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saveExternalLinkValues="0" codeName="ThisWorkbook"/>
  <mc:AlternateContent xmlns:mc="http://schemas.openxmlformats.org/markup-compatibility/2006">
    <mc:Choice Requires="x15">
      <x15ac:absPath xmlns:x15ac="http://schemas.microsoft.com/office/spreadsheetml/2010/11/ac" url="https://pella-my.sharepoint.com/personal/visscheret_pella_com/Documents/Desktop/Important Docs/"/>
    </mc:Choice>
  </mc:AlternateContent>
  <xr:revisionPtr revIDLastSave="4304" documentId="8_{58969E1F-CFE4-42DD-A515-10AE70D58280}" xr6:coauthVersionLast="47" xr6:coauthVersionMax="47" xr10:uidLastSave="{E8D59170-A87B-4D73-ACA7-B35CF5C3CF3A}"/>
  <bookViews>
    <workbookView xWindow="-120" yWindow="-120" windowWidth="29040" windowHeight="17520" tabRatio="726" activeTab="3" xr2:uid="{00000000-000D-0000-FFFF-FFFF00000000}"/>
  </bookViews>
  <sheets>
    <sheet name="Launch Page" sheetId="28" r:id="rId1"/>
    <sheet name="Canada DP Link" sheetId="26" r:id="rId2"/>
    <sheet name="Revisions" sheetId="21" state="hidden" r:id="rId3"/>
    <sheet name="Project Mull Review" sheetId="14" r:id="rId4"/>
    <sheet name="New Lookup Cells" sheetId="39" state="hidden" r:id="rId5"/>
    <sheet name="Windspeed Results" sheetId="41" r:id="rId6"/>
    <sheet name="RMEAT" sheetId="43" state="hidden" r:id="rId7"/>
    <sheet name="Aluminum Mull Charts" sheetId="10" state="hidden" r:id="rId8"/>
    <sheet name="Generic Mull Charts" sheetId="11" state="hidden" r:id="rId9"/>
    <sheet name="End Anchor Options" sheetId="42" state="hidden" r:id="rId10"/>
    <sheet name="State Building Codes" sheetId="9" state="hidden" r:id="rId11"/>
    <sheet name="Deadload Assistance" sheetId="37" r:id="rId12"/>
    <sheet name="Scenescape" sheetId="38" r:id="rId13"/>
    <sheet name="Tornado" sheetId="44" r:id="rId14"/>
    <sheet name="Struc Calc" sheetId="40" state="hidden" r:id="rId15"/>
    <sheet name="Importance Factor" sheetId="15" r:id="rId16"/>
    <sheet name="Exposure Category" sheetId="16" r:id="rId17"/>
    <sheet name="Topographical Factor " sheetId="31" r:id="rId18"/>
    <sheet name="Ultimate vs Allowable Load" sheetId="34" r:id="rId19"/>
    <sheet name="Zone 5 Classification" sheetId="36" r:id="rId20"/>
  </sheets>
  <definedNames>
    <definedName name="_xlnm._FilterDatabase" localSheetId="1" hidden="1">'Aluminum Mull Charts'!$I$12:$J$12</definedName>
    <definedName name="_xlnm._FilterDatabase" localSheetId="9" hidden="1">'End Anchor Options'!$E$38:$H$47</definedName>
    <definedName name="_xlnm._FilterDatabase" localSheetId="3" hidden="1">'Aluminum Mull Charts'!$I$12:$J$12</definedName>
    <definedName name="AreaType">'New Lookup Cells'!$M$57:$M$58</definedName>
    <definedName name="ASCE7_05WZ">'New Lookup Cells'!$I$58:$I$61</definedName>
    <definedName name="ASCE7_10WZ">'New Lookup Cells'!$I$65:$I$68</definedName>
    <definedName name="AutocadMull">'New Lookup Cells'!$X$4:$Z$108</definedName>
    <definedName name="Bnli">'New Lookup Cells'!$D$75:$F$80</definedName>
    <definedName name="BonAnchor">'End Anchor Options'!$B$217:$B$227</definedName>
    <definedName name="BonAnchorc">'End Anchor Options'!$I$217:$M$227</definedName>
    <definedName name="BonAnchorcx">'End Anchor Options'!$K$217:$K$227</definedName>
    <definedName name="BonAnchors">'End Anchor Options'!$N$217:$R$227</definedName>
    <definedName name="BonAnchorsx">'End Anchor Options'!$P$217:$P$227</definedName>
    <definedName name="BonAnchorw">'End Anchor Options'!$D$217:$H$227</definedName>
    <definedName name="BonAnchorwx">'End Anchor Options'!$F$217:$F$227</definedName>
    <definedName name="BonEIx">'Aluminum Mull Charts'!$D$60:$D$65</definedName>
    <definedName name="Bonelli">'New Lookup Cells'!$L$3:$L$8</definedName>
    <definedName name="BonMull">'Aluminum Mull Charts'!$B$60:$G$65</definedName>
    <definedName name="CAnchor">'End Anchor Options'!$J$18:$K$526</definedName>
    <definedName name="Clad">'New Lookup Cells'!$D$35:$F$48</definedName>
    <definedName name="Clad_Wood_Four_Way">'New Lookup Cells'!$F$3</definedName>
    <definedName name="Clad_Wood_Three_Way">'New Lookup Cells'!$E$3:$E$6</definedName>
    <definedName name="Clad_Wood_Two_Way">'New Lookup Cells'!$D$3:$D$10</definedName>
    <definedName name="Classification">'Project Mull Review'!$U$22:$U$25</definedName>
    <definedName name="Combo">RMEAT!$N$11:$N$99</definedName>
    <definedName name="CWAEIx">'Aluminum Mull Charts'!$D$13:$D$24</definedName>
    <definedName name="CWAEIy">'Aluminum Mull Charts'!$F$13:$F$24</definedName>
    <definedName name="CWAM">'Aluminum Mull Charts'!$B$13:$G$24</definedName>
    <definedName name="cwm_1">'End Anchor Options'!$B$18:$B$37</definedName>
    <definedName name="cwm_1c">'End Anchor Options'!$I$18:$M$37</definedName>
    <definedName name="cwm_1cx">'End Anchor Options'!$K$18:$K$37</definedName>
    <definedName name="cwm_1s">'End Anchor Options'!$N$18:$R$37</definedName>
    <definedName name="cwm_1sx">'End Anchor Options'!$P$18:$P$37</definedName>
    <definedName name="cwm_1w">'End Anchor Options'!$D$18:$H$37</definedName>
    <definedName name="cwm_1wx">'End Anchor Options'!$F$18:$F$37</definedName>
    <definedName name="cwm_2">'End Anchor Options'!$B$38:$B$49</definedName>
    <definedName name="cwm_2c">'End Anchor Options'!$I$38:$M$49</definedName>
    <definedName name="cwm_2cx">'End Anchor Options'!$K$38:$K$49</definedName>
    <definedName name="cwm_2s">'End Anchor Options'!$N$38:$R$49</definedName>
    <definedName name="cwm_2sx">'End Anchor Options'!$P$38:$P$49</definedName>
    <definedName name="cwm_2w">'End Anchor Options'!$D$38:$H$49</definedName>
    <definedName name="cwm_2wx">'End Anchor Options'!$F$38:$F$49</definedName>
    <definedName name="cwm_3">'End Anchor Options'!$B$50:$B$61</definedName>
    <definedName name="cwm_3c">'End Anchor Options'!$I$50:$M$61</definedName>
    <definedName name="cwm_3cx">'End Anchor Options'!$K$50:$K$61</definedName>
    <definedName name="cwm_3s">'End Anchor Options'!$N$50:$R$61</definedName>
    <definedName name="cwm_3sx">'End Anchor Options'!$P$50:$P$61</definedName>
    <definedName name="cwm_3w">'End Anchor Options'!$D$50:$H$61</definedName>
    <definedName name="cwm_3wx">'End Anchor Options'!$F$50:$F$61</definedName>
    <definedName name="Dual_IG">'Deadload Assistance'!$T$37:$T$41</definedName>
    <definedName name="EIMM">'New Lookup Cells'!$AC$4:$AF$17</definedName>
    <definedName name="ELEI">'Generic Mull Charts'!$BG$3:$BG$33</definedName>
    <definedName name="ELM">'Generic Mull Charts'!$BE$3:$BK$33</definedName>
    <definedName name="exposure">'Project Mull Review'!$E$15</definedName>
    <definedName name="FinalSort">RMEAT!$BA$11:$BI$99</definedName>
    <definedName name="FrameStrength">'New Lookup Cells'!$AC$21:$AD$30</definedName>
    <definedName name="GlassThickness">'Deadload Assistance'!$V$8:$AA$10</definedName>
    <definedName name="GlazingTypes">'Deadload Assistance'!$V$8:$V$10</definedName>
    <definedName name="IAEI">'Aluminum Mull Charts'!$K$13:$K$28</definedName>
    <definedName name="IAEIT2">'Aluminum Mull Charts'!$R$13:$R$25</definedName>
    <definedName name="IAEIT4">'Aluminum Mull Charts'!$R$34:$R$46</definedName>
    <definedName name="IAEIx">'Aluminum Mull Charts'!$K$13:$K$28</definedName>
    <definedName name="IAEIy">'Aluminum Mull Charts'!$M$13:$M$28</definedName>
    <definedName name="IAM">'Aluminum Mull Charts'!$I$13:$N$28</definedName>
    <definedName name="IAMT2">'Aluminum Mull Charts'!$P$13:$U$25</definedName>
    <definedName name="IAMT4">'Aluminum Mull Charts'!$P$34:$U$46</definedName>
    <definedName name="IDAEI">'Aluminum Mull Charts'!$K$34:$K$47</definedName>
    <definedName name="IDAEIy">'Aluminum Mull Charts'!$M$34:$M$47</definedName>
    <definedName name="IDAM">'Aluminum Mull Charts'!$I$34:$N$47</definedName>
    <definedName name="imp_1">'End Anchor Options'!$B$106:$B$124</definedName>
    <definedName name="imp_1c">'End Anchor Options'!$I$106:$M$124</definedName>
    <definedName name="imp_1cx">'End Anchor Options'!$K$106:$K$124</definedName>
    <definedName name="imp_1s">'End Anchor Options'!$N$106:$R$124</definedName>
    <definedName name="imp_1sx">'End Anchor Options'!$P$106:$P$124</definedName>
    <definedName name="imp_1w">'End Anchor Options'!$D$106:$H$124</definedName>
    <definedName name="imp_1wx">'End Anchor Options'!$F$106:$F$124</definedName>
    <definedName name="imp_2">'End Anchor Options'!$B$125:$B$134</definedName>
    <definedName name="imp_2c">'End Anchor Options'!$I$125:$M$134</definedName>
    <definedName name="imp_2cx">'End Anchor Options'!$K$125:$K$134</definedName>
    <definedName name="imp_2s">'End Anchor Options'!$N$125:$R$134</definedName>
    <definedName name="imp_2sx">'End Anchor Options'!$P$125:$P$134</definedName>
    <definedName name="imp_2w">'End Anchor Options'!$D$125:$H$134</definedName>
    <definedName name="imp_2wx">'End Anchor Options'!$F$125:$F$134</definedName>
    <definedName name="imp_3">'End Anchor Options'!$B$135:$B$146</definedName>
    <definedName name="imp_3c">'End Anchor Options'!$I$135:$M$146</definedName>
    <definedName name="imp_3cx">'End Anchor Options'!$K$135:$K$146</definedName>
    <definedName name="imp_3s">'End Anchor Options'!$N$135:$R$146</definedName>
    <definedName name="imp_3sx">'End Anchor Options'!$P$135:$P$146</definedName>
    <definedName name="imp_3w">'End Anchor Options'!$D$135:$H$146</definedName>
    <definedName name="imp_3wx">'End Anchor Options'!$F$135:$F$146</definedName>
    <definedName name="impdoor">'End Anchor Options'!$B$147:$B$165</definedName>
    <definedName name="impdoorc">'End Anchor Options'!$I$147:$M$165</definedName>
    <definedName name="impdoorcx">'End Anchor Options'!$K$147:$K$165</definedName>
    <definedName name="impdoors">'End Anchor Options'!$N$147:$R$165</definedName>
    <definedName name="impdoorsx">'End Anchor Options'!$P$147:$P$165</definedName>
    <definedName name="impdoorw">'End Anchor Options'!$D$147:$H$165</definedName>
    <definedName name="impdoorwx">'End Anchor Options'!$F$147:$F$165</definedName>
    <definedName name="Impervia">'New Lookup Cells'!$D$50:$F$63</definedName>
    <definedName name="Impervia_Four_Way">'New Lookup Cells'!$I$3:$I$5</definedName>
    <definedName name="Impervia_Three_Way">'New Lookup Cells'!$H$3:$H$7</definedName>
    <definedName name="Impervia_Two_Way">'New Lookup Cells'!$G$3:$G$9</definedName>
    <definedName name="Laminated_IG">'Deadload Assistance'!$V$37:$V$40</definedName>
    <definedName name="lvl_11">'End Anchor Options'!$B$384:$B$390</definedName>
    <definedName name="lvl_11c">'End Anchor Options'!$I$384:$M$390</definedName>
    <definedName name="lvl_11cx">'End Anchor Options'!$K$384:$K$390</definedName>
    <definedName name="lvl_11s">'End Anchor Options'!$N$384:$R$390</definedName>
    <definedName name="lvl_11sx">'End Anchor Options'!$P$384:$P$390</definedName>
    <definedName name="lvl_11w">'End Anchor Options'!$D$384:$H$390</definedName>
    <definedName name="lvl_11wx">'End Anchor Options'!$F$384:$F$390</definedName>
    <definedName name="lvl_14">'End Anchor Options'!$B$378:$B$383</definedName>
    <definedName name="lvl_14c">'End Anchor Options'!$I$378:$M$383</definedName>
    <definedName name="lvl_14cx">'End Anchor Options'!$K$378:$K$383</definedName>
    <definedName name="lvl_14s">'End Anchor Options'!$N$378:$R$383</definedName>
    <definedName name="lvl_14sx">'End Anchor Options'!$P$378:$P$383</definedName>
    <definedName name="lvl_14w">'End Anchor Options'!$D$378:$H$383</definedName>
    <definedName name="lvl_14wx">'End Anchor Options'!$F$378:$F$383</definedName>
    <definedName name="lvl_16">'End Anchor Options'!$B$371:$B$377</definedName>
    <definedName name="lvl_16c">'End Anchor Options'!$I$371:$M$377</definedName>
    <definedName name="lvl_16cx">'End Anchor Options'!$K$371:$K$377</definedName>
    <definedName name="lvl_16s">'End Anchor Options'!$N$371:$R$377</definedName>
    <definedName name="lvl_16sx">'End Anchor Options'!$P$371:$P$377</definedName>
    <definedName name="lvl_16w">'End Anchor Options'!$D$371:$H$377</definedName>
    <definedName name="lvl_16wx">'End Anchor Options'!$F$371:$F$377</definedName>
    <definedName name="lvl_18">'End Anchor Options'!$B$364:$B$370</definedName>
    <definedName name="lvl_18cx">'End Anchor Options'!$K$364:$K$370</definedName>
    <definedName name="lvl_18s">'End Anchor Options'!$N$364:$R$370</definedName>
    <definedName name="lvl_18sx">'End Anchor Options'!$P$364:$P$370</definedName>
    <definedName name="lvl_18w">'End Anchor Options'!$D$364:$H$370</definedName>
    <definedName name="lvl_18wx">'End Anchor Options'!$F$364:$F$370</definedName>
    <definedName name="lvl_20">'End Anchor Options'!$B$357:$B$363</definedName>
    <definedName name="lvl_20c">'End Anchor Options'!$I$357:$M$363</definedName>
    <definedName name="lvl_20cx">'End Anchor Options'!$K$357:$K$363</definedName>
    <definedName name="lvl_20s">'End Anchor Options'!$N$357:$R$363</definedName>
    <definedName name="lvl_20sx">'End Anchor Options'!$P$357:$P$363</definedName>
    <definedName name="lvl_20w">'End Anchor Options'!$D$357:$H$363</definedName>
    <definedName name="lvl_20wx">'End Anchor Options'!$F$357:$F$363</definedName>
    <definedName name="lvl_28c">'End Anchor Options'!$I$364:$M$370</definedName>
    <definedName name="lvl_3">'End Anchor Options'!$B$414:$B$419</definedName>
    <definedName name="lvl_3c">'End Anchor Options'!$I$414:$M$419</definedName>
    <definedName name="lvl_3cx">'End Anchor Options'!$K$414:$K$419</definedName>
    <definedName name="lvl_3s">'End Anchor Options'!$N$414:$R$419</definedName>
    <definedName name="lvl_3sx">'End Anchor Options'!$P$414:$P$419</definedName>
    <definedName name="lvl_3w">'End Anchor Options'!$D$414:$H$419</definedName>
    <definedName name="lvl_3wx">'End Anchor Options'!$F$414:$F$419</definedName>
    <definedName name="lvl_5">'End Anchor Options'!$B$406:$B$413</definedName>
    <definedName name="lvl_5c">'End Anchor Options'!$I$406:$M$413</definedName>
    <definedName name="lvl_5cx">'End Anchor Options'!$K$406:$K$413</definedName>
    <definedName name="lvl_5s">'End Anchor Options'!$N$406:$R$413</definedName>
    <definedName name="lvl_5sx">'End Anchor Options'!$P$406:$P$413</definedName>
    <definedName name="lvl_5w">'End Anchor Options'!$D$406:$H$413</definedName>
    <definedName name="lvl_5wx">'End Anchor Options'!$F$406:$F$413</definedName>
    <definedName name="lvl_7">'End Anchor Options'!$B$397:$B$405</definedName>
    <definedName name="lvl_7c">'End Anchor Options'!$I$397:$M$405</definedName>
    <definedName name="lvl_7cx">'End Anchor Options'!$K$397:$K$405</definedName>
    <definedName name="lvl_7s">'End Anchor Options'!$N$397:$R$405</definedName>
    <definedName name="lvl_7sx">'End Anchor Options'!$P$397:$P$405</definedName>
    <definedName name="lvl_7w">'End Anchor Options'!$D$397:$H$405</definedName>
    <definedName name="lvl_7wx">'End Anchor Options'!$F$397:$F$405</definedName>
    <definedName name="lvl_9">'End Anchor Options'!$B$391:$B$396</definedName>
    <definedName name="lvl_9c">'End Anchor Options'!$I$391:$M$396</definedName>
    <definedName name="lvl_9cx">'End Anchor Options'!$K$391:$K$396</definedName>
    <definedName name="lvl_9s">'End Anchor Options'!$N$391:$R$396</definedName>
    <definedName name="lvl_9sx">'End Anchor Options'!$P$391:$P$396</definedName>
    <definedName name="lvl_9w">'End Anchor Options'!$D$391:$H$396</definedName>
    <definedName name="lvl_9wx">'End Anchor Options'!$F$391:$F$396</definedName>
    <definedName name="MainCell">RMEAT!$AR$22:$AT$75</definedName>
    <definedName name="Mull_Options" localSheetId="1">'Canada DP Link'!#REF!</definedName>
    <definedName name="Mull_Review_Inputs" localSheetId="1">'Canada DP Link'!$B$1:$D$143,'Canada DP Link'!#REF!,'Canada DP Link'!#REF!,'Canada DP Link'!#REF!,'Canada DP Link'!#REF!,'Canada DP Link'!#REF!,'Canada DP Link'!#REF!,'Canada DP Link'!#REF!,'Canada DP Link'!#REF!,'Canada DP Link'!#REF!,'Canada DP Link'!#REF!</definedName>
    <definedName name="Mull_Review_Inputs">'Project Mull Review'!$B$35:$L$94,'Project Mull Review'!$E$35:$K$94,'Project Mull Review'!$P$35:$Q$94,'Project Mull Review'!#REF!,'Project Mull Review'!#REF!,'Project Mull Review'!#REF!,'Project Mull Review'!$J$4:$J$5,'Project Mull Review'!$E$12:$H$12,'Project Mull Review'!$E$14:$H$14,'Project Mull Review'!$E$17:$H$17,'Project Mull Review'!$E$15:$H$15</definedName>
    <definedName name="MullList">'End Anchor Options'!$B$18:$C$526</definedName>
    <definedName name="NSS">'New Lookup Cells'!$L$29:$L$30</definedName>
    <definedName name="nss_3">'End Anchor Options'!$B$274:$B$291</definedName>
    <definedName name="nss_3c">'End Anchor Options'!$I$274:$M$291</definedName>
    <definedName name="nss_3cx">'End Anchor Options'!$K$274:$K$291</definedName>
    <definedName name="nss_3s">'End Anchor Options'!$N$274:$R$291</definedName>
    <definedName name="nss_3sx">'End Anchor Options'!$P$274:$P$291</definedName>
    <definedName name="nss_3w">'End Anchor Options'!$D$274:$H$291</definedName>
    <definedName name="nss_3wx">'End Anchor Options'!$F$274:$F$291</definedName>
    <definedName name="nss_6">'End Anchor Options'!$B$254:$B$273</definedName>
    <definedName name="nss_6c">'End Anchor Options'!$I$254:$M$273</definedName>
    <definedName name="nss_6cx">'End Anchor Options'!$K$254:$K$273</definedName>
    <definedName name="nss_6s">'End Anchor Options'!$N$254:$R$273</definedName>
    <definedName name="nss_6sx">'End Anchor Options'!$P$254:$P$273</definedName>
    <definedName name="nss_6w">'End Anchor Options'!$D$254:$H$273</definedName>
    <definedName name="nss_6wx">'End Anchor Options'!$F$254:$F$273</definedName>
    <definedName name="Option">'End Anchor Options'!$AC$3:$AC$4</definedName>
    <definedName name="plate1">'End Anchor Options'!$B$420:$B$451</definedName>
    <definedName name="plate1c">'End Anchor Options'!$I$420:$M$451</definedName>
    <definedName name="plate1cx">'End Anchor Options'!$K$420:$K$451</definedName>
    <definedName name="plate1s">'End Anchor Options'!$N$420:$R$451</definedName>
    <definedName name="plate1sx">'End Anchor Options'!$P$420:$P$451</definedName>
    <definedName name="plate1w">'End Anchor Options'!$D$420:$H$451</definedName>
    <definedName name="plate1wx">'End Anchor Options'!$F$420:$F$451</definedName>
    <definedName name="Products">'New Lookup Cells'!$B$3:$B$12</definedName>
    <definedName name="ProductWeight">'Deadload Assistance'!$S$8:$S$12</definedName>
    <definedName name="PSEI">'Generic Mull Charts'!$AZ$3:$AZ$10</definedName>
    <definedName name="PSM">'Generic Mull Charts'!$AX$3:$BC$10</definedName>
    <definedName name="pws_1">'End Anchor Options'!$B$86:$B$97</definedName>
    <definedName name="pws_1c">'End Anchor Options'!$I$86:$M$97</definedName>
    <definedName name="pws_1cx">'End Anchor Options'!$K$86:$K$97</definedName>
    <definedName name="pws_1s">'End Anchor Options'!$N$86:$R$97</definedName>
    <definedName name="pws_1sx">'End Anchor Options'!$P$86:$P$97</definedName>
    <definedName name="pws_1w">'End Anchor Options'!$D$86:$H$97</definedName>
    <definedName name="pws_1wx">'End Anchor Options'!$F$86:$F$97</definedName>
    <definedName name="pws_2">'End Anchor Options'!$B$74:$B$85</definedName>
    <definedName name="pws_2c">'End Anchor Options'!$I$74:$M$85</definedName>
    <definedName name="pws_2cx">'End Anchor Options'!$K$74:$K$85</definedName>
    <definedName name="pws_2s">'End Anchor Options'!$N$74:$R$85</definedName>
    <definedName name="pws_2sx">'End Anchor Options'!$P$74:$P$85</definedName>
    <definedName name="pws_2w">'End Anchor Options'!$D$74:$H$85</definedName>
    <definedName name="pws_2wx">'End Anchor Options'!$F$74:$F$85</definedName>
    <definedName name="pws_3">'End Anchor Options'!$B$62:$B$73</definedName>
    <definedName name="pws_3c">'End Anchor Options'!$I$62:$M$73</definedName>
    <definedName name="pws_3cx">'End Anchor Options'!$K$62:$K$73</definedName>
    <definedName name="pws_3s">'End Anchor Options'!$N$62:$R$73</definedName>
    <definedName name="pws_3sx">'End Anchor Options'!$P$62:$P$73</definedName>
    <definedName name="pws_3w">'End Anchor Options'!$D$62:$H$73</definedName>
    <definedName name="pws_3wx">'End Anchor Options'!$F$62:$F$73</definedName>
    <definedName name="pwspl">'End Anchor Options'!$B$98:$B$105</definedName>
    <definedName name="pwsplc">'End Anchor Options'!$I$98:$M$105</definedName>
    <definedName name="pwsplcx">'End Anchor Options'!$K$98:$K$105</definedName>
    <definedName name="pwspls">'End Anchor Options'!$N$98:$R$105</definedName>
    <definedName name="pwsplsx">'End Anchor Options'!$P$98:$P$105</definedName>
    <definedName name="pwsplw">'End Anchor Options'!$D$98:$H$105</definedName>
    <definedName name="pwsplwx">'End Anchor Options'!$F$98:$F$105</definedName>
    <definedName name="Quote">'New Lookup Cells'!$B$26:$B$28</definedName>
    <definedName name="SAnchor">'End Anchor Options'!$O$18:$P$526</definedName>
    <definedName name="ShopMull">RMEAT!$I$11:$K$99</definedName>
    <definedName name="SPEI">'Generic Mull Charts'!$AR$3:$AR$35</definedName>
    <definedName name="SPEIW">'Generic Mull Charts'!$AJ$3:$AJ$42</definedName>
    <definedName name="SPM">'Generic Mull Charts'!$AP$3:$AV$35</definedName>
    <definedName name="SPPWS">'Generic Mull Charts'!$AH$3:$AN$42</definedName>
    <definedName name="SSEI">'Generic Mull Charts'!$AB$3:$AB$30</definedName>
    <definedName name="SSM">'Generic Mull Charts'!$Z$3:$AF$30</definedName>
    <definedName name="SSW">'Generic Mull Charts'!$R$3:$X$30</definedName>
    <definedName name="SSWI">'Generic Mull Charts'!$T$3:$T$30</definedName>
    <definedName name="StarState">'State Building Codes'!$K$5:$L$23</definedName>
    <definedName name="StateCodes">Table1[]</definedName>
    <definedName name="States">Table1[]</definedName>
    <definedName name="STEI">'Generic Mull Charts'!$L$3:$L$66</definedName>
    <definedName name="STM">'Generic Mull Charts'!$J$3:$P$66</definedName>
    <definedName name="studs10">'End Anchor Options'!$B$304:$B$315</definedName>
    <definedName name="studs10c">'End Anchor Options'!$I$304:$M$315</definedName>
    <definedName name="studs10cx">'End Anchor Options'!$K$304:$K$315</definedName>
    <definedName name="studs10s">'End Anchor Options'!$N$304:$R$315</definedName>
    <definedName name="studs10sx">'End Anchor Options'!$P$304:$P$315</definedName>
    <definedName name="studs10w">'End Anchor Options'!$D$304:$H$315</definedName>
    <definedName name="studs10wx">'End Anchor Options'!$F$304:$F$315</definedName>
    <definedName name="studs12">'End Anchor Options'!$B$292:$B$303</definedName>
    <definedName name="studs12c">'End Anchor Options'!$I$292:$M$303</definedName>
    <definedName name="studs12cx">'End Anchor Options'!$K$292:$K$303</definedName>
    <definedName name="studs12s">'End Anchor Options'!$N$292:$R$303</definedName>
    <definedName name="studs12sx">'End Anchor Options'!$P$292:$P$303</definedName>
    <definedName name="studs12w">'End Anchor Options'!$D$292:$H$303</definedName>
    <definedName name="studs12wx">'End Anchor Options'!$F$292:$F$303</definedName>
    <definedName name="studs4">'End Anchor Options'!$B$345:$B$356</definedName>
    <definedName name="studs4c">'End Anchor Options'!$I$345:$M$356</definedName>
    <definedName name="studs4cx">'End Anchor Options'!$K$345:$K$356</definedName>
    <definedName name="studs4s">'End Anchor Options'!$N$345:$R$356</definedName>
    <definedName name="studs4sx">'End Anchor Options'!$P$345:$P$356</definedName>
    <definedName name="studs4w">'End Anchor Options'!$D$345:$H$356</definedName>
    <definedName name="studs4wx">'End Anchor Options'!$F$345:$F$356</definedName>
    <definedName name="studs6">'End Anchor Options'!$B$331:$B$344</definedName>
    <definedName name="studs6c">'End Anchor Options'!$I$331:$M$344</definedName>
    <definedName name="studs6cx">'End Anchor Options'!$K$331:$K$344</definedName>
    <definedName name="studs6s">'End Anchor Options'!$N$331:$R$344</definedName>
    <definedName name="studs6sx">'End Anchor Options'!$P$331:$P$344</definedName>
    <definedName name="studs6w">'End Anchor Options'!$D$331:$H$344</definedName>
    <definedName name="studs6wx">'End Anchor Options'!$F$331:$F$344</definedName>
    <definedName name="studs8">'End Anchor Options'!$B$316:$B$330</definedName>
    <definedName name="studs8c">'End Anchor Options'!$I$316:$M$330</definedName>
    <definedName name="studs8cx">'End Anchor Options'!$K$316:$K$330</definedName>
    <definedName name="studs8s">'End Anchor Options'!$N$316:$R$330</definedName>
    <definedName name="studs8sx">'End Anchor Options'!$P$316:$P$330</definedName>
    <definedName name="studs8w">'End Anchor Options'!$D$316:$H$330</definedName>
    <definedName name="studs8wx">'End Anchor Options'!$F$316:$F$330</definedName>
    <definedName name="Substrate">'New Lookup Cells'!$K$57:$K$59</definedName>
    <definedName name="TENVAEI">'Aluminum Mull Charts'!$R$53:$R$55</definedName>
    <definedName name="TENVAEIy">'Aluminum Mull Charts'!$T$53:$T$55</definedName>
    <definedName name="TENVAM">'Aluminum Mull Charts'!$P$53:$U$55</definedName>
    <definedName name="Triple_IG">'Deadload Assistance'!$U$37:$U$41</definedName>
    <definedName name="tube1">'End Anchor Options'!$B$519:$B$526</definedName>
    <definedName name="tube1c">'End Anchor Options'!$I$519:$M$526</definedName>
    <definedName name="tube1cx">'End Anchor Options'!$K$519:$K$526</definedName>
    <definedName name="tube1s">'End Anchor Options'!$N$519:$R$526</definedName>
    <definedName name="tube1sx">'End Anchor Options'!$P$519:$P$526</definedName>
    <definedName name="tube1w">'End Anchor Options'!$D$519:$H$526</definedName>
    <definedName name="tube1wx">'End Anchor Options'!$F$519:$F$526</definedName>
    <definedName name="tube2">'End Anchor Options'!$B$505:$B$518</definedName>
    <definedName name="tube2c">'End Anchor Options'!$I$505:$M$518</definedName>
    <definedName name="tube2cx">'End Anchor Options'!$K$505:$K$518</definedName>
    <definedName name="tube2s">'End Anchor Options'!$N$505:$R$518</definedName>
    <definedName name="tube2sx">'End Anchor Options'!$P$505:$P$518</definedName>
    <definedName name="tube2w">'End Anchor Options'!$D$505:$H$518</definedName>
    <definedName name="tube2wx">'End Anchor Options'!$F$505:$F$518</definedName>
    <definedName name="tube3">'End Anchor Options'!$B$488:$B$504</definedName>
    <definedName name="tube3c">'End Anchor Options'!$I$488:$M$504</definedName>
    <definedName name="tube3cx">'End Anchor Options'!$K$488:$K$504</definedName>
    <definedName name="tube3s">'End Anchor Options'!$N$488:$R$504</definedName>
    <definedName name="tube3sx">'End Anchor Options'!$P$488:$P$504</definedName>
    <definedName name="tube3w">'End Anchor Options'!$D$488:$H$504</definedName>
    <definedName name="tube3wx">'End Anchor Options'!$F$488:$F$504</definedName>
    <definedName name="tube4">'End Anchor Options'!$B$474:$B$487</definedName>
    <definedName name="tube4c">'End Anchor Options'!$I$474:$M$487</definedName>
    <definedName name="tube4cx">'End Anchor Options'!$K$474:$K$487</definedName>
    <definedName name="tube4s">'End Anchor Options'!$N$474:$R$487</definedName>
    <definedName name="tube4sx">'End Anchor Options'!$P$474:$P$487</definedName>
    <definedName name="tube4w">'End Anchor Options'!$D$474:$H$487</definedName>
    <definedName name="tube4wx">'End Anchor Options'!$F$474:$F$487</definedName>
    <definedName name="tube5">'End Anchor Options'!$B$468:$B$473</definedName>
    <definedName name="tube5c">'End Anchor Options'!$I$468:$M$473</definedName>
    <definedName name="tube5cx">'End Anchor Options'!$K$468:$K$473</definedName>
    <definedName name="tube5s">'End Anchor Options'!$N$468:$R$473</definedName>
    <definedName name="tube5sx">'End Anchor Options'!$P$468:$P$473</definedName>
    <definedName name="tube5w">'End Anchor Options'!$D$468:$H$473</definedName>
    <definedName name="tube5wx">'End Anchor Options'!$F$468:$F$473</definedName>
    <definedName name="tube6">'End Anchor Options'!$B$460:$B$467</definedName>
    <definedName name="tube6c">'End Anchor Options'!$I$460:$M$467</definedName>
    <definedName name="tube6cx">'End Anchor Options'!$K$460:$K$467</definedName>
    <definedName name="tube6s">'End Anchor Options'!$N$460:$R$467</definedName>
    <definedName name="tube6sx">'End Anchor Options'!$P$460:$P$467</definedName>
    <definedName name="tube6w">'End Anchor Options'!$D$460:$H$467</definedName>
    <definedName name="tube6wx">'End Anchor Options'!$F$460:$F$467</definedName>
    <definedName name="tube7">'End Anchor Options'!$B$452:$B$459</definedName>
    <definedName name="tube7c">'End Anchor Options'!$I$452:$M$459</definedName>
    <definedName name="tube7cx">'End Anchor Options'!$K$452:$K$459</definedName>
    <definedName name="tube7s">'End Anchor Options'!$N$452:$R$459</definedName>
    <definedName name="tube7sx">'End Anchor Options'!$P$452:$P$459</definedName>
    <definedName name="tube7w">'End Anchor Options'!$D$452:$H$459</definedName>
    <definedName name="tube7wx">'End Anchor Options'!$F$452:$F$459</definedName>
    <definedName name="TWOVAEI">'Aluminum Mull Charts'!$D$34:$D$47</definedName>
    <definedName name="TWOVAEIy">'Aluminum Mull Charts'!$F$34:$F$47</definedName>
    <definedName name="TWOVAM">'Aluminum Mull Charts'!$B$34:$G$47</definedName>
    <definedName name="v250_1">'End Anchor Options'!$B$166:$B$183</definedName>
    <definedName name="v250_1c">'End Anchor Options'!$I$166:$M$183</definedName>
    <definedName name="v250_1cx">'End Anchor Options'!$K$166:$K$183</definedName>
    <definedName name="v250_1s">'End Anchor Options'!$N$166:$R$183</definedName>
    <definedName name="v250_1sx">'End Anchor Options'!$P$166:$P$183</definedName>
    <definedName name="v250_1w">'End Anchor Options'!$D$166:$H$183</definedName>
    <definedName name="v250_1wx">'End Anchor Options'!$F$166:$F$183</definedName>
    <definedName name="v250_2">'End Anchor Options'!$B$184:$B$198</definedName>
    <definedName name="v250_2c">'End Anchor Options'!$I$184:$M$198</definedName>
    <definedName name="v250_2cx">'End Anchor Options'!$K$184:$K$198</definedName>
    <definedName name="v250_2s">'End Anchor Options'!$N$184:$R$198</definedName>
    <definedName name="v250_2sx">'End Anchor Options'!$P$184:$P$198</definedName>
    <definedName name="v250_2w">'End Anchor Options'!$D$184:$H$198</definedName>
    <definedName name="v250_2wx">'End Anchor Options'!$F$184:$F$198</definedName>
    <definedName name="v250_d">'End Anchor Options'!$B$199:$B$213</definedName>
    <definedName name="v250_dc">'End Anchor Options'!$I$199:$M$213</definedName>
    <definedName name="v250_dcx">'End Anchor Options'!$K$199:$K$213</definedName>
    <definedName name="v250_ds">'End Anchor Options'!$N$199:$R$213</definedName>
    <definedName name="v250_dsx">'End Anchor Options'!$P$199:$P$213</definedName>
    <definedName name="v250_dw">'End Anchor Options'!$D$199:$H$213</definedName>
    <definedName name="v250_dwx">'End Anchor Options'!$F$199:$F$213</definedName>
    <definedName name="VDAEIx">'Aluminum Mull Charts'!$D$53</definedName>
    <definedName name="VDAEIy">'Aluminum Mull Charts'!$F$53</definedName>
    <definedName name="VDAM">'Aluminum Mull Charts'!$B$53:$G$53</definedName>
    <definedName name="Vinyl">'New Lookup Cells'!$D$65:$F$73</definedName>
    <definedName name="Vinyl_250_Series">'New Lookup Cells'!$J$3:$J$11</definedName>
    <definedName name="Vinyl_Encompass_Thermastar">'New Lookup Cells'!$K$3:$K$5</definedName>
    <definedName name="Vista">'New Lookup Cells'!$M$3:$M$8</definedName>
    <definedName name="Vista_1">'End Anchor Options'!$B$228:$B$237</definedName>
    <definedName name="Vista_1c">'End Anchor Options'!$I$228:$M$237</definedName>
    <definedName name="Vista_1cx">'End Anchor Options'!$K$228:$K$237</definedName>
    <definedName name="Vista_1s">'End Anchor Options'!$N$228:$R$237</definedName>
    <definedName name="Vista_1sx">'End Anchor Options'!$P$228:$P$237</definedName>
    <definedName name="Vista_1w">'End Anchor Options'!$D$228:$H$237</definedName>
    <definedName name="Vista_1wx">'End Anchor Options'!$F$228:$F$237</definedName>
    <definedName name="Vista_2">'End Anchor Options'!$B$238:$B$253</definedName>
    <definedName name="Vista_2c">'End Anchor Options'!$I$238:$M$253</definedName>
    <definedName name="Vista_2cx">'End Anchor Options'!$K$238:$K$253</definedName>
    <definedName name="Vista_2s">'End Anchor Options'!$N$238:$R$253</definedName>
    <definedName name="Vista_2sx">'End Anchor Options'!$P$238:$P$253</definedName>
    <definedName name="Vista_2w">'End Anchor Options'!$D$238:$H$253</definedName>
    <definedName name="Vista_2wx">'End Anchor Options'!$F$238:$F$253</definedName>
    <definedName name="VistaEIx">'Aluminum Mull Charts'!$K$60:$K$66</definedName>
    <definedName name="VistaMull">'Aluminum Mull Charts'!$I$60:$N$66</definedName>
    <definedName name="Vsta">'New Lookup Cells'!$D$82:$F$87</definedName>
    <definedName name="WallType">'New Lookup Cells'!$K$57:$L$59</definedName>
    <definedName name="WAnchor">'End Anchor Options'!$E$18:$F$526</definedName>
    <definedName name="WSEI">'Generic Mull Charts'!$D$3:$D$26</definedName>
    <definedName name="WSM">'Generic Mull Charts'!$B$3:$H$26</definedName>
    <definedName name="WTloading">'New Lookup Cells'!$N$57:$N$58</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1" i="14" l="1"/>
  <c r="V23" i="44"/>
  <c r="G7" i="44" s="1"/>
  <c r="E30" i="44"/>
  <c r="P5" i="44" s="1"/>
  <c r="O26" i="14"/>
  <c r="O27" i="14" s="1"/>
  <c r="P9" i="37"/>
  <c r="P10" i="37"/>
  <c r="P11" i="37"/>
  <c r="P12" i="37"/>
  <c r="P13" i="37"/>
  <c r="P14" i="37"/>
  <c r="P8" i="37"/>
  <c r="J9" i="38"/>
  <c r="K9" i="38" s="1"/>
  <c r="J10" i="38"/>
  <c r="K10" i="38" s="1"/>
  <c r="J11" i="38"/>
  <c r="K11" i="38" s="1"/>
  <c r="J8" i="38"/>
  <c r="K8" i="38" s="1"/>
  <c r="C10" i="9" l="1"/>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AD42" i="14" l="1"/>
  <c r="V357" i="42" l="1"/>
  <c r="V19" i="42"/>
  <c r="W19" i="42"/>
  <c r="X19" i="42"/>
  <c r="V20" i="42"/>
  <c r="W20" i="42"/>
  <c r="X20" i="42"/>
  <c r="V21" i="42"/>
  <c r="W21" i="42"/>
  <c r="X21" i="42"/>
  <c r="V22" i="42"/>
  <c r="W22" i="42"/>
  <c r="X22" i="42"/>
  <c r="V23" i="42"/>
  <c r="W23" i="42"/>
  <c r="X23" i="42"/>
  <c r="V24" i="42"/>
  <c r="W24" i="42"/>
  <c r="X24" i="42"/>
  <c r="V25" i="42"/>
  <c r="W25" i="42"/>
  <c r="X25" i="42"/>
  <c r="V26" i="42"/>
  <c r="W26" i="42"/>
  <c r="X26" i="42"/>
  <c r="V27" i="42"/>
  <c r="W27" i="42"/>
  <c r="X27" i="42"/>
  <c r="V28" i="42"/>
  <c r="W28" i="42"/>
  <c r="X28" i="42"/>
  <c r="V29" i="42"/>
  <c r="W29" i="42"/>
  <c r="X29" i="42"/>
  <c r="V30" i="42"/>
  <c r="W30" i="42"/>
  <c r="X30" i="42"/>
  <c r="V31" i="42"/>
  <c r="W31" i="42"/>
  <c r="X31" i="42"/>
  <c r="V32" i="42"/>
  <c r="W32" i="42"/>
  <c r="X32" i="42"/>
  <c r="V33" i="42"/>
  <c r="W33" i="42"/>
  <c r="X33" i="42"/>
  <c r="V34" i="42"/>
  <c r="W34" i="42"/>
  <c r="X34" i="42"/>
  <c r="V35" i="42"/>
  <c r="W35" i="42"/>
  <c r="X35" i="42"/>
  <c r="V36" i="42"/>
  <c r="W36" i="42"/>
  <c r="X36" i="42"/>
  <c r="V37" i="42"/>
  <c r="W37" i="42"/>
  <c r="X37" i="42"/>
  <c r="V38" i="42"/>
  <c r="W38" i="42"/>
  <c r="X38" i="42"/>
  <c r="V39" i="42"/>
  <c r="W39" i="42"/>
  <c r="X39" i="42"/>
  <c r="V40" i="42"/>
  <c r="W40" i="42"/>
  <c r="X40" i="42"/>
  <c r="V41" i="42"/>
  <c r="W41" i="42"/>
  <c r="X41" i="42"/>
  <c r="V42" i="42"/>
  <c r="W42" i="42"/>
  <c r="X42" i="42"/>
  <c r="V43" i="42"/>
  <c r="W43" i="42"/>
  <c r="X43" i="42"/>
  <c r="V44" i="42"/>
  <c r="W44" i="42"/>
  <c r="X44" i="42"/>
  <c r="V45" i="42"/>
  <c r="W45" i="42"/>
  <c r="X45" i="42"/>
  <c r="V46" i="42"/>
  <c r="W46" i="42"/>
  <c r="X46" i="42"/>
  <c r="V47" i="42"/>
  <c r="W47" i="42"/>
  <c r="X47" i="42"/>
  <c r="V48" i="42"/>
  <c r="W48" i="42"/>
  <c r="X48" i="42"/>
  <c r="V49" i="42"/>
  <c r="W49" i="42"/>
  <c r="X49" i="42"/>
  <c r="V50" i="42"/>
  <c r="W50" i="42"/>
  <c r="X50" i="42"/>
  <c r="V51" i="42"/>
  <c r="W51" i="42"/>
  <c r="X51" i="42"/>
  <c r="V52" i="42"/>
  <c r="W52" i="42"/>
  <c r="X52" i="42"/>
  <c r="V53" i="42"/>
  <c r="W53" i="42"/>
  <c r="X53" i="42"/>
  <c r="V54" i="42"/>
  <c r="W54" i="42"/>
  <c r="X54" i="42"/>
  <c r="V55" i="42"/>
  <c r="W55" i="42"/>
  <c r="X55" i="42"/>
  <c r="V56" i="42"/>
  <c r="W56" i="42"/>
  <c r="X56" i="42"/>
  <c r="V57" i="42"/>
  <c r="W57" i="42"/>
  <c r="X57" i="42"/>
  <c r="V58" i="42"/>
  <c r="W58" i="42"/>
  <c r="X58" i="42"/>
  <c r="V59" i="42"/>
  <c r="W59" i="42"/>
  <c r="X59" i="42"/>
  <c r="V60" i="42"/>
  <c r="W60" i="42"/>
  <c r="X60" i="42"/>
  <c r="V61" i="42"/>
  <c r="W61" i="42"/>
  <c r="X61" i="42"/>
  <c r="V62" i="42"/>
  <c r="W62" i="42"/>
  <c r="X62" i="42"/>
  <c r="V63" i="42"/>
  <c r="W63" i="42"/>
  <c r="X63" i="42"/>
  <c r="V64" i="42"/>
  <c r="W64" i="42"/>
  <c r="X64" i="42"/>
  <c r="V65" i="42"/>
  <c r="W65" i="42"/>
  <c r="X65" i="42"/>
  <c r="V66" i="42"/>
  <c r="W66" i="42"/>
  <c r="X66" i="42"/>
  <c r="V67" i="42"/>
  <c r="W67" i="42"/>
  <c r="X67" i="42"/>
  <c r="V68" i="42"/>
  <c r="W68" i="42"/>
  <c r="X68" i="42"/>
  <c r="V69" i="42"/>
  <c r="W69" i="42"/>
  <c r="X69" i="42"/>
  <c r="V70" i="42"/>
  <c r="W70" i="42"/>
  <c r="X70" i="42"/>
  <c r="V71" i="42"/>
  <c r="W71" i="42"/>
  <c r="X71" i="42"/>
  <c r="V72" i="42"/>
  <c r="W72" i="42"/>
  <c r="X72" i="42"/>
  <c r="V73" i="42"/>
  <c r="W73" i="42"/>
  <c r="X73" i="42"/>
  <c r="V74" i="42"/>
  <c r="W74" i="42"/>
  <c r="X74" i="42"/>
  <c r="V75" i="42"/>
  <c r="W75" i="42"/>
  <c r="X75" i="42"/>
  <c r="V76" i="42"/>
  <c r="W76" i="42"/>
  <c r="X76" i="42"/>
  <c r="V77" i="42"/>
  <c r="W77" i="42"/>
  <c r="X77" i="42"/>
  <c r="V78" i="42"/>
  <c r="W78" i="42"/>
  <c r="X78" i="42"/>
  <c r="V79" i="42"/>
  <c r="W79" i="42"/>
  <c r="X79" i="42"/>
  <c r="V80" i="42"/>
  <c r="W80" i="42"/>
  <c r="X80" i="42"/>
  <c r="V81" i="42"/>
  <c r="W81" i="42"/>
  <c r="X81" i="42"/>
  <c r="V82" i="42"/>
  <c r="W82" i="42"/>
  <c r="X82" i="42"/>
  <c r="V83" i="42"/>
  <c r="W83" i="42"/>
  <c r="X83" i="42"/>
  <c r="V84" i="42"/>
  <c r="W84" i="42"/>
  <c r="X84" i="42"/>
  <c r="V85" i="42"/>
  <c r="W85" i="42"/>
  <c r="X85" i="42"/>
  <c r="V86" i="42"/>
  <c r="W86" i="42"/>
  <c r="X86" i="42"/>
  <c r="V87" i="42"/>
  <c r="W87" i="42"/>
  <c r="X87" i="42"/>
  <c r="V88" i="42"/>
  <c r="W88" i="42"/>
  <c r="X88" i="42"/>
  <c r="V89" i="42"/>
  <c r="W89" i="42"/>
  <c r="X89" i="42"/>
  <c r="V90" i="42"/>
  <c r="W90" i="42"/>
  <c r="X90" i="42"/>
  <c r="V91" i="42"/>
  <c r="W91" i="42"/>
  <c r="X91" i="42"/>
  <c r="V92" i="42"/>
  <c r="W92" i="42"/>
  <c r="X92" i="42"/>
  <c r="V93" i="42"/>
  <c r="W93" i="42"/>
  <c r="X93" i="42"/>
  <c r="V94" i="42"/>
  <c r="W94" i="42"/>
  <c r="X94" i="42"/>
  <c r="V95" i="42"/>
  <c r="W95" i="42"/>
  <c r="X95" i="42"/>
  <c r="V96" i="42"/>
  <c r="W96" i="42"/>
  <c r="X96" i="42"/>
  <c r="V97" i="42"/>
  <c r="W97" i="42"/>
  <c r="X97" i="42"/>
  <c r="V98" i="42"/>
  <c r="W98" i="42"/>
  <c r="X98" i="42"/>
  <c r="V99" i="42"/>
  <c r="W99" i="42"/>
  <c r="X99" i="42"/>
  <c r="V100" i="42"/>
  <c r="W100" i="42"/>
  <c r="X100" i="42"/>
  <c r="V101" i="42"/>
  <c r="W101" i="42"/>
  <c r="X101" i="42"/>
  <c r="V102" i="42"/>
  <c r="W102" i="42"/>
  <c r="X102" i="42"/>
  <c r="V103" i="42"/>
  <c r="W103" i="42"/>
  <c r="X103" i="42"/>
  <c r="V104" i="42"/>
  <c r="W104" i="42"/>
  <c r="X104" i="42"/>
  <c r="V105" i="42"/>
  <c r="W105" i="42"/>
  <c r="X105" i="42"/>
  <c r="V106" i="42"/>
  <c r="W106" i="42"/>
  <c r="X106" i="42"/>
  <c r="V107" i="42"/>
  <c r="W107" i="42"/>
  <c r="X107" i="42"/>
  <c r="V108" i="42"/>
  <c r="W108" i="42"/>
  <c r="X108" i="42"/>
  <c r="V109" i="42"/>
  <c r="W109" i="42"/>
  <c r="X109" i="42"/>
  <c r="V110" i="42"/>
  <c r="W110" i="42"/>
  <c r="X110" i="42"/>
  <c r="V111" i="42"/>
  <c r="W111" i="42"/>
  <c r="X111" i="42"/>
  <c r="V112" i="42"/>
  <c r="W112" i="42"/>
  <c r="X112" i="42"/>
  <c r="V113" i="42"/>
  <c r="W113" i="42"/>
  <c r="X113" i="42"/>
  <c r="V114" i="42"/>
  <c r="W114" i="42"/>
  <c r="X114" i="42"/>
  <c r="V115" i="42"/>
  <c r="W115" i="42"/>
  <c r="X115" i="42"/>
  <c r="V116" i="42"/>
  <c r="W116" i="42"/>
  <c r="X116" i="42"/>
  <c r="V117" i="42"/>
  <c r="W117" i="42"/>
  <c r="X117" i="42"/>
  <c r="V118" i="42"/>
  <c r="W118" i="42"/>
  <c r="X118" i="42"/>
  <c r="V119" i="42"/>
  <c r="W119" i="42"/>
  <c r="X119" i="42"/>
  <c r="V120" i="42"/>
  <c r="W120" i="42"/>
  <c r="X120" i="42"/>
  <c r="V121" i="42"/>
  <c r="W121" i="42"/>
  <c r="X121" i="42"/>
  <c r="V122" i="42"/>
  <c r="W122" i="42"/>
  <c r="X122" i="42"/>
  <c r="V123" i="42"/>
  <c r="W123" i="42"/>
  <c r="X123" i="42"/>
  <c r="V124" i="42"/>
  <c r="W124" i="42"/>
  <c r="X124" i="42"/>
  <c r="V125" i="42"/>
  <c r="W125" i="42"/>
  <c r="X125" i="42"/>
  <c r="V126" i="42"/>
  <c r="W126" i="42"/>
  <c r="X126" i="42"/>
  <c r="V127" i="42"/>
  <c r="W127" i="42"/>
  <c r="X127" i="42"/>
  <c r="V128" i="42"/>
  <c r="W128" i="42"/>
  <c r="X128" i="42"/>
  <c r="V129" i="42"/>
  <c r="W129" i="42"/>
  <c r="X129" i="42"/>
  <c r="V130" i="42"/>
  <c r="W130" i="42"/>
  <c r="X130" i="42"/>
  <c r="V131" i="42"/>
  <c r="W131" i="42"/>
  <c r="X131" i="42"/>
  <c r="V132" i="42"/>
  <c r="W132" i="42"/>
  <c r="X132" i="42"/>
  <c r="V133" i="42"/>
  <c r="W133" i="42"/>
  <c r="X133" i="42"/>
  <c r="V134" i="42"/>
  <c r="W134" i="42"/>
  <c r="X134" i="42"/>
  <c r="V135" i="42"/>
  <c r="W135" i="42"/>
  <c r="X135" i="42"/>
  <c r="V136" i="42"/>
  <c r="W136" i="42"/>
  <c r="X136" i="42"/>
  <c r="V137" i="42"/>
  <c r="W137" i="42"/>
  <c r="X137" i="42"/>
  <c r="V138" i="42"/>
  <c r="W138" i="42"/>
  <c r="X138" i="42"/>
  <c r="V139" i="42"/>
  <c r="W139" i="42"/>
  <c r="X139" i="42"/>
  <c r="V140" i="42"/>
  <c r="W140" i="42"/>
  <c r="X140" i="42"/>
  <c r="V141" i="42"/>
  <c r="W141" i="42"/>
  <c r="X141" i="42"/>
  <c r="V142" i="42"/>
  <c r="W142" i="42"/>
  <c r="X142" i="42"/>
  <c r="V143" i="42"/>
  <c r="W143" i="42"/>
  <c r="X143" i="42"/>
  <c r="V144" i="42"/>
  <c r="W144" i="42"/>
  <c r="X144" i="42"/>
  <c r="V145" i="42"/>
  <c r="W145" i="42"/>
  <c r="X145" i="42"/>
  <c r="V146" i="42"/>
  <c r="W146" i="42"/>
  <c r="X146" i="42"/>
  <c r="V147" i="42"/>
  <c r="W147" i="42"/>
  <c r="X147" i="42"/>
  <c r="V148" i="42"/>
  <c r="W148" i="42"/>
  <c r="X148" i="42"/>
  <c r="V149" i="42"/>
  <c r="W149" i="42"/>
  <c r="X149" i="42"/>
  <c r="V150" i="42"/>
  <c r="W150" i="42"/>
  <c r="X150" i="42"/>
  <c r="V151" i="42"/>
  <c r="W151" i="42"/>
  <c r="X151" i="42"/>
  <c r="V152" i="42"/>
  <c r="W152" i="42"/>
  <c r="X152" i="42"/>
  <c r="V153" i="42"/>
  <c r="W153" i="42"/>
  <c r="X153" i="42"/>
  <c r="V154" i="42"/>
  <c r="W154" i="42"/>
  <c r="X154" i="42"/>
  <c r="V155" i="42"/>
  <c r="W155" i="42"/>
  <c r="X155" i="42"/>
  <c r="V156" i="42"/>
  <c r="W156" i="42"/>
  <c r="X156" i="42"/>
  <c r="V157" i="42"/>
  <c r="W157" i="42"/>
  <c r="X157" i="42"/>
  <c r="V158" i="42"/>
  <c r="W158" i="42"/>
  <c r="X158" i="42"/>
  <c r="V159" i="42"/>
  <c r="W159" i="42"/>
  <c r="X159" i="42"/>
  <c r="V160" i="42"/>
  <c r="W160" i="42"/>
  <c r="X160" i="42"/>
  <c r="V161" i="42"/>
  <c r="W161" i="42"/>
  <c r="X161" i="42"/>
  <c r="V162" i="42"/>
  <c r="W162" i="42"/>
  <c r="X162" i="42"/>
  <c r="V163" i="42"/>
  <c r="W163" i="42"/>
  <c r="X163" i="42"/>
  <c r="V164" i="42"/>
  <c r="W164" i="42"/>
  <c r="X164" i="42"/>
  <c r="V165" i="42"/>
  <c r="W165" i="42"/>
  <c r="X165" i="42"/>
  <c r="V166" i="42"/>
  <c r="W166" i="42"/>
  <c r="X166" i="42"/>
  <c r="V167" i="42"/>
  <c r="W167" i="42"/>
  <c r="X167" i="42"/>
  <c r="V168" i="42"/>
  <c r="W168" i="42"/>
  <c r="X168" i="42"/>
  <c r="V169" i="42"/>
  <c r="W169" i="42"/>
  <c r="X169" i="42"/>
  <c r="V170" i="42"/>
  <c r="W170" i="42"/>
  <c r="X170" i="42"/>
  <c r="V171" i="42"/>
  <c r="W171" i="42"/>
  <c r="X171" i="42"/>
  <c r="V172" i="42"/>
  <c r="W172" i="42"/>
  <c r="X172" i="42"/>
  <c r="V173" i="42"/>
  <c r="W173" i="42"/>
  <c r="X173" i="42"/>
  <c r="V174" i="42"/>
  <c r="W174" i="42"/>
  <c r="X174" i="42"/>
  <c r="V175" i="42"/>
  <c r="W175" i="42"/>
  <c r="X175" i="42"/>
  <c r="V176" i="42"/>
  <c r="W176" i="42"/>
  <c r="X176" i="42"/>
  <c r="V177" i="42"/>
  <c r="W177" i="42"/>
  <c r="X177" i="42"/>
  <c r="V178" i="42"/>
  <c r="W178" i="42"/>
  <c r="X178" i="42"/>
  <c r="V179" i="42"/>
  <c r="W179" i="42"/>
  <c r="X179" i="42"/>
  <c r="V180" i="42"/>
  <c r="W180" i="42"/>
  <c r="X180" i="42"/>
  <c r="V181" i="42"/>
  <c r="W181" i="42"/>
  <c r="X181" i="42"/>
  <c r="V182" i="42"/>
  <c r="W182" i="42"/>
  <c r="X182" i="42"/>
  <c r="V183" i="42"/>
  <c r="W183" i="42"/>
  <c r="X183" i="42"/>
  <c r="V184" i="42"/>
  <c r="W184" i="42"/>
  <c r="X184" i="42"/>
  <c r="V185" i="42"/>
  <c r="W185" i="42"/>
  <c r="X185" i="42"/>
  <c r="V186" i="42"/>
  <c r="W186" i="42"/>
  <c r="X186" i="42"/>
  <c r="V187" i="42"/>
  <c r="W187" i="42"/>
  <c r="X187" i="42"/>
  <c r="V188" i="42"/>
  <c r="W188" i="42"/>
  <c r="X188" i="42"/>
  <c r="V189" i="42"/>
  <c r="W189" i="42"/>
  <c r="X189" i="42"/>
  <c r="V190" i="42"/>
  <c r="W190" i="42"/>
  <c r="X190" i="42"/>
  <c r="V191" i="42"/>
  <c r="W191" i="42"/>
  <c r="X191" i="42"/>
  <c r="V192" i="42"/>
  <c r="W192" i="42"/>
  <c r="X192" i="42"/>
  <c r="V193" i="42"/>
  <c r="W193" i="42"/>
  <c r="X193" i="42"/>
  <c r="V194" i="42"/>
  <c r="W194" i="42"/>
  <c r="X194" i="42"/>
  <c r="V195" i="42"/>
  <c r="W195" i="42"/>
  <c r="X195" i="42"/>
  <c r="V196" i="42"/>
  <c r="W196" i="42"/>
  <c r="X196" i="42"/>
  <c r="V197" i="42"/>
  <c r="W197" i="42"/>
  <c r="X197" i="42"/>
  <c r="V198" i="42"/>
  <c r="W198" i="42"/>
  <c r="X198" i="42"/>
  <c r="V199" i="42"/>
  <c r="W199" i="42"/>
  <c r="X199" i="42"/>
  <c r="V200" i="42"/>
  <c r="W200" i="42"/>
  <c r="X200" i="42"/>
  <c r="V201" i="42"/>
  <c r="W201" i="42"/>
  <c r="X201" i="42"/>
  <c r="V202" i="42"/>
  <c r="W202" i="42"/>
  <c r="X202" i="42"/>
  <c r="V203" i="42"/>
  <c r="W203" i="42"/>
  <c r="X203" i="42"/>
  <c r="V204" i="42"/>
  <c r="W204" i="42"/>
  <c r="X204" i="42"/>
  <c r="V205" i="42"/>
  <c r="W205" i="42"/>
  <c r="X205" i="42"/>
  <c r="V206" i="42"/>
  <c r="W206" i="42"/>
  <c r="X206" i="42"/>
  <c r="V207" i="42"/>
  <c r="W207" i="42"/>
  <c r="X207" i="42"/>
  <c r="V208" i="42"/>
  <c r="W208" i="42"/>
  <c r="X208" i="42"/>
  <c r="V209" i="42"/>
  <c r="W209" i="42"/>
  <c r="X209" i="42"/>
  <c r="V210" i="42"/>
  <c r="W210" i="42"/>
  <c r="X210" i="42"/>
  <c r="V211" i="42"/>
  <c r="W211" i="42"/>
  <c r="X211" i="42"/>
  <c r="V212" i="42"/>
  <c r="W212" i="42"/>
  <c r="X212" i="42"/>
  <c r="V213" i="42"/>
  <c r="W213" i="42"/>
  <c r="X213" i="42"/>
  <c r="V214" i="42"/>
  <c r="W214" i="42"/>
  <c r="X214" i="42"/>
  <c r="V215" i="42"/>
  <c r="W215" i="42"/>
  <c r="X215" i="42"/>
  <c r="V216" i="42"/>
  <c r="W216" i="42"/>
  <c r="X216" i="42"/>
  <c r="V217" i="42"/>
  <c r="W217" i="42"/>
  <c r="X217" i="42"/>
  <c r="V218" i="42"/>
  <c r="W218" i="42"/>
  <c r="X218" i="42"/>
  <c r="V219" i="42"/>
  <c r="W219" i="42"/>
  <c r="X219" i="42"/>
  <c r="V220" i="42"/>
  <c r="W220" i="42"/>
  <c r="X220" i="42"/>
  <c r="V221" i="42"/>
  <c r="W221" i="42"/>
  <c r="X221" i="42"/>
  <c r="V222" i="42"/>
  <c r="W222" i="42"/>
  <c r="X222" i="42"/>
  <c r="V223" i="42"/>
  <c r="W223" i="42"/>
  <c r="X223" i="42"/>
  <c r="V224" i="42"/>
  <c r="W224" i="42"/>
  <c r="X224" i="42"/>
  <c r="V225" i="42"/>
  <c r="W225" i="42"/>
  <c r="X225" i="42"/>
  <c r="V226" i="42"/>
  <c r="W226" i="42"/>
  <c r="X226" i="42"/>
  <c r="V227" i="42"/>
  <c r="W227" i="42"/>
  <c r="X227" i="42"/>
  <c r="V228" i="42"/>
  <c r="W228" i="42"/>
  <c r="X228" i="42"/>
  <c r="V229" i="42"/>
  <c r="W229" i="42"/>
  <c r="X229" i="42"/>
  <c r="V230" i="42"/>
  <c r="W230" i="42"/>
  <c r="X230" i="42"/>
  <c r="V231" i="42"/>
  <c r="W231" i="42"/>
  <c r="X231" i="42"/>
  <c r="V232" i="42"/>
  <c r="W232" i="42"/>
  <c r="X232" i="42"/>
  <c r="V233" i="42"/>
  <c r="W233" i="42"/>
  <c r="X233" i="42"/>
  <c r="V234" i="42"/>
  <c r="W234" i="42"/>
  <c r="X234" i="42"/>
  <c r="V235" i="42"/>
  <c r="W235" i="42"/>
  <c r="X235" i="42"/>
  <c r="V236" i="42"/>
  <c r="W236" i="42"/>
  <c r="X236" i="42"/>
  <c r="V237" i="42"/>
  <c r="W237" i="42"/>
  <c r="X237" i="42"/>
  <c r="V238" i="42"/>
  <c r="W238" i="42"/>
  <c r="X238" i="42"/>
  <c r="V239" i="42"/>
  <c r="W239" i="42"/>
  <c r="X239" i="42"/>
  <c r="V240" i="42"/>
  <c r="W240" i="42"/>
  <c r="X240" i="42"/>
  <c r="V241" i="42"/>
  <c r="W241" i="42"/>
  <c r="X241" i="42"/>
  <c r="V242" i="42"/>
  <c r="W242" i="42"/>
  <c r="X242" i="42"/>
  <c r="V243" i="42"/>
  <c r="W243" i="42"/>
  <c r="X243" i="42"/>
  <c r="V244" i="42"/>
  <c r="W244" i="42"/>
  <c r="X244" i="42"/>
  <c r="V245" i="42"/>
  <c r="W245" i="42"/>
  <c r="X245" i="42"/>
  <c r="V246" i="42"/>
  <c r="W246" i="42"/>
  <c r="X246" i="42"/>
  <c r="V247" i="42"/>
  <c r="W247" i="42"/>
  <c r="X247" i="42"/>
  <c r="V248" i="42"/>
  <c r="W248" i="42"/>
  <c r="X248" i="42"/>
  <c r="V249" i="42"/>
  <c r="W249" i="42"/>
  <c r="X249" i="42"/>
  <c r="V250" i="42"/>
  <c r="W250" i="42"/>
  <c r="X250" i="42"/>
  <c r="V251" i="42"/>
  <c r="W251" i="42"/>
  <c r="X251" i="42"/>
  <c r="V252" i="42"/>
  <c r="W252" i="42"/>
  <c r="X252" i="42"/>
  <c r="V253" i="42"/>
  <c r="W253" i="42"/>
  <c r="X253" i="42"/>
  <c r="V270" i="42"/>
  <c r="W270" i="42"/>
  <c r="X270" i="42"/>
  <c r="V271" i="42"/>
  <c r="W271" i="42"/>
  <c r="X271" i="42"/>
  <c r="V272" i="42"/>
  <c r="W272" i="42"/>
  <c r="X272" i="42"/>
  <c r="V273" i="42"/>
  <c r="W273" i="42"/>
  <c r="X273" i="42"/>
  <c r="V290" i="42"/>
  <c r="W290" i="42"/>
  <c r="X290" i="42"/>
  <c r="V291" i="42"/>
  <c r="W291" i="42"/>
  <c r="X291" i="42"/>
  <c r="V292" i="42"/>
  <c r="W292" i="42"/>
  <c r="X292" i="42"/>
  <c r="V293" i="42"/>
  <c r="W293" i="42"/>
  <c r="X293" i="42"/>
  <c r="V294" i="42"/>
  <c r="W294" i="42"/>
  <c r="X294" i="42"/>
  <c r="V295" i="42"/>
  <c r="W295" i="42"/>
  <c r="X295" i="42"/>
  <c r="V296" i="42"/>
  <c r="W296" i="42"/>
  <c r="X296" i="42"/>
  <c r="V297" i="42"/>
  <c r="W297" i="42"/>
  <c r="X297" i="42"/>
  <c r="V298" i="42"/>
  <c r="W298" i="42"/>
  <c r="X298" i="42"/>
  <c r="V299" i="42"/>
  <c r="W299" i="42"/>
  <c r="X299" i="42"/>
  <c r="V300" i="42"/>
  <c r="W300" i="42"/>
  <c r="X300" i="42"/>
  <c r="V301" i="42"/>
  <c r="W301" i="42"/>
  <c r="X301" i="42"/>
  <c r="V302" i="42"/>
  <c r="W302" i="42"/>
  <c r="X302" i="42"/>
  <c r="V303" i="42"/>
  <c r="W303" i="42"/>
  <c r="X303" i="42"/>
  <c r="V304" i="42"/>
  <c r="W304" i="42"/>
  <c r="X304" i="42"/>
  <c r="V305" i="42"/>
  <c r="W305" i="42"/>
  <c r="X305" i="42"/>
  <c r="V306" i="42"/>
  <c r="W306" i="42"/>
  <c r="X306" i="42"/>
  <c r="V307" i="42"/>
  <c r="W307" i="42"/>
  <c r="X307" i="42"/>
  <c r="V308" i="42"/>
  <c r="W308" i="42"/>
  <c r="X308" i="42"/>
  <c r="V309" i="42"/>
  <c r="W309" i="42"/>
  <c r="X309" i="42"/>
  <c r="V310" i="42"/>
  <c r="W310" i="42"/>
  <c r="X310" i="42"/>
  <c r="V311" i="42"/>
  <c r="W311" i="42"/>
  <c r="X311" i="42"/>
  <c r="V312" i="42"/>
  <c r="W312" i="42"/>
  <c r="X312" i="42"/>
  <c r="V313" i="42"/>
  <c r="W313" i="42"/>
  <c r="X313" i="42"/>
  <c r="V314" i="42"/>
  <c r="W314" i="42"/>
  <c r="X314" i="42"/>
  <c r="V315" i="42"/>
  <c r="W315" i="42"/>
  <c r="X315" i="42"/>
  <c r="V316" i="42"/>
  <c r="W316" i="42"/>
  <c r="X316" i="42"/>
  <c r="V317" i="42"/>
  <c r="W317" i="42"/>
  <c r="X317" i="42"/>
  <c r="V318" i="42"/>
  <c r="W318" i="42"/>
  <c r="X318" i="42"/>
  <c r="V319" i="42"/>
  <c r="W319" i="42"/>
  <c r="X319" i="42"/>
  <c r="V320" i="42"/>
  <c r="W320" i="42"/>
  <c r="X320" i="42"/>
  <c r="V321" i="42"/>
  <c r="W321" i="42"/>
  <c r="X321" i="42"/>
  <c r="V322" i="42"/>
  <c r="W322" i="42"/>
  <c r="X322" i="42"/>
  <c r="V323" i="42"/>
  <c r="W323" i="42"/>
  <c r="X323" i="42"/>
  <c r="V324" i="42"/>
  <c r="W324" i="42"/>
  <c r="X324" i="42"/>
  <c r="V325" i="42"/>
  <c r="W325" i="42"/>
  <c r="X325" i="42"/>
  <c r="V326" i="42"/>
  <c r="W326" i="42"/>
  <c r="X326" i="42"/>
  <c r="V327" i="42"/>
  <c r="W327" i="42"/>
  <c r="X327" i="42"/>
  <c r="V328" i="42"/>
  <c r="W328" i="42"/>
  <c r="X328" i="42"/>
  <c r="V329" i="42"/>
  <c r="W329" i="42"/>
  <c r="X329" i="42"/>
  <c r="V330" i="42"/>
  <c r="W330" i="42"/>
  <c r="X330" i="42"/>
  <c r="V331" i="42"/>
  <c r="W331" i="42"/>
  <c r="X331" i="42"/>
  <c r="V332" i="42"/>
  <c r="W332" i="42"/>
  <c r="X332" i="42"/>
  <c r="V333" i="42"/>
  <c r="W333" i="42"/>
  <c r="X333" i="42"/>
  <c r="V334" i="42"/>
  <c r="W334" i="42"/>
  <c r="X334" i="42"/>
  <c r="V335" i="42"/>
  <c r="W335" i="42"/>
  <c r="X335" i="42"/>
  <c r="V336" i="42"/>
  <c r="W336" i="42"/>
  <c r="X336" i="42"/>
  <c r="V337" i="42"/>
  <c r="W337" i="42"/>
  <c r="X337" i="42"/>
  <c r="V338" i="42"/>
  <c r="W338" i="42"/>
  <c r="X338" i="42"/>
  <c r="V339" i="42"/>
  <c r="W339" i="42"/>
  <c r="X339" i="42"/>
  <c r="V340" i="42"/>
  <c r="W340" i="42"/>
  <c r="X340" i="42"/>
  <c r="V341" i="42"/>
  <c r="W341" i="42"/>
  <c r="X341" i="42"/>
  <c r="V342" i="42"/>
  <c r="W342" i="42"/>
  <c r="X342" i="42"/>
  <c r="V343" i="42"/>
  <c r="W343" i="42"/>
  <c r="X343" i="42"/>
  <c r="V344" i="42"/>
  <c r="W344" i="42"/>
  <c r="X344" i="42"/>
  <c r="V345" i="42"/>
  <c r="W345" i="42"/>
  <c r="X345" i="42"/>
  <c r="V346" i="42"/>
  <c r="W346" i="42"/>
  <c r="X346" i="42"/>
  <c r="V347" i="42"/>
  <c r="W347" i="42"/>
  <c r="X347" i="42"/>
  <c r="V348" i="42"/>
  <c r="W348" i="42"/>
  <c r="X348" i="42"/>
  <c r="V349" i="42"/>
  <c r="W349" i="42"/>
  <c r="X349" i="42"/>
  <c r="V350" i="42"/>
  <c r="W350" i="42"/>
  <c r="X350" i="42"/>
  <c r="V351" i="42"/>
  <c r="W351" i="42"/>
  <c r="X351" i="42"/>
  <c r="V352" i="42"/>
  <c r="W352" i="42"/>
  <c r="X352" i="42"/>
  <c r="V353" i="42"/>
  <c r="W353" i="42"/>
  <c r="X353" i="42"/>
  <c r="V354" i="42"/>
  <c r="W354" i="42"/>
  <c r="X354" i="42"/>
  <c r="V355" i="42"/>
  <c r="W355" i="42"/>
  <c r="X355" i="42"/>
  <c r="V356" i="42"/>
  <c r="W356" i="42"/>
  <c r="X356" i="42"/>
  <c r="W357" i="42"/>
  <c r="X357" i="42"/>
  <c r="V358" i="42"/>
  <c r="W358" i="42"/>
  <c r="X358" i="42"/>
  <c r="V359" i="42"/>
  <c r="W359" i="42"/>
  <c r="X359" i="42"/>
  <c r="V360" i="42"/>
  <c r="W360" i="42"/>
  <c r="X360" i="42"/>
  <c r="V361" i="42"/>
  <c r="W361" i="42"/>
  <c r="X361" i="42"/>
  <c r="V362" i="42"/>
  <c r="W362" i="42"/>
  <c r="X362" i="42"/>
  <c r="V363" i="42"/>
  <c r="W363" i="42"/>
  <c r="X363" i="42"/>
  <c r="V364" i="42"/>
  <c r="W364" i="42"/>
  <c r="X364" i="42"/>
  <c r="V365" i="42"/>
  <c r="W365" i="42"/>
  <c r="X365" i="42"/>
  <c r="V366" i="42"/>
  <c r="W366" i="42"/>
  <c r="X366" i="42"/>
  <c r="V367" i="42"/>
  <c r="W367" i="42"/>
  <c r="X367" i="42"/>
  <c r="V368" i="42"/>
  <c r="W368" i="42"/>
  <c r="X368" i="42"/>
  <c r="V369" i="42"/>
  <c r="W369" i="42"/>
  <c r="X369" i="42"/>
  <c r="V370" i="42"/>
  <c r="W370" i="42"/>
  <c r="X370" i="42"/>
  <c r="V371" i="42"/>
  <c r="W371" i="42"/>
  <c r="X371" i="42"/>
  <c r="V372" i="42"/>
  <c r="W372" i="42"/>
  <c r="X372" i="42"/>
  <c r="V373" i="42"/>
  <c r="W373" i="42"/>
  <c r="X373" i="42"/>
  <c r="V374" i="42"/>
  <c r="W374" i="42"/>
  <c r="X374" i="42"/>
  <c r="V375" i="42"/>
  <c r="W375" i="42"/>
  <c r="X375" i="42"/>
  <c r="V376" i="42"/>
  <c r="W376" i="42"/>
  <c r="X376" i="42"/>
  <c r="V377" i="42"/>
  <c r="W377" i="42"/>
  <c r="X377" i="42"/>
  <c r="V378" i="42"/>
  <c r="W378" i="42"/>
  <c r="X378" i="42"/>
  <c r="V379" i="42"/>
  <c r="W379" i="42"/>
  <c r="X379" i="42"/>
  <c r="V380" i="42"/>
  <c r="W380" i="42"/>
  <c r="X380" i="42"/>
  <c r="V381" i="42"/>
  <c r="W381" i="42"/>
  <c r="X381" i="42"/>
  <c r="V382" i="42"/>
  <c r="W382" i="42"/>
  <c r="X382" i="42"/>
  <c r="V383" i="42"/>
  <c r="W383" i="42"/>
  <c r="X383" i="42"/>
  <c r="V384" i="42"/>
  <c r="W384" i="42"/>
  <c r="X384" i="42"/>
  <c r="V385" i="42"/>
  <c r="W385" i="42"/>
  <c r="X385" i="42"/>
  <c r="V386" i="42"/>
  <c r="W386" i="42"/>
  <c r="X386" i="42"/>
  <c r="V387" i="42"/>
  <c r="W387" i="42"/>
  <c r="X387" i="42"/>
  <c r="V388" i="42"/>
  <c r="W388" i="42"/>
  <c r="X388" i="42"/>
  <c r="V389" i="42"/>
  <c r="W389" i="42"/>
  <c r="X389" i="42"/>
  <c r="V390" i="42"/>
  <c r="W390" i="42"/>
  <c r="X390" i="42"/>
  <c r="V391" i="42"/>
  <c r="W391" i="42"/>
  <c r="X391" i="42"/>
  <c r="V392" i="42"/>
  <c r="W392" i="42"/>
  <c r="X392" i="42"/>
  <c r="V393" i="42"/>
  <c r="W393" i="42"/>
  <c r="X393" i="42"/>
  <c r="V394" i="42"/>
  <c r="W394" i="42"/>
  <c r="X394" i="42"/>
  <c r="V395" i="42"/>
  <c r="W395" i="42"/>
  <c r="X395" i="42"/>
  <c r="V396" i="42"/>
  <c r="W396" i="42"/>
  <c r="X396" i="42"/>
  <c r="V397" i="42"/>
  <c r="W397" i="42"/>
  <c r="X397" i="42"/>
  <c r="V398" i="42"/>
  <c r="W398" i="42"/>
  <c r="X398" i="42"/>
  <c r="V399" i="42"/>
  <c r="W399" i="42"/>
  <c r="X399" i="42"/>
  <c r="V400" i="42"/>
  <c r="W400" i="42"/>
  <c r="X400" i="42"/>
  <c r="V401" i="42"/>
  <c r="W401" i="42"/>
  <c r="X401" i="42"/>
  <c r="V402" i="42"/>
  <c r="W402" i="42"/>
  <c r="X402" i="42"/>
  <c r="V403" i="42"/>
  <c r="W403" i="42"/>
  <c r="X403" i="42"/>
  <c r="V404" i="42"/>
  <c r="W404" i="42"/>
  <c r="X404" i="42"/>
  <c r="V405" i="42"/>
  <c r="W405" i="42"/>
  <c r="X405" i="42"/>
  <c r="V406" i="42"/>
  <c r="W406" i="42"/>
  <c r="X406" i="42"/>
  <c r="V407" i="42"/>
  <c r="W407" i="42"/>
  <c r="X407" i="42"/>
  <c r="V408" i="42"/>
  <c r="W408" i="42"/>
  <c r="X408" i="42"/>
  <c r="V409" i="42"/>
  <c r="W409" i="42"/>
  <c r="X409" i="42"/>
  <c r="V410" i="42"/>
  <c r="W410" i="42"/>
  <c r="X410" i="42"/>
  <c r="V411" i="42"/>
  <c r="W411" i="42"/>
  <c r="X411" i="42"/>
  <c r="V412" i="42"/>
  <c r="W412" i="42"/>
  <c r="X412" i="42"/>
  <c r="V413" i="42"/>
  <c r="W413" i="42"/>
  <c r="X413" i="42"/>
  <c r="V414" i="42"/>
  <c r="W414" i="42"/>
  <c r="X414" i="42"/>
  <c r="V415" i="42"/>
  <c r="W415" i="42"/>
  <c r="X415" i="42"/>
  <c r="V416" i="42"/>
  <c r="W416" i="42"/>
  <c r="X416" i="42"/>
  <c r="V417" i="42"/>
  <c r="W417" i="42"/>
  <c r="X417" i="42"/>
  <c r="V418" i="42"/>
  <c r="W418" i="42"/>
  <c r="X418" i="42"/>
  <c r="V419" i="42"/>
  <c r="W419" i="42"/>
  <c r="X419" i="42"/>
  <c r="V420" i="42"/>
  <c r="W420" i="42"/>
  <c r="X420" i="42"/>
  <c r="V421" i="42"/>
  <c r="W421" i="42"/>
  <c r="X421" i="42"/>
  <c r="V422" i="42"/>
  <c r="W422" i="42"/>
  <c r="X422" i="42"/>
  <c r="V423" i="42"/>
  <c r="W423" i="42"/>
  <c r="X423" i="42"/>
  <c r="V424" i="42"/>
  <c r="W424" i="42"/>
  <c r="X424" i="42"/>
  <c r="V425" i="42"/>
  <c r="W425" i="42"/>
  <c r="X425" i="42"/>
  <c r="V426" i="42"/>
  <c r="W426" i="42"/>
  <c r="X426" i="42"/>
  <c r="V427" i="42"/>
  <c r="W427" i="42"/>
  <c r="X427" i="42"/>
  <c r="V428" i="42"/>
  <c r="W428" i="42"/>
  <c r="X428" i="42"/>
  <c r="V429" i="42"/>
  <c r="W429" i="42"/>
  <c r="X429" i="42"/>
  <c r="V430" i="42"/>
  <c r="W430" i="42"/>
  <c r="X430" i="42"/>
  <c r="V431" i="42"/>
  <c r="W431" i="42"/>
  <c r="X431" i="42"/>
  <c r="V432" i="42"/>
  <c r="W432" i="42"/>
  <c r="X432" i="42"/>
  <c r="V433" i="42"/>
  <c r="W433" i="42"/>
  <c r="X433" i="42"/>
  <c r="V434" i="42"/>
  <c r="W434" i="42"/>
  <c r="X434" i="42"/>
  <c r="V435" i="42"/>
  <c r="W435" i="42"/>
  <c r="X435" i="42"/>
  <c r="V436" i="42"/>
  <c r="W436" i="42"/>
  <c r="X436" i="42"/>
  <c r="V437" i="42"/>
  <c r="W437" i="42"/>
  <c r="X437" i="42"/>
  <c r="V438" i="42"/>
  <c r="W438" i="42"/>
  <c r="X438" i="42"/>
  <c r="V439" i="42"/>
  <c r="W439" i="42"/>
  <c r="X439" i="42"/>
  <c r="V440" i="42"/>
  <c r="W440" i="42"/>
  <c r="X440" i="42"/>
  <c r="V441" i="42"/>
  <c r="W441" i="42"/>
  <c r="X441" i="42"/>
  <c r="V442" i="42"/>
  <c r="W442" i="42"/>
  <c r="X442" i="42"/>
  <c r="V443" i="42"/>
  <c r="W443" i="42"/>
  <c r="X443" i="42"/>
  <c r="V444" i="42"/>
  <c r="W444" i="42"/>
  <c r="X444" i="42"/>
  <c r="V445" i="42"/>
  <c r="W445" i="42"/>
  <c r="X445" i="42"/>
  <c r="V446" i="42"/>
  <c r="W446" i="42"/>
  <c r="X446" i="42"/>
  <c r="V447" i="42"/>
  <c r="W447" i="42"/>
  <c r="X447" i="42"/>
  <c r="V448" i="42"/>
  <c r="W448" i="42"/>
  <c r="X448" i="42"/>
  <c r="V449" i="42"/>
  <c r="W449" i="42"/>
  <c r="X449" i="42"/>
  <c r="V450" i="42"/>
  <c r="W450" i="42"/>
  <c r="X450" i="42"/>
  <c r="V451" i="42"/>
  <c r="W451" i="42"/>
  <c r="X451" i="42"/>
  <c r="V452" i="42"/>
  <c r="W452" i="42"/>
  <c r="X452" i="42"/>
  <c r="V453" i="42"/>
  <c r="W453" i="42"/>
  <c r="X453" i="42"/>
  <c r="V454" i="42"/>
  <c r="W454" i="42"/>
  <c r="X454" i="42"/>
  <c r="V455" i="42"/>
  <c r="W455" i="42"/>
  <c r="X455" i="42"/>
  <c r="V456" i="42"/>
  <c r="W456" i="42"/>
  <c r="X456" i="42"/>
  <c r="V457" i="42"/>
  <c r="W457" i="42"/>
  <c r="X457" i="42"/>
  <c r="V458" i="42"/>
  <c r="W458" i="42"/>
  <c r="X458" i="42"/>
  <c r="V459" i="42"/>
  <c r="W459" i="42"/>
  <c r="X459" i="42"/>
  <c r="V460" i="42"/>
  <c r="W460" i="42"/>
  <c r="X460" i="42"/>
  <c r="V461" i="42"/>
  <c r="W461" i="42"/>
  <c r="X461" i="42"/>
  <c r="V462" i="42"/>
  <c r="W462" i="42"/>
  <c r="X462" i="42"/>
  <c r="V463" i="42"/>
  <c r="W463" i="42"/>
  <c r="X463" i="42"/>
  <c r="V464" i="42"/>
  <c r="W464" i="42"/>
  <c r="X464" i="42"/>
  <c r="V465" i="42"/>
  <c r="W465" i="42"/>
  <c r="X465" i="42"/>
  <c r="V466" i="42"/>
  <c r="W466" i="42"/>
  <c r="X466" i="42"/>
  <c r="V467" i="42"/>
  <c r="W467" i="42"/>
  <c r="X467" i="42"/>
  <c r="V468" i="42"/>
  <c r="W468" i="42"/>
  <c r="X468" i="42"/>
  <c r="V469" i="42"/>
  <c r="W469" i="42"/>
  <c r="X469" i="42"/>
  <c r="V470" i="42"/>
  <c r="W470" i="42"/>
  <c r="X470" i="42"/>
  <c r="V471" i="42"/>
  <c r="W471" i="42"/>
  <c r="X471" i="42"/>
  <c r="V472" i="42"/>
  <c r="W472" i="42"/>
  <c r="X472" i="42"/>
  <c r="V473" i="42"/>
  <c r="W473" i="42"/>
  <c r="X473" i="42"/>
  <c r="V474" i="42"/>
  <c r="W474" i="42"/>
  <c r="X474" i="42"/>
  <c r="V475" i="42"/>
  <c r="W475" i="42"/>
  <c r="X475" i="42"/>
  <c r="V476" i="42"/>
  <c r="W476" i="42"/>
  <c r="X476" i="42"/>
  <c r="V477" i="42"/>
  <c r="W477" i="42"/>
  <c r="X477" i="42"/>
  <c r="V478" i="42"/>
  <c r="W478" i="42"/>
  <c r="X478" i="42"/>
  <c r="V479" i="42"/>
  <c r="W479" i="42"/>
  <c r="X479" i="42"/>
  <c r="V480" i="42"/>
  <c r="W480" i="42"/>
  <c r="X480" i="42"/>
  <c r="V481" i="42"/>
  <c r="W481" i="42"/>
  <c r="X481" i="42"/>
  <c r="V482" i="42"/>
  <c r="W482" i="42"/>
  <c r="X482" i="42"/>
  <c r="V483" i="42"/>
  <c r="W483" i="42"/>
  <c r="X483" i="42"/>
  <c r="V484" i="42"/>
  <c r="W484" i="42"/>
  <c r="X484" i="42"/>
  <c r="V485" i="42"/>
  <c r="W485" i="42"/>
  <c r="X485" i="42"/>
  <c r="V486" i="42"/>
  <c r="W486" i="42"/>
  <c r="X486" i="42"/>
  <c r="V487" i="42"/>
  <c r="W487" i="42"/>
  <c r="X487" i="42"/>
  <c r="V488" i="42"/>
  <c r="W488" i="42"/>
  <c r="X488" i="42"/>
  <c r="V489" i="42"/>
  <c r="W489" i="42"/>
  <c r="X489" i="42"/>
  <c r="V490" i="42"/>
  <c r="W490" i="42"/>
  <c r="X490" i="42"/>
  <c r="V491" i="42"/>
  <c r="W491" i="42"/>
  <c r="X491" i="42"/>
  <c r="V492" i="42"/>
  <c r="W492" i="42"/>
  <c r="X492" i="42"/>
  <c r="V493" i="42"/>
  <c r="W493" i="42"/>
  <c r="X493" i="42"/>
  <c r="V494" i="42"/>
  <c r="W494" i="42"/>
  <c r="X494" i="42"/>
  <c r="V495" i="42"/>
  <c r="W495" i="42"/>
  <c r="X495" i="42"/>
  <c r="V496" i="42"/>
  <c r="W496" i="42"/>
  <c r="X496" i="42"/>
  <c r="V497" i="42"/>
  <c r="W497" i="42"/>
  <c r="X497" i="42"/>
  <c r="V498" i="42"/>
  <c r="W498" i="42"/>
  <c r="X498" i="42"/>
  <c r="V499" i="42"/>
  <c r="W499" i="42"/>
  <c r="X499" i="42"/>
  <c r="V500" i="42"/>
  <c r="W500" i="42"/>
  <c r="X500" i="42"/>
  <c r="V501" i="42"/>
  <c r="W501" i="42"/>
  <c r="X501" i="42"/>
  <c r="V502" i="42"/>
  <c r="W502" i="42"/>
  <c r="X502" i="42"/>
  <c r="V503" i="42"/>
  <c r="W503" i="42"/>
  <c r="X503" i="42"/>
  <c r="V504" i="42"/>
  <c r="W504" i="42"/>
  <c r="X504" i="42"/>
  <c r="V505" i="42"/>
  <c r="W505" i="42"/>
  <c r="X505" i="42"/>
  <c r="V506" i="42"/>
  <c r="W506" i="42"/>
  <c r="X506" i="42"/>
  <c r="V507" i="42"/>
  <c r="W507" i="42"/>
  <c r="X507" i="42"/>
  <c r="V508" i="42"/>
  <c r="W508" i="42"/>
  <c r="X508" i="42"/>
  <c r="V509" i="42"/>
  <c r="W509" i="42"/>
  <c r="X509" i="42"/>
  <c r="V510" i="42"/>
  <c r="W510" i="42"/>
  <c r="X510" i="42"/>
  <c r="V511" i="42"/>
  <c r="W511" i="42"/>
  <c r="X511" i="42"/>
  <c r="V512" i="42"/>
  <c r="W512" i="42"/>
  <c r="X512" i="42"/>
  <c r="V513" i="42"/>
  <c r="W513" i="42"/>
  <c r="X513" i="42"/>
  <c r="V514" i="42"/>
  <c r="W514" i="42"/>
  <c r="X514" i="42"/>
  <c r="V515" i="42"/>
  <c r="W515" i="42"/>
  <c r="X515" i="42"/>
  <c r="V516" i="42"/>
  <c r="W516" i="42"/>
  <c r="X516" i="42"/>
  <c r="V517" i="42"/>
  <c r="W517" i="42"/>
  <c r="X517" i="42"/>
  <c r="V518" i="42"/>
  <c r="W518" i="42"/>
  <c r="X518" i="42"/>
  <c r="V519" i="42"/>
  <c r="W519" i="42"/>
  <c r="X519" i="42"/>
  <c r="V520" i="42"/>
  <c r="W520" i="42"/>
  <c r="X520" i="42"/>
  <c r="V521" i="42"/>
  <c r="W521" i="42"/>
  <c r="X521" i="42"/>
  <c r="V522" i="42"/>
  <c r="W522" i="42"/>
  <c r="X522" i="42"/>
  <c r="V523" i="42"/>
  <c r="W523" i="42"/>
  <c r="X523" i="42"/>
  <c r="V524" i="42"/>
  <c r="W524" i="42"/>
  <c r="X524" i="42"/>
  <c r="V525" i="42"/>
  <c r="W525" i="42"/>
  <c r="X525" i="42"/>
  <c r="V526" i="42"/>
  <c r="W526" i="42"/>
  <c r="X526" i="42"/>
  <c r="X18" i="42"/>
  <c r="W18" i="42"/>
  <c r="V18" i="42"/>
  <c r="AS682" i="14" l="1"/>
  <c r="AR682" i="14"/>
  <c r="AR681" i="14"/>
  <c r="AR680" i="14"/>
  <c r="AR679" i="14"/>
  <c r="AS678" i="14"/>
  <c r="AR678" i="14"/>
  <c r="AS677" i="14"/>
  <c r="AR677" i="14"/>
  <c r="AS676" i="14"/>
  <c r="AR676" i="14"/>
  <c r="AR675" i="14"/>
  <c r="AR674" i="14"/>
  <c r="AR673" i="14"/>
  <c r="AS672" i="14"/>
  <c r="AR672" i="14"/>
  <c r="AS671" i="14"/>
  <c r="AR671" i="14"/>
  <c r="AS670" i="14"/>
  <c r="AR670" i="14"/>
  <c r="AR669" i="14"/>
  <c r="AR668" i="14"/>
  <c r="AR667" i="14"/>
  <c r="AS666" i="14"/>
  <c r="AR666" i="14"/>
  <c r="AS665" i="14"/>
  <c r="AR665" i="14"/>
  <c r="AS664" i="14"/>
  <c r="AR664" i="14"/>
  <c r="AR663" i="14"/>
  <c r="AR662" i="14"/>
  <c r="AR661" i="14"/>
  <c r="AS660" i="14"/>
  <c r="AR660" i="14"/>
  <c r="AS659" i="14"/>
  <c r="AR659" i="14"/>
  <c r="AS658" i="14"/>
  <c r="AR658" i="14"/>
  <c r="AR657" i="14"/>
  <c r="AR656" i="14"/>
  <c r="AR655" i="14"/>
  <c r="AS654" i="14"/>
  <c r="AR654" i="14"/>
  <c r="AS653" i="14"/>
  <c r="AR653" i="14"/>
  <c r="AS652" i="14"/>
  <c r="AR652" i="14"/>
  <c r="AR651" i="14"/>
  <c r="AR650" i="14"/>
  <c r="AR649" i="14"/>
  <c r="AS648" i="14"/>
  <c r="AR648" i="14"/>
  <c r="AS647" i="14"/>
  <c r="AR647" i="14"/>
  <c r="AS646" i="14"/>
  <c r="AR646" i="14"/>
  <c r="AR645" i="14"/>
  <c r="AR644" i="14"/>
  <c r="AR643" i="14"/>
  <c r="AS642" i="14"/>
  <c r="AR642" i="14"/>
  <c r="AS641" i="14"/>
  <c r="AR641" i="14"/>
  <c r="AS640" i="14"/>
  <c r="AR640" i="14"/>
  <c r="AR639" i="14"/>
  <c r="AR638" i="14"/>
  <c r="AR637" i="14"/>
  <c r="AS636" i="14"/>
  <c r="AR636" i="14"/>
  <c r="AS635" i="14"/>
  <c r="AR635" i="14"/>
  <c r="AS634" i="14"/>
  <c r="AR634" i="14"/>
  <c r="AR633" i="14"/>
  <c r="AR632" i="14"/>
  <c r="AR631" i="14"/>
  <c r="AS630" i="14"/>
  <c r="AR630" i="14"/>
  <c r="AS629" i="14"/>
  <c r="AR629" i="14"/>
  <c r="AS628" i="14"/>
  <c r="AR628" i="14"/>
  <c r="AR627" i="14"/>
  <c r="AR626" i="14"/>
  <c r="AR625" i="14"/>
  <c r="AS624" i="14"/>
  <c r="AR624" i="14"/>
  <c r="AS623" i="14"/>
  <c r="AR623" i="14"/>
  <c r="AS622" i="14"/>
  <c r="AR622" i="14"/>
  <c r="AR621" i="14"/>
  <c r="AR620" i="14"/>
  <c r="AR619" i="14"/>
  <c r="AS618" i="14"/>
  <c r="AR618" i="14"/>
  <c r="AS617" i="14"/>
  <c r="AR617" i="14"/>
  <c r="AS616" i="14"/>
  <c r="AR616" i="14"/>
  <c r="AR615" i="14"/>
  <c r="AR614" i="14"/>
  <c r="AR613" i="14"/>
  <c r="AS612" i="14"/>
  <c r="AR612" i="14"/>
  <c r="AS611" i="14"/>
  <c r="AR611" i="14"/>
  <c r="AS610" i="14"/>
  <c r="AR610" i="14"/>
  <c r="AR609" i="14"/>
  <c r="AR608" i="14"/>
  <c r="AR607" i="14"/>
  <c r="AS606" i="14"/>
  <c r="AR606" i="14"/>
  <c r="AS605" i="14"/>
  <c r="AR605" i="14"/>
  <c r="AS604" i="14"/>
  <c r="AR604" i="14"/>
  <c r="AR603" i="14"/>
  <c r="AR602" i="14"/>
  <c r="AR601" i="14"/>
  <c r="AS600" i="14"/>
  <c r="AR600" i="14"/>
  <c r="AS599" i="14"/>
  <c r="AR599" i="14"/>
  <c r="AS598" i="14"/>
  <c r="AR598" i="14"/>
  <c r="AR597" i="14"/>
  <c r="AR596" i="14"/>
  <c r="AR595" i="14"/>
  <c r="AS594" i="14"/>
  <c r="AR594" i="14"/>
  <c r="AS593" i="14"/>
  <c r="AR593" i="14"/>
  <c r="AS592" i="14"/>
  <c r="AR592" i="14"/>
  <c r="AR591" i="14"/>
  <c r="AR590" i="14"/>
  <c r="AR589" i="14"/>
  <c r="AS588" i="14"/>
  <c r="AR588" i="14"/>
  <c r="AS587" i="14"/>
  <c r="AR587" i="14"/>
  <c r="AS586" i="14"/>
  <c r="AR586" i="14"/>
  <c r="AR585" i="14"/>
  <c r="AR584" i="14"/>
  <c r="AR583" i="14"/>
  <c r="AS582" i="14"/>
  <c r="AR582" i="14"/>
  <c r="AS581" i="14"/>
  <c r="AR581" i="14"/>
  <c r="AS580" i="14"/>
  <c r="AR580" i="14"/>
  <c r="AR579" i="14"/>
  <c r="AR578" i="14"/>
  <c r="AR577" i="14"/>
  <c r="AS576" i="14"/>
  <c r="AR576" i="14"/>
  <c r="AS575" i="14"/>
  <c r="AR575" i="14"/>
  <c r="AS574" i="14"/>
  <c r="AR574" i="14"/>
  <c r="AR573" i="14"/>
  <c r="AR572" i="14"/>
  <c r="AR571" i="14"/>
  <c r="AS570" i="14"/>
  <c r="AR570" i="14"/>
  <c r="AS569" i="14"/>
  <c r="AR569" i="14"/>
  <c r="AS568" i="14"/>
  <c r="AR568" i="14"/>
  <c r="AR567" i="14"/>
  <c r="AR566" i="14"/>
  <c r="AR565" i="14"/>
  <c r="AS564" i="14"/>
  <c r="AR564" i="14"/>
  <c r="AS563" i="14"/>
  <c r="AR563" i="14"/>
  <c r="AS562" i="14"/>
  <c r="AR562" i="14"/>
  <c r="AR561" i="14"/>
  <c r="AR560" i="14"/>
  <c r="AR559" i="14"/>
  <c r="AS558" i="14"/>
  <c r="AR558" i="14"/>
  <c r="AS557" i="14"/>
  <c r="AR557" i="14"/>
  <c r="AS556" i="14"/>
  <c r="AR556" i="14"/>
  <c r="AR555" i="14"/>
  <c r="AR554" i="14"/>
  <c r="AR553" i="14"/>
  <c r="AS552" i="14"/>
  <c r="AR552" i="14"/>
  <c r="AS551" i="14"/>
  <c r="AR551" i="14"/>
  <c r="AS550" i="14"/>
  <c r="AR550" i="14"/>
  <c r="AR549" i="14"/>
  <c r="AR548" i="14"/>
  <c r="AR547" i="14"/>
  <c r="AS546" i="14"/>
  <c r="AR546" i="14"/>
  <c r="AS545" i="14"/>
  <c r="AR545" i="14"/>
  <c r="AS544" i="14"/>
  <c r="AR544" i="14"/>
  <c r="AR543" i="14"/>
  <c r="AR542" i="14"/>
  <c r="AR541" i="14"/>
  <c r="AS540" i="14"/>
  <c r="AR540" i="14"/>
  <c r="AS539" i="14"/>
  <c r="AR539" i="14"/>
  <c r="AS538" i="14"/>
  <c r="AR538" i="14"/>
  <c r="AR537" i="14"/>
  <c r="AR536" i="14"/>
  <c r="AR535" i="14"/>
  <c r="AS534" i="14"/>
  <c r="AR534" i="14"/>
  <c r="AS533" i="14"/>
  <c r="AR533" i="14"/>
  <c r="AS532" i="14"/>
  <c r="AR532" i="14"/>
  <c r="AR531" i="14"/>
  <c r="AR530" i="14"/>
  <c r="AR529" i="14"/>
  <c r="AS528" i="14"/>
  <c r="AR528" i="14"/>
  <c r="AS527" i="14"/>
  <c r="AR527" i="14"/>
  <c r="AS526" i="14"/>
  <c r="AR526" i="14"/>
  <c r="AR525" i="14"/>
  <c r="AR524" i="14"/>
  <c r="AR523" i="14"/>
  <c r="AS522" i="14"/>
  <c r="AR522" i="14"/>
  <c r="AS521" i="14"/>
  <c r="AR521" i="14"/>
  <c r="AS520" i="14"/>
  <c r="AR520" i="14"/>
  <c r="AR519" i="14"/>
  <c r="AR518" i="14"/>
  <c r="AR517" i="14"/>
  <c r="AS516" i="14"/>
  <c r="AR516" i="14"/>
  <c r="AS515" i="14"/>
  <c r="AR515" i="14"/>
  <c r="AS514" i="14"/>
  <c r="AR514" i="14"/>
  <c r="AR513" i="14"/>
  <c r="AR512" i="14"/>
  <c r="AR511" i="14"/>
  <c r="AS510" i="14"/>
  <c r="AR510" i="14"/>
  <c r="AS509" i="14"/>
  <c r="AR509" i="14"/>
  <c r="AS508" i="14"/>
  <c r="AR508" i="14"/>
  <c r="AR507" i="14"/>
  <c r="AR506" i="14"/>
  <c r="AR505" i="14"/>
  <c r="AS504" i="14"/>
  <c r="AR504" i="14"/>
  <c r="AS503" i="14"/>
  <c r="AR503" i="14"/>
  <c r="AS502" i="14"/>
  <c r="AR502" i="14"/>
  <c r="AR501" i="14"/>
  <c r="AR500" i="14"/>
  <c r="AR499" i="14"/>
  <c r="AS498" i="14"/>
  <c r="AR498" i="14"/>
  <c r="AS497" i="14"/>
  <c r="AR497" i="14"/>
  <c r="AS496" i="14"/>
  <c r="AR496" i="14"/>
  <c r="AR495" i="14"/>
  <c r="AR494" i="14"/>
  <c r="AR493" i="14"/>
  <c r="AS492" i="14"/>
  <c r="AR492" i="14"/>
  <c r="AS491" i="14"/>
  <c r="AR491" i="14"/>
  <c r="AS490" i="14"/>
  <c r="AR490" i="14"/>
  <c r="AR489" i="14"/>
  <c r="AR488" i="14"/>
  <c r="AR487" i="14"/>
  <c r="AS486" i="14"/>
  <c r="AR486" i="14"/>
  <c r="AS485" i="14"/>
  <c r="AR485" i="14"/>
  <c r="AS484" i="14"/>
  <c r="AR484" i="14"/>
  <c r="AR483" i="14"/>
  <c r="AR482" i="14"/>
  <c r="AR481" i="14"/>
  <c r="AS480" i="14"/>
  <c r="AR480" i="14"/>
  <c r="AS479" i="14"/>
  <c r="AR479" i="14"/>
  <c r="AS478" i="14"/>
  <c r="AR478" i="14"/>
  <c r="AR477" i="14"/>
  <c r="AR476" i="14"/>
  <c r="AR475" i="14"/>
  <c r="AS474" i="14"/>
  <c r="AR474" i="14"/>
  <c r="AS473" i="14"/>
  <c r="AR473" i="14"/>
  <c r="AS472" i="14"/>
  <c r="AR472" i="14"/>
  <c r="AR471" i="14"/>
  <c r="AR470" i="14"/>
  <c r="AR469" i="14"/>
  <c r="AS468" i="14"/>
  <c r="AR468" i="14"/>
  <c r="AS467" i="14"/>
  <c r="AR467" i="14"/>
  <c r="AS466" i="14"/>
  <c r="AR466" i="14"/>
  <c r="AR465" i="14"/>
  <c r="AR464" i="14"/>
  <c r="AR463" i="14"/>
  <c r="AS462" i="14"/>
  <c r="AR462" i="14"/>
  <c r="AS461" i="14"/>
  <c r="AR461" i="14"/>
  <c r="AS460" i="14"/>
  <c r="AR460" i="14"/>
  <c r="AR459" i="14"/>
  <c r="AR458" i="14"/>
  <c r="AR457" i="14"/>
  <c r="AS456" i="14"/>
  <c r="AR456" i="14"/>
  <c r="AS455" i="14"/>
  <c r="AR455" i="14"/>
  <c r="AS454" i="14"/>
  <c r="AR454" i="14"/>
  <c r="AR453" i="14"/>
  <c r="AR452" i="14"/>
  <c r="AR451" i="14"/>
  <c r="AS450" i="14"/>
  <c r="AR450" i="14"/>
  <c r="AS449" i="14"/>
  <c r="AR449" i="14"/>
  <c r="AS448" i="14"/>
  <c r="AR448" i="14"/>
  <c r="AR447" i="14"/>
  <c r="AR446" i="14"/>
  <c r="AR445" i="14"/>
  <c r="AS444" i="14"/>
  <c r="AR444" i="14"/>
  <c r="AS443" i="14"/>
  <c r="AR443" i="14"/>
  <c r="AS442" i="14"/>
  <c r="AR442" i="14"/>
  <c r="AR441" i="14"/>
  <c r="AR440" i="14"/>
  <c r="AR439" i="14"/>
  <c r="AS438" i="14"/>
  <c r="AR438" i="14"/>
  <c r="AS437" i="14"/>
  <c r="AR437" i="14"/>
  <c r="AS436" i="14"/>
  <c r="AR436" i="14"/>
  <c r="AR435" i="14"/>
  <c r="AR434" i="14"/>
  <c r="AR433" i="14"/>
  <c r="AS432" i="14"/>
  <c r="AR432" i="14"/>
  <c r="AS431" i="14"/>
  <c r="AR431" i="14"/>
  <c r="AS430" i="14"/>
  <c r="AR430" i="14"/>
  <c r="AR429" i="14"/>
  <c r="AR428" i="14"/>
  <c r="AR427" i="14"/>
  <c r="AS426" i="14"/>
  <c r="AR426" i="14"/>
  <c r="AS425" i="14"/>
  <c r="AR425" i="14"/>
  <c r="AS424" i="14"/>
  <c r="AR424" i="14"/>
  <c r="AR423" i="14"/>
  <c r="AR422" i="14"/>
  <c r="AR421" i="14"/>
  <c r="AS420" i="14"/>
  <c r="AR420" i="14"/>
  <c r="AS419" i="14"/>
  <c r="AR419" i="14"/>
  <c r="AS418" i="14"/>
  <c r="AR418" i="14"/>
  <c r="AR417" i="14"/>
  <c r="AR416" i="14"/>
  <c r="AR415" i="14"/>
  <c r="AS414" i="14"/>
  <c r="AR414" i="14"/>
  <c r="AS413" i="14"/>
  <c r="AR413" i="14"/>
  <c r="AS412" i="14"/>
  <c r="AR412" i="14"/>
  <c r="AR411" i="14"/>
  <c r="AR410" i="14"/>
  <c r="AR409" i="14"/>
  <c r="AS408" i="14"/>
  <c r="AR408" i="14"/>
  <c r="AS407" i="14"/>
  <c r="AR407" i="14"/>
  <c r="AS406" i="14"/>
  <c r="AR406" i="14"/>
  <c r="AR405" i="14"/>
  <c r="AR404" i="14"/>
  <c r="AR403" i="14"/>
  <c r="AS402" i="14"/>
  <c r="AR402" i="14"/>
  <c r="AS401" i="14"/>
  <c r="AR401" i="14"/>
  <c r="AS400" i="14"/>
  <c r="AR400" i="14"/>
  <c r="AR399" i="14"/>
  <c r="AR398" i="14"/>
  <c r="AR397" i="14"/>
  <c r="AS396" i="14"/>
  <c r="AR396" i="14"/>
  <c r="AS395" i="14"/>
  <c r="AR395" i="14"/>
  <c r="AS394" i="14"/>
  <c r="AR394" i="14"/>
  <c r="AR393" i="14"/>
  <c r="AR392" i="14"/>
  <c r="AR391" i="14"/>
  <c r="AS390" i="14"/>
  <c r="AR390" i="14"/>
  <c r="AS389" i="14"/>
  <c r="AR389" i="14"/>
  <c r="AS388" i="14"/>
  <c r="AR388" i="14"/>
  <c r="AR387" i="14"/>
  <c r="AR386" i="14"/>
  <c r="AR385" i="14"/>
  <c r="AS384" i="14"/>
  <c r="AR384" i="14"/>
  <c r="AS383" i="14"/>
  <c r="AR383" i="14"/>
  <c r="AS382" i="14"/>
  <c r="AR382" i="14"/>
  <c r="AR381" i="14"/>
  <c r="AR380" i="14"/>
  <c r="AR379" i="14"/>
  <c r="AS378" i="14"/>
  <c r="AR378" i="14"/>
  <c r="AS377" i="14"/>
  <c r="AR377" i="14"/>
  <c r="AS376" i="14"/>
  <c r="AR376" i="14"/>
  <c r="AR375" i="14"/>
  <c r="AR374" i="14"/>
  <c r="AR373" i="14"/>
  <c r="AS372" i="14"/>
  <c r="AR372" i="14"/>
  <c r="AS371" i="14"/>
  <c r="AR371" i="14"/>
  <c r="AS370" i="14"/>
  <c r="AR370" i="14"/>
  <c r="AR369" i="14"/>
  <c r="AR368" i="14"/>
  <c r="AR367" i="14"/>
  <c r="AS366" i="14"/>
  <c r="AR366" i="14"/>
  <c r="AS365" i="14"/>
  <c r="AR365" i="14"/>
  <c r="AS364" i="14"/>
  <c r="AR364" i="14"/>
  <c r="AR363" i="14"/>
  <c r="AR362" i="14"/>
  <c r="AR361" i="14"/>
  <c r="AS360" i="14"/>
  <c r="AR360" i="14"/>
  <c r="AS359" i="14"/>
  <c r="AR359" i="14"/>
  <c r="AS358" i="14"/>
  <c r="AR358" i="14"/>
  <c r="AR357" i="14"/>
  <c r="AR356" i="14"/>
  <c r="AR355" i="14"/>
  <c r="AS354" i="14"/>
  <c r="AR354" i="14"/>
  <c r="AS353" i="14"/>
  <c r="AR353" i="14"/>
  <c r="AS352" i="14"/>
  <c r="AR352" i="14"/>
  <c r="AR351" i="14"/>
  <c r="AR350" i="14"/>
  <c r="AR349" i="14"/>
  <c r="AS348" i="14"/>
  <c r="AR348" i="14"/>
  <c r="AS347" i="14"/>
  <c r="AR347" i="14"/>
  <c r="AS346" i="14"/>
  <c r="AR346" i="14"/>
  <c r="AR345" i="14"/>
  <c r="AR344" i="14"/>
  <c r="AR343" i="14"/>
  <c r="AS342" i="14"/>
  <c r="AR342" i="14"/>
  <c r="AS341" i="14"/>
  <c r="AR341" i="14"/>
  <c r="AS340" i="14"/>
  <c r="AR340" i="14"/>
  <c r="AR339" i="14"/>
  <c r="AR338" i="14"/>
  <c r="AR337" i="14"/>
  <c r="AS336" i="14"/>
  <c r="AR336" i="14"/>
  <c r="AS335" i="14"/>
  <c r="AR335" i="14"/>
  <c r="AS334" i="14"/>
  <c r="AR334" i="14"/>
  <c r="AR333" i="14"/>
  <c r="AR332" i="14"/>
  <c r="AR331" i="14"/>
  <c r="AS330" i="14"/>
  <c r="AR330" i="14"/>
  <c r="AS329" i="14"/>
  <c r="AR329" i="14"/>
  <c r="AS328" i="14"/>
  <c r="AR328" i="14"/>
  <c r="AR327" i="14"/>
  <c r="AR326" i="14"/>
  <c r="AR325" i="14"/>
  <c r="AS324" i="14"/>
  <c r="AR324" i="14"/>
  <c r="AS323" i="14"/>
  <c r="AR323" i="14"/>
  <c r="AS322" i="14"/>
  <c r="AR322" i="14"/>
  <c r="AR321" i="14"/>
  <c r="AR320" i="14"/>
  <c r="AR319" i="14"/>
  <c r="AS318" i="14"/>
  <c r="AR318" i="14"/>
  <c r="AS317" i="14"/>
  <c r="AR317" i="14"/>
  <c r="AS316" i="14"/>
  <c r="AR316" i="14"/>
  <c r="AR315" i="14"/>
  <c r="AR314" i="14"/>
  <c r="AR313" i="14"/>
  <c r="AS312" i="14"/>
  <c r="AR312" i="14"/>
  <c r="AS311" i="14"/>
  <c r="AR311" i="14"/>
  <c r="AS310" i="14"/>
  <c r="AR310" i="14"/>
  <c r="AR309" i="14"/>
  <c r="AR308" i="14"/>
  <c r="AR307" i="14"/>
  <c r="AS306" i="14"/>
  <c r="AR306" i="14"/>
  <c r="AS305" i="14"/>
  <c r="AR305" i="14"/>
  <c r="AS304" i="14"/>
  <c r="AR304" i="14"/>
  <c r="AR303" i="14"/>
  <c r="AR302" i="14"/>
  <c r="AR301" i="14"/>
  <c r="AS300" i="14"/>
  <c r="AR300" i="14"/>
  <c r="AS299" i="14"/>
  <c r="AR299" i="14"/>
  <c r="AS298" i="14"/>
  <c r="AR298" i="14"/>
  <c r="AR297" i="14"/>
  <c r="AR296" i="14"/>
  <c r="AR295" i="14"/>
  <c r="AS294" i="14"/>
  <c r="AR294" i="14"/>
  <c r="AS293" i="14"/>
  <c r="AR293" i="14"/>
  <c r="AS292" i="14"/>
  <c r="AR292" i="14"/>
  <c r="AR291" i="14"/>
  <c r="AR290" i="14"/>
  <c r="AR289" i="14"/>
  <c r="AS288" i="14"/>
  <c r="AR288" i="14"/>
  <c r="AS287" i="14"/>
  <c r="AR287" i="14"/>
  <c r="AS286" i="14"/>
  <c r="AR286" i="14"/>
  <c r="AR285" i="14"/>
  <c r="AR284" i="14"/>
  <c r="AR283" i="14"/>
  <c r="AS282" i="14"/>
  <c r="AR282" i="14"/>
  <c r="AS281" i="14"/>
  <c r="AR281" i="14"/>
  <c r="AS280" i="14"/>
  <c r="AR280" i="14"/>
  <c r="AR279" i="14"/>
  <c r="AR278" i="14"/>
  <c r="AR277" i="14"/>
  <c r="AS276" i="14"/>
  <c r="AR276" i="14"/>
  <c r="AS275" i="14"/>
  <c r="AR275" i="14"/>
  <c r="AS274" i="14"/>
  <c r="AR274" i="14"/>
  <c r="AR273" i="14"/>
  <c r="AR272" i="14"/>
  <c r="AR271" i="14"/>
  <c r="AS270" i="14"/>
  <c r="AR270" i="14"/>
  <c r="AS269" i="14"/>
  <c r="AR269" i="14"/>
  <c r="AS268" i="14"/>
  <c r="AR268" i="14"/>
  <c r="AR267" i="14"/>
  <c r="AR266" i="14"/>
  <c r="AR265" i="14"/>
  <c r="AS264" i="14"/>
  <c r="AR264" i="14"/>
  <c r="AS263" i="14"/>
  <c r="AR263" i="14"/>
  <c r="AS262" i="14"/>
  <c r="AR262" i="14"/>
  <c r="AR261" i="14"/>
  <c r="AR260" i="14"/>
  <c r="AR259" i="14"/>
  <c r="AS258" i="14"/>
  <c r="AR258" i="14"/>
  <c r="AS257" i="14"/>
  <c r="AR257" i="14"/>
  <c r="AS256" i="14"/>
  <c r="AR256" i="14"/>
  <c r="AR255" i="14"/>
  <c r="AR254" i="14"/>
  <c r="AR253" i="14"/>
  <c r="AS252" i="14"/>
  <c r="AR252" i="14"/>
  <c r="AS251" i="14"/>
  <c r="AR251" i="14"/>
  <c r="AS250" i="14"/>
  <c r="AR250" i="14"/>
  <c r="AR249" i="14"/>
  <c r="AR248" i="14"/>
  <c r="AR247" i="14"/>
  <c r="AS246" i="14"/>
  <c r="AR246" i="14"/>
  <c r="AS245" i="14"/>
  <c r="AR245" i="14"/>
  <c r="AS244" i="14"/>
  <c r="AR244" i="14"/>
  <c r="AR243" i="14"/>
  <c r="AR242" i="14"/>
  <c r="AR241" i="14"/>
  <c r="AS240" i="14"/>
  <c r="AR240" i="14"/>
  <c r="AS239" i="14"/>
  <c r="AR239" i="14"/>
  <c r="AS238" i="14"/>
  <c r="AR238" i="14"/>
  <c r="AR237" i="14"/>
  <c r="AR236" i="14"/>
  <c r="AR235" i="14"/>
  <c r="AS234" i="14"/>
  <c r="AR234" i="14"/>
  <c r="AS233" i="14"/>
  <c r="AR233" i="14"/>
  <c r="AS232" i="14"/>
  <c r="AR232" i="14"/>
  <c r="AR231" i="14"/>
  <c r="AR230" i="14"/>
  <c r="AR229" i="14"/>
  <c r="AS228" i="14"/>
  <c r="AR228" i="14"/>
  <c r="AS227" i="14"/>
  <c r="AR227" i="14"/>
  <c r="AS226" i="14"/>
  <c r="AR226" i="14"/>
  <c r="AR225" i="14"/>
  <c r="AR224" i="14"/>
  <c r="AR223" i="14"/>
  <c r="AS222" i="14"/>
  <c r="AR222" i="14"/>
  <c r="AS221" i="14"/>
  <c r="AR221" i="14"/>
  <c r="AS220" i="14"/>
  <c r="AR220" i="14"/>
  <c r="AR219" i="14"/>
  <c r="AR218" i="14"/>
  <c r="AR217" i="14"/>
  <c r="AS216" i="14"/>
  <c r="AR216" i="14"/>
  <c r="AS215" i="14"/>
  <c r="AR215" i="14"/>
  <c r="AS214" i="14"/>
  <c r="AR214" i="14"/>
  <c r="AR213" i="14"/>
  <c r="AR212" i="14"/>
  <c r="AR211" i="14"/>
  <c r="AS210" i="14"/>
  <c r="AR210" i="14"/>
  <c r="AS209" i="14"/>
  <c r="AR209" i="14"/>
  <c r="AS208" i="14"/>
  <c r="AR208" i="14"/>
  <c r="AR207" i="14"/>
  <c r="AR206" i="14"/>
  <c r="AR205" i="14"/>
  <c r="AS204" i="14"/>
  <c r="AR204" i="14"/>
  <c r="AS203" i="14"/>
  <c r="AR203" i="14"/>
  <c r="AS202" i="14"/>
  <c r="AR202" i="14"/>
  <c r="AR201" i="14"/>
  <c r="AR200" i="14"/>
  <c r="AR199" i="14"/>
  <c r="AS198" i="14"/>
  <c r="AR198" i="14"/>
  <c r="AS197" i="14"/>
  <c r="AR197" i="14"/>
  <c r="AS196" i="14"/>
  <c r="AR196" i="14"/>
  <c r="AR195" i="14"/>
  <c r="AR194" i="14"/>
  <c r="AR193" i="14"/>
  <c r="AS192" i="14"/>
  <c r="AR192" i="14"/>
  <c r="AS191" i="14"/>
  <c r="AR191" i="14"/>
  <c r="AS190" i="14"/>
  <c r="AR190" i="14"/>
  <c r="AR189" i="14"/>
  <c r="AR188" i="14"/>
  <c r="AR187" i="14"/>
  <c r="AS186" i="14"/>
  <c r="AR186" i="14"/>
  <c r="AS185" i="14"/>
  <c r="AR185" i="14"/>
  <c r="AS184" i="14"/>
  <c r="AR184" i="14"/>
  <c r="AR183" i="14"/>
  <c r="AR182" i="14"/>
  <c r="AR181" i="14"/>
  <c r="AS180" i="14"/>
  <c r="AR180" i="14"/>
  <c r="AS179" i="14"/>
  <c r="AR179" i="14"/>
  <c r="AS178" i="14"/>
  <c r="AR178" i="14"/>
  <c r="AR177" i="14"/>
  <c r="AR176" i="14"/>
  <c r="AR175" i="14"/>
  <c r="AS174" i="14"/>
  <c r="AR174" i="14"/>
  <c r="AS173" i="14"/>
  <c r="AR173" i="14"/>
  <c r="AS172" i="14"/>
  <c r="AR172" i="14"/>
  <c r="AR171" i="14"/>
  <c r="AR170" i="14"/>
  <c r="AR169" i="14"/>
  <c r="AS168" i="14"/>
  <c r="AR168" i="14"/>
  <c r="AS167" i="14"/>
  <c r="AR167" i="14"/>
  <c r="AS166" i="14"/>
  <c r="AR166" i="14"/>
  <c r="AR165" i="14"/>
  <c r="AR164" i="14"/>
  <c r="AR163" i="14"/>
  <c r="AS162" i="14"/>
  <c r="AR162" i="14"/>
  <c r="AS161" i="14"/>
  <c r="AR161" i="14"/>
  <c r="AS160" i="14"/>
  <c r="AR160" i="14"/>
  <c r="AR159" i="14"/>
  <c r="AR158" i="14"/>
  <c r="AR157" i="14"/>
  <c r="AS156" i="14"/>
  <c r="AR156" i="14"/>
  <c r="AS155" i="14"/>
  <c r="AR155" i="14"/>
  <c r="AS154" i="14"/>
  <c r="AR154" i="14"/>
  <c r="AR153" i="14"/>
  <c r="AR152" i="14"/>
  <c r="AR151" i="14"/>
  <c r="AS150" i="14"/>
  <c r="AR150" i="14"/>
  <c r="AS149" i="14"/>
  <c r="AR149" i="14"/>
  <c r="AS148" i="14"/>
  <c r="AR148" i="14"/>
  <c r="AR147" i="14"/>
  <c r="AR146" i="14"/>
  <c r="AR145" i="14"/>
  <c r="AS144" i="14"/>
  <c r="AR144" i="14"/>
  <c r="AS143" i="14"/>
  <c r="AR143" i="14"/>
  <c r="AS142" i="14"/>
  <c r="AR142" i="14"/>
  <c r="AR141" i="14"/>
  <c r="AR140" i="14"/>
  <c r="AR139" i="14"/>
  <c r="AS138" i="14"/>
  <c r="AR138" i="14"/>
  <c r="AS137" i="14"/>
  <c r="AR137" i="14"/>
  <c r="AS136" i="14"/>
  <c r="AR136" i="14"/>
  <c r="AR135" i="14"/>
  <c r="AR134" i="14"/>
  <c r="AR133" i="14"/>
  <c r="AS132" i="14"/>
  <c r="AR132" i="14"/>
  <c r="AS131" i="14"/>
  <c r="AR131" i="14"/>
  <c r="AS130" i="14"/>
  <c r="AR130" i="14"/>
  <c r="AR129" i="14"/>
  <c r="AR128" i="14"/>
  <c r="AR127" i="14"/>
  <c r="AS126" i="14"/>
  <c r="AR126" i="14"/>
  <c r="AS125" i="14"/>
  <c r="AR125" i="14"/>
  <c r="AS124" i="14"/>
  <c r="AR124" i="14"/>
  <c r="AR123" i="14"/>
  <c r="AR122" i="14"/>
  <c r="AR121" i="14"/>
  <c r="AS120" i="14"/>
  <c r="AR120" i="14"/>
  <c r="AS119" i="14"/>
  <c r="AR119" i="14"/>
  <c r="AS118" i="14"/>
  <c r="AR118" i="14"/>
  <c r="AR117" i="14"/>
  <c r="AR116" i="14"/>
  <c r="AR115" i="14"/>
  <c r="AS114" i="14"/>
  <c r="AR114" i="14"/>
  <c r="AS113" i="14"/>
  <c r="AR113" i="14"/>
  <c r="AS112" i="14"/>
  <c r="AR112" i="14"/>
  <c r="AR111" i="14"/>
  <c r="AR110" i="14"/>
  <c r="AR109" i="14"/>
  <c r="AS108" i="14"/>
  <c r="AR108" i="14"/>
  <c r="AS107" i="14"/>
  <c r="AR107" i="14"/>
  <c r="AS106" i="14"/>
  <c r="AR106" i="14"/>
  <c r="AR105" i="14"/>
  <c r="AR104" i="14"/>
  <c r="AR103" i="14"/>
  <c r="AS102" i="14"/>
  <c r="AR102" i="14"/>
  <c r="AS101" i="14"/>
  <c r="AR101" i="14"/>
  <c r="AS100" i="14"/>
  <c r="AR100" i="14"/>
  <c r="AR99" i="14"/>
  <c r="AR98" i="14"/>
  <c r="AR97" i="14"/>
  <c r="AS96" i="14"/>
  <c r="AR96" i="14"/>
  <c r="AS95" i="14"/>
  <c r="AR95" i="14"/>
  <c r="AS94" i="14"/>
  <c r="AR94" i="14"/>
  <c r="AR93" i="14"/>
  <c r="AR92" i="14"/>
  <c r="AR91" i="14"/>
  <c r="AS90" i="14"/>
  <c r="AR90" i="14"/>
  <c r="AS89" i="14"/>
  <c r="AR89" i="14"/>
  <c r="AS88" i="14"/>
  <c r="AR88" i="14"/>
  <c r="AR87" i="14"/>
  <c r="AR86" i="14"/>
  <c r="AR85" i="14"/>
  <c r="AS84" i="14"/>
  <c r="AR84" i="14"/>
  <c r="AS83" i="14"/>
  <c r="AR83" i="14"/>
  <c r="AS82" i="14"/>
  <c r="AR82" i="14"/>
  <c r="AR81" i="14"/>
  <c r="AR80" i="14"/>
  <c r="AR79" i="14"/>
  <c r="AS78" i="14"/>
  <c r="AR78" i="14"/>
  <c r="AS77" i="14"/>
  <c r="AR77" i="14"/>
  <c r="AS76" i="14"/>
  <c r="AR76" i="14"/>
  <c r="AR75" i="14"/>
  <c r="AR74" i="14"/>
  <c r="AR73" i="14"/>
  <c r="AS72" i="14"/>
  <c r="AR72" i="14"/>
  <c r="AS71" i="14"/>
  <c r="AR71" i="14"/>
  <c r="AS70" i="14"/>
  <c r="AR70" i="14"/>
  <c r="AR69" i="14"/>
  <c r="AR68" i="14"/>
  <c r="AR67" i="14"/>
  <c r="AS66" i="14"/>
  <c r="AR66" i="14"/>
  <c r="AS65" i="14"/>
  <c r="AR65" i="14"/>
  <c r="AS64" i="14"/>
  <c r="AR64" i="14"/>
  <c r="AR63" i="14"/>
  <c r="AR62" i="14"/>
  <c r="AR61" i="14"/>
  <c r="AS60" i="14"/>
  <c r="AR60" i="14"/>
  <c r="AS59" i="14"/>
  <c r="AR59" i="14"/>
  <c r="AS58" i="14"/>
  <c r="AR58" i="14"/>
  <c r="AR57" i="14"/>
  <c r="AR56" i="14"/>
  <c r="AR55" i="14"/>
  <c r="AS54" i="14"/>
  <c r="AR54" i="14"/>
  <c r="AS53" i="14"/>
  <c r="AR53" i="14"/>
  <c r="AS52" i="14"/>
  <c r="AR52" i="14"/>
  <c r="AR51" i="14"/>
  <c r="AR50" i="14"/>
  <c r="AR49" i="14"/>
  <c r="AS48" i="14"/>
  <c r="AR48" i="14"/>
  <c r="AS47" i="14"/>
  <c r="AR47" i="14"/>
  <c r="AS46" i="14"/>
  <c r="AR46" i="14"/>
  <c r="AR45" i="14"/>
  <c r="AR44" i="14"/>
  <c r="AR43" i="14"/>
  <c r="AR42" i="14"/>
  <c r="AR41" i="14"/>
  <c r="AS42" i="14"/>
  <c r="AS41" i="14"/>
  <c r="AR36" i="14"/>
  <c r="AR37" i="14"/>
  <c r="AR38" i="14"/>
  <c r="AR39" i="14"/>
  <c r="AR40" i="14"/>
  <c r="AR35" i="14"/>
  <c r="AS40" i="14"/>
  <c r="AS35" i="14"/>
  <c r="BY678" i="14"/>
  <c r="BX678" i="14"/>
  <c r="O671" i="14" s="1"/>
  <c r="BX671" i="14"/>
  <c r="BY671" i="14" s="1"/>
  <c r="BY666" i="14"/>
  <c r="BX666" i="14"/>
  <c r="O659" i="14" s="1"/>
  <c r="BX659" i="14"/>
  <c r="BY659" i="14" s="1"/>
  <c r="BY654" i="14"/>
  <c r="BX654" i="14"/>
  <c r="O647" i="14" s="1"/>
  <c r="BX647" i="14"/>
  <c r="BY647" i="14" s="1"/>
  <c r="BY642" i="14"/>
  <c r="BX642" i="14"/>
  <c r="O635" i="14" s="1"/>
  <c r="BX635" i="14"/>
  <c r="BY635" i="14" s="1"/>
  <c r="BY630" i="14"/>
  <c r="BX630" i="14"/>
  <c r="O623" i="14" s="1"/>
  <c r="BX623" i="14"/>
  <c r="BY623" i="14" s="1"/>
  <c r="BY618" i="14"/>
  <c r="BX618" i="14"/>
  <c r="O611" i="14" s="1"/>
  <c r="BX611" i="14"/>
  <c r="BY611" i="14" s="1"/>
  <c r="BY606" i="14"/>
  <c r="BX606" i="14"/>
  <c r="O599" i="14" s="1"/>
  <c r="BX599" i="14"/>
  <c r="BY599" i="14" s="1"/>
  <c r="BY594" i="14"/>
  <c r="BX594" i="14"/>
  <c r="O587" i="14" s="1"/>
  <c r="BX587" i="14"/>
  <c r="BY587" i="14" s="1"/>
  <c r="BY582" i="14"/>
  <c r="BX582" i="14"/>
  <c r="O575" i="14" s="1"/>
  <c r="BX575" i="14"/>
  <c r="BY575" i="14" s="1"/>
  <c r="BY570" i="14"/>
  <c r="BX570" i="14"/>
  <c r="O563" i="14" s="1"/>
  <c r="BX563" i="14"/>
  <c r="BY563" i="14" s="1"/>
  <c r="BY558" i="14"/>
  <c r="BX558" i="14"/>
  <c r="O551" i="14" s="1"/>
  <c r="BX551" i="14"/>
  <c r="BY551" i="14" s="1"/>
  <c r="BY546" i="14"/>
  <c r="BX546" i="14"/>
  <c r="O539" i="14" s="1"/>
  <c r="BX539" i="14"/>
  <c r="BY539" i="14" s="1"/>
  <c r="BY534" i="14"/>
  <c r="BX534" i="14"/>
  <c r="O527" i="14" s="1"/>
  <c r="BX527" i="14"/>
  <c r="BY527" i="14" s="1"/>
  <c r="BY522" i="14"/>
  <c r="BX522" i="14"/>
  <c r="O515" i="14" s="1"/>
  <c r="BX515" i="14"/>
  <c r="BY515" i="14" s="1"/>
  <c r="BY510" i="14"/>
  <c r="BX510" i="14"/>
  <c r="O503" i="14" s="1"/>
  <c r="BX503" i="14"/>
  <c r="BY503" i="14" s="1"/>
  <c r="BY498" i="14"/>
  <c r="BX498" i="14"/>
  <c r="O491" i="14" s="1"/>
  <c r="BX491" i="14"/>
  <c r="BY491" i="14" s="1"/>
  <c r="BY486" i="14"/>
  <c r="BX486" i="14"/>
  <c r="O479" i="14" s="1"/>
  <c r="BX479" i="14"/>
  <c r="BY479" i="14" s="1"/>
  <c r="BY474" i="14"/>
  <c r="BX474" i="14"/>
  <c r="O467" i="14" s="1"/>
  <c r="BX467" i="14"/>
  <c r="BY467" i="14" s="1"/>
  <c r="BY462" i="14"/>
  <c r="BX462" i="14"/>
  <c r="O455" i="14" s="1"/>
  <c r="BX455" i="14"/>
  <c r="BY455" i="14" s="1"/>
  <c r="BY450" i="14"/>
  <c r="BX450" i="14"/>
  <c r="O443" i="14" s="1"/>
  <c r="BX443" i="14"/>
  <c r="BY443" i="14" s="1"/>
  <c r="BY438" i="14"/>
  <c r="BX438" i="14"/>
  <c r="O431" i="14" s="1"/>
  <c r="BX431" i="14"/>
  <c r="BY431" i="14" s="1"/>
  <c r="BY426" i="14"/>
  <c r="BX426" i="14"/>
  <c r="O419" i="14" s="1"/>
  <c r="BX419" i="14"/>
  <c r="BY419" i="14" s="1"/>
  <c r="BY414" i="14"/>
  <c r="BX414" i="14"/>
  <c r="O407" i="14" s="1"/>
  <c r="BX407" i="14"/>
  <c r="BY407" i="14" s="1"/>
  <c r="BY402" i="14"/>
  <c r="BX402" i="14"/>
  <c r="O395" i="14" s="1"/>
  <c r="BX395" i="14"/>
  <c r="BY395" i="14" s="1"/>
  <c r="BY390" i="14"/>
  <c r="BX390" i="14"/>
  <c r="O383" i="14" s="1"/>
  <c r="BX383" i="14"/>
  <c r="BY383" i="14" s="1"/>
  <c r="BY378" i="14"/>
  <c r="BX378" i="14"/>
  <c r="O371" i="14" s="1"/>
  <c r="BX371" i="14"/>
  <c r="BY371" i="14" s="1"/>
  <c r="BY366" i="14"/>
  <c r="BX366" i="14"/>
  <c r="O359" i="14" s="1"/>
  <c r="BX359" i="14"/>
  <c r="BY359" i="14" s="1"/>
  <c r="BY354" i="14"/>
  <c r="BX354" i="14"/>
  <c r="O347" i="14" s="1"/>
  <c r="BX347" i="14"/>
  <c r="BY347" i="14" s="1"/>
  <c r="BY342" i="14"/>
  <c r="BX342" i="14"/>
  <c r="O335" i="14" s="1"/>
  <c r="BX335" i="14"/>
  <c r="BY335" i="14" s="1"/>
  <c r="BY330" i="14"/>
  <c r="BX330" i="14"/>
  <c r="O323" i="14" s="1"/>
  <c r="BX323" i="14"/>
  <c r="BY323" i="14" s="1"/>
  <c r="BY318" i="14"/>
  <c r="BX318" i="14"/>
  <c r="O311" i="14" s="1"/>
  <c r="BX311" i="14"/>
  <c r="BY311" i="14" s="1"/>
  <c r="BY306" i="14"/>
  <c r="BX306" i="14"/>
  <c r="O299" i="14" s="1"/>
  <c r="BX299" i="14"/>
  <c r="BY299" i="14" s="1"/>
  <c r="BY294" i="14"/>
  <c r="BX294" i="14"/>
  <c r="O287" i="14" s="1"/>
  <c r="BX287" i="14"/>
  <c r="BY287" i="14" s="1"/>
  <c r="BY282" i="14"/>
  <c r="BX282" i="14"/>
  <c r="O275" i="14" s="1"/>
  <c r="BX275" i="14"/>
  <c r="BY275" i="14" s="1"/>
  <c r="BY270" i="14"/>
  <c r="BX270" i="14"/>
  <c r="O263" i="14" s="1"/>
  <c r="BX263" i="14"/>
  <c r="BY263" i="14" s="1"/>
  <c r="BY258" i="14"/>
  <c r="BX258" i="14"/>
  <c r="O251" i="14" s="1"/>
  <c r="BX251" i="14"/>
  <c r="BY251" i="14" s="1"/>
  <c r="BY246" i="14"/>
  <c r="BX246" i="14"/>
  <c r="O239" i="14" s="1"/>
  <c r="BX239" i="14"/>
  <c r="BY239" i="14" s="1"/>
  <c r="BY234" i="14"/>
  <c r="BX234" i="14"/>
  <c r="O227" i="14" s="1"/>
  <c r="BX227" i="14"/>
  <c r="BY227" i="14" s="1"/>
  <c r="BY222" i="14"/>
  <c r="BX222" i="14"/>
  <c r="O215" i="14" s="1"/>
  <c r="BX215" i="14"/>
  <c r="BY215" i="14" s="1"/>
  <c r="BY210" i="14"/>
  <c r="BX210" i="14"/>
  <c r="O203" i="14" s="1"/>
  <c r="BX203" i="14"/>
  <c r="BY203" i="14" s="1"/>
  <c r="BY198" i="14"/>
  <c r="BX198" i="14"/>
  <c r="O191" i="14" s="1"/>
  <c r="BX191" i="14"/>
  <c r="BY191" i="14" s="1"/>
  <c r="BY186" i="14"/>
  <c r="BX186" i="14"/>
  <c r="O179" i="14" s="1"/>
  <c r="BX179" i="14"/>
  <c r="BY179" i="14" s="1"/>
  <c r="BY174" i="14"/>
  <c r="BX174" i="14"/>
  <c r="O167" i="14" s="1"/>
  <c r="BX167" i="14"/>
  <c r="BY167" i="14" s="1"/>
  <c r="BY162" i="14"/>
  <c r="BX162" i="14"/>
  <c r="O155" i="14" s="1"/>
  <c r="BX155" i="14"/>
  <c r="BY155" i="14" s="1"/>
  <c r="BY150" i="14"/>
  <c r="BX150" i="14"/>
  <c r="O143" i="14" s="1"/>
  <c r="BX143" i="14"/>
  <c r="BY143" i="14" s="1"/>
  <c r="BY138" i="14"/>
  <c r="BX138" i="14"/>
  <c r="O131" i="14" s="1"/>
  <c r="BX131" i="14"/>
  <c r="BY131" i="14" s="1"/>
  <c r="BY126" i="14"/>
  <c r="BX126" i="14"/>
  <c r="O119" i="14" s="1"/>
  <c r="BX119" i="14"/>
  <c r="BY119" i="14" s="1"/>
  <c r="BY114" i="14"/>
  <c r="BX114" i="14"/>
  <c r="O107" i="14" s="1"/>
  <c r="BX107" i="14"/>
  <c r="BY107" i="14" s="1"/>
  <c r="BY102" i="14"/>
  <c r="BX102" i="14"/>
  <c r="O95" i="14" s="1"/>
  <c r="BX95" i="14"/>
  <c r="BY95" i="14" s="1"/>
  <c r="BY90" i="14"/>
  <c r="BX90" i="14"/>
  <c r="O83" i="14" s="1"/>
  <c r="BX83" i="14"/>
  <c r="BY83" i="14" s="1"/>
  <c r="BY78" i="14"/>
  <c r="BX78" i="14"/>
  <c r="O71" i="14" s="1"/>
  <c r="BX71" i="14"/>
  <c r="BY71" i="14" s="1"/>
  <c r="BY66" i="14"/>
  <c r="BX66" i="14"/>
  <c r="BX59" i="14"/>
  <c r="BY59" i="14" s="1"/>
  <c r="BY54" i="14"/>
  <c r="BX54" i="14"/>
  <c r="O47" i="14" s="1"/>
  <c r="BX47" i="14"/>
  <c r="BY47" i="14" s="1"/>
  <c r="X671" i="14"/>
  <c r="V671" i="14"/>
  <c r="X659" i="14"/>
  <c r="V659" i="14"/>
  <c r="X647" i="14"/>
  <c r="V647" i="14"/>
  <c r="X635" i="14"/>
  <c r="V635" i="14"/>
  <c r="X623" i="14"/>
  <c r="V623" i="14"/>
  <c r="X611" i="14"/>
  <c r="V611" i="14"/>
  <c r="X599" i="14"/>
  <c r="V599" i="14"/>
  <c r="X587" i="14"/>
  <c r="V587" i="14"/>
  <c r="X575" i="14"/>
  <c r="V575" i="14"/>
  <c r="X563" i="14"/>
  <c r="V563" i="14"/>
  <c r="X551" i="14"/>
  <c r="V551" i="14"/>
  <c r="X539" i="14"/>
  <c r="V539" i="14"/>
  <c r="X527" i="14"/>
  <c r="V527" i="14"/>
  <c r="X515" i="14"/>
  <c r="V515" i="14"/>
  <c r="X503" i="14"/>
  <c r="V503" i="14"/>
  <c r="X491" i="14"/>
  <c r="V491" i="14"/>
  <c r="X479" i="14"/>
  <c r="V479" i="14"/>
  <c r="X467" i="14"/>
  <c r="V467" i="14"/>
  <c r="X455" i="14"/>
  <c r="V455" i="14"/>
  <c r="X443" i="14"/>
  <c r="V443" i="14"/>
  <c r="X431" i="14"/>
  <c r="V431" i="14"/>
  <c r="X419" i="14"/>
  <c r="V419" i="14"/>
  <c r="X407" i="14"/>
  <c r="V407" i="14"/>
  <c r="X395" i="14"/>
  <c r="V395" i="14"/>
  <c r="X383" i="14"/>
  <c r="V383" i="14"/>
  <c r="X371" i="14"/>
  <c r="V371" i="14"/>
  <c r="X359" i="14"/>
  <c r="V359" i="14"/>
  <c r="X347" i="14"/>
  <c r="V347" i="14"/>
  <c r="X335" i="14"/>
  <c r="V335" i="14"/>
  <c r="X323" i="14"/>
  <c r="V323" i="14"/>
  <c r="X311" i="14"/>
  <c r="V311" i="14"/>
  <c r="X299" i="14"/>
  <c r="V299" i="14"/>
  <c r="X287" i="14"/>
  <c r="V287" i="14"/>
  <c r="X275" i="14"/>
  <c r="V275" i="14"/>
  <c r="X263" i="14"/>
  <c r="V263" i="14"/>
  <c r="X251" i="14"/>
  <c r="V251" i="14"/>
  <c r="X239" i="14"/>
  <c r="V239" i="14"/>
  <c r="X227" i="14"/>
  <c r="V227" i="14"/>
  <c r="X215" i="14"/>
  <c r="V215" i="14"/>
  <c r="X203" i="14"/>
  <c r="V203" i="14"/>
  <c r="X191" i="14"/>
  <c r="V191" i="14"/>
  <c r="X179" i="14"/>
  <c r="V179" i="14"/>
  <c r="X167" i="14"/>
  <c r="V167" i="14"/>
  <c r="X155" i="14"/>
  <c r="V155" i="14"/>
  <c r="X143" i="14"/>
  <c r="V143" i="14"/>
  <c r="X131" i="14"/>
  <c r="V131" i="14"/>
  <c r="X119" i="14"/>
  <c r="V119" i="14"/>
  <c r="X107" i="14"/>
  <c r="V107" i="14"/>
  <c r="X95" i="14"/>
  <c r="V95" i="14"/>
  <c r="X83" i="14"/>
  <c r="V83" i="14"/>
  <c r="X71" i="14"/>
  <c r="V71" i="14"/>
  <c r="X59" i="14"/>
  <c r="V59" i="14"/>
  <c r="X47" i="14"/>
  <c r="V47" i="14"/>
  <c r="BX42" i="14"/>
  <c r="O35" i="14" s="1"/>
  <c r="BY42" i="14"/>
  <c r="X35" i="14"/>
  <c r="AA203" i="14"/>
  <c r="AA419" i="14"/>
  <c r="AA311" i="14"/>
  <c r="AA359" i="14"/>
  <c r="AA347" i="14"/>
  <c r="AA659" i="14"/>
  <c r="AA119" i="14"/>
  <c r="AA251" i="14"/>
  <c r="AA371" i="14"/>
  <c r="AA467" i="14"/>
  <c r="AA143" i="14"/>
  <c r="AA155" i="14"/>
  <c r="AA179" i="14"/>
  <c r="AA635" i="14"/>
  <c r="AA395" i="14"/>
  <c r="AA479" i="14"/>
  <c r="AA443" i="14"/>
  <c r="AA503" i="14"/>
  <c r="AA71" i="14"/>
  <c r="AA95" i="14"/>
  <c r="AA527" i="14"/>
  <c r="AA491" i="14"/>
  <c r="AA647" i="14"/>
  <c r="AA599" i="14"/>
  <c r="AA299" i="14"/>
  <c r="AA455" i="14"/>
  <c r="AA287" i="14"/>
  <c r="AA167" i="14"/>
  <c r="AA131" i="14"/>
  <c r="AA383" i="14"/>
  <c r="AA515" i="14"/>
  <c r="AA563" i="14"/>
  <c r="AA215" i="14"/>
  <c r="AA227" i="14"/>
  <c r="AA671" i="14"/>
  <c r="AA239" i="14"/>
  <c r="AA611" i="14"/>
  <c r="AA539" i="14"/>
  <c r="AA587" i="14"/>
  <c r="AA191" i="14"/>
  <c r="AA323" i="14"/>
  <c r="AA275" i="14"/>
  <c r="AA551" i="14"/>
  <c r="AA335" i="14"/>
  <c r="AA575" i="14"/>
  <c r="AA107" i="14"/>
  <c r="AA623" i="14"/>
  <c r="AA431" i="14"/>
  <c r="AA83" i="14"/>
  <c r="AA263" i="14"/>
  <c r="AA407" i="14"/>
  <c r="AP656" i="14" l="1"/>
  <c r="AQ656" i="14" s="1"/>
  <c r="AP657" i="14"/>
  <c r="AQ657" i="14" s="1"/>
  <c r="AP154" i="14"/>
  <c r="AQ154" i="14" s="1"/>
  <c r="AP238" i="14"/>
  <c r="AQ238" i="14" s="1"/>
  <c r="AP322" i="14"/>
  <c r="AQ322" i="14" s="1"/>
  <c r="AP385" i="14"/>
  <c r="AQ385" i="14" s="1"/>
  <c r="AP134" i="14"/>
  <c r="AQ134" i="14" s="1"/>
  <c r="AP218" i="14"/>
  <c r="AQ218" i="14" s="1"/>
  <c r="AP133" i="14"/>
  <c r="AQ133" i="14" s="1"/>
  <c r="AP135" i="14"/>
  <c r="AQ135" i="14" s="1"/>
  <c r="AP219" i="14"/>
  <c r="AQ219" i="14" s="1"/>
  <c r="AP639" i="14"/>
  <c r="AQ639" i="14" s="1"/>
  <c r="O59" i="14"/>
  <c r="AP670" i="14"/>
  <c r="AQ670" i="14" s="1"/>
  <c r="AP237" i="14"/>
  <c r="AQ237" i="14" s="1"/>
  <c r="AP283" i="14"/>
  <c r="AQ283" i="14" s="1"/>
  <c r="AP678" i="14"/>
  <c r="AQ678" i="14" s="1"/>
  <c r="AP344" i="14"/>
  <c r="AQ344" i="14" s="1"/>
  <c r="AP512" i="14"/>
  <c r="AQ512" i="14" s="1"/>
  <c r="AP596" i="14"/>
  <c r="AQ596" i="14" s="1"/>
  <c r="AP408" i="14"/>
  <c r="AQ408" i="14" s="1"/>
  <c r="AP51" i="14"/>
  <c r="AQ51" i="14" s="1"/>
  <c r="AP52" i="14"/>
  <c r="AQ52" i="14" s="1"/>
  <c r="AP388" i="14"/>
  <c r="AQ388" i="14" s="1"/>
  <c r="AP557" i="14"/>
  <c r="AQ557" i="14" s="1"/>
  <c r="AP73" i="14"/>
  <c r="AQ73" i="14" s="1"/>
  <c r="AP325" i="14"/>
  <c r="AQ325" i="14" s="1"/>
  <c r="AP577" i="14"/>
  <c r="AQ577" i="14" s="1"/>
  <c r="AP242" i="14"/>
  <c r="AQ242" i="14" s="1"/>
  <c r="AP224" i="14"/>
  <c r="AQ224" i="14" s="1"/>
  <c r="AP392" i="14"/>
  <c r="AQ392" i="14" s="1"/>
  <c r="AP560" i="14"/>
  <c r="AQ560" i="14" s="1"/>
  <c r="AP635" i="14"/>
  <c r="AQ635" i="14" s="1"/>
  <c r="AP645" i="14"/>
  <c r="AQ645" i="14" s="1"/>
  <c r="AP619" i="14"/>
  <c r="AQ619" i="14" s="1"/>
  <c r="AP677" i="14"/>
  <c r="AQ677" i="14" s="1"/>
  <c r="AP679" i="14"/>
  <c r="AQ679" i="14" s="1"/>
  <c r="AP680" i="14"/>
  <c r="AQ680" i="14" s="1"/>
  <c r="AP681" i="14"/>
  <c r="AQ681" i="14" s="1"/>
  <c r="AP682" i="14"/>
  <c r="AQ682" i="14" s="1"/>
  <c r="AP395" i="14"/>
  <c r="AQ395" i="14" s="1"/>
  <c r="AP60" i="14"/>
  <c r="AQ60" i="14" s="1"/>
  <c r="AP97" i="14"/>
  <c r="AQ97" i="14" s="1"/>
  <c r="AP181" i="14"/>
  <c r="AQ181" i="14" s="1"/>
  <c r="AP275" i="14"/>
  <c r="AQ275" i="14" s="1"/>
  <c r="AP312" i="14"/>
  <c r="AQ312" i="14" s="1"/>
  <c r="AP349" i="14"/>
  <c r="AQ349" i="14" s="1"/>
  <c r="AP433" i="14"/>
  <c r="AQ433" i="14" s="1"/>
  <c r="AP480" i="14"/>
  <c r="AQ480" i="14" s="1"/>
  <c r="AP648" i="14"/>
  <c r="AQ648" i="14" s="1"/>
  <c r="AP98" i="14"/>
  <c r="AQ98" i="14" s="1"/>
  <c r="AP247" i="14"/>
  <c r="AQ247" i="14" s="1"/>
  <c r="AP266" i="14"/>
  <c r="AQ266" i="14" s="1"/>
  <c r="AP331" i="14"/>
  <c r="AQ331" i="14" s="1"/>
  <c r="AP341" i="14"/>
  <c r="AQ341" i="14" s="1"/>
  <c r="AP350" i="14"/>
  <c r="AQ350" i="14" s="1"/>
  <c r="AP415" i="14"/>
  <c r="AQ415" i="14" s="1"/>
  <c r="AP499" i="14"/>
  <c r="AQ499" i="14" s="1"/>
  <c r="AP509" i="14"/>
  <c r="AQ509" i="14" s="1"/>
  <c r="AP71" i="14"/>
  <c r="AQ71" i="14" s="1"/>
  <c r="AP575" i="14"/>
  <c r="AQ575" i="14" s="1"/>
  <c r="AP100" i="14"/>
  <c r="AQ100" i="14" s="1"/>
  <c r="AP411" i="14"/>
  <c r="AQ411" i="14" s="1"/>
  <c r="AP663" i="14"/>
  <c r="AQ663" i="14" s="1"/>
  <c r="AP159" i="14"/>
  <c r="AQ159" i="14" s="1"/>
  <c r="AP76" i="14"/>
  <c r="AQ76" i="14" s="1"/>
  <c r="AP160" i="14"/>
  <c r="AQ160" i="14" s="1"/>
  <c r="AP225" i="14"/>
  <c r="AQ225" i="14" s="1"/>
  <c r="AP393" i="14"/>
  <c r="AQ393" i="14" s="1"/>
  <c r="AP412" i="14"/>
  <c r="AQ412" i="14" s="1"/>
  <c r="AP580" i="14"/>
  <c r="AQ580" i="14" s="1"/>
  <c r="AP655" i="14"/>
  <c r="AQ655" i="14" s="1"/>
  <c r="AP87" i="14"/>
  <c r="AQ87" i="14" s="1"/>
  <c r="AP507" i="14"/>
  <c r="AQ507" i="14" s="1"/>
  <c r="AP591" i="14"/>
  <c r="AQ591" i="14" s="1"/>
  <c r="AP610" i="14"/>
  <c r="AQ610" i="14" s="1"/>
  <c r="AP592" i="14"/>
  <c r="AQ592" i="14" s="1"/>
  <c r="AP629" i="14"/>
  <c r="AQ629" i="14" s="1"/>
  <c r="AP369" i="14"/>
  <c r="AQ369" i="14" s="1"/>
  <c r="AP537" i="14"/>
  <c r="AQ537" i="14" s="1"/>
  <c r="AP630" i="14"/>
  <c r="AQ630" i="14" s="1"/>
  <c r="AP276" i="14"/>
  <c r="AQ276" i="14" s="1"/>
  <c r="AP286" i="14"/>
  <c r="AQ286" i="14" s="1"/>
  <c r="AP528" i="14"/>
  <c r="AQ528" i="14" s="1"/>
  <c r="AP538" i="14"/>
  <c r="AQ538" i="14" s="1"/>
  <c r="AP622" i="14"/>
  <c r="AQ622" i="14" s="1"/>
  <c r="AP295" i="14"/>
  <c r="AQ295" i="14" s="1"/>
  <c r="AP547" i="14"/>
  <c r="AQ547" i="14" s="1"/>
  <c r="AP193" i="14"/>
  <c r="AQ193" i="14" s="1"/>
  <c r="AP277" i="14"/>
  <c r="AQ277" i="14" s="1"/>
  <c r="AP296" i="14"/>
  <c r="AQ296" i="14" s="1"/>
  <c r="AP380" i="14"/>
  <c r="AQ380" i="14" s="1"/>
  <c r="AP632" i="14"/>
  <c r="AQ632" i="14" s="1"/>
  <c r="AP54" i="14"/>
  <c r="AQ54" i="14" s="1"/>
  <c r="AP64" i="14"/>
  <c r="AQ64" i="14" s="1"/>
  <c r="AP110" i="14"/>
  <c r="AQ110" i="14" s="1"/>
  <c r="AP138" i="14"/>
  <c r="AQ138" i="14" s="1"/>
  <c r="AP194" i="14"/>
  <c r="AQ194" i="14" s="1"/>
  <c r="AP222" i="14"/>
  <c r="AQ222" i="14" s="1"/>
  <c r="AP343" i="14"/>
  <c r="AQ343" i="14" s="1"/>
  <c r="AP390" i="14"/>
  <c r="AQ390" i="14" s="1"/>
  <c r="AP427" i="14"/>
  <c r="AQ427" i="14" s="1"/>
  <c r="AP484" i="14"/>
  <c r="AQ484" i="14" s="1"/>
  <c r="AP615" i="14"/>
  <c r="AQ615" i="14" s="1"/>
  <c r="AP634" i="14"/>
  <c r="AQ634" i="14" s="1"/>
  <c r="AP477" i="14"/>
  <c r="AQ477" i="14" s="1"/>
  <c r="AP521" i="14"/>
  <c r="AQ521" i="14" s="1"/>
  <c r="AP151" i="14"/>
  <c r="AQ151" i="14" s="1"/>
  <c r="AP245" i="14"/>
  <c r="AQ245" i="14" s="1"/>
  <c r="AP282" i="14"/>
  <c r="AQ282" i="14" s="1"/>
  <c r="AP319" i="14"/>
  <c r="AQ319" i="14" s="1"/>
  <c r="AP329" i="14"/>
  <c r="AQ329" i="14" s="1"/>
  <c r="AP357" i="14"/>
  <c r="AQ357" i="14" s="1"/>
  <c r="AP376" i="14"/>
  <c r="AQ376" i="14" s="1"/>
  <c r="AP413" i="14"/>
  <c r="AQ413" i="14" s="1"/>
  <c r="AP497" i="14"/>
  <c r="AQ497" i="14" s="1"/>
  <c r="AP525" i="14"/>
  <c r="AQ525" i="14" s="1"/>
  <c r="AP581" i="14"/>
  <c r="AQ581" i="14" s="1"/>
  <c r="AP609" i="14"/>
  <c r="AQ609" i="14" s="1"/>
  <c r="AP646" i="14"/>
  <c r="AQ646" i="14" s="1"/>
  <c r="AP164" i="14"/>
  <c r="AQ164" i="14" s="1"/>
  <c r="AP481" i="14"/>
  <c r="AQ481" i="14" s="1"/>
  <c r="AP146" i="14"/>
  <c r="AQ146" i="14" s="1"/>
  <c r="AP268" i="14"/>
  <c r="AQ268" i="14" s="1"/>
  <c r="AP333" i="14"/>
  <c r="AQ333" i="14" s="1"/>
  <c r="AP342" i="14"/>
  <c r="AQ342" i="14" s="1"/>
  <c r="AP352" i="14"/>
  <c r="AQ352" i="14" s="1"/>
  <c r="AP436" i="14"/>
  <c r="AQ436" i="14" s="1"/>
  <c r="AP631" i="14"/>
  <c r="AQ631" i="14" s="1"/>
  <c r="AP81" i="14"/>
  <c r="AQ81" i="14" s="1"/>
  <c r="AP63" i="14"/>
  <c r="AQ63" i="14" s="1"/>
  <c r="AP334" i="14"/>
  <c r="AQ334" i="14" s="1"/>
  <c r="AP455" i="14"/>
  <c r="AQ455" i="14" s="1"/>
  <c r="AP586" i="14"/>
  <c r="AQ586" i="14" s="1"/>
  <c r="AP623" i="14"/>
  <c r="AQ623" i="14" s="1"/>
  <c r="AP669" i="14"/>
  <c r="AQ669" i="14" s="1"/>
  <c r="AP540" i="14"/>
  <c r="AQ540" i="14" s="1"/>
  <c r="AP55" i="14"/>
  <c r="AQ55" i="14" s="1"/>
  <c r="AP102" i="14"/>
  <c r="AQ102" i="14" s="1"/>
  <c r="AP196" i="14"/>
  <c r="AQ196" i="14" s="1"/>
  <c r="AP223" i="14"/>
  <c r="AQ223" i="14" s="1"/>
  <c r="AP233" i="14"/>
  <c r="AQ233" i="14" s="1"/>
  <c r="AP270" i="14"/>
  <c r="AQ270" i="14" s="1"/>
  <c r="AP280" i="14"/>
  <c r="AQ280" i="14" s="1"/>
  <c r="AP307" i="14"/>
  <c r="AQ307" i="14" s="1"/>
  <c r="AP391" i="14"/>
  <c r="AQ391" i="14" s="1"/>
  <c r="AP475" i="14"/>
  <c r="AQ475" i="14" s="1"/>
  <c r="AP513" i="14"/>
  <c r="AQ513" i="14" s="1"/>
  <c r="AP522" i="14"/>
  <c r="AQ522" i="14" s="1"/>
  <c r="AP559" i="14"/>
  <c r="AQ559" i="14" s="1"/>
  <c r="AP251" i="14"/>
  <c r="AQ251" i="14" s="1"/>
  <c r="AP47" i="14"/>
  <c r="AQ47" i="14" s="1"/>
  <c r="AP252" i="14"/>
  <c r="AQ252" i="14" s="1"/>
  <c r="AP346" i="14"/>
  <c r="AQ346" i="14" s="1"/>
  <c r="AP373" i="14"/>
  <c r="AQ373" i="14" s="1"/>
  <c r="AP383" i="14"/>
  <c r="AQ383" i="14" s="1"/>
  <c r="AP457" i="14"/>
  <c r="AQ457" i="14" s="1"/>
  <c r="AP467" i="14"/>
  <c r="AQ467" i="14" s="1"/>
  <c r="AP504" i="14"/>
  <c r="AQ504" i="14" s="1"/>
  <c r="AP541" i="14"/>
  <c r="AQ541" i="14" s="1"/>
  <c r="AP643" i="14"/>
  <c r="AQ643" i="14" s="1"/>
  <c r="AP150" i="14"/>
  <c r="AQ150" i="14" s="1"/>
  <c r="AP234" i="14"/>
  <c r="AQ234" i="14" s="1"/>
  <c r="AP290" i="14"/>
  <c r="AQ290" i="14" s="1"/>
  <c r="AP318" i="14"/>
  <c r="AQ318" i="14" s="1"/>
  <c r="AP644" i="14"/>
  <c r="AQ644" i="14" s="1"/>
  <c r="AP120" i="14"/>
  <c r="AQ120" i="14" s="1"/>
  <c r="AP48" i="14"/>
  <c r="AQ48" i="14" s="1"/>
  <c r="AP104" i="14"/>
  <c r="AQ104" i="14" s="1"/>
  <c r="AP123" i="14"/>
  <c r="AQ123" i="14" s="1"/>
  <c r="AP132" i="14"/>
  <c r="AQ132" i="14" s="1"/>
  <c r="AP216" i="14"/>
  <c r="AQ216" i="14" s="1"/>
  <c r="AP226" i="14"/>
  <c r="AQ226" i="14" s="1"/>
  <c r="AP253" i="14"/>
  <c r="AQ253" i="14" s="1"/>
  <c r="AP347" i="14"/>
  <c r="AQ347" i="14" s="1"/>
  <c r="AP356" i="14"/>
  <c r="AQ356" i="14" s="1"/>
  <c r="AP375" i="14"/>
  <c r="AQ375" i="14" s="1"/>
  <c r="AP394" i="14"/>
  <c r="AQ394" i="14" s="1"/>
  <c r="AP421" i="14"/>
  <c r="AQ421" i="14" s="1"/>
  <c r="AP431" i="14"/>
  <c r="AQ431" i="14" s="1"/>
  <c r="AP459" i="14"/>
  <c r="AQ459" i="14" s="1"/>
  <c r="AP505" i="14"/>
  <c r="AQ505" i="14" s="1"/>
  <c r="AP524" i="14"/>
  <c r="AQ524" i="14" s="1"/>
  <c r="AP562" i="14"/>
  <c r="AQ562" i="14" s="1"/>
  <c r="AP106" i="14"/>
  <c r="AQ106" i="14" s="1"/>
  <c r="AP44" i="14"/>
  <c r="AQ44" i="14" s="1"/>
  <c r="AP379" i="14"/>
  <c r="AQ379" i="14" s="1"/>
  <c r="AP372" i="14"/>
  <c r="AQ372" i="14" s="1"/>
  <c r="AP35" i="14"/>
  <c r="AP166" i="14"/>
  <c r="AQ166" i="14" s="1"/>
  <c r="AP659" i="14"/>
  <c r="AQ659" i="14" s="1"/>
  <c r="AP94" i="14"/>
  <c r="AQ94" i="14" s="1"/>
  <c r="AP620" i="14"/>
  <c r="AQ620" i="14" s="1"/>
  <c r="AP658" i="14"/>
  <c r="AQ658" i="14" s="1"/>
  <c r="AP549" i="14"/>
  <c r="AQ549" i="14" s="1"/>
  <c r="AP320" i="14"/>
  <c r="AQ320" i="14" s="1"/>
  <c r="AP121" i="14"/>
  <c r="AQ121" i="14" s="1"/>
  <c r="AP298" i="14"/>
  <c r="AQ298" i="14" s="1"/>
  <c r="AP473" i="14"/>
  <c r="AQ473" i="14" s="1"/>
  <c r="AP265" i="14"/>
  <c r="AQ265" i="14" s="1"/>
  <c r="AP278" i="14"/>
  <c r="AQ278" i="14" s="1"/>
  <c r="AP368" i="14"/>
  <c r="AQ368" i="14" s="1"/>
  <c r="AP576" i="14"/>
  <c r="AQ576" i="14" s="1"/>
  <c r="AP205" i="14"/>
  <c r="AQ205" i="14" s="1"/>
  <c r="AP259" i="14"/>
  <c r="AQ259" i="14" s="1"/>
  <c r="AP593" i="14"/>
  <c r="AQ593" i="14" s="1"/>
  <c r="AP232" i="14"/>
  <c r="AQ232" i="14" s="1"/>
  <c r="AP340" i="14"/>
  <c r="AQ340" i="14" s="1"/>
  <c r="AP306" i="14"/>
  <c r="AQ306" i="14" s="1"/>
  <c r="AP328" i="14"/>
  <c r="AQ328" i="14" s="1"/>
  <c r="AP93" i="14"/>
  <c r="AQ93" i="14" s="1"/>
  <c r="AP169" i="14"/>
  <c r="AQ169" i="14" s="1"/>
  <c r="AP187" i="14"/>
  <c r="AQ187" i="14" s="1"/>
  <c r="AP250" i="14"/>
  <c r="AQ250" i="14" s="1"/>
  <c r="AP258" i="14"/>
  <c r="AQ258" i="14" s="1"/>
  <c r="AP425" i="14"/>
  <c r="AQ425" i="14" s="1"/>
  <c r="AP451" i="14"/>
  <c r="AQ451" i="14" s="1"/>
  <c r="AP468" i="14"/>
  <c r="AQ468" i="14" s="1"/>
  <c r="AP502" i="14"/>
  <c r="AQ502" i="14" s="1"/>
  <c r="AP553" i="14"/>
  <c r="AQ553" i="14" s="1"/>
  <c r="AP641" i="14"/>
  <c r="AQ641" i="14" s="1"/>
  <c r="AP37" i="14"/>
  <c r="AP162" i="14"/>
  <c r="AQ162" i="14" s="1"/>
  <c r="AP294" i="14"/>
  <c r="AQ294" i="14" s="1"/>
  <c r="AP311" i="14"/>
  <c r="AQ311" i="14" s="1"/>
  <c r="AP503" i="14"/>
  <c r="AQ503" i="14" s="1"/>
  <c r="AP554" i="14"/>
  <c r="AQ554" i="14" s="1"/>
  <c r="AP563" i="14"/>
  <c r="AQ563" i="14" s="1"/>
  <c r="AP649" i="14"/>
  <c r="AQ649" i="14" s="1"/>
  <c r="AP239" i="14"/>
  <c r="AQ239" i="14" s="1"/>
  <c r="AP101" i="14"/>
  <c r="AQ101" i="14" s="1"/>
  <c r="AP180" i="14"/>
  <c r="AQ180" i="14" s="1"/>
  <c r="AP370" i="14"/>
  <c r="AQ370" i="14" s="1"/>
  <c r="AP399" i="14"/>
  <c r="AQ399" i="14" s="1"/>
  <c r="AP426" i="14"/>
  <c r="AQ426" i="14" s="1"/>
  <c r="AP536" i="14"/>
  <c r="AQ536" i="14" s="1"/>
  <c r="AP589" i="14"/>
  <c r="AQ589" i="14" s="1"/>
  <c r="AP613" i="14"/>
  <c r="AQ613" i="14" s="1"/>
  <c r="AP642" i="14"/>
  <c r="AQ642" i="14" s="1"/>
  <c r="AP650" i="14"/>
  <c r="AQ650" i="14" s="1"/>
  <c r="AP38" i="14"/>
  <c r="AP115" i="14"/>
  <c r="AQ115" i="14" s="1"/>
  <c r="AP36" i="14"/>
  <c r="AP59" i="14"/>
  <c r="AQ59" i="14" s="1"/>
  <c r="AP74" i="14"/>
  <c r="AQ74" i="14" s="1"/>
  <c r="AP119" i="14"/>
  <c r="AQ119" i="14" s="1"/>
  <c r="AP145" i="14"/>
  <c r="AQ145" i="14" s="1"/>
  <c r="AP155" i="14"/>
  <c r="AQ155" i="14" s="1"/>
  <c r="AP163" i="14"/>
  <c r="AQ163" i="14" s="1"/>
  <c r="AP208" i="14"/>
  <c r="AQ208" i="14" s="1"/>
  <c r="AP244" i="14"/>
  <c r="AQ244" i="14" s="1"/>
  <c r="AP287" i="14"/>
  <c r="AQ287" i="14" s="1"/>
  <c r="AP336" i="14"/>
  <c r="AQ336" i="14" s="1"/>
  <c r="AP377" i="14"/>
  <c r="AQ377" i="14" s="1"/>
  <c r="AP384" i="14"/>
  <c r="AQ384" i="14" s="1"/>
  <c r="AP417" i="14"/>
  <c r="AQ417" i="14" s="1"/>
  <c r="AP454" i="14"/>
  <c r="AQ454" i="14" s="1"/>
  <c r="AP556" i="14"/>
  <c r="AQ556" i="14" s="1"/>
  <c r="AP574" i="14"/>
  <c r="AQ574" i="14" s="1"/>
  <c r="AP608" i="14"/>
  <c r="AQ608" i="14" s="1"/>
  <c r="AP625" i="14"/>
  <c r="AQ625" i="14" s="1"/>
  <c r="AP95" i="14"/>
  <c r="AQ95" i="14" s="1"/>
  <c r="AP156" i="14"/>
  <c r="AQ156" i="14" s="1"/>
  <c r="AP191" i="14"/>
  <c r="AQ191" i="14" s="1"/>
  <c r="AP288" i="14"/>
  <c r="AQ288" i="14" s="1"/>
  <c r="AP337" i="14"/>
  <c r="AQ337" i="14" s="1"/>
  <c r="AP371" i="14"/>
  <c r="AQ371" i="14" s="1"/>
  <c r="AP378" i="14"/>
  <c r="AQ378" i="14" s="1"/>
  <c r="AP419" i="14"/>
  <c r="AQ419" i="14" s="1"/>
  <c r="AP428" i="14"/>
  <c r="AQ428" i="14" s="1"/>
  <c r="AP652" i="14"/>
  <c r="AQ652" i="14" s="1"/>
  <c r="AP471" i="14"/>
  <c r="AQ471" i="14" s="1"/>
  <c r="AP548" i="14"/>
  <c r="AQ548" i="14" s="1"/>
  <c r="AP165" i="14"/>
  <c r="AQ165" i="14" s="1"/>
  <c r="AP182" i="14"/>
  <c r="AQ182" i="14" s="1"/>
  <c r="AP96" i="14"/>
  <c r="AQ96" i="14" s="1"/>
  <c r="AP103" i="14"/>
  <c r="AQ103" i="14" s="1"/>
  <c r="AP148" i="14"/>
  <c r="AQ148" i="14" s="1"/>
  <c r="AP157" i="14"/>
  <c r="AQ157" i="14" s="1"/>
  <c r="AP192" i="14"/>
  <c r="AQ192" i="14" s="1"/>
  <c r="AP289" i="14"/>
  <c r="AQ289" i="14" s="1"/>
  <c r="AP314" i="14"/>
  <c r="AQ314" i="14" s="1"/>
  <c r="AP330" i="14"/>
  <c r="AQ330" i="14" s="1"/>
  <c r="AP364" i="14"/>
  <c r="AQ364" i="14" s="1"/>
  <c r="AP386" i="14"/>
  <c r="AQ386" i="14" s="1"/>
  <c r="AP420" i="14"/>
  <c r="AQ420" i="14" s="1"/>
  <c r="AP429" i="14"/>
  <c r="AQ429" i="14" s="1"/>
  <c r="AP489" i="14"/>
  <c r="AQ489" i="14" s="1"/>
  <c r="AP558" i="14"/>
  <c r="AQ558" i="14" s="1"/>
  <c r="AP628" i="14"/>
  <c r="AQ628" i="14" s="1"/>
  <c r="AP665" i="14"/>
  <c r="AQ665" i="14" s="1"/>
  <c r="AP42" i="14"/>
  <c r="AQ42" i="14" s="1"/>
  <c r="AP43" i="14"/>
  <c r="AQ43" i="14" s="1"/>
  <c r="AP53" i="14"/>
  <c r="AQ53" i="14" s="1"/>
  <c r="AP61" i="14"/>
  <c r="AQ61" i="14" s="1"/>
  <c r="AP89" i="14"/>
  <c r="AQ89" i="14" s="1"/>
  <c r="AP130" i="14"/>
  <c r="AQ130" i="14" s="1"/>
  <c r="AP139" i="14"/>
  <c r="AQ139" i="14" s="1"/>
  <c r="AP149" i="14"/>
  <c r="AQ149" i="14" s="1"/>
  <c r="AP158" i="14"/>
  <c r="AQ158" i="14" s="1"/>
  <c r="AP184" i="14"/>
  <c r="AQ184" i="14" s="1"/>
  <c r="AP202" i="14"/>
  <c r="AQ202" i="14" s="1"/>
  <c r="AP246" i="14"/>
  <c r="AQ246" i="14" s="1"/>
  <c r="AP254" i="14"/>
  <c r="AQ254" i="14" s="1"/>
  <c r="AP315" i="14"/>
  <c r="AQ315" i="14" s="1"/>
  <c r="AP355" i="14"/>
  <c r="AQ355" i="14" s="1"/>
  <c r="AP365" i="14"/>
  <c r="AQ365" i="14" s="1"/>
  <c r="AP409" i="14"/>
  <c r="AQ409" i="14" s="1"/>
  <c r="AP430" i="14"/>
  <c r="AQ430" i="14" s="1"/>
  <c r="AP456" i="14"/>
  <c r="AQ456" i="14" s="1"/>
  <c r="AP498" i="14"/>
  <c r="AQ498" i="14" s="1"/>
  <c r="AP506" i="14"/>
  <c r="AQ506" i="14" s="1"/>
  <c r="AP511" i="14"/>
  <c r="AQ511" i="14" s="1"/>
  <c r="AP523" i="14"/>
  <c r="AQ523" i="14" s="1"/>
  <c r="AP533" i="14"/>
  <c r="AQ533" i="14" s="1"/>
  <c r="AP550" i="14"/>
  <c r="AQ550" i="14" s="1"/>
  <c r="AP90" i="14"/>
  <c r="AQ90" i="14" s="1"/>
  <c r="AP324" i="14"/>
  <c r="AQ324" i="14" s="1"/>
  <c r="AP449" i="14"/>
  <c r="AQ449" i="14" s="1"/>
  <c r="AP551" i="14"/>
  <c r="AQ551" i="14" s="1"/>
  <c r="AP124" i="14"/>
  <c r="AQ124" i="14" s="1"/>
  <c r="AP142" i="14"/>
  <c r="AQ142" i="14" s="1"/>
  <c r="AP195" i="14"/>
  <c r="AQ195" i="14" s="1"/>
  <c r="AP240" i="14"/>
  <c r="AQ240" i="14" s="1"/>
  <c r="AP292" i="14"/>
  <c r="AQ292" i="14" s="1"/>
  <c r="AP317" i="14"/>
  <c r="AQ317" i="14" s="1"/>
  <c r="AP358" i="14"/>
  <c r="AQ358" i="14" s="1"/>
  <c r="AP381" i="14"/>
  <c r="AQ381" i="14" s="1"/>
  <c r="AP389" i="14"/>
  <c r="AQ389" i="14" s="1"/>
  <c r="AP405" i="14"/>
  <c r="AQ405" i="14" s="1"/>
  <c r="AP423" i="14"/>
  <c r="AQ423" i="14" s="1"/>
  <c r="AP440" i="14"/>
  <c r="AQ440" i="14" s="1"/>
  <c r="AP500" i="14"/>
  <c r="AQ500" i="14" s="1"/>
  <c r="AP526" i="14"/>
  <c r="AQ526" i="14" s="1"/>
  <c r="AP543" i="14"/>
  <c r="AQ543" i="14" s="1"/>
  <c r="AP561" i="14"/>
  <c r="AQ561" i="14" s="1"/>
  <c r="AP578" i="14"/>
  <c r="AQ578" i="14" s="1"/>
  <c r="AP647" i="14"/>
  <c r="AQ647" i="14" s="1"/>
  <c r="AP40" i="14"/>
  <c r="AP91" i="14"/>
  <c r="AQ91" i="14" s="1"/>
  <c r="AP99" i="14"/>
  <c r="AQ99" i="14" s="1"/>
  <c r="AP178" i="14"/>
  <c r="AQ178" i="14" s="1"/>
  <c r="AP186" i="14"/>
  <c r="AQ186" i="14" s="1"/>
  <c r="AP248" i="14"/>
  <c r="AQ248" i="14" s="1"/>
  <c r="AP382" i="14"/>
  <c r="AQ382" i="14" s="1"/>
  <c r="AP396" i="14"/>
  <c r="AQ396" i="14" s="1"/>
  <c r="AP406" i="14"/>
  <c r="AQ406" i="14" s="1"/>
  <c r="AP424" i="14"/>
  <c r="AQ424" i="14" s="1"/>
  <c r="AP458" i="14"/>
  <c r="AQ458" i="14" s="1"/>
  <c r="AP492" i="14"/>
  <c r="AQ492" i="14" s="1"/>
  <c r="AP501" i="14"/>
  <c r="AQ501" i="14" s="1"/>
  <c r="AP508" i="14"/>
  <c r="AQ508" i="14" s="1"/>
  <c r="AP552" i="14"/>
  <c r="AQ552" i="14" s="1"/>
  <c r="AP579" i="14"/>
  <c r="AQ579" i="14" s="1"/>
  <c r="AP640" i="14"/>
  <c r="AQ640" i="14" s="1"/>
  <c r="AP39" i="14"/>
  <c r="AP92" i="14"/>
  <c r="AQ92" i="14" s="1"/>
  <c r="AP161" i="14"/>
  <c r="AQ161" i="14" s="1"/>
  <c r="AP175" i="14"/>
  <c r="AQ175" i="14" s="1"/>
  <c r="AP211" i="14"/>
  <c r="AQ211" i="14" s="1"/>
  <c r="AP241" i="14"/>
  <c r="AQ241" i="14" s="1"/>
  <c r="AP293" i="14"/>
  <c r="AQ293" i="14" s="1"/>
  <c r="AP404" i="14"/>
  <c r="AQ404" i="14" s="1"/>
  <c r="AP466" i="14"/>
  <c r="AQ466" i="14" s="1"/>
  <c r="AP267" i="14"/>
  <c r="AQ267" i="14" s="1"/>
  <c r="AP464" i="14"/>
  <c r="AQ464" i="14" s="1"/>
  <c r="AP598" i="14"/>
  <c r="AQ598" i="14" s="1"/>
  <c r="AP661" i="14"/>
  <c r="AQ661" i="14" s="1"/>
  <c r="AP203" i="14"/>
  <c r="AQ203" i="14" s="1"/>
  <c r="AP359" i="14"/>
  <c r="AQ359" i="14" s="1"/>
  <c r="AP407" i="14"/>
  <c r="AQ407" i="14" s="1"/>
  <c r="AP49" i="14"/>
  <c r="AQ49" i="14" s="1"/>
  <c r="AP62" i="14"/>
  <c r="AQ62" i="14" s="1"/>
  <c r="AP105" i="14"/>
  <c r="AQ105" i="14" s="1"/>
  <c r="AP144" i="14"/>
  <c r="AQ144" i="14" s="1"/>
  <c r="AP152" i="14"/>
  <c r="AQ152" i="14" s="1"/>
  <c r="AP264" i="14"/>
  <c r="AQ264" i="14" s="1"/>
  <c r="AP285" i="14"/>
  <c r="AQ285" i="14" s="1"/>
  <c r="AP313" i="14"/>
  <c r="AQ313" i="14" s="1"/>
  <c r="AP452" i="14"/>
  <c r="AQ452" i="14" s="1"/>
  <c r="AP474" i="14"/>
  <c r="AQ474" i="14" s="1"/>
  <c r="AP490" i="14"/>
  <c r="AQ490" i="14" s="1"/>
  <c r="AP617" i="14"/>
  <c r="AQ617" i="14" s="1"/>
  <c r="AP671" i="14"/>
  <c r="AQ671" i="14" s="1"/>
  <c r="AP568" i="14"/>
  <c r="AQ568" i="14" s="1"/>
  <c r="AP136" i="14"/>
  <c r="AQ136" i="14" s="1"/>
  <c r="AP50" i="14"/>
  <c r="AQ50" i="14" s="1"/>
  <c r="AP122" i="14"/>
  <c r="AQ122" i="14" s="1"/>
  <c r="AP153" i="14"/>
  <c r="AQ153" i="14" s="1"/>
  <c r="AP167" i="14"/>
  <c r="AQ167" i="14" s="1"/>
  <c r="AP197" i="14"/>
  <c r="AQ197" i="14" s="1"/>
  <c r="AP204" i="14"/>
  <c r="AQ204" i="14" s="1"/>
  <c r="AP235" i="14"/>
  <c r="AQ235" i="14" s="1"/>
  <c r="AP243" i="14"/>
  <c r="AQ243" i="14" s="1"/>
  <c r="AP249" i="14"/>
  <c r="AQ249" i="14" s="1"/>
  <c r="AP256" i="14"/>
  <c r="AQ256" i="14" s="1"/>
  <c r="AP291" i="14"/>
  <c r="AQ291" i="14" s="1"/>
  <c r="AP339" i="14"/>
  <c r="AQ339" i="14" s="1"/>
  <c r="AP345" i="14"/>
  <c r="AQ345" i="14" s="1"/>
  <c r="AP367" i="14"/>
  <c r="AQ367" i="14" s="1"/>
  <c r="AP387" i="14"/>
  <c r="AQ387" i="14" s="1"/>
  <c r="AP400" i="14"/>
  <c r="AQ400" i="14" s="1"/>
  <c r="AP453" i="14"/>
  <c r="AQ453" i="14" s="1"/>
  <c r="AP460" i="14"/>
  <c r="AQ460" i="14" s="1"/>
  <c r="AP482" i="14"/>
  <c r="AQ482" i="14" s="1"/>
  <c r="AP555" i="14"/>
  <c r="AQ555" i="14" s="1"/>
  <c r="AP585" i="14"/>
  <c r="AQ585" i="14" s="1"/>
  <c r="AP624" i="14"/>
  <c r="AQ624" i="14" s="1"/>
  <c r="AP651" i="14"/>
  <c r="AQ651" i="14" s="1"/>
  <c r="AP72" i="14"/>
  <c r="AQ72" i="14" s="1"/>
  <c r="AP284" i="14"/>
  <c r="AQ284" i="14" s="1"/>
  <c r="AP41" i="14"/>
  <c r="AQ41" i="14" s="1"/>
  <c r="AP188" i="14"/>
  <c r="AQ188" i="14" s="1"/>
  <c r="AP236" i="14"/>
  <c r="AQ236" i="14" s="1"/>
  <c r="AP279" i="14"/>
  <c r="AQ279" i="14" s="1"/>
  <c r="AP321" i="14"/>
  <c r="AQ321" i="14" s="1"/>
  <c r="AP327" i="14"/>
  <c r="AQ327" i="14" s="1"/>
  <c r="AP332" i="14"/>
  <c r="AQ332" i="14" s="1"/>
  <c r="AP353" i="14"/>
  <c r="AQ353" i="14" s="1"/>
  <c r="AP401" i="14"/>
  <c r="AQ401" i="14" s="1"/>
  <c r="AP432" i="14"/>
  <c r="AQ432" i="14" s="1"/>
  <c r="AP483" i="14"/>
  <c r="AQ483" i="14" s="1"/>
  <c r="AP587" i="14"/>
  <c r="AQ587" i="14" s="1"/>
  <c r="AP672" i="14"/>
  <c r="AQ672" i="14" s="1"/>
  <c r="AP594" i="14"/>
  <c r="AQ594" i="14" s="1"/>
  <c r="AP183" i="14"/>
  <c r="AQ183" i="14" s="1"/>
  <c r="AP229" i="14"/>
  <c r="AQ229" i="14" s="1"/>
  <c r="AP271" i="14"/>
  <c r="AQ271" i="14" s="1"/>
  <c r="AP354" i="14"/>
  <c r="AQ354" i="14" s="1"/>
  <c r="AP360" i="14"/>
  <c r="AQ360" i="14" s="1"/>
  <c r="AP416" i="14"/>
  <c r="AQ416" i="14" s="1"/>
  <c r="AP446" i="14"/>
  <c r="AQ446" i="14" s="1"/>
  <c r="AP476" i="14"/>
  <c r="AQ476" i="14" s="1"/>
  <c r="AP544" i="14"/>
  <c r="AQ544" i="14" s="1"/>
  <c r="AP588" i="14"/>
  <c r="AQ588" i="14" s="1"/>
  <c r="AP666" i="14"/>
  <c r="AQ666" i="14" s="1"/>
  <c r="AP172" i="14"/>
  <c r="AQ172" i="14" s="1"/>
  <c r="AP75" i="14"/>
  <c r="AQ75" i="14" s="1"/>
  <c r="AP78" i="14"/>
  <c r="AQ78" i="14" s="1"/>
  <c r="AP199" i="14"/>
  <c r="AQ199" i="14" s="1"/>
  <c r="AP230" i="14"/>
  <c r="AQ230" i="14" s="1"/>
  <c r="AP308" i="14"/>
  <c r="AQ308" i="14" s="1"/>
  <c r="AP469" i="14"/>
  <c r="AQ469" i="14" s="1"/>
  <c r="AP529" i="14"/>
  <c r="AQ529" i="14" s="1"/>
  <c r="AP595" i="14"/>
  <c r="AQ595" i="14" s="1"/>
  <c r="AP612" i="14"/>
  <c r="AQ612" i="14" s="1"/>
  <c r="AP626" i="14"/>
  <c r="AQ626" i="14" s="1"/>
  <c r="AP673" i="14"/>
  <c r="AQ673" i="14" s="1"/>
  <c r="AP45" i="14"/>
  <c r="AQ45" i="14" s="1"/>
  <c r="AP117" i="14"/>
  <c r="AQ117" i="14" s="1"/>
  <c r="AP200" i="14"/>
  <c r="AQ200" i="14" s="1"/>
  <c r="AP206" i="14"/>
  <c r="AQ206" i="14" s="1"/>
  <c r="AP309" i="14"/>
  <c r="AQ309" i="14" s="1"/>
  <c r="AP316" i="14"/>
  <c r="AQ316" i="14" s="1"/>
  <c r="AP361" i="14"/>
  <c r="AQ361" i="14" s="1"/>
  <c r="AP478" i="14"/>
  <c r="AQ478" i="14" s="1"/>
  <c r="AP514" i="14"/>
  <c r="AQ514" i="14" s="1"/>
  <c r="AP545" i="14"/>
  <c r="AQ545" i="14" s="1"/>
  <c r="AP572" i="14"/>
  <c r="AQ572" i="14" s="1"/>
  <c r="AP603" i="14"/>
  <c r="AQ603" i="14" s="1"/>
  <c r="AP627" i="14"/>
  <c r="AQ627" i="14" s="1"/>
  <c r="AP637" i="14"/>
  <c r="AQ637" i="14" s="1"/>
  <c r="AP653" i="14"/>
  <c r="AQ653" i="14" s="1"/>
  <c r="AP667" i="14"/>
  <c r="AQ667" i="14" s="1"/>
  <c r="AP674" i="14"/>
  <c r="AQ674" i="14" s="1"/>
  <c r="AP461" i="14"/>
  <c r="AQ461" i="14" s="1"/>
  <c r="AP140" i="14"/>
  <c r="AQ140" i="14" s="1"/>
  <c r="AP170" i="14"/>
  <c r="AQ170" i="14" s="1"/>
  <c r="AP201" i="14"/>
  <c r="AQ201" i="14" s="1"/>
  <c r="AP274" i="14"/>
  <c r="AQ274" i="14" s="1"/>
  <c r="AP310" i="14"/>
  <c r="AQ310" i="14" s="1"/>
  <c r="AP323" i="14"/>
  <c r="AQ323" i="14" s="1"/>
  <c r="AP362" i="14"/>
  <c r="AQ362" i="14" s="1"/>
  <c r="AP410" i="14"/>
  <c r="AQ410" i="14" s="1"/>
  <c r="AP418" i="14"/>
  <c r="AQ418" i="14" s="1"/>
  <c r="AP495" i="14"/>
  <c r="AQ495" i="14" s="1"/>
  <c r="AP565" i="14"/>
  <c r="AQ565" i="14" s="1"/>
  <c r="AP660" i="14"/>
  <c r="AQ660" i="14" s="1"/>
  <c r="AP675" i="14"/>
  <c r="AQ675" i="14" s="1"/>
  <c r="AP198" i="14"/>
  <c r="AQ198" i="14" s="1"/>
  <c r="AP141" i="14"/>
  <c r="AQ141" i="14" s="1"/>
  <c r="AP207" i="14"/>
  <c r="AQ207" i="14" s="1"/>
  <c r="AP272" i="14"/>
  <c r="AQ272" i="14" s="1"/>
  <c r="AP281" i="14"/>
  <c r="AQ281" i="14" s="1"/>
  <c r="AP363" i="14"/>
  <c r="AQ363" i="14" s="1"/>
  <c r="AP472" i="14"/>
  <c r="AQ472" i="14" s="1"/>
  <c r="AP479" i="14"/>
  <c r="AQ479" i="14" s="1"/>
  <c r="AP539" i="14"/>
  <c r="AQ539" i="14" s="1"/>
  <c r="AP546" i="14"/>
  <c r="AQ546" i="14" s="1"/>
  <c r="AP597" i="14"/>
  <c r="AQ597" i="14" s="1"/>
  <c r="AP621" i="14"/>
  <c r="AQ621" i="14" s="1"/>
  <c r="AP633" i="14"/>
  <c r="AQ633" i="14" s="1"/>
  <c r="AP668" i="14"/>
  <c r="AQ668" i="14" s="1"/>
  <c r="AP676" i="14"/>
  <c r="AQ676" i="14" s="1"/>
  <c r="AP65" i="14"/>
  <c r="AQ65" i="14" s="1"/>
  <c r="AP82" i="14"/>
  <c r="AQ82" i="14" s="1"/>
  <c r="AP88" i="14"/>
  <c r="AQ88" i="14" s="1"/>
  <c r="AP83" i="14"/>
  <c r="AQ83" i="14" s="1"/>
  <c r="AP118" i="14"/>
  <c r="AQ118" i="14" s="1"/>
  <c r="AP301" i="14"/>
  <c r="AQ301" i="14" s="1"/>
  <c r="AP304" i="14"/>
  <c r="AQ304" i="14" s="1"/>
  <c r="AP447" i="14"/>
  <c r="AQ447" i="14" s="1"/>
  <c r="AP516" i="14"/>
  <c r="AQ516" i="14" s="1"/>
  <c r="AP519" i="14"/>
  <c r="AQ519" i="14" s="1"/>
  <c r="AP520" i="14"/>
  <c r="AQ520" i="14" s="1"/>
  <c r="AP77" i="14"/>
  <c r="AQ77" i="14" s="1"/>
  <c r="AP125" i="14"/>
  <c r="AQ125" i="14" s="1"/>
  <c r="AP176" i="14"/>
  <c r="AQ176" i="14" s="1"/>
  <c r="AP209" i="14"/>
  <c r="AQ209" i="14" s="1"/>
  <c r="AP571" i="14"/>
  <c r="AQ571" i="14" s="1"/>
  <c r="AP177" i="14"/>
  <c r="AQ177" i="14" s="1"/>
  <c r="AP190" i="14"/>
  <c r="AQ190" i="14" s="1"/>
  <c r="AP443" i="14"/>
  <c r="AQ443" i="14" s="1"/>
  <c r="AP445" i="14"/>
  <c r="AQ445" i="14" s="1"/>
  <c r="AP210" i="14"/>
  <c r="AQ210" i="14" s="1"/>
  <c r="AP573" i="14"/>
  <c r="AQ573" i="14" s="1"/>
  <c r="AP57" i="14"/>
  <c r="AQ57" i="14" s="1"/>
  <c r="AP107" i="14"/>
  <c r="AQ107" i="14" s="1"/>
  <c r="AP114" i="14"/>
  <c r="AQ114" i="14" s="1"/>
  <c r="AP127" i="14"/>
  <c r="AQ127" i="14" s="1"/>
  <c r="AP260" i="14"/>
  <c r="AQ260" i="14" s="1"/>
  <c r="AP300" i="14"/>
  <c r="AQ300" i="14" s="1"/>
  <c r="AP437" i="14"/>
  <c r="AQ437" i="14" s="1"/>
  <c r="AP441" i="14"/>
  <c r="AQ441" i="14" s="1"/>
  <c r="AP68" i="14"/>
  <c r="AQ68" i="14" s="1"/>
  <c r="AP84" i="14"/>
  <c r="AQ84" i="14" s="1"/>
  <c r="AP79" i="14"/>
  <c r="AQ79" i="14" s="1"/>
  <c r="AP85" i="14"/>
  <c r="AQ85" i="14" s="1"/>
  <c r="AP108" i="14"/>
  <c r="AQ108" i="14" s="1"/>
  <c r="AP217" i="14"/>
  <c r="AQ217" i="14" s="1"/>
  <c r="AP220" i="14"/>
  <c r="AQ220" i="14" s="1"/>
  <c r="AP262" i="14"/>
  <c r="AQ262" i="14" s="1"/>
  <c r="AP532" i="14"/>
  <c r="AQ532" i="14" s="1"/>
  <c r="AP527" i="14"/>
  <c r="AQ527" i="14" s="1"/>
  <c r="AP69" i="14"/>
  <c r="AQ69" i="14" s="1"/>
  <c r="AP66" i="14"/>
  <c r="AQ66" i="14" s="1"/>
  <c r="AP128" i="14"/>
  <c r="AQ128" i="14" s="1"/>
  <c r="AP111" i="14"/>
  <c r="AQ111" i="14" s="1"/>
  <c r="AP112" i="14"/>
  <c r="AQ112" i="14" s="1"/>
  <c r="AP70" i="14"/>
  <c r="AQ70" i="14" s="1"/>
  <c r="AP80" i="14"/>
  <c r="AQ80" i="14" s="1"/>
  <c r="AP228" i="14"/>
  <c r="AQ228" i="14" s="1"/>
  <c r="AP302" i="14"/>
  <c r="AQ302" i="14" s="1"/>
  <c r="AP212" i="14"/>
  <c r="AQ212" i="14" s="1"/>
  <c r="AP214" i="14"/>
  <c r="AQ214" i="14" s="1"/>
  <c r="AP126" i="14"/>
  <c r="AQ126" i="14" s="1"/>
  <c r="AP67" i="14"/>
  <c r="AQ67" i="14" s="1"/>
  <c r="AP56" i="14"/>
  <c r="AQ56" i="14" s="1"/>
  <c r="AP58" i="14"/>
  <c r="AQ58" i="14" s="1"/>
  <c r="AP86" i="14"/>
  <c r="AQ86" i="14" s="1"/>
  <c r="AP109" i="14"/>
  <c r="AQ109" i="14" s="1"/>
  <c r="AP116" i="14"/>
  <c r="AQ116" i="14" s="1"/>
  <c r="AP168" i="14"/>
  <c r="AQ168" i="14" s="1"/>
  <c r="AP174" i="14"/>
  <c r="AQ174" i="14" s="1"/>
  <c r="AP439" i="14"/>
  <c r="AQ439" i="14" s="1"/>
  <c r="AP583" i="14"/>
  <c r="AQ583" i="14" s="1"/>
  <c r="AP434" i="14"/>
  <c r="AQ434" i="14" s="1"/>
  <c r="AP515" i="14"/>
  <c r="AQ515" i="14" s="1"/>
  <c r="AP261" i="14"/>
  <c r="AQ261" i="14" s="1"/>
  <c r="AP303" i="14"/>
  <c r="AQ303" i="14" s="1"/>
  <c r="AP465" i="14"/>
  <c r="AQ465" i="14" s="1"/>
  <c r="AP487" i="14"/>
  <c r="AQ487" i="14" s="1"/>
  <c r="AP493" i="14"/>
  <c r="AQ493" i="14" s="1"/>
  <c r="AP584" i="14"/>
  <c r="AQ584" i="14" s="1"/>
  <c r="AP338" i="14"/>
  <c r="AQ338" i="14" s="1"/>
  <c r="AP435" i="14"/>
  <c r="AQ435" i="14" s="1"/>
  <c r="AP488" i="14"/>
  <c r="AQ488" i="14" s="1"/>
  <c r="AP567" i="14"/>
  <c r="AQ567" i="14" s="1"/>
  <c r="AP601" i="14"/>
  <c r="AQ601" i="14" s="1"/>
  <c r="AP614" i="14"/>
  <c r="AQ614" i="14" s="1"/>
  <c r="AP113" i="14"/>
  <c r="AQ113" i="14" s="1"/>
  <c r="AP131" i="14"/>
  <c r="AQ131" i="14" s="1"/>
  <c r="AP173" i="14"/>
  <c r="AQ173" i="14" s="1"/>
  <c r="AP215" i="14"/>
  <c r="AQ215" i="14" s="1"/>
  <c r="AP257" i="14"/>
  <c r="AQ257" i="14" s="1"/>
  <c r="AP299" i="14"/>
  <c r="AQ299" i="14" s="1"/>
  <c r="AP442" i="14"/>
  <c r="AQ442" i="14" s="1"/>
  <c r="AP448" i="14"/>
  <c r="AQ448" i="14" s="1"/>
  <c r="AP602" i="14"/>
  <c r="AQ602" i="14" s="1"/>
  <c r="AP517" i="14"/>
  <c r="AQ517" i="14" s="1"/>
  <c r="AP604" i="14"/>
  <c r="AQ604" i="14" s="1"/>
  <c r="AP137" i="14"/>
  <c r="AQ137" i="14" s="1"/>
  <c r="AP179" i="14"/>
  <c r="AQ179" i="14" s="1"/>
  <c r="AP221" i="14"/>
  <c r="AQ221" i="14" s="1"/>
  <c r="AP263" i="14"/>
  <c r="AQ263" i="14" s="1"/>
  <c r="AP305" i="14"/>
  <c r="AQ305" i="14" s="1"/>
  <c r="AP496" i="14"/>
  <c r="AQ496" i="14" s="1"/>
  <c r="AP535" i="14"/>
  <c r="AQ535" i="14" s="1"/>
  <c r="AP569" i="14"/>
  <c r="AQ569" i="14" s="1"/>
  <c r="AP607" i="14"/>
  <c r="AQ607" i="14" s="1"/>
  <c r="AP605" i="14"/>
  <c r="AQ605" i="14" s="1"/>
  <c r="AP616" i="14"/>
  <c r="AQ616" i="14" s="1"/>
  <c r="AP611" i="14"/>
  <c r="AQ611" i="14" s="1"/>
  <c r="AP518" i="14"/>
  <c r="AQ518" i="14" s="1"/>
  <c r="AP599" i="14"/>
  <c r="AQ599" i="14" s="1"/>
  <c r="AP462" i="14"/>
  <c r="AQ462" i="14" s="1"/>
  <c r="AP485" i="14"/>
  <c r="AQ485" i="14" s="1"/>
  <c r="AP530" i="14"/>
  <c r="AQ530" i="14" s="1"/>
  <c r="AP326" i="14"/>
  <c r="AQ326" i="14" s="1"/>
  <c r="AP348" i="14"/>
  <c r="AQ348" i="14" s="1"/>
  <c r="AP351" i="14"/>
  <c r="AQ351" i="14" s="1"/>
  <c r="AP397" i="14"/>
  <c r="AQ397" i="14" s="1"/>
  <c r="AP403" i="14"/>
  <c r="AQ403" i="14" s="1"/>
  <c r="AP491" i="14"/>
  <c r="AQ491" i="14" s="1"/>
  <c r="AP564" i="14"/>
  <c r="AQ564" i="14" s="1"/>
  <c r="AP664" i="14"/>
  <c r="AQ664" i="14" s="1"/>
  <c r="AP147" i="14"/>
  <c r="AQ147" i="14" s="1"/>
  <c r="AP189" i="14"/>
  <c r="AQ189" i="14" s="1"/>
  <c r="AP231" i="14"/>
  <c r="AQ231" i="14" s="1"/>
  <c r="AP273" i="14"/>
  <c r="AQ273" i="14" s="1"/>
  <c r="AP335" i="14"/>
  <c r="AQ335" i="14" s="1"/>
  <c r="AP444" i="14"/>
  <c r="AQ444" i="14" s="1"/>
  <c r="AP129" i="14"/>
  <c r="AQ129" i="14" s="1"/>
  <c r="AP143" i="14"/>
  <c r="AQ143" i="14" s="1"/>
  <c r="AP171" i="14"/>
  <c r="AQ171" i="14" s="1"/>
  <c r="AP185" i="14"/>
  <c r="AQ185" i="14" s="1"/>
  <c r="AP213" i="14"/>
  <c r="AQ213" i="14" s="1"/>
  <c r="AP227" i="14"/>
  <c r="AQ227" i="14" s="1"/>
  <c r="AP255" i="14"/>
  <c r="AQ255" i="14" s="1"/>
  <c r="AP269" i="14"/>
  <c r="AQ269" i="14" s="1"/>
  <c r="AP297" i="14"/>
  <c r="AQ297" i="14" s="1"/>
  <c r="AP463" i="14"/>
  <c r="AQ463" i="14" s="1"/>
  <c r="AP531" i="14"/>
  <c r="AQ531" i="14" s="1"/>
  <c r="AP600" i="14"/>
  <c r="AQ600" i="14" s="1"/>
  <c r="AP636" i="14"/>
  <c r="AQ636" i="14" s="1"/>
  <c r="AP414" i="14"/>
  <c r="AQ414" i="14" s="1"/>
  <c r="AP470" i="14"/>
  <c r="AQ470" i="14" s="1"/>
  <c r="AP582" i="14"/>
  <c r="AQ582" i="14" s="1"/>
  <c r="AP638" i="14"/>
  <c r="AQ638" i="14" s="1"/>
  <c r="AP402" i="14"/>
  <c r="AQ402" i="14" s="1"/>
  <c r="AP570" i="14"/>
  <c r="AQ570" i="14" s="1"/>
  <c r="AP398" i="14"/>
  <c r="AQ398" i="14" s="1"/>
  <c r="AP510" i="14"/>
  <c r="AQ510" i="14" s="1"/>
  <c r="AP566" i="14"/>
  <c r="AQ566" i="14" s="1"/>
  <c r="AP450" i="14"/>
  <c r="AQ450" i="14" s="1"/>
  <c r="AP618" i="14"/>
  <c r="AQ618" i="14" s="1"/>
  <c r="AP438" i="14"/>
  <c r="AQ438" i="14" s="1"/>
  <c r="AP494" i="14"/>
  <c r="AQ494" i="14" s="1"/>
  <c r="AP606" i="14"/>
  <c r="AQ606" i="14" s="1"/>
  <c r="AP662" i="14"/>
  <c r="AQ662" i="14" s="1"/>
  <c r="AP374" i="14"/>
  <c r="AQ374" i="14" s="1"/>
  <c r="AP486" i="14"/>
  <c r="AQ486" i="14" s="1"/>
  <c r="AP542" i="14"/>
  <c r="AQ542" i="14" s="1"/>
  <c r="AP654" i="14"/>
  <c r="AQ654" i="14" s="1"/>
  <c r="AP366" i="14"/>
  <c r="AQ366" i="14" s="1"/>
  <c r="AP422" i="14"/>
  <c r="AQ422" i="14" s="1"/>
  <c r="AP534" i="14"/>
  <c r="AQ534" i="14" s="1"/>
  <c r="AP590" i="14"/>
  <c r="AQ590" i="14" s="1"/>
  <c r="AP46" i="14"/>
  <c r="AQ46" i="14" s="1"/>
  <c r="F72" i="39" l="1"/>
  <c r="F71" i="39"/>
  <c r="F69" i="39"/>
  <c r="F68" i="39"/>
  <c r="F67" i="39"/>
  <c r="F66" i="39"/>
  <c r="E72" i="39"/>
  <c r="E71" i="39"/>
  <c r="E69" i="39"/>
  <c r="E68" i="39"/>
  <c r="E67" i="39"/>
  <c r="E66" i="39"/>
  <c r="BX35" i="14"/>
  <c r="H11" i="14" l="1"/>
  <c r="AS36" i="14" l="1"/>
  <c r="BZ47" i="14"/>
  <c r="AQ35" i="14" l="1"/>
  <c r="AK35" i="14"/>
  <c r="BY35" i="14" l="1"/>
  <c r="AD682" i="14" l="1"/>
  <c r="AD681" i="14"/>
  <c r="AD680" i="14"/>
  <c r="AD679" i="14"/>
  <c r="AD678" i="14"/>
  <c r="AD676" i="14"/>
  <c r="AD671" i="14"/>
  <c r="AD677" i="14" s="1"/>
  <c r="AD670" i="14"/>
  <c r="AD669" i="14"/>
  <c r="AD668" i="14"/>
  <c r="AD667" i="14"/>
  <c r="AD666" i="14"/>
  <c r="AD664" i="14"/>
  <c r="AD659" i="14"/>
  <c r="AD665" i="14" s="1"/>
  <c r="AD658" i="14"/>
  <c r="AD657" i="14"/>
  <c r="AD656" i="14"/>
  <c r="AD655" i="14"/>
  <c r="AD654" i="14"/>
  <c r="AD652" i="14"/>
  <c r="AD647" i="14"/>
  <c r="AD653" i="14" s="1"/>
  <c r="AD646" i="14"/>
  <c r="AD645" i="14"/>
  <c r="AD644" i="14"/>
  <c r="AD643" i="14"/>
  <c r="AD642" i="14"/>
  <c r="AD640" i="14"/>
  <c r="AD635" i="14"/>
  <c r="AD641" i="14" s="1"/>
  <c r="AD634" i="14"/>
  <c r="AD633" i="14"/>
  <c r="AD632" i="14"/>
  <c r="AD631" i="14"/>
  <c r="AD630" i="14"/>
  <c r="AD628" i="14"/>
  <c r="AD623" i="14"/>
  <c r="AD629" i="14" s="1"/>
  <c r="AD622" i="14"/>
  <c r="AD621" i="14"/>
  <c r="AD620" i="14"/>
  <c r="AD619" i="14"/>
  <c r="AD618" i="14"/>
  <c r="AD616" i="14"/>
  <c r="AD611" i="14"/>
  <c r="AD617" i="14" s="1"/>
  <c r="AD610" i="14"/>
  <c r="AD609" i="14"/>
  <c r="AD608" i="14"/>
  <c r="AD607" i="14"/>
  <c r="AD606" i="14"/>
  <c r="AD604" i="14"/>
  <c r="AD599" i="14"/>
  <c r="AD605" i="14" s="1"/>
  <c r="AD598" i="14"/>
  <c r="AD597" i="14"/>
  <c r="AD596" i="14"/>
  <c r="AD595" i="14"/>
  <c r="AD594" i="14"/>
  <c r="AD592" i="14"/>
  <c r="AD587" i="14"/>
  <c r="AD593" i="14" s="1"/>
  <c r="AD586" i="14"/>
  <c r="AD585" i="14"/>
  <c r="AD584" i="14"/>
  <c r="AD583" i="14"/>
  <c r="AD582" i="14"/>
  <c r="AD580" i="14"/>
  <c r="AD575" i="14"/>
  <c r="AD581" i="14" s="1"/>
  <c r="AD574" i="14"/>
  <c r="AD573" i="14"/>
  <c r="AD572" i="14"/>
  <c r="AD571" i="14"/>
  <c r="AD570" i="14"/>
  <c r="AD568" i="14"/>
  <c r="AD563" i="14"/>
  <c r="AD569" i="14" s="1"/>
  <c r="AD562" i="14"/>
  <c r="AD561" i="14"/>
  <c r="AD560" i="14"/>
  <c r="AD559" i="14"/>
  <c r="AD558" i="14"/>
  <c r="AD556" i="14"/>
  <c r="AD551" i="14"/>
  <c r="AD557" i="14" s="1"/>
  <c r="AD550" i="14"/>
  <c r="AD549" i="14"/>
  <c r="AD548" i="14"/>
  <c r="AD547" i="14"/>
  <c r="AD546" i="14"/>
  <c r="AD544" i="14"/>
  <c r="AD539" i="14"/>
  <c r="AD545" i="14" s="1"/>
  <c r="AD538" i="14"/>
  <c r="AD537" i="14"/>
  <c r="AD536" i="14"/>
  <c r="AD535" i="14"/>
  <c r="AD534" i="14"/>
  <c r="AD532" i="14"/>
  <c r="AD527" i="14"/>
  <c r="AD533" i="14" s="1"/>
  <c r="AD526" i="14"/>
  <c r="AD525" i="14"/>
  <c r="AD524" i="14"/>
  <c r="AD523" i="14"/>
  <c r="AD522" i="14"/>
  <c r="AD520" i="14"/>
  <c r="AD515" i="14"/>
  <c r="AD521" i="14" s="1"/>
  <c r="AD514" i="14"/>
  <c r="AD513" i="14"/>
  <c r="AD512" i="14"/>
  <c r="AD511" i="14"/>
  <c r="AD510" i="14"/>
  <c r="AD508" i="14"/>
  <c r="AD503" i="14"/>
  <c r="AD509" i="14" s="1"/>
  <c r="AD502" i="14"/>
  <c r="AD501" i="14"/>
  <c r="AD500" i="14"/>
  <c r="AD499" i="14"/>
  <c r="AD498" i="14"/>
  <c r="AD496" i="14"/>
  <c r="AD491" i="14"/>
  <c r="AD497" i="14" s="1"/>
  <c r="AD490" i="14"/>
  <c r="AD489" i="14"/>
  <c r="AD488" i="14"/>
  <c r="AD487" i="14"/>
  <c r="AD486" i="14"/>
  <c r="AD484" i="14"/>
  <c r="AD479" i="14"/>
  <c r="AD485" i="14" s="1"/>
  <c r="AD478" i="14"/>
  <c r="AD477" i="14"/>
  <c r="AD476" i="14"/>
  <c r="AD475" i="14"/>
  <c r="AD474" i="14"/>
  <c r="AD472" i="14"/>
  <c r="AD467" i="14"/>
  <c r="AD473" i="14" s="1"/>
  <c r="AD466" i="14"/>
  <c r="AD465" i="14"/>
  <c r="AD464" i="14"/>
  <c r="AD463" i="14"/>
  <c r="AD462" i="14"/>
  <c r="AD460" i="14"/>
  <c r="AD455" i="14"/>
  <c r="AD461" i="14" s="1"/>
  <c r="AD454" i="14"/>
  <c r="AD453" i="14"/>
  <c r="AD452" i="14"/>
  <c r="AD451" i="14"/>
  <c r="AD450" i="14"/>
  <c r="AD448" i="14"/>
  <c r="AD443" i="14"/>
  <c r="AD449" i="14" s="1"/>
  <c r="AD442" i="14"/>
  <c r="AD441" i="14"/>
  <c r="AD440" i="14"/>
  <c r="AD439" i="14"/>
  <c r="AD438" i="14"/>
  <c r="AD436" i="14"/>
  <c r="AD431" i="14"/>
  <c r="AD437" i="14" s="1"/>
  <c r="AD430" i="14"/>
  <c r="AD429" i="14"/>
  <c r="AD428" i="14"/>
  <c r="AD427" i="14"/>
  <c r="AD426" i="14"/>
  <c r="AD424" i="14"/>
  <c r="AD419" i="14"/>
  <c r="AD425" i="14" s="1"/>
  <c r="AD418" i="14"/>
  <c r="AD417" i="14"/>
  <c r="AD416" i="14"/>
  <c r="AD415" i="14"/>
  <c r="AD414" i="14"/>
  <c r="AD412" i="14"/>
  <c r="AD407" i="14"/>
  <c r="AD413" i="14" s="1"/>
  <c r="AD406" i="14"/>
  <c r="AD405" i="14"/>
  <c r="AD404" i="14"/>
  <c r="AD403" i="14"/>
  <c r="AD402" i="14"/>
  <c r="AD400" i="14"/>
  <c r="AD395" i="14"/>
  <c r="AD401" i="14" s="1"/>
  <c r="AD394" i="14"/>
  <c r="AD393" i="14"/>
  <c r="AD392" i="14"/>
  <c r="AD391" i="14"/>
  <c r="AD390" i="14"/>
  <c r="AD388" i="14"/>
  <c r="AD383" i="14"/>
  <c r="AD389" i="14" s="1"/>
  <c r="AD382" i="14"/>
  <c r="AD381" i="14"/>
  <c r="AD380" i="14"/>
  <c r="AD379" i="14"/>
  <c r="AD378" i="14"/>
  <c r="AD376" i="14"/>
  <c r="AD371" i="14"/>
  <c r="AD377" i="14" s="1"/>
  <c r="AD370" i="14"/>
  <c r="AD369" i="14"/>
  <c r="AD368" i="14"/>
  <c r="AD367" i="14"/>
  <c r="AD366" i="14"/>
  <c r="AD364" i="14"/>
  <c r="AD359" i="14"/>
  <c r="AD365" i="14" s="1"/>
  <c r="AD358" i="14"/>
  <c r="AD357" i="14"/>
  <c r="AD356" i="14"/>
  <c r="AD355" i="14"/>
  <c r="AD354" i="14"/>
  <c r="AD352" i="14"/>
  <c r="AD347" i="14"/>
  <c r="AD353" i="14" s="1"/>
  <c r="AD346" i="14"/>
  <c r="AD345" i="14"/>
  <c r="AD344" i="14"/>
  <c r="AD343" i="14"/>
  <c r="AD342" i="14"/>
  <c r="AD340" i="14"/>
  <c r="AD335" i="14"/>
  <c r="AD341" i="14" s="1"/>
  <c r="AD334" i="14"/>
  <c r="AD333" i="14"/>
  <c r="AD332" i="14"/>
  <c r="AD331" i="14"/>
  <c r="AD330" i="14"/>
  <c r="AD328" i="14"/>
  <c r="AD323" i="14"/>
  <c r="AD329" i="14" s="1"/>
  <c r="AD322" i="14"/>
  <c r="AD321" i="14"/>
  <c r="AD320" i="14"/>
  <c r="AD319" i="14"/>
  <c r="AD318" i="14"/>
  <c r="AD316" i="14"/>
  <c r="AD311" i="14"/>
  <c r="AD317" i="14" s="1"/>
  <c r="AD310" i="14"/>
  <c r="AD309" i="14"/>
  <c r="AD308" i="14"/>
  <c r="AD307" i="14"/>
  <c r="AD306" i="14"/>
  <c r="AD304" i="14"/>
  <c r="AD299" i="14"/>
  <c r="AD305" i="14" s="1"/>
  <c r="AD298" i="14"/>
  <c r="AD297" i="14"/>
  <c r="AD296" i="14"/>
  <c r="AD295" i="14"/>
  <c r="AD294" i="14"/>
  <c r="AD292" i="14"/>
  <c r="AD287" i="14"/>
  <c r="AD293" i="14" s="1"/>
  <c r="AD286" i="14"/>
  <c r="AD285" i="14"/>
  <c r="AD284" i="14"/>
  <c r="AD283" i="14"/>
  <c r="AD282" i="14"/>
  <c r="AD280" i="14"/>
  <c r="AD275" i="14"/>
  <c r="AD281" i="14" s="1"/>
  <c r="AD274" i="14"/>
  <c r="AD273" i="14"/>
  <c r="AD272" i="14"/>
  <c r="AD271" i="14"/>
  <c r="AD270" i="14"/>
  <c r="AD268" i="14"/>
  <c r="AD263" i="14"/>
  <c r="AD269" i="14" s="1"/>
  <c r="AD262" i="14"/>
  <c r="AD261" i="14"/>
  <c r="AD260" i="14"/>
  <c r="AD259" i="14"/>
  <c r="AD258" i="14"/>
  <c r="AD256" i="14"/>
  <c r="AD251" i="14"/>
  <c r="AD257" i="14" s="1"/>
  <c r="AD250" i="14"/>
  <c r="AD249" i="14"/>
  <c r="AD248" i="14"/>
  <c r="AD247" i="14"/>
  <c r="AD246" i="14"/>
  <c r="AD244" i="14"/>
  <c r="AD239" i="14"/>
  <c r="AD245" i="14" s="1"/>
  <c r="AD238" i="14"/>
  <c r="AD237" i="14"/>
  <c r="AD236" i="14"/>
  <c r="AD235" i="14"/>
  <c r="AD234" i="14"/>
  <c r="AD232" i="14"/>
  <c r="AD227" i="14"/>
  <c r="AD233" i="14" s="1"/>
  <c r="AD226" i="14"/>
  <c r="AD225" i="14"/>
  <c r="AD224" i="14"/>
  <c r="AD223" i="14"/>
  <c r="AD222" i="14"/>
  <c r="AD220" i="14"/>
  <c r="AD215" i="14"/>
  <c r="AD221" i="14" s="1"/>
  <c r="AD214" i="14"/>
  <c r="AD213" i="14"/>
  <c r="AD212" i="14"/>
  <c r="AD211" i="14"/>
  <c r="AD210" i="14"/>
  <c r="AD208" i="14"/>
  <c r="AD203" i="14"/>
  <c r="AD209" i="14" s="1"/>
  <c r="AD202" i="14"/>
  <c r="AD201" i="14"/>
  <c r="AD200" i="14"/>
  <c r="AD199" i="14"/>
  <c r="AD198" i="14"/>
  <c r="AD196" i="14"/>
  <c r="AD191" i="14"/>
  <c r="AD197" i="14" s="1"/>
  <c r="AD190" i="14"/>
  <c r="AD189" i="14"/>
  <c r="AD188" i="14"/>
  <c r="AD187" i="14"/>
  <c r="AD186" i="14"/>
  <c r="AD184" i="14"/>
  <c r="AD179" i="14"/>
  <c r="AD185" i="14" s="1"/>
  <c r="AD178" i="14"/>
  <c r="AD177" i="14"/>
  <c r="AD176" i="14"/>
  <c r="AD175" i="14"/>
  <c r="AD174" i="14"/>
  <c r="AD172" i="14"/>
  <c r="AD167" i="14"/>
  <c r="AD173" i="14" s="1"/>
  <c r="AD166" i="14"/>
  <c r="AD165" i="14"/>
  <c r="AD164" i="14"/>
  <c r="AD163" i="14"/>
  <c r="AD162" i="14"/>
  <c r="AD160" i="14"/>
  <c r="AD155" i="14"/>
  <c r="AD161" i="14" s="1"/>
  <c r="AD154" i="14"/>
  <c r="AD153" i="14"/>
  <c r="AD152" i="14"/>
  <c r="AD151" i="14"/>
  <c r="AD150" i="14"/>
  <c r="AD148" i="14"/>
  <c r="AD143" i="14"/>
  <c r="AD149" i="14" s="1"/>
  <c r="AD142" i="14"/>
  <c r="AD141" i="14"/>
  <c r="AD140" i="14"/>
  <c r="AD139" i="14"/>
  <c r="AD138" i="14"/>
  <c r="AD136" i="14"/>
  <c r="AD131" i="14"/>
  <c r="AD137" i="14" s="1"/>
  <c r="AD130" i="14"/>
  <c r="AD129" i="14"/>
  <c r="AD128" i="14"/>
  <c r="AD127" i="14"/>
  <c r="AD126" i="14"/>
  <c r="AD124" i="14"/>
  <c r="AD119" i="14"/>
  <c r="AD125" i="14" s="1"/>
  <c r="AD118" i="14"/>
  <c r="AD117" i="14"/>
  <c r="AD116" i="14"/>
  <c r="AD115" i="14"/>
  <c r="AD114" i="14"/>
  <c r="AD112" i="14"/>
  <c r="AD107" i="14"/>
  <c r="AD113" i="14" s="1"/>
  <c r="AD106" i="14"/>
  <c r="AD105" i="14"/>
  <c r="AD104" i="14"/>
  <c r="AD103" i="14"/>
  <c r="AD102" i="14"/>
  <c r="AD100" i="14"/>
  <c r="AD95" i="14"/>
  <c r="AD101" i="14" s="1"/>
  <c r="AD94" i="14"/>
  <c r="AD93" i="14"/>
  <c r="AD92" i="14"/>
  <c r="AD91" i="14"/>
  <c r="AD90" i="14"/>
  <c r="AD88" i="14"/>
  <c r="AD83" i="14"/>
  <c r="AD89" i="14" s="1"/>
  <c r="AD82" i="14"/>
  <c r="AD81" i="14"/>
  <c r="AD80" i="14"/>
  <c r="AD79" i="14"/>
  <c r="AD78" i="14"/>
  <c r="AD76" i="14"/>
  <c r="AD71" i="14"/>
  <c r="AD77" i="14" s="1"/>
  <c r="AD70" i="14"/>
  <c r="AD69" i="14"/>
  <c r="AD68" i="14"/>
  <c r="AD67" i="14"/>
  <c r="AD66" i="14"/>
  <c r="AD64" i="14"/>
  <c r="AD59" i="14"/>
  <c r="AD65" i="14" s="1"/>
  <c r="AD58" i="14"/>
  <c r="AD57" i="14"/>
  <c r="AD56" i="14"/>
  <c r="AD55" i="14"/>
  <c r="AD54" i="14"/>
  <c r="AD52" i="14"/>
  <c r="AD47" i="14"/>
  <c r="AD53" i="14" s="1"/>
  <c r="AD35" i="14"/>
  <c r="F86" i="39"/>
  <c r="F85" i="39"/>
  <c r="F84" i="39"/>
  <c r="F83" i="39"/>
  <c r="F82" i="39"/>
  <c r="F78" i="39"/>
  <c r="F77" i="39"/>
  <c r="F76" i="39"/>
  <c r="F75" i="39"/>
  <c r="E86" i="39"/>
  <c r="E85" i="39"/>
  <c r="E84" i="39"/>
  <c r="E83" i="39"/>
  <c r="E82" i="39"/>
  <c r="F79" i="39"/>
  <c r="E79" i="39"/>
  <c r="E78" i="39"/>
  <c r="E77" i="39"/>
  <c r="E76" i="39"/>
  <c r="E75" i="39"/>
  <c r="H20" i="39"/>
  <c r="I20" i="39"/>
  <c r="J20" i="39" s="1"/>
  <c r="H21" i="39"/>
  <c r="I21" i="39"/>
  <c r="J21" i="39" s="1"/>
  <c r="J23" i="39"/>
  <c r="U119" i="14"/>
  <c r="U491" i="14"/>
  <c r="U179" i="14"/>
  <c r="U359" i="14"/>
  <c r="U431" i="14"/>
  <c r="U599" i="14"/>
  <c r="U407" i="14"/>
  <c r="U587" i="14"/>
  <c r="U95" i="14"/>
  <c r="U287" i="14"/>
  <c r="U575" i="14"/>
  <c r="U563" i="14"/>
  <c r="U311" i="14"/>
  <c r="U167" i="14"/>
  <c r="U551" i="14"/>
  <c r="U383" i="14"/>
  <c r="U263" i="14"/>
  <c r="U239" i="14"/>
  <c r="U527" i="14"/>
  <c r="U395" i="14"/>
  <c r="U371" i="14"/>
  <c r="U143" i="14"/>
  <c r="U419" i="14"/>
  <c r="U479" i="14"/>
  <c r="U503" i="14"/>
  <c r="U611" i="14"/>
  <c r="U515" i="14"/>
  <c r="U131" i="14"/>
  <c r="U671" i="14"/>
  <c r="U155" i="14"/>
  <c r="U335" i="14"/>
  <c r="U251" i="14"/>
  <c r="U455" i="14"/>
  <c r="U299" i="14"/>
  <c r="U647" i="14"/>
  <c r="U71" i="14"/>
  <c r="U275" i="14"/>
  <c r="U467" i="14"/>
  <c r="U215" i="14"/>
  <c r="U659" i="14"/>
  <c r="U203" i="14"/>
  <c r="U191" i="14"/>
  <c r="U107" i="14"/>
  <c r="U635" i="14"/>
  <c r="U539" i="14"/>
  <c r="U623" i="14"/>
  <c r="U323" i="14"/>
  <c r="U83" i="14"/>
  <c r="U443" i="14"/>
  <c r="U347" i="14"/>
  <c r="U227" i="14"/>
  <c r="S35" i="14" l="1"/>
  <c r="R35" i="14"/>
  <c r="F47" i="39" l="1"/>
  <c r="F46" i="39"/>
  <c r="F45" i="39"/>
  <c r="F44" i="39"/>
  <c r="F43" i="39"/>
  <c r="F42" i="39"/>
  <c r="F41" i="39"/>
  <c r="F40" i="39"/>
  <c r="F39" i="39"/>
  <c r="F38" i="39"/>
  <c r="F37" i="39"/>
  <c r="F36" i="39"/>
  <c r="F35" i="39"/>
  <c r="E47" i="39"/>
  <c r="E46" i="39"/>
  <c r="E45" i="39"/>
  <c r="E44" i="39"/>
  <c r="E43" i="39"/>
  <c r="E42" i="39"/>
  <c r="E41" i="39"/>
  <c r="E40" i="39"/>
  <c r="E39" i="39"/>
  <c r="E38" i="39"/>
  <c r="E37" i="39"/>
  <c r="E36" i="39"/>
  <c r="E35" i="39"/>
  <c r="U35" i="14"/>
  <c r="AA59" i="14"/>
  <c r="U47" i="14"/>
  <c r="AA35" i="14"/>
  <c r="AA47" i="14"/>
  <c r="U59" i="14"/>
  <c r="AA264" i="42" l="1"/>
  <c r="AB264" i="42"/>
  <c r="AC264" i="42"/>
  <c r="AE264" i="42"/>
  <c r="AF264" i="42"/>
  <c r="AG264" i="42"/>
  <c r="AH264" i="42"/>
  <c r="AJ264" i="42"/>
  <c r="AK264" i="42"/>
  <c r="AL264" i="42"/>
  <c r="AM264" i="42"/>
  <c r="AA265" i="42"/>
  <c r="AB265" i="42"/>
  <c r="AC265" i="42"/>
  <c r="AE265" i="42"/>
  <c r="AF265" i="42"/>
  <c r="AG265" i="42"/>
  <c r="AH265" i="42"/>
  <c r="AJ265" i="42"/>
  <c r="AK265" i="42"/>
  <c r="AL265" i="42"/>
  <c r="AM265" i="42"/>
  <c r="Z265" i="42"/>
  <c r="Z264" i="42"/>
  <c r="AA284" i="42"/>
  <c r="AB284" i="42"/>
  <c r="AC284" i="42"/>
  <c r="AE284" i="42"/>
  <c r="AF284" i="42"/>
  <c r="AG284" i="42"/>
  <c r="AH284" i="42"/>
  <c r="AJ284" i="42"/>
  <c r="AK284" i="42"/>
  <c r="AL284" i="42"/>
  <c r="AM284" i="42"/>
  <c r="AA285" i="42"/>
  <c r="AB285" i="42"/>
  <c r="AC285" i="42"/>
  <c r="AE285" i="42"/>
  <c r="AF285" i="42"/>
  <c r="AG285" i="42"/>
  <c r="AH285" i="42"/>
  <c r="AJ285" i="42"/>
  <c r="AK285" i="42"/>
  <c r="AL285" i="42"/>
  <c r="AM285" i="42"/>
  <c r="Z285" i="42"/>
  <c r="Z284" i="42"/>
  <c r="Z266" i="42"/>
  <c r="AA266" i="42"/>
  <c r="AB266" i="42"/>
  <c r="AC266" i="42"/>
  <c r="AE266" i="42"/>
  <c r="AF266" i="42"/>
  <c r="AG266" i="42"/>
  <c r="AH266" i="42"/>
  <c r="AJ266" i="42"/>
  <c r="AK266" i="42"/>
  <c r="AL266" i="42"/>
  <c r="AM266" i="42"/>
  <c r="Z267" i="42"/>
  <c r="AA267" i="42"/>
  <c r="AB267" i="42"/>
  <c r="AC267" i="42"/>
  <c r="AE267" i="42"/>
  <c r="AF267" i="42"/>
  <c r="AG267" i="42"/>
  <c r="AH267" i="42"/>
  <c r="AJ267" i="42"/>
  <c r="AK267" i="42"/>
  <c r="AL267" i="42"/>
  <c r="AM267" i="42"/>
  <c r="J274" i="42" l="1" a="1"/>
  <c r="E274" i="42" a="1"/>
  <c r="O254" i="42" a="1"/>
  <c r="O274" i="42" a="1"/>
  <c r="J254" i="42" a="1"/>
  <c r="E254" i="42" a="1"/>
  <c r="L35" i="14"/>
  <c r="L41" i="14" s="1"/>
  <c r="B30" i="14"/>
  <c r="E254" i="42" l="1"/>
  <c r="V254" i="42" s="1"/>
  <c r="V258" i="42"/>
  <c r="V267" i="42"/>
  <c r="V259" i="42"/>
  <c r="V266" i="42"/>
  <c r="V268" i="42"/>
  <c r="V260" i="42"/>
  <c r="V255" i="42"/>
  <c r="V262" i="42"/>
  <c r="V269" i="42"/>
  <c r="V263" i="42"/>
  <c r="V261" i="42"/>
  <c r="V256" i="42"/>
  <c r="V257" i="42"/>
  <c r="V264" i="42"/>
  <c r="V265" i="42"/>
  <c r="O274" i="42"/>
  <c r="X274" i="42" s="1"/>
  <c r="X277" i="42"/>
  <c r="X284" i="42"/>
  <c r="X287" i="42"/>
  <c r="X278" i="42"/>
  <c r="X285" i="42"/>
  <c r="X279" i="42"/>
  <c r="X286" i="42"/>
  <c r="X281" i="42"/>
  <c r="X288" i="42"/>
  <c r="X275" i="42"/>
  <c r="X282" i="42"/>
  <c r="X289" i="42"/>
  <c r="X276" i="42"/>
  <c r="X283" i="42"/>
  <c r="X280" i="42"/>
  <c r="O254" i="42"/>
  <c r="X254" i="42" s="1"/>
  <c r="X258" i="42"/>
  <c r="X265" i="42"/>
  <c r="X266" i="42"/>
  <c r="X267" i="42"/>
  <c r="X261" i="42"/>
  <c r="X259" i="42"/>
  <c r="X260" i="42"/>
  <c r="X268" i="42"/>
  <c r="X255" i="42"/>
  <c r="X262" i="42"/>
  <c r="X269" i="42"/>
  <c r="X263" i="42"/>
  <c r="X256" i="42"/>
  <c r="X257" i="42"/>
  <c r="X264" i="42"/>
  <c r="E274" i="42"/>
  <c r="V274" i="42" s="1"/>
  <c r="V279" i="42"/>
  <c r="V287" i="42"/>
  <c r="V278" i="42"/>
  <c r="V285" i="42"/>
  <c r="V286" i="42"/>
  <c r="V281" i="42"/>
  <c r="V288" i="42"/>
  <c r="V275" i="42"/>
  <c r="V282" i="42"/>
  <c r="V289" i="42"/>
  <c r="V276" i="42"/>
  <c r="V283" i="42"/>
  <c r="V277" i="42"/>
  <c r="V284" i="42"/>
  <c r="V280" i="42"/>
  <c r="J274" i="42"/>
  <c r="W274" i="42" s="1"/>
  <c r="W276" i="42"/>
  <c r="W281" i="42"/>
  <c r="W286" i="42"/>
  <c r="W282" i="42"/>
  <c r="W283" i="42"/>
  <c r="W280" i="42"/>
  <c r="W277" i="42"/>
  <c r="W285" i="42"/>
  <c r="W287" i="42"/>
  <c r="W278" i="42"/>
  <c r="W288" i="42"/>
  <c r="W279" i="42"/>
  <c r="W284" i="42"/>
  <c r="W275" i="42"/>
  <c r="W289" i="42"/>
  <c r="J254" i="42"/>
  <c r="W254" i="42" s="1"/>
  <c r="W266" i="42"/>
  <c r="W257" i="42"/>
  <c r="W258" i="42"/>
  <c r="W262" i="42"/>
  <c r="W265" i="42"/>
  <c r="W261" i="42"/>
  <c r="W267" i="42"/>
  <c r="W263" i="42"/>
  <c r="W268" i="42"/>
  <c r="W259" i="42"/>
  <c r="W264" i="42"/>
  <c r="W255" i="42"/>
  <c r="W269" i="42"/>
  <c r="W260" i="42"/>
  <c r="W256" i="42"/>
  <c r="AQ40" i="14"/>
  <c r="V35" i="14" l="1"/>
  <c r="AT22" i="43"/>
  <c r="AS22" i="43"/>
  <c r="AR23" i="43"/>
  <c r="AT23" i="43" s="1"/>
  <c r="B1" i="14"/>
  <c r="AS23" i="43" l="1"/>
  <c r="AR24" i="43"/>
  <c r="AF26" i="14"/>
  <c r="AF28" i="14"/>
  <c r="AF30" i="14"/>
  <c r="AF24" i="14"/>
  <c r="V8" i="14"/>
  <c r="AR25" i="43" l="1"/>
  <c r="AT24" i="43"/>
  <c r="AS24" i="43"/>
  <c r="V6" i="14"/>
  <c r="Y13" i="14" s="1"/>
  <c r="Z12" i="14"/>
  <c r="U26" i="14"/>
  <c r="C9" i="9"/>
  <c r="E99" i="43"/>
  <c r="B99" i="43"/>
  <c r="AR26" i="43" l="1"/>
  <c r="AS25" i="43"/>
  <c r="AT25" i="43"/>
  <c r="Y11" i="14"/>
  <c r="AA11" i="14" s="1"/>
  <c r="Y14" i="14"/>
  <c r="Y12" i="14"/>
  <c r="AA12" i="14" s="1"/>
  <c r="H31" i="44"/>
  <c r="E31" i="44"/>
  <c r="P8" i="44"/>
  <c r="V18" i="44"/>
  <c r="V5" i="14"/>
  <c r="V26" i="14"/>
  <c r="D8" i="40"/>
  <c r="AR27" i="43" l="1"/>
  <c r="AS26" i="43"/>
  <c r="AT26" i="43"/>
  <c r="B7" i="40"/>
  <c r="E34" i="44"/>
  <c r="E33" i="44"/>
  <c r="E32" i="44"/>
  <c r="E29" i="44"/>
  <c r="E27" i="44"/>
  <c r="K11" i="44" l="1"/>
  <c r="P11" i="44"/>
  <c r="K14" i="44" s="1"/>
  <c r="AR28" i="43"/>
  <c r="AS27" i="43"/>
  <c r="AT27" i="43"/>
  <c r="BV99" i="43" a="1"/>
  <c r="BV99" i="43" s="1"/>
  <c r="BW99" i="43" a="1"/>
  <c r="BW99" i="43" s="1"/>
  <c r="BX99" i="43" a="1"/>
  <c r="BX99" i="43" s="1"/>
  <c r="BY99" i="43" a="1"/>
  <c r="BY99" i="43" s="1"/>
  <c r="BZ99" i="43" a="1"/>
  <c r="BZ99" i="43" s="1"/>
  <c r="CA99" i="43" a="1"/>
  <c r="CA99" i="43" s="1"/>
  <c r="CB99" i="43" a="1"/>
  <c r="CB99" i="43" s="1"/>
  <c r="CC99" i="43" a="1"/>
  <c r="CC99" i="43" s="1"/>
  <c r="CD99" i="43" a="1"/>
  <c r="CD99" i="43" s="1"/>
  <c r="CE99" i="43" a="1"/>
  <c r="CE99" i="43" s="1"/>
  <c r="BA27" i="43" a="1"/>
  <c r="BA27" i="43" s="1"/>
  <c r="BB27" i="43" s="1"/>
  <c r="BA28" i="43" a="1"/>
  <c r="BA28" i="43" s="1"/>
  <c r="BB28" i="43" s="1"/>
  <c r="BC28" i="43" s="1"/>
  <c r="BE28" i="43" s="1"/>
  <c r="BA29" i="43" a="1"/>
  <c r="BA29" i="43" s="1"/>
  <c r="BB29" i="43" s="1"/>
  <c r="BA30" i="43" a="1"/>
  <c r="BA30" i="43" s="1"/>
  <c r="BB30" i="43" s="1"/>
  <c r="BC30" i="43" s="1"/>
  <c r="BE30" i="43" s="1"/>
  <c r="BA31" i="43" a="1"/>
  <c r="BA31" i="43" s="1"/>
  <c r="BB31" i="43" s="1"/>
  <c r="BC31" i="43" s="1"/>
  <c r="BE31" i="43" s="1"/>
  <c r="BA32" i="43" a="1"/>
  <c r="BA32" i="43" s="1"/>
  <c r="BB32" i="43" s="1"/>
  <c r="BC32" i="43" s="1"/>
  <c r="BE32" i="43" s="1"/>
  <c r="BA33" i="43" a="1"/>
  <c r="BA33" i="43" s="1"/>
  <c r="BB33" i="43" s="1"/>
  <c r="BA34" i="43" a="1"/>
  <c r="BA34" i="43" s="1"/>
  <c r="BB34" i="43" s="1"/>
  <c r="BA35" i="43" a="1"/>
  <c r="BA35" i="43" s="1"/>
  <c r="BB35" i="43" s="1"/>
  <c r="BA36" i="43" a="1"/>
  <c r="BA36" i="43" s="1"/>
  <c r="BB36" i="43" s="1"/>
  <c r="BA37" i="43" a="1"/>
  <c r="BA37" i="43" s="1"/>
  <c r="BB37" i="43" s="1"/>
  <c r="BC37" i="43" s="1"/>
  <c r="BE37" i="43" s="1"/>
  <c r="BA38" i="43" a="1"/>
  <c r="BA38" i="43" s="1"/>
  <c r="BB38" i="43" s="1"/>
  <c r="BA39" i="43" a="1"/>
  <c r="BA39" i="43" s="1"/>
  <c r="BB39" i="43" s="1"/>
  <c r="BC39" i="43" s="1"/>
  <c r="BE39" i="43" s="1"/>
  <c r="BA40" i="43" a="1"/>
  <c r="BA40" i="43" s="1"/>
  <c r="BB40" i="43" s="1"/>
  <c r="BC40" i="43" s="1"/>
  <c r="BE40" i="43" s="1"/>
  <c r="BA41" i="43" a="1"/>
  <c r="BA41" i="43" s="1"/>
  <c r="BB41" i="43" s="1"/>
  <c r="BC41" i="43" s="1"/>
  <c r="BE41" i="43" s="1"/>
  <c r="BA42" i="43" a="1"/>
  <c r="BA42" i="43" s="1"/>
  <c r="BB42" i="43" s="1"/>
  <c r="BC42" i="43" s="1"/>
  <c r="BE42" i="43" s="1"/>
  <c r="BA43" i="43" a="1"/>
  <c r="BA43" i="43" s="1"/>
  <c r="BB43" i="43" s="1"/>
  <c r="BC43" i="43" s="1"/>
  <c r="BE43" i="43" s="1"/>
  <c r="BA44" i="43" a="1"/>
  <c r="BA44" i="43" s="1"/>
  <c r="BB44" i="43" s="1"/>
  <c r="BC44" i="43" s="1"/>
  <c r="BE44" i="43" s="1"/>
  <c r="BA45" i="43" a="1"/>
  <c r="BA45" i="43" s="1"/>
  <c r="BB45" i="43" s="1"/>
  <c r="BC45" i="43" s="1"/>
  <c r="BE45" i="43" s="1"/>
  <c r="BA46" i="43" a="1"/>
  <c r="BA46" i="43" s="1"/>
  <c r="BB46" i="43" s="1"/>
  <c r="BA47" i="43" a="1"/>
  <c r="BA47" i="43" s="1"/>
  <c r="BB47" i="43" s="1"/>
  <c r="BC47" i="43" s="1"/>
  <c r="BE47" i="43" s="1"/>
  <c r="BA48" i="43" a="1"/>
  <c r="BA48" i="43" s="1"/>
  <c r="BB48" i="43" s="1"/>
  <c r="BC48" i="43" s="1"/>
  <c r="BE48" i="43" s="1"/>
  <c r="BA49" i="43" a="1"/>
  <c r="BA49" i="43" s="1"/>
  <c r="BB49" i="43" s="1"/>
  <c r="BA50" i="43" a="1"/>
  <c r="BA50" i="43" s="1"/>
  <c r="BB50" i="43" s="1"/>
  <c r="BA51" i="43" a="1"/>
  <c r="BA51" i="43" s="1"/>
  <c r="BB51" i="43" s="1"/>
  <c r="BA52" i="43" a="1"/>
  <c r="BA52" i="43" s="1"/>
  <c r="BB52" i="43" s="1"/>
  <c r="BC52" i="43" s="1"/>
  <c r="BE52" i="43" s="1"/>
  <c r="BA53" i="43" a="1"/>
  <c r="BA53" i="43" s="1"/>
  <c r="BB53" i="43" s="1"/>
  <c r="BC53" i="43" s="1"/>
  <c r="BE53" i="43" s="1"/>
  <c r="BA54" i="43" a="1"/>
  <c r="BA54" i="43" s="1"/>
  <c r="BB54" i="43" s="1"/>
  <c r="BC54" i="43" s="1"/>
  <c r="BE54" i="43" s="1"/>
  <c r="BA55" i="43" a="1"/>
  <c r="BA55" i="43" s="1"/>
  <c r="BB55" i="43" s="1"/>
  <c r="BC55" i="43" s="1"/>
  <c r="BE55" i="43" s="1"/>
  <c r="BA56" i="43" a="1"/>
  <c r="BA56" i="43" s="1"/>
  <c r="BB56" i="43" s="1"/>
  <c r="BC56" i="43" s="1"/>
  <c r="BE56" i="43" s="1"/>
  <c r="BA57" i="43" a="1"/>
  <c r="BA57" i="43" s="1"/>
  <c r="BB57" i="43" s="1"/>
  <c r="BC57" i="43" s="1"/>
  <c r="BE57" i="43" s="1"/>
  <c r="BA58" i="43" a="1"/>
  <c r="BA58" i="43" s="1"/>
  <c r="BB58" i="43" s="1"/>
  <c r="BC58" i="43" s="1"/>
  <c r="BE58" i="43" s="1"/>
  <c r="BA59" i="43" a="1"/>
  <c r="BA59" i="43" s="1"/>
  <c r="BB59" i="43" s="1"/>
  <c r="BA60" i="43" a="1"/>
  <c r="BA60" i="43" s="1"/>
  <c r="BB60" i="43" s="1"/>
  <c r="BC60" i="43" s="1"/>
  <c r="BE60" i="43" s="1"/>
  <c r="BA61" i="43" a="1"/>
  <c r="BA61" i="43" s="1"/>
  <c r="BB61" i="43" s="1"/>
  <c r="BA62" i="43" a="1"/>
  <c r="BA62" i="43" s="1"/>
  <c r="BB62" i="43" s="1"/>
  <c r="BC62" i="43" s="1"/>
  <c r="BE62" i="43" s="1"/>
  <c r="BA63" i="43" a="1"/>
  <c r="BA63" i="43" s="1"/>
  <c r="BB63" i="43" s="1"/>
  <c r="BA64" i="43" a="1"/>
  <c r="BA64" i="43" s="1"/>
  <c r="BB64" i="43" s="1"/>
  <c r="BC64" i="43" s="1"/>
  <c r="BE64" i="43" s="1"/>
  <c r="BA65" i="43" a="1"/>
  <c r="BA65" i="43" s="1"/>
  <c r="BB65" i="43" s="1"/>
  <c r="BC65" i="43" s="1"/>
  <c r="BE65" i="43" s="1"/>
  <c r="BA66" i="43" a="1"/>
  <c r="BA66" i="43" s="1"/>
  <c r="BB66" i="43" s="1"/>
  <c r="BA67" i="43" a="1"/>
  <c r="BA67" i="43" s="1"/>
  <c r="BB67" i="43" s="1"/>
  <c r="BA68" i="43" a="1"/>
  <c r="BA68" i="43" s="1"/>
  <c r="BB68" i="43" s="1"/>
  <c r="BC68" i="43" s="1"/>
  <c r="BE68" i="43" s="1"/>
  <c r="BA69" i="43" a="1"/>
  <c r="BA69" i="43" s="1"/>
  <c r="BB69" i="43" s="1"/>
  <c r="BA70" i="43" a="1"/>
  <c r="BA70" i="43" s="1"/>
  <c r="BB70" i="43" s="1"/>
  <c r="BC70" i="43" s="1"/>
  <c r="BE70" i="43" s="1"/>
  <c r="BA71" i="43" a="1"/>
  <c r="BA71" i="43" s="1"/>
  <c r="BB71" i="43" s="1"/>
  <c r="BC71" i="43" s="1"/>
  <c r="BE71" i="43" s="1"/>
  <c r="BA72" i="43" a="1"/>
  <c r="BA72" i="43" s="1"/>
  <c r="BB72" i="43" s="1"/>
  <c r="BA73" i="43" a="1"/>
  <c r="BA73" i="43" s="1"/>
  <c r="BB73" i="43" s="1"/>
  <c r="BA74" i="43" a="1"/>
  <c r="BA74" i="43" s="1"/>
  <c r="BB74" i="43" s="1"/>
  <c r="BC74" i="43" s="1"/>
  <c r="BE74" i="43" s="1"/>
  <c r="BA75" i="43" a="1"/>
  <c r="BA75" i="43" s="1"/>
  <c r="BB75" i="43" s="1"/>
  <c r="BA76" i="43" a="1"/>
  <c r="BA76" i="43" s="1"/>
  <c r="BB76" i="43" s="1"/>
  <c r="BC76" i="43" s="1"/>
  <c r="BE76" i="43" s="1"/>
  <c r="BA77" i="43" a="1"/>
  <c r="BA77" i="43" s="1"/>
  <c r="BB77" i="43" s="1"/>
  <c r="BA78" i="43" a="1"/>
  <c r="BA78" i="43" s="1"/>
  <c r="BB78" i="43" s="1"/>
  <c r="BA79" i="43" a="1"/>
  <c r="BA79" i="43" s="1"/>
  <c r="BB79" i="43" s="1"/>
  <c r="BA80" i="43" a="1"/>
  <c r="BA80" i="43" s="1"/>
  <c r="BB80" i="43" s="1"/>
  <c r="BC80" i="43" s="1"/>
  <c r="BE80" i="43" s="1"/>
  <c r="BA81" i="43" a="1"/>
  <c r="BA81" i="43" s="1"/>
  <c r="BB81" i="43" s="1"/>
  <c r="BA82" i="43" a="1"/>
  <c r="BA82" i="43" s="1"/>
  <c r="BB82" i="43" s="1"/>
  <c r="BA83" i="43" a="1"/>
  <c r="BA83" i="43" s="1"/>
  <c r="BB83" i="43" s="1"/>
  <c r="BC83" i="43" s="1"/>
  <c r="BE83" i="43" s="1"/>
  <c r="BA84" i="43" a="1"/>
  <c r="BA84" i="43" s="1"/>
  <c r="BB84" i="43" s="1"/>
  <c r="BC84" i="43" s="1"/>
  <c r="BE84" i="43" s="1"/>
  <c r="BA85" i="43" a="1"/>
  <c r="BA85" i="43" s="1"/>
  <c r="BB85" i="43" s="1"/>
  <c r="BA86" i="43" a="1"/>
  <c r="BA86" i="43" s="1"/>
  <c r="BB86" i="43" s="1"/>
  <c r="BC86" i="43" s="1"/>
  <c r="BE86" i="43" s="1"/>
  <c r="BA87" i="43" a="1"/>
  <c r="BA87" i="43" s="1"/>
  <c r="BB87" i="43" s="1"/>
  <c r="BA88" i="43" a="1"/>
  <c r="BA88" i="43" s="1"/>
  <c r="BB88" i="43" s="1"/>
  <c r="BC88" i="43" s="1"/>
  <c r="BE88" i="43" s="1"/>
  <c r="BA89" i="43" a="1"/>
  <c r="BA89" i="43" s="1"/>
  <c r="BB89" i="43" s="1"/>
  <c r="BA90" i="43" a="1"/>
  <c r="BA90" i="43" s="1"/>
  <c r="BB90" i="43" s="1"/>
  <c r="BA91" i="43" a="1"/>
  <c r="BA91" i="43" s="1"/>
  <c r="BB91" i="43" s="1"/>
  <c r="BA92" i="43" a="1"/>
  <c r="BA92" i="43" s="1"/>
  <c r="BB92" i="43" s="1"/>
  <c r="BA93" i="43" a="1"/>
  <c r="BA93" i="43" s="1"/>
  <c r="BB93" i="43" s="1"/>
  <c r="BA94" i="43" a="1"/>
  <c r="BA94" i="43" s="1"/>
  <c r="BB94" i="43" s="1"/>
  <c r="BA95" i="43" a="1"/>
  <c r="BA95" i="43" s="1"/>
  <c r="BB95" i="43" s="1"/>
  <c r="BA96" i="43" a="1"/>
  <c r="BA96" i="43" s="1"/>
  <c r="BB96" i="43" s="1"/>
  <c r="BA97" i="43" a="1"/>
  <c r="BA97" i="43" s="1"/>
  <c r="BB97" i="43" s="1"/>
  <c r="BA98" i="43" a="1"/>
  <c r="BA98" i="43" s="1"/>
  <c r="BB98" i="43" s="1"/>
  <c r="BA99" i="43" a="1"/>
  <c r="BA99" i="43" s="1"/>
  <c r="BB99" i="43" s="1"/>
  <c r="I11" i="43" a="1"/>
  <c r="I11" i="43" s="1"/>
  <c r="J11" i="43" a="1"/>
  <c r="J11" i="43" s="1"/>
  <c r="BA26" i="43" a="1"/>
  <c r="BA25" i="43" a="1"/>
  <c r="BA24" i="43" a="1"/>
  <c r="BA23" i="43" a="1"/>
  <c r="BA22" i="43" a="1"/>
  <c r="BA21" i="43" a="1"/>
  <c r="BA20" i="43" a="1"/>
  <c r="BA19" i="43" a="1"/>
  <c r="BA18" i="43" a="1"/>
  <c r="BA17" i="43" a="1"/>
  <c r="BA16" i="43" a="1"/>
  <c r="BA14" i="43" a="1"/>
  <c r="BA15" i="43" a="1"/>
  <c r="BA13" i="43" a="1"/>
  <c r="BA12" i="43" a="1"/>
  <c r="BA11" i="43" a="1"/>
  <c r="N11" i="43" l="1"/>
  <c r="AR29" i="43"/>
  <c r="AS28" i="43"/>
  <c r="AT28" i="43"/>
  <c r="BA12" i="43"/>
  <c r="BB12" i="43" s="1"/>
  <c r="BA11" i="43"/>
  <c r="BB11" i="43" s="1"/>
  <c r="BC11" i="43" s="1"/>
  <c r="BC94" i="43"/>
  <c r="BE94" i="43" s="1"/>
  <c r="BC46" i="43"/>
  <c r="BE46" i="43" s="1"/>
  <c r="BC77" i="43"/>
  <c r="BE77" i="43" s="1"/>
  <c r="BC38" i="43"/>
  <c r="BE38" i="43" s="1"/>
  <c r="BC92" i="43"/>
  <c r="BE92" i="43" s="1"/>
  <c r="BC99" i="43"/>
  <c r="BE99" i="43" s="1"/>
  <c r="BC98" i="43"/>
  <c r="BE98" i="43" s="1"/>
  <c r="BC93" i="43"/>
  <c r="BE93" i="43" s="1"/>
  <c r="BC95" i="43"/>
  <c r="BE95" i="43" s="1"/>
  <c r="BC90" i="43"/>
  <c r="BE90" i="43" s="1"/>
  <c r="BC97" i="43"/>
  <c r="BE97" i="43" s="1"/>
  <c r="BC96" i="43"/>
  <c r="BE96" i="43" s="1"/>
  <c r="BC78" i="43"/>
  <c r="BE78" i="43" s="1"/>
  <c r="BC61" i="43"/>
  <c r="BE61" i="43" s="1"/>
  <c r="BC73" i="43"/>
  <c r="BE73" i="43" s="1"/>
  <c r="BC36" i="43"/>
  <c r="BE36" i="43" s="1"/>
  <c r="BC82" i="43"/>
  <c r="BE82" i="43" s="1"/>
  <c r="BC91" i="43"/>
  <c r="BE91" i="43" s="1"/>
  <c r="BC75" i="43"/>
  <c r="BE75" i="43" s="1"/>
  <c r="BC67" i="43"/>
  <c r="BE67" i="43" s="1"/>
  <c r="BC63" i="43"/>
  <c r="BE63" i="43" s="1"/>
  <c r="BC50" i="43"/>
  <c r="BE50" i="43" s="1"/>
  <c r="BC87" i="43"/>
  <c r="BE87" i="43" s="1"/>
  <c r="BC81" i="43"/>
  <c r="BE81" i="43" s="1"/>
  <c r="BC72" i="43"/>
  <c r="BE72" i="43" s="1"/>
  <c r="BC66" i="43"/>
  <c r="BE66" i="43" s="1"/>
  <c r="BC69" i="43"/>
  <c r="BE69" i="43" s="1"/>
  <c r="BC59" i="43"/>
  <c r="BE59" i="43" s="1"/>
  <c r="BC85" i="43"/>
  <c r="BE85" i="43" s="1"/>
  <c r="BC49" i="43"/>
  <c r="BE49" i="43" s="1"/>
  <c r="BC34" i="43"/>
  <c r="BE34" i="43" s="1"/>
  <c r="BC89" i="43"/>
  <c r="BE89" i="43" s="1"/>
  <c r="BD89" i="43" s="1" a="1"/>
  <c r="BD89" i="43" s="1"/>
  <c r="BF89" i="43" s="1"/>
  <c r="BC35" i="43"/>
  <c r="BE35" i="43" s="1"/>
  <c r="BC79" i="43"/>
  <c r="BE79" i="43" s="1"/>
  <c r="BD79" i="43" s="1" a="1"/>
  <c r="BD79" i="43" s="1"/>
  <c r="BF79" i="43" s="1"/>
  <c r="BC51" i="43"/>
  <c r="BE51" i="43" s="1"/>
  <c r="BC33" i="43"/>
  <c r="BE33" i="43" s="1"/>
  <c r="BC29" i="43"/>
  <c r="BE29" i="43" s="1"/>
  <c r="BC27" i="43"/>
  <c r="BE27" i="43" s="1"/>
  <c r="BA26" i="43"/>
  <c r="BB26" i="43" s="1"/>
  <c r="BA25" i="43"/>
  <c r="BB25" i="43" s="1"/>
  <c r="BA24" i="43"/>
  <c r="BB24" i="43" s="1"/>
  <c r="BC24" i="43" s="1"/>
  <c r="BE24" i="43" s="1"/>
  <c r="BA23" i="43"/>
  <c r="BB23" i="43" s="1"/>
  <c r="BA22" i="43"/>
  <c r="BB22" i="43" s="1"/>
  <c r="BA21" i="43"/>
  <c r="BB21" i="43" s="1"/>
  <c r="BC21" i="43" s="1"/>
  <c r="BE21" i="43" s="1"/>
  <c r="BA20" i="43"/>
  <c r="BB20" i="43" s="1"/>
  <c r="BA15" i="43"/>
  <c r="BB15" i="43" s="1"/>
  <c r="BA19" i="43"/>
  <c r="BB19" i="43" s="1"/>
  <c r="BA14" i="43"/>
  <c r="BB14" i="43" s="1"/>
  <c r="BA18" i="43"/>
  <c r="BB18" i="43" s="1"/>
  <c r="BA13" i="43"/>
  <c r="BB13" i="43" s="1"/>
  <c r="BA17" i="43"/>
  <c r="BB17" i="43" s="1"/>
  <c r="BA16" i="43"/>
  <c r="BB16" i="43" s="1"/>
  <c r="Y11" i="43"/>
  <c r="AT12" i="43"/>
  <c r="N9" i="43"/>
  <c r="M11" i="43"/>
  <c r="Y12" i="43"/>
  <c r="Y13" i="43"/>
  <c r="Y14" i="43"/>
  <c r="Y15" i="43"/>
  <c r="Y16" i="43"/>
  <c r="Y17" i="43"/>
  <c r="Y18" i="43"/>
  <c r="Y19" i="43"/>
  <c r="Y20" i="43"/>
  <c r="Y21" i="43"/>
  <c r="Y22" i="43"/>
  <c r="Y23" i="43"/>
  <c r="I13" i="43" a="1"/>
  <c r="I13" i="43" s="1"/>
  <c r="I12" i="43" a="1"/>
  <c r="I12" i="43" s="1"/>
  <c r="O11" i="43" l="1"/>
  <c r="AW78" i="43"/>
  <c r="AW80" i="43"/>
  <c r="AW9" i="43"/>
  <c r="AW66" i="43"/>
  <c r="AW101" i="43"/>
  <c r="AW68" i="43"/>
  <c r="AW82" i="43"/>
  <c r="AW96" i="43"/>
  <c r="AW73" i="43"/>
  <c r="AW89" i="43"/>
  <c r="AW93" i="43"/>
  <c r="AW55" i="43"/>
  <c r="AW69" i="43"/>
  <c r="AW83" i="43"/>
  <c r="AW97" i="43"/>
  <c r="AW56" i="43"/>
  <c r="AW70" i="43"/>
  <c r="AW84" i="43"/>
  <c r="AW98" i="43"/>
  <c r="AW71" i="43"/>
  <c r="AW85" i="43"/>
  <c r="AW99" i="43"/>
  <c r="AW59" i="43"/>
  <c r="AW87" i="43"/>
  <c r="AW74" i="43"/>
  <c r="AW88" i="43"/>
  <c r="AW75" i="43"/>
  <c r="AW65" i="43"/>
  <c r="AW94" i="43"/>
  <c r="AW100" i="43"/>
  <c r="AW57" i="43"/>
  <c r="AW67" i="43"/>
  <c r="AW58" i="43"/>
  <c r="AW72" i="43"/>
  <c r="AW86" i="43"/>
  <c r="AW79" i="43"/>
  <c r="AW60" i="43"/>
  <c r="AW61" i="43"/>
  <c r="AW62" i="43"/>
  <c r="AW76" i="43"/>
  <c r="AW90" i="43"/>
  <c r="AW95" i="43"/>
  <c r="AW63" i="43"/>
  <c r="AW77" i="43"/>
  <c r="AW91" i="43"/>
  <c r="AW64" i="43"/>
  <c r="AW92" i="43"/>
  <c r="AW81" i="43"/>
  <c r="AR30" i="43"/>
  <c r="AT29" i="43"/>
  <c r="AS29" i="43"/>
  <c r="BG89" i="43"/>
  <c r="BG79" i="43"/>
  <c r="BD43" i="43" a="1"/>
  <c r="BD43" i="43" s="1"/>
  <c r="BF43" i="43" s="1"/>
  <c r="BD52" i="43" a="1"/>
  <c r="BD52" i="43" s="1"/>
  <c r="BF52" i="43" s="1"/>
  <c r="BD65" i="43" a="1"/>
  <c r="BD65" i="43" s="1"/>
  <c r="BF65" i="43" s="1"/>
  <c r="BD72" i="43" a="1"/>
  <c r="BD72" i="43" s="1"/>
  <c r="BF72" i="43" s="1"/>
  <c r="BD63" i="43" a="1"/>
  <c r="BD63" i="43" s="1"/>
  <c r="BF63" i="43" s="1"/>
  <c r="BD82" i="43" a="1"/>
  <c r="BD82" i="43" s="1"/>
  <c r="BF82" i="43" s="1"/>
  <c r="BD78" i="43" a="1"/>
  <c r="BD78" i="43" s="1"/>
  <c r="BF78" i="43" s="1"/>
  <c r="BD95" i="43" a="1"/>
  <c r="BD95" i="43" s="1"/>
  <c r="BF95" i="43" s="1"/>
  <c r="BD32" i="43" a="1"/>
  <c r="BD32" i="43" s="1"/>
  <c r="BF32" i="43" s="1"/>
  <c r="BD39" i="43" a="1"/>
  <c r="BD39" i="43" s="1"/>
  <c r="BF39" i="43" s="1"/>
  <c r="BD40" i="43" a="1"/>
  <c r="BD40" i="43" s="1"/>
  <c r="BF40" i="43" s="1"/>
  <c r="BD28" i="43" a="1"/>
  <c r="BD28" i="43" s="1"/>
  <c r="BF28" i="43" s="1"/>
  <c r="BD33" i="43" a="1"/>
  <c r="BD33" i="43" s="1"/>
  <c r="BF33" i="43" s="1"/>
  <c r="BD64" i="43" a="1"/>
  <c r="BD64" i="43" s="1"/>
  <c r="BF64" i="43" s="1"/>
  <c r="BD34" i="43" a="1"/>
  <c r="BD34" i="43" s="1"/>
  <c r="BF34" i="43" s="1"/>
  <c r="BD71" i="43" a="1"/>
  <c r="BD71" i="43" s="1"/>
  <c r="BF71" i="43" s="1"/>
  <c r="BD41" i="43" a="1"/>
  <c r="BD41" i="43" s="1"/>
  <c r="BF41" i="43" s="1"/>
  <c r="BD58" i="43" a="1"/>
  <c r="BD58" i="43" s="1"/>
  <c r="BF58" i="43" s="1"/>
  <c r="BD77" i="43" a="1"/>
  <c r="BD77" i="43" s="1"/>
  <c r="BF77" i="43" s="1"/>
  <c r="BD53" i="43" a="1"/>
  <c r="BD53" i="43" s="1"/>
  <c r="BF53" i="43" s="1"/>
  <c r="BD29" i="43" a="1"/>
  <c r="BD29" i="43" s="1"/>
  <c r="BF29" i="43" s="1"/>
  <c r="BD70" i="43" a="1"/>
  <c r="BD70" i="43" s="1"/>
  <c r="BF70" i="43" s="1"/>
  <c r="BD59" i="43" a="1"/>
  <c r="BD59" i="43" s="1"/>
  <c r="BF59" i="43" s="1"/>
  <c r="BD81" i="43" a="1"/>
  <c r="BD81" i="43" s="1"/>
  <c r="BF81" i="43" s="1"/>
  <c r="BD67" i="43" a="1"/>
  <c r="BD67" i="43" s="1"/>
  <c r="BF67" i="43" s="1"/>
  <c r="BD36" i="43" a="1"/>
  <c r="BD36" i="43" s="1"/>
  <c r="BF36" i="43" s="1"/>
  <c r="BD96" i="43" a="1"/>
  <c r="BD96" i="43" s="1"/>
  <c r="BF96" i="43" s="1"/>
  <c r="BD93" i="43" a="1"/>
  <c r="BD93" i="43" s="1"/>
  <c r="BF93" i="43" s="1"/>
  <c r="BD44" i="43" a="1"/>
  <c r="BD44" i="43" s="1"/>
  <c r="BF44" i="43" s="1"/>
  <c r="BD83" i="43" a="1"/>
  <c r="BD83" i="43" s="1"/>
  <c r="BF83" i="43" s="1"/>
  <c r="BD94" i="43" a="1"/>
  <c r="BD94" i="43" s="1"/>
  <c r="BF94" i="43" s="1"/>
  <c r="BD51" i="43" a="1"/>
  <c r="BD51" i="43" s="1"/>
  <c r="BF51" i="43" s="1"/>
  <c r="BD76" i="43" a="1"/>
  <c r="BD76" i="43" s="1"/>
  <c r="BF76" i="43" s="1"/>
  <c r="BD49" i="43" a="1"/>
  <c r="BD49" i="43" s="1"/>
  <c r="BF49" i="43" s="1"/>
  <c r="BD88" i="43" a="1"/>
  <c r="BD88" i="43" s="1"/>
  <c r="BF88" i="43" s="1"/>
  <c r="BD42" i="43" a="1"/>
  <c r="BD42" i="43" s="1"/>
  <c r="BF42" i="43" s="1"/>
  <c r="BD31" i="43" a="1"/>
  <c r="BD31" i="43" s="1"/>
  <c r="BF31" i="43" s="1"/>
  <c r="BD84" i="43" a="1"/>
  <c r="BD84" i="43" s="1"/>
  <c r="BF84" i="43" s="1"/>
  <c r="BD69" i="43" a="1"/>
  <c r="BD69" i="43" s="1"/>
  <c r="BF69" i="43" s="1"/>
  <c r="BD87" i="43" a="1"/>
  <c r="BD87" i="43" s="1"/>
  <c r="BF87" i="43" s="1"/>
  <c r="BD75" i="43" a="1"/>
  <c r="BD75" i="43" s="1"/>
  <c r="BF75" i="43" s="1"/>
  <c r="BD73" i="43" a="1"/>
  <c r="BD73" i="43" s="1"/>
  <c r="BF73" i="43" s="1"/>
  <c r="BD97" i="43" a="1"/>
  <c r="BD97" i="43" s="1"/>
  <c r="BF97" i="43" s="1"/>
  <c r="BD98" i="43" a="1"/>
  <c r="BD98" i="43" s="1"/>
  <c r="BF98" i="43" s="1"/>
  <c r="BD54" i="43" a="1"/>
  <c r="BD54" i="43" s="1"/>
  <c r="BF54" i="43" s="1"/>
  <c r="BD56" i="43" a="1"/>
  <c r="BD56" i="43" s="1"/>
  <c r="BF56" i="43" s="1"/>
  <c r="BD46" i="43" a="1"/>
  <c r="BD46" i="43" s="1"/>
  <c r="BF46" i="43" s="1"/>
  <c r="BD60" i="43" a="1"/>
  <c r="BD60" i="43" s="1"/>
  <c r="BF60" i="43" s="1"/>
  <c r="BD45" i="43" a="1"/>
  <c r="BD45" i="43" s="1"/>
  <c r="BF45" i="43" s="1"/>
  <c r="BD74" i="43" a="1"/>
  <c r="BD74" i="43" s="1"/>
  <c r="BF74" i="43" s="1"/>
  <c r="BD35" i="43" a="1"/>
  <c r="BD35" i="43" s="1"/>
  <c r="BF35" i="43" s="1"/>
  <c r="BD85" i="43" a="1"/>
  <c r="BD85" i="43" s="1"/>
  <c r="BF85" i="43" s="1"/>
  <c r="BD62" i="43" a="1"/>
  <c r="BD62" i="43" s="1"/>
  <c r="BF62" i="43" s="1"/>
  <c r="BD92" i="43" a="1"/>
  <c r="BD92" i="43" s="1"/>
  <c r="BF92" i="43" s="1"/>
  <c r="BD57" i="43" a="1"/>
  <c r="BD57" i="43" s="1"/>
  <c r="BF57" i="43" s="1"/>
  <c r="BD47" i="43" a="1"/>
  <c r="BD47" i="43" s="1"/>
  <c r="BF47" i="43" s="1"/>
  <c r="BD66" i="43" a="1"/>
  <c r="BD66" i="43" s="1"/>
  <c r="BF66" i="43" s="1"/>
  <c r="BD50" i="43" a="1"/>
  <c r="BD50" i="43" s="1"/>
  <c r="BF50" i="43" s="1"/>
  <c r="BD91" i="43" a="1"/>
  <c r="BD91" i="43" s="1"/>
  <c r="BF91" i="43" s="1"/>
  <c r="BD61" i="43" a="1"/>
  <c r="BD61" i="43" s="1"/>
  <c r="BF61" i="43" s="1"/>
  <c r="BD90" i="43" a="1"/>
  <c r="BD90" i="43" s="1"/>
  <c r="BF90" i="43" s="1"/>
  <c r="BD99" i="43" a="1"/>
  <c r="BD99" i="43" s="1"/>
  <c r="BF99" i="43" s="1"/>
  <c r="BD55" i="43" a="1"/>
  <c r="BD55" i="43" s="1"/>
  <c r="BF55" i="43" s="1"/>
  <c r="BD48" i="43" a="1"/>
  <c r="BD48" i="43" s="1"/>
  <c r="BF48" i="43" s="1"/>
  <c r="BD27" i="43" a="1"/>
  <c r="BD27" i="43" s="1"/>
  <c r="BF27" i="43" s="1"/>
  <c r="BD30" i="43" a="1"/>
  <c r="BD30" i="43" s="1"/>
  <c r="BF30" i="43" s="1"/>
  <c r="BD86" i="43" a="1"/>
  <c r="BD86" i="43" s="1"/>
  <c r="BF86" i="43" s="1"/>
  <c r="BD80" i="43" a="1"/>
  <c r="BD80" i="43" s="1"/>
  <c r="BF80" i="43" s="1"/>
  <c r="BD68" i="43" a="1"/>
  <c r="BD68" i="43" s="1"/>
  <c r="BF68" i="43" s="1"/>
  <c r="BD38" i="43" a="1"/>
  <c r="BD38" i="43" s="1"/>
  <c r="BF38" i="43" s="1"/>
  <c r="BD37" i="43" a="1"/>
  <c r="BD37" i="43" s="1"/>
  <c r="BF37" i="43" s="1"/>
  <c r="BG37" i="43"/>
  <c r="BG58" i="43"/>
  <c r="BG42" i="43"/>
  <c r="BG54" i="43"/>
  <c r="BG55" i="43"/>
  <c r="BG57" i="43"/>
  <c r="BG60" i="43"/>
  <c r="BG53" i="43"/>
  <c r="BG46" i="43"/>
  <c r="BG83" i="43"/>
  <c r="BG56" i="43"/>
  <c r="BG40" i="43"/>
  <c r="BG77" i="43"/>
  <c r="BG44" i="43"/>
  <c r="BC26" i="43"/>
  <c r="BE26" i="43" s="1"/>
  <c r="BD26" i="43" s="1" a="1"/>
  <c r="BD26" i="43" s="1"/>
  <c r="BF26" i="43" s="1"/>
  <c r="BG39" i="43"/>
  <c r="BG38" i="43"/>
  <c r="BC25" i="43"/>
  <c r="BE25" i="43" s="1"/>
  <c r="BD25" i="43" s="1" a="1"/>
  <c r="BD25" i="43" s="1"/>
  <c r="BF25" i="43" s="1"/>
  <c r="BG32" i="43"/>
  <c r="BG48" i="43"/>
  <c r="BG94" i="43"/>
  <c r="BG68" i="43"/>
  <c r="BG41" i="43"/>
  <c r="BG88" i="43"/>
  <c r="BG62" i="43"/>
  <c r="BG92" i="43"/>
  <c r="BG47" i="43"/>
  <c r="BG51" i="43"/>
  <c r="BG35" i="43"/>
  <c r="BG34" i="43"/>
  <c r="BG65" i="43"/>
  <c r="BG66" i="43"/>
  <c r="BG50" i="43"/>
  <c r="BG36" i="43"/>
  <c r="BG96" i="43"/>
  <c r="BG93" i="43"/>
  <c r="BG82" i="43"/>
  <c r="BG71" i="43"/>
  <c r="BG87" i="43"/>
  <c r="BG29" i="43"/>
  <c r="BG74" i="43"/>
  <c r="BG49" i="43"/>
  <c r="BG59" i="43"/>
  <c r="BG72" i="43"/>
  <c r="BG63" i="43"/>
  <c r="BG73" i="43"/>
  <c r="BG97" i="43"/>
  <c r="BG98" i="43"/>
  <c r="BG80" i="43"/>
  <c r="BG95" i="43"/>
  <c r="BG84" i="43"/>
  <c r="BG27" i="43"/>
  <c r="BG52" i="43"/>
  <c r="BG75" i="43"/>
  <c r="BG31" i="43"/>
  <c r="BG43" i="43"/>
  <c r="BG86" i="43"/>
  <c r="BG64" i="43"/>
  <c r="BG85" i="43"/>
  <c r="BG69" i="43"/>
  <c r="BG81" i="43"/>
  <c r="BG67" i="43"/>
  <c r="BG91" i="43"/>
  <c r="BG61" i="43"/>
  <c r="BG90" i="43"/>
  <c r="BG99" i="43"/>
  <c r="BG76" i="43"/>
  <c r="BG78" i="43"/>
  <c r="BG30" i="43"/>
  <c r="BG28" i="43"/>
  <c r="BG45" i="43"/>
  <c r="BG33" i="43"/>
  <c r="BG70" i="43"/>
  <c r="BC20" i="43"/>
  <c r="BE20" i="43" s="1"/>
  <c r="BD20" i="43" s="1" a="1"/>
  <c r="BD20" i="43" s="1"/>
  <c r="BF20" i="43" s="1"/>
  <c r="BC23" i="43"/>
  <c r="BE23" i="43" s="1"/>
  <c r="BC22" i="43"/>
  <c r="BE22" i="43" s="1"/>
  <c r="BD22" i="43" s="1" a="1"/>
  <c r="BD22" i="43" s="1"/>
  <c r="BF22" i="43" s="1"/>
  <c r="BC12" i="43"/>
  <c r="BC16" i="43"/>
  <c r="BE16" i="43" s="1"/>
  <c r="BC13" i="43"/>
  <c r="BC18" i="43"/>
  <c r="BE18" i="43" s="1"/>
  <c r="BC14" i="43"/>
  <c r="BC17" i="43"/>
  <c r="BE17" i="43" s="1"/>
  <c r="BC19" i="43"/>
  <c r="BE19" i="43" s="1"/>
  <c r="BC15" i="43"/>
  <c r="AM36" i="14"/>
  <c r="AQ36" i="14"/>
  <c r="AM37" i="14"/>
  <c r="AQ37" i="14"/>
  <c r="AM38" i="14"/>
  <c r="AQ38" i="14"/>
  <c r="AM39" i="14"/>
  <c r="AQ39" i="14"/>
  <c r="AD40" i="14"/>
  <c r="AM40" i="14"/>
  <c r="V8" i="44"/>
  <c r="V17" i="14"/>
  <c r="V16" i="14"/>
  <c r="V15" i="14"/>
  <c r="AK40" i="14"/>
  <c r="BH79" i="43" a="1"/>
  <c r="BH65" i="43" a="1"/>
  <c r="AK36" i="14"/>
  <c r="BH74" i="43" a="1"/>
  <c r="AK38" i="14"/>
  <c r="BH77" i="43" a="1"/>
  <c r="BH99" i="43" a="1"/>
  <c r="BH55" i="43" a="1"/>
  <c r="BH36" i="43" a="1"/>
  <c r="AK39" i="14"/>
  <c r="BH35" i="43" a="1"/>
  <c r="BH29" i="43" a="1"/>
  <c r="BH49" i="43" a="1"/>
  <c r="BH45" i="43" a="1"/>
  <c r="BH52" i="43" a="1"/>
  <c r="BH50" i="43" a="1"/>
  <c r="BH83" i="43" a="1"/>
  <c r="BH53" i="43" a="1"/>
  <c r="BH54" i="43" a="1"/>
  <c r="BH76" i="43" a="1"/>
  <c r="BH88" i="43" a="1"/>
  <c r="BH62" i="43" a="1"/>
  <c r="BH48" i="43" a="1"/>
  <c r="BH60" i="43" a="1"/>
  <c r="BH58" i="43" a="1"/>
  <c r="BH82" i="43" a="1"/>
  <c r="BH91" i="43" a="1"/>
  <c r="BH61" i="43" a="1"/>
  <c r="BH42" i="43" a="1"/>
  <c r="BH63" i="43" a="1"/>
  <c r="BH89" i="43" a="1"/>
  <c r="BH56" i="43" a="1"/>
  <c r="BH78" i="43" a="1"/>
  <c r="BH43" i="43" a="1"/>
  <c r="BH90" i="43" a="1"/>
  <c r="BH98" i="43" a="1"/>
  <c r="BH70" i="43" a="1"/>
  <c r="BH51" i="43" a="1"/>
  <c r="BH41" i="43" a="1"/>
  <c r="BH27" i="43" a="1"/>
  <c r="BH46" i="43" a="1"/>
  <c r="BH59" i="43" a="1"/>
  <c r="BH95" i="43" a="1"/>
  <c r="BH32" i="43" a="1"/>
  <c r="BH28" i="43" a="1"/>
  <c r="AK37" i="14"/>
  <c r="BH72" i="43" a="1"/>
  <c r="BH94" i="43" a="1"/>
  <c r="BH81" i="43" a="1"/>
  <c r="BH84" i="43" a="1"/>
  <c r="BH71" i="43" a="1"/>
  <c r="BH30" i="43" a="1"/>
  <c r="BH31" i="43" a="1"/>
  <c r="BH67" i="43" a="1"/>
  <c r="BH87" i="43" a="1"/>
  <c r="BH68" i="43" a="1"/>
  <c r="BH93" i="43" a="1"/>
  <c r="BH97" i="43" a="1"/>
  <c r="BH39" i="43" a="1"/>
  <c r="BH86" i="43" a="1"/>
  <c r="BH92" i="43" a="1"/>
  <c r="BH64" i="43" a="1"/>
  <c r="BH85" i="43" a="1"/>
  <c r="BH69" i="43" a="1"/>
  <c r="BH80" i="43" a="1"/>
  <c r="BH33" i="43" a="1"/>
  <c r="BH66" i="43" a="1"/>
  <c r="BH40" i="43" a="1"/>
  <c r="BH57" i="43" a="1"/>
  <c r="BH38" i="43" a="1"/>
  <c r="BH44" i="43" a="1"/>
  <c r="BH75" i="43" a="1"/>
  <c r="BH37" i="43" a="1"/>
  <c r="BH73" i="43" a="1"/>
  <c r="BH96" i="43" a="1"/>
  <c r="BH47" i="43" a="1"/>
  <c r="BH34" i="43" a="1"/>
  <c r="AX65" i="43" l="1"/>
  <c r="AX86" i="43"/>
  <c r="AX79" i="43"/>
  <c r="AX60" i="43"/>
  <c r="AX91" i="43"/>
  <c r="AX74" i="43"/>
  <c r="AX69" i="43"/>
  <c r="AX95" i="43"/>
  <c r="AX66" i="43"/>
  <c r="AX89" i="43"/>
  <c r="AX58" i="43"/>
  <c r="AX81" i="43"/>
  <c r="AX64" i="43"/>
  <c r="AX97" i="43"/>
  <c r="AX56" i="43"/>
  <c r="AX84" i="43"/>
  <c r="AX67" i="43"/>
  <c r="AX77" i="43"/>
  <c r="AX85" i="43"/>
  <c r="AX71" i="43"/>
  <c r="AX88" i="43"/>
  <c r="AX73" i="43"/>
  <c r="AX57" i="43"/>
  <c r="AX92" i="43"/>
  <c r="AX87" i="43"/>
  <c r="AX59" i="43"/>
  <c r="AX63" i="43"/>
  <c r="AX90" i="43"/>
  <c r="AX83" i="43"/>
  <c r="AX75" i="43"/>
  <c r="AX98" i="43"/>
  <c r="AX76" i="43"/>
  <c r="AX99" i="43"/>
  <c r="AX93" i="43"/>
  <c r="AX78" i="43"/>
  <c r="AX62" i="43"/>
  <c r="AX70" i="43"/>
  <c r="AX72" i="43"/>
  <c r="AX82" i="43"/>
  <c r="AX94" i="43"/>
  <c r="AX68" i="43"/>
  <c r="AX61" i="43"/>
  <c r="AX96" i="43"/>
  <c r="AX80" i="43"/>
  <c r="AR31" i="43"/>
  <c r="AS30" i="43"/>
  <c r="AT30" i="43"/>
  <c r="BD23" i="43" a="1"/>
  <c r="BD23" i="43" s="1"/>
  <c r="BF23" i="43" s="1"/>
  <c r="BH89" i="43"/>
  <c r="BG22" i="43"/>
  <c r="BH79" i="43"/>
  <c r="BG26" i="43"/>
  <c r="BG25" i="43"/>
  <c r="BG20" i="43"/>
  <c r="BG23" i="43"/>
  <c r="BD24" i="43" a="1"/>
  <c r="BD24" i="43" s="1"/>
  <c r="BF24" i="43" s="1"/>
  <c r="BD18" i="43" a="1"/>
  <c r="BD18" i="43" s="1"/>
  <c r="BF18" i="43" s="1"/>
  <c r="BD19" i="43" a="1"/>
  <c r="BD19" i="43" s="1"/>
  <c r="BF19" i="43" s="1"/>
  <c r="BD21" i="43" a="1"/>
  <c r="BD21" i="43" s="1"/>
  <c r="BF21" i="43" s="1"/>
  <c r="BD17" i="43" a="1"/>
  <c r="BD17" i="43" s="1"/>
  <c r="BF17" i="43" s="1"/>
  <c r="BD16" i="43" a="1"/>
  <c r="BD16" i="43" s="1"/>
  <c r="BF16" i="43" s="1"/>
  <c r="BG21" i="43"/>
  <c r="BH42" i="43"/>
  <c r="BH60" i="43"/>
  <c r="BH53" i="43"/>
  <c r="BH46" i="43"/>
  <c r="BH83" i="43"/>
  <c r="BH54" i="43"/>
  <c r="BH56" i="43"/>
  <c r="BH57" i="43"/>
  <c r="BH77" i="43"/>
  <c r="BH40" i="43"/>
  <c r="BH58" i="43"/>
  <c r="BH44" i="43"/>
  <c r="BH39" i="43"/>
  <c r="BH38" i="43"/>
  <c r="BH55" i="43"/>
  <c r="BH37" i="43"/>
  <c r="BH94" i="43"/>
  <c r="BH48" i="43"/>
  <c r="BH32" i="43"/>
  <c r="BG24" i="43"/>
  <c r="BH88" i="43"/>
  <c r="BH41" i="43"/>
  <c r="BH92" i="43"/>
  <c r="BH68" i="43"/>
  <c r="BH62" i="43"/>
  <c r="BH70" i="43"/>
  <c r="BH30" i="43"/>
  <c r="BH86" i="43"/>
  <c r="BH52" i="43"/>
  <c r="BH80" i="43"/>
  <c r="BH74" i="43"/>
  <c r="BH82" i="43"/>
  <c r="BH50" i="43"/>
  <c r="BH33" i="43"/>
  <c r="BH61" i="43"/>
  <c r="BH69" i="43"/>
  <c r="BH43" i="43"/>
  <c r="BH27" i="43"/>
  <c r="BH98" i="43"/>
  <c r="BH29" i="43"/>
  <c r="BH51" i="43"/>
  <c r="BH45" i="43"/>
  <c r="BH91" i="43"/>
  <c r="BH31" i="43"/>
  <c r="BH59" i="43"/>
  <c r="BH87" i="43"/>
  <c r="BH96" i="43"/>
  <c r="BH65" i="43"/>
  <c r="BH47" i="43"/>
  <c r="BH35" i="43"/>
  <c r="BH78" i="43"/>
  <c r="BH72" i="43"/>
  <c r="BH93" i="43"/>
  <c r="BH66" i="43"/>
  <c r="BH76" i="43"/>
  <c r="BH85" i="43"/>
  <c r="BH84" i="43"/>
  <c r="BH97" i="43"/>
  <c r="BH90" i="43"/>
  <c r="BH67" i="43"/>
  <c r="BH75" i="43"/>
  <c r="BH73" i="43"/>
  <c r="BH49" i="43"/>
  <c r="BH71" i="43"/>
  <c r="BH63" i="43"/>
  <c r="BH81" i="43"/>
  <c r="BH28" i="43"/>
  <c r="BH99" i="43"/>
  <c r="BH64" i="43"/>
  <c r="BH95" i="43"/>
  <c r="BH36" i="43"/>
  <c r="BH34" i="43"/>
  <c r="BG19" i="43"/>
  <c r="BG17" i="43"/>
  <c r="BG18" i="43"/>
  <c r="BG16" i="43"/>
  <c r="V7" i="44"/>
  <c r="BH20" i="43" a="1"/>
  <c r="BH22" i="43" a="1"/>
  <c r="BH18" i="43" a="1"/>
  <c r="BH19" i="43" a="1"/>
  <c r="BH21" i="43" a="1"/>
  <c r="BH23" i="43" a="1"/>
  <c r="BH25" i="43" a="1"/>
  <c r="BH17" i="43" a="1"/>
  <c r="BH26" i="43" a="1"/>
  <c r="BH16" i="43" a="1"/>
  <c r="BH24" i="43" a="1"/>
  <c r="AR32" i="43" l="1"/>
  <c r="AT31" i="43"/>
  <c r="AS31" i="43"/>
  <c r="BH22" i="43"/>
  <c r="BH26" i="43"/>
  <c r="BH23" i="43"/>
  <c r="BH20" i="43"/>
  <c r="BH25" i="43"/>
  <c r="BH24" i="43"/>
  <c r="BH21" i="43"/>
  <c r="BH19" i="43"/>
  <c r="BH17" i="43"/>
  <c r="BH18" i="43"/>
  <c r="BH16" i="43"/>
  <c r="E11" i="14"/>
  <c r="Z13" i="14"/>
  <c r="Z14" i="14"/>
  <c r="V12" i="44"/>
  <c r="V9" i="44"/>
  <c r="V5" i="44"/>
  <c r="V4" i="44"/>
  <c r="F14" i="14" l="1"/>
  <c r="E17" i="14"/>
  <c r="H14" i="14"/>
  <c r="AA13" i="14"/>
  <c r="H18" i="14"/>
  <c r="D12" i="40"/>
  <c r="AR33" i="43"/>
  <c r="AT32" i="43"/>
  <c r="AS32" i="43"/>
  <c r="B8" i="40"/>
  <c r="V17" i="44"/>
  <c r="AJ34" i="44" s="1"/>
  <c r="B28" i="14" l="1"/>
  <c r="AR34" i="43"/>
  <c r="AS33" i="43"/>
  <c r="AT33" i="43"/>
  <c r="AR35" i="43" l="1"/>
  <c r="AS34" i="43"/>
  <c r="AT34" i="43"/>
  <c r="AA14" i="14"/>
  <c r="D13" i="40" s="1"/>
  <c r="AR36" i="43" l="1"/>
  <c r="AS35" i="43"/>
  <c r="AT35" i="43"/>
  <c r="V11" i="44"/>
  <c r="H28" i="44"/>
  <c r="AD41" i="14"/>
  <c r="BZ35" i="14"/>
  <c r="AR37" i="43" l="1"/>
  <c r="AT36" i="43"/>
  <c r="AS36" i="43"/>
  <c r="C99" i="43"/>
  <c r="F99" i="43" s="1"/>
  <c r="D99" i="43"/>
  <c r="Y46" i="43"/>
  <c r="Y47" i="43"/>
  <c r="Y48" i="43"/>
  <c r="Y49" i="43"/>
  <c r="Y50" i="43"/>
  <c r="Y51" i="43"/>
  <c r="Y52" i="43"/>
  <c r="Y53" i="43"/>
  <c r="Y54" i="43"/>
  <c r="M46" i="43"/>
  <c r="M47" i="43"/>
  <c r="M48" i="43"/>
  <c r="M49" i="43"/>
  <c r="M50" i="43"/>
  <c r="M51" i="43"/>
  <c r="M52" i="43"/>
  <c r="M53" i="43"/>
  <c r="M54" i="43"/>
  <c r="M55" i="43"/>
  <c r="M56" i="43"/>
  <c r="M57" i="43"/>
  <c r="M58" i="43"/>
  <c r="M59" i="43"/>
  <c r="M60" i="43"/>
  <c r="M61" i="43"/>
  <c r="M62" i="43"/>
  <c r="M63" i="43"/>
  <c r="M64" i="43"/>
  <c r="M65" i="43"/>
  <c r="M66" i="43"/>
  <c r="M67" i="43"/>
  <c r="M68" i="43"/>
  <c r="M69" i="43"/>
  <c r="M70" i="43"/>
  <c r="M71" i="43"/>
  <c r="M72" i="43"/>
  <c r="M73" i="43"/>
  <c r="M74" i="43"/>
  <c r="M75" i="43"/>
  <c r="M76" i="43"/>
  <c r="M77" i="43"/>
  <c r="M78" i="43"/>
  <c r="M79" i="43"/>
  <c r="M80" i="43"/>
  <c r="M81" i="43"/>
  <c r="M82" i="43"/>
  <c r="M83" i="43"/>
  <c r="M84" i="43"/>
  <c r="M85" i="43"/>
  <c r="M86" i="43"/>
  <c r="M87" i="43"/>
  <c r="M88" i="43"/>
  <c r="M89" i="43"/>
  <c r="M90" i="43"/>
  <c r="M91" i="43"/>
  <c r="M92" i="43"/>
  <c r="M93" i="43"/>
  <c r="M94" i="43"/>
  <c r="M95" i="43"/>
  <c r="M96" i="43"/>
  <c r="M97" i="43"/>
  <c r="M98" i="43"/>
  <c r="M99" i="43"/>
  <c r="I48" i="43" a="1"/>
  <c r="I48" i="43" s="1"/>
  <c r="J48" i="43" a="1"/>
  <c r="J48" i="43" s="1"/>
  <c r="K48" i="43" a="1"/>
  <c r="K48" i="43" s="1"/>
  <c r="I49" i="43" a="1"/>
  <c r="I49" i="43" s="1"/>
  <c r="J49" i="43" a="1"/>
  <c r="J49" i="43" s="1"/>
  <c r="K49" i="43" a="1"/>
  <c r="K49" i="43" s="1"/>
  <c r="I50" i="43" a="1"/>
  <c r="I50" i="43" s="1"/>
  <c r="J50" i="43" a="1"/>
  <c r="J50" i="43" s="1"/>
  <c r="K50" i="43" a="1"/>
  <c r="K50" i="43" s="1"/>
  <c r="I51" i="43" a="1"/>
  <c r="I51" i="43" s="1"/>
  <c r="J51" i="43" a="1"/>
  <c r="J51" i="43" s="1"/>
  <c r="K51" i="43" a="1"/>
  <c r="K51" i="43" s="1"/>
  <c r="I52" i="43" a="1"/>
  <c r="I52" i="43" s="1"/>
  <c r="J52" i="43" a="1"/>
  <c r="J52" i="43" s="1"/>
  <c r="K52" i="43" a="1"/>
  <c r="K52" i="43" s="1"/>
  <c r="I53" i="43" a="1"/>
  <c r="I53" i="43" s="1"/>
  <c r="J53" i="43" a="1"/>
  <c r="J53" i="43" s="1"/>
  <c r="K53" i="43" a="1"/>
  <c r="K53" i="43" s="1"/>
  <c r="I54" i="43" a="1"/>
  <c r="I54" i="43" s="1"/>
  <c r="J54" i="43" a="1"/>
  <c r="J54" i="43" s="1"/>
  <c r="K54" i="43" a="1"/>
  <c r="K54" i="43" s="1"/>
  <c r="I55" i="43" a="1"/>
  <c r="I55" i="43" s="1"/>
  <c r="J55" i="43" a="1"/>
  <c r="J55" i="43" s="1"/>
  <c r="K55" i="43" a="1"/>
  <c r="K55" i="43" s="1"/>
  <c r="I56" i="43" a="1"/>
  <c r="I56" i="43" s="1"/>
  <c r="J56" i="43" a="1"/>
  <c r="J56" i="43" s="1"/>
  <c r="K56" i="43" a="1"/>
  <c r="K56" i="43" s="1"/>
  <c r="I57" i="43" a="1"/>
  <c r="I57" i="43" s="1"/>
  <c r="J57" i="43" a="1"/>
  <c r="J57" i="43" s="1"/>
  <c r="K57" i="43" a="1"/>
  <c r="K57" i="43" s="1"/>
  <c r="I58" i="43" a="1"/>
  <c r="I58" i="43" s="1"/>
  <c r="J58" i="43" a="1"/>
  <c r="J58" i="43" s="1"/>
  <c r="K58" i="43" a="1"/>
  <c r="K58" i="43" s="1"/>
  <c r="I59" i="43" a="1"/>
  <c r="I59" i="43" s="1"/>
  <c r="J59" i="43" a="1"/>
  <c r="J59" i="43" s="1"/>
  <c r="K59" i="43" a="1"/>
  <c r="K59" i="43" s="1"/>
  <c r="I60" i="43" a="1"/>
  <c r="I60" i="43" s="1"/>
  <c r="J60" i="43" a="1"/>
  <c r="J60" i="43" s="1"/>
  <c r="K60" i="43" a="1"/>
  <c r="K60" i="43" s="1"/>
  <c r="I61" i="43" a="1"/>
  <c r="I61" i="43" s="1"/>
  <c r="J61" i="43" a="1"/>
  <c r="J61" i="43" s="1"/>
  <c r="K61" i="43" a="1"/>
  <c r="K61" i="43" s="1"/>
  <c r="I62" i="43" a="1"/>
  <c r="I62" i="43" s="1"/>
  <c r="J62" i="43" a="1"/>
  <c r="J62" i="43" s="1"/>
  <c r="K62" i="43" a="1"/>
  <c r="K62" i="43" s="1"/>
  <c r="I63" i="43" a="1"/>
  <c r="I63" i="43" s="1"/>
  <c r="J63" i="43" a="1"/>
  <c r="J63" i="43" s="1"/>
  <c r="K63" i="43" a="1"/>
  <c r="K63" i="43" s="1"/>
  <c r="I64" i="43" a="1"/>
  <c r="I64" i="43" s="1"/>
  <c r="J64" i="43" a="1"/>
  <c r="J64" i="43" s="1"/>
  <c r="K64" i="43" a="1"/>
  <c r="K64" i="43" s="1"/>
  <c r="I65" i="43" a="1"/>
  <c r="I65" i="43" s="1"/>
  <c r="J65" i="43" a="1"/>
  <c r="J65" i="43" s="1"/>
  <c r="K65" i="43" a="1"/>
  <c r="K65" i="43" s="1"/>
  <c r="I66" i="43" a="1"/>
  <c r="I66" i="43" s="1"/>
  <c r="J66" i="43" a="1"/>
  <c r="J66" i="43" s="1"/>
  <c r="K66" i="43" a="1"/>
  <c r="K66" i="43" s="1"/>
  <c r="I67" i="43" a="1"/>
  <c r="I67" i="43" s="1"/>
  <c r="J67" i="43" a="1"/>
  <c r="J67" i="43" s="1"/>
  <c r="K67" i="43" a="1"/>
  <c r="K67" i="43" s="1"/>
  <c r="I68" i="43" a="1"/>
  <c r="I68" i="43" s="1"/>
  <c r="J68" i="43" a="1"/>
  <c r="J68" i="43" s="1"/>
  <c r="K68" i="43" a="1"/>
  <c r="K68" i="43" s="1"/>
  <c r="I69" i="43" a="1"/>
  <c r="I69" i="43" s="1"/>
  <c r="J69" i="43" a="1"/>
  <c r="J69" i="43" s="1"/>
  <c r="K69" i="43" a="1"/>
  <c r="K69" i="43" s="1"/>
  <c r="I70" i="43" a="1"/>
  <c r="I70" i="43" s="1"/>
  <c r="J70" i="43" a="1"/>
  <c r="J70" i="43" s="1"/>
  <c r="K70" i="43" a="1"/>
  <c r="K70" i="43" s="1"/>
  <c r="I71" i="43" a="1"/>
  <c r="I71" i="43" s="1"/>
  <c r="J71" i="43" a="1"/>
  <c r="J71" i="43" s="1"/>
  <c r="K71" i="43" a="1"/>
  <c r="K71" i="43" s="1"/>
  <c r="I72" i="43" a="1"/>
  <c r="I72" i="43" s="1"/>
  <c r="J72" i="43" a="1"/>
  <c r="J72" i="43" s="1"/>
  <c r="K72" i="43" a="1"/>
  <c r="K72" i="43" s="1"/>
  <c r="I73" i="43" a="1"/>
  <c r="I73" i="43" s="1"/>
  <c r="J73" i="43" a="1"/>
  <c r="J73" i="43" s="1"/>
  <c r="K73" i="43" a="1"/>
  <c r="K73" i="43" s="1"/>
  <c r="I74" i="43" a="1"/>
  <c r="I74" i="43" s="1"/>
  <c r="J74" i="43" a="1"/>
  <c r="J74" i="43" s="1"/>
  <c r="K74" i="43" a="1"/>
  <c r="K74" i="43" s="1"/>
  <c r="I75" i="43" a="1"/>
  <c r="I75" i="43" s="1"/>
  <c r="J75" i="43" a="1"/>
  <c r="J75" i="43" s="1"/>
  <c r="K75" i="43" a="1"/>
  <c r="K75" i="43" s="1"/>
  <c r="I76" i="43" a="1"/>
  <c r="I76" i="43" s="1"/>
  <c r="J76" i="43" a="1"/>
  <c r="J76" i="43" s="1"/>
  <c r="K76" i="43" a="1"/>
  <c r="K76" i="43" s="1"/>
  <c r="I77" i="43" a="1"/>
  <c r="I77" i="43" s="1"/>
  <c r="J77" i="43" a="1"/>
  <c r="J77" i="43" s="1"/>
  <c r="K77" i="43" a="1"/>
  <c r="K77" i="43" s="1"/>
  <c r="I78" i="43" a="1"/>
  <c r="I78" i="43" s="1"/>
  <c r="J78" i="43" a="1"/>
  <c r="J78" i="43" s="1"/>
  <c r="K78" i="43" a="1"/>
  <c r="K78" i="43" s="1"/>
  <c r="I79" i="43" a="1"/>
  <c r="I79" i="43" s="1"/>
  <c r="J79" i="43" a="1"/>
  <c r="J79" i="43" s="1"/>
  <c r="K79" i="43" a="1"/>
  <c r="K79" i="43" s="1"/>
  <c r="I80" i="43" a="1"/>
  <c r="I80" i="43" s="1"/>
  <c r="J80" i="43" a="1"/>
  <c r="J80" i="43" s="1"/>
  <c r="K80" i="43" a="1"/>
  <c r="K80" i="43" s="1"/>
  <c r="I81" i="43" a="1"/>
  <c r="I81" i="43" s="1"/>
  <c r="J81" i="43" a="1"/>
  <c r="J81" i="43" s="1"/>
  <c r="K81" i="43" a="1"/>
  <c r="K81" i="43" s="1"/>
  <c r="I82" i="43" a="1"/>
  <c r="I82" i="43" s="1"/>
  <c r="J82" i="43" a="1"/>
  <c r="J82" i="43" s="1"/>
  <c r="K82" i="43" a="1"/>
  <c r="K82" i="43" s="1"/>
  <c r="I83" i="43" a="1"/>
  <c r="I83" i="43" s="1"/>
  <c r="J83" i="43" a="1"/>
  <c r="J83" i="43" s="1"/>
  <c r="K83" i="43" a="1"/>
  <c r="K83" i="43" s="1"/>
  <c r="I84" i="43" a="1"/>
  <c r="I84" i="43" s="1"/>
  <c r="J84" i="43" a="1"/>
  <c r="J84" i="43" s="1"/>
  <c r="K84" i="43" a="1"/>
  <c r="K84" i="43" s="1"/>
  <c r="I85" i="43" a="1"/>
  <c r="I85" i="43" s="1"/>
  <c r="J85" i="43" a="1"/>
  <c r="J85" i="43" s="1"/>
  <c r="K85" i="43" a="1"/>
  <c r="K85" i="43" s="1"/>
  <c r="I86" i="43" a="1"/>
  <c r="I86" i="43" s="1"/>
  <c r="J86" i="43" a="1"/>
  <c r="J86" i="43" s="1"/>
  <c r="K86" i="43" a="1"/>
  <c r="K86" i="43" s="1"/>
  <c r="I87" i="43" a="1"/>
  <c r="I87" i="43" s="1"/>
  <c r="J87" i="43" a="1"/>
  <c r="J87" i="43" s="1"/>
  <c r="K87" i="43" a="1"/>
  <c r="K87" i="43" s="1"/>
  <c r="I88" i="43" a="1"/>
  <c r="I88" i="43" s="1"/>
  <c r="J88" i="43" a="1"/>
  <c r="J88" i="43" s="1"/>
  <c r="K88" i="43" a="1"/>
  <c r="K88" i="43" s="1"/>
  <c r="I89" i="43" a="1"/>
  <c r="I89" i="43" s="1"/>
  <c r="J89" i="43" a="1"/>
  <c r="J89" i="43" s="1"/>
  <c r="K89" i="43" a="1"/>
  <c r="K89" i="43" s="1"/>
  <c r="I90" i="43" a="1"/>
  <c r="I90" i="43" s="1"/>
  <c r="J90" i="43" a="1"/>
  <c r="J90" i="43" s="1"/>
  <c r="K90" i="43" a="1"/>
  <c r="K90" i="43" s="1"/>
  <c r="I91" i="43" a="1"/>
  <c r="I91" i="43" s="1"/>
  <c r="J91" i="43" a="1"/>
  <c r="J91" i="43" s="1"/>
  <c r="K91" i="43" a="1"/>
  <c r="K91" i="43" s="1"/>
  <c r="I92" i="43" a="1"/>
  <c r="I92" i="43" s="1"/>
  <c r="J92" i="43" a="1"/>
  <c r="J92" i="43" s="1"/>
  <c r="K92" i="43" a="1"/>
  <c r="K92" i="43" s="1"/>
  <c r="I93" i="43" a="1"/>
  <c r="I93" i="43" s="1"/>
  <c r="J93" i="43" a="1"/>
  <c r="J93" i="43" s="1"/>
  <c r="K93" i="43" a="1"/>
  <c r="K93" i="43" s="1"/>
  <c r="I94" i="43" a="1"/>
  <c r="I94" i="43" s="1"/>
  <c r="J94" i="43" a="1"/>
  <c r="J94" i="43" s="1"/>
  <c r="K94" i="43" a="1"/>
  <c r="K94" i="43" s="1"/>
  <c r="I95" i="43" a="1"/>
  <c r="I95" i="43" s="1"/>
  <c r="J95" i="43" a="1"/>
  <c r="J95" i="43" s="1"/>
  <c r="K95" i="43" a="1"/>
  <c r="K95" i="43" s="1"/>
  <c r="I96" i="43" a="1"/>
  <c r="I96" i="43" s="1"/>
  <c r="J96" i="43" a="1"/>
  <c r="J96" i="43" s="1"/>
  <c r="K96" i="43" a="1"/>
  <c r="K96" i="43" s="1"/>
  <c r="I97" i="43" a="1"/>
  <c r="I97" i="43" s="1"/>
  <c r="J97" i="43" a="1"/>
  <c r="J97" i="43" s="1"/>
  <c r="K97" i="43" a="1"/>
  <c r="K97" i="43" s="1"/>
  <c r="I98" i="43" a="1"/>
  <c r="I98" i="43" s="1"/>
  <c r="J98" i="43" a="1"/>
  <c r="J98" i="43" s="1"/>
  <c r="K98" i="43" a="1"/>
  <c r="K98" i="43" s="1"/>
  <c r="I99" i="43" a="1"/>
  <c r="I99" i="43" s="1"/>
  <c r="J99" i="43" a="1"/>
  <c r="J99" i="43" s="1"/>
  <c r="K99" i="43" a="1"/>
  <c r="K99" i="43" s="1"/>
  <c r="Y24" i="43"/>
  <c r="Y25" i="43"/>
  <c r="Y26" i="43"/>
  <c r="Y27" i="43"/>
  <c r="Y28" i="43"/>
  <c r="Y29" i="43"/>
  <c r="Y30" i="43"/>
  <c r="Y31" i="43"/>
  <c r="Y32" i="43"/>
  <c r="Y33" i="43"/>
  <c r="Y34" i="43"/>
  <c r="Y35" i="43"/>
  <c r="Y36" i="43"/>
  <c r="Y37" i="43"/>
  <c r="Y38" i="43"/>
  <c r="Y39" i="43"/>
  <c r="Y40" i="43"/>
  <c r="Y41" i="43"/>
  <c r="Y42" i="43"/>
  <c r="Y43" i="43"/>
  <c r="Y44" i="43"/>
  <c r="Y45" i="43"/>
  <c r="K27" i="43" a="1"/>
  <c r="K27" i="43" s="1"/>
  <c r="K28" i="43" a="1"/>
  <c r="K28" i="43" s="1"/>
  <c r="K29" i="43" a="1"/>
  <c r="K29" i="43" s="1"/>
  <c r="K30" i="43" a="1"/>
  <c r="K30" i="43" s="1"/>
  <c r="K31" i="43" a="1"/>
  <c r="K31" i="43" s="1"/>
  <c r="K32" i="43" a="1"/>
  <c r="K32" i="43" s="1"/>
  <c r="K33" i="43" a="1"/>
  <c r="K33" i="43" s="1"/>
  <c r="K34" i="43" a="1"/>
  <c r="K34" i="43" s="1"/>
  <c r="K35" i="43" a="1"/>
  <c r="K35" i="43" s="1"/>
  <c r="K36" i="43" a="1"/>
  <c r="K36" i="43" s="1"/>
  <c r="K37" i="43" a="1"/>
  <c r="K37" i="43" s="1"/>
  <c r="K38" i="43" a="1"/>
  <c r="K38" i="43" s="1"/>
  <c r="K39" i="43" a="1"/>
  <c r="K39" i="43" s="1"/>
  <c r="K40" i="43" a="1"/>
  <c r="K40" i="43" s="1"/>
  <c r="K41" i="43" a="1"/>
  <c r="K41" i="43" s="1"/>
  <c r="K42" i="43" a="1"/>
  <c r="K42" i="43" s="1"/>
  <c r="K43" i="43" a="1"/>
  <c r="K43" i="43" s="1"/>
  <c r="K44" i="43" a="1"/>
  <c r="K44" i="43" s="1"/>
  <c r="K45" i="43" a="1"/>
  <c r="K45" i="43" s="1"/>
  <c r="K46" i="43" a="1"/>
  <c r="K46" i="43" s="1"/>
  <c r="K47" i="43" a="1"/>
  <c r="K47" i="43" s="1"/>
  <c r="AU18" i="43" a="1"/>
  <c r="AU18" i="43" s="1"/>
  <c r="AU16" i="43"/>
  <c r="AU14" i="43"/>
  <c r="AU12" i="43"/>
  <c r="AR12" i="43"/>
  <c r="AS12" i="43" s="1"/>
  <c r="AX9" i="43" s="1"/>
  <c r="M12" i="43"/>
  <c r="M13" i="43"/>
  <c r="M14" i="43"/>
  <c r="M15" i="43"/>
  <c r="M16" i="43"/>
  <c r="M17" i="43"/>
  <c r="M18" i="43"/>
  <c r="M19" i="43"/>
  <c r="M20" i="43"/>
  <c r="M21" i="43"/>
  <c r="M22" i="43"/>
  <c r="M23" i="43"/>
  <c r="M24" i="43"/>
  <c r="M25" i="43"/>
  <c r="M26" i="43"/>
  <c r="M27" i="43"/>
  <c r="M28" i="43"/>
  <c r="M29" i="43"/>
  <c r="M30" i="43"/>
  <c r="M31" i="43"/>
  <c r="M32" i="43"/>
  <c r="M33" i="43"/>
  <c r="M34" i="43"/>
  <c r="M35" i="43"/>
  <c r="M36" i="43"/>
  <c r="M37" i="43"/>
  <c r="M38" i="43"/>
  <c r="M39" i="43"/>
  <c r="M40" i="43"/>
  <c r="M41" i="43"/>
  <c r="M42" i="43"/>
  <c r="M43" i="43"/>
  <c r="M44" i="43"/>
  <c r="M45" i="43"/>
  <c r="N89" i="43" l="1"/>
  <c r="O89" i="43" s="1"/>
  <c r="N75" i="43"/>
  <c r="O75" i="43" s="1"/>
  <c r="N61" i="43"/>
  <c r="O61" i="43" s="1"/>
  <c r="N69" i="43"/>
  <c r="O69" i="43" s="1"/>
  <c r="N85" i="43"/>
  <c r="O85" i="43" s="1"/>
  <c r="N71" i="43"/>
  <c r="O71" i="43" s="1"/>
  <c r="N57" i="43"/>
  <c r="O57" i="43" s="1"/>
  <c r="N82" i="43"/>
  <c r="O82" i="43" s="1"/>
  <c r="N83" i="43"/>
  <c r="O83" i="43" s="1"/>
  <c r="N58" i="43"/>
  <c r="O58" i="43" s="1"/>
  <c r="N97" i="43"/>
  <c r="O97" i="43" s="1"/>
  <c r="N99" i="43"/>
  <c r="O99" i="43" s="1"/>
  <c r="N74" i="43"/>
  <c r="O74" i="43" s="1"/>
  <c r="N91" i="43"/>
  <c r="O91" i="43" s="1"/>
  <c r="N77" i="43"/>
  <c r="O77" i="43" s="1"/>
  <c r="N63" i="43"/>
  <c r="O63" i="43" s="1"/>
  <c r="N49" i="43"/>
  <c r="O49" i="43" s="1"/>
  <c r="N88" i="43"/>
  <c r="O88" i="43" s="1"/>
  <c r="N96" i="43"/>
  <c r="O96" i="43" s="1"/>
  <c r="N72" i="43"/>
  <c r="O72" i="43" s="1"/>
  <c r="N60" i="43"/>
  <c r="O60" i="43" s="1"/>
  <c r="N86" i="43"/>
  <c r="O86" i="43" s="1"/>
  <c r="N93" i="43"/>
  <c r="O93" i="43" s="1"/>
  <c r="N55" i="43"/>
  <c r="O55" i="43" s="1"/>
  <c r="N87" i="43"/>
  <c r="O87" i="43" s="1"/>
  <c r="N73" i="43"/>
  <c r="O73" i="43" s="1"/>
  <c r="N92" i="43"/>
  <c r="O92" i="43" s="1"/>
  <c r="N78" i="43"/>
  <c r="O78" i="43" s="1"/>
  <c r="N64" i="43"/>
  <c r="O64" i="43" s="1"/>
  <c r="N50" i="43"/>
  <c r="O50" i="43" s="1"/>
  <c r="N95" i="43"/>
  <c r="O95" i="43" s="1"/>
  <c r="N81" i="43"/>
  <c r="O81" i="43" s="1"/>
  <c r="N67" i="43"/>
  <c r="O67" i="43" s="1"/>
  <c r="N53" i="43"/>
  <c r="O53" i="43" s="1"/>
  <c r="N90" i="43"/>
  <c r="O90" i="43" s="1"/>
  <c r="N76" i="43"/>
  <c r="O76" i="43" s="1"/>
  <c r="N62" i="43"/>
  <c r="O62" i="43" s="1"/>
  <c r="N48" i="43"/>
  <c r="O48" i="43" s="1"/>
  <c r="N54" i="43"/>
  <c r="O54" i="43" s="1"/>
  <c r="N94" i="43"/>
  <c r="O94" i="43" s="1"/>
  <c r="N80" i="43"/>
  <c r="O80" i="43" s="1"/>
  <c r="N66" i="43"/>
  <c r="O66" i="43" s="1"/>
  <c r="N52" i="43"/>
  <c r="O52" i="43" s="1"/>
  <c r="N59" i="43"/>
  <c r="O59" i="43" s="1"/>
  <c r="N68" i="43"/>
  <c r="O68" i="43" s="1"/>
  <c r="N98" i="43"/>
  <c r="O98" i="43" s="1"/>
  <c r="N84" i="43"/>
  <c r="O84" i="43" s="1"/>
  <c r="N70" i="43"/>
  <c r="O70" i="43" s="1"/>
  <c r="N56" i="43"/>
  <c r="O56" i="43" s="1"/>
  <c r="N79" i="43"/>
  <c r="O79" i="43" s="1"/>
  <c r="N65" i="43"/>
  <c r="O65" i="43" s="1"/>
  <c r="N51" i="43"/>
  <c r="O51" i="43" s="1"/>
  <c r="AY70" i="43"/>
  <c r="AY59" i="43"/>
  <c r="AY84" i="43"/>
  <c r="AY73" i="43"/>
  <c r="AY98" i="43"/>
  <c r="AY87" i="43"/>
  <c r="AY56" i="43"/>
  <c r="AY93" i="43"/>
  <c r="AY99" i="43"/>
  <c r="AY58" i="43"/>
  <c r="AY80" i="43"/>
  <c r="AY75" i="43"/>
  <c r="AY95" i="43"/>
  <c r="AY65" i="43"/>
  <c r="AY74" i="43"/>
  <c r="AY82" i="43"/>
  <c r="AY81" i="43"/>
  <c r="AY61" i="43"/>
  <c r="AY69" i="43"/>
  <c r="AY62" i="43"/>
  <c r="AY67" i="43"/>
  <c r="AY92" i="43"/>
  <c r="AY79" i="43"/>
  <c r="AY85" i="43"/>
  <c r="AY55" i="43"/>
  <c r="AY60" i="43"/>
  <c r="AY90" i="43"/>
  <c r="AY97" i="43"/>
  <c r="AY96" i="43"/>
  <c r="AY86" i="43"/>
  <c r="AY72" i="43"/>
  <c r="AY78" i="43"/>
  <c r="AY71" i="43"/>
  <c r="AY68" i="43"/>
  <c r="AY64" i="43"/>
  <c r="AY66" i="43"/>
  <c r="AY83" i="43"/>
  <c r="AY91" i="43"/>
  <c r="AY76" i="43"/>
  <c r="AY89" i="43"/>
  <c r="AY94" i="43"/>
  <c r="AY77" i="43"/>
  <c r="AY88" i="43"/>
  <c r="AY57" i="43"/>
  <c r="AY63" i="43"/>
  <c r="AR38" i="43"/>
  <c r="AS37" i="43"/>
  <c r="AT37" i="43"/>
  <c r="AW22" i="43"/>
  <c r="AW50" i="43"/>
  <c r="AW15" i="43"/>
  <c r="AW51" i="43"/>
  <c r="AW52" i="43"/>
  <c r="AW53" i="43"/>
  <c r="AW54" i="43"/>
  <c r="AX55" i="43" s="1"/>
  <c r="AW49" i="43"/>
  <c r="AW10" i="43"/>
  <c r="AW16" i="43"/>
  <c r="AW27" i="43"/>
  <c r="AW23" i="43"/>
  <c r="AW47" i="43"/>
  <c r="AW21" i="43"/>
  <c r="AW43" i="43"/>
  <c r="AW19" i="43"/>
  <c r="AW39" i="43"/>
  <c r="AW38" i="43"/>
  <c r="AW31" i="43"/>
  <c r="AW37" i="43"/>
  <c r="AW35" i="43"/>
  <c r="AW11" i="43"/>
  <c r="AX12" i="43" s="1"/>
  <c r="AW46" i="43"/>
  <c r="AW30" i="43"/>
  <c r="AW14" i="43"/>
  <c r="AW45" i="43"/>
  <c r="AW29" i="43"/>
  <c r="AW13" i="43"/>
  <c r="AW44" i="43"/>
  <c r="AW36" i="43"/>
  <c r="AW28" i="43"/>
  <c r="AW20" i="43"/>
  <c r="AW12" i="43"/>
  <c r="AY11" i="43" s="1"/>
  <c r="AW42" i="43"/>
  <c r="AW34" i="43"/>
  <c r="AW26" i="43"/>
  <c r="AW18" i="43"/>
  <c r="AW41" i="43"/>
  <c r="AW33" i="43"/>
  <c r="AW25" i="43"/>
  <c r="AW17" i="43"/>
  <c r="AW48" i="43"/>
  <c r="AW40" i="43"/>
  <c r="AW32" i="43"/>
  <c r="AW24" i="43"/>
  <c r="AR14" i="43"/>
  <c r="AS14" i="43"/>
  <c r="J27" i="43" a="1"/>
  <c r="J27" i="43" s="1"/>
  <c r="I24" i="43" a="1"/>
  <c r="I24" i="43" s="1"/>
  <c r="J24" i="43" a="1"/>
  <c r="J24" i="43" s="1"/>
  <c r="I25" i="43" a="1"/>
  <c r="I25" i="43" s="1"/>
  <c r="J25" i="43" a="1"/>
  <c r="J25" i="43" s="1"/>
  <c r="I26" i="43" a="1"/>
  <c r="I26" i="43" s="1"/>
  <c r="J26" i="43" a="1"/>
  <c r="J26" i="43" s="1"/>
  <c r="I27" i="43" a="1"/>
  <c r="I27" i="43" s="1"/>
  <c r="I28" i="43" a="1"/>
  <c r="I28" i="43" s="1"/>
  <c r="J28" i="43" a="1"/>
  <c r="J28" i="43" s="1"/>
  <c r="I29" i="43" a="1"/>
  <c r="I29" i="43" s="1"/>
  <c r="J29" i="43" a="1"/>
  <c r="J29" i="43" s="1"/>
  <c r="I30" i="43" a="1"/>
  <c r="I30" i="43" s="1"/>
  <c r="J30" i="43" a="1"/>
  <c r="J30" i="43" s="1"/>
  <c r="I31" i="43" a="1"/>
  <c r="I31" i="43" s="1"/>
  <c r="J31" i="43" a="1"/>
  <c r="J31" i="43" s="1"/>
  <c r="I32" i="43" a="1"/>
  <c r="I32" i="43" s="1"/>
  <c r="J32" i="43" a="1"/>
  <c r="J32" i="43" s="1"/>
  <c r="I33" i="43" a="1"/>
  <c r="I33" i="43" s="1"/>
  <c r="J33" i="43" a="1"/>
  <c r="J33" i="43" s="1"/>
  <c r="I34" i="43" a="1"/>
  <c r="I34" i="43" s="1"/>
  <c r="J34" i="43" a="1"/>
  <c r="J34" i="43" s="1"/>
  <c r="I35" i="43" a="1"/>
  <c r="I35" i="43" s="1"/>
  <c r="J35" i="43" a="1"/>
  <c r="J35" i="43" s="1"/>
  <c r="I36" i="43" a="1"/>
  <c r="I36" i="43" s="1"/>
  <c r="J36" i="43" a="1"/>
  <c r="J36" i="43" s="1"/>
  <c r="I37" i="43" a="1"/>
  <c r="I37" i="43" s="1"/>
  <c r="J37" i="43" a="1"/>
  <c r="J37" i="43" s="1"/>
  <c r="I38" i="43" a="1"/>
  <c r="I38" i="43" s="1"/>
  <c r="J38" i="43" a="1"/>
  <c r="J38" i="43" s="1"/>
  <c r="I39" i="43" a="1"/>
  <c r="I39" i="43" s="1"/>
  <c r="J39" i="43" a="1"/>
  <c r="J39" i="43" s="1"/>
  <c r="I40" i="43" a="1"/>
  <c r="I40" i="43" s="1"/>
  <c r="J40" i="43" a="1"/>
  <c r="J40" i="43" s="1"/>
  <c r="I41" i="43" a="1"/>
  <c r="I41" i="43" s="1"/>
  <c r="J41" i="43" a="1"/>
  <c r="J41" i="43" s="1"/>
  <c r="I42" i="43" a="1"/>
  <c r="I42" i="43" s="1"/>
  <c r="J42" i="43" a="1"/>
  <c r="J42" i="43" s="1"/>
  <c r="I43" i="43" a="1"/>
  <c r="I43" i="43" s="1"/>
  <c r="J43" i="43" a="1"/>
  <c r="J43" i="43" s="1"/>
  <c r="I44" i="43" a="1"/>
  <c r="I44" i="43" s="1"/>
  <c r="J44" i="43" a="1"/>
  <c r="J44" i="43" s="1"/>
  <c r="I45" i="43" a="1"/>
  <c r="I45" i="43" s="1"/>
  <c r="J45" i="43" a="1"/>
  <c r="J45" i="43" s="1"/>
  <c r="I46" i="43" a="1"/>
  <c r="I46" i="43" s="1"/>
  <c r="J46" i="43" a="1"/>
  <c r="J46" i="43" s="1"/>
  <c r="I47" i="43" a="1"/>
  <c r="I47" i="43" s="1"/>
  <c r="J47" i="43" a="1"/>
  <c r="J47" i="43" s="1"/>
  <c r="I14" i="43" a="1"/>
  <c r="I14" i="43" s="1"/>
  <c r="I15" i="43" a="1"/>
  <c r="I15" i="43" s="1"/>
  <c r="I16" i="43" a="1"/>
  <c r="I16" i="43" s="1"/>
  <c r="I17" i="43" a="1"/>
  <c r="I17" i="43" s="1"/>
  <c r="I18" i="43" a="1"/>
  <c r="I18" i="43" s="1"/>
  <c r="I19" i="43" a="1"/>
  <c r="I19" i="43" s="1"/>
  <c r="I20" i="43" a="1"/>
  <c r="I20" i="43" s="1"/>
  <c r="I21" i="43" a="1"/>
  <c r="I21" i="43" s="1"/>
  <c r="I22" i="43" a="1"/>
  <c r="I22" i="43" s="1"/>
  <c r="I23" i="43" a="1"/>
  <c r="I23" i="43" s="1"/>
  <c r="J15" i="43" a="1"/>
  <c r="J15" i="43" s="1"/>
  <c r="J16" i="43" a="1"/>
  <c r="J16" i="43" s="1"/>
  <c r="J17" i="43" a="1"/>
  <c r="J17" i="43" s="1"/>
  <c r="J18" i="43" a="1"/>
  <c r="J18" i="43" s="1"/>
  <c r="J19" i="43" a="1"/>
  <c r="J19" i="43" s="1"/>
  <c r="J20" i="43" a="1"/>
  <c r="J20" i="43" s="1"/>
  <c r="J21" i="43" a="1"/>
  <c r="J21" i="43" s="1"/>
  <c r="J22" i="43" a="1"/>
  <c r="J22" i="43" s="1"/>
  <c r="J23" i="43" a="1"/>
  <c r="J23" i="43" s="1"/>
  <c r="N22" i="43" l="1"/>
  <c r="P22" i="43" s="1"/>
  <c r="N20" i="43"/>
  <c r="N17" i="43"/>
  <c r="N21" i="43"/>
  <c r="P21" i="43" s="1"/>
  <c r="N19" i="43"/>
  <c r="P19" i="43" s="1"/>
  <c r="N18" i="43"/>
  <c r="P18" i="43" s="1"/>
  <c r="N16" i="43"/>
  <c r="N15" i="43"/>
  <c r="N34" i="43"/>
  <c r="O34" i="43" s="1"/>
  <c r="N41" i="43"/>
  <c r="O41" i="43" s="1"/>
  <c r="P78" i="43"/>
  <c r="Q78" i="43" s="1"/>
  <c r="P97" i="43"/>
  <c r="Q97" i="43" s="1"/>
  <c r="N31" i="43"/>
  <c r="O31" i="43" s="1"/>
  <c r="N38" i="43"/>
  <c r="O38" i="43" s="1"/>
  <c r="N45" i="43"/>
  <c r="O45" i="43" s="1"/>
  <c r="N36" i="43"/>
  <c r="O36" i="43" s="1"/>
  <c r="N29" i="43"/>
  <c r="O29" i="43" s="1"/>
  <c r="P54" i="43"/>
  <c r="Q54" i="43" s="1"/>
  <c r="N26" i="43"/>
  <c r="O26" i="43" s="1"/>
  <c r="N24" i="43"/>
  <c r="O24" i="43" s="1"/>
  <c r="N33" i="43"/>
  <c r="O33" i="43" s="1"/>
  <c r="P68" i="43"/>
  <c r="Q68" i="43" s="1"/>
  <c r="N43" i="43"/>
  <c r="O43" i="43" s="1"/>
  <c r="N23" i="43"/>
  <c r="O23" i="43" s="1"/>
  <c r="N42" i="43"/>
  <c r="O42" i="43" s="1"/>
  <c r="N35" i="43"/>
  <c r="O35" i="43" s="1"/>
  <c r="N28" i="43"/>
  <c r="O28" i="43" s="1"/>
  <c r="P98" i="43"/>
  <c r="Q98" i="43" s="1"/>
  <c r="N47" i="43"/>
  <c r="O47" i="43" s="1"/>
  <c r="N40" i="43"/>
  <c r="O40" i="43" s="1"/>
  <c r="N25" i="43"/>
  <c r="O25" i="43" s="1"/>
  <c r="P56" i="43"/>
  <c r="Q56" i="43" s="1"/>
  <c r="N46" i="43"/>
  <c r="O46" i="43" s="1"/>
  <c r="N39" i="43"/>
  <c r="O39" i="43" s="1"/>
  <c r="N32" i="43"/>
  <c r="O32" i="43" s="1"/>
  <c r="N27" i="43"/>
  <c r="O27" i="43" s="1"/>
  <c r="N44" i="43"/>
  <c r="O44" i="43" s="1"/>
  <c r="N37" i="43"/>
  <c r="O37" i="43" s="1"/>
  <c r="N30" i="43"/>
  <c r="O30" i="43" s="1"/>
  <c r="AR39" i="43"/>
  <c r="AS38" i="43"/>
  <c r="AT38" i="43"/>
  <c r="P89" i="43"/>
  <c r="Q89" i="43" s="1"/>
  <c r="P90" i="43"/>
  <c r="Q90" i="43" s="1"/>
  <c r="P81" i="43"/>
  <c r="Q81" i="43" s="1"/>
  <c r="P67" i="43"/>
  <c r="Q67" i="43" s="1"/>
  <c r="P60" i="43"/>
  <c r="Q60" i="43" s="1"/>
  <c r="P86" i="43"/>
  <c r="Q86" i="43" s="1"/>
  <c r="P96" i="43"/>
  <c r="Q96" i="43" s="1"/>
  <c r="P87" i="43"/>
  <c r="Q87" i="43" s="1"/>
  <c r="P95" i="43"/>
  <c r="Q95" i="43" s="1"/>
  <c r="P48" i="43"/>
  <c r="Q48" i="43" s="1"/>
  <c r="P84" i="43"/>
  <c r="Q84" i="43" s="1"/>
  <c r="P92" i="43"/>
  <c r="Q92" i="43" s="1"/>
  <c r="P76" i="43"/>
  <c r="Q76" i="43" s="1"/>
  <c r="P70" i="43"/>
  <c r="Q70" i="43" s="1"/>
  <c r="P52" i="43"/>
  <c r="Q52" i="43" s="1"/>
  <c r="P55" i="43"/>
  <c r="Q55" i="43" s="1"/>
  <c r="P62" i="43"/>
  <c r="Q62" i="43" s="1"/>
  <c r="P74" i="43"/>
  <c r="Q74" i="43" s="1"/>
  <c r="P50" i="43"/>
  <c r="Q50" i="43" s="1"/>
  <c r="P72" i="43"/>
  <c r="Q72" i="43" s="1"/>
  <c r="P58" i="43"/>
  <c r="Q58" i="43" s="1"/>
  <c r="P80" i="43"/>
  <c r="Q80" i="43" s="1"/>
  <c r="P91" i="43"/>
  <c r="Q91" i="43" s="1"/>
  <c r="P77" i="43"/>
  <c r="Q77" i="43" s="1"/>
  <c r="P99" i="43"/>
  <c r="Q99" i="43" s="1"/>
  <c r="P61" i="43"/>
  <c r="Q61" i="43" s="1"/>
  <c r="P83" i="43"/>
  <c r="Q83" i="43" s="1"/>
  <c r="P79" i="43"/>
  <c r="Q79" i="43" s="1"/>
  <c r="P53" i="43"/>
  <c r="Q53" i="43" s="1"/>
  <c r="P94" i="43"/>
  <c r="Q94" i="43" s="1"/>
  <c r="P66" i="43"/>
  <c r="Q66" i="43" s="1"/>
  <c r="P57" i="43"/>
  <c r="Q57" i="43" s="1"/>
  <c r="P71" i="43"/>
  <c r="Q71" i="43" s="1"/>
  <c r="P85" i="43"/>
  <c r="Q85" i="43" s="1"/>
  <c r="P51" i="43"/>
  <c r="Q51" i="43" s="1"/>
  <c r="P65" i="43"/>
  <c r="Q65" i="43" s="1"/>
  <c r="P82" i="43"/>
  <c r="Q82" i="43" s="1"/>
  <c r="P93" i="43"/>
  <c r="Q93" i="43" s="1"/>
  <c r="P59" i="43"/>
  <c r="Q59" i="43" s="1"/>
  <c r="P73" i="43"/>
  <c r="Q73" i="43" s="1"/>
  <c r="P64" i="43"/>
  <c r="Q64" i="43" s="1"/>
  <c r="P75" i="43"/>
  <c r="Q75" i="43" s="1"/>
  <c r="P69" i="43"/>
  <c r="Q69" i="43" s="1"/>
  <c r="P88" i="43"/>
  <c r="Q88" i="43" s="1"/>
  <c r="P49" i="43"/>
  <c r="Q49" i="43" s="1"/>
  <c r="P63" i="43"/>
  <c r="Q63" i="43" s="1"/>
  <c r="AX54" i="43"/>
  <c r="AX49" i="43"/>
  <c r="AX51" i="43"/>
  <c r="AX50" i="43"/>
  <c r="AX52" i="43"/>
  <c r="AX53" i="43"/>
  <c r="AY52" i="43"/>
  <c r="AY50" i="43"/>
  <c r="AY49" i="43"/>
  <c r="AY54" i="43"/>
  <c r="AY53" i="43"/>
  <c r="AY51" i="43"/>
  <c r="AX29" i="43"/>
  <c r="AX15" i="43"/>
  <c r="AX30" i="43"/>
  <c r="AX40" i="43"/>
  <c r="AX34" i="43"/>
  <c r="AX32" i="43"/>
  <c r="AX47" i="43"/>
  <c r="AX22" i="43"/>
  <c r="AX46" i="43"/>
  <c r="AX21" i="43"/>
  <c r="AX42" i="43"/>
  <c r="AX16" i="43"/>
  <c r="AX39" i="43"/>
  <c r="AX28" i="43"/>
  <c r="AX14" i="43"/>
  <c r="AX38" i="43"/>
  <c r="AX24" i="43"/>
  <c r="AX13" i="43"/>
  <c r="AX18" i="43"/>
  <c r="AX35" i="43"/>
  <c r="AX48" i="43"/>
  <c r="AX36" i="43"/>
  <c r="AX23" i="43"/>
  <c r="AX26" i="43"/>
  <c r="AX44" i="43"/>
  <c r="AX31" i="43"/>
  <c r="AX20" i="43"/>
  <c r="AX43" i="43"/>
  <c r="AX37" i="43"/>
  <c r="AX45" i="43"/>
  <c r="AX27" i="43"/>
  <c r="AX19" i="43"/>
  <c r="AX41" i="43"/>
  <c r="AX33" i="43"/>
  <c r="AX25" i="43"/>
  <c r="AX17" i="43"/>
  <c r="J12" i="43" a="1"/>
  <c r="J12" i="43" s="1"/>
  <c r="N12" i="43" s="1"/>
  <c r="J13" i="43" a="1"/>
  <c r="J13" i="43" s="1"/>
  <c r="N13" i="43" s="1"/>
  <c r="O13" i="43" s="1"/>
  <c r="J14" i="43" a="1"/>
  <c r="J14" i="43" s="1"/>
  <c r="N14" i="43" s="1"/>
  <c r="P11" i="43"/>
  <c r="P41" i="43" l="1"/>
  <c r="R41" i="43" s="1"/>
  <c r="O15" i="43"/>
  <c r="Q19" i="43"/>
  <c r="O14" i="43"/>
  <c r="Q18" i="43"/>
  <c r="O18" i="43"/>
  <c r="R18" i="43" s="1"/>
  <c r="O19" i="43"/>
  <c r="R19" i="43" s="1"/>
  <c r="Q21" i="43"/>
  <c r="O17" i="43"/>
  <c r="O20" i="43"/>
  <c r="P20" i="43"/>
  <c r="O16" i="43"/>
  <c r="O21" i="43"/>
  <c r="R21" i="43" s="1"/>
  <c r="Q22" i="43"/>
  <c r="O22" i="43"/>
  <c r="R22" i="43" s="1"/>
  <c r="R78" i="43"/>
  <c r="R97" i="43"/>
  <c r="R68" i="43"/>
  <c r="R54" i="43"/>
  <c r="P39" i="43"/>
  <c r="Q39" i="43" s="1"/>
  <c r="R98" i="43"/>
  <c r="R56" i="43"/>
  <c r="O12" i="43"/>
  <c r="AR40" i="43"/>
  <c r="AT39" i="43"/>
  <c r="AS39" i="43"/>
  <c r="R89" i="43"/>
  <c r="R90" i="43"/>
  <c r="R81" i="43"/>
  <c r="P46" i="43"/>
  <c r="Q46" i="43" s="1"/>
  <c r="R67" i="43"/>
  <c r="P37" i="43"/>
  <c r="R37" i="43" s="1"/>
  <c r="R60" i="43"/>
  <c r="R86" i="43"/>
  <c r="R95" i="43"/>
  <c r="R87" i="43"/>
  <c r="R96" i="43"/>
  <c r="R48" i="43"/>
  <c r="P36" i="43"/>
  <c r="R36" i="43" s="1"/>
  <c r="R92" i="43"/>
  <c r="R84" i="43"/>
  <c r="P40" i="43"/>
  <c r="R40" i="43" s="1"/>
  <c r="R70" i="43"/>
  <c r="R76" i="43"/>
  <c r="P31" i="43"/>
  <c r="R31" i="43" s="1"/>
  <c r="R52" i="43"/>
  <c r="P34" i="43"/>
  <c r="R34" i="43" s="1"/>
  <c r="P35" i="43"/>
  <c r="R35" i="43" s="1"/>
  <c r="R94" i="43"/>
  <c r="R74" i="43"/>
  <c r="R62" i="43"/>
  <c r="R99" i="43"/>
  <c r="R72" i="43"/>
  <c r="R55" i="43"/>
  <c r="R79" i="43"/>
  <c r="R77" i="43"/>
  <c r="P32" i="43"/>
  <c r="Q32" i="43" s="1"/>
  <c r="R50" i="43"/>
  <c r="R53" i="43"/>
  <c r="R61" i="43"/>
  <c r="R80" i="43"/>
  <c r="R58" i="43"/>
  <c r="R83" i="43"/>
  <c r="R91" i="43"/>
  <c r="P33" i="43"/>
  <c r="Q33" i="43" s="1"/>
  <c r="P42" i="43"/>
  <c r="Q42" i="43" s="1"/>
  <c r="P29" i="43"/>
  <c r="P45" i="43"/>
  <c r="P27" i="43"/>
  <c r="P44" i="43"/>
  <c r="Q44" i="43" s="1"/>
  <c r="P38" i="43"/>
  <c r="Q38" i="43" s="1"/>
  <c r="P47" i="43"/>
  <c r="R69" i="43"/>
  <c r="R73" i="43"/>
  <c r="R88" i="43"/>
  <c r="R65" i="43"/>
  <c r="R66" i="43"/>
  <c r="R64" i="43"/>
  <c r="R63" i="43"/>
  <c r="R57" i="43"/>
  <c r="R82" i="43"/>
  <c r="R59" i="43"/>
  <c r="R85" i="43"/>
  <c r="R75" i="43"/>
  <c r="R51" i="43"/>
  <c r="R93" i="43"/>
  <c r="R71" i="43"/>
  <c r="R49" i="43"/>
  <c r="P30" i="43"/>
  <c r="Q30" i="43" s="1"/>
  <c r="P43" i="43"/>
  <c r="R43" i="43" s="1"/>
  <c r="P28" i="43"/>
  <c r="R28" i="43" s="1"/>
  <c r="AR16" i="43"/>
  <c r="AS16" i="43"/>
  <c r="AY19" i="43"/>
  <c r="AY31" i="43"/>
  <c r="AY43" i="43"/>
  <c r="AY12" i="43"/>
  <c r="AY24" i="43"/>
  <c r="AY40" i="43"/>
  <c r="AY13" i="43"/>
  <c r="AY17" i="43"/>
  <c r="AY21" i="43"/>
  <c r="AY25" i="43"/>
  <c r="AY29" i="43"/>
  <c r="AY33" i="43"/>
  <c r="AY37" i="43"/>
  <c r="AY41" i="43"/>
  <c r="AY45" i="43"/>
  <c r="AY15" i="43"/>
  <c r="AY23" i="43"/>
  <c r="AY27" i="43"/>
  <c r="AY39" i="43"/>
  <c r="AY47" i="43"/>
  <c r="AY16" i="43"/>
  <c r="AY20" i="43"/>
  <c r="AY28" i="43"/>
  <c r="AY44" i="43"/>
  <c r="AY14" i="43"/>
  <c r="AY18" i="43"/>
  <c r="AY22" i="43"/>
  <c r="AY26" i="43"/>
  <c r="AY30" i="43"/>
  <c r="AY34" i="43"/>
  <c r="AY38" i="43"/>
  <c r="AY42" i="43"/>
  <c r="AY46" i="43"/>
  <c r="AY36" i="43"/>
  <c r="AY35" i="43"/>
  <c r="AY32" i="43"/>
  <c r="AY48" i="43"/>
  <c r="Z5" i="39"/>
  <c r="Z6" i="39"/>
  <c r="Z7" i="39"/>
  <c r="Z8" i="39"/>
  <c r="Z9" i="39"/>
  <c r="Z10" i="39"/>
  <c r="Z11" i="39"/>
  <c r="Z12" i="39"/>
  <c r="Z13" i="39"/>
  <c r="Z14" i="39"/>
  <c r="Z15" i="39"/>
  <c r="Z16" i="39"/>
  <c r="Z17" i="39"/>
  <c r="Z18" i="39"/>
  <c r="Z19" i="39"/>
  <c r="Z20" i="39"/>
  <c r="Z21" i="39"/>
  <c r="Z22" i="39"/>
  <c r="Z23" i="39"/>
  <c r="Z24" i="39"/>
  <c r="Z25" i="39"/>
  <c r="Z26" i="39"/>
  <c r="Z27" i="39"/>
  <c r="Z28" i="39"/>
  <c r="Z29" i="39"/>
  <c r="Z30" i="39"/>
  <c r="Z31" i="39"/>
  <c r="Z32" i="39"/>
  <c r="Z33" i="39"/>
  <c r="Z34" i="39"/>
  <c r="Z35" i="39"/>
  <c r="Z36" i="39"/>
  <c r="Z37" i="39"/>
  <c r="Z38" i="39"/>
  <c r="Z39" i="39"/>
  <c r="Z40" i="39"/>
  <c r="Z41" i="39"/>
  <c r="Z42" i="39"/>
  <c r="Z43" i="39"/>
  <c r="Z44" i="39"/>
  <c r="Z45" i="39"/>
  <c r="Z46" i="39"/>
  <c r="Z47" i="39"/>
  <c r="Z48" i="39"/>
  <c r="Z49" i="39"/>
  <c r="Z50" i="39"/>
  <c r="Z51" i="39"/>
  <c r="Z52" i="39"/>
  <c r="Z53" i="39"/>
  <c r="Z54" i="39"/>
  <c r="Z55" i="39"/>
  <c r="Z56" i="39"/>
  <c r="Z57" i="39"/>
  <c r="Z58" i="39"/>
  <c r="Z59" i="39"/>
  <c r="Z60" i="39"/>
  <c r="Z61" i="39"/>
  <c r="Z62" i="39"/>
  <c r="Z63" i="39"/>
  <c r="Z64" i="39"/>
  <c r="Z65" i="39"/>
  <c r="Z66" i="39"/>
  <c r="Z67" i="39"/>
  <c r="Z68" i="39"/>
  <c r="Z69" i="39"/>
  <c r="Z70" i="39"/>
  <c r="Z71" i="39"/>
  <c r="Z72" i="39"/>
  <c r="Z73" i="39"/>
  <c r="Z74" i="39"/>
  <c r="Z75" i="39"/>
  <c r="Z76" i="39"/>
  <c r="Z77" i="39"/>
  <c r="Z78" i="39"/>
  <c r="Z79" i="39"/>
  <c r="Z80" i="39"/>
  <c r="Z81" i="39"/>
  <c r="Z82" i="39"/>
  <c r="Z83" i="39"/>
  <c r="Z84" i="39"/>
  <c r="Z85" i="39"/>
  <c r="Z86" i="39"/>
  <c r="Z87" i="39"/>
  <c r="Z88" i="39"/>
  <c r="Z89" i="39"/>
  <c r="Z90" i="39"/>
  <c r="Z91" i="39"/>
  <c r="Z92" i="39"/>
  <c r="Z93" i="39"/>
  <c r="Z94" i="39"/>
  <c r="Z95" i="39"/>
  <c r="Z96" i="39"/>
  <c r="Z97" i="39"/>
  <c r="Z98" i="39"/>
  <c r="Z99" i="39"/>
  <c r="Z100" i="39"/>
  <c r="Z101" i="39"/>
  <c r="Z102" i="39"/>
  <c r="Z103" i="39"/>
  <c r="Z104" i="39"/>
  <c r="Z105" i="39"/>
  <c r="Z106" i="39"/>
  <c r="Z107" i="39"/>
  <c r="Z108" i="39"/>
  <c r="Z4" i="39"/>
  <c r="P26" i="43"/>
  <c r="P25" i="43"/>
  <c r="P24" i="43"/>
  <c r="P23" i="43"/>
  <c r="P17" i="43"/>
  <c r="P16" i="43"/>
  <c r="P15" i="43"/>
  <c r="P14" i="43"/>
  <c r="P13" i="43"/>
  <c r="P12" i="43"/>
  <c r="Q16" i="43" l="1"/>
  <c r="R16" i="43"/>
  <c r="Q15" i="43"/>
  <c r="R15" i="43"/>
  <c r="Q14" i="43"/>
  <c r="R14" i="43"/>
  <c r="Q17" i="43"/>
  <c r="R17" i="43"/>
  <c r="R20" i="43"/>
  <c r="Q20" i="43"/>
  <c r="R39" i="43"/>
  <c r="AS18" i="43"/>
  <c r="AR41" i="43"/>
  <c r="AT40" i="43"/>
  <c r="AS40" i="43"/>
  <c r="R46" i="43"/>
  <c r="Q37" i="43"/>
  <c r="Q31" i="43"/>
  <c r="Q35" i="43"/>
  <c r="R27" i="43"/>
  <c r="R47" i="43"/>
  <c r="R45" i="43"/>
  <c r="R32" i="43"/>
  <c r="R38" i="43"/>
  <c r="R33" i="43"/>
  <c r="R29" i="43"/>
  <c r="Q29" i="43"/>
  <c r="Q47" i="43"/>
  <c r="R44" i="43"/>
  <c r="R42" i="43"/>
  <c r="Q45" i="43"/>
  <c r="Q26" i="43"/>
  <c r="R26" i="43"/>
  <c r="R25" i="43"/>
  <c r="Q25" i="43"/>
  <c r="R24" i="43"/>
  <c r="R23" i="43"/>
  <c r="Q23" i="43"/>
  <c r="R11" i="43"/>
  <c r="Q43" i="43"/>
  <c r="Q28" i="43"/>
  <c r="R30" i="43"/>
  <c r="Q11" i="43"/>
  <c r="R13" i="43"/>
  <c r="R12" i="43"/>
  <c r="Q36" i="43"/>
  <c r="Q34" i="43"/>
  <c r="Q27" i="43"/>
  <c r="Q24" i="43"/>
  <c r="Q40" i="43"/>
  <c r="Q12" i="43"/>
  <c r="Q41" i="43"/>
  <c r="AM682" i="14"/>
  <c r="AM681" i="14"/>
  <c r="AM680" i="14"/>
  <c r="AM679" i="14"/>
  <c r="AM678" i="14"/>
  <c r="AM676" i="14"/>
  <c r="AM675" i="14"/>
  <c r="AM674" i="14"/>
  <c r="AM673" i="14"/>
  <c r="AM672" i="14"/>
  <c r="AM670" i="14"/>
  <c r="AM669" i="14"/>
  <c r="AM668" i="14"/>
  <c r="AM667" i="14"/>
  <c r="AM666" i="14"/>
  <c r="AM664" i="14"/>
  <c r="AM663" i="14"/>
  <c r="AM662" i="14"/>
  <c r="AM661" i="14"/>
  <c r="AM660" i="14"/>
  <c r="AM658" i="14"/>
  <c r="AM657" i="14"/>
  <c r="AM656" i="14"/>
  <c r="AM655" i="14"/>
  <c r="AM654" i="14"/>
  <c r="AM652" i="14"/>
  <c r="AM651" i="14"/>
  <c r="AM650" i="14"/>
  <c r="AM649" i="14"/>
  <c r="AM648" i="14"/>
  <c r="AM646" i="14"/>
  <c r="AM645" i="14"/>
  <c r="AM644" i="14"/>
  <c r="AM643" i="14"/>
  <c r="AM642" i="14"/>
  <c r="AM640" i="14"/>
  <c r="AM639" i="14"/>
  <c r="AM638" i="14"/>
  <c r="AM637" i="14"/>
  <c r="AM636" i="14"/>
  <c r="AM634" i="14"/>
  <c r="AM633" i="14"/>
  <c r="AM632" i="14"/>
  <c r="AM631" i="14"/>
  <c r="AM630" i="14"/>
  <c r="AM628" i="14"/>
  <c r="AM627" i="14"/>
  <c r="AM626" i="14"/>
  <c r="AM625" i="14"/>
  <c r="AM624" i="14"/>
  <c r="AM622" i="14"/>
  <c r="AM621" i="14"/>
  <c r="AM620" i="14"/>
  <c r="AM619" i="14"/>
  <c r="AM618" i="14"/>
  <c r="AM616" i="14"/>
  <c r="AM615" i="14"/>
  <c r="AM614" i="14"/>
  <c r="AM613" i="14"/>
  <c r="AM612" i="14"/>
  <c r="AM610" i="14"/>
  <c r="AM609" i="14"/>
  <c r="AM608" i="14"/>
  <c r="AM607" i="14"/>
  <c r="AM606" i="14"/>
  <c r="AM604" i="14"/>
  <c r="AM603" i="14"/>
  <c r="AM602" i="14"/>
  <c r="AM601" i="14"/>
  <c r="AM600" i="14"/>
  <c r="AM598" i="14"/>
  <c r="AM597" i="14"/>
  <c r="AM596" i="14"/>
  <c r="AM595" i="14"/>
  <c r="AM594" i="14"/>
  <c r="AM592" i="14"/>
  <c r="AM591" i="14"/>
  <c r="AM590" i="14"/>
  <c r="AM589" i="14"/>
  <c r="AM588" i="14"/>
  <c r="AM586" i="14"/>
  <c r="AM585" i="14"/>
  <c r="AM584" i="14"/>
  <c r="AM583" i="14"/>
  <c r="AM582" i="14"/>
  <c r="AM580" i="14"/>
  <c r="AM579" i="14"/>
  <c r="AM578" i="14"/>
  <c r="AM577" i="14"/>
  <c r="AM576" i="14"/>
  <c r="AM574" i="14"/>
  <c r="AM573" i="14"/>
  <c r="AM572" i="14"/>
  <c r="AM571" i="14"/>
  <c r="AM570" i="14"/>
  <c r="AM568" i="14"/>
  <c r="AM567" i="14"/>
  <c r="AM566" i="14"/>
  <c r="AM565" i="14"/>
  <c r="AM564" i="14"/>
  <c r="AM562" i="14"/>
  <c r="AM561" i="14"/>
  <c r="AM560" i="14"/>
  <c r="AM559" i="14"/>
  <c r="AM558" i="14"/>
  <c r="AM556" i="14"/>
  <c r="AM555" i="14"/>
  <c r="AM554" i="14"/>
  <c r="AM553" i="14"/>
  <c r="AM552" i="14"/>
  <c r="AM550" i="14"/>
  <c r="AM549" i="14"/>
  <c r="AM548" i="14"/>
  <c r="AM547" i="14"/>
  <c r="AM546" i="14"/>
  <c r="AM544" i="14"/>
  <c r="AM543" i="14"/>
  <c r="AM542" i="14"/>
  <c r="AM541" i="14"/>
  <c r="AM540" i="14"/>
  <c r="AM538" i="14"/>
  <c r="AM537" i="14"/>
  <c r="AM536" i="14"/>
  <c r="AM535" i="14"/>
  <c r="AM534" i="14"/>
  <c r="AM532" i="14"/>
  <c r="AM531" i="14"/>
  <c r="AM530" i="14"/>
  <c r="AM529" i="14"/>
  <c r="AM528" i="14"/>
  <c r="AM526" i="14"/>
  <c r="AM525" i="14"/>
  <c r="AM524" i="14"/>
  <c r="AM523" i="14"/>
  <c r="AM522" i="14"/>
  <c r="AM520" i="14"/>
  <c r="AM519" i="14"/>
  <c r="AM518" i="14"/>
  <c r="AM517" i="14"/>
  <c r="AM516" i="14"/>
  <c r="AM514" i="14"/>
  <c r="AM513" i="14"/>
  <c r="AM512" i="14"/>
  <c r="AM511" i="14"/>
  <c r="AM510" i="14"/>
  <c r="AM508" i="14"/>
  <c r="AM507" i="14"/>
  <c r="AM506" i="14"/>
  <c r="AM505" i="14"/>
  <c r="AM504" i="14"/>
  <c r="AM502" i="14"/>
  <c r="AM501" i="14"/>
  <c r="AM500" i="14"/>
  <c r="AM499" i="14"/>
  <c r="AM498" i="14"/>
  <c r="AM496" i="14"/>
  <c r="AM495" i="14"/>
  <c r="AM494" i="14"/>
  <c r="AM493" i="14"/>
  <c r="AM492" i="14"/>
  <c r="AM490" i="14"/>
  <c r="AM489" i="14"/>
  <c r="AM488" i="14"/>
  <c r="AM487" i="14"/>
  <c r="AM486" i="14"/>
  <c r="AM484" i="14"/>
  <c r="AM483" i="14"/>
  <c r="AM482" i="14"/>
  <c r="AM481" i="14"/>
  <c r="AM480" i="14"/>
  <c r="AM478" i="14"/>
  <c r="AM477" i="14"/>
  <c r="AM476" i="14"/>
  <c r="AM475" i="14"/>
  <c r="AM474" i="14"/>
  <c r="AM472" i="14"/>
  <c r="AM471" i="14"/>
  <c r="AM470" i="14"/>
  <c r="AM469" i="14"/>
  <c r="AM468" i="14"/>
  <c r="AM466" i="14"/>
  <c r="AM465" i="14"/>
  <c r="AM464" i="14"/>
  <c r="AM463" i="14"/>
  <c r="AM462" i="14"/>
  <c r="AM460" i="14"/>
  <c r="AM459" i="14"/>
  <c r="AM458" i="14"/>
  <c r="AM457" i="14"/>
  <c r="AM456" i="14"/>
  <c r="AM454" i="14"/>
  <c r="AM453" i="14"/>
  <c r="AM452" i="14"/>
  <c r="AM451" i="14"/>
  <c r="AM450" i="14"/>
  <c r="AM448" i="14"/>
  <c r="AM447" i="14"/>
  <c r="AM446" i="14"/>
  <c r="AM445" i="14"/>
  <c r="AM444" i="14"/>
  <c r="AM442" i="14"/>
  <c r="AM441" i="14"/>
  <c r="AM440" i="14"/>
  <c r="AM439" i="14"/>
  <c r="AM438" i="14"/>
  <c r="AM436" i="14"/>
  <c r="AM435" i="14"/>
  <c r="AM434" i="14"/>
  <c r="AM433" i="14"/>
  <c r="AM432" i="14"/>
  <c r="AM430" i="14"/>
  <c r="AM429" i="14"/>
  <c r="AM428" i="14"/>
  <c r="AM427" i="14"/>
  <c r="AM426" i="14"/>
  <c r="AM424" i="14"/>
  <c r="AM423" i="14"/>
  <c r="AM422" i="14"/>
  <c r="AM421" i="14"/>
  <c r="AM420" i="14"/>
  <c r="AM418" i="14"/>
  <c r="AM417" i="14"/>
  <c r="AM416" i="14"/>
  <c r="AM415" i="14"/>
  <c r="AM414" i="14"/>
  <c r="AM412" i="14"/>
  <c r="AM411" i="14"/>
  <c r="AM410" i="14"/>
  <c r="AM409" i="14"/>
  <c r="AM408" i="14"/>
  <c r="AM406" i="14"/>
  <c r="AM405" i="14"/>
  <c r="AM404" i="14"/>
  <c r="AM403" i="14"/>
  <c r="AM402" i="14"/>
  <c r="AM400" i="14"/>
  <c r="AM399" i="14"/>
  <c r="AM398" i="14"/>
  <c r="AM397" i="14"/>
  <c r="AM396" i="14"/>
  <c r="AM394" i="14"/>
  <c r="AM393" i="14"/>
  <c r="AM392" i="14"/>
  <c r="AM391" i="14"/>
  <c r="AM390" i="14"/>
  <c r="AM388" i="14"/>
  <c r="AM387" i="14"/>
  <c r="AM386" i="14"/>
  <c r="AM385" i="14"/>
  <c r="AM384" i="14"/>
  <c r="AM382" i="14"/>
  <c r="AM381" i="14"/>
  <c r="AM380" i="14"/>
  <c r="AM379" i="14"/>
  <c r="AM378" i="14"/>
  <c r="AM376" i="14"/>
  <c r="AM375" i="14"/>
  <c r="AM374" i="14"/>
  <c r="AM373" i="14"/>
  <c r="AM372" i="14"/>
  <c r="AM370" i="14"/>
  <c r="AM369" i="14"/>
  <c r="AM368" i="14"/>
  <c r="AM367" i="14"/>
  <c r="AM366" i="14"/>
  <c r="AM364" i="14"/>
  <c r="AM363" i="14"/>
  <c r="AM362" i="14"/>
  <c r="AM361" i="14"/>
  <c r="AM360" i="14"/>
  <c r="AM358" i="14"/>
  <c r="AM357" i="14"/>
  <c r="AM356" i="14"/>
  <c r="AM355" i="14"/>
  <c r="AM354" i="14"/>
  <c r="AM352" i="14"/>
  <c r="AM351" i="14"/>
  <c r="AM350" i="14"/>
  <c r="AM349" i="14"/>
  <c r="AM348" i="14"/>
  <c r="AM346" i="14"/>
  <c r="AM345" i="14"/>
  <c r="AM344" i="14"/>
  <c r="AM343" i="14"/>
  <c r="AM342" i="14"/>
  <c r="AM340" i="14"/>
  <c r="AM339" i="14"/>
  <c r="AM338" i="14"/>
  <c r="AM337" i="14"/>
  <c r="AM336" i="14"/>
  <c r="AM334" i="14"/>
  <c r="AM333" i="14"/>
  <c r="AM332" i="14"/>
  <c r="AM331" i="14"/>
  <c r="AM330" i="14"/>
  <c r="AM328" i="14"/>
  <c r="AM327" i="14"/>
  <c r="AM326" i="14"/>
  <c r="AM325" i="14"/>
  <c r="AM324" i="14"/>
  <c r="AM322" i="14"/>
  <c r="AM321" i="14"/>
  <c r="AM320" i="14"/>
  <c r="AM319" i="14"/>
  <c r="AM318" i="14"/>
  <c r="AM316" i="14"/>
  <c r="AM315" i="14"/>
  <c r="AM314" i="14"/>
  <c r="AM313" i="14"/>
  <c r="AM312" i="14"/>
  <c r="AM310" i="14"/>
  <c r="AM309" i="14"/>
  <c r="AM308" i="14"/>
  <c r="AM307" i="14"/>
  <c r="AM306" i="14"/>
  <c r="AM304" i="14"/>
  <c r="AM303" i="14"/>
  <c r="AM302" i="14"/>
  <c r="AM301" i="14"/>
  <c r="AM300" i="14"/>
  <c r="AM298" i="14"/>
  <c r="AM297" i="14"/>
  <c r="AM296" i="14"/>
  <c r="AM295" i="14"/>
  <c r="AM294" i="14"/>
  <c r="AM292" i="14"/>
  <c r="AM291" i="14"/>
  <c r="AM290" i="14"/>
  <c r="AM289" i="14"/>
  <c r="AM288" i="14"/>
  <c r="AM286" i="14"/>
  <c r="AM285" i="14"/>
  <c r="AM284" i="14"/>
  <c r="AM283" i="14"/>
  <c r="AM282" i="14"/>
  <c r="AM280" i="14"/>
  <c r="AM279" i="14"/>
  <c r="AM278" i="14"/>
  <c r="AM277" i="14"/>
  <c r="AM276" i="14"/>
  <c r="AM274" i="14"/>
  <c r="AM273" i="14"/>
  <c r="AM272" i="14"/>
  <c r="AM271" i="14"/>
  <c r="AM270" i="14"/>
  <c r="AM268" i="14"/>
  <c r="AM267" i="14"/>
  <c r="AM266" i="14"/>
  <c r="AM265" i="14"/>
  <c r="AM264" i="14"/>
  <c r="AM262" i="14"/>
  <c r="AM261" i="14"/>
  <c r="AM260" i="14"/>
  <c r="AM259" i="14"/>
  <c r="AM258" i="14"/>
  <c r="AM256" i="14"/>
  <c r="AM255" i="14"/>
  <c r="AM254" i="14"/>
  <c r="AM253" i="14"/>
  <c r="AM252" i="14"/>
  <c r="AM250" i="14"/>
  <c r="AM249" i="14"/>
  <c r="AM248" i="14"/>
  <c r="AM247" i="14"/>
  <c r="AM246" i="14"/>
  <c r="AM244" i="14"/>
  <c r="AM243" i="14"/>
  <c r="AM242" i="14"/>
  <c r="AM241" i="14"/>
  <c r="AM240" i="14"/>
  <c r="AM238" i="14"/>
  <c r="AM237" i="14"/>
  <c r="AM236" i="14"/>
  <c r="AM235" i="14"/>
  <c r="AM234" i="14"/>
  <c r="AM232" i="14"/>
  <c r="AM231" i="14"/>
  <c r="AM230" i="14"/>
  <c r="AM229" i="14"/>
  <c r="AM228" i="14"/>
  <c r="AM226" i="14"/>
  <c r="AM225" i="14"/>
  <c r="AM224" i="14"/>
  <c r="AM223" i="14"/>
  <c r="AM222" i="14"/>
  <c r="AM220" i="14"/>
  <c r="AM219" i="14"/>
  <c r="AM218" i="14"/>
  <c r="AM217" i="14"/>
  <c r="AM216" i="14"/>
  <c r="AM214" i="14"/>
  <c r="AM213" i="14"/>
  <c r="AM212" i="14"/>
  <c r="AM211" i="14"/>
  <c r="AM210" i="14"/>
  <c r="AM208" i="14"/>
  <c r="AM207" i="14"/>
  <c r="AM206" i="14"/>
  <c r="AM205" i="14"/>
  <c r="AM204" i="14"/>
  <c r="AM202" i="14"/>
  <c r="AM201" i="14"/>
  <c r="AM200" i="14"/>
  <c r="AM199" i="14"/>
  <c r="AM198" i="14"/>
  <c r="AM196" i="14"/>
  <c r="AM195" i="14"/>
  <c r="AM194" i="14"/>
  <c r="AM193" i="14"/>
  <c r="AM192" i="14"/>
  <c r="AM190" i="14"/>
  <c r="AM189" i="14"/>
  <c r="AM188" i="14"/>
  <c r="AM187" i="14"/>
  <c r="AM186" i="14"/>
  <c r="AM184" i="14"/>
  <c r="AM183" i="14"/>
  <c r="AM182" i="14"/>
  <c r="AM181" i="14"/>
  <c r="AM180" i="14"/>
  <c r="AM178" i="14"/>
  <c r="AM177" i="14"/>
  <c r="AM176" i="14"/>
  <c r="AM175" i="14"/>
  <c r="AM174" i="14"/>
  <c r="AM172" i="14"/>
  <c r="AM171" i="14"/>
  <c r="AM170" i="14"/>
  <c r="AM169" i="14"/>
  <c r="AM168" i="14"/>
  <c r="AM166" i="14"/>
  <c r="AM165" i="14"/>
  <c r="AM164" i="14"/>
  <c r="AM163" i="14"/>
  <c r="AM162" i="14"/>
  <c r="AM160" i="14"/>
  <c r="AM159" i="14"/>
  <c r="AM158" i="14"/>
  <c r="AM157" i="14"/>
  <c r="AM156" i="14"/>
  <c r="AM154" i="14"/>
  <c r="AM153" i="14"/>
  <c r="AM152" i="14"/>
  <c r="AM151" i="14"/>
  <c r="AM150" i="14"/>
  <c r="AM148" i="14"/>
  <c r="AM147" i="14"/>
  <c r="AM146" i="14"/>
  <c r="AM145" i="14"/>
  <c r="AM144" i="14"/>
  <c r="AM142" i="14"/>
  <c r="AM141" i="14"/>
  <c r="AM140" i="14"/>
  <c r="AM139" i="14"/>
  <c r="AM138" i="14"/>
  <c r="AM136" i="14"/>
  <c r="AM135" i="14"/>
  <c r="AM134" i="14"/>
  <c r="AM133" i="14"/>
  <c r="AM132" i="14"/>
  <c r="AM130" i="14"/>
  <c r="AM129" i="14"/>
  <c r="AM128" i="14"/>
  <c r="AM127" i="14"/>
  <c r="AM126" i="14"/>
  <c r="AM124" i="14"/>
  <c r="AM123" i="14"/>
  <c r="AM122" i="14"/>
  <c r="AM121" i="14"/>
  <c r="AM120" i="14"/>
  <c r="AM118" i="14"/>
  <c r="AM117" i="14"/>
  <c r="AM116" i="14"/>
  <c r="AM115" i="14"/>
  <c r="AM114" i="14"/>
  <c r="AM112" i="14"/>
  <c r="AM111" i="14"/>
  <c r="AM110" i="14"/>
  <c r="AM109" i="14"/>
  <c r="AM108" i="14"/>
  <c r="AM106" i="14"/>
  <c r="AM105" i="14"/>
  <c r="AM104" i="14"/>
  <c r="AM103" i="14"/>
  <c r="AM102" i="14"/>
  <c r="AM100" i="14"/>
  <c r="AM99" i="14"/>
  <c r="AM98" i="14"/>
  <c r="AM97" i="14"/>
  <c r="AM96" i="14"/>
  <c r="AM94" i="14"/>
  <c r="AM93" i="14"/>
  <c r="AM92" i="14"/>
  <c r="AM91" i="14"/>
  <c r="AM90" i="14"/>
  <c r="AM88" i="14"/>
  <c r="AM87" i="14"/>
  <c r="AM86" i="14"/>
  <c r="AM85" i="14"/>
  <c r="AM84" i="14"/>
  <c r="AM82" i="14"/>
  <c r="AM81" i="14"/>
  <c r="AM80" i="14"/>
  <c r="AM79" i="14"/>
  <c r="AM78" i="14"/>
  <c r="AM76" i="14"/>
  <c r="AM75" i="14"/>
  <c r="AM74" i="14"/>
  <c r="AM73" i="14"/>
  <c r="AM72" i="14"/>
  <c r="AM60" i="14"/>
  <c r="AM61" i="14"/>
  <c r="AM62" i="14"/>
  <c r="AM63" i="14"/>
  <c r="AM64" i="14"/>
  <c r="AM66" i="14"/>
  <c r="AM67" i="14"/>
  <c r="AM68" i="14"/>
  <c r="AM69" i="14"/>
  <c r="AM70" i="14"/>
  <c r="AM58" i="14"/>
  <c r="AM57" i="14"/>
  <c r="AM56" i="14"/>
  <c r="AM55" i="14"/>
  <c r="AM54" i="14"/>
  <c r="AM52" i="14"/>
  <c r="AM51" i="14"/>
  <c r="AM50" i="14"/>
  <c r="AM49" i="14"/>
  <c r="AM48" i="14"/>
  <c r="AM46" i="14"/>
  <c r="AM45" i="14"/>
  <c r="AM44" i="14"/>
  <c r="AM43" i="14"/>
  <c r="AM42" i="14"/>
  <c r="AR42" i="43" l="1"/>
  <c r="AS41" i="43"/>
  <c r="AT41" i="43"/>
  <c r="T11" i="43" a="1"/>
  <c r="Q13" i="43"/>
  <c r="AE42" i="11"/>
  <c r="AA42" i="11" s="1"/>
  <c r="AE41" i="11"/>
  <c r="AE47" i="11"/>
  <c r="AA47" i="11" s="1"/>
  <c r="AE48" i="11"/>
  <c r="AE49" i="11"/>
  <c r="AA49" i="11" s="1"/>
  <c r="AE45" i="11"/>
  <c r="AA45" i="11" s="1"/>
  <c r="AE46" i="11"/>
  <c r="AA46" i="11" s="1"/>
  <c r="AE43" i="11"/>
  <c r="AA43" i="11" s="1"/>
  <c r="AE44" i="11"/>
  <c r="AA44" i="11" s="1"/>
  <c r="AE38" i="11"/>
  <c r="AA38" i="11" s="1"/>
  <c r="AF38" i="11" s="1"/>
  <c r="AG38" i="11" s="1"/>
  <c r="AE39" i="11"/>
  <c r="AE40" i="11"/>
  <c r="AA40" i="11" s="1"/>
  <c r="O41" i="39"/>
  <c r="AR43" i="43" l="1"/>
  <c r="AS42" i="43"/>
  <c r="AT42" i="43"/>
  <c r="T11" i="43"/>
  <c r="U55" i="43" s="1"/>
  <c r="U56" i="43"/>
  <c r="S11" i="43" a="1"/>
  <c r="S11" i="43" s="1"/>
  <c r="U11" i="43" s="1"/>
  <c r="V56" i="43"/>
  <c r="V64" i="43"/>
  <c r="V72" i="43"/>
  <c r="V80" i="43"/>
  <c r="V88" i="43"/>
  <c r="V96" i="43"/>
  <c r="V57" i="43"/>
  <c r="V65" i="43"/>
  <c r="V73" i="43"/>
  <c r="V81" i="43"/>
  <c r="V89" i="43"/>
  <c r="V97" i="43"/>
  <c r="V77" i="43"/>
  <c r="V58" i="43"/>
  <c r="V66" i="43"/>
  <c r="V74" i="43"/>
  <c r="V82" i="43"/>
  <c r="V90" i="43"/>
  <c r="V98" i="43"/>
  <c r="V61" i="43"/>
  <c r="V93" i="43"/>
  <c r="V59" i="43"/>
  <c r="V67" i="43"/>
  <c r="V75" i="43"/>
  <c r="V83" i="43"/>
  <c r="V91" i="43"/>
  <c r="V99" i="43"/>
  <c r="V85" i="43"/>
  <c r="V60" i="43"/>
  <c r="V68" i="43"/>
  <c r="V76" i="43"/>
  <c r="V84" i="43"/>
  <c r="V92" i="43"/>
  <c r="V69" i="43"/>
  <c r="V62" i="43"/>
  <c r="V70" i="43"/>
  <c r="V78" i="43"/>
  <c r="V86" i="43"/>
  <c r="V94" i="43"/>
  <c r="V63" i="43"/>
  <c r="V71" i="43"/>
  <c r="V79" i="43"/>
  <c r="V87" i="43"/>
  <c r="V95" i="43"/>
  <c r="U64" i="43"/>
  <c r="U72" i="43"/>
  <c r="U80" i="43"/>
  <c r="U88" i="43"/>
  <c r="U96" i="43"/>
  <c r="U57" i="43"/>
  <c r="U65" i="43"/>
  <c r="U73" i="43"/>
  <c r="U81" i="43"/>
  <c r="U89" i="43"/>
  <c r="U97" i="43"/>
  <c r="U58" i="43"/>
  <c r="U66" i="43"/>
  <c r="U74" i="43"/>
  <c r="U82" i="43"/>
  <c r="U90" i="43"/>
  <c r="U98" i="43"/>
  <c r="U59" i="43"/>
  <c r="U67" i="43"/>
  <c r="U75" i="43"/>
  <c r="U83" i="43"/>
  <c r="U91" i="43"/>
  <c r="U99" i="43"/>
  <c r="U79" i="43"/>
  <c r="U60" i="43"/>
  <c r="U68" i="43"/>
  <c r="U76" i="43"/>
  <c r="U84" i="43"/>
  <c r="U92" i="43"/>
  <c r="U87" i="43"/>
  <c r="U61" i="43"/>
  <c r="U69" i="43"/>
  <c r="U77" i="43"/>
  <c r="U85" i="43"/>
  <c r="U93" i="43"/>
  <c r="U71" i="43"/>
  <c r="U62" i="43"/>
  <c r="U70" i="43"/>
  <c r="U78" i="43"/>
  <c r="U86" i="43"/>
  <c r="U94" i="43"/>
  <c r="U63" i="43"/>
  <c r="U95" i="43"/>
  <c r="AA48" i="11"/>
  <c r="AF48" i="11" s="1"/>
  <c r="AA39" i="11"/>
  <c r="AF39" i="11" s="1"/>
  <c r="AG39" i="11" s="1"/>
  <c r="AF42" i="11"/>
  <c r="AA41" i="11"/>
  <c r="AF41" i="11" s="1"/>
  <c r="AF40" i="11"/>
  <c r="AF49" i="11"/>
  <c r="AF47" i="11"/>
  <c r="AF43" i="11"/>
  <c r="AF45" i="11"/>
  <c r="AF44" i="11"/>
  <c r="AF46" i="11"/>
  <c r="B16" i="40"/>
  <c r="AC75" i="43"/>
  <c r="AC91" i="43"/>
  <c r="AE94" i="43" a="1"/>
  <c r="AE74" i="43" a="1"/>
  <c r="AE86" i="43" a="1"/>
  <c r="AE79" i="43" a="1"/>
  <c r="AC87" i="43"/>
  <c r="AC63" i="43"/>
  <c r="AE97" i="43" a="1"/>
  <c r="AE72" i="43" a="1"/>
  <c r="AE80" i="43" a="1"/>
  <c r="AC88" i="43"/>
  <c r="AC67" i="43"/>
  <c r="AE81" i="43" a="1"/>
  <c r="AE99" i="43" a="1"/>
  <c r="AC85" i="43"/>
  <c r="AC89" i="43"/>
  <c r="AC83" i="43"/>
  <c r="AC77" i="43"/>
  <c r="AE71" i="43" a="1"/>
  <c r="AC92" i="43"/>
  <c r="AC56" i="43"/>
  <c r="AC64" i="43"/>
  <c r="AC78" i="43"/>
  <c r="AC73" i="43"/>
  <c r="AC76" i="43"/>
  <c r="AE68" i="43" a="1"/>
  <c r="AE95" i="43" a="1"/>
  <c r="AE96" i="43" a="1"/>
  <c r="AE69" i="43" a="1"/>
  <c r="AC57" i="43"/>
  <c r="AC62" i="43"/>
  <c r="AC59" i="43"/>
  <c r="AE82" i="43" a="1"/>
  <c r="AC61" i="43"/>
  <c r="AE93" i="43" a="1"/>
  <c r="AC65" i="43"/>
  <c r="AE70" i="43" a="1"/>
  <c r="AC90" i="43"/>
  <c r="AC84" i="43"/>
  <c r="AR44" i="43" l="1"/>
  <c r="AT43" i="43"/>
  <c r="AS43" i="43"/>
  <c r="AF88" i="43"/>
  <c r="AF59" i="43"/>
  <c r="AF91" i="43"/>
  <c r="AF63" i="43"/>
  <c r="AF56" i="43"/>
  <c r="AF77" i="43"/>
  <c r="AF67" i="43"/>
  <c r="AF76" i="43"/>
  <c r="AF57" i="43"/>
  <c r="AF65" i="43"/>
  <c r="AF64" i="43"/>
  <c r="AF85" i="43"/>
  <c r="AF83" i="43"/>
  <c r="AF87" i="43"/>
  <c r="AF73" i="43"/>
  <c r="AF75" i="43"/>
  <c r="AF62" i="43"/>
  <c r="AF78" i="43"/>
  <c r="AF90" i="43"/>
  <c r="AF84" i="43"/>
  <c r="AF61" i="43"/>
  <c r="AF89" i="43"/>
  <c r="AF92" i="43"/>
  <c r="AG41" i="11"/>
  <c r="AG40" i="11"/>
  <c r="V11" i="43"/>
  <c r="AE74" i="43"/>
  <c r="AE94" i="43"/>
  <c r="AE86" i="43"/>
  <c r="AE68" i="43"/>
  <c r="AE96" i="43"/>
  <c r="AE93" i="43"/>
  <c r="AE95" i="43"/>
  <c r="AE70" i="43"/>
  <c r="AE97" i="43"/>
  <c r="AE80" i="43"/>
  <c r="AE99" i="43"/>
  <c r="AE72" i="43"/>
  <c r="AE79" i="43"/>
  <c r="AE69" i="43"/>
  <c r="AE81" i="43"/>
  <c r="AE71" i="43"/>
  <c r="AE82" i="43"/>
  <c r="V55" i="43"/>
  <c r="U46" i="43"/>
  <c r="W46" i="43" s="1"/>
  <c r="Z46" i="43" s="1"/>
  <c r="U50" i="43"/>
  <c r="W50" i="43" s="1"/>
  <c r="Z50" i="43" s="1"/>
  <c r="U54" i="43"/>
  <c r="W54" i="43" s="1"/>
  <c r="Z54" i="43" s="1"/>
  <c r="V46" i="43"/>
  <c r="V50" i="43"/>
  <c r="V54" i="43"/>
  <c r="U49" i="43"/>
  <c r="W49" i="43" s="1"/>
  <c r="Z49" i="43" s="1"/>
  <c r="U53" i="43"/>
  <c r="W53" i="43" s="1"/>
  <c r="Z53" i="43" s="1"/>
  <c r="V49" i="43"/>
  <c r="V53" i="43"/>
  <c r="V48" i="43"/>
  <c r="V52" i="43"/>
  <c r="U48" i="43"/>
  <c r="W48" i="43" s="1"/>
  <c r="Z48" i="43" s="1"/>
  <c r="U52" i="43"/>
  <c r="W52" i="43" s="1"/>
  <c r="Z52" i="43" s="1"/>
  <c r="U47" i="43"/>
  <c r="W47" i="43" s="1"/>
  <c r="Z47" i="43" s="1"/>
  <c r="U51" i="43"/>
  <c r="W51" i="43" s="1"/>
  <c r="Z51" i="43" s="1"/>
  <c r="V47" i="43"/>
  <c r="V51" i="43"/>
  <c r="V29" i="43"/>
  <c r="V37" i="43"/>
  <c r="V45" i="43"/>
  <c r="V32" i="43"/>
  <c r="V40" i="43"/>
  <c r="V33" i="43"/>
  <c r="V41" i="43"/>
  <c r="V31" i="43"/>
  <c r="V34" i="43"/>
  <c r="V42" i="43"/>
  <c r="V44" i="43"/>
  <c r="V38" i="43"/>
  <c r="V39" i="43"/>
  <c r="V35" i="43"/>
  <c r="V43" i="43"/>
  <c r="V36" i="43"/>
  <c r="V30" i="43"/>
  <c r="U12" i="43"/>
  <c r="U20" i="43"/>
  <c r="U28" i="43"/>
  <c r="W28" i="43" s="1"/>
  <c r="Z28" i="43" s="1"/>
  <c r="U36" i="43"/>
  <c r="W36" i="43" s="1"/>
  <c r="Z36" i="43" s="1"/>
  <c r="U44" i="43"/>
  <c r="W44" i="43" s="1"/>
  <c r="Z44" i="43" s="1"/>
  <c r="U13" i="43"/>
  <c r="U21" i="43"/>
  <c r="U29" i="43"/>
  <c r="W29" i="43" s="1"/>
  <c r="Z29" i="43" s="1"/>
  <c r="U37" i="43"/>
  <c r="W37" i="43" s="1"/>
  <c r="Z37" i="43" s="1"/>
  <c r="U45" i="43"/>
  <c r="W45" i="43" s="1"/>
  <c r="Z45" i="43" s="1"/>
  <c r="U41" i="43"/>
  <c r="W41" i="43" s="1"/>
  <c r="Z41" i="43" s="1"/>
  <c r="U14" i="43"/>
  <c r="U22" i="43"/>
  <c r="U30" i="43"/>
  <c r="W30" i="43" s="1"/>
  <c r="Z30" i="43" s="1"/>
  <c r="U38" i="43"/>
  <c r="W38" i="43" s="1"/>
  <c r="Z38" i="43" s="1"/>
  <c r="U25" i="43"/>
  <c r="W25" i="43" s="1"/>
  <c r="Z25" i="43" s="1"/>
  <c r="U15" i="43"/>
  <c r="U23" i="43"/>
  <c r="U31" i="43"/>
  <c r="W31" i="43" s="1"/>
  <c r="Z31" i="43" s="1"/>
  <c r="U39" i="43"/>
  <c r="W39" i="43" s="1"/>
  <c r="Z39" i="43" s="1"/>
  <c r="U33" i="43"/>
  <c r="W33" i="43" s="1"/>
  <c r="Z33" i="43" s="1"/>
  <c r="U16" i="43"/>
  <c r="U24" i="43"/>
  <c r="U32" i="43"/>
  <c r="W32" i="43" s="1"/>
  <c r="Z32" i="43" s="1"/>
  <c r="U40" i="43"/>
  <c r="W40" i="43" s="1"/>
  <c r="Z40" i="43" s="1"/>
  <c r="U17" i="43"/>
  <c r="U18" i="43"/>
  <c r="U26" i="43"/>
  <c r="W26" i="43" s="1"/>
  <c r="Z26" i="43" s="1"/>
  <c r="U34" i="43"/>
  <c r="W34" i="43" s="1"/>
  <c r="Z34" i="43" s="1"/>
  <c r="U42" i="43"/>
  <c r="W42" i="43" s="1"/>
  <c r="Z42" i="43" s="1"/>
  <c r="U19" i="43"/>
  <c r="U27" i="43"/>
  <c r="W27" i="43" s="1"/>
  <c r="Z27" i="43" s="1"/>
  <c r="U35" i="43"/>
  <c r="W35" i="43" s="1"/>
  <c r="Z35" i="43" s="1"/>
  <c r="U43" i="43"/>
  <c r="W43" i="43" s="1"/>
  <c r="Z43" i="43" s="1"/>
  <c r="V14" i="43"/>
  <c r="V18" i="43"/>
  <c r="V21" i="43"/>
  <c r="V27" i="43"/>
  <c r="V23" i="43"/>
  <c r="V25" i="43"/>
  <c r="V15" i="43"/>
  <c r="V17" i="43"/>
  <c r="V13" i="43"/>
  <c r="V22" i="43"/>
  <c r="V28" i="43"/>
  <c r="V24" i="43"/>
  <c r="V20" i="43"/>
  <c r="V19" i="43"/>
  <c r="V16" i="43"/>
  <c r="V12" i="43"/>
  <c r="V26" i="43"/>
  <c r="AG48" i="11"/>
  <c r="AG49" i="11"/>
  <c r="AG43" i="11"/>
  <c r="AG42" i="11"/>
  <c r="AG47" i="11"/>
  <c r="AG44" i="11"/>
  <c r="AG46" i="11"/>
  <c r="AG45" i="11"/>
  <c r="AC98" i="43"/>
  <c r="AC60" i="43"/>
  <c r="AD71" i="43" a="1"/>
  <c r="X50" i="43" a="1"/>
  <c r="AR45" i="43" l="1"/>
  <c r="AT44" i="43"/>
  <c r="AS44" i="43"/>
  <c r="AF60" i="43"/>
  <c r="AF98" i="43"/>
  <c r="AE90" i="43" a="1"/>
  <c r="AC70" i="43"/>
  <c r="AC81" i="43"/>
  <c r="X49" i="43" a="1"/>
  <c r="AC96" i="43"/>
  <c r="X43" i="43" a="1"/>
  <c r="AE88" i="43" a="1"/>
  <c r="AD89" i="43" a="1"/>
  <c r="X44" i="43" a="1"/>
  <c r="X53" i="43" a="1"/>
  <c r="X42" i="43" a="1"/>
  <c r="AD76" i="43" a="1"/>
  <c r="X26" i="43" a="1"/>
  <c r="AC79" i="43"/>
  <c r="AD85" i="43" a="1"/>
  <c r="AE83" i="43" a="1"/>
  <c r="AE75" i="43" a="1"/>
  <c r="AD88" i="43" a="1"/>
  <c r="AD80" i="43" a="1"/>
  <c r="AC72" i="43"/>
  <c r="AD78" i="43" a="1"/>
  <c r="AE84" i="43" a="1"/>
  <c r="AD84" i="43" a="1"/>
  <c r="AD98" i="43" a="1"/>
  <c r="X29" i="43" a="1"/>
  <c r="AE89" i="43" a="1"/>
  <c r="X38" i="43" a="1"/>
  <c r="AC69" i="43"/>
  <c r="X28" i="43" a="1"/>
  <c r="AE77" i="43" a="1"/>
  <c r="AE92" i="43" a="1"/>
  <c r="AD92" i="43" a="1"/>
  <c r="AC82" i="43"/>
  <c r="AD79" i="43" a="1"/>
  <c r="AE87" i="43" a="1"/>
  <c r="AD75" i="43" a="1"/>
  <c r="AE78" i="43" a="1"/>
  <c r="AE91" i="43" a="1"/>
  <c r="AD93" i="43" a="1"/>
  <c r="AD56" i="43" a="1"/>
  <c r="AD96" i="43" a="1"/>
  <c r="AD83" i="43" a="1"/>
  <c r="X39" i="43" a="1"/>
  <c r="X45" i="43" a="1"/>
  <c r="AC86" i="43"/>
  <c r="AC66" i="43"/>
  <c r="AD57" i="43" a="1"/>
  <c r="X46" i="43" a="1"/>
  <c r="X33" i="43" a="1"/>
  <c r="X25" i="43" a="1"/>
  <c r="X37" i="43" a="1"/>
  <c r="X52" i="43" a="1"/>
  <c r="X51" i="43" a="1"/>
  <c r="AD66" i="43" a="1"/>
  <c r="AC94" i="43"/>
  <c r="AD90" i="43" a="1"/>
  <c r="AE76" i="43" a="1"/>
  <c r="X30" i="43" a="1"/>
  <c r="AC55" i="43"/>
  <c r="X34" i="43" a="1"/>
  <c r="AD77" i="43" a="1"/>
  <c r="X31" i="43" a="1"/>
  <c r="AD62" i="43" a="1"/>
  <c r="AD65" i="43" a="1"/>
  <c r="AD63" i="43" a="1"/>
  <c r="AD87" i="43" a="1"/>
  <c r="X47" i="43" a="1"/>
  <c r="AE73" i="43" a="1"/>
  <c r="X48" i="43" a="1"/>
  <c r="AD72" i="43" a="1"/>
  <c r="X36" i="43" a="1"/>
  <c r="AC99" i="43"/>
  <c r="AD91" i="43" a="1"/>
  <c r="X41" i="43" a="1"/>
  <c r="AD94" i="43" a="1"/>
  <c r="AD59" i="43" a="1"/>
  <c r="AC93" i="43"/>
  <c r="AC80" i="43"/>
  <c r="AD64" i="43" a="1"/>
  <c r="AC58" i="43"/>
  <c r="AE98" i="43" a="1"/>
  <c r="X27" i="43" a="1"/>
  <c r="X32" i="43" a="1"/>
  <c r="AD69" i="43" a="1"/>
  <c r="AD70" i="43" a="1"/>
  <c r="AD68" i="43" a="1"/>
  <c r="AD86" i="43" a="1"/>
  <c r="AD60" i="43" a="1"/>
  <c r="AD67" i="43" a="1"/>
  <c r="AC74" i="43"/>
  <c r="AC68" i="43"/>
  <c r="AC97" i="43"/>
  <c r="AD73" i="43" a="1"/>
  <c r="X54" i="43" a="1"/>
  <c r="AC95" i="43"/>
  <c r="X35" i="43" a="1"/>
  <c r="AD74" i="43" a="1"/>
  <c r="X40" i="43" a="1"/>
  <c r="AD82" i="43" a="1"/>
  <c r="AD97" i="43" a="1"/>
  <c r="AE85" i="43" a="1"/>
  <c r="AC71" i="43"/>
  <c r="AD58" i="43" a="1"/>
  <c r="AD95" i="43" a="1"/>
  <c r="AD61" i="43" a="1"/>
  <c r="AD81" i="43" a="1"/>
  <c r="AD99" i="43" a="1"/>
  <c r="AR46" i="43" l="1"/>
  <c r="AT45" i="43"/>
  <c r="AS45" i="43"/>
  <c r="AE91" i="43"/>
  <c r="AE90" i="43"/>
  <c r="AE98" i="43"/>
  <c r="AF94" i="43"/>
  <c r="AF80" i="43"/>
  <c r="AF99" i="43"/>
  <c r="AF58" i="43"/>
  <c r="AF69" i="43"/>
  <c r="AF72" i="43"/>
  <c r="AF71" i="43"/>
  <c r="AF86" i="43"/>
  <c r="AF93" i="43"/>
  <c r="AF66" i="43"/>
  <c r="AF68" i="43"/>
  <c r="AF74" i="43"/>
  <c r="AF97" i="43"/>
  <c r="AF95" i="43"/>
  <c r="AF96" i="43"/>
  <c r="AF81" i="43"/>
  <c r="AF82" i="43"/>
  <c r="AF79" i="43"/>
  <c r="AF70" i="43"/>
  <c r="AF55" i="43"/>
  <c r="AE89" i="43"/>
  <c r="AE87" i="43"/>
  <c r="W24" i="43"/>
  <c r="Z24" i="43" s="1"/>
  <c r="W23" i="43"/>
  <c r="W22" i="43"/>
  <c r="W21" i="43"/>
  <c r="W20" i="43"/>
  <c r="W19" i="43"/>
  <c r="W18" i="43"/>
  <c r="W17" i="43"/>
  <c r="W16" i="43"/>
  <c r="W13" i="43"/>
  <c r="W12" i="43"/>
  <c r="W11" i="43"/>
  <c r="W14" i="43"/>
  <c r="AE85" i="43"/>
  <c r="AE77" i="43"/>
  <c r="AE88" i="43"/>
  <c r="AE78" i="43"/>
  <c r="AE84" i="43"/>
  <c r="AE73" i="43"/>
  <c r="AE92" i="43"/>
  <c r="AE75" i="43"/>
  <c r="AE83" i="43"/>
  <c r="AE76" i="43"/>
  <c r="X43" i="43"/>
  <c r="X49" i="43"/>
  <c r="X28" i="43"/>
  <c r="X35" i="43"/>
  <c r="X33" i="43"/>
  <c r="X27" i="43"/>
  <c r="X47" i="43"/>
  <c r="X39" i="43"/>
  <c r="X40" i="43"/>
  <c r="X26" i="43"/>
  <c r="X38" i="43"/>
  <c r="X32" i="43"/>
  <c r="X54" i="43"/>
  <c r="X41" i="43"/>
  <c r="X44" i="43"/>
  <c r="X45" i="43"/>
  <c r="X50" i="43"/>
  <c r="X42" i="43"/>
  <c r="X37" i="43"/>
  <c r="X52" i="43"/>
  <c r="X46" i="43"/>
  <c r="X25" i="43"/>
  <c r="X30" i="43"/>
  <c r="X34" i="43"/>
  <c r="X29" i="43"/>
  <c r="X48" i="43"/>
  <c r="X36" i="43"/>
  <c r="X31" i="43"/>
  <c r="X51" i="43"/>
  <c r="X53" i="43"/>
  <c r="AA54" i="43"/>
  <c r="AD89" i="43"/>
  <c r="AD88" i="43"/>
  <c r="AD84" i="43"/>
  <c r="AD91" i="43"/>
  <c r="AD95" i="43"/>
  <c r="AD73" i="43"/>
  <c r="AD99" i="43"/>
  <c r="AD64" i="43"/>
  <c r="AD61" i="43"/>
  <c r="AD58" i="43"/>
  <c r="AD82" i="43"/>
  <c r="AD71" i="43"/>
  <c r="AD80" i="43"/>
  <c r="AD86" i="43"/>
  <c r="AD72" i="43"/>
  <c r="AD75" i="43"/>
  <c r="AD77" i="43"/>
  <c r="AD78" i="43"/>
  <c r="AD65" i="43"/>
  <c r="AD60" i="43"/>
  <c r="AD56" i="43"/>
  <c r="AD83" i="43"/>
  <c r="AD62" i="43"/>
  <c r="AD85" i="43"/>
  <c r="AD59" i="43"/>
  <c r="AD57" i="43"/>
  <c r="AD76" i="43"/>
  <c r="AD63" i="43"/>
  <c r="AD79" i="43"/>
  <c r="AD94" i="43"/>
  <c r="AD81" i="43"/>
  <c r="AD70" i="43"/>
  <c r="AD74" i="43"/>
  <c r="AD66" i="43"/>
  <c r="AD90" i="43"/>
  <c r="AD68" i="43"/>
  <c r="AD92" i="43"/>
  <c r="AD67" i="43"/>
  <c r="AD69" i="43"/>
  <c r="AD98" i="43"/>
  <c r="AD87" i="43"/>
  <c r="AD97" i="43"/>
  <c r="AD93" i="43"/>
  <c r="AD96" i="43"/>
  <c r="AA51" i="43"/>
  <c r="AA53" i="43"/>
  <c r="AA47" i="43"/>
  <c r="AA49" i="43"/>
  <c r="AA48" i="43"/>
  <c r="AA50" i="43"/>
  <c r="AA46" i="43"/>
  <c r="AA30" i="43"/>
  <c r="AA34" i="43"/>
  <c r="AA29" i="43"/>
  <c r="AA26" i="43"/>
  <c r="AA33" i="43"/>
  <c r="AA38" i="43"/>
  <c r="AA43" i="43"/>
  <c r="AA39" i="43"/>
  <c r="AA44" i="43"/>
  <c r="AA35" i="43"/>
  <c r="AA31" i="43"/>
  <c r="AA36" i="43"/>
  <c r="AA27" i="43"/>
  <c r="AA40" i="43"/>
  <c r="AA41" i="43"/>
  <c r="AA28" i="43"/>
  <c r="AA32" i="43"/>
  <c r="AA45" i="43"/>
  <c r="AA42" i="43"/>
  <c r="AA25" i="43"/>
  <c r="AA37" i="43"/>
  <c r="W15" i="43"/>
  <c r="AD55" i="43" a="1"/>
  <c r="AB40" i="43"/>
  <c r="AB33" i="43"/>
  <c r="AB54" i="43"/>
  <c r="AB45" i="43"/>
  <c r="AB48" i="43"/>
  <c r="AB50" i="43"/>
  <c r="AB37" i="43"/>
  <c r="AB31" i="43"/>
  <c r="AB29" i="43"/>
  <c r="AB27" i="43"/>
  <c r="AB43" i="43"/>
  <c r="AB35" i="43"/>
  <c r="AR47" i="43" l="1"/>
  <c r="AS46" i="43"/>
  <c r="AT46" i="43"/>
  <c r="Z18" i="43"/>
  <c r="Z23" i="43"/>
  <c r="Z17" i="43"/>
  <c r="Z20" i="43"/>
  <c r="Z22" i="43"/>
  <c r="Z15" i="43"/>
  <c r="Z21" i="43"/>
  <c r="Z19" i="43"/>
  <c r="Z16" i="43"/>
  <c r="Z11" i="43"/>
  <c r="Z12" i="43"/>
  <c r="AD55" i="43"/>
  <c r="Z13" i="43"/>
  <c r="Z14" i="43"/>
  <c r="AE37" i="43"/>
  <c r="AE27" i="43"/>
  <c r="AE33" i="43"/>
  <c r="AE31" i="43"/>
  <c r="AE29" i="43"/>
  <c r="AE35" i="43"/>
  <c r="AE45" i="43"/>
  <c r="AE43" i="43"/>
  <c r="AE40" i="43"/>
  <c r="AE54" i="43"/>
  <c r="AE50" i="43"/>
  <c r="AE48" i="43"/>
  <c r="AA52" i="43"/>
  <c r="AC37" i="43"/>
  <c r="AF37" i="43" s="1"/>
  <c r="AC27" i="43"/>
  <c r="AF27" i="43" s="1"/>
  <c r="AC33" i="43"/>
  <c r="AF33" i="43" s="1"/>
  <c r="AC31" i="43"/>
  <c r="AF31" i="43" s="1"/>
  <c r="AC29" i="43"/>
  <c r="AF29" i="43" s="1"/>
  <c r="AC35" i="43"/>
  <c r="AF35" i="43" s="1"/>
  <c r="AC45" i="43"/>
  <c r="AF45" i="43" s="1"/>
  <c r="AC43" i="43"/>
  <c r="AF43" i="43" s="1"/>
  <c r="AC40" i="43"/>
  <c r="AF40" i="43" s="1"/>
  <c r="AC54" i="43"/>
  <c r="AF54" i="43" s="1"/>
  <c r="AC50" i="43"/>
  <c r="AF50" i="43" s="1"/>
  <c r="AC48" i="43"/>
  <c r="AF48" i="43" s="1"/>
  <c r="AD54" i="43" a="1"/>
  <c r="AD54" i="43" s="1"/>
  <c r="AD50" i="43" a="1"/>
  <c r="AD50" i="43" s="1"/>
  <c r="AD48" i="43" a="1"/>
  <c r="AD48" i="43" s="1"/>
  <c r="AD37" i="43" a="1"/>
  <c r="AD37" i="43" s="1"/>
  <c r="AD27" i="43" a="1"/>
  <c r="AD27" i="43" s="1"/>
  <c r="AD33" i="43" a="1"/>
  <c r="AD33" i="43" s="1"/>
  <c r="AD31" i="43" a="1"/>
  <c r="AD31" i="43" s="1"/>
  <c r="AD29" i="43" a="1"/>
  <c r="AD29" i="43" s="1"/>
  <c r="AD35" i="43" a="1"/>
  <c r="AD35" i="43" s="1"/>
  <c r="AD45" i="43" a="1"/>
  <c r="AD45" i="43" s="1"/>
  <c r="AD43" i="43" a="1"/>
  <c r="AD43" i="43" s="1"/>
  <c r="AD40" i="43" a="1"/>
  <c r="AD40" i="43" s="1"/>
  <c r="F61" i="39"/>
  <c r="E61" i="39"/>
  <c r="AB49" i="43"/>
  <c r="AB41" i="43"/>
  <c r="AB26" i="43"/>
  <c r="AB46" i="43"/>
  <c r="AB30" i="43"/>
  <c r="AB38" i="43"/>
  <c r="AB47" i="43"/>
  <c r="AB42" i="43"/>
  <c r="AB34" i="43"/>
  <c r="AB32" i="43"/>
  <c r="AB52" i="43"/>
  <c r="AB28" i="43"/>
  <c r="AB36" i="43"/>
  <c r="AB51" i="43"/>
  <c r="AB44" i="43"/>
  <c r="AB39" i="43"/>
  <c r="AR48" i="43" l="1"/>
  <c r="AT47" i="43"/>
  <c r="AS47" i="43"/>
  <c r="AA11" i="43"/>
  <c r="AE51" i="43"/>
  <c r="AC51" i="43"/>
  <c r="AF51" i="43" s="1"/>
  <c r="AD51" i="43" a="1"/>
  <c r="AD51" i="43" s="1"/>
  <c r="AD46" i="43" a="1"/>
  <c r="AD46" i="43" s="1"/>
  <c r="AE46" i="43"/>
  <c r="AC46" i="43"/>
  <c r="AF46" i="43" s="1"/>
  <c r="AD41" i="43" a="1"/>
  <c r="AD41" i="43" s="1"/>
  <c r="AE41" i="43"/>
  <c r="AC41" i="43"/>
  <c r="AF41" i="43" s="1"/>
  <c r="AE34" i="43"/>
  <c r="AE44" i="43"/>
  <c r="AE36" i="43"/>
  <c r="AE32" i="43"/>
  <c r="AE38" i="43"/>
  <c r="AE42" i="43"/>
  <c r="AE30" i="43"/>
  <c r="AE26" i="43"/>
  <c r="AE39" i="43"/>
  <c r="AE28" i="43"/>
  <c r="AE47" i="43"/>
  <c r="AE49" i="43"/>
  <c r="AE52" i="43"/>
  <c r="AC52" i="43"/>
  <c r="AF52" i="43" s="1"/>
  <c r="AD52" i="43" a="1"/>
  <c r="AD52" i="43" s="1"/>
  <c r="AC34" i="43"/>
  <c r="AF34" i="43" s="1"/>
  <c r="AC44" i="43"/>
  <c r="AF44" i="43" s="1"/>
  <c r="AC36" i="43"/>
  <c r="AF36" i="43" s="1"/>
  <c r="AC32" i="43"/>
  <c r="AF32" i="43" s="1"/>
  <c r="AC38" i="43"/>
  <c r="AF38" i="43" s="1"/>
  <c r="AC42" i="43"/>
  <c r="AF42" i="43" s="1"/>
  <c r="AC30" i="43"/>
  <c r="AF30" i="43" s="1"/>
  <c r="AC26" i="43"/>
  <c r="AF26" i="43" s="1"/>
  <c r="AC39" i="43"/>
  <c r="AF39" i="43" s="1"/>
  <c r="AC28" i="43"/>
  <c r="AF28" i="43" s="1"/>
  <c r="AC47" i="43"/>
  <c r="AF47" i="43" s="1"/>
  <c r="AC49" i="43"/>
  <c r="AF49" i="43" s="1"/>
  <c r="AD47" i="43" a="1"/>
  <c r="AD47" i="43" s="1"/>
  <c r="AD49" i="43" a="1"/>
  <c r="AD49" i="43" s="1"/>
  <c r="AD34" i="43" a="1"/>
  <c r="AD34" i="43" s="1"/>
  <c r="AD44" i="43" a="1"/>
  <c r="AD44" i="43" s="1"/>
  <c r="AD36" i="43" a="1"/>
  <c r="AD36" i="43" s="1"/>
  <c r="AD32" i="43" a="1"/>
  <c r="AD32" i="43" s="1"/>
  <c r="AD38" i="43" a="1"/>
  <c r="AD38" i="43" s="1"/>
  <c r="AD42" i="43" a="1"/>
  <c r="AD42" i="43" s="1"/>
  <c r="AD30" i="43" a="1"/>
  <c r="AD30" i="43" s="1"/>
  <c r="AD26" i="43" a="1"/>
  <c r="AD26" i="43" s="1"/>
  <c r="AD39" i="43" a="1"/>
  <c r="AD39" i="43" s="1"/>
  <c r="AD28" i="43" a="1"/>
  <c r="AD28" i="43" s="1"/>
  <c r="AB53" i="43"/>
  <c r="AR49" i="43" l="1"/>
  <c r="AT48" i="43"/>
  <c r="AS48" i="43"/>
  <c r="AA12" i="43"/>
  <c r="AA13" i="43" s="1"/>
  <c r="AA14" i="43" s="1"/>
  <c r="AA15" i="43" s="1"/>
  <c r="AA16" i="43" s="1"/>
  <c r="AE53" i="43"/>
  <c r="AC53" i="43"/>
  <c r="AF53" i="43" s="1"/>
  <c r="AD53" i="43" a="1"/>
  <c r="AD53" i="43" s="1"/>
  <c r="AD46" i="14"/>
  <c r="BE15" i="43" l="1"/>
  <c r="BE14" i="43"/>
  <c r="BE13" i="43"/>
  <c r="BE11" i="43"/>
  <c r="BD11" i="43" s="1" a="1"/>
  <c r="BD11" i="43" s="1"/>
  <c r="BF11" i="43" s="1"/>
  <c r="BE12" i="43"/>
  <c r="AR50" i="43"/>
  <c r="AS49" i="43"/>
  <c r="AT49" i="43"/>
  <c r="AA17" i="43"/>
  <c r="AA18" i="43" s="1"/>
  <c r="AA19" i="43" s="1"/>
  <c r="BG13" i="43" l="1"/>
  <c r="BD13" i="43" a="1"/>
  <c r="BD13" i="43" s="1"/>
  <c r="BF13" i="43" s="1"/>
  <c r="BD14" i="43" a="1"/>
  <c r="BD14" i="43" s="1"/>
  <c r="BF14" i="43" s="1"/>
  <c r="BG14" i="43"/>
  <c r="BG15" i="43"/>
  <c r="BD15" i="43" a="1"/>
  <c r="BD15" i="43" s="1"/>
  <c r="BF15" i="43" s="1"/>
  <c r="BG11" i="43"/>
  <c r="BD12" i="43" a="1"/>
  <c r="BD12" i="43" s="1"/>
  <c r="BF12" i="43" s="1"/>
  <c r="BG12" i="43"/>
  <c r="AR51" i="43"/>
  <c r="AS50" i="43"/>
  <c r="AT50" i="43"/>
  <c r="AA20" i="43"/>
  <c r="BH11" i="43" a="1"/>
  <c r="BH13" i="43" a="1"/>
  <c r="BH14" i="43" a="1"/>
  <c r="BH15" i="43" a="1"/>
  <c r="BH12" i="43" a="1"/>
  <c r="BH13" i="43" l="1"/>
  <c r="BH15" i="43"/>
  <c r="BH14" i="43"/>
  <c r="BH11" i="43"/>
  <c r="BH12" i="43"/>
  <c r="AR52" i="43"/>
  <c r="AT51" i="43"/>
  <c r="AS51" i="43"/>
  <c r="AA21" i="43"/>
  <c r="AR53" i="43" l="1"/>
  <c r="AT52" i="43"/>
  <c r="AS52" i="43"/>
  <c r="AA22" i="43"/>
  <c r="V3" i="44"/>
  <c r="AR54" i="43" l="1"/>
  <c r="AT53" i="43"/>
  <c r="AS53" i="43"/>
  <c r="V19" i="44"/>
  <c r="AA23" i="43"/>
  <c r="O2" i="14"/>
  <c r="AR55" i="43" l="1"/>
  <c r="AT54" i="43"/>
  <c r="AS54" i="43"/>
  <c r="V14" i="14"/>
  <c r="AA24" i="43"/>
  <c r="AR56" i="43" l="1"/>
  <c r="AT55" i="43"/>
  <c r="AS55" i="43"/>
  <c r="AB25" i="43"/>
  <c r="AR57" i="43" l="1"/>
  <c r="AT56" i="43"/>
  <c r="AS56" i="43"/>
  <c r="AE25" i="43"/>
  <c r="AC25" i="43"/>
  <c r="AF25" i="43" s="1"/>
  <c r="AD25" i="43" a="1"/>
  <c r="AD25" i="43" s="1"/>
  <c r="AR58" i="43" l="1"/>
  <c r="AS57" i="43"/>
  <c r="AT57" i="43"/>
  <c r="BS48" i="14"/>
  <c r="BS50" i="14"/>
  <c r="BS52" i="14"/>
  <c r="BS59" i="14"/>
  <c r="BS62" i="14"/>
  <c r="BS63" i="14"/>
  <c r="BS68" i="14"/>
  <c r="BS71" i="14"/>
  <c r="BS72" i="14"/>
  <c r="BS74" i="14"/>
  <c r="BS75" i="14"/>
  <c r="BS76" i="14"/>
  <c r="BS80" i="14"/>
  <c r="BS82" i="14"/>
  <c r="BS83" i="14"/>
  <c r="BS84" i="14"/>
  <c r="BS86" i="14"/>
  <c r="BS87" i="14"/>
  <c r="BS88" i="14"/>
  <c r="BS90" i="14"/>
  <c r="BS92" i="14"/>
  <c r="BS93" i="14"/>
  <c r="BS94" i="14"/>
  <c r="BS95" i="14"/>
  <c r="BS96" i="14"/>
  <c r="BS98" i="14"/>
  <c r="BS99" i="14"/>
  <c r="BS100" i="14"/>
  <c r="BS101" i="14"/>
  <c r="BS102" i="14"/>
  <c r="BS104" i="14"/>
  <c r="BS105" i="14"/>
  <c r="BS106" i="14"/>
  <c r="BS107" i="14"/>
  <c r="BS108" i="14"/>
  <c r="BS110" i="14"/>
  <c r="BS111" i="14"/>
  <c r="BS112" i="14"/>
  <c r="BS113" i="14"/>
  <c r="BS114" i="14"/>
  <c r="BS116" i="14"/>
  <c r="BS117" i="14"/>
  <c r="BS118" i="14"/>
  <c r="BS119" i="14"/>
  <c r="BS120" i="14"/>
  <c r="BS122" i="14"/>
  <c r="BS123" i="14"/>
  <c r="BS124" i="14"/>
  <c r="BS125" i="14"/>
  <c r="BS126" i="14"/>
  <c r="BS128" i="14"/>
  <c r="BS129" i="14"/>
  <c r="BS130" i="14"/>
  <c r="BS131" i="14"/>
  <c r="BS132" i="14"/>
  <c r="BS133" i="14"/>
  <c r="BS134" i="14"/>
  <c r="BS135" i="14"/>
  <c r="BS136" i="14"/>
  <c r="BS137" i="14"/>
  <c r="BS138" i="14"/>
  <c r="BS139" i="14"/>
  <c r="BS140" i="14"/>
  <c r="BS141" i="14"/>
  <c r="BS142" i="14"/>
  <c r="BS143" i="14"/>
  <c r="BS144" i="14"/>
  <c r="BS145" i="14"/>
  <c r="BS146" i="14"/>
  <c r="BS147" i="14"/>
  <c r="BS148" i="14"/>
  <c r="BS149" i="14"/>
  <c r="BS150" i="14"/>
  <c r="BS151" i="14"/>
  <c r="BS152" i="14"/>
  <c r="BS153" i="14"/>
  <c r="BS154" i="14"/>
  <c r="BS155" i="14"/>
  <c r="BS156" i="14"/>
  <c r="BS157" i="14"/>
  <c r="BS158" i="14"/>
  <c r="BS159" i="14"/>
  <c r="BS160" i="14"/>
  <c r="BS161" i="14"/>
  <c r="BS163" i="14"/>
  <c r="BS164" i="14"/>
  <c r="BS165" i="14"/>
  <c r="BS166" i="14"/>
  <c r="BS167" i="14"/>
  <c r="BS168" i="14"/>
  <c r="BS169" i="14"/>
  <c r="BS170" i="14"/>
  <c r="BS171" i="14"/>
  <c r="BS172" i="14"/>
  <c r="BS173" i="14"/>
  <c r="BS175" i="14"/>
  <c r="BS176" i="14"/>
  <c r="BS177" i="14"/>
  <c r="BS178" i="14"/>
  <c r="BS179" i="14"/>
  <c r="BS181" i="14"/>
  <c r="BS182" i="14"/>
  <c r="BS183" i="14"/>
  <c r="BS184" i="14"/>
  <c r="BS185" i="14"/>
  <c r="BS186" i="14"/>
  <c r="BS187" i="14"/>
  <c r="BS188" i="14"/>
  <c r="BS189" i="14"/>
  <c r="BS190" i="14"/>
  <c r="BS191" i="14"/>
  <c r="BS193" i="14"/>
  <c r="BS194" i="14"/>
  <c r="BS195" i="14"/>
  <c r="BS196" i="14"/>
  <c r="BS197" i="14"/>
  <c r="BS198" i="14"/>
  <c r="BS199" i="14"/>
  <c r="BS200" i="14"/>
  <c r="BS201" i="14"/>
  <c r="BS202" i="14"/>
  <c r="BS203" i="14"/>
  <c r="BS204" i="14"/>
  <c r="BS205" i="14"/>
  <c r="BS206" i="14"/>
  <c r="BS207" i="14"/>
  <c r="BS208" i="14"/>
  <c r="BS209" i="14"/>
  <c r="BS211" i="14"/>
  <c r="BS212" i="14"/>
  <c r="BS213" i="14"/>
  <c r="BS214" i="14"/>
  <c r="BS215" i="14"/>
  <c r="BS216" i="14"/>
  <c r="BS217" i="14"/>
  <c r="BS218" i="14"/>
  <c r="BS219" i="14"/>
  <c r="BS220" i="14"/>
  <c r="BS221" i="14"/>
  <c r="BS222" i="14"/>
  <c r="BS223" i="14"/>
  <c r="BS224" i="14"/>
  <c r="BS225" i="14"/>
  <c r="BS226" i="14"/>
  <c r="BS227" i="14"/>
  <c r="BS228" i="14"/>
  <c r="BS229" i="14"/>
  <c r="BS230" i="14"/>
  <c r="BS231" i="14"/>
  <c r="BS232" i="14"/>
  <c r="BS233" i="14"/>
  <c r="BS234" i="14"/>
  <c r="BS235" i="14"/>
  <c r="BS237" i="14"/>
  <c r="BS238" i="14"/>
  <c r="BS239" i="14"/>
  <c r="BS240" i="14"/>
  <c r="BS241" i="14"/>
  <c r="BS242" i="14"/>
  <c r="BS243" i="14"/>
  <c r="BS244" i="14"/>
  <c r="BS245" i="14"/>
  <c r="BS246" i="14"/>
  <c r="BS247" i="14"/>
  <c r="BS248" i="14"/>
  <c r="BS249" i="14"/>
  <c r="BS250" i="14"/>
  <c r="BS251" i="14"/>
  <c r="BS252" i="14"/>
  <c r="BS253" i="14"/>
  <c r="BS255" i="14"/>
  <c r="BS256" i="14"/>
  <c r="BS257" i="14"/>
  <c r="BS258" i="14"/>
  <c r="BS259" i="14"/>
  <c r="BS260" i="14"/>
  <c r="BS261" i="14"/>
  <c r="BS262" i="14"/>
  <c r="BS263" i="14"/>
  <c r="BS264" i="14"/>
  <c r="BS265" i="14"/>
  <c r="BS266" i="14"/>
  <c r="BS267" i="14"/>
  <c r="BS268" i="14"/>
  <c r="BS269" i="14"/>
  <c r="BS270" i="14"/>
  <c r="BS271" i="14"/>
  <c r="BS273" i="14"/>
  <c r="BS274" i="14"/>
  <c r="BS275" i="14"/>
  <c r="BS276" i="14"/>
  <c r="BS277" i="14"/>
  <c r="BS278" i="14"/>
  <c r="BS279" i="14"/>
  <c r="BS280" i="14"/>
  <c r="BS281" i="14"/>
  <c r="BS282" i="14"/>
  <c r="BS283" i="14"/>
  <c r="BS285" i="14"/>
  <c r="BS286" i="14"/>
  <c r="BS287" i="14"/>
  <c r="BS288" i="14"/>
  <c r="BS289" i="14"/>
  <c r="BS290" i="14"/>
  <c r="BS291" i="14"/>
  <c r="BS292" i="14"/>
  <c r="BS293" i="14"/>
  <c r="BS294" i="14"/>
  <c r="BS295" i="14"/>
  <c r="BS297" i="14"/>
  <c r="BS298" i="14"/>
  <c r="BS299" i="14"/>
  <c r="BS300" i="14"/>
  <c r="BS301" i="14"/>
  <c r="BS302" i="14"/>
  <c r="BS303" i="14"/>
  <c r="BS304" i="14"/>
  <c r="BS305" i="14"/>
  <c r="BS306" i="14"/>
  <c r="BS307" i="14"/>
  <c r="BS309" i="14"/>
  <c r="BS310" i="14"/>
  <c r="BS311" i="14"/>
  <c r="BS312" i="14"/>
  <c r="BS313" i="14"/>
  <c r="BS315" i="14"/>
  <c r="BS316" i="14"/>
  <c r="BS317" i="14"/>
  <c r="BS318" i="14"/>
  <c r="BS319" i="14"/>
  <c r="BS320" i="14"/>
  <c r="BS321" i="14"/>
  <c r="BS322" i="14"/>
  <c r="BS323" i="14"/>
  <c r="BS324" i="14"/>
  <c r="BS325" i="14"/>
  <c r="BS327" i="14"/>
  <c r="BS328" i="14"/>
  <c r="BS329" i="14"/>
  <c r="BS330" i="14"/>
  <c r="BS331" i="14"/>
  <c r="BS332" i="14"/>
  <c r="BS333" i="14"/>
  <c r="BS334" i="14"/>
  <c r="BS335" i="14"/>
  <c r="BS336" i="14"/>
  <c r="BS337" i="14"/>
  <c r="BS338" i="14"/>
  <c r="BS339" i="14"/>
  <c r="BS340" i="14"/>
  <c r="BS341" i="14"/>
  <c r="BS342" i="14"/>
  <c r="BS343" i="14"/>
  <c r="BS345" i="14"/>
  <c r="BS346" i="14"/>
  <c r="BS347" i="14"/>
  <c r="BS348" i="14"/>
  <c r="BS349" i="14"/>
  <c r="BS350" i="14"/>
  <c r="BS351" i="14"/>
  <c r="BS352" i="14"/>
  <c r="BS353" i="14"/>
  <c r="BS354" i="14"/>
  <c r="BS355" i="14"/>
  <c r="BS357" i="14"/>
  <c r="BS358" i="14"/>
  <c r="BS359" i="14"/>
  <c r="BS360" i="14"/>
  <c r="BS361" i="14"/>
  <c r="BS362" i="14"/>
  <c r="BS363" i="14"/>
  <c r="BS364" i="14"/>
  <c r="BS365" i="14"/>
  <c r="BS366" i="14"/>
  <c r="BS367" i="14"/>
  <c r="BS368" i="14"/>
  <c r="BS369" i="14"/>
  <c r="BS370" i="14"/>
  <c r="BS371" i="14"/>
  <c r="BS372" i="14"/>
  <c r="BS373" i="14"/>
  <c r="BS374" i="14"/>
  <c r="BS375" i="14"/>
  <c r="BS376" i="14"/>
  <c r="BS377" i="14"/>
  <c r="BS378" i="14"/>
  <c r="BS379" i="14"/>
  <c r="BS380" i="14"/>
  <c r="BS381" i="14"/>
  <c r="BS382" i="14"/>
  <c r="BS383" i="14"/>
  <c r="BS384" i="14"/>
  <c r="BS385" i="14"/>
  <c r="BS386" i="14"/>
  <c r="BS387" i="14"/>
  <c r="BS388" i="14"/>
  <c r="BS389" i="14"/>
  <c r="BS390" i="14"/>
  <c r="BS391" i="14"/>
  <c r="BS392" i="14"/>
  <c r="BS393" i="14"/>
  <c r="BS394" i="14"/>
  <c r="BS395" i="14"/>
  <c r="BS396" i="14"/>
  <c r="BS397" i="14"/>
  <c r="BS398" i="14"/>
  <c r="BS399" i="14"/>
  <c r="BS400" i="14"/>
  <c r="BS401" i="14"/>
  <c r="BS402" i="14"/>
  <c r="BS403" i="14"/>
  <c r="BS404" i="14"/>
  <c r="BS405" i="14"/>
  <c r="BS406" i="14"/>
  <c r="BS407" i="14"/>
  <c r="BS408" i="14"/>
  <c r="BS409" i="14"/>
  <c r="BS410" i="14"/>
  <c r="BS411" i="14"/>
  <c r="BS412" i="14"/>
  <c r="BS413" i="14"/>
  <c r="BS414" i="14"/>
  <c r="BS415" i="14"/>
  <c r="BS416" i="14"/>
  <c r="BS417" i="14"/>
  <c r="BS418" i="14"/>
  <c r="BS419" i="14"/>
  <c r="BS420" i="14"/>
  <c r="BS421" i="14"/>
  <c r="BS422" i="14"/>
  <c r="BS423" i="14"/>
  <c r="BS424" i="14"/>
  <c r="BS425" i="14"/>
  <c r="BS426" i="14"/>
  <c r="BS427" i="14"/>
  <c r="BS428" i="14"/>
  <c r="BS429" i="14"/>
  <c r="BS430" i="14"/>
  <c r="BS431" i="14"/>
  <c r="BS432" i="14"/>
  <c r="BS433" i="14"/>
  <c r="BS434" i="14"/>
  <c r="BS435" i="14"/>
  <c r="BS436" i="14"/>
  <c r="BS437" i="14"/>
  <c r="BS438" i="14"/>
  <c r="BS439" i="14"/>
  <c r="BS440" i="14"/>
  <c r="BS441" i="14"/>
  <c r="BS442" i="14"/>
  <c r="BS443" i="14"/>
  <c r="BS444" i="14"/>
  <c r="BS445" i="14"/>
  <c r="BS446" i="14"/>
  <c r="BS447" i="14"/>
  <c r="BS448" i="14"/>
  <c r="BS449" i="14"/>
  <c r="BS450" i="14"/>
  <c r="BS451" i="14"/>
  <c r="BS452" i="14"/>
  <c r="BS453" i="14"/>
  <c r="BS454" i="14"/>
  <c r="BS455" i="14"/>
  <c r="BS456" i="14"/>
  <c r="BS457" i="14"/>
  <c r="BS458" i="14"/>
  <c r="BS459" i="14"/>
  <c r="BS460" i="14"/>
  <c r="BS461" i="14"/>
  <c r="BS462" i="14"/>
  <c r="BS463" i="14"/>
  <c r="BS464" i="14"/>
  <c r="BS465" i="14"/>
  <c r="BS466" i="14"/>
  <c r="BS467" i="14"/>
  <c r="BS468" i="14"/>
  <c r="BS469" i="14"/>
  <c r="BS470" i="14"/>
  <c r="BS471" i="14"/>
  <c r="BS472" i="14"/>
  <c r="BS473" i="14"/>
  <c r="BS474" i="14"/>
  <c r="BS475" i="14"/>
  <c r="BS476" i="14"/>
  <c r="BS477" i="14"/>
  <c r="BS478" i="14"/>
  <c r="BS479" i="14"/>
  <c r="BS480" i="14"/>
  <c r="BS481" i="14"/>
  <c r="BS482" i="14"/>
  <c r="BS483" i="14"/>
  <c r="BS484" i="14"/>
  <c r="BS485" i="14"/>
  <c r="BS486" i="14"/>
  <c r="BS487" i="14"/>
  <c r="BS488" i="14"/>
  <c r="BS489" i="14"/>
  <c r="BS490" i="14"/>
  <c r="BS491" i="14"/>
  <c r="BS492" i="14"/>
  <c r="BS493" i="14"/>
  <c r="BS494" i="14"/>
  <c r="BS495" i="14"/>
  <c r="BS496" i="14"/>
  <c r="BS497" i="14"/>
  <c r="BS498" i="14"/>
  <c r="BS499" i="14"/>
  <c r="BS500" i="14"/>
  <c r="BS501" i="14"/>
  <c r="BS502" i="14"/>
  <c r="BS503" i="14"/>
  <c r="BS504" i="14"/>
  <c r="BS505" i="14"/>
  <c r="BS506" i="14"/>
  <c r="BS507" i="14"/>
  <c r="BS508" i="14"/>
  <c r="BS509" i="14"/>
  <c r="BS510" i="14"/>
  <c r="BS511" i="14"/>
  <c r="BS512" i="14"/>
  <c r="BS513" i="14"/>
  <c r="BS514" i="14"/>
  <c r="BS515" i="14"/>
  <c r="BS516" i="14"/>
  <c r="BS517" i="14"/>
  <c r="BS518" i="14"/>
  <c r="BS519" i="14"/>
  <c r="BS520" i="14"/>
  <c r="BS521" i="14"/>
  <c r="BS522" i="14"/>
  <c r="BS523" i="14"/>
  <c r="BS524" i="14"/>
  <c r="BS525" i="14"/>
  <c r="BS526" i="14"/>
  <c r="BS527" i="14"/>
  <c r="BS528" i="14"/>
  <c r="BS529" i="14"/>
  <c r="BS530" i="14"/>
  <c r="BS531" i="14"/>
  <c r="BS532" i="14"/>
  <c r="BS533" i="14"/>
  <c r="BS534" i="14"/>
  <c r="BS535" i="14"/>
  <c r="BS536" i="14"/>
  <c r="BS537" i="14"/>
  <c r="BS538" i="14"/>
  <c r="BS539" i="14"/>
  <c r="BS540" i="14"/>
  <c r="BS541" i="14"/>
  <c r="BS542" i="14"/>
  <c r="BS543" i="14"/>
  <c r="BS544" i="14"/>
  <c r="BS545" i="14"/>
  <c r="BS546" i="14"/>
  <c r="BS547" i="14"/>
  <c r="BS548" i="14"/>
  <c r="BS549" i="14"/>
  <c r="BS550" i="14"/>
  <c r="BS551" i="14"/>
  <c r="BS552" i="14"/>
  <c r="BS553" i="14"/>
  <c r="BS554" i="14"/>
  <c r="BS555" i="14"/>
  <c r="BS556" i="14"/>
  <c r="BS557" i="14"/>
  <c r="BS558" i="14"/>
  <c r="BS559" i="14"/>
  <c r="BS560" i="14"/>
  <c r="BS561" i="14"/>
  <c r="BS562" i="14"/>
  <c r="BS563" i="14"/>
  <c r="BS564" i="14"/>
  <c r="BS565" i="14"/>
  <c r="BS566" i="14"/>
  <c r="BS567" i="14"/>
  <c r="BS568" i="14"/>
  <c r="BS569" i="14"/>
  <c r="BS570" i="14"/>
  <c r="BS571" i="14"/>
  <c r="BS572" i="14"/>
  <c r="BS573" i="14"/>
  <c r="BS574" i="14"/>
  <c r="BS575" i="14"/>
  <c r="BS576" i="14"/>
  <c r="BS577" i="14"/>
  <c r="BS578" i="14"/>
  <c r="BS579" i="14"/>
  <c r="BS580" i="14"/>
  <c r="BS581" i="14"/>
  <c r="BS582" i="14"/>
  <c r="BS583" i="14"/>
  <c r="BS584" i="14"/>
  <c r="BS585" i="14"/>
  <c r="BS586" i="14"/>
  <c r="BS587" i="14"/>
  <c r="BS588" i="14"/>
  <c r="BS589" i="14"/>
  <c r="BS590" i="14"/>
  <c r="BS591" i="14"/>
  <c r="BS592" i="14"/>
  <c r="BS593" i="14"/>
  <c r="BS594" i="14"/>
  <c r="BS595" i="14"/>
  <c r="BS596" i="14"/>
  <c r="BS597" i="14"/>
  <c r="BS598" i="14"/>
  <c r="BS599" i="14"/>
  <c r="BS600" i="14"/>
  <c r="BS601" i="14"/>
  <c r="BS602" i="14"/>
  <c r="BS603" i="14"/>
  <c r="BS604" i="14"/>
  <c r="BS605" i="14"/>
  <c r="BS606" i="14"/>
  <c r="BS607" i="14"/>
  <c r="BS608" i="14"/>
  <c r="BS609" i="14"/>
  <c r="BS610" i="14"/>
  <c r="BS611" i="14"/>
  <c r="BS612" i="14"/>
  <c r="BS613" i="14"/>
  <c r="BS614" i="14"/>
  <c r="BS615" i="14"/>
  <c r="BS616" i="14"/>
  <c r="BS617" i="14"/>
  <c r="BS618" i="14"/>
  <c r="BS619" i="14"/>
  <c r="BS620" i="14"/>
  <c r="BS621" i="14"/>
  <c r="BS622" i="14"/>
  <c r="BS623" i="14"/>
  <c r="BS624" i="14"/>
  <c r="BS625" i="14"/>
  <c r="BS626" i="14"/>
  <c r="BS627" i="14"/>
  <c r="BS628" i="14"/>
  <c r="BS629" i="14"/>
  <c r="BS630" i="14"/>
  <c r="BS631" i="14"/>
  <c r="BS632" i="14"/>
  <c r="BS633" i="14"/>
  <c r="BS634" i="14"/>
  <c r="BS635" i="14"/>
  <c r="BS636" i="14"/>
  <c r="BS637" i="14"/>
  <c r="BS638" i="14"/>
  <c r="BS639" i="14"/>
  <c r="BS640" i="14"/>
  <c r="BS641" i="14"/>
  <c r="BS642" i="14"/>
  <c r="BS643" i="14"/>
  <c r="BS644" i="14"/>
  <c r="BS645" i="14"/>
  <c r="BS646" i="14"/>
  <c r="BS647" i="14"/>
  <c r="BS648" i="14"/>
  <c r="BS649" i="14"/>
  <c r="BS650" i="14"/>
  <c r="BS651" i="14"/>
  <c r="BS652" i="14"/>
  <c r="BS653" i="14"/>
  <c r="BS654" i="14"/>
  <c r="BS655" i="14"/>
  <c r="BS656" i="14"/>
  <c r="BS657" i="14"/>
  <c r="BS658" i="14"/>
  <c r="BS659" i="14"/>
  <c r="BS660" i="14"/>
  <c r="BS661" i="14"/>
  <c r="BS662" i="14"/>
  <c r="BS663" i="14"/>
  <c r="BS664" i="14"/>
  <c r="BS665" i="14"/>
  <c r="BS666" i="14"/>
  <c r="BS667" i="14"/>
  <c r="BS668" i="14"/>
  <c r="BS669" i="14"/>
  <c r="BS670" i="14"/>
  <c r="BS671" i="14"/>
  <c r="BS672" i="14"/>
  <c r="BS673" i="14"/>
  <c r="BS674" i="14"/>
  <c r="BS675" i="14"/>
  <c r="BS676" i="14"/>
  <c r="BS677" i="14"/>
  <c r="BS678" i="14"/>
  <c r="BS679" i="14"/>
  <c r="BS680" i="14"/>
  <c r="BS681" i="14"/>
  <c r="BS682" i="14"/>
  <c r="AR59" i="43" l="1"/>
  <c r="AS58" i="43"/>
  <c r="AT58" i="43"/>
  <c r="AD43" i="14"/>
  <c r="AD44" i="14"/>
  <c r="AD45" i="14"/>
  <c r="AR60" i="43" l="1"/>
  <c r="AS59" i="43"/>
  <c r="AT59" i="43"/>
  <c r="AK44" i="14"/>
  <c r="AR61" i="43" l="1"/>
  <c r="AT60" i="43"/>
  <c r="AS60" i="43"/>
  <c r="AR62" i="43" l="1"/>
  <c r="AS61" i="43"/>
  <c r="AT61" i="43"/>
  <c r="BT62" i="14"/>
  <c r="BT63" i="14"/>
  <c r="BT68" i="14"/>
  <c r="BT72" i="14"/>
  <c r="BT74" i="14"/>
  <c r="BT75" i="14"/>
  <c r="BT76" i="14"/>
  <c r="BT80" i="14"/>
  <c r="BT82" i="14"/>
  <c r="BT84" i="14"/>
  <c r="BT86" i="14"/>
  <c r="BT87" i="14"/>
  <c r="BT88" i="14"/>
  <c r="BT90" i="14"/>
  <c r="BT92" i="14"/>
  <c r="BT93" i="14"/>
  <c r="BT94" i="14"/>
  <c r="BT96" i="14"/>
  <c r="BT98" i="14"/>
  <c r="BT99" i="14"/>
  <c r="BT100" i="14"/>
  <c r="BT102" i="14"/>
  <c r="BT104" i="14"/>
  <c r="BT105" i="14"/>
  <c r="BT106" i="14"/>
  <c r="BT108" i="14"/>
  <c r="BT110" i="14"/>
  <c r="BT111" i="14"/>
  <c r="BT112" i="14"/>
  <c r="BT114" i="14"/>
  <c r="BT116" i="14"/>
  <c r="BT117" i="14"/>
  <c r="BT118" i="14"/>
  <c r="BT120" i="14"/>
  <c r="BT122" i="14"/>
  <c r="BT123" i="14"/>
  <c r="BT124" i="14"/>
  <c r="BT126" i="14"/>
  <c r="BT128" i="14"/>
  <c r="BT129" i="14"/>
  <c r="BT130" i="14"/>
  <c r="BT132" i="14"/>
  <c r="BT133" i="14"/>
  <c r="BT134" i="14"/>
  <c r="BT135" i="14"/>
  <c r="BT136" i="14"/>
  <c r="BT138" i="14"/>
  <c r="BT139" i="14"/>
  <c r="BT140" i="14"/>
  <c r="BT141" i="14"/>
  <c r="BT142" i="14"/>
  <c r="BT144" i="14"/>
  <c r="BT145" i="14"/>
  <c r="BT146" i="14"/>
  <c r="BT147" i="14"/>
  <c r="BT148" i="14"/>
  <c r="BT150" i="14"/>
  <c r="BT151" i="14"/>
  <c r="BT152" i="14"/>
  <c r="BT153" i="14"/>
  <c r="BT154" i="14"/>
  <c r="BT156" i="14"/>
  <c r="BT157" i="14"/>
  <c r="BT158" i="14"/>
  <c r="BT159" i="14"/>
  <c r="BT160" i="14"/>
  <c r="BT163" i="14"/>
  <c r="BT164" i="14"/>
  <c r="BT165" i="14"/>
  <c r="BT166" i="14"/>
  <c r="BT168" i="14"/>
  <c r="BT169" i="14"/>
  <c r="BT170" i="14"/>
  <c r="BT171" i="14"/>
  <c r="BT172" i="14"/>
  <c r="BT175" i="14"/>
  <c r="BT176" i="14"/>
  <c r="BT177" i="14"/>
  <c r="BT178" i="14"/>
  <c r="BT181" i="14"/>
  <c r="BT182" i="14"/>
  <c r="BT183" i="14"/>
  <c r="BT184" i="14"/>
  <c r="BT186" i="14"/>
  <c r="BT187" i="14"/>
  <c r="BT188" i="14"/>
  <c r="BT189" i="14"/>
  <c r="BT190" i="14"/>
  <c r="BT193" i="14"/>
  <c r="BT194" i="14"/>
  <c r="BT195" i="14"/>
  <c r="BT196" i="14"/>
  <c r="BT198" i="14"/>
  <c r="BT199" i="14"/>
  <c r="BT200" i="14"/>
  <c r="BT201" i="14"/>
  <c r="BT202" i="14"/>
  <c r="BT204" i="14"/>
  <c r="BT205" i="14"/>
  <c r="BT206" i="14"/>
  <c r="BT207" i="14"/>
  <c r="BT208" i="14"/>
  <c r="BT211" i="14"/>
  <c r="BT212" i="14"/>
  <c r="BT213" i="14"/>
  <c r="BT214" i="14"/>
  <c r="BT216" i="14"/>
  <c r="BT217" i="14"/>
  <c r="BT218" i="14"/>
  <c r="BT219" i="14"/>
  <c r="BT220" i="14"/>
  <c r="BT222" i="14"/>
  <c r="BT223" i="14"/>
  <c r="BT224" i="14"/>
  <c r="BT225" i="14"/>
  <c r="BT226" i="14"/>
  <c r="BT228" i="14"/>
  <c r="BT229" i="14"/>
  <c r="BT230" i="14"/>
  <c r="BT231" i="14"/>
  <c r="BT232" i="14"/>
  <c r="BT234" i="14"/>
  <c r="BT235" i="14"/>
  <c r="BT237" i="14"/>
  <c r="BT238" i="14"/>
  <c r="BT240" i="14"/>
  <c r="BT241" i="14"/>
  <c r="BT242" i="14"/>
  <c r="BT243" i="14"/>
  <c r="BT244" i="14"/>
  <c r="BT246" i="14"/>
  <c r="BT247" i="14"/>
  <c r="BT248" i="14"/>
  <c r="BT249" i="14"/>
  <c r="BT250" i="14"/>
  <c r="BT252" i="14"/>
  <c r="BT253" i="14"/>
  <c r="BT255" i="14"/>
  <c r="BT256" i="14"/>
  <c r="BT258" i="14"/>
  <c r="BT259" i="14"/>
  <c r="BT260" i="14"/>
  <c r="BT261" i="14"/>
  <c r="BT262" i="14"/>
  <c r="BT264" i="14"/>
  <c r="BT265" i="14"/>
  <c r="BT266" i="14"/>
  <c r="BT267" i="14"/>
  <c r="BT268" i="14"/>
  <c r="BT270" i="14"/>
  <c r="BT271" i="14"/>
  <c r="BT273" i="14"/>
  <c r="BT274" i="14"/>
  <c r="BT276" i="14"/>
  <c r="BT277" i="14"/>
  <c r="BT278" i="14"/>
  <c r="BT279" i="14"/>
  <c r="BT280" i="14"/>
  <c r="BT282" i="14"/>
  <c r="BT283" i="14"/>
  <c r="BT285" i="14"/>
  <c r="BT286" i="14"/>
  <c r="BT288" i="14"/>
  <c r="BT289" i="14"/>
  <c r="BT290" i="14"/>
  <c r="BT291" i="14"/>
  <c r="BT292" i="14"/>
  <c r="BT294" i="14"/>
  <c r="BT295" i="14"/>
  <c r="BT297" i="14"/>
  <c r="BT298" i="14"/>
  <c r="BT300" i="14"/>
  <c r="BT301" i="14"/>
  <c r="BT302" i="14"/>
  <c r="BT303" i="14"/>
  <c r="BT304" i="14"/>
  <c r="BT306" i="14"/>
  <c r="BT307" i="14"/>
  <c r="BT309" i="14"/>
  <c r="BT310" i="14"/>
  <c r="BT312" i="14"/>
  <c r="BT313" i="14"/>
  <c r="BT315" i="14"/>
  <c r="BT316" i="14"/>
  <c r="BT318" i="14"/>
  <c r="BT319" i="14"/>
  <c r="BT320" i="14"/>
  <c r="BT321" i="14"/>
  <c r="BT322" i="14"/>
  <c r="BT324" i="14"/>
  <c r="BT325" i="14"/>
  <c r="BT327" i="14"/>
  <c r="BT328" i="14"/>
  <c r="BT330" i="14"/>
  <c r="BT331" i="14"/>
  <c r="BT332" i="14"/>
  <c r="BT333" i="14"/>
  <c r="BT334" i="14"/>
  <c r="BT336" i="14"/>
  <c r="BT337" i="14"/>
  <c r="BT338" i="14"/>
  <c r="BT339" i="14"/>
  <c r="BT340" i="14"/>
  <c r="BT342" i="14"/>
  <c r="BT343" i="14"/>
  <c r="BT345" i="14"/>
  <c r="BT346" i="14"/>
  <c r="BT348" i="14"/>
  <c r="BT349" i="14"/>
  <c r="BT350" i="14"/>
  <c r="BT351" i="14"/>
  <c r="BT352" i="14"/>
  <c r="BT354" i="14"/>
  <c r="BT355" i="14"/>
  <c r="BT357" i="14"/>
  <c r="BT358" i="14"/>
  <c r="BT360" i="14"/>
  <c r="BT361" i="14"/>
  <c r="BT362" i="14"/>
  <c r="BT363" i="14"/>
  <c r="BT364" i="14"/>
  <c r="BT366" i="14"/>
  <c r="BT367" i="14"/>
  <c r="BT368" i="14"/>
  <c r="BT369" i="14"/>
  <c r="BT370" i="14"/>
  <c r="BT372" i="14"/>
  <c r="BT373" i="14"/>
  <c r="BT374" i="14"/>
  <c r="BT375" i="14"/>
  <c r="BT376" i="14"/>
  <c r="BT378" i="14"/>
  <c r="BT379" i="14"/>
  <c r="BT380" i="14"/>
  <c r="BT381" i="14"/>
  <c r="BT382" i="14"/>
  <c r="BT384" i="14"/>
  <c r="BT385" i="14"/>
  <c r="BT386" i="14"/>
  <c r="BT387" i="14"/>
  <c r="BT388" i="14"/>
  <c r="BT390" i="14"/>
  <c r="BT391" i="14"/>
  <c r="BT392" i="14"/>
  <c r="BT393" i="14"/>
  <c r="BT394" i="14"/>
  <c r="BT396" i="14"/>
  <c r="BT397" i="14"/>
  <c r="BT398" i="14"/>
  <c r="BT399" i="14"/>
  <c r="BT400" i="14"/>
  <c r="BT402" i="14"/>
  <c r="BT403" i="14"/>
  <c r="BT404" i="14"/>
  <c r="BT405" i="14"/>
  <c r="BT406" i="14"/>
  <c r="BT408" i="14"/>
  <c r="BT409" i="14"/>
  <c r="BT410" i="14"/>
  <c r="BT411" i="14"/>
  <c r="BT412" i="14"/>
  <c r="BT414" i="14"/>
  <c r="BT415" i="14"/>
  <c r="BT416" i="14"/>
  <c r="BT417" i="14"/>
  <c r="BT418" i="14"/>
  <c r="BT420" i="14"/>
  <c r="BT421" i="14"/>
  <c r="BT422" i="14"/>
  <c r="BT423" i="14"/>
  <c r="BT424" i="14"/>
  <c r="BT426" i="14"/>
  <c r="BT427" i="14"/>
  <c r="BT428" i="14"/>
  <c r="BT429" i="14"/>
  <c r="BT430" i="14"/>
  <c r="BT432" i="14"/>
  <c r="BT433" i="14"/>
  <c r="BT434" i="14"/>
  <c r="BT435" i="14"/>
  <c r="BT436" i="14"/>
  <c r="BT438" i="14"/>
  <c r="BT439" i="14"/>
  <c r="BT440" i="14"/>
  <c r="BT441" i="14"/>
  <c r="BT442" i="14"/>
  <c r="BT444" i="14"/>
  <c r="BT445" i="14"/>
  <c r="BT446" i="14"/>
  <c r="BT447" i="14"/>
  <c r="BT448" i="14"/>
  <c r="BT450" i="14"/>
  <c r="BT451" i="14"/>
  <c r="BT452" i="14"/>
  <c r="BT453" i="14"/>
  <c r="BT454" i="14"/>
  <c r="BT456" i="14"/>
  <c r="BT457" i="14"/>
  <c r="BT458" i="14"/>
  <c r="BT459" i="14"/>
  <c r="BT460" i="14"/>
  <c r="BT462" i="14"/>
  <c r="BT463" i="14"/>
  <c r="BT464" i="14"/>
  <c r="BT465" i="14"/>
  <c r="BT466" i="14"/>
  <c r="BT468" i="14"/>
  <c r="BT469" i="14"/>
  <c r="BT470" i="14"/>
  <c r="BT471" i="14"/>
  <c r="BT472" i="14"/>
  <c r="BT474" i="14"/>
  <c r="BT475" i="14"/>
  <c r="BT476" i="14"/>
  <c r="BT477" i="14"/>
  <c r="BT478" i="14"/>
  <c r="BT480" i="14"/>
  <c r="BT481" i="14"/>
  <c r="BT482" i="14"/>
  <c r="BT483" i="14"/>
  <c r="BT484" i="14"/>
  <c r="BT486" i="14"/>
  <c r="BT487" i="14"/>
  <c r="BT488" i="14"/>
  <c r="BT489" i="14"/>
  <c r="BT490" i="14"/>
  <c r="BT492" i="14"/>
  <c r="BT493" i="14"/>
  <c r="BT494" i="14"/>
  <c r="BT495" i="14"/>
  <c r="BT496" i="14"/>
  <c r="BT498" i="14"/>
  <c r="BT499" i="14"/>
  <c r="BT500" i="14"/>
  <c r="BT501" i="14"/>
  <c r="BT502" i="14"/>
  <c r="BT504" i="14"/>
  <c r="BT505" i="14"/>
  <c r="BT506" i="14"/>
  <c r="BT507" i="14"/>
  <c r="BT508" i="14"/>
  <c r="BT510" i="14"/>
  <c r="BT511" i="14"/>
  <c r="BT512" i="14"/>
  <c r="BT513" i="14"/>
  <c r="BT514" i="14"/>
  <c r="BT516" i="14"/>
  <c r="BT517" i="14"/>
  <c r="BT518" i="14"/>
  <c r="BT519" i="14"/>
  <c r="BT520" i="14"/>
  <c r="BT522" i="14"/>
  <c r="BT523" i="14"/>
  <c r="BT524" i="14"/>
  <c r="BT525" i="14"/>
  <c r="BT526" i="14"/>
  <c r="BT528" i="14"/>
  <c r="BT529" i="14"/>
  <c r="BT530" i="14"/>
  <c r="BT531" i="14"/>
  <c r="BT532" i="14"/>
  <c r="BT534" i="14"/>
  <c r="BT535" i="14"/>
  <c r="BT536" i="14"/>
  <c r="BT537" i="14"/>
  <c r="BT538" i="14"/>
  <c r="BT540" i="14"/>
  <c r="BT541" i="14"/>
  <c r="BT542" i="14"/>
  <c r="BT543" i="14"/>
  <c r="BT544" i="14"/>
  <c r="BT546" i="14"/>
  <c r="BT547" i="14"/>
  <c r="BT548" i="14"/>
  <c r="BT549" i="14"/>
  <c r="BT550" i="14"/>
  <c r="BT552" i="14"/>
  <c r="BT553" i="14"/>
  <c r="BT554" i="14"/>
  <c r="BT555" i="14"/>
  <c r="BT556" i="14"/>
  <c r="BT558" i="14"/>
  <c r="BT559" i="14"/>
  <c r="BT560" i="14"/>
  <c r="BT561" i="14"/>
  <c r="BT562" i="14"/>
  <c r="BT564" i="14"/>
  <c r="BT565" i="14"/>
  <c r="BT566" i="14"/>
  <c r="BT567" i="14"/>
  <c r="BT568" i="14"/>
  <c r="BT570" i="14"/>
  <c r="BT571" i="14"/>
  <c r="BT572" i="14"/>
  <c r="BT573" i="14"/>
  <c r="BT574" i="14"/>
  <c r="BT576" i="14"/>
  <c r="BT577" i="14"/>
  <c r="BT578" i="14"/>
  <c r="BT579" i="14"/>
  <c r="BT580" i="14"/>
  <c r="BT582" i="14"/>
  <c r="BT583" i="14"/>
  <c r="BT584" i="14"/>
  <c r="BT585" i="14"/>
  <c r="BT586" i="14"/>
  <c r="BT588" i="14"/>
  <c r="BT589" i="14"/>
  <c r="BT590" i="14"/>
  <c r="BT591" i="14"/>
  <c r="BT592" i="14"/>
  <c r="BT594" i="14"/>
  <c r="BT595" i="14"/>
  <c r="BT596" i="14"/>
  <c r="BT597" i="14"/>
  <c r="BT598" i="14"/>
  <c r="BT600" i="14"/>
  <c r="BT601" i="14"/>
  <c r="BT602" i="14"/>
  <c r="BT603" i="14"/>
  <c r="BT604" i="14"/>
  <c r="BT606" i="14"/>
  <c r="BT607" i="14"/>
  <c r="BT608" i="14"/>
  <c r="BT609" i="14"/>
  <c r="BT610" i="14"/>
  <c r="BT612" i="14"/>
  <c r="BT613" i="14"/>
  <c r="BT614" i="14"/>
  <c r="BT615" i="14"/>
  <c r="BT616" i="14"/>
  <c r="BT618" i="14"/>
  <c r="BT619" i="14"/>
  <c r="BT620" i="14"/>
  <c r="BT621" i="14"/>
  <c r="BT622" i="14"/>
  <c r="BT624" i="14"/>
  <c r="BT625" i="14"/>
  <c r="BT626" i="14"/>
  <c r="BT627" i="14"/>
  <c r="BT628" i="14"/>
  <c r="BT630" i="14"/>
  <c r="BT631" i="14"/>
  <c r="BT632" i="14"/>
  <c r="BT633" i="14"/>
  <c r="BT634" i="14"/>
  <c r="BT636" i="14"/>
  <c r="BT637" i="14"/>
  <c r="BT638" i="14"/>
  <c r="BT639" i="14"/>
  <c r="BT640" i="14"/>
  <c r="BT642" i="14"/>
  <c r="BT643" i="14"/>
  <c r="BT644" i="14"/>
  <c r="BT645" i="14"/>
  <c r="BT646" i="14"/>
  <c r="BT648" i="14"/>
  <c r="BT649" i="14"/>
  <c r="BT650" i="14"/>
  <c r="BT651" i="14"/>
  <c r="BT652" i="14"/>
  <c r="BT654" i="14"/>
  <c r="BT655" i="14"/>
  <c r="BT656" i="14"/>
  <c r="BT657" i="14"/>
  <c r="BT658" i="14"/>
  <c r="BT660" i="14"/>
  <c r="BT661" i="14"/>
  <c r="BT662" i="14"/>
  <c r="BT663" i="14"/>
  <c r="BT664" i="14"/>
  <c r="BT666" i="14"/>
  <c r="BT667" i="14"/>
  <c r="BT668" i="14"/>
  <c r="BT669" i="14"/>
  <c r="BT670" i="14"/>
  <c r="BT672" i="14"/>
  <c r="BT673" i="14"/>
  <c r="BT674" i="14"/>
  <c r="BT675" i="14"/>
  <c r="BT676" i="14"/>
  <c r="BT678" i="14"/>
  <c r="BT679" i="14"/>
  <c r="BT680" i="14"/>
  <c r="BT681" i="14"/>
  <c r="BT682" i="14"/>
  <c r="AR63" i="43" l="1"/>
  <c r="AS62" i="43"/>
  <c r="AT62" i="43"/>
  <c r="BT59" i="14"/>
  <c r="BT83" i="14"/>
  <c r="BT95" i="14"/>
  <c r="BT101" i="14"/>
  <c r="BT107" i="14"/>
  <c r="BT113" i="14"/>
  <c r="BT119" i="14"/>
  <c r="BT125" i="14"/>
  <c r="BT131" i="14"/>
  <c r="BT137" i="14"/>
  <c r="BT143" i="14"/>
  <c r="BT149" i="14"/>
  <c r="BT155" i="14"/>
  <c r="BT161" i="14"/>
  <c r="BT167" i="14"/>
  <c r="BT173" i="14"/>
  <c r="BT185" i="14"/>
  <c r="BT191" i="14"/>
  <c r="BT197" i="14"/>
  <c r="BT203" i="14"/>
  <c r="BT209" i="14"/>
  <c r="BT215" i="14"/>
  <c r="BT221" i="14"/>
  <c r="BT227" i="14"/>
  <c r="BT233" i="14"/>
  <c r="BT239" i="14"/>
  <c r="BT245" i="14"/>
  <c r="BT251" i="14"/>
  <c r="BT257" i="14"/>
  <c r="BT263" i="14"/>
  <c r="BT269" i="14"/>
  <c r="BT275" i="14"/>
  <c r="BT281" i="14"/>
  <c r="BT287" i="14"/>
  <c r="BT293" i="14"/>
  <c r="BT299" i="14"/>
  <c r="BT305" i="14"/>
  <c r="BT311" i="14"/>
  <c r="BT317" i="14"/>
  <c r="BT323" i="14"/>
  <c r="BT329" i="14"/>
  <c r="BT335" i="14"/>
  <c r="BT341" i="14"/>
  <c r="BT347" i="14"/>
  <c r="BT353" i="14"/>
  <c r="BT359" i="14"/>
  <c r="BT365" i="14"/>
  <c r="BT371" i="14"/>
  <c r="BT377" i="14"/>
  <c r="BT383" i="14"/>
  <c r="BT389" i="14"/>
  <c r="BT395" i="14"/>
  <c r="BT401" i="14"/>
  <c r="BT407" i="14"/>
  <c r="BT413" i="14"/>
  <c r="BT419" i="14"/>
  <c r="BT425" i="14"/>
  <c r="BT431" i="14"/>
  <c r="BT437" i="14"/>
  <c r="BT443" i="14"/>
  <c r="BT449" i="14"/>
  <c r="BT455" i="14"/>
  <c r="BT461" i="14"/>
  <c r="BT467" i="14"/>
  <c r="BT473" i="14"/>
  <c r="BT479" i="14"/>
  <c r="BT485" i="14"/>
  <c r="BT491" i="14"/>
  <c r="BT497" i="14"/>
  <c r="BT503" i="14"/>
  <c r="BT509" i="14"/>
  <c r="BT515" i="14"/>
  <c r="BT521" i="14"/>
  <c r="BT527" i="14"/>
  <c r="BT533" i="14"/>
  <c r="BT539" i="14"/>
  <c r="BT545" i="14"/>
  <c r="BT551" i="14"/>
  <c r="BT557" i="14"/>
  <c r="BT563" i="14"/>
  <c r="BT569" i="14"/>
  <c r="BT575" i="14"/>
  <c r="BT581" i="14"/>
  <c r="BT587" i="14"/>
  <c r="BT593" i="14"/>
  <c r="BT599" i="14"/>
  <c r="BT605" i="14"/>
  <c r="BT611" i="14"/>
  <c r="BT617" i="14"/>
  <c r="BT623" i="14"/>
  <c r="BT629" i="14"/>
  <c r="BT635" i="14"/>
  <c r="BT641" i="14"/>
  <c r="BT647" i="14"/>
  <c r="BT653" i="14"/>
  <c r="BT659" i="14"/>
  <c r="BT665" i="14"/>
  <c r="BT671" i="14"/>
  <c r="BT677" i="14"/>
  <c r="AR64" i="43" l="1"/>
  <c r="AT63" i="43"/>
  <c r="AS63" i="43"/>
  <c r="S47" i="14"/>
  <c r="S59" i="14"/>
  <c r="S71" i="14"/>
  <c r="S83" i="14"/>
  <c r="S95" i="14"/>
  <c r="S107" i="14"/>
  <c r="S119" i="14"/>
  <c r="S131" i="14"/>
  <c r="S143" i="14"/>
  <c r="S155" i="14"/>
  <c r="S167" i="14"/>
  <c r="S179" i="14"/>
  <c r="S191" i="14"/>
  <c r="S203" i="14"/>
  <c r="S215" i="14"/>
  <c r="S227" i="14"/>
  <c r="S239" i="14"/>
  <c r="S251" i="14"/>
  <c r="S263" i="14"/>
  <c r="S275" i="14"/>
  <c r="S287" i="14"/>
  <c r="S299" i="14"/>
  <c r="S311" i="14"/>
  <c r="S323" i="14"/>
  <c r="S335" i="14"/>
  <c r="S347" i="14"/>
  <c r="S359" i="14"/>
  <c r="S371" i="14"/>
  <c r="S383" i="14"/>
  <c r="S395" i="14"/>
  <c r="S407" i="14"/>
  <c r="S419" i="14"/>
  <c r="S431" i="14"/>
  <c r="S443" i="14"/>
  <c r="S455" i="14"/>
  <c r="S467" i="14"/>
  <c r="S479" i="14"/>
  <c r="S491" i="14"/>
  <c r="S503" i="14"/>
  <c r="S515" i="14"/>
  <c r="S527" i="14"/>
  <c r="S539" i="14"/>
  <c r="S551" i="14"/>
  <c r="S563" i="14"/>
  <c r="S575" i="14"/>
  <c r="S587" i="14"/>
  <c r="S599" i="14"/>
  <c r="S611" i="14"/>
  <c r="S623" i="14"/>
  <c r="S635" i="14"/>
  <c r="S647" i="14"/>
  <c r="S659" i="14"/>
  <c r="S671" i="14"/>
  <c r="AR65" i="43" l="1"/>
  <c r="AT64" i="43"/>
  <c r="AS64" i="43"/>
  <c r="AR66" i="43" l="1"/>
  <c r="AS65" i="43"/>
  <c r="AT65" i="43"/>
  <c r="AR67" i="43" l="1"/>
  <c r="AS66" i="43"/>
  <c r="AT66" i="43"/>
  <c r="AK43" i="14"/>
  <c r="AK42" i="14"/>
  <c r="AR68" i="43" l="1"/>
  <c r="AS67" i="43"/>
  <c r="AT67" i="43"/>
  <c r="AR69" i="43" l="1"/>
  <c r="AT68" i="43"/>
  <c r="AS68" i="43"/>
  <c r="AR70" i="43" l="1"/>
  <c r="AS69" i="43"/>
  <c r="AT69" i="43"/>
  <c r="Y21" i="37"/>
  <c r="Z21" i="37"/>
  <c r="V22" i="37"/>
  <c r="X22" i="37" s="1"/>
  <c r="Z22" i="37" s="1"/>
  <c r="V23" i="37"/>
  <c r="V24" i="37"/>
  <c r="X24" i="37" s="1"/>
  <c r="Z24" i="37" s="1"/>
  <c r="V25" i="37"/>
  <c r="X25" i="37" s="1"/>
  <c r="Z25" i="37" s="1"/>
  <c r="V26" i="37"/>
  <c r="V27" i="37"/>
  <c r="W27" i="37" s="1"/>
  <c r="Y27" i="37" s="1"/>
  <c r="V28" i="37"/>
  <c r="X28" i="37" s="1"/>
  <c r="Z28" i="37" s="1"/>
  <c r="V29" i="37"/>
  <c r="V30" i="37"/>
  <c r="X30" i="37" s="1"/>
  <c r="Z30" i="37" s="1"/>
  <c r="V31" i="37"/>
  <c r="W31" i="37" s="1"/>
  <c r="Y31" i="37" s="1"/>
  <c r="V32" i="37"/>
  <c r="V33" i="37"/>
  <c r="X33" i="37" s="1"/>
  <c r="Z33" i="37" s="1"/>
  <c r="V16" i="37"/>
  <c r="W16" i="37" s="1"/>
  <c r="V17" i="37"/>
  <c r="X17" i="37" s="1"/>
  <c r="Z17" i="37" s="1"/>
  <c r="V18" i="37"/>
  <c r="X18" i="37" s="1"/>
  <c r="V19" i="37"/>
  <c r="W19" i="37" s="1"/>
  <c r="V20" i="37"/>
  <c r="W20" i="37" s="1"/>
  <c r="V15" i="37"/>
  <c r="X15" i="37" s="1"/>
  <c r="W15" i="37" l="1"/>
  <c r="Y15" i="37" s="1"/>
  <c r="Y10" i="37"/>
  <c r="Z10" i="37"/>
  <c r="W28" i="37"/>
  <c r="Y28" i="37" s="1"/>
  <c r="W32" i="37"/>
  <c r="Y32" i="37" s="1"/>
  <c r="AA10" i="37"/>
  <c r="X10" i="37"/>
  <c r="X20" i="37"/>
  <c r="W23" i="37"/>
  <c r="Y23" i="37" s="1"/>
  <c r="Y16" i="37"/>
  <c r="X8" i="37"/>
  <c r="X27" i="37"/>
  <c r="Z27" i="37" s="1"/>
  <c r="Z18" i="37"/>
  <c r="Y9" i="37"/>
  <c r="W18" i="37"/>
  <c r="X29" i="37"/>
  <c r="Z29" i="37" s="1"/>
  <c r="W24" i="37"/>
  <c r="Y24" i="37" s="1"/>
  <c r="Y20" i="37"/>
  <c r="AA8" i="37"/>
  <c r="Y19" i="37"/>
  <c r="Z8" i="37"/>
  <c r="X16" i="37"/>
  <c r="X26" i="37"/>
  <c r="Z26" i="37" s="1"/>
  <c r="Z15" i="37"/>
  <c r="W9" i="37"/>
  <c r="W17" i="37"/>
  <c r="Y17" i="37" s="1"/>
  <c r="X32" i="37"/>
  <c r="Z32" i="37" s="1"/>
  <c r="X31" i="37"/>
  <c r="Z31" i="37" s="1"/>
  <c r="X23" i="37"/>
  <c r="Z23" i="37" s="1"/>
  <c r="W33" i="37"/>
  <c r="Y33" i="37" s="1"/>
  <c r="W29" i="37"/>
  <c r="Y29" i="37" s="1"/>
  <c r="W25" i="37"/>
  <c r="Y25" i="37" s="1"/>
  <c r="W30" i="37"/>
  <c r="Y30" i="37" s="1"/>
  <c r="W26" i="37"/>
  <c r="Y26" i="37" s="1"/>
  <c r="W22" i="37"/>
  <c r="Y22" i="37" s="1"/>
  <c r="X19" i="37"/>
  <c r="AR71" i="43" l="1"/>
  <c r="AS70" i="43"/>
  <c r="AT70" i="43"/>
  <c r="W8" i="37"/>
  <c r="Z16" i="37"/>
  <c r="X9" i="37"/>
  <c r="Y18" i="37"/>
  <c r="Y8" i="37"/>
  <c r="Z19" i="37"/>
  <c r="Z9" i="37"/>
  <c r="Z20" i="37"/>
  <c r="AA9" i="37"/>
  <c r="AR72" i="43" l="1"/>
  <c r="AT71" i="43"/>
  <c r="AS71" i="43"/>
  <c r="E3" i="9"/>
  <c r="B3" i="9"/>
  <c r="F3" i="9" l="1"/>
  <c r="AR73" i="43"/>
  <c r="AT72" i="43"/>
  <c r="AS72" i="43"/>
  <c r="B15" i="40"/>
  <c r="AR74" i="43" l="1"/>
  <c r="AS73" i="43"/>
  <c r="AT73" i="43"/>
  <c r="R59" i="14"/>
  <c r="R47" i="14"/>
  <c r="AR75" i="43" l="1"/>
  <c r="AS74" i="43"/>
  <c r="AT74" i="43"/>
  <c r="AS75" i="43" l="1"/>
  <c r="AT75" i="43"/>
  <c r="B2" i="40" l="1"/>
  <c r="B3" i="40"/>
  <c r="B4" i="40"/>
  <c r="D10" i="40"/>
  <c r="B13" i="40"/>
  <c r="B12" i="40"/>
  <c r="B11" i="40"/>
  <c r="B10" i="40"/>
  <c r="B9" i="40"/>
  <c r="B6" i="40"/>
  <c r="B5" i="40"/>
  <c r="AD17" i="38" l="1"/>
  <c r="AG12" i="38"/>
  <c r="AG11" i="38"/>
  <c r="V9" i="14"/>
  <c r="J51" i="39"/>
  <c r="J52" i="39" s="1"/>
  <c r="O44" i="39"/>
  <c r="N44" i="39"/>
  <c r="O43" i="39"/>
  <c r="N43" i="39"/>
  <c r="O42" i="39"/>
  <c r="N42" i="39"/>
  <c r="N41" i="39"/>
  <c r="O40" i="39"/>
  <c r="N40" i="39"/>
  <c r="E21" i="39" s="1"/>
  <c r="O39" i="39"/>
  <c r="N39" i="39"/>
  <c r="O38" i="39"/>
  <c r="N38" i="39"/>
  <c r="O37" i="39"/>
  <c r="N37" i="39"/>
  <c r="O36" i="39"/>
  <c r="N36" i="39"/>
  <c r="E59" i="39"/>
  <c r="E50" i="39"/>
  <c r="R677" i="14"/>
  <c r="R671" i="14"/>
  <c r="L671" i="14"/>
  <c r="L677" i="14" s="1"/>
  <c r="R665" i="14"/>
  <c r="R659" i="14"/>
  <c r="L659" i="14"/>
  <c r="L665" i="14" s="1"/>
  <c r="R653" i="14"/>
  <c r="R647" i="14"/>
  <c r="L647" i="14"/>
  <c r="L653" i="14" s="1"/>
  <c r="R641" i="14"/>
  <c r="R635" i="14"/>
  <c r="L635" i="14"/>
  <c r="L641" i="14" s="1"/>
  <c r="R629" i="14"/>
  <c r="R623" i="14"/>
  <c r="L623" i="14"/>
  <c r="L629" i="14" s="1"/>
  <c r="R617" i="14"/>
  <c r="R611" i="14"/>
  <c r="L611" i="14"/>
  <c r="L617" i="14" s="1"/>
  <c r="R605" i="14"/>
  <c r="R599" i="14"/>
  <c r="L599" i="14"/>
  <c r="L605" i="14" s="1"/>
  <c r="R593" i="14"/>
  <c r="R587" i="14"/>
  <c r="L587" i="14"/>
  <c r="L593" i="14" s="1"/>
  <c r="R581" i="14"/>
  <c r="R575" i="14"/>
  <c r="L575" i="14"/>
  <c r="L581" i="14" s="1"/>
  <c r="R569" i="14"/>
  <c r="R563" i="14"/>
  <c r="L563" i="14"/>
  <c r="L569" i="14" s="1"/>
  <c r="R557" i="14"/>
  <c r="R551" i="14"/>
  <c r="L551" i="14"/>
  <c r="L557" i="14" s="1"/>
  <c r="R545" i="14"/>
  <c r="R539" i="14"/>
  <c r="L539" i="14"/>
  <c r="L545" i="14" s="1"/>
  <c r="R533" i="14"/>
  <c r="R527" i="14"/>
  <c r="L527" i="14"/>
  <c r="L533" i="14" s="1"/>
  <c r="R521" i="14"/>
  <c r="R515" i="14"/>
  <c r="L515" i="14"/>
  <c r="L521" i="14" s="1"/>
  <c r="R509" i="14"/>
  <c r="R503" i="14"/>
  <c r="L503" i="14"/>
  <c r="L509" i="14" s="1"/>
  <c r="R497" i="14"/>
  <c r="R491" i="14"/>
  <c r="L491" i="14"/>
  <c r="L497" i="14" s="1"/>
  <c r="R485" i="14"/>
  <c r="R479" i="14"/>
  <c r="L479" i="14"/>
  <c r="L485" i="14" s="1"/>
  <c r="R473" i="14"/>
  <c r="R467" i="14"/>
  <c r="L467" i="14"/>
  <c r="L473" i="14" s="1"/>
  <c r="R461" i="14"/>
  <c r="R455" i="14"/>
  <c r="L455" i="14"/>
  <c r="L461" i="14" s="1"/>
  <c r="R449" i="14"/>
  <c r="R443" i="14"/>
  <c r="L443" i="14"/>
  <c r="L449" i="14" s="1"/>
  <c r="R437" i="14"/>
  <c r="R431" i="14"/>
  <c r="L431" i="14"/>
  <c r="L437" i="14" s="1"/>
  <c r="R425" i="14"/>
  <c r="R419" i="14"/>
  <c r="L419" i="14"/>
  <c r="L425" i="14" s="1"/>
  <c r="R413" i="14"/>
  <c r="R407" i="14"/>
  <c r="L407" i="14"/>
  <c r="L413" i="14" s="1"/>
  <c r="R401" i="14"/>
  <c r="R395" i="14"/>
  <c r="L395" i="14"/>
  <c r="L401" i="14" s="1"/>
  <c r="R389" i="14"/>
  <c r="R383" i="14"/>
  <c r="L383" i="14"/>
  <c r="L389" i="14" s="1"/>
  <c r="R377" i="14"/>
  <c r="R371" i="14"/>
  <c r="L371" i="14"/>
  <c r="L377" i="14" s="1"/>
  <c r="R365" i="14"/>
  <c r="R359" i="14"/>
  <c r="L359" i="14"/>
  <c r="L365" i="14" s="1"/>
  <c r="R353" i="14"/>
  <c r="R347" i="14"/>
  <c r="L347" i="14"/>
  <c r="L353" i="14" s="1"/>
  <c r="R341" i="14"/>
  <c r="R335" i="14"/>
  <c r="L335" i="14"/>
  <c r="L341" i="14" s="1"/>
  <c r="R329" i="14"/>
  <c r="R323" i="14"/>
  <c r="L323" i="14"/>
  <c r="L329" i="14" s="1"/>
  <c r="R317" i="14"/>
  <c r="R311" i="14"/>
  <c r="L311" i="14"/>
  <c r="L317" i="14" s="1"/>
  <c r="R305" i="14"/>
  <c r="R299" i="14"/>
  <c r="L299" i="14"/>
  <c r="L305" i="14" s="1"/>
  <c r="R293" i="14"/>
  <c r="R287" i="14"/>
  <c r="L287" i="14"/>
  <c r="L293" i="14" s="1"/>
  <c r="R281" i="14"/>
  <c r="R275" i="14"/>
  <c r="L275" i="14"/>
  <c r="L281" i="14" s="1"/>
  <c r="R269" i="14"/>
  <c r="R263" i="14"/>
  <c r="L263" i="14"/>
  <c r="L269" i="14" s="1"/>
  <c r="R257" i="14"/>
  <c r="R251" i="14"/>
  <c r="L251" i="14"/>
  <c r="L257" i="14" s="1"/>
  <c r="R245" i="14"/>
  <c r="R239" i="14"/>
  <c r="L239" i="14"/>
  <c r="L245" i="14" s="1"/>
  <c r="R233" i="14"/>
  <c r="R227" i="14"/>
  <c r="L227" i="14"/>
  <c r="L233" i="14" s="1"/>
  <c r="R221" i="14"/>
  <c r="R215" i="14"/>
  <c r="L215" i="14"/>
  <c r="L221" i="14" s="1"/>
  <c r="R209" i="14"/>
  <c r="R203" i="14"/>
  <c r="L203" i="14"/>
  <c r="L209" i="14" s="1"/>
  <c r="R197" i="14"/>
  <c r="R191" i="14"/>
  <c r="L191" i="14"/>
  <c r="L197" i="14" s="1"/>
  <c r="R185" i="14"/>
  <c r="R179" i="14"/>
  <c r="L179" i="14"/>
  <c r="L185" i="14" s="1"/>
  <c r="R173" i="14"/>
  <c r="R167" i="14"/>
  <c r="L167" i="14"/>
  <c r="L173" i="14" s="1"/>
  <c r="R161" i="14"/>
  <c r="R155" i="14"/>
  <c r="L155" i="14"/>
  <c r="L161" i="14" s="1"/>
  <c r="R149" i="14"/>
  <c r="R143" i="14"/>
  <c r="L143" i="14"/>
  <c r="L149" i="14" s="1"/>
  <c r="R137" i="14"/>
  <c r="R131" i="14"/>
  <c r="L131" i="14"/>
  <c r="L137" i="14" s="1"/>
  <c r="R125" i="14"/>
  <c r="R119" i="14"/>
  <c r="L119" i="14"/>
  <c r="L125" i="14" s="1"/>
  <c r="R113" i="14"/>
  <c r="R107" i="14"/>
  <c r="L107" i="14"/>
  <c r="L113" i="14" s="1"/>
  <c r="R101" i="14"/>
  <c r="R95" i="14"/>
  <c r="L95" i="14"/>
  <c r="L101" i="14" s="1"/>
  <c r="R89" i="14"/>
  <c r="R83" i="14"/>
  <c r="L83" i="14"/>
  <c r="L89" i="14" s="1"/>
  <c r="R77" i="14"/>
  <c r="R71" i="14"/>
  <c r="L71" i="14"/>
  <c r="L77" i="14" s="1"/>
  <c r="R65" i="14"/>
  <c r="L59" i="14"/>
  <c r="L65" i="14" s="1"/>
  <c r="R53" i="14"/>
  <c r="L47" i="14"/>
  <c r="L53" i="14" s="1"/>
  <c r="D11" i="40"/>
  <c r="AK151" i="14"/>
  <c r="AK244" i="14"/>
  <c r="AK377" i="14"/>
  <c r="AK144" i="14"/>
  <c r="AK46" i="14"/>
  <c r="AK295" i="14"/>
  <c r="AK143" i="14"/>
  <c r="AK211" i="14"/>
  <c r="AK497" i="14"/>
  <c r="AK251" i="14"/>
  <c r="AK112" i="14"/>
  <c r="AK451" i="14"/>
  <c r="AK336" i="14"/>
  <c r="AK570" i="14"/>
  <c r="AK653" i="14"/>
  <c r="AK423" i="14"/>
  <c r="AK462" i="14"/>
  <c r="AK215" i="14"/>
  <c r="AK557" i="14"/>
  <c r="AK581" i="14"/>
  <c r="BZ431" i="14"/>
  <c r="AK395" i="14"/>
  <c r="AK235" i="14"/>
  <c r="AK381" i="14"/>
  <c r="AK286" i="14"/>
  <c r="AK464" i="14"/>
  <c r="BZ143" i="14"/>
  <c r="AK292" i="14"/>
  <c r="AK527" i="14"/>
  <c r="AK359" i="14"/>
  <c r="AK538" i="14"/>
  <c r="AK682" i="14"/>
  <c r="AK302" i="14"/>
  <c r="AK75" i="14"/>
  <c r="AK504" i="14"/>
  <c r="AK503" i="14"/>
  <c r="AK153" i="14"/>
  <c r="AK133" i="14"/>
  <c r="BZ371" i="14"/>
  <c r="AK129" i="14"/>
  <c r="AK522" i="14"/>
  <c r="AK99" i="14"/>
  <c r="AK646" i="14"/>
  <c r="AK658" i="14"/>
  <c r="AK528" i="14"/>
  <c r="AK363" i="14"/>
  <c r="BZ407" i="14"/>
  <c r="AK543" i="14"/>
  <c r="AK184" i="14"/>
  <c r="AK361" i="14"/>
  <c r="AK548" i="14"/>
  <c r="AK572" i="14"/>
  <c r="AK60" i="14"/>
  <c r="AK201" i="14"/>
  <c r="AK532" i="14"/>
  <c r="AK600" i="14"/>
  <c r="AK207" i="14"/>
  <c r="AK199" i="14"/>
  <c r="AK290" i="14"/>
  <c r="AK560" i="14"/>
  <c r="AK256" i="14"/>
  <c r="AK100" i="14"/>
  <c r="AK93" i="14"/>
  <c r="AK131" i="14"/>
  <c r="AK408" i="14"/>
  <c r="AK561" i="14"/>
  <c r="AK96" i="14"/>
  <c r="AK383" i="14"/>
  <c r="AK472" i="14"/>
  <c r="AK407" i="14"/>
  <c r="AK378" i="14"/>
  <c r="AK384" i="14"/>
  <c r="AK190" i="14"/>
  <c r="AK214" i="14"/>
  <c r="AK512" i="14"/>
  <c r="AK345" i="14"/>
  <c r="AK62" i="14"/>
  <c r="AK321" i="14"/>
  <c r="AK603" i="14"/>
  <c r="AK521" i="14"/>
  <c r="AK226" i="14"/>
  <c r="AK564" i="14"/>
  <c r="AK638" i="14"/>
  <c r="AK478" i="14"/>
  <c r="AK677" i="14"/>
  <c r="AB9" i="37"/>
  <c r="AK339" i="14"/>
  <c r="AK183" i="14"/>
  <c r="AK463" i="14"/>
  <c r="AK382" i="14"/>
  <c r="AK185" i="14"/>
  <c r="BZ635" i="14"/>
  <c r="AK517" i="14"/>
  <c r="AK370" i="14"/>
  <c r="AK392" i="14"/>
  <c r="BZ395" i="14"/>
  <c r="AK621" i="14"/>
  <c r="AK438" i="14"/>
  <c r="AK630" i="14"/>
  <c r="AK550" i="14"/>
  <c r="AK420" i="14"/>
  <c r="AK551" i="14"/>
  <c r="AK573" i="14"/>
  <c r="AK173" i="14"/>
  <c r="AK77" i="14"/>
  <c r="BZ515" i="14"/>
  <c r="AK293" i="14"/>
  <c r="AK202" i="14"/>
  <c r="AK59" i="14"/>
  <c r="AK591" i="14"/>
  <c r="AK648" i="14"/>
  <c r="AK234" i="14"/>
  <c r="AK195" i="14"/>
  <c r="AK633" i="14"/>
  <c r="AK617" i="14"/>
  <c r="AK583" i="14"/>
  <c r="AK429" i="14"/>
  <c r="AK84" i="14"/>
  <c r="AK233" i="14"/>
  <c r="AK268" i="14"/>
  <c r="AK498" i="14"/>
  <c r="AK255" i="14"/>
  <c r="AK188" i="14"/>
  <c r="AK635" i="14"/>
  <c r="AK477" i="14"/>
  <c r="AK85" i="14"/>
  <c r="AK191" i="14"/>
  <c r="BZ287" i="14"/>
  <c r="AK311" i="14"/>
  <c r="AK91" i="14"/>
  <c r="BZ323" i="14"/>
  <c r="AK619" i="14"/>
  <c r="BZ623" i="14"/>
  <c r="AK219" i="14"/>
  <c r="AK625" i="14"/>
  <c r="AK431" i="14"/>
  <c r="AK324" i="14"/>
  <c r="AK298" i="14"/>
  <c r="AK243" i="14"/>
  <c r="AK368" i="14"/>
  <c r="AK492" i="14"/>
  <c r="AK312" i="14"/>
  <c r="AK679" i="14"/>
  <c r="AK442" i="14"/>
  <c r="AK95" i="14"/>
  <c r="AK318" i="14"/>
  <c r="AK174" i="14"/>
  <c r="AK397" i="14"/>
  <c r="BZ467" i="14"/>
  <c r="AK239" i="14"/>
  <c r="AK278" i="14"/>
  <c r="AK671" i="14"/>
  <c r="AK231" i="14"/>
  <c r="AB11" i="37"/>
  <c r="AK108" i="14"/>
  <c r="BZ563" i="14"/>
  <c r="AK123" i="14"/>
  <c r="AK342" i="14"/>
  <c r="AK417" i="14"/>
  <c r="AK636" i="14"/>
  <c r="AK132" i="14"/>
  <c r="AK63" i="14"/>
  <c r="AK335" i="14"/>
  <c r="AK224" i="14"/>
  <c r="AK641" i="14"/>
  <c r="AK192" i="14"/>
  <c r="AK68" i="14"/>
  <c r="AK372" i="14"/>
  <c r="AK354" i="14"/>
  <c r="AK301" i="14"/>
  <c r="AK54" i="14"/>
  <c r="BZ119" i="14"/>
  <c r="AK79" i="14"/>
  <c r="AK258" i="14"/>
  <c r="AK170" i="14"/>
  <c r="AK164" i="14"/>
  <c r="AK156" i="14"/>
  <c r="AK265" i="14"/>
  <c r="AK601" i="14"/>
  <c r="AK204" i="14"/>
  <c r="AK640" i="14"/>
  <c r="AK213" i="14"/>
  <c r="AK596" i="14"/>
  <c r="AK136" i="14"/>
  <c r="AK367" i="14"/>
  <c r="AK220" i="14"/>
  <c r="AK680" i="14"/>
  <c r="AK347" i="14"/>
  <c r="BZ539" i="14"/>
  <c r="AK552" i="14"/>
  <c r="BZ71" i="14"/>
  <c r="AK660" i="14"/>
  <c r="AK124" i="14"/>
  <c r="AK366" i="14"/>
  <c r="AK651" i="14"/>
  <c r="AK428" i="14"/>
  <c r="AK240" i="14"/>
  <c r="AK58" i="14"/>
  <c r="AK327" i="14"/>
  <c r="BZ83" i="14"/>
  <c r="AK317" i="14"/>
  <c r="AK274" i="14"/>
  <c r="AK263" i="14"/>
  <c r="AK452" i="14"/>
  <c r="AK346" i="14"/>
  <c r="AK158" i="14"/>
  <c r="AK597" i="14"/>
  <c r="AK534" i="14"/>
  <c r="AK282" i="14"/>
  <c r="AK554" i="14"/>
  <c r="AK514" i="14"/>
  <c r="AK294" i="14"/>
  <c r="AK315" i="14"/>
  <c r="AK450" i="14"/>
  <c r="BZ659" i="14"/>
  <c r="AK436" i="14"/>
  <c r="AK655" i="14"/>
  <c r="AK229" i="14"/>
  <c r="AK406" i="14"/>
  <c r="AK676" i="14"/>
  <c r="AK390" i="14"/>
  <c r="AK567" i="14"/>
  <c r="AK590" i="14"/>
  <c r="AK221" i="14"/>
  <c r="AK404" i="14"/>
  <c r="AK287" i="14"/>
  <c r="BZ527" i="14"/>
  <c r="AK78" i="14"/>
  <c r="AK171" i="14"/>
  <c r="AK626" i="14"/>
  <c r="AK326" i="14"/>
  <c r="AK182" i="14"/>
  <c r="AK309" i="14"/>
  <c r="AK86" i="14"/>
  <c r="AK307" i="14"/>
  <c r="AK484" i="14"/>
  <c r="AK218" i="14"/>
  <c r="AK272" i="14"/>
  <c r="AK90" i="14"/>
  <c r="AK329" i="14"/>
  <c r="AK348" i="14"/>
  <c r="AK669" i="14"/>
  <c r="AK585" i="14"/>
  <c r="AK410" i="14"/>
  <c r="AK98" i="14"/>
  <c r="AK379" i="14"/>
  <c r="AK508" i="14"/>
  <c r="AK209" i="14"/>
  <c r="AK83" i="14"/>
  <c r="AK308" i="14"/>
  <c r="AK405" i="14"/>
  <c r="AK69" i="14"/>
  <c r="AK267" i="14"/>
  <c r="AK441" i="14"/>
  <c r="AK177" i="14"/>
  <c r="AK162" i="14"/>
  <c r="AK160" i="14"/>
  <c r="AK592" i="14"/>
  <c r="BZ647" i="14"/>
  <c r="AK385" i="14"/>
  <c r="AK515" i="14"/>
  <c r="AK149" i="14"/>
  <c r="AK537" i="14"/>
  <c r="AK338" i="14"/>
  <c r="AK606" i="14"/>
  <c r="AK634" i="14"/>
  <c r="AK575" i="14"/>
  <c r="AK496" i="14"/>
  <c r="AK481" i="14"/>
  <c r="AK422" i="14"/>
  <c r="AK656" i="14"/>
  <c r="BZ551" i="14"/>
  <c r="AK502" i="14"/>
  <c r="AK247" i="14"/>
  <c r="AK446" i="14"/>
  <c r="AK208" i="14"/>
  <c r="AK241" i="14"/>
  <c r="AK310" i="14"/>
  <c r="BZ347" i="14"/>
  <c r="AK222" i="14"/>
  <c r="AK602" i="14"/>
  <c r="AK545" i="14"/>
  <c r="AK81" i="14"/>
  <c r="AK563" i="14"/>
  <c r="AK299" i="14"/>
  <c r="AK155" i="14"/>
  <c r="BZ59" i="14"/>
  <c r="AK416" i="14"/>
  <c r="AK415" i="14"/>
  <c r="AK523" i="14"/>
  <c r="AK488" i="14"/>
  <c r="AK350" i="14"/>
  <c r="AK125" i="14"/>
  <c r="AK458" i="14"/>
  <c r="AK71" i="14"/>
  <c r="AK615" i="14"/>
  <c r="AK562" i="14"/>
  <c r="AK376" i="14"/>
  <c r="AK76" i="14"/>
  <c r="AK449" i="14"/>
  <c r="AK47" i="14"/>
  <c r="AK104" i="14"/>
  <c r="AK519" i="14"/>
  <c r="AK212" i="14"/>
  <c r="AK473" i="14"/>
  <c r="AK210" i="14"/>
  <c r="AK411" i="14"/>
  <c r="AK117" i="14"/>
  <c r="AK319" i="14"/>
  <c r="AK176" i="14"/>
  <c r="AK471" i="14"/>
  <c r="AK186" i="14"/>
  <c r="BZ203" i="14"/>
  <c r="AK134" i="14"/>
  <c r="AK56" i="14"/>
  <c r="AK559" i="14"/>
  <c r="AK146" i="14"/>
  <c r="AK518" i="14"/>
  <c r="AK291" i="14"/>
  <c r="AK555" i="14"/>
  <c r="AK574" i="14"/>
  <c r="AK437" i="14"/>
  <c r="AK470" i="14"/>
  <c r="AK605" i="14"/>
  <c r="AK356" i="14"/>
  <c r="AK197" i="14"/>
  <c r="AK624" i="14"/>
  <c r="AK642" i="14"/>
  <c r="AK193" i="14"/>
  <c r="AK577" i="14"/>
  <c r="BZ419" i="14"/>
  <c r="AK454" i="14"/>
  <c r="AK588" i="14"/>
  <c r="AK355" i="14"/>
  <c r="AK49" i="14"/>
  <c r="AK547" i="14"/>
  <c r="BZ587" i="14"/>
  <c r="AK460" i="14"/>
  <c r="AK427" i="14"/>
  <c r="AK217" i="14"/>
  <c r="BZ383" i="14"/>
  <c r="AK644" i="14"/>
  <c r="AK418" i="14"/>
  <c r="AK440" i="14"/>
  <c r="AK198" i="14"/>
  <c r="AK387" i="14"/>
  <c r="AK618" i="14"/>
  <c r="AK533" i="14"/>
  <c r="AK150" i="14"/>
  <c r="AK489" i="14"/>
  <c r="AK344" i="14"/>
  <c r="BZ479" i="14"/>
  <c r="AK490" i="14"/>
  <c r="AK439" i="14"/>
  <c r="AK328" i="14"/>
  <c r="AK487" i="14"/>
  <c r="AK529" i="14"/>
  <c r="AK657" i="14"/>
  <c r="AK246" i="14"/>
  <c r="AK614" i="14"/>
  <c r="AK510" i="14"/>
  <c r="AK297" i="14"/>
  <c r="AK114" i="14"/>
  <c r="AK237" i="14"/>
  <c r="AK306" i="14"/>
  <c r="AK507" i="14"/>
  <c r="AK147" i="14"/>
  <c r="AK168" i="14"/>
  <c r="AK196" i="14"/>
  <c r="AK225" i="14"/>
  <c r="AK569" i="14"/>
  <c r="AK480" i="14"/>
  <c r="AK130" i="14"/>
  <c r="AK161" i="14"/>
  <c r="AK396" i="14"/>
  <c r="AK580" i="14"/>
  <c r="AK509" i="14"/>
  <c r="AK340" i="14"/>
  <c r="BZ671" i="14"/>
  <c r="AK371" i="14"/>
  <c r="AK516" i="14"/>
  <c r="BZ227" i="14"/>
  <c r="AK351" i="14"/>
  <c r="AK89" i="14"/>
  <c r="AK128" i="14"/>
  <c r="AK107" i="14"/>
  <c r="AK631" i="14"/>
  <c r="AK122" i="14"/>
  <c r="AK167" i="14"/>
  <c r="AK435" i="14"/>
  <c r="AK632" i="14"/>
  <c r="BZ251" i="14"/>
  <c r="AK362" i="14"/>
  <c r="AK412" i="14"/>
  <c r="AK448" i="14"/>
  <c r="AK649" i="14"/>
  <c r="AK500" i="14"/>
  <c r="AK139" i="14"/>
  <c r="AK364" i="14"/>
  <c r="AK639" i="14"/>
  <c r="AK145" i="14"/>
  <c r="AK374" i="14"/>
  <c r="AK598" i="14"/>
  <c r="AK668" i="14"/>
  <c r="AK455" i="14"/>
  <c r="AK248" i="14"/>
  <c r="BZ599" i="14"/>
  <c r="AK169" i="14"/>
  <c r="AK400" i="14"/>
  <c r="AK152" i="14"/>
  <c r="AK373" i="14"/>
  <c r="AK659" i="14"/>
  <c r="AK544" i="14"/>
  <c r="AK673" i="14"/>
  <c r="AK485" i="14"/>
  <c r="AK303" i="14"/>
  <c r="AK316" i="14"/>
  <c r="AK163" i="14"/>
  <c r="AK242" i="14"/>
  <c r="AK513" i="14"/>
  <c r="AK672" i="14"/>
  <c r="AK520" i="14"/>
  <c r="AK269" i="14"/>
  <c r="AK88" i="14"/>
  <c r="AK48" i="14"/>
  <c r="AK353" i="14"/>
  <c r="AK578" i="14"/>
  <c r="AK467" i="14"/>
  <c r="AK102" i="14"/>
  <c r="AK179" i="14"/>
  <c r="AK260" i="14"/>
  <c r="AK288" i="14"/>
  <c r="AK137" i="14"/>
  <c r="BZ239" i="14"/>
  <c r="AK249" i="14"/>
  <c r="AK73" i="14"/>
  <c r="AK57" i="14"/>
  <c r="AK189" i="14"/>
  <c r="AK159" i="14"/>
  <c r="AK468" i="14"/>
  <c r="AK375" i="14"/>
  <c r="AK55" i="14"/>
  <c r="AK389" i="14"/>
  <c r="AK541" i="14"/>
  <c r="AK566" i="14"/>
  <c r="BZ167" i="14"/>
  <c r="AK332" i="14"/>
  <c r="AK74" i="14"/>
  <c r="AK675" i="14"/>
  <c r="BZ263" i="14"/>
  <c r="AK250" i="14"/>
  <c r="AK628" i="14"/>
  <c r="AK165" i="14"/>
  <c r="AK637" i="14"/>
  <c r="AK51" i="14"/>
  <c r="BZ179" i="14"/>
  <c r="AK664" i="14"/>
  <c r="AK341" i="14"/>
  <c r="AK357" i="14"/>
  <c r="AK610" i="14"/>
  <c r="AK115" i="14"/>
  <c r="AK505" i="14"/>
  <c r="AK654" i="14"/>
  <c r="AK236" i="14"/>
  <c r="AK352" i="14"/>
  <c r="AK433" i="14"/>
  <c r="AK536" i="14"/>
  <c r="AK305" i="14"/>
  <c r="AK157" i="14"/>
  <c r="AK643" i="14"/>
  <c r="AK166" i="14"/>
  <c r="AK380" i="14"/>
  <c r="AK419" i="14"/>
  <c r="AK276" i="14"/>
  <c r="AK613" i="14"/>
  <c r="AK254" i="14"/>
  <c r="AK530" i="14"/>
  <c r="AK273" i="14"/>
  <c r="AK320" i="14"/>
  <c r="AK94" i="14"/>
  <c r="AK283" i="14"/>
  <c r="AK127" i="14"/>
  <c r="AK681" i="14"/>
  <c r="AK323" i="14"/>
  <c r="AK394" i="14"/>
  <c r="AK466" i="14"/>
  <c r="AK652" i="14"/>
  <c r="AK457" i="14"/>
  <c r="AK259" i="14"/>
  <c r="AK616" i="14"/>
  <c r="AK181" i="14"/>
  <c r="AK64" i="14"/>
  <c r="AK493" i="14"/>
  <c r="BZ131" i="14"/>
  <c r="AK111" i="14"/>
  <c r="AK409" i="14"/>
  <c r="AK540" i="14"/>
  <c r="AK45" i="14"/>
  <c r="AK105" i="14"/>
  <c r="AK333" i="14"/>
  <c r="AK678" i="14"/>
  <c r="AK227" i="14"/>
  <c r="AK275" i="14"/>
  <c r="AK281" i="14"/>
  <c r="AK531" i="14"/>
  <c r="AK430" i="14"/>
  <c r="AK607" i="14"/>
  <c r="BZ491" i="14"/>
  <c r="AK203" i="14"/>
  <c r="AK334" i="14"/>
  <c r="AK586" i="14"/>
  <c r="AK414" i="14"/>
  <c r="BZ359" i="14"/>
  <c r="AK421" i="14"/>
  <c r="AK483" i="14"/>
  <c r="AK595" i="14"/>
  <c r="AK70" i="14"/>
  <c r="AK486" i="14"/>
  <c r="AK539" i="14"/>
  <c r="AK121" i="14"/>
  <c r="AB8" i="37"/>
  <c r="AK612" i="14"/>
  <c r="AK228" i="14"/>
  <c r="AK41" i="14"/>
  <c r="AK266" i="14"/>
  <c r="AK110" i="14"/>
  <c r="AK667" i="14"/>
  <c r="AK594" i="14"/>
  <c r="AK650" i="14"/>
  <c r="AK525" i="14"/>
  <c r="AK474" i="14"/>
  <c r="AK524" i="14"/>
  <c r="AK280" i="14"/>
  <c r="AB10" i="37"/>
  <c r="AK97" i="14"/>
  <c r="AK576" i="14"/>
  <c r="AK402" i="14"/>
  <c r="BZ155" i="14"/>
  <c r="AK135" i="14"/>
  <c r="AK313" i="14"/>
  <c r="AK663" i="14"/>
  <c r="AK662" i="14"/>
  <c r="AK501" i="14"/>
  <c r="AK300" i="14"/>
  <c r="BZ455" i="14"/>
  <c r="AK461" i="14"/>
  <c r="AK401" i="14"/>
  <c r="AK138" i="14"/>
  <c r="AK252" i="14"/>
  <c r="AK120" i="14"/>
  <c r="AK205" i="14"/>
  <c r="AK296" i="14"/>
  <c r="AB12" i="37"/>
  <c r="AK180" i="14"/>
  <c r="AK50" i="14"/>
  <c r="AK116" i="14"/>
  <c r="AK393" i="14"/>
  <c r="AK270" i="14"/>
  <c r="AK443" i="14"/>
  <c r="AK456" i="14"/>
  <c r="AK645" i="14"/>
  <c r="AK358" i="14"/>
  <c r="AK245" i="14"/>
  <c r="AK253" i="14"/>
  <c r="AK629" i="14"/>
  <c r="AB13" i="37"/>
  <c r="AK87" i="14"/>
  <c r="AK623" i="14"/>
  <c r="AK65" i="14"/>
  <c r="AK475" i="14"/>
  <c r="AK582" i="14"/>
  <c r="AK565" i="14"/>
  <c r="AK424" i="14"/>
  <c r="AK343" i="14"/>
  <c r="AK526" i="14"/>
  <c r="AK447" i="14"/>
  <c r="BZ215" i="14"/>
  <c r="AK261" i="14"/>
  <c r="AK620" i="14"/>
  <c r="AK491" i="14"/>
  <c r="AK142" i="14"/>
  <c r="AK476" i="14"/>
  <c r="AK103" i="14"/>
  <c r="AK670" i="14"/>
  <c r="BZ335" i="14"/>
  <c r="AK399" i="14"/>
  <c r="AK52" i="14"/>
  <c r="BZ443" i="14"/>
  <c r="AK172" i="14"/>
  <c r="AK665" i="14"/>
  <c r="AK386" i="14"/>
  <c r="AK118" i="14"/>
  <c r="AK230" i="14"/>
  <c r="AK92" i="14"/>
  <c r="AK325" i="14"/>
  <c r="AK232" i="14"/>
  <c r="AK445" i="14"/>
  <c r="AK593" i="14"/>
  <c r="AK413" i="14"/>
  <c r="AK187" i="14"/>
  <c r="AK206" i="14"/>
  <c r="AK175" i="14"/>
  <c r="AK599" i="14"/>
  <c r="AK479" i="14"/>
  <c r="AK425" i="14"/>
  <c r="AK546" i="14"/>
  <c r="AK627" i="14"/>
  <c r="AK141" i="14"/>
  <c r="AK140" i="14"/>
  <c r="AK53" i="14"/>
  <c r="AK82" i="14"/>
  <c r="AK568" i="14"/>
  <c r="AK549" i="14"/>
  <c r="BZ107" i="14"/>
  <c r="AK388" i="14"/>
  <c r="AK589" i="14"/>
  <c r="AK66" i="14"/>
  <c r="AK579" i="14"/>
  <c r="AK349" i="14"/>
  <c r="AK558" i="14"/>
  <c r="AK101" i="14"/>
  <c r="AK553" i="14"/>
  <c r="AK584" i="14"/>
  <c r="BZ95" i="14"/>
  <c r="AK331" i="14"/>
  <c r="AK109" i="14"/>
  <c r="AK434" i="14"/>
  <c r="AK284" i="14"/>
  <c r="AK571" i="14"/>
  <c r="AK506" i="14"/>
  <c r="AK608" i="14"/>
  <c r="AK314" i="14"/>
  <c r="AK277" i="14"/>
  <c r="AK61" i="14"/>
  <c r="AK499" i="14"/>
  <c r="AK67" i="14"/>
  <c r="AK611" i="14"/>
  <c r="AK482" i="14"/>
  <c r="AK271" i="14"/>
  <c r="AK72" i="14"/>
  <c r="AK322" i="14"/>
  <c r="AK609" i="14"/>
  <c r="BZ275" i="14"/>
  <c r="AK674" i="14"/>
  <c r="AK535" i="14"/>
  <c r="AK178" i="14"/>
  <c r="AK369" i="14"/>
  <c r="AK337" i="14"/>
  <c r="AK194" i="14"/>
  <c r="AK154" i="14"/>
  <c r="AK495" i="14"/>
  <c r="AK285" i="14"/>
  <c r="AK403" i="14"/>
  <c r="AK426" i="14"/>
  <c r="AK398" i="14"/>
  <c r="AK304" i="14"/>
  <c r="AK666" i="14"/>
  <c r="AK661" i="14"/>
  <c r="AK459" i="14"/>
  <c r="BZ611" i="14"/>
  <c r="AK469" i="14"/>
  <c r="AK279" i="14"/>
  <c r="AK106" i="14"/>
  <c r="AK238" i="14"/>
  <c r="AK465" i="14"/>
  <c r="AK604" i="14"/>
  <c r="AK453" i="14"/>
  <c r="AK80" i="14"/>
  <c r="AK622" i="14"/>
  <c r="BZ575" i="14"/>
  <c r="AK444" i="14"/>
  <c r="AK148" i="14"/>
  <c r="AK262" i="14"/>
  <c r="AK360" i="14"/>
  <c r="AK126" i="14"/>
  <c r="AK494" i="14"/>
  <c r="AK113" i="14"/>
  <c r="AK542" i="14"/>
  <c r="AK587" i="14"/>
  <c r="AK264" i="14"/>
  <c r="AK556" i="14"/>
  <c r="AK391" i="14"/>
  <c r="BZ299" i="14"/>
  <c r="AK511" i="14"/>
  <c r="AK200" i="14"/>
  <c r="AK647" i="14"/>
  <c r="AK119" i="14"/>
  <c r="AK257" i="14"/>
  <c r="AK432" i="14"/>
  <c r="AK289" i="14"/>
  <c r="BZ503" i="14"/>
  <c r="AK365" i="14"/>
  <c r="AK216" i="14"/>
  <c r="AK223" i="14"/>
  <c r="AB14" i="37"/>
  <c r="BZ311" i="14"/>
  <c r="BZ191" i="14"/>
  <c r="AK330" i="14"/>
  <c r="Y28" i="14" l="1"/>
  <c r="X31" i="14"/>
  <c r="Y24" i="14"/>
  <c r="Y25" i="14"/>
  <c r="Y31" i="14"/>
  <c r="Y30" i="14"/>
  <c r="X29" i="14"/>
  <c r="Y26" i="14"/>
  <c r="X30" i="14"/>
  <c r="Y27" i="14"/>
  <c r="Y29" i="14"/>
  <c r="X28" i="14"/>
  <c r="AH24" i="14" s="1"/>
  <c r="M665" i="14"/>
  <c r="M623" i="14"/>
  <c r="M581" i="14"/>
  <c r="M539" i="14"/>
  <c r="M497" i="14"/>
  <c r="M455" i="14"/>
  <c r="M413" i="14"/>
  <c r="M371" i="14"/>
  <c r="M329" i="14"/>
  <c r="M287" i="14"/>
  <c r="M245" i="14"/>
  <c r="M203" i="14"/>
  <c r="M161" i="14"/>
  <c r="M119" i="14"/>
  <c r="M77" i="14"/>
  <c r="M443" i="14"/>
  <c r="M275" i="14"/>
  <c r="M191" i="14"/>
  <c r="M65" i="14"/>
  <c r="N605" i="14"/>
  <c r="N521" i="14"/>
  <c r="N437" i="14"/>
  <c r="N353" i="14"/>
  <c r="N269" i="14"/>
  <c r="N185" i="14"/>
  <c r="N59" i="14"/>
  <c r="M647" i="14"/>
  <c r="M563" i="14"/>
  <c r="M437" i="14"/>
  <c r="M353" i="14"/>
  <c r="M227" i="14"/>
  <c r="M101" i="14"/>
  <c r="X25" i="14"/>
  <c r="N599" i="14"/>
  <c r="N515" i="14"/>
  <c r="N431" i="14"/>
  <c r="N389" i="14"/>
  <c r="N305" i="14"/>
  <c r="N137" i="14"/>
  <c r="N53" i="14"/>
  <c r="M545" i="14"/>
  <c r="M377" i="14"/>
  <c r="M209" i="14"/>
  <c r="N581" i="14"/>
  <c r="N203" i="14"/>
  <c r="N659" i="14"/>
  <c r="N617" i="14"/>
  <c r="N575" i="14"/>
  <c r="N533" i="14"/>
  <c r="N491" i="14"/>
  <c r="N449" i="14"/>
  <c r="N407" i="14"/>
  <c r="N365" i="14"/>
  <c r="N323" i="14"/>
  <c r="N281" i="14"/>
  <c r="N239" i="14"/>
  <c r="N197" i="14"/>
  <c r="N155" i="14"/>
  <c r="N113" i="14"/>
  <c r="N71" i="14"/>
  <c r="M71" i="14"/>
  <c r="N653" i="14"/>
  <c r="N611" i="14"/>
  <c r="N569" i="14"/>
  <c r="N527" i="14"/>
  <c r="N485" i="14"/>
  <c r="N443" i="14"/>
  <c r="N401" i="14"/>
  <c r="N359" i="14"/>
  <c r="N317" i="14"/>
  <c r="N275" i="14"/>
  <c r="N233" i="14"/>
  <c r="N191" i="14"/>
  <c r="N149" i="14"/>
  <c r="N107" i="14"/>
  <c r="N65" i="14"/>
  <c r="M653" i="14"/>
  <c r="M611" i="14"/>
  <c r="M569" i="14"/>
  <c r="M527" i="14"/>
  <c r="M485" i="14"/>
  <c r="M401" i="14"/>
  <c r="M359" i="14"/>
  <c r="M317" i="14"/>
  <c r="M233" i="14"/>
  <c r="M149" i="14"/>
  <c r="M107" i="14"/>
  <c r="N647" i="14"/>
  <c r="N563" i="14"/>
  <c r="N479" i="14"/>
  <c r="N395" i="14"/>
  <c r="N311" i="14"/>
  <c r="N227" i="14"/>
  <c r="N143" i="14"/>
  <c r="N101" i="14"/>
  <c r="X26" i="14"/>
  <c r="M605" i="14"/>
  <c r="M521" i="14"/>
  <c r="M479" i="14"/>
  <c r="M395" i="14"/>
  <c r="M311" i="14"/>
  <c r="M269" i="14"/>
  <c r="M185" i="14"/>
  <c r="M143" i="14"/>
  <c r="M59" i="14"/>
  <c r="N641" i="14"/>
  <c r="N557" i="14"/>
  <c r="N473" i="14"/>
  <c r="N347" i="14"/>
  <c r="N263" i="14"/>
  <c r="N179" i="14"/>
  <c r="M671" i="14"/>
  <c r="M503" i="14"/>
  <c r="M251" i="14"/>
  <c r="M83" i="14"/>
  <c r="N539" i="14"/>
  <c r="N371" i="14"/>
  <c r="N161" i="14"/>
  <c r="M659" i="14"/>
  <c r="M617" i="14"/>
  <c r="M575" i="14"/>
  <c r="M533" i="14"/>
  <c r="M491" i="14"/>
  <c r="M449" i="14"/>
  <c r="M407" i="14"/>
  <c r="M365" i="14"/>
  <c r="M323" i="14"/>
  <c r="M281" i="14"/>
  <c r="M239" i="14"/>
  <c r="M197" i="14"/>
  <c r="M155" i="14"/>
  <c r="M113" i="14"/>
  <c r="N221" i="14"/>
  <c r="N95" i="14"/>
  <c r="N83" i="14"/>
  <c r="M587" i="14"/>
  <c r="M419" i="14"/>
  <c r="M125" i="14"/>
  <c r="N623" i="14"/>
  <c r="N455" i="14"/>
  <c r="N287" i="14"/>
  <c r="X27" i="14"/>
  <c r="M335" i="14"/>
  <c r="N497" i="14"/>
  <c r="N119" i="14"/>
  <c r="M641" i="14"/>
  <c r="M599" i="14"/>
  <c r="M557" i="14"/>
  <c r="M515" i="14"/>
  <c r="M473" i="14"/>
  <c r="M431" i="14"/>
  <c r="M389" i="14"/>
  <c r="M347" i="14"/>
  <c r="M305" i="14"/>
  <c r="M263" i="14"/>
  <c r="M221" i="14"/>
  <c r="M179" i="14"/>
  <c r="M137" i="14"/>
  <c r="M95" i="14"/>
  <c r="M53" i="14"/>
  <c r="N677" i="14"/>
  <c r="N635" i="14"/>
  <c r="N593" i="14"/>
  <c r="N551" i="14"/>
  <c r="N509" i="14"/>
  <c r="N467" i="14"/>
  <c r="N425" i="14"/>
  <c r="N383" i="14"/>
  <c r="N341" i="14"/>
  <c r="N299" i="14"/>
  <c r="N257" i="14"/>
  <c r="N215" i="14"/>
  <c r="N173" i="14"/>
  <c r="N131" i="14"/>
  <c r="N89" i="14"/>
  <c r="N47" i="14"/>
  <c r="M677" i="14"/>
  <c r="M635" i="14"/>
  <c r="M593" i="14"/>
  <c r="M551" i="14"/>
  <c r="M509" i="14"/>
  <c r="M467" i="14"/>
  <c r="M425" i="14"/>
  <c r="M383" i="14"/>
  <c r="M341" i="14"/>
  <c r="M299" i="14"/>
  <c r="M257" i="14"/>
  <c r="M215" i="14"/>
  <c r="M173" i="14"/>
  <c r="M131" i="14"/>
  <c r="M89" i="14"/>
  <c r="M47" i="14"/>
  <c r="N671" i="14"/>
  <c r="N629" i="14"/>
  <c r="N587" i="14"/>
  <c r="N545" i="14"/>
  <c r="N503" i="14"/>
  <c r="N461" i="14"/>
  <c r="N419" i="14"/>
  <c r="N377" i="14"/>
  <c r="N335" i="14"/>
  <c r="N293" i="14"/>
  <c r="N251" i="14"/>
  <c r="N209" i="14"/>
  <c r="N167" i="14"/>
  <c r="N125" i="14"/>
  <c r="M629" i="14"/>
  <c r="M461" i="14"/>
  <c r="M293" i="14"/>
  <c r="M167" i="14"/>
  <c r="M35" i="14"/>
  <c r="N413" i="14"/>
  <c r="N245" i="14"/>
  <c r="N77" i="14"/>
  <c r="N665" i="14"/>
  <c r="N329" i="14"/>
  <c r="M41" i="14"/>
  <c r="N35" i="14"/>
  <c r="N41" i="14"/>
  <c r="X24" i="14"/>
  <c r="AG24" i="14" s="1"/>
  <c r="E20" i="39"/>
  <c r="F52" i="39" s="1"/>
  <c r="X17" i="14"/>
  <c r="Z19" i="14"/>
  <c r="AA17" i="14"/>
  <c r="AA19" i="14"/>
  <c r="Z17" i="14"/>
  <c r="X20" i="14"/>
  <c r="Y19" i="14"/>
  <c r="Y20" i="14"/>
  <c r="Y17" i="14"/>
  <c r="Z20" i="14"/>
  <c r="X18" i="14"/>
  <c r="Z18" i="14"/>
  <c r="Y18" i="14"/>
  <c r="AA20" i="14"/>
  <c r="X19" i="14"/>
  <c r="Y21" i="14"/>
  <c r="AA21" i="14"/>
  <c r="AA18" i="14"/>
  <c r="Z21" i="14"/>
  <c r="X21" i="14"/>
  <c r="B29" i="14"/>
  <c r="E28" i="44"/>
  <c r="F31" i="44"/>
  <c r="H34" i="44"/>
  <c r="V6" i="44"/>
  <c r="D9" i="40"/>
  <c r="E54" i="39"/>
  <c r="E53" i="39"/>
  <c r="E51" i="39"/>
  <c r="E56" i="39"/>
  <c r="E55" i="39"/>
  <c r="E52" i="39"/>
  <c r="F59" i="39"/>
  <c r="F55" i="39"/>
  <c r="F54" i="39"/>
  <c r="F53" i="39"/>
  <c r="AF17" i="38"/>
  <c r="AE17" i="38"/>
  <c r="AG30" i="14" l="1"/>
  <c r="AH26" i="14"/>
  <c r="AG28" i="14"/>
  <c r="AH28" i="14"/>
  <c r="AG26" i="14"/>
  <c r="AH30" i="14"/>
  <c r="M13" i="14"/>
  <c r="K13" i="14"/>
  <c r="O13" i="14"/>
  <c r="Q17" i="14"/>
  <c r="Q13" i="14"/>
  <c r="O15" i="14"/>
  <c r="Q15" i="14"/>
  <c r="O17" i="14"/>
  <c r="Q16" i="14"/>
  <c r="Q14" i="14"/>
  <c r="O16" i="14"/>
  <c r="O14" i="14"/>
  <c r="V10" i="44"/>
  <c r="Y3" i="44" s="1"/>
  <c r="F51" i="39"/>
  <c r="F50" i="39"/>
  <c r="F56" i="39"/>
  <c r="V13" i="14" l="1"/>
  <c r="N689" i="14"/>
  <c r="V20" i="44"/>
  <c r="D14" i="40"/>
  <c r="B17" i="40"/>
  <c r="B14" i="40"/>
  <c r="D15" i="40"/>
  <c r="AA30" i="14" l="1"/>
  <c r="AA29" i="14"/>
  <c r="AA28" i="14"/>
  <c r="Z31" i="14"/>
  <c r="Z30" i="14"/>
  <c r="Z29" i="14"/>
  <c r="Z28" i="14"/>
  <c r="AA31" i="14"/>
  <c r="AA24" i="14"/>
  <c r="AA26" i="14"/>
  <c r="AA25" i="14"/>
  <c r="AA27" i="14"/>
  <c r="Z27" i="14"/>
  <c r="Z26" i="14"/>
  <c r="Z25" i="14"/>
  <c r="Z24" i="14"/>
  <c r="Z4" i="44"/>
  <c r="AC11" i="44"/>
  <c r="AC19" i="44" s="1"/>
  <c r="W47" i="14"/>
  <c r="W347" i="14"/>
  <c r="Z347" i="14"/>
  <c r="AB347" i="14" s="1"/>
  <c r="W95" i="14"/>
  <c r="Z95" i="14"/>
  <c r="AB95" i="14" s="1"/>
  <c r="W311" i="14"/>
  <c r="Z311" i="14"/>
  <c r="AB311" i="14" s="1"/>
  <c r="Z641" i="14"/>
  <c r="AB641" i="14" s="1"/>
  <c r="W641" i="14"/>
  <c r="W617" i="14"/>
  <c r="Z617" i="14"/>
  <c r="AB617" i="14" s="1"/>
  <c r="W293" i="14"/>
  <c r="Z293" i="14"/>
  <c r="AB293" i="14" s="1"/>
  <c r="W275" i="14"/>
  <c r="Z275" i="14"/>
  <c r="AB275" i="14" s="1"/>
  <c r="W515" i="14"/>
  <c r="Z515" i="14"/>
  <c r="AB515" i="14" s="1"/>
  <c r="W401" i="14"/>
  <c r="Z401" i="14"/>
  <c r="AB401" i="14" s="1"/>
  <c r="W107" i="14"/>
  <c r="Z107" i="14"/>
  <c r="AB107" i="14" s="1"/>
  <c r="W623" i="14"/>
  <c r="Z623" i="14"/>
  <c r="AB623" i="14" s="1"/>
  <c r="W221" i="14"/>
  <c r="Z221" i="14"/>
  <c r="AB221" i="14" s="1"/>
  <c r="W299" i="14"/>
  <c r="Z299" i="14"/>
  <c r="AB299" i="14" s="1"/>
  <c r="W473" i="14"/>
  <c r="Z473" i="14"/>
  <c r="AB473" i="14" s="1"/>
  <c r="Z665" i="14"/>
  <c r="AB665" i="14" s="1"/>
  <c r="W665" i="14"/>
  <c r="W449" i="14"/>
  <c r="Z449" i="14"/>
  <c r="AB449" i="14" s="1"/>
  <c r="W503" i="14"/>
  <c r="Z503" i="14"/>
  <c r="AB503" i="14" s="1"/>
  <c r="W443" i="14"/>
  <c r="Z443" i="14"/>
  <c r="AB443" i="14" s="1"/>
  <c r="Z437" i="14"/>
  <c r="AB437" i="14" s="1"/>
  <c r="W437" i="14"/>
  <c r="W431" i="14"/>
  <c r="Z431" i="14"/>
  <c r="AB431" i="14" s="1"/>
  <c r="W281" i="14"/>
  <c r="Z281" i="14"/>
  <c r="AB281" i="14" s="1"/>
  <c r="Z461" i="14"/>
  <c r="AB461" i="14" s="1"/>
  <c r="W461" i="14"/>
  <c r="W203" i="14"/>
  <c r="Z203" i="14"/>
  <c r="AB203" i="14" s="1"/>
  <c r="W551" i="14"/>
  <c r="Z551" i="14"/>
  <c r="AB551" i="14" s="1"/>
  <c r="Z89" i="14"/>
  <c r="AB89" i="14" s="1"/>
  <c r="W89" i="14"/>
  <c r="W545" i="14"/>
  <c r="Z545" i="14"/>
  <c r="AB545" i="14" s="1"/>
  <c r="W341" i="14"/>
  <c r="Z341" i="14"/>
  <c r="AB341" i="14" s="1"/>
  <c r="W677" i="14"/>
  <c r="Z677" i="14"/>
  <c r="AB677" i="14" s="1"/>
  <c r="W659" i="14"/>
  <c r="Z659" i="14"/>
  <c r="AB659" i="14" s="1"/>
  <c r="Z161" i="14"/>
  <c r="AB161" i="14" s="1"/>
  <c r="W161" i="14"/>
  <c r="W227" i="14"/>
  <c r="Z227" i="14"/>
  <c r="AB227" i="14" s="1"/>
  <c r="W611" i="14"/>
  <c r="Z611" i="14"/>
  <c r="AB611" i="14" s="1"/>
  <c r="W149" i="14"/>
  <c r="Z149" i="14"/>
  <c r="AB149" i="14" s="1"/>
  <c r="W527" i="14"/>
  <c r="Z527" i="14"/>
  <c r="AB527" i="14" s="1"/>
  <c r="W413" i="14"/>
  <c r="Z413" i="14"/>
  <c r="AB413" i="14" s="1"/>
  <c r="Z83" i="14"/>
  <c r="AB83" i="14" s="1"/>
  <c r="W83" i="14"/>
  <c r="W185" i="14"/>
  <c r="Z185" i="14"/>
  <c r="AB185" i="14" s="1"/>
  <c r="W671" i="14"/>
  <c r="Z671" i="14"/>
  <c r="AB671" i="14" s="1"/>
  <c r="Z53" i="14"/>
  <c r="AB53" i="14" s="1"/>
  <c r="W53" i="14"/>
  <c r="Z233" i="14"/>
  <c r="AB233" i="14" s="1"/>
  <c r="W233" i="14"/>
  <c r="Z455" i="14"/>
  <c r="AB455" i="14" s="1"/>
  <c r="W455" i="14"/>
  <c r="Z101" i="14"/>
  <c r="AB101" i="14" s="1"/>
  <c r="W101" i="14"/>
  <c r="W143" i="14"/>
  <c r="Z143" i="14"/>
  <c r="AB143" i="14" s="1"/>
  <c r="Z125" i="14"/>
  <c r="AB125" i="14" s="1"/>
  <c r="W125" i="14"/>
  <c r="Z257" i="14"/>
  <c r="AB257" i="14" s="1"/>
  <c r="W257" i="14"/>
  <c r="Z605" i="14"/>
  <c r="AB605" i="14" s="1"/>
  <c r="W605" i="14"/>
  <c r="W317" i="14"/>
  <c r="Z317" i="14"/>
  <c r="AB317" i="14" s="1"/>
  <c r="W269" i="14"/>
  <c r="Z269" i="14"/>
  <c r="AB269" i="14" s="1"/>
  <c r="Z365" i="14"/>
  <c r="AB365" i="14" s="1"/>
  <c r="W365" i="14"/>
  <c r="W425" i="14"/>
  <c r="Z425" i="14"/>
  <c r="AB425" i="14" s="1"/>
  <c r="W581" i="14"/>
  <c r="Z581" i="14"/>
  <c r="AB581" i="14" s="1"/>
  <c r="W173" i="14"/>
  <c r="Z173" i="14"/>
  <c r="AB173" i="14" s="1"/>
  <c r="W497" i="14"/>
  <c r="Z497" i="14"/>
  <c r="AB497" i="14" s="1"/>
  <c r="Z137" i="14"/>
  <c r="AB137" i="14" s="1"/>
  <c r="W137" i="14"/>
  <c r="Z155" i="14"/>
  <c r="AB155" i="14" s="1"/>
  <c r="W155" i="14"/>
  <c r="W377" i="14"/>
  <c r="Z377" i="14"/>
  <c r="AB377" i="14" s="1"/>
  <c r="W131" i="14"/>
  <c r="Z131" i="14"/>
  <c r="AB131" i="14" s="1"/>
  <c r="W575" i="14"/>
  <c r="Z575" i="14"/>
  <c r="AB575" i="14" s="1"/>
  <c r="W167" i="14"/>
  <c r="Z167" i="14"/>
  <c r="AB167" i="14" s="1"/>
  <c r="W179" i="14"/>
  <c r="Z179" i="14"/>
  <c r="AB179" i="14" s="1"/>
  <c r="Z65" i="14"/>
  <c r="AB65" i="14" s="1"/>
  <c r="W65" i="14"/>
  <c r="Z215" i="14"/>
  <c r="AB215" i="14" s="1"/>
  <c r="W215" i="14"/>
  <c r="W395" i="14"/>
  <c r="Z395" i="14"/>
  <c r="AB395" i="14" s="1"/>
  <c r="Z287" i="14"/>
  <c r="AB287" i="14" s="1"/>
  <c r="W287" i="14"/>
  <c r="W245" i="14"/>
  <c r="Z245" i="14"/>
  <c r="AB245" i="14" s="1"/>
  <c r="W77" i="14"/>
  <c r="Z77" i="14"/>
  <c r="AB77" i="14" s="1"/>
  <c r="W209" i="14"/>
  <c r="Z209" i="14"/>
  <c r="AB209" i="14" s="1"/>
  <c r="W539" i="14"/>
  <c r="Z539" i="14"/>
  <c r="AB539" i="14" s="1"/>
  <c r="Z557" i="14"/>
  <c r="AB557" i="14" s="1"/>
  <c r="W557" i="14"/>
  <c r="Z323" i="14"/>
  <c r="AB323" i="14" s="1"/>
  <c r="W323" i="14"/>
  <c r="Z251" i="14"/>
  <c r="AB251" i="14" s="1"/>
  <c r="W251" i="14"/>
  <c r="W353" i="14"/>
  <c r="Z353" i="14"/>
  <c r="AB353" i="14" s="1"/>
  <c r="W563" i="14"/>
  <c r="Z563" i="14"/>
  <c r="AB563" i="14" s="1"/>
  <c r="W479" i="14"/>
  <c r="Z479" i="14"/>
  <c r="AB479" i="14" s="1"/>
  <c r="W647" i="14"/>
  <c r="Z647" i="14"/>
  <c r="AB647" i="14" s="1"/>
  <c r="W197" i="14"/>
  <c r="Z197" i="14"/>
  <c r="AB197" i="14" s="1"/>
  <c r="Z47" i="14"/>
  <c r="AB47" i="14" s="1"/>
  <c r="W371" i="14"/>
  <c r="Z371" i="14"/>
  <c r="AB371" i="14" s="1"/>
  <c r="W485" i="14"/>
  <c r="Z485" i="14"/>
  <c r="AB485" i="14" s="1"/>
  <c r="Z119" i="14"/>
  <c r="AB119" i="14" s="1"/>
  <c r="W119" i="14"/>
  <c r="W635" i="14"/>
  <c r="Z635" i="14"/>
  <c r="AB635" i="14" s="1"/>
  <c r="Z329" i="14"/>
  <c r="AB329" i="14" s="1"/>
  <c r="W329" i="14"/>
  <c r="W419" i="14"/>
  <c r="Z419" i="14"/>
  <c r="AB419" i="14" s="1"/>
  <c r="W359" i="14"/>
  <c r="Z359" i="14"/>
  <c r="AB359" i="14" s="1"/>
  <c r="Z569" i="14"/>
  <c r="AB569" i="14" s="1"/>
  <c r="W569" i="14"/>
  <c r="W71" i="14"/>
  <c r="Z71" i="14"/>
  <c r="AB71" i="14" s="1"/>
  <c r="W239" i="14"/>
  <c r="Z239" i="14"/>
  <c r="AB239" i="14" s="1"/>
  <c r="W599" i="14"/>
  <c r="Z599" i="14"/>
  <c r="AB599" i="14" s="1"/>
  <c r="W191" i="14"/>
  <c r="Z191" i="14"/>
  <c r="AB191" i="14" s="1"/>
  <c r="W509" i="14"/>
  <c r="Z509" i="14"/>
  <c r="AB509" i="14" s="1"/>
  <c r="Z629" i="14"/>
  <c r="AB629" i="14" s="1"/>
  <c r="W629" i="14"/>
  <c r="Z533" i="14"/>
  <c r="AB533" i="14" s="1"/>
  <c r="W533" i="14"/>
  <c r="W113" i="14"/>
  <c r="Z113" i="14"/>
  <c r="AB113" i="14" s="1"/>
  <c r="W587" i="14"/>
  <c r="Z587" i="14"/>
  <c r="AB587" i="14" s="1"/>
  <c r="W653" i="14"/>
  <c r="Z653" i="14"/>
  <c r="AB653" i="14" s="1"/>
  <c r="W335" i="14"/>
  <c r="Z335" i="14"/>
  <c r="AB335" i="14" s="1"/>
  <c r="W491" i="14"/>
  <c r="Z491" i="14"/>
  <c r="AB491" i="14" s="1"/>
  <c r="Z383" i="14"/>
  <c r="AB383" i="14" s="1"/>
  <c r="W383" i="14"/>
  <c r="W467" i="14"/>
  <c r="Z467" i="14"/>
  <c r="AB467" i="14" s="1"/>
  <c r="W263" i="14"/>
  <c r="Z263" i="14"/>
  <c r="AB263" i="14" s="1"/>
  <c r="W59" i="14"/>
  <c r="Z59" i="14"/>
  <c r="AB59" i="14" s="1"/>
  <c r="Z389" i="14"/>
  <c r="AB389" i="14" s="1"/>
  <c r="W389" i="14"/>
  <c r="Z593" i="14"/>
  <c r="AB593" i="14" s="1"/>
  <c r="W593" i="14"/>
  <c r="Z305" i="14"/>
  <c r="AB305" i="14" s="1"/>
  <c r="W305" i="14"/>
  <c r="W407" i="14"/>
  <c r="Z407" i="14"/>
  <c r="AB407" i="14" s="1"/>
  <c r="W521" i="14"/>
  <c r="Z521" i="14"/>
  <c r="AB521" i="14" s="1"/>
  <c r="W35" i="14"/>
  <c r="AL35" i="14" s="1"/>
  <c r="W41" i="14"/>
  <c r="Z35" i="14"/>
  <c r="AB35" i="14" s="1"/>
  <c r="Z41" i="14"/>
  <c r="AB41" i="14" s="1"/>
  <c r="Z11" i="44"/>
  <c r="Z19" i="44" s="1"/>
  <c r="AC5" i="44"/>
  <c r="AC7" i="44" s="1"/>
  <c r="AB5" i="44"/>
  <c r="AB7" i="44" s="1"/>
  <c r="AA14" i="44"/>
  <c r="AA22" i="44" s="1"/>
  <c r="AC4" i="44"/>
  <c r="AC6" i="44" s="1"/>
  <c r="V24" i="44"/>
  <c r="Z5" i="44"/>
  <c r="Z7" i="44" s="1"/>
  <c r="AA13" i="44"/>
  <c r="AA21" i="44" s="1"/>
  <c r="AA4" i="44"/>
  <c r="AA6" i="44" s="1"/>
  <c r="AB14" i="44"/>
  <c r="AA5" i="44"/>
  <c r="AA7" i="44" s="1"/>
  <c r="AB4" i="44"/>
  <c r="AB6" i="44" s="1"/>
  <c r="AC12" i="44"/>
  <c r="AC20" i="44" s="1"/>
  <c r="AA12" i="44"/>
  <c r="AA20" i="44" s="1"/>
  <c r="Z12" i="44"/>
  <c r="AB15" i="44"/>
  <c r="AA11" i="44"/>
  <c r="AA19" i="44" s="1"/>
  <c r="AC15" i="44"/>
  <c r="AC23" i="44" s="1"/>
  <c r="Z13" i="44"/>
  <c r="AC14" i="44"/>
  <c r="AC22" i="44" s="1"/>
  <c r="AA15" i="44"/>
  <c r="AA23" i="44" s="1"/>
  <c r="AC13" i="44"/>
  <c r="AC21" i="44" s="1"/>
  <c r="AB13" i="44"/>
  <c r="Z14" i="44"/>
  <c r="Z15" i="44"/>
  <c r="AB11" i="44"/>
  <c r="M30" i="44" s="1"/>
  <c r="AB12" i="44"/>
  <c r="E2" i="40"/>
  <c r="C2" i="40"/>
  <c r="F3" i="40"/>
  <c r="F6" i="40"/>
  <c r="E5" i="40"/>
  <c r="C5" i="40"/>
  <c r="E4" i="40"/>
  <c r="M14" i="14"/>
  <c r="C6" i="40"/>
  <c r="D4" i="40"/>
  <c r="D3" i="40"/>
  <c r="K14" i="14"/>
  <c r="K17" i="14"/>
  <c r="M17" i="14"/>
  <c r="K16" i="14"/>
  <c r="M16" i="14"/>
  <c r="K15" i="14"/>
  <c r="M15" i="14"/>
  <c r="AU35" i="14"/>
  <c r="BY55" i="14" l="1"/>
  <c r="BX55" i="14"/>
  <c r="BY680" i="14"/>
  <c r="BX680" i="14"/>
  <c r="BY308" i="14"/>
  <c r="BX308" i="14"/>
  <c r="BY223" i="14"/>
  <c r="BX223" i="14"/>
  <c r="BY296" i="14"/>
  <c r="BX296" i="14"/>
  <c r="BY596" i="14"/>
  <c r="BX596" i="14"/>
  <c r="BX332" i="14"/>
  <c r="BY332" i="14"/>
  <c r="BY68" i="14"/>
  <c r="BX68" i="14"/>
  <c r="BY140" i="14"/>
  <c r="BX140" i="14"/>
  <c r="BY236" i="14"/>
  <c r="BX236" i="14"/>
  <c r="BY440" i="14"/>
  <c r="BX440" i="14"/>
  <c r="BX331" i="14"/>
  <c r="BY331" i="14"/>
  <c r="BY283" i="14"/>
  <c r="BX283" i="14"/>
  <c r="BY560" i="14"/>
  <c r="BX560" i="14"/>
  <c r="BY512" i="14"/>
  <c r="BX512" i="14"/>
  <c r="BY343" i="14"/>
  <c r="BX343" i="14"/>
  <c r="BY199" i="14"/>
  <c r="BX199" i="14"/>
  <c r="BY655" i="14"/>
  <c r="BX655" i="14"/>
  <c r="BY547" i="14"/>
  <c r="BX547" i="14"/>
  <c r="BY320" i="14"/>
  <c r="BX320" i="14"/>
  <c r="BY152" i="14"/>
  <c r="BX152" i="14"/>
  <c r="BY548" i="14"/>
  <c r="BX548" i="14"/>
  <c r="BX224" i="14"/>
  <c r="BY224" i="14"/>
  <c r="BY620" i="14"/>
  <c r="BX620" i="14"/>
  <c r="BY476" i="14"/>
  <c r="BX476" i="14"/>
  <c r="BY307" i="14"/>
  <c r="BX307" i="14"/>
  <c r="BY392" i="14"/>
  <c r="BX392" i="14"/>
  <c r="BY608" i="14"/>
  <c r="BX608" i="14"/>
  <c r="BX56" i="14"/>
  <c r="BY56" i="14"/>
  <c r="BY92" i="14"/>
  <c r="BX92" i="14"/>
  <c r="BY644" i="14"/>
  <c r="BX644" i="14"/>
  <c r="BX416" i="14"/>
  <c r="BY416" i="14"/>
  <c r="BY200" i="14"/>
  <c r="BX200" i="14"/>
  <c r="BY656" i="14"/>
  <c r="BX656" i="14"/>
  <c r="BX607" i="14"/>
  <c r="BY607" i="14"/>
  <c r="BY643" i="14"/>
  <c r="BX643" i="14"/>
  <c r="BY487" i="14"/>
  <c r="BX487" i="14"/>
  <c r="BY212" i="14"/>
  <c r="BX212" i="14"/>
  <c r="BX187" i="14"/>
  <c r="BY187" i="14"/>
  <c r="BX500" i="14"/>
  <c r="BY500" i="14"/>
  <c r="BY619" i="14"/>
  <c r="BX619" i="14"/>
  <c r="BY451" i="14"/>
  <c r="BX451" i="14"/>
  <c r="BY631" i="14"/>
  <c r="BX631" i="14"/>
  <c r="BY391" i="14"/>
  <c r="BX391" i="14"/>
  <c r="BY368" i="14"/>
  <c r="BX368" i="14"/>
  <c r="BY284" i="14"/>
  <c r="BX284" i="14"/>
  <c r="BY272" i="14"/>
  <c r="BX272" i="14"/>
  <c r="BY127" i="14"/>
  <c r="BX127" i="14"/>
  <c r="BY260" i="14"/>
  <c r="BX260" i="14"/>
  <c r="BY632" i="14"/>
  <c r="BX632" i="14"/>
  <c r="BY380" i="14"/>
  <c r="BX380" i="14"/>
  <c r="BX499" i="14"/>
  <c r="BY499" i="14"/>
  <c r="BY67" i="14"/>
  <c r="BX67" i="14"/>
  <c r="BY595" i="14"/>
  <c r="BX595" i="14"/>
  <c r="BY247" i="14"/>
  <c r="BX247" i="14"/>
  <c r="BY571" i="14"/>
  <c r="BX571" i="14"/>
  <c r="BX80" i="14"/>
  <c r="BY80" i="14"/>
  <c r="BY175" i="14"/>
  <c r="BX175" i="14"/>
  <c r="BY176" i="14"/>
  <c r="BX176" i="14"/>
  <c r="BY679" i="14"/>
  <c r="BX679" i="14"/>
  <c r="BY235" i="14"/>
  <c r="BX235" i="14"/>
  <c r="BY559" i="14"/>
  <c r="BX559" i="14"/>
  <c r="BY511" i="14"/>
  <c r="BX511" i="14"/>
  <c r="BY115" i="14"/>
  <c r="BX115" i="14"/>
  <c r="BY319" i="14"/>
  <c r="BX319" i="14"/>
  <c r="BY104" i="14"/>
  <c r="BX104" i="14"/>
  <c r="BY367" i="14"/>
  <c r="BX367" i="14"/>
  <c r="BX439" i="14"/>
  <c r="BY439" i="14"/>
  <c r="BX128" i="14"/>
  <c r="BY128" i="14"/>
  <c r="BX164" i="14"/>
  <c r="BY164" i="14"/>
  <c r="BY415" i="14"/>
  <c r="BX415" i="14"/>
  <c r="BX163" i="14"/>
  <c r="BY163" i="14"/>
  <c r="BY344" i="14"/>
  <c r="BX344" i="14"/>
  <c r="BX271" i="14"/>
  <c r="BY271" i="14"/>
  <c r="BY116" i="14"/>
  <c r="BX116" i="14"/>
  <c r="BX79" i="14"/>
  <c r="BY79" i="14"/>
  <c r="BY488" i="14"/>
  <c r="BX488" i="14"/>
  <c r="BY356" i="14"/>
  <c r="BX356" i="14"/>
  <c r="BY248" i="14"/>
  <c r="BX248" i="14"/>
  <c r="BX583" i="14"/>
  <c r="BY583" i="14"/>
  <c r="BX584" i="14"/>
  <c r="BY584" i="14"/>
  <c r="BY188" i="14"/>
  <c r="BX188" i="14"/>
  <c r="BY211" i="14"/>
  <c r="BX211" i="14"/>
  <c r="BY452" i="14"/>
  <c r="BX452" i="14"/>
  <c r="BY404" i="14"/>
  <c r="BX404" i="14"/>
  <c r="BX103" i="14"/>
  <c r="BY103" i="14"/>
  <c r="BY403" i="14"/>
  <c r="BX403" i="14"/>
  <c r="BY463" i="14"/>
  <c r="BX463" i="14"/>
  <c r="BY535" i="14"/>
  <c r="BX535" i="14"/>
  <c r="BY536" i="14"/>
  <c r="BX536" i="14"/>
  <c r="BY572" i="14"/>
  <c r="BX572" i="14"/>
  <c r="BY259" i="14"/>
  <c r="BX259" i="14"/>
  <c r="BY295" i="14"/>
  <c r="BX295" i="14"/>
  <c r="BY91" i="14"/>
  <c r="BX91" i="14"/>
  <c r="BY464" i="14"/>
  <c r="BX464" i="14"/>
  <c r="BX668" i="14"/>
  <c r="BY668" i="14"/>
  <c r="BY427" i="14"/>
  <c r="BX427" i="14"/>
  <c r="BY524" i="14"/>
  <c r="BX524" i="14"/>
  <c r="BY475" i="14"/>
  <c r="BX475" i="14"/>
  <c r="BY379" i="14"/>
  <c r="BX379" i="14"/>
  <c r="BY139" i="14"/>
  <c r="BX139" i="14"/>
  <c r="BY428" i="14"/>
  <c r="BX428" i="14"/>
  <c r="BY151" i="14"/>
  <c r="BX151" i="14"/>
  <c r="BY667" i="14"/>
  <c r="BX667" i="14"/>
  <c r="BY523" i="14"/>
  <c r="BX523" i="14"/>
  <c r="BY355" i="14"/>
  <c r="BX355" i="14"/>
  <c r="BX44" i="14"/>
  <c r="BY44" i="14"/>
  <c r="BX43" i="14"/>
  <c r="BY43" i="14"/>
  <c r="AL491" i="14"/>
  <c r="AL137" i="14"/>
  <c r="AL659" i="14"/>
  <c r="AL233" i="14"/>
  <c r="AL437" i="14"/>
  <c r="AL635" i="14"/>
  <c r="AL479" i="14"/>
  <c r="AL209" i="14"/>
  <c r="AL167" i="14"/>
  <c r="AL623" i="14"/>
  <c r="AL371" i="14"/>
  <c r="AL305" i="14"/>
  <c r="AL77" i="14"/>
  <c r="AL389" i="14"/>
  <c r="AL191" i="14"/>
  <c r="AL503" i="14"/>
  <c r="AL575" i="14"/>
  <c r="AL677" i="14"/>
  <c r="AL173" i="14"/>
  <c r="AL365" i="14"/>
  <c r="AL533" i="14"/>
  <c r="AL611" i="14"/>
  <c r="AL353" i="14"/>
  <c r="AL179" i="14"/>
  <c r="AL59" i="14"/>
  <c r="AL599" i="14"/>
  <c r="AL665" i="14"/>
  <c r="AL431" i="14"/>
  <c r="AL287" i="14"/>
  <c r="AL461" i="14"/>
  <c r="AL269" i="14"/>
  <c r="AL251" i="14"/>
  <c r="AL497" i="14"/>
  <c r="AL671" i="14"/>
  <c r="AL41" i="14"/>
  <c r="AL569" i="14"/>
  <c r="AL449" i="14"/>
  <c r="AL581" i="14"/>
  <c r="AL227" i="14"/>
  <c r="AL293" i="14"/>
  <c r="AL185" i="14"/>
  <c r="AL617" i="14"/>
  <c r="AL335" i="14"/>
  <c r="AL281" i="14"/>
  <c r="AL143" i="14"/>
  <c r="AL263" i="14"/>
  <c r="AL239" i="14"/>
  <c r="AL107" i="14"/>
  <c r="AL65" i="14"/>
  <c r="AL401" i="14"/>
  <c r="AL341" i="14"/>
  <c r="AL83" i="14"/>
  <c r="AL347" i="14"/>
  <c r="AL653" i="14"/>
  <c r="AL359" i="14"/>
  <c r="AL131" i="14"/>
  <c r="AL317" i="14"/>
  <c r="AL71" i="14"/>
  <c r="AL413" i="14"/>
  <c r="AL323" i="14"/>
  <c r="AL95" i="14"/>
  <c r="AL593" i="14"/>
  <c r="AL119" i="14"/>
  <c r="AL245" i="14"/>
  <c r="AL521" i="14"/>
  <c r="AL467" i="14"/>
  <c r="AL395" i="14"/>
  <c r="AL515" i="14"/>
  <c r="AL587" i="14"/>
  <c r="AL419" i="14"/>
  <c r="AL101" i="14"/>
  <c r="AL161" i="14"/>
  <c r="AL641" i="14"/>
  <c r="AL545" i="14"/>
  <c r="AL89" i="14"/>
  <c r="AL53" i="14"/>
  <c r="AL125" i="14"/>
  <c r="AL197" i="14"/>
  <c r="AL557" i="14"/>
  <c r="AL377" i="14"/>
  <c r="AL443" i="14"/>
  <c r="AL605" i="14"/>
  <c r="AL149" i="14"/>
  <c r="AL47" i="14"/>
  <c r="AL299" i="14"/>
  <c r="AL485" i="14"/>
  <c r="AL221" i="14"/>
  <c r="AL407" i="14"/>
  <c r="AL383" i="14"/>
  <c r="AL215" i="14"/>
  <c r="AL275" i="14"/>
  <c r="AL329" i="14"/>
  <c r="AL155" i="14"/>
  <c r="AL473" i="14"/>
  <c r="AL425" i="14"/>
  <c r="AL629" i="14"/>
  <c r="AL509" i="14"/>
  <c r="AL527" i="14"/>
  <c r="AL563" i="14"/>
  <c r="AL113" i="14"/>
  <c r="AL551" i="14"/>
  <c r="AL647" i="14"/>
  <c r="AL539" i="14"/>
  <c r="AL257" i="14"/>
  <c r="AL455" i="14"/>
  <c r="AL203" i="14"/>
  <c r="AL311" i="14"/>
  <c r="K30" i="44"/>
  <c r="K33" i="44"/>
  <c r="AB21" i="44"/>
  <c r="Q32" i="44" s="1"/>
  <c r="M32" i="44"/>
  <c r="Z20" i="44"/>
  <c r="O31" i="44" s="1"/>
  <c r="K31" i="44"/>
  <c r="O30" i="44"/>
  <c r="AB23" i="44"/>
  <c r="M34" i="44"/>
  <c r="AB20" i="44"/>
  <c r="M31" i="44"/>
  <c r="Z21" i="44"/>
  <c r="O32" i="44" s="1"/>
  <c r="K32" i="44"/>
  <c r="Z23" i="44"/>
  <c r="O34" i="44" s="1"/>
  <c r="K34" i="44"/>
  <c r="AB19" i="44"/>
  <c r="Q30" i="44" s="1"/>
  <c r="AB22" i="44"/>
  <c r="M33" i="44"/>
  <c r="Z6" i="44"/>
  <c r="V28" i="44" s="1"/>
  <c r="V29" i="44"/>
  <c r="W28" i="44"/>
  <c r="W29" i="44"/>
  <c r="Z22" i="44"/>
  <c r="O33" i="44" s="1"/>
  <c r="F2" i="40"/>
  <c r="E3" i="40"/>
  <c r="F4" i="40"/>
  <c r="C3" i="40"/>
  <c r="D6" i="40"/>
  <c r="C4" i="40"/>
  <c r="E6" i="40"/>
  <c r="D2" i="40"/>
  <c r="F5" i="40"/>
  <c r="D5" i="40"/>
  <c r="Y71" i="14" l="1"/>
  <c r="AC71" i="14" s="1"/>
  <c r="Y125" i="14"/>
  <c r="AC125" i="14" s="1"/>
  <c r="DJ119" i="14" s="1"/>
  <c r="Y665" i="14"/>
  <c r="AC665" i="14" s="1"/>
  <c r="DT659" i="14" s="1"/>
  <c r="Y431" i="14"/>
  <c r="AC431" i="14" s="1"/>
  <c r="CU431" i="14" s="1"/>
  <c r="Y497" i="14"/>
  <c r="AC497" i="14" s="1"/>
  <c r="DJ491" i="14" s="1"/>
  <c r="Y323" i="14"/>
  <c r="AC323" i="14" s="1"/>
  <c r="CU323" i="14" s="1"/>
  <c r="Y131" i="14"/>
  <c r="AC131" i="14" s="1"/>
  <c r="CZ131" i="14" s="1"/>
  <c r="Y83" i="14"/>
  <c r="AC83" i="14" s="1"/>
  <c r="CZ83" i="14" s="1"/>
  <c r="Y395" i="14"/>
  <c r="AC395" i="14" s="1"/>
  <c r="CZ395" i="14" s="1"/>
  <c r="Y341" i="14"/>
  <c r="AC341" i="14" s="1"/>
  <c r="Y101" i="14"/>
  <c r="AC101" i="14" s="1"/>
  <c r="ED95" i="14" s="1"/>
  <c r="Y173" i="14"/>
  <c r="AC173" i="14" s="1"/>
  <c r="DO167" i="14" s="1"/>
  <c r="Y365" i="14"/>
  <c r="AC365" i="14" s="1"/>
  <c r="ED359" i="14" s="1"/>
  <c r="Y209" i="14"/>
  <c r="AC209" i="14" s="1"/>
  <c r="DY203" i="14" s="1"/>
  <c r="Y641" i="14"/>
  <c r="AC641" i="14" s="1"/>
  <c r="ED635" i="14" s="1"/>
  <c r="Y617" i="14"/>
  <c r="AC617" i="14" s="1"/>
  <c r="DJ611" i="14" s="1"/>
  <c r="Y191" i="14"/>
  <c r="AC191" i="14" s="1"/>
  <c r="CF191" i="14" s="1"/>
  <c r="Y77" i="14"/>
  <c r="AC77" i="14" s="1"/>
  <c r="Y53" i="14"/>
  <c r="Y161" i="14"/>
  <c r="AC161" i="14" s="1"/>
  <c r="Y599" i="14"/>
  <c r="AC599" i="14" s="1"/>
  <c r="CP599" i="14" s="1"/>
  <c r="Y329" i="14"/>
  <c r="AC329" i="14" s="1"/>
  <c r="ED323" i="14" s="1"/>
  <c r="Y371" i="14"/>
  <c r="AC371" i="14" s="1"/>
  <c r="CF371" i="14" s="1"/>
  <c r="Y287" i="14"/>
  <c r="AC287" i="14" s="1"/>
  <c r="Y245" i="14"/>
  <c r="AC245" i="14" s="1"/>
  <c r="DT239" i="14" s="1"/>
  <c r="Y311" i="14"/>
  <c r="AC311" i="14" s="1"/>
  <c r="CK311" i="14" s="1"/>
  <c r="Y167" i="14"/>
  <c r="AC167" i="14" s="1"/>
  <c r="CU167" i="14" s="1"/>
  <c r="Y377" i="14"/>
  <c r="AC377" i="14" s="1"/>
  <c r="DJ371" i="14" s="1"/>
  <c r="Y383" i="14"/>
  <c r="AC383" i="14" s="1"/>
  <c r="CK383" i="14" s="1"/>
  <c r="Y479" i="14"/>
  <c r="AC479" i="14" s="1"/>
  <c r="CF479" i="14" s="1"/>
  <c r="Y89" i="14"/>
  <c r="AC89" i="14" s="1"/>
  <c r="DY83" i="14" s="1"/>
  <c r="Y335" i="14"/>
  <c r="AC335" i="14" s="1"/>
  <c r="CU335" i="14" s="1"/>
  <c r="Y137" i="14"/>
  <c r="AC137" i="14" s="1"/>
  <c r="Y233" i="14"/>
  <c r="AC233" i="14" s="1"/>
  <c r="DJ227" i="14" s="1"/>
  <c r="Y425" i="14"/>
  <c r="AC425" i="14" s="1"/>
  <c r="ED419" i="14" s="1"/>
  <c r="Y461" i="14"/>
  <c r="AC461" i="14" s="1"/>
  <c r="DO455" i="14" s="1"/>
  <c r="Y455" i="14"/>
  <c r="AC455" i="14" s="1"/>
  <c r="CU455" i="14" s="1"/>
  <c r="Y359" i="14"/>
  <c r="AC359" i="14" s="1"/>
  <c r="CK359" i="14" s="1"/>
  <c r="Y671" i="14"/>
  <c r="AC671" i="14" s="1"/>
  <c r="CP671" i="14" s="1"/>
  <c r="Y59" i="14"/>
  <c r="AC59" i="14" s="1"/>
  <c r="CF59" i="14" s="1"/>
  <c r="Y281" i="14"/>
  <c r="AC281" i="14" s="1"/>
  <c r="ED275" i="14" s="1"/>
  <c r="Y473" i="14"/>
  <c r="AC473" i="14" s="1"/>
  <c r="ED467" i="14" s="1"/>
  <c r="Y647" i="14"/>
  <c r="AC647" i="14" s="1"/>
  <c r="CF647" i="14" s="1"/>
  <c r="Y347" i="14"/>
  <c r="AC347" i="14" s="1"/>
  <c r="CU347" i="14" s="1"/>
  <c r="Y467" i="14"/>
  <c r="AC467" i="14" s="1"/>
  <c r="CF467" i="14" s="1"/>
  <c r="Y251" i="14"/>
  <c r="AC251" i="14" s="1"/>
  <c r="CK251" i="14" s="1"/>
  <c r="Y401" i="14"/>
  <c r="AC401" i="14" s="1"/>
  <c r="Y353" i="14"/>
  <c r="AC353" i="14" s="1"/>
  <c r="DY347" i="14" s="1"/>
  <c r="Y407" i="14"/>
  <c r="AC407" i="14" s="1"/>
  <c r="CK407" i="14" s="1"/>
  <c r="Y515" i="14"/>
  <c r="AC515" i="14" s="1"/>
  <c r="Y521" i="14"/>
  <c r="AC521" i="14" s="1"/>
  <c r="DT515" i="14" s="1"/>
  <c r="Y569" i="14"/>
  <c r="AC569" i="14" s="1"/>
  <c r="Y449" i="14"/>
  <c r="AC449" i="14" s="1"/>
  <c r="DY443" i="14" s="1"/>
  <c r="Y485" i="14"/>
  <c r="AC485" i="14" s="1"/>
  <c r="ED479" i="14" s="1"/>
  <c r="Y503" i="14"/>
  <c r="AC503" i="14" s="1"/>
  <c r="Y563" i="14"/>
  <c r="AC563" i="14" s="1"/>
  <c r="CU563" i="14" s="1"/>
  <c r="Y257" i="14"/>
  <c r="AC257" i="14" s="1"/>
  <c r="DT251" i="14" s="1"/>
  <c r="Y443" i="14"/>
  <c r="AC443" i="14" s="1"/>
  <c r="CP443" i="14" s="1"/>
  <c r="Y605" i="14"/>
  <c r="AC605" i="14" s="1"/>
  <c r="DY599" i="14" s="1"/>
  <c r="Y149" i="14"/>
  <c r="AC149" i="14" s="1"/>
  <c r="DO143" i="14" s="1"/>
  <c r="Y557" i="14"/>
  <c r="AC557" i="14" s="1"/>
  <c r="ED551" i="14" s="1"/>
  <c r="Y659" i="14"/>
  <c r="AC659" i="14" s="1"/>
  <c r="CU659" i="14" s="1"/>
  <c r="Y419" i="14"/>
  <c r="AC419" i="14" s="1"/>
  <c r="CF419" i="14" s="1"/>
  <c r="Y533" i="14"/>
  <c r="AC533" i="14" s="1"/>
  <c r="DJ527" i="14" s="1"/>
  <c r="Y203" i="14"/>
  <c r="AC203" i="14" s="1"/>
  <c r="Y551" i="14"/>
  <c r="AC551" i="14" s="1"/>
  <c r="CK551" i="14" s="1"/>
  <c r="Y239" i="14"/>
  <c r="AC239" i="14" s="1"/>
  <c r="CP239" i="14" s="1"/>
  <c r="Y119" i="14"/>
  <c r="AC119" i="14" s="1"/>
  <c r="CP119" i="14" s="1"/>
  <c r="Y611" i="14"/>
  <c r="AC611" i="14" s="1"/>
  <c r="CK611" i="14" s="1"/>
  <c r="Y653" i="14"/>
  <c r="AC653" i="14" s="1"/>
  <c r="DT647" i="14" s="1"/>
  <c r="Y389" i="14"/>
  <c r="AC389" i="14" s="1"/>
  <c r="ED383" i="14" s="1"/>
  <c r="Y317" i="14"/>
  <c r="AC317" i="14" s="1"/>
  <c r="Y275" i="14"/>
  <c r="AC275" i="14" s="1"/>
  <c r="CU275" i="14" s="1"/>
  <c r="Y593" i="14"/>
  <c r="AC593" i="14" s="1"/>
  <c r="DY587" i="14" s="1"/>
  <c r="Y143" i="14"/>
  <c r="AC143" i="14" s="1"/>
  <c r="CZ143" i="14" s="1"/>
  <c r="Y527" i="14"/>
  <c r="AC527" i="14" s="1"/>
  <c r="CU527" i="14" s="1"/>
  <c r="Y185" i="14"/>
  <c r="AC185" i="14" s="1"/>
  <c r="DT179" i="14" s="1"/>
  <c r="Y113" i="14"/>
  <c r="AC113" i="14" s="1"/>
  <c r="DJ107" i="14" s="1"/>
  <c r="Y227" i="14"/>
  <c r="AC227" i="14" s="1"/>
  <c r="CU227" i="14" s="1"/>
  <c r="Y587" i="14"/>
  <c r="AC587" i="14" s="1"/>
  <c r="CZ587" i="14" s="1"/>
  <c r="Y269" i="14"/>
  <c r="AC269" i="14" s="1"/>
  <c r="ED263" i="14" s="1"/>
  <c r="Y197" i="14"/>
  <c r="AC197" i="14" s="1"/>
  <c r="DY191" i="14" s="1"/>
  <c r="Y299" i="14"/>
  <c r="AC299" i="14" s="1"/>
  <c r="CF299" i="14" s="1"/>
  <c r="Y539" i="14"/>
  <c r="AC539" i="14" s="1"/>
  <c r="CK539" i="14" s="1"/>
  <c r="Y293" i="14"/>
  <c r="AC293" i="14" s="1"/>
  <c r="DJ287" i="14" s="1"/>
  <c r="Y581" i="14"/>
  <c r="AC581" i="14" s="1"/>
  <c r="DT575" i="14" s="1"/>
  <c r="Y263" i="14"/>
  <c r="AC263" i="14" s="1"/>
  <c r="CP263" i="14" s="1"/>
  <c r="Y179" i="14"/>
  <c r="AC179" i="14" s="1"/>
  <c r="CZ179" i="14" s="1"/>
  <c r="Y413" i="14"/>
  <c r="AC413" i="14" s="1"/>
  <c r="DY407" i="14" s="1"/>
  <c r="Y437" i="14"/>
  <c r="AC437" i="14" s="1"/>
  <c r="DO431" i="14" s="1"/>
  <c r="Y215" i="14"/>
  <c r="AC215" i="14" s="1"/>
  <c r="CP215" i="14" s="1"/>
  <c r="Y35" i="14"/>
  <c r="AC35" i="14" s="1"/>
  <c r="Y575" i="14"/>
  <c r="AC575" i="14" s="1"/>
  <c r="CU575" i="14" s="1"/>
  <c r="Y491" i="14"/>
  <c r="AC491" i="14" s="1"/>
  <c r="CP491" i="14" s="1"/>
  <c r="Y305" i="14"/>
  <c r="AC305" i="14" s="1"/>
  <c r="DT299" i="14" s="1"/>
  <c r="Y41" i="14"/>
  <c r="AC41" i="14" s="1"/>
  <c r="Y95" i="14"/>
  <c r="AC95" i="14" s="1"/>
  <c r="CP95" i="14" s="1"/>
  <c r="Y155" i="14"/>
  <c r="AC155" i="14" s="1"/>
  <c r="CF155" i="14" s="1"/>
  <c r="Y221" i="14"/>
  <c r="AC221" i="14" s="1"/>
  <c r="DT215" i="14" s="1"/>
  <c r="Y677" i="14"/>
  <c r="AC677" i="14" s="1"/>
  <c r="DY671" i="14" s="1"/>
  <c r="Y107" i="14"/>
  <c r="AC107" i="14" s="1"/>
  <c r="CZ107" i="14" s="1"/>
  <c r="Y629" i="14"/>
  <c r="AC629" i="14" s="1"/>
  <c r="Y623" i="14"/>
  <c r="AC623" i="14" s="1"/>
  <c r="CP623" i="14" s="1"/>
  <c r="Y635" i="14"/>
  <c r="AC635" i="14" s="1"/>
  <c r="CF635" i="14" s="1"/>
  <c r="Y545" i="14"/>
  <c r="AC545" i="14" s="1"/>
  <c r="DT539" i="14" s="1"/>
  <c r="Y509" i="14"/>
  <c r="AC509" i="14" s="1"/>
  <c r="DY503" i="14" s="1"/>
  <c r="Y65" i="14"/>
  <c r="AC65" i="14" s="1"/>
  <c r="DY59" i="14" s="1"/>
  <c r="Y47" i="14"/>
  <c r="CA287" i="14"/>
  <c r="AV35" i="14"/>
  <c r="DE311" i="14"/>
  <c r="DE395" i="14"/>
  <c r="DE623" i="14"/>
  <c r="CA35" i="14"/>
  <c r="AC47" i="14" l="1"/>
  <c r="CF47" i="14" s="1"/>
  <c r="AC53" i="14"/>
  <c r="DO47" i="14" s="1"/>
  <c r="DT395" i="14"/>
  <c r="DJ623" i="14"/>
  <c r="DY335" i="14"/>
  <c r="DY131" i="14"/>
  <c r="CU503" i="14"/>
  <c r="CP515" i="14"/>
  <c r="CA659" i="14"/>
  <c r="CA311" i="14"/>
  <c r="CA83" i="14"/>
  <c r="DE131" i="14"/>
  <c r="DE239" i="14"/>
  <c r="CA611" i="14"/>
  <c r="DE275" i="14"/>
  <c r="DE203" i="14"/>
  <c r="DE347" i="14"/>
  <c r="DE95" i="14"/>
  <c r="DE467" i="14"/>
  <c r="DE647" i="14"/>
  <c r="CA371" i="14"/>
  <c r="CA203" i="14"/>
  <c r="DE107" i="14"/>
  <c r="CA299" i="14"/>
  <c r="DE335" i="14"/>
  <c r="CA347" i="14"/>
  <c r="CA515" i="14"/>
  <c r="CA599" i="14"/>
  <c r="DE635" i="14"/>
  <c r="DE371" i="14"/>
  <c r="DE287" i="14"/>
  <c r="CA647" i="14"/>
  <c r="CA539" i="14"/>
  <c r="DE503" i="14"/>
  <c r="CA563" i="14"/>
  <c r="CA443" i="14"/>
  <c r="CA467" i="14"/>
  <c r="CA395" i="14"/>
  <c r="CA575" i="14"/>
  <c r="DE227" i="14"/>
  <c r="DE83" i="14"/>
  <c r="DE299" i="14"/>
  <c r="DE539" i="14"/>
  <c r="CA491" i="14"/>
  <c r="CA251" i="14"/>
  <c r="DE515" i="14"/>
  <c r="DE155" i="14"/>
  <c r="CA227" i="14"/>
  <c r="CA263" i="14"/>
  <c r="DE407" i="14"/>
  <c r="CA407" i="14"/>
  <c r="DE599" i="14"/>
  <c r="DE215" i="14"/>
  <c r="CA191" i="14"/>
  <c r="CA503" i="14"/>
  <c r="CA383" i="14"/>
  <c r="CA335" i="14"/>
  <c r="DE263" i="14"/>
  <c r="CA239" i="14"/>
  <c r="DE563" i="14"/>
  <c r="DE443" i="14"/>
  <c r="CA179" i="14"/>
  <c r="DE431" i="14"/>
  <c r="DE455" i="14"/>
  <c r="CA59" i="14"/>
  <c r="DE167" i="14"/>
  <c r="CA155" i="14"/>
  <c r="CA635" i="14"/>
  <c r="CA95" i="14"/>
  <c r="CA431" i="14"/>
  <c r="DE575" i="14"/>
  <c r="DE551" i="14"/>
  <c r="DE491" i="14"/>
  <c r="CA323" i="14"/>
  <c r="DE671" i="14"/>
  <c r="CA551" i="14"/>
  <c r="DE191" i="14"/>
  <c r="CA587" i="14"/>
  <c r="DE419" i="14"/>
  <c r="DE479" i="14"/>
  <c r="CA623" i="14"/>
  <c r="CA167" i="14"/>
  <c r="DE323" i="14"/>
  <c r="CA143" i="14"/>
  <c r="CP287" i="14" l="1"/>
  <c r="CQ287" i="14" s="1"/>
  <c r="CZ287" i="14"/>
  <c r="CZ288" i="14" s="1"/>
  <c r="CF287" i="14"/>
  <c r="CG287" i="14" s="1"/>
  <c r="CK287" i="14"/>
  <c r="CK288" i="14" s="1"/>
  <c r="CZ299" i="14"/>
  <c r="CZ300" i="14" s="1"/>
  <c r="DT95" i="14"/>
  <c r="DT96" i="14" s="1"/>
  <c r="DO347" i="14"/>
  <c r="DO348" i="14" s="1"/>
  <c r="ED563" i="14"/>
  <c r="EE563" i="14" s="1"/>
  <c r="DT563" i="14"/>
  <c r="DT564" i="14" s="1"/>
  <c r="DY563" i="14"/>
  <c r="DY564" i="14" s="1"/>
  <c r="DT311" i="14"/>
  <c r="DT312" i="14" s="1"/>
  <c r="DJ311" i="14"/>
  <c r="DK311" i="14" s="1"/>
  <c r="ED311" i="14"/>
  <c r="EE311" i="14" s="1"/>
  <c r="DO311" i="14"/>
  <c r="DO312" i="14" s="1"/>
  <c r="ED155" i="14"/>
  <c r="ED156" i="14" s="1"/>
  <c r="DO155" i="14"/>
  <c r="DO156" i="14" s="1"/>
  <c r="DT155" i="14"/>
  <c r="DU155" i="14" s="1"/>
  <c r="DY155" i="14"/>
  <c r="DY156" i="14" s="1"/>
  <c r="CU203" i="14"/>
  <c r="CV203" i="14" s="1"/>
  <c r="CP203" i="14"/>
  <c r="CP204" i="14" s="1"/>
  <c r="CZ203" i="14"/>
  <c r="CZ204" i="14" s="1"/>
  <c r="CU83" i="14"/>
  <c r="CV83" i="14" s="1"/>
  <c r="DJ563" i="14"/>
  <c r="DK563" i="14" s="1"/>
  <c r="ED239" i="14"/>
  <c r="ED240" i="14" s="1"/>
  <c r="DJ203" i="14"/>
  <c r="DK203" i="14" s="1"/>
  <c r="DO203" i="14"/>
  <c r="DP203" i="14" s="1"/>
  <c r="DJ239" i="14"/>
  <c r="DJ240" i="14" s="1"/>
  <c r="DJ95" i="14"/>
  <c r="DK95" i="14" s="1"/>
  <c r="DO239" i="14"/>
  <c r="DO240" i="14" s="1"/>
  <c r="DO95" i="14"/>
  <c r="DO96" i="14" s="1"/>
  <c r="DY239" i="14"/>
  <c r="DY240" i="14" s="1"/>
  <c r="DJ551" i="14"/>
  <c r="DJ552" i="14" s="1"/>
  <c r="CZ611" i="14"/>
  <c r="DA611" i="14" s="1"/>
  <c r="DT191" i="14"/>
  <c r="DU191" i="14" s="1"/>
  <c r="CU191" i="14"/>
  <c r="CV191" i="14" s="1"/>
  <c r="ED347" i="14"/>
  <c r="EE347" i="14" s="1"/>
  <c r="CP611" i="14"/>
  <c r="CQ611" i="14" s="1"/>
  <c r="ED203" i="14"/>
  <c r="ED204" i="14" s="1"/>
  <c r="CU287" i="14"/>
  <c r="CU288" i="14" s="1"/>
  <c r="CZ335" i="14"/>
  <c r="CZ336" i="14" s="1"/>
  <c r="DJ455" i="14"/>
  <c r="DK455" i="14" s="1"/>
  <c r="DY95" i="14"/>
  <c r="DZ95" i="14" s="1"/>
  <c r="DY395" i="14"/>
  <c r="DY396" i="14" s="1"/>
  <c r="DO395" i="14"/>
  <c r="DO396" i="14" s="1"/>
  <c r="DT323" i="14"/>
  <c r="DT324" i="14" s="1"/>
  <c r="DY311" i="14"/>
  <c r="DZ311" i="14" s="1"/>
  <c r="DO563" i="14"/>
  <c r="DP563" i="14" s="1"/>
  <c r="CP503" i="14"/>
  <c r="CP504" i="14" s="1"/>
  <c r="DY323" i="14"/>
  <c r="DY324" i="14" s="1"/>
  <c r="CK503" i="14"/>
  <c r="CL503" i="14" s="1"/>
  <c r="DO323" i="14"/>
  <c r="DP323" i="14" s="1"/>
  <c r="DT479" i="14"/>
  <c r="DT480" i="14" s="1"/>
  <c r="DO191" i="14"/>
  <c r="DO192" i="14" s="1"/>
  <c r="CF611" i="14"/>
  <c r="CF612" i="14" s="1"/>
  <c r="DT203" i="14"/>
  <c r="DU203" i="14" s="1"/>
  <c r="CP191" i="14"/>
  <c r="CP192" i="14" s="1"/>
  <c r="CK299" i="14"/>
  <c r="CK300" i="14" s="1"/>
  <c r="CP335" i="14"/>
  <c r="CQ335" i="14" s="1"/>
  <c r="CK491" i="14"/>
  <c r="CK492" i="14" s="1"/>
  <c r="CK191" i="14"/>
  <c r="CK192" i="14" s="1"/>
  <c r="CP299" i="14"/>
  <c r="CQ299" i="14" s="1"/>
  <c r="CF335" i="14"/>
  <c r="CG335" i="14" s="1"/>
  <c r="CU491" i="14"/>
  <c r="CU492" i="14" s="1"/>
  <c r="DO515" i="14"/>
  <c r="DO516" i="14" s="1"/>
  <c r="DO131" i="14"/>
  <c r="DO132" i="14" s="1"/>
  <c r="CZ191" i="14"/>
  <c r="DA191" i="14" s="1"/>
  <c r="CU299" i="14"/>
  <c r="CV299" i="14" s="1"/>
  <c r="CK335" i="14"/>
  <c r="CK336" i="14" s="1"/>
  <c r="CF491" i="14"/>
  <c r="CG491" i="14" s="1"/>
  <c r="DT131" i="14"/>
  <c r="DU131" i="14" s="1"/>
  <c r="CZ491" i="14"/>
  <c r="DA491" i="14" s="1"/>
  <c r="DJ191" i="14"/>
  <c r="DJ192" i="14" s="1"/>
  <c r="CU611" i="14"/>
  <c r="CU612" i="14" s="1"/>
  <c r="DJ395" i="14"/>
  <c r="DJ396" i="14" s="1"/>
  <c r="DT275" i="14"/>
  <c r="DT276" i="14" s="1"/>
  <c r="CP563" i="14"/>
  <c r="CQ563" i="14" s="1"/>
  <c r="CF167" i="14"/>
  <c r="CF168" i="14" s="1"/>
  <c r="CF503" i="14"/>
  <c r="CG503" i="14" s="1"/>
  <c r="CZ167" i="14"/>
  <c r="CZ168" i="14" s="1"/>
  <c r="ED395" i="14"/>
  <c r="EE395" i="14" s="1"/>
  <c r="DJ155" i="14"/>
  <c r="DK155" i="14" s="1"/>
  <c r="DY215" i="14"/>
  <c r="DZ215" i="14" s="1"/>
  <c r="DJ323" i="14"/>
  <c r="DK323" i="14" s="1"/>
  <c r="CF563" i="14"/>
  <c r="CG563" i="14" s="1"/>
  <c r="CK563" i="14"/>
  <c r="CL563" i="14" s="1"/>
  <c r="ED443" i="14"/>
  <c r="EE443" i="14" s="1"/>
  <c r="DJ443" i="14"/>
  <c r="DK443" i="14" s="1"/>
  <c r="DO551" i="14"/>
  <c r="DP551" i="14" s="1"/>
  <c r="ED191" i="14"/>
  <c r="ED192" i="14" s="1"/>
  <c r="CK83" i="14"/>
  <c r="CL83" i="14" s="1"/>
  <c r="CP83" i="14"/>
  <c r="CQ83" i="14" s="1"/>
  <c r="DJ347" i="14"/>
  <c r="DK347" i="14" s="1"/>
  <c r="CK167" i="14"/>
  <c r="CL167" i="14" s="1"/>
  <c r="CZ563" i="14"/>
  <c r="CZ564" i="14" s="1"/>
  <c r="ED407" i="14"/>
  <c r="EE407" i="14" s="1"/>
  <c r="DT347" i="14"/>
  <c r="DU347" i="14" s="1"/>
  <c r="DJ131" i="14"/>
  <c r="DJ132" i="14" s="1"/>
  <c r="DY275" i="14"/>
  <c r="DZ275" i="14" s="1"/>
  <c r="ED131" i="14"/>
  <c r="EE131" i="14" s="1"/>
  <c r="DJ275" i="14"/>
  <c r="DK275" i="14" s="1"/>
  <c r="CP155" i="14"/>
  <c r="CQ155" i="14" s="1"/>
  <c r="DO407" i="14"/>
  <c r="DO408" i="14" s="1"/>
  <c r="ED371" i="14"/>
  <c r="EE371" i="14" s="1"/>
  <c r="ED575" i="14"/>
  <c r="EE575" i="14" s="1"/>
  <c r="DY575" i="14"/>
  <c r="DY576" i="14" s="1"/>
  <c r="DO575" i="14"/>
  <c r="DO576" i="14" s="1"/>
  <c r="CP179" i="14"/>
  <c r="CQ179" i="14" s="1"/>
  <c r="DJ635" i="14"/>
  <c r="DJ636" i="14" s="1"/>
  <c r="CF179" i="14"/>
  <c r="CF180" i="14" s="1"/>
  <c r="DT107" i="14"/>
  <c r="DT108" i="14" s="1"/>
  <c r="DY107" i="14"/>
  <c r="DY108" i="14" s="1"/>
  <c r="ED107" i="14"/>
  <c r="ED108" i="14" s="1"/>
  <c r="DO107" i="14"/>
  <c r="DP107" i="14" s="1"/>
  <c r="DY371" i="14"/>
  <c r="DZ371" i="14" s="1"/>
  <c r="DO635" i="14"/>
  <c r="DP635" i="14" s="1"/>
  <c r="DT551" i="14"/>
  <c r="DT552" i="14" s="1"/>
  <c r="CF551" i="14"/>
  <c r="CG551" i="14" s="1"/>
  <c r="DT443" i="14"/>
  <c r="DT444" i="14" s="1"/>
  <c r="DY551" i="14"/>
  <c r="DZ551" i="14" s="1"/>
  <c r="CU623" i="14"/>
  <c r="CU624" i="14" s="1"/>
  <c r="DT455" i="14"/>
  <c r="DU455" i="14" s="1"/>
  <c r="CK575" i="14"/>
  <c r="CK576" i="14" s="1"/>
  <c r="DT371" i="14"/>
  <c r="DT372" i="14" s="1"/>
  <c r="CZ311" i="14"/>
  <c r="CZ312" i="14" s="1"/>
  <c r="CU179" i="14"/>
  <c r="CU180" i="14" s="1"/>
  <c r="DY455" i="14"/>
  <c r="DZ455" i="14" s="1"/>
  <c r="DO371" i="14"/>
  <c r="DP371" i="14" s="1"/>
  <c r="DY515" i="14"/>
  <c r="DZ515" i="14" s="1"/>
  <c r="ED455" i="14"/>
  <c r="ED456" i="14" s="1"/>
  <c r="DT467" i="14"/>
  <c r="DT468" i="14" s="1"/>
  <c r="CK623" i="14"/>
  <c r="CK624" i="14" s="1"/>
  <c r="DO215" i="14"/>
  <c r="DO216" i="14" s="1"/>
  <c r="ED215" i="14"/>
  <c r="EE215" i="14" s="1"/>
  <c r="DT635" i="14"/>
  <c r="DU635" i="14" s="1"/>
  <c r="CF623" i="14"/>
  <c r="CG623" i="14" s="1"/>
  <c r="DJ575" i="14"/>
  <c r="DJ576" i="14" s="1"/>
  <c r="CK179" i="14"/>
  <c r="CL179" i="14" s="1"/>
  <c r="DY635" i="14"/>
  <c r="DY636" i="14" s="1"/>
  <c r="DT407" i="14"/>
  <c r="DT408" i="14" s="1"/>
  <c r="CZ575" i="14"/>
  <c r="DA575" i="14" s="1"/>
  <c r="CF203" i="14"/>
  <c r="CF204" i="14" s="1"/>
  <c r="CK203" i="14"/>
  <c r="CK204" i="14" s="1"/>
  <c r="CK659" i="14"/>
  <c r="CL659" i="14" s="1"/>
  <c r="DY263" i="14"/>
  <c r="DZ263" i="14" s="1"/>
  <c r="CZ659" i="14"/>
  <c r="DA659" i="14" s="1"/>
  <c r="CK467" i="14"/>
  <c r="CK468" i="14" s="1"/>
  <c r="DO263" i="14"/>
  <c r="DP263" i="14" s="1"/>
  <c r="CF659" i="14"/>
  <c r="CG659" i="14" s="1"/>
  <c r="CP467" i="14"/>
  <c r="CP468" i="14" s="1"/>
  <c r="DJ263" i="14"/>
  <c r="DK263" i="14" s="1"/>
  <c r="CP659" i="14"/>
  <c r="CQ659" i="14" s="1"/>
  <c r="CZ467" i="14"/>
  <c r="CZ468" i="14" s="1"/>
  <c r="CP551" i="14"/>
  <c r="CP552" i="14" s="1"/>
  <c r="DT263" i="14"/>
  <c r="DT264" i="14" s="1"/>
  <c r="CZ551" i="14"/>
  <c r="DA551" i="14" s="1"/>
  <c r="CF143" i="14"/>
  <c r="CF144" i="14" s="1"/>
  <c r="CP371" i="14"/>
  <c r="CQ371" i="14" s="1"/>
  <c r="CU143" i="14"/>
  <c r="CU144" i="14" s="1"/>
  <c r="CU371" i="14"/>
  <c r="CV371" i="14" s="1"/>
  <c r="CK143" i="14"/>
  <c r="CK144" i="14" s="1"/>
  <c r="ED671" i="14"/>
  <c r="EE671" i="14" s="1"/>
  <c r="DJ479" i="14"/>
  <c r="DJ480" i="14" s="1"/>
  <c r="DO443" i="14"/>
  <c r="DP443" i="14" s="1"/>
  <c r="DO479" i="14"/>
  <c r="DP479" i="14" s="1"/>
  <c r="CP167" i="14"/>
  <c r="CQ167" i="14" s="1"/>
  <c r="DY479" i="14"/>
  <c r="DZ479" i="14" s="1"/>
  <c r="DO275" i="14"/>
  <c r="DP275" i="14" s="1"/>
  <c r="CP143" i="14"/>
  <c r="CQ143" i="14" s="1"/>
  <c r="CZ503" i="14"/>
  <c r="DA503" i="14" s="1"/>
  <c r="CZ623" i="14"/>
  <c r="DA623" i="14" s="1"/>
  <c r="CU311" i="14"/>
  <c r="CU312" i="14" s="1"/>
  <c r="CP311" i="14"/>
  <c r="CP312" i="14" s="1"/>
  <c r="CZ155" i="14"/>
  <c r="DA155" i="14" s="1"/>
  <c r="ED599" i="14"/>
  <c r="EE599" i="14" s="1"/>
  <c r="DT431" i="14"/>
  <c r="DU431" i="14" s="1"/>
  <c r="DJ431" i="14"/>
  <c r="DJ432" i="14" s="1"/>
  <c r="DY431" i="14"/>
  <c r="DY432" i="14" s="1"/>
  <c r="DT167" i="14"/>
  <c r="DU167" i="14" s="1"/>
  <c r="CZ323" i="14"/>
  <c r="CZ324" i="14" s="1"/>
  <c r="CZ371" i="14"/>
  <c r="DA371" i="14" s="1"/>
  <c r="DY167" i="14"/>
  <c r="DZ167" i="14" s="1"/>
  <c r="DJ671" i="14"/>
  <c r="DK671" i="14" s="1"/>
  <c r="ED431" i="14"/>
  <c r="EE431" i="14" s="1"/>
  <c r="DJ215" i="14"/>
  <c r="DJ216" i="14" s="1"/>
  <c r="CU467" i="14"/>
  <c r="CV467" i="14" s="1"/>
  <c r="CF83" i="14"/>
  <c r="CG83" i="14" s="1"/>
  <c r="CP395" i="14"/>
  <c r="CP396" i="14" s="1"/>
  <c r="DO671" i="14"/>
  <c r="DO672" i="14" s="1"/>
  <c r="CU155" i="14"/>
  <c r="CV155" i="14" s="1"/>
  <c r="CU551" i="14"/>
  <c r="CV551" i="14" s="1"/>
  <c r="DY623" i="14"/>
  <c r="DY624" i="14" s="1"/>
  <c r="CP59" i="14"/>
  <c r="CQ59" i="14" s="1"/>
  <c r="CK59" i="14"/>
  <c r="CL59" i="14" s="1"/>
  <c r="DJ407" i="14"/>
  <c r="DK407" i="14" s="1"/>
  <c r="CF575" i="14"/>
  <c r="CF576" i="14" s="1"/>
  <c r="CP575" i="14"/>
  <c r="CP576" i="14" s="1"/>
  <c r="CK323" i="14"/>
  <c r="CL323" i="14" s="1"/>
  <c r="CZ59" i="14"/>
  <c r="DA59" i="14" s="1"/>
  <c r="DT671" i="14"/>
  <c r="DU671" i="14" s="1"/>
  <c r="CU59" i="14"/>
  <c r="CU60" i="14" s="1"/>
  <c r="DO227" i="14"/>
  <c r="DP227" i="14" s="1"/>
  <c r="CZ407" i="14"/>
  <c r="CZ408" i="14" s="1"/>
  <c r="CK155" i="14"/>
  <c r="CL155" i="14" s="1"/>
  <c r="DT227" i="14"/>
  <c r="DT228" i="14" s="1"/>
  <c r="DY227" i="14"/>
  <c r="DZ227" i="14" s="1"/>
  <c r="ED227" i="14"/>
  <c r="ED228" i="14" s="1"/>
  <c r="ED515" i="14"/>
  <c r="EE515" i="14" s="1"/>
  <c r="CK227" i="14"/>
  <c r="CL227" i="14" s="1"/>
  <c r="DJ599" i="14"/>
  <c r="DJ600" i="14" s="1"/>
  <c r="DO491" i="14"/>
  <c r="DP491" i="14" s="1"/>
  <c r="DJ515" i="14"/>
  <c r="DK515" i="14" s="1"/>
  <c r="CP227" i="14"/>
  <c r="CP228" i="14" s="1"/>
  <c r="DT599" i="14"/>
  <c r="DU599" i="14" s="1"/>
  <c r="CU251" i="14"/>
  <c r="CU252" i="14" s="1"/>
  <c r="ED491" i="14"/>
  <c r="EE491" i="14" s="1"/>
  <c r="CF311" i="14"/>
  <c r="CF312" i="14" s="1"/>
  <c r="ED167" i="14"/>
  <c r="ED168" i="14" s="1"/>
  <c r="CF227" i="14"/>
  <c r="CF228" i="14" s="1"/>
  <c r="DO599" i="14"/>
  <c r="DO600" i="14" s="1"/>
  <c r="CF263" i="14"/>
  <c r="CF264" i="14" s="1"/>
  <c r="ED335" i="14"/>
  <c r="EE335" i="14" s="1"/>
  <c r="DT491" i="14"/>
  <c r="DU491" i="14" s="1"/>
  <c r="DO83" i="14"/>
  <c r="DO84" i="14" s="1"/>
  <c r="DY491" i="14"/>
  <c r="DZ491" i="14" s="1"/>
  <c r="ED83" i="14"/>
  <c r="ED84" i="14" s="1"/>
  <c r="CU95" i="14"/>
  <c r="CU96" i="14" s="1"/>
  <c r="CF515" i="14"/>
  <c r="CG515" i="14" s="1"/>
  <c r="CU515" i="14"/>
  <c r="CV515" i="14" s="1"/>
  <c r="DJ83" i="14"/>
  <c r="DK83" i="14" s="1"/>
  <c r="CZ95" i="14"/>
  <c r="CZ96" i="14" s="1"/>
  <c r="CZ515" i="14"/>
  <c r="CZ516" i="14" s="1"/>
  <c r="DT83" i="14"/>
  <c r="DU83" i="14" s="1"/>
  <c r="CK95" i="14"/>
  <c r="CL95" i="14" s="1"/>
  <c r="DO299" i="14"/>
  <c r="DO300" i="14" s="1"/>
  <c r="DT335" i="14"/>
  <c r="DU335" i="14" s="1"/>
  <c r="DJ299" i="14"/>
  <c r="DK299" i="14" s="1"/>
  <c r="CZ647" i="14"/>
  <c r="CZ648" i="14" s="1"/>
  <c r="ED299" i="14"/>
  <c r="EE299" i="14" s="1"/>
  <c r="DJ335" i="14"/>
  <c r="DK335" i="14" s="1"/>
  <c r="CF95" i="14"/>
  <c r="CF96" i="14" s="1"/>
  <c r="DY299" i="14"/>
  <c r="DZ299" i="14" s="1"/>
  <c r="DJ167" i="14"/>
  <c r="DK167" i="14" s="1"/>
  <c r="DO335" i="14"/>
  <c r="DP335" i="14" s="1"/>
  <c r="CK515" i="14"/>
  <c r="CK516" i="14" s="1"/>
  <c r="DT419" i="14"/>
  <c r="DU419" i="14" s="1"/>
  <c r="DJ419" i="14"/>
  <c r="DJ420" i="14" s="1"/>
  <c r="CZ215" i="14"/>
  <c r="DA215" i="14" s="1"/>
  <c r="CP383" i="14"/>
  <c r="CP384" i="14" s="1"/>
  <c r="CF251" i="14"/>
  <c r="CF252" i="14" s="1"/>
  <c r="CZ539" i="14"/>
  <c r="CZ540" i="14" s="1"/>
  <c r="CZ443" i="14"/>
  <c r="CZ444" i="14" s="1"/>
  <c r="CK443" i="14"/>
  <c r="CK444" i="14" s="1"/>
  <c r="CF671" i="14"/>
  <c r="CF672" i="14" s="1"/>
  <c r="DT359" i="14"/>
  <c r="DT360" i="14" s="1"/>
  <c r="DY287" i="14"/>
  <c r="DY288" i="14" s="1"/>
  <c r="CP647" i="14"/>
  <c r="CP648" i="14" s="1"/>
  <c r="ED527" i="14"/>
  <c r="ED528" i="14" s="1"/>
  <c r="ED623" i="14"/>
  <c r="EE623" i="14" s="1"/>
  <c r="DT287" i="14"/>
  <c r="DT288" i="14" s="1"/>
  <c r="CK371" i="14"/>
  <c r="CK372" i="14" s="1"/>
  <c r="CK647" i="14"/>
  <c r="CL647" i="14" s="1"/>
  <c r="CZ227" i="14"/>
  <c r="CZ228" i="14" s="1"/>
  <c r="CF539" i="14"/>
  <c r="CF540" i="14" s="1"/>
  <c r="DO623" i="14"/>
  <c r="DP623" i="14" s="1"/>
  <c r="CP323" i="14"/>
  <c r="CP324" i="14" s="1"/>
  <c r="CZ527" i="14"/>
  <c r="CZ528" i="14" s="1"/>
  <c r="CU443" i="14"/>
  <c r="CV443" i="14" s="1"/>
  <c r="CP251" i="14"/>
  <c r="CP252" i="14" s="1"/>
  <c r="CK395" i="14"/>
  <c r="CK396" i="14" s="1"/>
  <c r="CU407" i="14"/>
  <c r="CU408" i="14" s="1"/>
  <c r="CZ251" i="14"/>
  <c r="DA251" i="14" s="1"/>
  <c r="CF443" i="14"/>
  <c r="CG443" i="14" s="1"/>
  <c r="DJ539" i="14"/>
  <c r="DJ540" i="14" s="1"/>
  <c r="CF395" i="14"/>
  <c r="CG395" i="14" s="1"/>
  <c r="CF407" i="14"/>
  <c r="CG407" i="14" s="1"/>
  <c r="DY539" i="14"/>
  <c r="DZ539" i="14" s="1"/>
  <c r="CP347" i="14"/>
  <c r="CP348" i="14" s="1"/>
  <c r="CP479" i="14"/>
  <c r="CP480" i="14" s="1"/>
  <c r="CU395" i="14"/>
  <c r="CU396" i="14" s="1"/>
  <c r="CP407" i="14"/>
  <c r="CQ407" i="14" s="1"/>
  <c r="CU263" i="14"/>
  <c r="CV263" i="14" s="1"/>
  <c r="ED539" i="14"/>
  <c r="ED540" i="14" s="1"/>
  <c r="CK347" i="14"/>
  <c r="CK348" i="14" s="1"/>
  <c r="CK263" i="14"/>
  <c r="CK264" i="14" s="1"/>
  <c r="DO419" i="14"/>
  <c r="DP419" i="14" s="1"/>
  <c r="DO539" i="14"/>
  <c r="DO540" i="14" s="1"/>
  <c r="CZ347" i="14"/>
  <c r="CZ348" i="14" s="1"/>
  <c r="CU647" i="14"/>
  <c r="CV647" i="14" s="1"/>
  <c r="CZ263" i="14"/>
  <c r="CZ264" i="14" s="1"/>
  <c r="DY419" i="14"/>
  <c r="DZ419" i="14" s="1"/>
  <c r="CF347" i="14"/>
  <c r="CG347" i="14" s="1"/>
  <c r="CK239" i="14"/>
  <c r="CL239" i="14" s="1"/>
  <c r="ED287" i="14"/>
  <c r="EE287" i="14" s="1"/>
  <c r="DT59" i="14"/>
  <c r="DU59" i="14" s="1"/>
  <c r="CZ455" i="14"/>
  <c r="CZ456" i="14" s="1"/>
  <c r="CF455" i="14"/>
  <c r="CF456" i="14" s="1"/>
  <c r="CK419" i="14"/>
  <c r="CK420" i="14" s="1"/>
  <c r="CU119" i="14"/>
  <c r="CU120" i="14" s="1"/>
  <c r="CZ479" i="14"/>
  <c r="CZ480" i="14" s="1"/>
  <c r="CU479" i="14"/>
  <c r="CU480" i="14" s="1"/>
  <c r="DO527" i="14"/>
  <c r="DO528" i="14" s="1"/>
  <c r="CP131" i="14"/>
  <c r="CP132" i="14" s="1"/>
  <c r="DT611" i="14"/>
  <c r="DU611" i="14" s="1"/>
  <c r="CZ47" i="14"/>
  <c r="CZ48" i="14" s="1"/>
  <c r="CF527" i="14"/>
  <c r="CF528" i="14" s="1"/>
  <c r="DJ59" i="14"/>
  <c r="DJ60" i="14" s="1"/>
  <c r="DY383" i="14"/>
  <c r="DY384" i="14" s="1"/>
  <c r="CF131" i="14"/>
  <c r="CF132" i="14" s="1"/>
  <c r="DO383" i="14"/>
  <c r="DO384" i="14" s="1"/>
  <c r="ED59" i="14"/>
  <c r="EE59" i="14" s="1"/>
  <c r="DO119" i="14"/>
  <c r="DP119" i="14" s="1"/>
  <c r="DY611" i="14"/>
  <c r="DY612" i="14" s="1"/>
  <c r="CK131" i="14"/>
  <c r="CL131" i="14" s="1"/>
  <c r="DT383" i="14"/>
  <c r="DU383" i="14" s="1"/>
  <c r="DO59" i="14"/>
  <c r="DO60" i="14" s="1"/>
  <c r="DT119" i="14"/>
  <c r="DT120" i="14" s="1"/>
  <c r="DJ659" i="14"/>
  <c r="DJ660" i="14" s="1"/>
  <c r="ED611" i="14"/>
  <c r="ED612" i="14" s="1"/>
  <c r="CZ431" i="14"/>
  <c r="DA431" i="14" s="1"/>
  <c r="CU131" i="14"/>
  <c r="CV131" i="14" s="1"/>
  <c r="DJ383" i="14"/>
  <c r="DJ384" i="14" s="1"/>
  <c r="DY119" i="14"/>
  <c r="DY120" i="14" s="1"/>
  <c r="ED119" i="14"/>
  <c r="ED120" i="14" s="1"/>
  <c r="DO659" i="14"/>
  <c r="DO660" i="14" s="1"/>
  <c r="CU107" i="14"/>
  <c r="CV107" i="14" s="1"/>
  <c r="CF431" i="14"/>
  <c r="CF432" i="14" s="1"/>
  <c r="CK431" i="14"/>
  <c r="CK432" i="14" s="1"/>
  <c r="DO611" i="14"/>
  <c r="DO612" i="14" s="1"/>
  <c r="CP431" i="14"/>
  <c r="CP432" i="14" s="1"/>
  <c r="DJ467" i="14"/>
  <c r="DK467" i="14" s="1"/>
  <c r="CP107" i="14"/>
  <c r="CQ107" i="14" s="1"/>
  <c r="DY659" i="14"/>
  <c r="DZ659" i="14" s="1"/>
  <c r="CK47" i="14"/>
  <c r="CL47" i="14" s="1"/>
  <c r="DO467" i="14"/>
  <c r="DO468" i="14" s="1"/>
  <c r="CK107" i="14"/>
  <c r="CK108" i="14" s="1"/>
  <c r="CK527" i="14"/>
  <c r="CL527" i="14" s="1"/>
  <c r="CU47" i="14"/>
  <c r="CV47" i="14" s="1"/>
  <c r="CP47" i="14"/>
  <c r="CP48" i="14" s="1"/>
  <c r="CP527" i="14"/>
  <c r="CQ527" i="14" s="1"/>
  <c r="DY467" i="14"/>
  <c r="DZ467" i="14" s="1"/>
  <c r="DY143" i="14"/>
  <c r="DY144" i="14" s="1"/>
  <c r="CP539" i="14"/>
  <c r="CP540" i="14" s="1"/>
  <c r="CF323" i="14"/>
  <c r="CG323" i="14" s="1"/>
  <c r="DO179" i="14"/>
  <c r="DO180" i="14" s="1"/>
  <c r="CP587" i="14"/>
  <c r="CQ587" i="14" s="1"/>
  <c r="CP455" i="14"/>
  <c r="CQ455" i="14" s="1"/>
  <c r="ED659" i="14"/>
  <c r="ED660" i="14" s="1"/>
  <c r="CK479" i="14"/>
  <c r="CK480" i="14" s="1"/>
  <c r="ED143" i="14"/>
  <c r="EE143" i="14" s="1"/>
  <c r="DY527" i="14"/>
  <c r="DZ527" i="14" s="1"/>
  <c r="CU539" i="14"/>
  <c r="CU540" i="14" s="1"/>
  <c r="DT623" i="14"/>
  <c r="DU623" i="14" s="1"/>
  <c r="CF107" i="14"/>
  <c r="CG107" i="14" s="1"/>
  <c r="CU587" i="14"/>
  <c r="CV587" i="14" s="1"/>
  <c r="CF215" i="14"/>
  <c r="CF216" i="14" s="1"/>
  <c r="DJ47" i="14"/>
  <c r="DK47" i="14" s="1"/>
  <c r="DJ587" i="14"/>
  <c r="DK587" i="14" s="1"/>
  <c r="DO287" i="14"/>
  <c r="DO288" i="14" s="1"/>
  <c r="CK215" i="14"/>
  <c r="CK216" i="14" s="1"/>
  <c r="CZ239" i="14"/>
  <c r="DA239" i="14" s="1"/>
  <c r="ED47" i="14"/>
  <c r="EE47" i="14" s="1"/>
  <c r="DT503" i="14"/>
  <c r="DU503" i="14" s="1"/>
  <c r="DO587" i="14"/>
  <c r="DP587" i="14" s="1"/>
  <c r="CU215" i="14"/>
  <c r="CV215" i="14" s="1"/>
  <c r="CK587" i="14"/>
  <c r="CL587" i="14" s="1"/>
  <c r="CU239" i="14"/>
  <c r="CV239" i="14" s="1"/>
  <c r="DT47" i="14"/>
  <c r="DU47" i="14" s="1"/>
  <c r="DJ251" i="14"/>
  <c r="DJ252" i="14" s="1"/>
  <c r="DO503" i="14"/>
  <c r="DO504" i="14" s="1"/>
  <c r="CP275" i="14"/>
  <c r="CQ275" i="14" s="1"/>
  <c r="CU635" i="14"/>
  <c r="CV635" i="14" s="1"/>
  <c r="ED587" i="14"/>
  <c r="ED588" i="14" s="1"/>
  <c r="CU359" i="14"/>
  <c r="CU360" i="14" s="1"/>
  <c r="CF239" i="14"/>
  <c r="CG239" i="14" s="1"/>
  <c r="DY47" i="14"/>
  <c r="DZ47" i="14" s="1"/>
  <c r="ED251" i="14"/>
  <c r="ED252" i="14" s="1"/>
  <c r="ED503" i="14"/>
  <c r="EE503" i="14" s="1"/>
  <c r="CZ275" i="14"/>
  <c r="CZ276" i="14" s="1"/>
  <c r="CZ635" i="14"/>
  <c r="CZ636" i="14" s="1"/>
  <c r="DT587" i="14"/>
  <c r="DT588" i="14" s="1"/>
  <c r="CP359" i="14"/>
  <c r="CQ359" i="14" s="1"/>
  <c r="ED647" i="14"/>
  <c r="EE647" i="14" s="1"/>
  <c r="CF599" i="14"/>
  <c r="CG599" i="14" s="1"/>
  <c r="DO251" i="14"/>
  <c r="DO252" i="14" s="1"/>
  <c r="DJ503" i="14"/>
  <c r="DJ504" i="14" s="1"/>
  <c r="CK275" i="14"/>
  <c r="CK276" i="14" s="1"/>
  <c r="CP635" i="14"/>
  <c r="CQ635" i="14" s="1"/>
  <c r="CF359" i="14"/>
  <c r="CG359" i="14" s="1"/>
  <c r="CF383" i="14"/>
  <c r="CF384" i="14" s="1"/>
  <c r="DO647" i="14"/>
  <c r="DO648" i="14" s="1"/>
  <c r="CU419" i="14"/>
  <c r="CU420" i="14" s="1"/>
  <c r="CZ599" i="14"/>
  <c r="CZ600" i="14" s="1"/>
  <c r="DY359" i="14"/>
  <c r="DY360" i="14" s="1"/>
  <c r="DY251" i="14"/>
  <c r="DY252" i="14" s="1"/>
  <c r="CK119" i="14"/>
  <c r="CK120" i="14" s="1"/>
  <c r="CF275" i="14"/>
  <c r="CF276" i="14" s="1"/>
  <c r="CK635" i="14"/>
  <c r="CK636" i="14" s="1"/>
  <c r="DY179" i="14"/>
  <c r="DZ179" i="14" s="1"/>
  <c r="CU671" i="14"/>
  <c r="CV671" i="14" s="1"/>
  <c r="CZ359" i="14"/>
  <c r="CZ360" i="14" s="1"/>
  <c r="CU383" i="14"/>
  <c r="CV383" i="14" s="1"/>
  <c r="DJ647" i="14"/>
  <c r="DK647" i="14" s="1"/>
  <c r="CP419" i="14"/>
  <c r="CQ419" i="14" s="1"/>
  <c r="CK599" i="14"/>
  <c r="CK600" i="14" s="1"/>
  <c r="DJ359" i="14"/>
  <c r="DJ360" i="14" s="1"/>
  <c r="CZ119" i="14"/>
  <c r="DA119" i="14" s="1"/>
  <c r="DJ143" i="14"/>
  <c r="DK143" i="14" s="1"/>
  <c r="ED179" i="14"/>
  <c r="ED180" i="14" s="1"/>
  <c r="CZ671" i="14"/>
  <c r="DA671" i="14" s="1"/>
  <c r="CK455" i="14"/>
  <c r="CK456" i="14" s="1"/>
  <c r="CZ383" i="14"/>
  <c r="DA383" i="14" s="1"/>
  <c r="DY647" i="14"/>
  <c r="DZ647" i="14" s="1"/>
  <c r="CZ419" i="14"/>
  <c r="CZ420" i="14" s="1"/>
  <c r="CU599" i="14"/>
  <c r="CV599" i="14" s="1"/>
  <c r="DO359" i="14"/>
  <c r="DO360" i="14" s="1"/>
  <c r="CF119" i="14"/>
  <c r="CF120" i="14" s="1"/>
  <c r="DT143" i="14"/>
  <c r="DU143" i="14" s="1"/>
  <c r="DT527" i="14"/>
  <c r="DU527" i="14" s="1"/>
  <c r="DJ179" i="14"/>
  <c r="DK179" i="14" s="1"/>
  <c r="CK671" i="14"/>
  <c r="CL671" i="14" s="1"/>
  <c r="CF587" i="14"/>
  <c r="CF588" i="14" s="1"/>
  <c r="DE636" i="14"/>
  <c r="DE84" i="14"/>
  <c r="DE648" i="14"/>
  <c r="DE216" i="14"/>
  <c r="CA600" i="14"/>
  <c r="CA180" i="14"/>
  <c r="CA84" i="14"/>
  <c r="CA156" i="14"/>
  <c r="DE408" i="14"/>
  <c r="CA552" i="14"/>
  <c r="DE288" i="14"/>
  <c r="DE540" i="14"/>
  <c r="DE372" i="14"/>
  <c r="DE672" i="14"/>
  <c r="DE420" i="14"/>
  <c r="DE624" i="14"/>
  <c r="DE228" i="14"/>
  <c r="DE480" i="14"/>
  <c r="CA396" i="14"/>
  <c r="CA96" i="14"/>
  <c r="CA648" i="14"/>
  <c r="DE300" i="14"/>
  <c r="DE348" i="14"/>
  <c r="CA288" i="14"/>
  <c r="DE108" i="14"/>
  <c r="DE504" i="14"/>
  <c r="DE312" i="14"/>
  <c r="CA252" i="14"/>
  <c r="CA540" i="14"/>
  <c r="CA60" i="14"/>
  <c r="DE468" i="14"/>
  <c r="CA348" i="14"/>
  <c r="DE156" i="14"/>
  <c r="CA192" i="14"/>
  <c r="CA504" i="14"/>
  <c r="CA624" i="14"/>
  <c r="DE552" i="14"/>
  <c r="DE396" i="14"/>
  <c r="CA492" i="14"/>
  <c r="CA660" i="14"/>
  <c r="CA240" i="14"/>
  <c r="DE264" i="14"/>
  <c r="CA384" i="14"/>
  <c r="CA432" i="14"/>
  <c r="DE192" i="14"/>
  <c r="DE516" i="14"/>
  <c r="DE432" i="14"/>
  <c r="CA168" i="14"/>
  <c r="DE336" i="14"/>
  <c r="DE444" i="14"/>
  <c r="CA588" i="14"/>
  <c r="CA312" i="14"/>
  <c r="DE324" i="14"/>
  <c r="DE276" i="14"/>
  <c r="DE564" i="14"/>
  <c r="CA408" i="14"/>
  <c r="DE96" i="14"/>
  <c r="CA300" i="14"/>
  <c r="CA612" i="14"/>
  <c r="CA636" i="14"/>
  <c r="CA444" i="14"/>
  <c r="DE492" i="14"/>
  <c r="CA564" i="14"/>
  <c r="CA516" i="14"/>
  <c r="DE240" i="14"/>
  <c r="CA468" i="14"/>
  <c r="DE576" i="14"/>
  <c r="CA336" i="14"/>
  <c r="CA372" i="14"/>
  <c r="DE204" i="14"/>
  <c r="DE132" i="14"/>
  <c r="CA144" i="14"/>
  <c r="DE168" i="14"/>
  <c r="CA228" i="14"/>
  <c r="DE600" i="14"/>
  <c r="CA264" i="14"/>
  <c r="CA576" i="14"/>
  <c r="DE456" i="14"/>
  <c r="CA324" i="14"/>
  <c r="CA204" i="14"/>
  <c r="DY84" i="14"/>
  <c r="DZ83" i="14"/>
  <c r="CU336" i="14"/>
  <c r="CV335" i="14"/>
  <c r="DY408" i="14"/>
  <c r="DZ407" i="14"/>
  <c r="ED552" i="14"/>
  <c r="EE551" i="14"/>
  <c r="CV527" i="14"/>
  <c r="CU528" i="14"/>
  <c r="CZ132" i="14"/>
  <c r="DA131" i="14"/>
  <c r="ED636" i="14"/>
  <c r="EE635" i="14"/>
  <c r="CQ623" i="14"/>
  <c r="CP624" i="14"/>
  <c r="DK119" i="14"/>
  <c r="DJ120" i="14"/>
  <c r="DA83" i="14"/>
  <c r="CZ84" i="14"/>
  <c r="CP96" i="14"/>
  <c r="CQ95" i="14"/>
  <c r="CP600" i="14"/>
  <c r="CQ599" i="14"/>
  <c r="CZ180" i="14"/>
  <c r="DA179" i="14"/>
  <c r="DO432" i="14"/>
  <c r="DP431" i="14"/>
  <c r="CK552" i="14"/>
  <c r="CL551" i="14"/>
  <c r="ED384" i="14"/>
  <c r="EE383" i="14"/>
  <c r="DK287" i="14"/>
  <c r="DJ288" i="14"/>
  <c r="DU539" i="14"/>
  <c r="DT540" i="14"/>
  <c r="ED468" i="14"/>
  <c r="EE467" i="14"/>
  <c r="DY192" i="14"/>
  <c r="DZ191" i="14"/>
  <c r="DJ108" i="14"/>
  <c r="DK107" i="14"/>
  <c r="CZ396" i="14"/>
  <c r="DA395" i="14"/>
  <c r="CL383" i="14"/>
  <c r="CK384" i="14"/>
  <c r="CG419" i="14"/>
  <c r="CF420" i="14"/>
  <c r="ED360" i="14"/>
  <c r="EE359" i="14"/>
  <c r="CQ119" i="14"/>
  <c r="CP120" i="14"/>
  <c r="CU168" i="14"/>
  <c r="CV167" i="14"/>
  <c r="DU179" i="14"/>
  <c r="DT180" i="14"/>
  <c r="CP672" i="14"/>
  <c r="CQ671" i="14"/>
  <c r="CQ239" i="14"/>
  <c r="CP240" i="14"/>
  <c r="CP216" i="14"/>
  <c r="CQ215" i="14"/>
  <c r="DT648" i="14"/>
  <c r="DU647" i="14"/>
  <c r="DZ503" i="14"/>
  <c r="DY504" i="14"/>
  <c r="CK252" i="14"/>
  <c r="CL251" i="14"/>
  <c r="EE263" i="14"/>
  <c r="ED264" i="14"/>
  <c r="CG371" i="14"/>
  <c r="CF372" i="14"/>
  <c r="CV431" i="14"/>
  <c r="CU432" i="14"/>
  <c r="CU228" i="14"/>
  <c r="CV227" i="14"/>
  <c r="DY600" i="14"/>
  <c r="DZ599" i="14"/>
  <c r="CK612" i="14"/>
  <c r="CL611" i="14"/>
  <c r="DZ335" i="14"/>
  <c r="DY336" i="14"/>
  <c r="DY444" i="14"/>
  <c r="DZ443" i="14"/>
  <c r="CV503" i="14"/>
  <c r="CU504" i="14"/>
  <c r="EE479" i="14"/>
  <c r="ED480" i="14"/>
  <c r="CF156" i="14"/>
  <c r="CG155" i="14"/>
  <c r="DU299" i="14"/>
  <c r="DT300" i="14"/>
  <c r="DY348" i="14"/>
  <c r="DZ347" i="14"/>
  <c r="EE275" i="14"/>
  <c r="ED276" i="14"/>
  <c r="CG47" i="14"/>
  <c r="CF48" i="14"/>
  <c r="DO48" i="14"/>
  <c r="DP47" i="14"/>
  <c r="DP167" i="14"/>
  <c r="DO168" i="14"/>
  <c r="DY588" i="14"/>
  <c r="DZ587" i="14"/>
  <c r="CQ443" i="14"/>
  <c r="CP444" i="14"/>
  <c r="DK491" i="14"/>
  <c r="DJ492" i="14"/>
  <c r="CU660" i="14"/>
  <c r="CV659" i="14"/>
  <c r="DK371" i="14"/>
  <c r="DJ372" i="14"/>
  <c r="CK408" i="14"/>
  <c r="CL407" i="14"/>
  <c r="ED96" i="14"/>
  <c r="EE95" i="14"/>
  <c r="CF480" i="14"/>
  <c r="CG479" i="14"/>
  <c r="DT252" i="14"/>
  <c r="DU251" i="14"/>
  <c r="CF300" i="14"/>
  <c r="CG299" i="14"/>
  <c r="DP143" i="14"/>
  <c r="DO144" i="14"/>
  <c r="CU276" i="14"/>
  <c r="CV275" i="14"/>
  <c r="CF636" i="14"/>
  <c r="CG635" i="14"/>
  <c r="CU576" i="14"/>
  <c r="CV575" i="14"/>
  <c r="CZ108" i="14"/>
  <c r="DA107" i="14"/>
  <c r="CU324" i="14"/>
  <c r="CV323" i="14"/>
  <c r="CL359" i="14"/>
  <c r="CK360" i="14"/>
  <c r="DJ612" i="14"/>
  <c r="DK611" i="14"/>
  <c r="DU515" i="14"/>
  <c r="DT516" i="14"/>
  <c r="CK312" i="14"/>
  <c r="CL311" i="14"/>
  <c r="DZ131" i="14"/>
  <c r="DY132" i="14"/>
  <c r="DA143" i="14"/>
  <c r="CZ144" i="14"/>
  <c r="DY672" i="14"/>
  <c r="DZ671" i="14"/>
  <c r="CP264" i="14"/>
  <c r="CQ263" i="14"/>
  <c r="CQ491" i="14"/>
  <c r="CP492" i="14"/>
  <c r="DU215" i="14"/>
  <c r="DT216" i="14"/>
  <c r="CK540" i="14"/>
  <c r="CL539" i="14"/>
  <c r="DZ203" i="14"/>
  <c r="DY204" i="14"/>
  <c r="DK227" i="14"/>
  <c r="DJ228" i="14"/>
  <c r="DT576" i="14"/>
  <c r="DU575" i="14"/>
  <c r="DT396" i="14"/>
  <c r="DU395" i="14"/>
  <c r="ED420" i="14"/>
  <c r="EE419" i="14"/>
  <c r="DO456" i="14"/>
  <c r="DP455" i="14"/>
  <c r="ED324" i="14"/>
  <c r="EE323" i="14"/>
  <c r="CV563" i="14"/>
  <c r="CU564" i="14"/>
  <c r="DZ59" i="14"/>
  <c r="DY60" i="14"/>
  <c r="CF648" i="14"/>
  <c r="CG647" i="14"/>
  <c r="CF60" i="14"/>
  <c r="CG59" i="14"/>
  <c r="CU348" i="14"/>
  <c r="CV347" i="14"/>
  <c r="CU456" i="14"/>
  <c r="CV455" i="14"/>
  <c r="DT660" i="14"/>
  <c r="DU659" i="14"/>
  <c r="CF192" i="14"/>
  <c r="CG191" i="14"/>
  <c r="CF468" i="14"/>
  <c r="CG467" i="14"/>
  <c r="DK527" i="14"/>
  <c r="DJ528" i="14"/>
  <c r="DT240" i="14"/>
  <c r="DU239" i="14"/>
  <c r="DK623" i="14"/>
  <c r="DJ624" i="14"/>
  <c r="CQ515" i="14"/>
  <c r="CP516" i="14"/>
  <c r="CZ588" i="14"/>
  <c r="DA587" i="14"/>
  <c r="Q33" i="44"/>
  <c r="Q31" i="44"/>
  <c r="Q34" i="44"/>
  <c r="AT35" i="14"/>
  <c r="DF396" i="14" a="1"/>
  <c r="CA47" i="14"/>
  <c r="DF132" i="14" a="1"/>
  <c r="CB312" i="14" a="1"/>
  <c r="CB239" i="14" a="1"/>
  <c r="CB647" i="14" a="1"/>
  <c r="DF443" i="14" a="1"/>
  <c r="CB156" i="14" a="1"/>
  <c r="DF636" i="14" a="1"/>
  <c r="CB348" i="14" a="1"/>
  <c r="CB288" i="14" a="1"/>
  <c r="CB432" i="14" a="1"/>
  <c r="DF623" i="14" a="1"/>
  <c r="DE359" i="14"/>
  <c r="DF624" i="14" a="1"/>
  <c r="CB227" i="14" a="1"/>
  <c r="CA107" i="14"/>
  <c r="CB179" i="14" a="1"/>
  <c r="DF203" i="14" a="1"/>
  <c r="CB336" i="14" a="1"/>
  <c r="DF96" i="14" a="1"/>
  <c r="DF432" i="14" a="1"/>
  <c r="CB408" i="14" a="1"/>
  <c r="DF516" i="14" a="1"/>
  <c r="DF155" i="14" a="1"/>
  <c r="CB503" i="14" a="1"/>
  <c r="CB539" i="14" a="1"/>
  <c r="DF468" i="14" a="1"/>
  <c r="CB180" i="14" a="1"/>
  <c r="DF347" i="14" a="1"/>
  <c r="DF648" i="14" a="1"/>
  <c r="CB624" i="14" a="1"/>
  <c r="DF287" i="14" a="1"/>
  <c r="CB599" i="14" a="1"/>
  <c r="DF336" i="14" a="1"/>
  <c r="CB515" i="14" a="1"/>
  <c r="CA671" i="14"/>
  <c r="DF348" i="14" a="1"/>
  <c r="CB551" i="14" a="1"/>
  <c r="CB240" i="14" a="1"/>
  <c r="DF672" i="14" a="1"/>
  <c r="CB144" i="14" a="1"/>
  <c r="CB587" i="14" a="1"/>
  <c r="CA419" i="14"/>
  <c r="DF276" i="14" a="1"/>
  <c r="DF515" i="14" a="1"/>
  <c r="CB60" i="14" a="1"/>
  <c r="DF551" i="14" a="1"/>
  <c r="DF204" i="14" a="1"/>
  <c r="DF240" i="14" a="1"/>
  <c r="CB96" i="14" a="1"/>
  <c r="CB324" i="14" a="1"/>
  <c r="CB467" i="14" a="1"/>
  <c r="DF456" i="14" a="1"/>
  <c r="CB204" i="14" a="1"/>
  <c r="CB612" i="14" a="1"/>
  <c r="CB383" i="14" a="1"/>
  <c r="CB287" i="14" a="1"/>
  <c r="CB611" i="14" a="1"/>
  <c r="CB347" i="14" a="1"/>
  <c r="CB552" i="14" a="1"/>
  <c r="CB635" i="14" a="1"/>
  <c r="CB167" i="14" a="1"/>
  <c r="CB600" i="14" a="1"/>
  <c r="DF84" i="14" a="1"/>
  <c r="DF83" i="14" a="1"/>
  <c r="CB228" i="14" a="1"/>
  <c r="CB335" i="14" a="1"/>
  <c r="CB504" i="14" a="1"/>
  <c r="CA275" i="14"/>
  <c r="CB95" i="14" a="1"/>
  <c r="CB83" i="14" a="1"/>
  <c r="CB192" i="14" a="1"/>
  <c r="CA479" i="14"/>
  <c r="DF216" i="14" a="1"/>
  <c r="CA131" i="14"/>
  <c r="DE251" i="14"/>
  <c r="DF131" i="14" a="1"/>
  <c r="DF407" i="14" a="1"/>
  <c r="CB155" i="14" a="1"/>
  <c r="DF420" i="14" a="1"/>
  <c r="DF564" i="14" a="1"/>
  <c r="CB263" i="14" a="1"/>
  <c r="DF599" i="14" a="1"/>
  <c r="DE611" i="14"/>
  <c r="CB443" i="14" a="1"/>
  <c r="CB384" i="14" a="1"/>
  <c r="DF311" i="14" a="1"/>
  <c r="CB648" i="14" a="1"/>
  <c r="DF575" i="14" a="1"/>
  <c r="CB444" i="14" a="1"/>
  <c r="CB323" i="14" a="1"/>
  <c r="CA119" i="14"/>
  <c r="DE383" i="14"/>
  <c r="CB564" i="14" a="1"/>
  <c r="CB623" i="14" a="1"/>
  <c r="CB311" i="14" a="1"/>
  <c r="CB84" i="14" a="1"/>
  <c r="DF227" i="14" a="1"/>
  <c r="CB516" i="14" a="1"/>
  <c r="CB251" i="14" a="1"/>
  <c r="DE47" i="14"/>
  <c r="CB636" i="14" a="1"/>
  <c r="DF479" i="14" a="1"/>
  <c r="DF167" i="14" a="1"/>
  <c r="CB491" i="14" a="1"/>
  <c r="CB588" i="14" a="1"/>
  <c r="CB395" i="14" a="1"/>
  <c r="DF168" i="14" a="1"/>
  <c r="CB59" i="14" a="1"/>
  <c r="DF263" i="14" a="1"/>
  <c r="CA215" i="14"/>
  <c r="DF504" i="14" a="1"/>
  <c r="DF156" i="14" a="1"/>
  <c r="DF335" i="14" a="1"/>
  <c r="DF95" i="14" a="1"/>
  <c r="CB143" i="14" a="1"/>
  <c r="CA455" i="14"/>
  <c r="CB264" i="14" a="1"/>
  <c r="DF431" i="14" a="1"/>
  <c r="CB660" i="14" a="1"/>
  <c r="DE659" i="14"/>
  <c r="DF552" i="14" a="1"/>
  <c r="DE119" i="14"/>
  <c r="DF444" i="14" a="1"/>
  <c r="DF395" i="14" a="1"/>
  <c r="CB563" i="14" a="1"/>
  <c r="DF503" i="14" a="1"/>
  <c r="CB576" i="14" a="1"/>
  <c r="CB575" i="14" a="1"/>
  <c r="CA359" i="14"/>
  <c r="DF288" i="14" a="1"/>
  <c r="DF600" i="14" a="1"/>
  <c r="CB659" i="14" a="1"/>
  <c r="DE527" i="14"/>
  <c r="CB540" i="14" a="1"/>
  <c r="DE587" i="14"/>
  <c r="CB431" i="14" a="1"/>
  <c r="DF539" i="14" a="1"/>
  <c r="DF419" i="14" a="1"/>
  <c r="DF576" i="14" a="1"/>
  <c r="DF215" i="14" a="1"/>
  <c r="DF228" i="14" a="1"/>
  <c r="DF480" i="14" a="1"/>
  <c r="DF323" i="14" a="1"/>
  <c r="CB252" i="14" a="1"/>
  <c r="CB191" i="14" a="1"/>
  <c r="DF455" i="14" a="1"/>
  <c r="CB407" i="14" a="1"/>
  <c r="DE59" i="14"/>
  <c r="CB300" i="14" a="1"/>
  <c r="DF324" i="14" a="1"/>
  <c r="DF671" i="14" a="1"/>
  <c r="DE143" i="14"/>
  <c r="DF108" i="14" a="1"/>
  <c r="DF107" i="14" a="1"/>
  <c r="CB299" i="14" a="1"/>
  <c r="DF635" i="14" a="1"/>
  <c r="DF312" i="14" a="1"/>
  <c r="DF372" i="14" a="1"/>
  <c r="DF191" i="14" a="1"/>
  <c r="CB372" i="14" a="1"/>
  <c r="DF563" i="14" a="1"/>
  <c r="DF467" i="14" a="1"/>
  <c r="DE179" i="14"/>
  <c r="DF647" i="14" a="1"/>
  <c r="DF192" i="14" a="1"/>
  <c r="DF299" i="14" a="1"/>
  <c r="DF275" i="14" a="1"/>
  <c r="CB468" i="14" a="1"/>
  <c r="DF264" i="14" a="1"/>
  <c r="DF239" i="14" a="1"/>
  <c r="DF408" i="14" a="1"/>
  <c r="CB168" i="14" a="1"/>
  <c r="DF492" i="14" a="1"/>
  <c r="CB492" i="14" a="1"/>
  <c r="DF300" i="14" a="1"/>
  <c r="DF540" i="14" a="1"/>
  <c r="DF371" i="14" a="1"/>
  <c r="DF491" i="14" a="1"/>
  <c r="CB203" i="14" a="1"/>
  <c r="CB371" i="14" a="1"/>
  <c r="CB396" i="14" a="1"/>
  <c r="CA527" i="14"/>
  <c r="DA287" i="14" l="1"/>
  <c r="CP288" i="14"/>
  <c r="CQ288" i="14" s="1"/>
  <c r="CF288" i="14"/>
  <c r="CG288" i="14" s="1"/>
  <c r="DP347" i="14"/>
  <c r="CL335" i="14"/>
  <c r="CL287" i="14"/>
  <c r="DU563" i="14"/>
  <c r="DZ563" i="14"/>
  <c r="DA299" i="14"/>
  <c r="DU95" i="14"/>
  <c r="ED564" i="14"/>
  <c r="EE564" i="14" s="1"/>
  <c r="EE239" i="14"/>
  <c r="DJ564" i="14"/>
  <c r="DJ565" i="14" s="1"/>
  <c r="ED396" i="14"/>
  <c r="ED397" i="14" s="1"/>
  <c r="CU84" i="14"/>
  <c r="CU85" i="14" s="1"/>
  <c r="DA203" i="14"/>
  <c r="CP612" i="14"/>
  <c r="CQ612" i="14" s="1"/>
  <c r="DP311" i="14"/>
  <c r="DO204" i="14"/>
  <c r="DP204" i="14" s="1"/>
  <c r="DP155" i="14"/>
  <c r="ED312" i="14"/>
  <c r="ED313" i="14" s="1"/>
  <c r="DU311" i="14"/>
  <c r="DJ156" i="14"/>
  <c r="DK156" i="14" s="1"/>
  <c r="DJ312" i="14"/>
  <c r="DJ313" i="14" s="1"/>
  <c r="DJ204" i="14"/>
  <c r="DK204" i="14" s="1"/>
  <c r="EE155" i="14"/>
  <c r="DT156" i="14"/>
  <c r="DU156" i="14" s="1"/>
  <c r="DZ239" i="14"/>
  <c r="CZ612" i="14"/>
  <c r="CZ613" i="14" s="1"/>
  <c r="DZ155" i="14"/>
  <c r="CQ203" i="14"/>
  <c r="CU204" i="14"/>
  <c r="CU205" i="14" s="1"/>
  <c r="DK551" i="14"/>
  <c r="CU192" i="14"/>
  <c r="CU193" i="14" s="1"/>
  <c r="ED348" i="14"/>
  <c r="ED349" i="14" s="1"/>
  <c r="DT192" i="14"/>
  <c r="DT193" i="14" s="1"/>
  <c r="DY216" i="14"/>
  <c r="DY217" i="14" s="1"/>
  <c r="DJ96" i="14"/>
  <c r="DJ97" i="14" s="1"/>
  <c r="DP239" i="14"/>
  <c r="DP95" i="14"/>
  <c r="DK239" i="14"/>
  <c r="CU300" i="14"/>
  <c r="CV300" i="14" s="1"/>
  <c r="DU479" i="14"/>
  <c r="EE203" i="14"/>
  <c r="CZ192" i="14"/>
  <c r="DA192" i="14" s="1"/>
  <c r="DT204" i="14"/>
  <c r="DT205" i="14" s="1"/>
  <c r="DP191" i="14"/>
  <c r="CV287" i="14"/>
  <c r="DZ395" i="14"/>
  <c r="CF492" i="14"/>
  <c r="CF493" i="14" s="1"/>
  <c r="CL191" i="14"/>
  <c r="CL299" i="14"/>
  <c r="DY312" i="14"/>
  <c r="DY313" i="14" s="1"/>
  <c r="DA335" i="14"/>
  <c r="DU323" i="14"/>
  <c r="DK395" i="14"/>
  <c r="DJ456" i="14"/>
  <c r="DJ457" i="14" s="1"/>
  <c r="CG611" i="14"/>
  <c r="CQ503" i="14"/>
  <c r="DT132" i="14"/>
  <c r="DT133" i="14" s="1"/>
  <c r="DO552" i="14"/>
  <c r="DP552" i="14" s="1"/>
  <c r="DO564" i="14"/>
  <c r="DO565" i="14" s="1"/>
  <c r="CF504" i="14"/>
  <c r="CG504" i="14" s="1"/>
  <c r="DK191" i="14"/>
  <c r="DY96" i="14"/>
  <c r="DY97" i="14" s="1"/>
  <c r="DP515" i="14"/>
  <c r="CG167" i="14"/>
  <c r="DP395" i="14"/>
  <c r="CP336" i="14"/>
  <c r="CQ336" i="14" s="1"/>
  <c r="ED444" i="14"/>
  <c r="ED445" i="14" s="1"/>
  <c r="CZ492" i="14"/>
  <c r="DA492" i="14" s="1"/>
  <c r="DO324" i="14"/>
  <c r="DP324" i="14" s="1"/>
  <c r="DZ323" i="14"/>
  <c r="CK504" i="14"/>
  <c r="CL504" i="14" s="1"/>
  <c r="DA167" i="14"/>
  <c r="CV491" i="14"/>
  <c r="CP300" i="14"/>
  <c r="CQ300" i="14" s="1"/>
  <c r="CP564" i="14"/>
  <c r="CP565" i="14" s="1"/>
  <c r="CF336" i="14"/>
  <c r="CG336" i="14" s="1"/>
  <c r="DP131" i="14"/>
  <c r="DU275" i="14"/>
  <c r="CL491" i="14"/>
  <c r="CV611" i="14"/>
  <c r="CQ191" i="14"/>
  <c r="DJ324" i="14"/>
  <c r="DK324" i="14" s="1"/>
  <c r="ED132" i="14"/>
  <c r="ED133" i="14" s="1"/>
  <c r="CK564" i="14"/>
  <c r="CL564" i="14" s="1"/>
  <c r="CF564" i="14"/>
  <c r="CG564" i="14" s="1"/>
  <c r="DJ444" i="14"/>
  <c r="DK444" i="14" s="1"/>
  <c r="CV623" i="14"/>
  <c r="EE191" i="14"/>
  <c r="DJ348" i="14"/>
  <c r="DK348" i="14" s="1"/>
  <c r="CK168" i="14"/>
  <c r="CK169" i="14" s="1"/>
  <c r="DA563" i="14"/>
  <c r="CK84" i="14"/>
  <c r="CK85" i="14" s="1"/>
  <c r="DZ575" i="14"/>
  <c r="CP84" i="14"/>
  <c r="CQ84" i="14" s="1"/>
  <c r="CP156" i="14"/>
  <c r="CQ156" i="14" s="1"/>
  <c r="DK131" i="14"/>
  <c r="CF660" i="14"/>
  <c r="CF661" i="14" s="1"/>
  <c r="DY552" i="14"/>
  <c r="DZ552" i="14" s="1"/>
  <c r="DP575" i="14"/>
  <c r="ED408" i="14"/>
  <c r="ED409" i="14" s="1"/>
  <c r="DU107" i="14"/>
  <c r="DT348" i="14"/>
  <c r="DT349" i="14" s="1"/>
  <c r="DP407" i="14"/>
  <c r="DY276" i="14"/>
  <c r="DY277" i="14" s="1"/>
  <c r="DY456" i="14"/>
  <c r="DY457" i="14" s="1"/>
  <c r="CV179" i="14"/>
  <c r="CQ551" i="14"/>
  <c r="CP180" i="14"/>
  <c r="CQ180" i="14" s="1"/>
  <c r="EE107" i="14"/>
  <c r="CG179" i="14"/>
  <c r="DO372" i="14"/>
  <c r="DO373" i="14" s="1"/>
  <c r="ED576" i="14"/>
  <c r="ED577" i="14" s="1"/>
  <c r="ED372" i="14"/>
  <c r="ED373" i="14" s="1"/>
  <c r="DJ276" i="14"/>
  <c r="DJ277" i="14" s="1"/>
  <c r="DK635" i="14"/>
  <c r="DY372" i="14"/>
  <c r="DZ372" i="14" s="1"/>
  <c r="EE455" i="14"/>
  <c r="DZ107" i="14"/>
  <c r="DY516" i="14"/>
  <c r="DY517" i="14" s="1"/>
  <c r="DU407" i="14"/>
  <c r="DU551" i="14"/>
  <c r="DO636" i="14"/>
  <c r="DP636" i="14" s="1"/>
  <c r="DO108" i="14"/>
  <c r="DO109" i="14" s="1"/>
  <c r="DP215" i="14"/>
  <c r="CF552" i="14"/>
  <c r="CG552" i="14" s="1"/>
  <c r="DU443" i="14"/>
  <c r="CZ576" i="14"/>
  <c r="DA576" i="14" s="1"/>
  <c r="CU372" i="14"/>
  <c r="CU373" i="14" s="1"/>
  <c r="CQ467" i="14"/>
  <c r="DT168" i="14"/>
  <c r="DT169" i="14" s="1"/>
  <c r="DO480" i="14"/>
  <c r="DO481" i="14" s="1"/>
  <c r="CL623" i="14"/>
  <c r="DU371" i="14"/>
  <c r="CL575" i="14"/>
  <c r="DA311" i="14"/>
  <c r="DA467" i="14"/>
  <c r="DZ635" i="14"/>
  <c r="DO444" i="14"/>
  <c r="DO445" i="14" s="1"/>
  <c r="DT456" i="14"/>
  <c r="DU456" i="14" s="1"/>
  <c r="CL467" i="14"/>
  <c r="DU263" i="14"/>
  <c r="CF624" i="14"/>
  <c r="CG624" i="14" s="1"/>
  <c r="DA407" i="14"/>
  <c r="ED600" i="14"/>
  <c r="EE600" i="14" s="1"/>
  <c r="CU156" i="14"/>
  <c r="CV156" i="14" s="1"/>
  <c r="CV143" i="14"/>
  <c r="DU467" i="14"/>
  <c r="DK431" i="14"/>
  <c r="CL143" i="14"/>
  <c r="EE167" i="14"/>
  <c r="DY264" i="14"/>
  <c r="DZ264" i="14" s="1"/>
  <c r="CZ660" i="14"/>
  <c r="CZ661" i="14" s="1"/>
  <c r="DO264" i="14"/>
  <c r="DO265" i="14" s="1"/>
  <c r="DT636" i="14"/>
  <c r="DT637" i="14" s="1"/>
  <c r="DA95" i="14"/>
  <c r="CZ156" i="14"/>
  <c r="CZ157" i="14" s="1"/>
  <c r="DK479" i="14"/>
  <c r="DJ168" i="14"/>
  <c r="DJ169" i="14" s="1"/>
  <c r="ED216" i="14"/>
  <c r="ED217" i="14" s="1"/>
  <c r="ED672" i="14"/>
  <c r="ED673" i="14" s="1"/>
  <c r="DT432" i="14"/>
  <c r="DT433" i="14" s="1"/>
  <c r="CQ311" i="14"/>
  <c r="DJ264" i="14"/>
  <c r="DK264" i="14" s="1"/>
  <c r="DK575" i="14"/>
  <c r="CP660" i="14"/>
  <c r="CQ660" i="14" s="1"/>
  <c r="CQ347" i="14"/>
  <c r="DT144" i="14"/>
  <c r="DT145" i="14" s="1"/>
  <c r="CL203" i="14"/>
  <c r="CP372" i="14"/>
  <c r="CQ372" i="14" s="1"/>
  <c r="CV311" i="14"/>
  <c r="EE659" i="14"/>
  <c r="CZ552" i="14"/>
  <c r="DA552" i="14" s="1"/>
  <c r="CG143" i="14"/>
  <c r="CZ624" i="14"/>
  <c r="DA624" i="14" s="1"/>
  <c r="CG95" i="14"/>
  <c r="CG203" i="14"/>
  <c r="DT336" i="14"/>
  <c r="DU336" i="14" s="1"/>
  <c r="CK660" i="14"/>
  <c r="CK661" i="14" s="1"/>
  <c r="CG251" i="14"/>
  <c r="ED336" i="14"/>
  <c r="EE336" i="14" s="1"/>
  <c r="CK180" i="14"/>
  <c r="CL180" i="14" s="1"/>
  <c r="DA323" i="14"/>
  <c r="CK60" i="14"/>
  <c r="CK61" i="14" s="1"/>
  <c r="DT492" i="14"/>
  <c r="DU492" i="14" s="1"/>
  <c r="CP168" i="14"/>
  <c r="CP169" i="14" s="1"/>
  <c r="CG539" i="14"/>
  <c r="CG575" i="14"/>
  <c r="DZ431" i="14"/>
  <c r="CZ504" i="14"/>
  <c r="CZ505" i="14" s="1"/>
  <c r="DO276" i="14"/>
  <c r="DP276" i="14" s="1"/>
  <c r="DY480" i="14"/>
  <c r="DZ480" i="14" s="1"/>
  <c r="ED516" i="14"/>
  <c r="EE516" i="14" s="1"/>
  <c r="CZ372" i="14"/>
  <c r="DA372" i="14" s="1"/>
  <c r="CP144" i="14"/>
  <c r="CQ144" i="14" s="1"/>
  <c r="DJ408" i="14"/>
  <c r="DK408" i="14" s="1"/>
  <c r="CF348" i="14"/>
  <c r="CF349" i="14" s="1"/>
  <c r="CK240" i="14"/>
  <c r="CL240" i="14" s="1"/>
  <c r="DY168" i="14"/>
  <c r="DY169" i="14" s="1"/>
  <c r="CQ575" i="14"/>
  <c r="DK599" i="14"/>
  <c r="DJ516" i="14"/>
  <c r="DK516" i="14" s="1"/>
  <c r="EE83" i="14"/>
  <c r="CV395" i="14"/>
  <c r="DA599" i="14"/>
  <c r="CG671" i="14"/>
  <c r="CK672" i="14"/>
  <c r="CL672" i="14" s="1"/>
  <c r="DZ383" i="14"/>
  <c r="ED432" i="14"/>
  <c r="EE432" i="14" s="1"/>
  <c r="CK528" i="14"/>
  <c r="CK529" i="14" s="1"/>
  <c r="DY492" i="14"/>
  <c r="DY493" i="14" s="1"/>
  <c r="DJ144" i="14"/>
  <c r="DK144" i="14" s="1"/>
  <c r="CK324" i="14"/>
  <c r="CK325" i="14" s="1"/>
  <c r="CP408" i="14"/>
  <c r="CP409" i="14" s="1"/>
  <c r="DZ119" i="14"/>
  <c r="DA527" i="14"/>
  <c r="ED300" i="14"/>
  <c r="ED301" i="14" s="1"/>
  <c r="DJ336" i="14"/>
  <c r="DJ337" i="14" s="1"/>
  <c r="DA275" i="14"/>
  <c r="CL443" i="14"/>
  <c r="CU216" i="14"/>
  <c r="CU217" i="14" s="1"/>
  <c r="CK588" i="14"/>
  <c r="CL588" i="14" s="1"/>
  <c r="CG131" i="14"/>
  <c r="CQ227" i="14"/>
  <c r="DA455" i="14"/>
  <c r="DY528" i="14"/>
  <c r="DY529" i="14" s="1"/>
  <c r="DJ672" i="14"/>
  <c r="DJ673" i="14" s="1"/>
  <c r="DO492" i="14"/>
  <c r="DP492" i="14" s="1"/>
  <c r="CZ120" i="14"/>
  <c r="CZ121" i="14" s="1"/>
  <c r="DK215" i="14"/>
  <c r="DT60" i="14"/>
  <c r="DU60" i="14" s="1"/>
  <c r="DO228" i="14"/>
  <c r="DO229" i="14" s="1"/>
  <c r="DA47" i="14"/>
  <c r="CK96" i="14"/>
  <c r="CL96" i="14" s="1"/>
  <c r="CP456" i="14"/>
  <c r="CP457" i="14" s="1"/>
  <c r="EE611" i="14"/>
  <c r="DY228" i="14"/>
  <c r="DY229" i="14" s="1"/>
  <c r="DY420" i="14"/>
  <c r="DZ420" i="14" s="1"/>
  <c r="CQ395" i="14"/>
  <c r="CP60" i="14"/>
  <c r="CP61" i="14" s="1"/>
  <c r="DP299" i="14"/>
  <c r="CV251" i="14"/>
  <c r="CF84" i="14"/>
  <c r="CF85" i="14" s="1"/>
  <c r="DY660" i="14"/>
  <c r="DY661" i="14" s="1"/>
  <c r="DP599" i="14"/>
  <c r="CF360" i="14"/>
  <c r="CF361" i="14" s="1"/>
  <c r="CZ240" i="14"/>
  <c r="CZ241" i="14" s="1"/>
  <c r="EE227" i="14"/>
  <c r="CG263" i="14"/>
  <c r="CF240" i="14"/>
  <c r="CF241" i="14" s="1"/>
  <c r="CQ383" i="14"/>
  <c r="DT84" i="14"/>
  <c r="DU84" i="14" s="1"/>
  <c r="DY540" i="14"/>
  <c r="DZ540" i="14" s="1"/>
  <c r="DU227" i="14"/>
  <c r="CV59" i="14"/>
  <c r="DJ648" i="14"/>
  <c r="DK648" i="14" s="1"/>
  <c r="DP671" i="14"/>
  <c r="CU516" i="14"/>
  <c r="CU517" i="14" s="1"/>
  <c r="CU468" i="14"/>
  <c r="CU469" i="14" s="1"/>
  <c r="DZ623" i="14"/>
  <c r="DA227" i="14"/>
  <c r="CG311" i="14"/>
  <c r="CG227" i="14"/>
  <c r="CG119" i="14"/>
  <c r="CU552" i="14"/>
  <c r="CV552" i="14" s="1"/>
  <c r="DT600" i="14"/>
  <c r="DU600" i="14" s="1"/>
  <c r="DY300" i="14"/>
  <c r="DZ300" i="14" s="1"/>
  <c r="DO624" i="14"/>
  <c r="DP624" i="14" s="1"/>
  <c r="CF516" i="14"/>
  <c r="CG516" i="14" s="1"/>
  <c r="CV95" i="14"/>
  <c r="DJ300" i="14"/>
  <c r="DJ301" i="14" s="1"/>
  <c r="CK228" i="14"/>
  <c r="CL228" i="14" s="1"/>
  <c r="DA539" i="14"/>
  <c r="CZ60" i="14"/>
  <c r="DA60" i="14" s="1"/>
  <c r="DT672" i="14"/>
  <c r="DT673" i="14" s="1"/>
  <c r="DA647" i="14"/>
  <c r="DJ84" i="14"/>
  <c r="DJ85" i="14" s="1"/>
  <c r="DK383" i="14"/>
  <c r="DA443" i="14"/>
  <c r="DA515" i="14"/>
  <c r="DP83" i="14"/>
  <c r="ED288" i="14"/>
  <c r="ED289" i="14" s="1"/>
  <c r="CQ323" i="14"/>
  <c r="DT528" i="14"/>
  <c r="DU528" i="14" s="1"/>
  <c r="CQ479" i="14"/>
  <c r="DO336" i="14"/>
  <c r="DO337" i="14" s="1"/>
  <c r="ED144" i="14"/>
  <c r="EE144" i="14" s="1"/>
  <c r="ED492" i="14"/>
  <c r="EE492" i="14" s="1"/>
  <c r="CK156" i="14"/>
  <c r="CK157" i="14" s="1"/>
  <c r="CK648" i="14"/>
  <c r="CL648" i="14" s="1"/>
  <c r="DE252" i="14"/>
  <c r="DE253" i="14" s="1"/>
  <c r="CA48" i="14"/>
  <c r="CA49" i="14" s="1"/>
  <c r="DE612" i="14"/>
  <c r="DE613" i="14" s="1"/>
  <c r="CA456" i="14"/>
  <c r="CA457" i="14" s="1"/>
  <c r="DE144" i="14"/>
  <c r="DE145" i="14" s="1"/>
  <c r="DE120" i="14"/>
  <c r="DE121" i="14" s="1"/>
  <c r="DE60" i="14"/>
  <c r="DE61" i="14" s="1"/>
  <c r="CA276" i="14"/>
  <c r="CA277" i="14" s="1"/>
  <c r="CA108" i="14"/>
  <c r="CA109" i="14" s="1"/>
  <c r="CA528" i="14"/>
  <c r="CA529" i="14" s="1"/>
  <c r="DE180" i="14"/>
  <c r="DE181" i="14" s="1"/>
  <c r="DE588" i="14"/>
  <c r="DE589" i="14" s="1"/>
  <c r="DE384" i="14"/>
  <c r="CA132" i="14"/>
  <c r="CA133" i="14" s="1"/>
  <c r="CA672" i="14"/>
  <c r="CA673" i="14" s="1"/>
  <c r="DE660" i="14"/>
  <c r="DE661" i="14" s="1"/>
  <c r="CA216" i="14"/>
  <c r="CA217" i="14" s="1"/>
  <c r="CA480" i="14"/>
  <c r="CA481" i="14" s="1"/>
  <c r="CA420" i="14"/>
  <c r="CA421" i="14" s="1"/>
  <c r="DE360" i="14"/>
  <c r="DE361" i="14" s="1"/>
  <c r="CA360" i="14"/>
  <c r="CA361" i="14" s="1"/>
  <c r="CA120" i="14"/>
  <c r="CA121" i="14" s="1"/>
  <c r="DE528" i="14"/>
  <c r="DE529" i="14" s="1"/>
  <c r="DE48" i="14"/>
  <c r="DE49" i="14" s="1"/>
  <c r="DT612" i="14"/>
  <c r="DT613" i="14" s="1"/>
  <c r="DA263" i="14"/>
  <c r="CL515" i="14"/>
  <c r="CP588" i="14"/>
  <c r="CP589" i="14" s="1"/>
  <c r="CU384" i="14"/>
  <c r="CU385" i="14" s="1"/>
  <c r="CP636" i="14"/>
  <c r="CQ636" i="14" s="1"/>
  <c r="CF408" i="14"/>
  <c r="CG408" i="14" s="1"/>
  <c r="CZ216" i="14"/>
  <c r="CZ217" i="14" s="1"/>
  <c r="CP108" i="14"/>
  <c r="CQ108" i="14" s="1"/>
  <c r="DT420" i="14"/>
  <c r="DU420" i="14" s="1"/>
  <c r="CV359" i="14"/>
  <c r="DP359" i="14"/>
  <c r="DK419" i="14"/>
  <c r="DK659" i="14"/>
  <c r="CL215" i="14"/>
  <c r="DP539" i="14"/>
  <c r="EE119" i="14"/>
  <c r="CP528" i="14"/>
  <c r="CQ528" i="14" s="1"/>
  <c r="CU264" i="14"/>
  <c r="CU265" i="14" s="1"/>
  <c r="DZ359" i="14"/>
  <c r="DT624" i="14"/>
  <c r="DT625" i="14" s="1"/>
  <c r="CV539" i="14"/>
  <c r="CG587" i="14"/>
  <c r="CU48" i="14"/>
  <c r="CU49" i="14" s="1"/>
  <c r="CU444" i="14"/>
  <c r="CU445" i="14" s="1"/>
  <c r="DA635" i="14"/>
  <c r="DP383" i="14"/>
  <c r="CG455" i="14"/>
  <c r="EE539" i="14"/>
  <c r="ED60" i="14"/>
  <c r="ED61" i="14" s="1"/>
  <c r="CQ251" i="14"/>
  <c r="CQ647" i="14"/>
  <c r="DO420" i="14"/>
  <c r="DO421" i="14" s="1"/>
  <c r="CL419" i="14"/>
  <c r="CP360" i="14"/>
  <c r="CP361" i="14" s="1"/>
  <c r="CL347" i="14"/>
  <c r="CZ672" i="14"/>
  <c r="CZ673" i="14" s="1"/>
  <c r="CL395" i="14"/>
  <c r="CL263" i="14"/>
  <c r="CL119" i="14"/>
  <c r="DZ611" i="14"/>
  <c r="DZ287" i="14"/>
  <c r="DT48" i="14"/>
  <c r="DT49" i="14" s="1"/>
  <c r="CF108" i="14"/>
  <c r="CF109" i="14" s="1"/>
  <c r="DY468" i="14"/>
  <c r="DY469" i="14" s="1"/>
  <c r="CK132" i="14"/>
  <c r="CK133" i="14" s="1"/>
  <c r="DO120" i="14"/>
  <c r="DP120" i="14" s="1"/>
  <c r="CV407" i="14"/>
  <c r="CU108" i="14"/>
  <c r="CU109" i="14" s="1"/>
  <c r="DU287" i="14"/>
  <c r="EE527" i="14"/>
  <c r="CL431" i="14"/>
  <c r="DA479" i="14"/>
  <c r="CF444" i="14"/>
  <c r="CG444" i="14" s="1"/>
  <c r="CZ252" i="14"/>
  <c r="DA252" i="14" s="1"/>
  <c r="CU600" i="14"/>
  <c r="CU601" i="14" s="1"/>
  <c r="DJ468" i="14"/>
  <c r="DK468" i="14" s="1"/>
  <c r="CV119" i="14"/>
  <c r="CQ47" i="14"/>
  <c r="DA347" i="14"/>
  <c r="DA359" i="14"/>
  <c r="DK539" i="14"/>
  <c r="DP527" i="14"/>
  <c r="CF324" i="14"/>
  <c r="CF325" i="14" s="1"/>
  <c r="DP179" i="14"/>
  <c r="DU119" i="14"/>
  <c r="DK503" i="14"/>
  <c r="CL371" i="14"/>
  <c r="CQ131" i="14"/>
  <c r="CQ431" i="14"/>
  <c r="CF396" i="14"/>
  <c r="CF397" i="14" s="1"/>
  <c r="DP659" i="14"/>
  <c r="CU648" i="14"/>
  <c r="CU649" i="14" s="1"/>
  <c r="ED624" i="14"/>
  <c r="EE624" i="14" s="1"/>
  <c r="CG275" i="14"/>
  <c r="DJ588" i="14"/>
  <c r="DK588" i="14" s="1"/>
  <c r="CL275" i="14"/>
  <c r="DU359" i="14"/>
  <c r="DT384" i="14"/>
  <c r="DT385" i="14" s="1"/>
  <c r="EE179" i="14"/>
  <c r="DP59" i="14"/>
  <c r="CU636" i="14"/>
  <c r="CU637" i="14" s="1"/>
  <c r="DY648" i="14"/>
  <c r="DY649" i="14" s="1"/>
  <c r="CQ539" i="14"/>
  <c r="EE587" i="14"/>
  <c r="CV479" i="14"/>
  <c r="DP287" i="14"/>
  <c r="DU587" i="14"/>
  <c r="DY48" i="14"/>
  <c r="DY49" i="14" s="1"/>
  <c r="DK359" i="14"/>
  <c r="DT504" i="14"/>
  <c r="DU504" i="14" s="1"/>
  <c r="EE251" i="14"/>
  <c r="CU132" i="14"/>
  <c r="CV132" i="14" s="1"/>
  <c r="ED48" i="14"/>
  <c r="EE48" i="14" s="1"/>
  <c r="CL599" i="14"/>
  <c r="DK59" i="14"/>
  <c r="CG527" i="14"/>
  <c r="CL107" i="14"/>
  <c r="DJ180" i="14"/>
  <c r="DK180" i="14" s="1"/>
  <c r="CV419" i="14"/>
  <c r="CG383" i="14"/>
  <c r="CL479" i="14"/>
  <c r="DP647" i="14"/>
  <c r="CK48" i="14"/>
  <c r="CK49" i="14" s="1"/>
  <c r="DP467" i="14"/>
  <c r="ED504" i="14"/>
  <c r="ED505" i="14" s="1"/>
  <c r="CZ432" i="14"/>
  <c r="DA432" i="14" s="1"/>
  <c r="CP420" i="14"/>
  <c r="CP421" i="14" s="1"/>
  <c r="DO588" i="14"/>
  <c r="DP588" i="14" s="1"/>
  <c r="DP503" i="14"/>
  <c r="CP276" i="14"/>
  <c r="CQ276" i="14" s="1"/>
  <c r="DZ143" i="14"/>
  <c r="DP251" i="14"/>
  <c r="CG431" i="14"/>
  <c r="DP611" i="14"/>
  <c r="DY180" i="14"/>
  <c r="DZ180" i="14" s="1"/>
  <c r="DJ48" i="14"/>
  <c r="DJ49" i="14" s="1"/>
  <c r="CZ384" i="14"/>
  <c r="DA384" i="14" s="1"/>
  <c r="CG215" i="14"/>
  <c r="CF600" i="14"/>
  <c r="CF601" i="14" s="1"/>
  <c r="CL635" i="14"/>
  <c r="CU672" i="14"/>
  <c r="CV672" i="14" s="1"/>
  <c r="CL455" i="14"/>
  <c r="DK251" i="14"/>
  <c r="DZ251" i="14"/>
  <c r="CU588" i="14"/>
  <c r="CU589" i="14" s="1"/>
  <c r="CU240" i="14"/>
  <c r="CV240" i="14" s="1"/>
  <c r="DA419" i="14"/>
  <c r="ED648" i="14"/>
  <c r="EE648" i="14" s="1"/>
  <c r="CB383" i="14"/>
  <c r="DF167" i="14"/>
  <c r="DF323" i="14"/>
  <c r="DF155" i="14"/>
  <c r="DF203" i="14"/>
  <c r="CB503" i="14"/>
  <c r="DF467" i="14"/>
  <c r="CB515" i="14"/>
  <c r="DF407" i="14"/>
  <c r="CB311" i="14"/>
  <c r="CB659" i="14"/>
  <c r="DF599" i="14"/>
  <c r="DF275" i="14"/>
  <c r="DF515" i="14"/>
  <c r="CB611" i="14"/>
  <c r="DF563" i="14"/>
  <c r="DF131" i="14"/>
  <c r="CB563" i="14"/>
  <c r="CB599" i="14"/>
  <c r="CB647" i="14"/>
  <c r="DF299" i="14"/>
  <c r="CB179" i="14"/>
  <c r="DF347" i="14"/>
  <c r="CB227" i="14"/>
  <c r="CB551" i="14"/>
  <c r="CB443" i="14"/>
  <c r="DF431" i="14"/>
  <c r="DF491" i="14"/>
  <c r="DF191" i="14"/>
  <c r="CB347" i="14"/>
  <c r="CB467" i="14"/>
  <c r="CB587" i="14"/>
  <c r="CB191" i="14"/>
  <c r="CB155" i="14"/>
  <c r="DF539" i="14"/>
  <c r="DF215" i="14"/>
  <c r="CB623" i="14"/>
  <c r="DF227" i="14"/>
  <c r="DF623" i="14"/>
  <c r="CB59" i="14"/>
  <c r="DF371" i="14"/>
  <c r="CB203" i="14"/>
  <c r="DF671" i="14"/>
  <c r="CB83" i="14"/>
  <c r="CB635" i="14"/>
  <c r="CB95" i="14"/>
  <c r="CB539" i="14"/>
  <c r="DF647" i="14"/>
  <c r="CB143" i="14"/>
  <c r="DF443" i="14"/>
  <c r="DF335" i="14"/>
  <c r="CB491" i="14"/>
  <c r="CB323" i="14"/>
  <c r="DF95" i="14"/>
  <c r="DF503" i="14"/>
  <c r="DF287" i="14"/>
  <c r="DF479" i="14"/>
  <c r="DF263" i="14"/>
  <c r="CB251" i="14"/>
  <c r="CB167" i="14"/>
  <c r="CB407" i="14"/>
  <c r="DF455" i="14"/>
  <c r="DF635" i="14"/>
  <c r="CB395" i="14"/>
  <c r="DF551" i="14"/>
  <c r="DF395" i="14"/>
  <c r="CB371" i="14"/>
  <c r="CB287" i="14"/>
  <c r="CB299" i="14"/>
  <c r="CB263" i="14"/>
  <c r="DF83" i="14"/>
  <c r="DF311" i="14"/>
  <c r="DF419" i="14"/>
  <c r="CB431" i="14"/>
  <c r="DF107" i="14"/>
  <c r="DF575" i="14"/>
  <c r="CB335" i="14"/>
  <c r="CB575" i="14"/>
  <c r="DF239" i="14"/>
  <c r="CB239" i="14"/>
  <c r="DF132" i="14"/>
  <c r="CB636" i="14"/>
  <c r="CB588" i="14"/>
  <c r="CB432" i="14"/>
  <c r="DF468" i="14"/>
  <c r="DF228" i="14"/>
  <c r="CB600" i="14"/>
  <c r="DF216" i="14"/>
  <c r="CB576" i="14"/>
  <c r="CB468" i="14"/>
  <c r="CB492" i="14"/>
  <c r="DF504" i="14"/>
  <c r="DF636" i="14"/>
  <c r="CB372" i="14"/>
  <c r="DF444" i="14"/>
  <c r="DF672" i="14"/>
  <c r="DF576" i="14"/>
  <c r="CB660" i="14"/>
  <c r="DF372" i="14"/>
  <c r="DF96" i="14"/>
  <c r="DF396" i="14"/>
  <c r="DF108" i="14"/>
  <c r="DF540" i="14"/>
  <c r="DF204" i="14"/>
  <c r="CB300" i="14"/>
  <c r="CB252" i="14"/>
  <c r="DF456" i="14"/>
  <c r="DF336" i="14"/>
  <c r="DF312" i="14"/>
  <c r="DF84" i="14"/>
  <c r="CB264" i="14"/>
  <c r="DF240" i="14"/>
  <c r="CB408" i="14"/>
  <c r="CB168" i="14"/>
  <c r="DF552" i="14"/>
  <c r="CB288" i="14"/>
  <c r="DF288" i="14"/>
  <c r="CB612" i="14"/>
  <c r="DF264" i="14"/>
  <c r="CB324" i="14"/>
  <c r="CB240" i="14"/>
  <c r="DF600" i="14"/>
  <c r="CB516" i="14"/>
  <c r="DF432" i="14"/>
  <c r="CB624" i="14"/>
  <c r="DF348" i="14"/>
  <c r="CB564" i="14"/>
  <c r="DF564" i="14"/>
  <c r="CB504" i="14"/>
  <c r="DF300" i="14"/>
  <c r="CB552" i="14"/>
  <c r="DF624" i="14"/>
  <c r="DF648" i="14"/>
  <c r="CB228" i="14"/>
  <c r="DF276" i="14"/>
  <c r="DF516" i="14"/>
  <c r="CB192" i="14"/>
  <c r="CB648" i="14"/>
  <c r="DF408" i="14"/>
  <c r="DF420" i="14"/>
  <c r="DF168" i="14"/>
  <c r="DF324" i="14"/>
  <c r="CB96" i="14"/>
  <c r="CB156" i="14"/>
  <c r="CB60" i="14"/>
  <c r="DF492" i="14"/>
  <c r="DF192" i="14"/>
  <c r="DF156" i="14"/>
  <c r="CB396" i="14"/>
  <c r="CB84" i="14"/>
  <c r="CB384" i="14"/>
  <c r="CB204" i="14"/>
  <c r="CB540" i="14"/>
  <c r="CB336" i="14"/>
  <c r="CB144" i="14"/>
  <c r="CB444" i="14"/>
  <c r="CB312" i="14"/>
  <c r="CB348" i="14"/>
  <c r="DF480" i="14"/>
  <c r="CB180" i="14"/>
  <c r="CZ205" i="14"/>
  <c r="DA204" i="14"/>
  <c r="CP649" i="14"/>
  <c r="CQ648" i="14"/>
  <c r="EE156" i="14"/>
  <c r="ED157" i="14"/>
  <c r="CF229" i="14"/>
  <c r="CG228" i="14"/>
  <c r="DJ229" i="14"/>
  <c r="DK228" i="14"/>
  <c r="CP493" i="14"/>
  <c r="CQ492" i="14"/>
  <c r="DA144" i="14"/>
  <c r="CZ145" i="14"/>
  <c r="DT373" i="14"/>
  <c r="DU372" i="14"/>
  <c r="DK492" i="14"/>
  <c r="DJ493" i="14"/>
  <c r="CV504" i="14"/>
  <c r="CU505" i="14"/>
  <c r="CV120" i="14"/>
  <c r="CU121" i="14"/>
  <c r="EE264" i="14"/>
  <c r="ED265" i="14"/>
  <c r="DZ504" i="14"/>
  <c r="DY505" i="14"/>
  <c r="CP241" i="14"/>
  <c r="CQ240" i="14"/>
  <c r="DA288" i="14"/>
  <c r="CZ289" i="14"/>
  <c r="CU529" i="14"/>
  <c r="CV528" i="14"/>
  <c r="DE133" i="14"/>
  <c r="CA637" i="14"/>
  <c r="CA589" i="14"/>
  <c r="CA433" i="14"/>
  <c r="DE469" i="14"/>
  <c r="DE229" i="14"/>
  <c r="CA601" i="14"/>
  <c r="ED469" i="14"/>
  <c r="EE468" i="14"/>
  <c r="DE217" i="14"/>
  <c r="CU433" i="14"/>
  <c r="CV432" i="14"/>
  <c r="CK385" i="14"/>
  <c r="CL384" i="14"/>
  <c r="DT565" i="14"/>
  <c r="DU564" i="14"/>
  <c r="CF577" i="14"/>
  <c r="CG576" i="14"/>
  <c r="CP253" i="14"/>
  <c r="CQ252" i="14"/>
  <c r="DY133" i="14"/>
  <c r="DZ132" i="14"/>
  <c r="DJ373" i="14"/>
  <c r="DK372" i="14"/>
  <c r="CG468" i="14"/>
  <c r="CF469" i="14"/>
  <c r="CZ97" i="14"/>
  <c r="DA96" i="14"/>
  <c r="DT277" i="14"/>
  <c r="DU276" i="14"/>
  <c r="CQ264" i="14"/>
  <c r="CP265" i="14"/>
  <c r="DZ672" i="14"/>
  <c r="DY673" i="14"/>
  <c r="CQ348" i="14"/>
  <c r="CP349" i="14"/>
  <c r="CK493" i="14"/>
  <c r="CL492" i="14"/>
  <c r="CZ265" i="14"/>
  <c r="DA264" i="14"/>
  <c r="CF481" i="14"/>
  <c r="CG480" i="14"/>
  <c r="EE540" i="14"/>
  <c r="ED541" i="14"/>
  <c r="CK205" i="14"/>
  <c r="CL204" i="14"/>
  <c r="DY349" i="14"/>
  <c r="DZ348" i="14"/>
  <c r="DT109" i="14"/>
  <c r="DU108" i="14"/>
  <c r="DP180" i="14"/>
  <c r="DO181" i="14"/>
  <c r="CK613" i="14"/>
  <c r="CL612" i="14"/>
  <c r="CU229" i="14"/>
  <c r="CV228" i="14"/>
  <c r="CU361" i="14"/>
  <c r="CV360" i="14"/>
  <c r="CZ277" i="14"/>
  <c r="DA276" i="14"/>
  <c r="DK192" i="14"/>
  <c r="DJ193" i="14"/>
  <c r="CL348" i="14"/>
  <c r="CK349" i="14"/>
  <c r="DO649" i="14"/>
  <c r="DP648" i="14"/>
  <c r="CF169" i="14"/>
  <c r="CG168" i="14"/>
  <c r="DP348" i="14"/>
  <c r="DO349" i="14"/>
  <c r="DP288" i="14"/>
  <c r="DO289" i="14"/>
  <c r="DT229" i="14"/>
  <c r="DU228" i="14"/>
  <c r="CA577" i="14"/>
  <c r="CA469" i="14"/>
  <c r="CA493" i="14"/>
  <c r="DE505" i="14"/>
  <c r="DE637" i="14"/>
  <c r="DP132" i="14"/>
  <c r="DO133" i="14"/>
  <c r="CQ216" i="14"/>
  <c r="CP217" i="14"/>
  <c r="EE360" i="14"/>
  <c r="ED361" i="14"/>
  <c r="DA396" i="14"/>
  <c r="CZ397" i="14"/>
  <c r="DT469" i="14"/>
  <c r="DU468" i="14"/>
  <c r="CG432" i="14"/>
  <c r="CF433" i="14"/>
  <c r="CL552" i="14"/>
  <c r="CK553" i="14"/>
  <c r="DZ204" i="14"/>
  <c r="DY205" i="14"/>
  <c r="CG276" i="14"/>
  <c r="CF277" i="14"/>
  <c r="CA373" i="14"/>
  <c r="DE445" i="14"/>
  <c r="CG156" i="14"/>
  <c r="CF157" i="14"/>
  <c r="CZ169" i="14"/>
  <c r="DA168" i="14"/>
  <c r="CG252" i="14"/>
  <c r="CF253" i="14"/>
  <c r="CL120" i="14"/>
  <c r="CK121" i="14"/>
  <c r="DA456" i="14"/>
  <c r="CZ457" i="14"/>
  <c r="DE673" i="14"/>
  <c r="DU516" i="14"/>
  <c r="DT517" i="14"/>
  <c r="CP445" i="14"/>
  <c r="CQ444" i="14"/>
  <c r="CK625" i="14"/>
  <c r="CL624" i="14"/>
  <c r="DE577" i="14"/>
  <c r="CA661" i="14"/>
  <c r="DE373" i="14"/>
  <c r="CZ313" i="14"/>
  <c r="DA312" i="14"/>
  <c r="EE324" i="14"/>
  <c r="ED325" i="14"/>
  <c r="DU396" i="14"/>
  <c r="DT397" i="14"/>
  <c r="DK552" i="14"/>
  <c r="DJ553" i="14"/>
  <c r="ED169" i="14"/>
  <c r="EE168" i="14"/>
  <c r="CK361" i="14"/>
  <c r="CL360" i="14"/>
  <c r="DA360" i="14"/>
  <c r="CZ361" i="14"/>
  <c r="ED277" i="14"/>
  <c r="EE276" i="14"/>
  <c r="DU300" i="14"/>
  <c r="DT301" i="14"/>
  <c r="DO517" i="14"/>
  <c r="DP516" i="14"/>
  <c r="DT97" i="14"/>
  <c r="DU96" i="14"/>
  <c r="CZ445" i="14"/>
  <c r="DA444" i="14"/>
  <c r="CP121" i="14"/>
  <c r="CQ120" i="14"/>
  <c r="DT289" i="14"/>
  <c r="DU288" i="14"/>
  <c r="DA348" i="14"/>
  <c r="CZ349" i="14"/>
  <c r="CP625" i="14"/>
  <c r="CQ624" i="14"/>
  <c r="DE97" i="14"/>
  <c r="DE397" i="14"/>
  <c r="DE109" i="14"/>
  <c r="DE541" i="14"/>
  <c r="DA420" i="14"/>
  <c r="CZ421" i="14"/>
  <c r="CP553" i="14"/>
  <c r="CQ552" i="14"/>
  <c r="EE636" i="14"/>
  <c r="ED637" i="14"/>
  <c r="DE205" i="14"/>
  <c r="DO145" i="14"/>
  <c r="DP144" i="14"/>
  <c r="CU181" i="14"/>
  <c r="CV180" i="14"/>
  <c r="DJ481" i="14"/>
  <c r="DK480" i="14"/>
  <c r="CZ229" i="14"/>
  <c r="DA228" i="14"/>
  <c r="DK612" i="14"/>
  <c r="DJ613" i="14"/>
  <c r="CK409" i="14"/>
  <c r="CL408" i="14"/>
  <c r="CQ576" i="14"/>
  <c r="CP577" i="14"/>
  <c r="DA300" i="14"/>
  <c r="CZ301" i="14"/>
  <c r="DY433" i="14"/>
  <c r="DZ432" i="14"/>
  <c r="CL480" i="14"/>
  <c r="CK481" i="14"/>
  <c r="DP384" i="14"/>
  <c r="DO385" i="14"/>
  <c r="CK217" i="14"/>
  <c r="CL216" i="14"/>
  <c r="DJ361" i="14"/>
  <c r="DK360" i="14"/>
  <c r="CQ600" i="14"/>
  <c r="CP601" i="14"/>
  <c r="DY241" i="14"/>
  <c r="DZ240" i="14"/>
  <c r="CP313" i="14"/>
  <c r="CQ312" i="14"/>
  <c r="CA301" i="14"/>
  <c r="CA253" i="14"/>
  <c r="DU588" i="14"/>
  <c r="DT589" i="14"/>
  <c r="CQ48" i="14"/>
  <c r="CP49" i="14"/>
  <c r="CK337" i="14"/>
  <c r="CL336" i="14"/>
  <c r="DE457" i="14"/>
  <c r="DE337" i="14"/>
  <c r="DE313" i="14"/>
  <c r="DE85" i="14"/>
  <c r="DT241" i="14"/>
  <c r="DU240" i="14"/>
  <c r="CV348" i="14"/>
  <c r="CU349" i="14"/>
  <c r="ED121" i="14"/>
  <c r="EE120" i="14"/>
  <c r="DO457" i="14"/>
  <c r="DP456" i="14"/>
  <c r="EE420" i="14"/>
  <c r="ED421" i="14"/>
  <c r="CG384" i="14"/>
  <c r="CF385" i="14"/>
  <c r="CG456" i="14"/>
  <c r="CF457" i="14"/>
  <c r="DJ241" i="14"/>
  <c r="DK240" i="14"/>
  <c r="CK313" i="14"/>
  <c r="CL312" i="14"/>
  <c r="CF97" i="14"/>
  <c r="CG96" i="14"/>
  <c r="DA336" i="14"/>
  <c r="CZ337" i="14"/>
  <c r="CU577" i="14"/>
  <c r="CV576" i="14"/>
  <c r="ED241" i="14"/>
  <c r="EE240" i="14"/>
  <c r="CF301" i="14"/>
  <c r="CG300" i="14"/>
  <c r="CG312" i="14"/>
  <c r="CF313" i="14"/>
  <c r="ED529" i="14"/>
  <c r="EE528" i="14"/>
  <c r="DZ588" i="14"/>
  <c r="DY589" i="14"/>
  <c r="CG672" i="14"/>
  <c r="CF673" i="14"/>
  <c r="CK445" i="14"/>
  <c r="CL444" i="14"/>
  <c r="DY601" i="14"/>
  <c r="DZ600" i="14"/>
  <c r="CL432" i="14"/>
  <c r="CK433" i="14"/>
  <c r="DP96" i="14"/>
  <c r="DO97" i="14"/>
  <c r="CU253" i="14"/>
  <c r="CV252" i="14"/>
  <c r="DO157" i="14"/>
  <c r="DP156" i="14"/>
  <c r="EE180" i="14"/>
  <c r="ED181" i="14"/>
  <c r="DJ505" i="14"/>
  <c r="DK504" i="14"/>
  <c r="DZ192" i="14"/>
  <c r="DY193" i="14"/>
  <c r="CQ396" i="14"/>
  <c r="CP397" i="14"/>
  <c r="ED85" i="14"/>
  <c r="EE84" i="14"/>
  <c r="DO409" i="14"/>
  <c r="DP408" i="14"/>
  <c r="EE108" i="14"/>
  <c r="ED109" i="14"/>
  <c r="CG180" i="14"/>
  <c r="CF181" i="14"/>
  <c r="DU408" i="14"/>
  <c r="DT409" i="14"/>
  <c r="DY613" i="14"/>
  <c r="DZ612" i="14"/>
  <c r="DZ408" i="14"/>
  <c r="DY409" i="14"/>
  <c r="CA265" i="14"/>
  <c r="DE241" i="14"/>
  <c r="CA409" i="14"/>
  <c r="CA169" i="14"/>
  <c r="DE553" i="14"/>
  <c r="CA289" i="14"/>
  <c r="DE289" i="14"/>
  <c r="CK541" i="14"/>
  <c r="CL540" i="14"/>
  <c r="CA613" i="14"/>
  <c r="DY61" i="14"/>
  <c r="DZ60" i="14"/>
  <c r="DK288" i="14"/>
  <c r="DJ289" i="14"/>
  <c r="DE265" i="14"/>
  <c r="DP672" i="14"/>
  <c r="DO673" i="14"/>
  <c r="CA325" i="14"/>
  <c r="CA241" i="14"/>
  <c r="DU324" i="14"/>
  <c r="DT325" i="14"/>
  <c r="CL144" i="14"/>
  <c r="CK145" i="14"/>
  <c r="ED193" i="14"/>
  <c r="EE192" i="14"/>
  <c r="DO505" i="14"/>
  <c r="DP504" i="14"/>
  <c r="DT181" i="14"/>
  <c r="DU180" i="14"/>
  <c r="CQ516" i="14"/>
  <c r="CP517" i="14"/>
  <c r="DT481" i="14"/>
  <c r="DU480" i="14"/>
  <c r="CP229" i="14"/>
  <c r="CQ228" i="14"/>
  <c r="DA48" i="14"/>
  <c r="CZ49" i="14"/>
  <c r="CK637" i="14"/>
  <c r="CL636" i="14"/>
  <c r="CF145" i="14"/>
  <c r="CG144" i="14"/>
  <c r="CK301" i="14"/>
  <c r="CL300" i="14"/>
  <c r="CF421" i="14"/>
  <c r="CG420" i="14"/>
  <c r="CQ540" i="14"/>
  <c r="CP541" i="14"/>
  <c r="EE228" i="14"/>
  <c r="ED229" i="14"/>
  <c r="DE601" i="14"/>
  <c r="CA517" i="14"/>
  <c r="DE433" i="14"/>
  <c r="CA625" i="14"/>
  <c r="DE349" i="14"/>
  <c r="DK60" i="14"/>
  <c r="DJ61" i="14"/>
  <c r="DK600" i="14"/>
  <c r="DJ601" i="14"/>
  <c r="CV564" i="14"/>
  <c r="CU565" i="14"/>
  <c r="DT553" i="14"/>
  <c r="DU552" i="14"/>
  <c r="CQ468" i="14"/>
  <c r="CP469" i="14"/>
  <c r="DO49" i="14"/>
  <c r="DP48" i="14"/>
  <c r="CG528" i="14"/>
  <c r="CF529" i="14"/>
  <c r="DJ433" i="14"/>
  <c r="DK432" i="14"/>
  <c r="DO301" i="14"/>
  <c r="DP300" i="14"/>
  <c r="DY121" i="14"/>
  <c r="DZ120" i="14"/>
  <c r="DO601" i="14"/>
  <c r="DP600" i="14"/>
  <c r="CQ384" i="14"/>
  <c r="CP385" i="14"/>
  <c r="DO361" i="14"/>
  <c r="DP360" i="14"/>
  <c r="DU312" i="14"/>
  <c r="DT313" i="14"/>
  <c r="DK576" i="14"/>
  <c r="DJ577" i="14"/>
  <c r="DU444" i="14"/>
  <c r="DT445" i="14"/>
  <c r="DA516" i="14"/>
  <c r="CZ517" i="14"/>
  <c r="DO61" i="14"/>
  <c r="DP60" i="14"/>
  <c r="DO313" i="14"/>
  <c r="DP312" i="14"/>
  <c r="CQ96" i="14"/>
  <c r="CP97" i="14"/>
  <c r="DZ324" i="14"/>
  <c r="DY325" i="14"/>
  <c r="DO397" i="14"/>
  <c r="DP396" i="14"/>
  <c r="CK469" i="14"/>
  <c r="CL468" i="14"/>
  <c r="DK216" i="14"/>
  <c r="DJ217" i="14"/>
  <c r="DP660" i="14"/>
  <c r="DO661" i="14"/>
  <c r="CA565" i="14"/>
  <c r="DE565" i="14"/>
  <c r="CA505" i="14"/>
  <c r="DE301" i="14"/>
  <c r="CA553" i="14"/>
  <c r="CZ589" i="14"/>
  <c r="DA588" i="14"/>
  <c r="DY637" i="14"/>
  <c r="DZ636" i="14"/>
  <c r="CU277" i="14"/>
  <c r="CV276" i="14"/>
  <c r="CP481" i="14"/>
  <c r="CQ480" i="14"/>
  <c r="CU481" i="14"/>
  <c r="CV480" i="14"/>
  <c r="DE625" i="14"/>
  <c r="DE649" i="14"/>
  <c r="CQ132" i="14"/>
  <c r="CP133" i="14"/>
  <c r="CF61" i="14"/>
  <c r="CG60" i="14"/>
  <c r="CL600" i="14"/>
  <c r="CK601" i="14"/>
  <c r="CK517" i="14"/>
  <c r="CL516" i="14"/>
  <c r="DT217" i="14"/>
  <c r="DU216" i="14"/>
  <c r="DZ396" i="14"/>
  <c r="DY397" i="14"/>
  <c r="EE480" i="14"/>
  <c r="ED481" i="14"/>
  <c r="EE612" i="14"/>
  <c r="ED613" i="14"/>
  <c r="DY565" i="14"/>
  <c r="DZ564" i="14"/>
  <c r="DY385" i="14"/>
  <c r="DZ384" i="14"/>
  <c r="DT541" i="14"/>
  <c r="DU540" i="14"/>
  <c r="DA84" i="14"/>
  <c r="CZ85" i="14"/>
  <c r="DP528" i="14"/>
  <c r="DO529" i="14"/>
  <c r="CA229" i="14"/>
  <c r="DE277" i="14"/>
  <c r="DE517" i="14"/>
  <c r="CA193" i="14"/>
  <c r="CA649" i="14"/>
  <c r="DE409" i="14"/>
  <c r="DY361" i="14"/>
  <c r="DZ360" i="14"/>
  <c r="CU625" i="14"/>
  <c r="CV624" i="14"/>
  <c r="CG216" i="14"/>
  <c r="CF217" i="14"/>
  <c r="DE421" i="14"/>
  <c r="CG132" i="14"/>
  <c r="CF133" i="14"/>
  <c r="CV324" i="14"/>
  <c r="CU325" i="14"/>
  <c r="CU613" i="14"/>
  <c r="CV612" i="14"/>
  <c r="DA324" i="14"/>
  <c r="CZ325" i="14"/>
  <c r="CZ409" i="14"/>
  <c r="DA408" i="14"/>
  <c r="DZ156" i="14"/>
  <c r="DY157" i="14"/>
  <c r="CG192" i="14"/>
  <c r="CF193" i="14"/>
  <c r="CG120" i="14"/>
  <c r="CF121" i="14"/>
  <c r="CU493" i="14"/>
  <c r="CV492" i="14"/>
  <c r="CG264" i="14"/>
  <c r="CF265" i="14"/>
  <c r="DJ637" i="14"/>
  <c r="DK636" i="14"/>
  <c r="CK457" i="14"/>
  <c r="CL456" i="14"/>
  <c r="CU97" i="14"/>
  <c r="CV96" i="14"/>
  <c r="DK660" i="14"/>
  <c r="DJ661" i="14"/>
  <c r="DU264" i="14"/>
  <c r="DT265" i="14"/>
  <c r="CK397" i="14"/>
  <c r="CL396" i="14"/>
  <c r="ED97" i="14"/>
  <c r="EE96" i="14"/>
  <c r="EE204" i="14"/>
  <c r="ED205" i="14"/>
  <c r="DK252" i="14"/>
  <c r="DJ253" i="14"/>
  <c r="CV660" i="14"/>
  <c r="CU661" i="14"/>
  <c r="CK109" i="14"/>
  <c r="CL108" i="14"/>
  <c r="CL264" i="14"/>
  <c r="CK265" i="14"/>
  <c r="DY253" i="14"/>
  <c r="DZ252" i="14"/>
  <c r="DK132" i="14"/>
  <c r="DJ133" i="14"/>
  <c r="CU61" i="14"/>
  <c r="CV60" i="14"/>
  <c r="DP612" i="14"/>
  <c r="DO613" i="14"/>
  <c r="DK384" i="14"/>
  <c r="DJ385" i="14"/>
  <c r="CK277" i="14"/>
  <c r="CL276" i="14"/>
  <c r="CK421" i="14"/>
  <c r="CL420" i="14"/>
  <c r="CL252" i="14"/>
  <c r="CK253" i="14"/>
  <c r="DU648" i="14"/>
  <c r="DT649" i="14"/>
  <c r="CQ672" i="14"/>
  <c r="CP673" i="14"/>
  <c r="DA636" i="14"/>
  <c r="CZ637" i="14"/>
  <c r="DP192" i="14"/>
  <c r="DO193" i="14"/>
  <c r="CZ529" i="14"/>
  <c r="DA528" i="14"/>
  <c r="DK108" i="14"/>
  <c r="DJ109" i="14"/>
  <c r="DP540" i="14"/>
  <c r="DO541" i="14"/>
  <c r="DA600" i="14"/>
  <c r="CZ601" i="14"/>
  <c r="CU541" i="14"/>
  <c r="CV540" i="14"/>
  <c r="DP432" i="14"/>
  <c r="DO433" i="14"/>
  <c r="DA180" i="14"/>
  <c r="CZ181" i="14"/>
  <c r="DJ541" i="14"/>
  <c r="DK540" i="14"/>
  <c r="DK420" i="14"/>
  <c r="DJ421" i="14"/>
  <c r="ED553" i="14"/>
  <c r="EE552" i="14"/>
  <c r="DY289" i="14"/>
  <c r="DZ288" i="14"/>
  <c r="DE169" i="14"/>
  <c r="DE325" i="14"/>
  <c r="CA97" i="14"/>
  <c r="CA157" i="14"/>
  <c r="CQ324" i="14"/>
  <c r="CP325" i="14"/>
  <c r="DP576" i="14"/>
  <c r="DO577" i="14"/>
  <c r="DZ444" i="14"/>
  <c r="DY445" i="14"/>
  <c r="CA61" i="14"/>
  <c r="DT661" i="14"/>
  <c r="DU660" i="14"/>
  <c r="DP240" i="14"/>
  <c r="DO241" i="14"/>
  <c r="CQ204" i="14"/>
  <c r="CP205" i="14"/>
  <c r="DY145" i="14"/>
  <c r="DZ144" i="14"/>
  <c r="CK193" i="14"/>
  <c r="CL192" i="14"/>
  <c r="CK373" i="14"/>
  <c r="CL372" i="14"/>
  <c r="CG540" i="14"/>
  <c r="CF541" i="14"/>
  <c r="DK396" i="14"/>
  <c r="DJ397" i="14"/>
  <c r="DP168" i="14"/>
  <c r="DO169" i="14"/>
  <c r="CG48" i="14"/>
  <c r="CF49" i="14"/>
  <c r="CZ541" i="14"/>
  <c r="DA540" i="14"/>
  <c r="DY337" i="14"/>
  <c r="DZ336" i="14"/>
  <c r="CF373" i="14"/>
  <c r="CG372" i="14"/>
  <c r="CZ469" i="14"/>
  <c r="DA468" i="14"/>
  <c r="DA648" i="14"/>
  <c r="CZ649" i="14"/>
  <c r="CV288" i="14"/>
  <c r="CU289" i="14"/>
  <c r="DJ121" i="14"/>
  <c r="DK120" i="14"/>
  <c r="DP84" i="14"/>
  <c r="DO85" i="14"/>
  <c r="DE493" i="14"/>
  <c r="DE193" i="14"/>
  <c r="DE157" i="14"/>
  <c r="CA397" i="14"/>
  <c r="CA85" i="14"/>
  <c r="CV456" i="14"/>
  <c r="CU457" i="14"/>
  <c r="EE588" i="14"/>
  <c r="ED589" i="14"/>
  <c r="EE456" i="14"/>
  <c r="ED457" i="14"/>
  <c r="DY85" i="14"/>
  <c r="DZ84" i="14"/>
  <c r="CA385" i="14"/>
  <c r="DY577" i="14"/>
  <c r="DZ576" i="14"/>
  <c r="CA205" i="14"/>
  <c r="CA541" i="14"/>
  <c r="CZ565" i="14"/>
  <c r="DA564" i="14"/>
  <c r="CV408" i="14"/>
  <c r="CU409" i="14"/>
  <c r="CF637" i="14"/>
  <c r="CG636" i="14"/>
  <c r="CA337" i="14"/>
  <c r="CK289" i="14"/>
  <c r="CL288" i="14"/>
  <c r="DT121" i="14"/>
  <c r="DU120" i="14"/>
  <c r="CP193" i="14"/>
  <c r="CQ192" i="14"/>
  <c r="DP252" i="14"/>
  <c r="DO253" i="14"/>
  <c r="DK624" i="14"/>
  <c r="DJ625" i="14"/>
  <c r="DK528" i="14"/>
  <c r="DJ529" i="14"/>
  <c r="CQ504" i="14"/>
  <c r="CP505" i="14"/>
  <c r="DA480" i="14"/>
  <c r="CZ481" i="14"/>
  <c r="CG648" i="14"/>
  <c r="CF649" i="14"/>
  <c r="CG588" i="14"/>
  <c r="CF589" i="14"/>
  <c r="CK577" i="14"/>
  <c r="CL576" i="14"/>
  <c r="DT577" i="14"/>
  <c r="DU576" i="14"/>
  <c r="CU313" i="14"/>
  <c r="CV312" i="14"/>
  <c r="DY625" i="14"/>
  <c r="DZ624" i="14"/>
  <c r="CZ109" i="14"/>
  <c r="DA108" i="14"/>
  <c r="DU252" i="14"/>
  <c r="DT253" i="14"/>
  <c r="CV144" i="14"/>
  <c r="CU145" i="14"/>
  <c r="EE660" i="14"/>
  <c r="ED661" i="14"/>
  <c r="CF613" i="14"/>
  <c r="CG612" i="14"/>
  <c r="DZ108" i="14"/>
  <c r="DY109" i="14"/>
  <c r="CF205" i="14"/>
  <c r="CG204" i="14"/>
  <c r="DU360" i="14"/>
  <c r="DT361" i="14"/>
  <c r="CV396" i="14"/>
  <c r="CU397" i="14"/>
  <c r="CV168" i="14"/>
  <c r="CU169" i="14"/>
  <c r="ED253" i="14"/>
  <c r="EE252" i="14"/>
  <c r="CQ432" i="14"/>
  <c r="CP433" i="14"/>
  <c r="DP216" i="14"/>
  <c r="DO217" i="14"/>
  <c r="DP468" i="14"/>
  <c r="DO469" i="14"/>
  <c r="EE384" i="14"/>
  <c r="ED385" i="14"/>
  <c r="CV420" i="14"/>
  <c r="CU421" i="14"/>
  <c r="CZ133" i="14"/>
  <c r="DA132" i="14"/>
  <c r="CU337" i="14"/>
  <c r="CV336" i="14"/>
  <c r="CA145" i="14"/>
  <c r="CA445" i="14"/>
  <c r="CA313" i="14"/>
  <c r="CA349" i="14"/>
  <c r="DE481" i="14"/>
  <c r="CA181" i="14"/>
  <c r="AT42" i="14"/>
  <c r="DF277" i="14" a="1"/>
  <c r="DF445" i="14" a="1"/>
  <c r="DF409" i="14" a="1"/>
  <c r="CB409" i="14" a="1"/>
  <c r="DF60" i="14" a="1"/>
  <c r="CB61" i="14" a="1"/>
  <c r="DF97" i="14" a="1"/>
  <c r="DF133" i="14" a="1"/>
  <c r="DF589" i="14" a="1"/>
  <c r="CB107" i="14" a="1"/>
  <c r="CB277" i="14" a="1"/>
  <c r="CB47" i="14" a="1"/>
  <c r="CB360" i="14" a="1"/>
  <c r="DF373" i="14" a="1"/>
  <c r="CB673" i="14" a="1"/>
  <c r="DF528" i="14" a="1"/>
  <c r="BE35" i="14"/>
  <c r="DF251" i="14" a="1"/>
  <c r="CB131" i="14" a="1"/>
  <c r="CB553" i="14" a="1"/>
  <c r="DF360" i="14" a="1"/>
  <c r="DF660" i="14" a="1"/>
  <c r="DF493" i="14" a="1"/>
  <c r="DF481" i="14" a="1"/>
  <c r="CB493" i="14" a="1"/>
  <c r="CB241" i="14" a="1"/>
  <c r="CB253" i="14" a="1"/>
  <c r="DF61" i="14" a="1"/>
  <c r="CB589" i="14" a="1"/>
  <c r="DF289" i="14" a="1"/>
  <c r="CB276" i="14" a="1"/>
  <c r="CB133" i="14" a="1"/>
  <c r="CB361" i="14" a="1"/>
  <c r="CB49" i="14" a="1"/>
  <c r="CB301" i="14" a="1"/>
  <c r="CB527" i="14" a="1"/>
  <c r="CB601" i="14" a="1"/>
  <c r="DF649" i="14" a="1"/>
  <c r="CB359" i="14" a="1"/>
  <c r="CB529" i="14" a="1"/>
  <c r="DF565" i="14" a="1"/>
  <c r="CA71" i="14"/>
  <c r="BC35" i="14"/>
  <c r="DF587" i="14" a="1"/>
  <c r="CB419" i="14" a="1"/>
  <c r="CB132" i="14" a="1"/>
  <c r="DF49" i="14" a="1"/>
  <c r="DF637" i="14" a="1"/>
  <c r="CB157" i="14" a="1"/>
  <c r="CB649" i="14" a="1"/>
  <c r="DF205" i="14" a="1"/>
  <c r="DF577" i="14" a="1"/>
  <c r="CB445" i="14" a="1"/>
  <c r="DF179" i="14" a="1"/>
  <c r="DF120" i="14" a="1"/>
  <c r="CB169" i="14" a="1"/>
  <c r="CB457" i="14" a="1"/>
  <c r="DE35" i="14"/>
  <c r="AY35" i="14"/>
  <c r="DF505" i="14" a="1"/>
  <c r="DF157" i="14" a="1"/>
  <c r="DF193" i="14" a="1"/>
  <c r="DF529" i="14" a="1"/>
  <c r="DF143" i="14" a="1"/>
  <c r="CB265" i="14" a="1"/>
  <c r="DF265" i="14" a="1"/>
  <c r="AW35" i="14"/>
  <c r="DF384" i="14" a="1"/>
  <c r="CB672" i="14" a="1"/>
  <c r="DF611" i="14" a="1"/>
  <c r="CB469" i="14" a="1"/>
  <c r="DF625" i="14" a="1"/>
  <c r="DF349" i="14" a="1"/>
  <c r="CB517" i="14" a="1"/>
  <c r="CB217" i="14" a="1"/>
  <c r="DF517" i="14" a="1"/>
  <c r="CB205" i="14" a="1"/>
  <c r="DF421" i="14" a="1"/>
  <c r="DF659" i="14" a="1"/>
  <c r="CB145" i="14" a="1"/>
  <c r="DF109" i="14" a="1"/>
  <c r="DF661" i="14" a="1"/>
  <c r="CB577" i="14" a="1"/>
  <c r="CB420" i="14" a="1"/>
  <c r="CB48" i="14" a="1"/>
  <c r="DF229" i="14" a="1"/>
  <c r="CB193" i="14" a="1"/>
  <c r="CB373" i="14" a="1"/>
  <c r="DF553" i="14" a="1"/>
  <c r="DF313" i="14" a="1"/>
  <c r="CB337" i="14" a="1"/>
  <c r="CB625" i="14" a="1"/>
  <c r="DF361" i="14" a="1"/>
  <c r="CB480" i="14" a="1"/>
  <c r="CB119" i="14" a="1"/>
  <c r="CB637" i="14" a="1"/>
  <c r="DE71" i="14"/>
  <c r="CB455" i="14" a="1"/>
  <c r="CB661" i="14" a="1"/>
  <c r="DF457" i="14" a="1"/>
  <c r="CB275" i="14" a="1"/>
  <c r="DF252" i="14" a="1"/>
  <c r="DF588" i="14" a="1"/>
  <c r="DF169" i="14" a="1"/>
  <c r="CB421" i="14" a="1"/>
  <c r="DF541" i="14" a="1"/>
  <c r="CB671" i="14" a="1"/>
  <c r="DF47" i="14" a="1"/>
  <c r="DF217" i="14" a="1"/>
  <c r="DF601" i="14" a="1"/>
  <c r="BA35" i="14"/>
  <c r="CB109" i="14" a="1"/>
  <c r="DF180" i="14" a="1"/>
  <c r="DF613" i="14" a="1"/>
  <c r="DF359" i="14" a="1"/>
  <c r="DF383" i="14" a="1"/>
  <c r="CB85" i="14" a="1"/>
  <c r="DF325" i="14" a="1"/>
  <c r="CB456" i="14" a="1"/>
  <c r="CB121" i="14" a="1"/>
  <c r="DF181" i="14" a="1"/>
  <c r="CB120" i="14" a="1"/>
  <c r="CB481" i="14" a="1"/>
  <c r="CB541" i="14" a="1"/>
  <c r="DF48" i="14" a="1"/>
  <c r="DF527" i="14" a="1"/>
  <c r="DF469" i="14" a="1"/>
  <c r="DF145" i="14" a="1"/>
  <c r="DF144" i="14" a="1"/>
  <c r="CB349" i="14" a="1"/>
  <c r="CB289" i="14" a="1"/>
  <c r="DF397" i="14" a="1"/>
  <c r="DF241" i="14" a="1"/>
  <c r="CB433" i="14" a="1"/>
  <c r="CB385" i="14" a="1"/>
  <c r="DF673" i="14" a="1"/>
  <c r="CB397" i="14" a="1"/>
  <c r="CB325" i="14" a="1"/>
  <c r="CB313" i="14" a="1"/>
  <c r="CB216" i="14" a="1"/>
  <c r="DF85" i="14" a="1"/>
  <c r="CB108" i="14" a="1"/>
  <c r="DF612" i="14" a="1"/>
  <c r="CB181" i="14" a="1"/>
  <c r="DF253" i="14" a="1"/>
  <c r="CB479" i="14" a="1"/>
  <c r="CB565" i="14" a="1"/>
  <c r="DF433" i="14" a="1"/>
  <c r="CB613" i="14" a="1"/>
  <c r="CB528" i="14" a="1"/>
  <c r="CB215" i="14" a="1"/>
  <c r="CB229" i="14" a="1"/>
  <c r="CB505" i="14" a="1"/>
  <c r="DF301" i="14" a="1"/>
  <c r="DF59" i="14" a="1"/>
  <c r="CB97" i="14" a="1"/>
  <c r="DF337" i="14" a="1"/>
  <c r="DF119" i="14" a="1"/>
  <c r="DF121" i="14" a="1"/>
  <c r="DF611" i="14" l="1"/>
  <c r="CB419" i="14"/>
  <c r="CB359" i="14"/>
  <c r="DF659" i="14"/>
  <c r="CB275" i="14"/>
  <c r="CB455" i="14"/>
  <c r="CB119" i="14"/>
  <c r="DF119" i="14"/>
  <c r="CB107" i="14"/>
  <c r="CP289" i="14"/>
  <c r="CP290" i="14" s="1"/>
  <c r="DF59" i="14"/>
  <c r="CB671" i="14"/>
  <c r="CB131" i="14"/>
  <c r="CB47" i="14"/>
  <c r="CB527" i="14"/>
  <c r="CB215" i="14"/>
  <c r="DF587" i="14"/>
  <c r="DF383" i="14"/>
  <c r="DF47" i="14"/>
  <c r="DF527" i="14"/>
  <c r="DF251" i="14"/>
  <c r="CB479" i="14"/>
  <c r="DF359" i="14"/>
  <c r="DF179" i="14"/>
  <c r="CF289" i="14"/>
  <c r="CG289" i="14" s="1"/>
  <c r="ED565" i="14"/>
  <c r="ED566" i="14" s="1"/>
  <c r="CV84" i="14"/>
  <c r="DK564" i="14"/>
  <c r="EE396" i="14"/>
  <c r="CP613" i="14"/>
  <c r="CQ613" i="14" s="1"/>
  <c r="DO205" i="14"/>
  <c r="DO206" i="14" s="1"/>
  <c r="EE348" i="14"/>
  <c r="EE312" i="14"/>
  <c r="CV192" i="14"/>
  <c r="DJ157" i="14"/>
  <c r="DK157" i="14" s="1"/>
  <c r="DK312" i="14"/>
  <c r="DK456" i="14"/>
  <c r="DA612" i="14"/>
  <c r="DJ205" i="14"/>
  <c r="DJ206" i="14" s="1"/>
  <c r="CV204" i="14"/>
  <c r="DT157" i="14"/>
  <c r="DU157" i="14" s="1"/>
  <c r="DZ312" i="14"/>
  <c r="DU192" i="14"/>
  <c r="CF505" i="14"/>
  <c r="CG505" i="14" s="1"/>
  <c r="DU204" i="14"/>
  <c r="DK96" i="14"/>
  <c r="CG492" i="14"/>
  <c r="DZ216" i="14"/>
  <c r="CU301" i="14"/>
  <c r="CU302" i="14" s="1"/>
  <c r="CZ193" i="14"/>
  <c r="DA193" i="14" s="1"/>
  <c r="CP301" i="14"/>
  <c r="CP302" i="14" s="1"/>
  <c r="DP564" i="14"/>
  <c r="CZ493" i="14"/>
  <c r="DA493" i="14" s="1"/>
  <c r="DO553" i="14"/>
  <c r="DO554" i="14" s="1"/>
  <c r="CK505" i="14"/>
  <c r="CL505" i="14" s="1"/>
  <c r="DU132" i="14"/>
  <c r="DO325" i="14"/>
  <c r="DO326" i="14" s="1"/>
  <c r="CF337" i="14"/>
  <c r="CG337" i="14" s="1"/>
  <c r="DJ349" i="14"/>
  <c r="DK349" i="14" s="1"/>
  <c r="CP337" i="14"/>
  <c r="CP338" i="14" s="1"/>
  <c r="CL168" i="14"/>
  <c r="DZ96" i="14"/>
  <c r="DJ445" i="14"/>
  <c r="DJ446" i="14" s="1"/>
  <c r="EE444" i="14"/>
  <c r="CP85" i="14"/>
  <c r="CQ85" i="14" s="1"/>
  <c r="DJ325" i="14"/>
  <c r="DJ326" i="14" s="1"/>
  <c r="CF565" i="14"/>
  <c r="CF566" i="14" s="1"/>
  <c r="EE576" i="14"/>
  <c r="CK565" i="14"/>
  <c r="CK566" i="14" s="1"/>
  <c r="EE132" i="14"/>
  <c r="CQ564" i="14"/>
  <c r="CL84" i="14"/>
  <c r="CP157" i="14"/>
  <c r="CP158" i="14" s="1"/>
  <c r="DU348" i="14"/>
  <c r="EE408" i="14"/>
  <c r="DP480" i="14"/>
  <c r="DP444" i="14"/>
  <c r="DY553" i="14"/>
  <c r="DZ553" i="14" s="1"/>
  <c r="DK276" i="14"/>
  <c r="DP372" i="14"/>
  <c r="CG660" i="14"/>
  <c r="DZ456" i="14"/>
  <c r="CP181" i="14"/>
  <c r="CQ181" i="14" s="1"/>
  <c r="DZ276" i="14"/>
  <c r="EE372" i="14"/>
  <c r="CF553" i="14"/>
  <c r="CG553" i="14" s="1"/>
  <c r="DU168" i="14"/>
  <c r="DY373" i="14"/>
  <c r="DZ373" i="14" s="1"/>
  <c r="DO637" i="14"/>
  <c r="DO638" i="14" s="1"/>
  <c r="DZ516" i="14"/>
  <c r="DP108" i="14"/>
  <c r="DO493" i="14"/>
  <c r="DO494" i="14" s="1"/>
  <c r="CF445" i="14"/>
  <c r="CF446" i="14" s="1"/>
  <c r="DT529" i="14"/>
  <c r="DU529" i="14" s="1"/>
  <c r="CV372" i="14"/>
  <c r="CZ577" i="14"/>
  <c r="CZ578" i="14" s="1"/>
  <c r="DJ649" i="14"/>
  <c r="DK649" i="14" s="1"/>
  <c r="CQ408" i="14"/>
  <c r="DU432" i="14"/>
  <c r="EE672" i="14"/>
  <c r="CZ373" i="14"/>
  <c r="CZ374" i="14" s="1"/>
  <c r="DJ265" i="14"/>
  <c r="DJ266" i="14" s="1"/>
  <c r="CL660" i="14"/>
  <c r="DY265" i="14"/>
  <c r="DZ265" i="14" s="1"/>
  <c r="CP661" i="14"/>
  <c r="CP662" i="14" s="1"/>
  <c r="DU144" i="14"/>
  <c r="DK168" i="14"/>
  <c r="ED601" i="14"/>
  <c r="EE601" i="14" s="1"/>
  <c r="CG348" i="14"/>
  <c r="CQ168" i="14"/>
  <c r="CU157" i="14"/>
  <c r="CU158" i="14" s="1"/>
  <c r="EE216" i="14"/>
  <c r="DJ517" i="14"/>
  <c r="DJ518" i="14" s="1"/>
  <c r="CF625" i="14"/>
  <c r="CG625" i="14" s="1"/>
  <c r="DT457" i="14"/>
  <c r="DU457" i="14" s="1"/>
  <c r="DP264" i="14"/>
  <c r="DA156" i="14"/>
  <c r="DK672" i="14"/>
  <c r="DT337" i="14"/>
  <c r="DU337" i="14" s="1"/>
  <c r="DA660" i="14"/>
  <c r="DU636" i="14"/>
  <c r="CF517" i="14"/>
  <c r="CF518" i="14" s="1"/>
  <c r="CZ625" i="14"/>
  <c r="CZ626" i="14" s="1"/>
  <c r="DT493" i="14"/>
  <c r="DT494" i="14" s="1"/>
  <c r="EE300" i="14"/>
  <c r="CP373" i="14"/>
  <c r="CP374" i="14" s="1"/>
  <c r="CL60" i="14"/>
  <c r="DZ168" i="14"/>
  <c r="CL324" i="14"/>
  <c r="CZ61" i="14"/>
  <c r="DA61" i="14" s="1"/>
  <c r="CZ553" i="14"/>
  <c r="CZ554" i="14" s="1"/>
  <c r="ED517" i="14"/>
  <c r="EE517" i="14" s="1"/>
  <c r="DA120" i="14"/>
  <c r="DJ409" i="14"/>
  <c r="DK409" i="14" s="1"/>
  <c r="ED337" i="14"/>
  <c r="EE337" i="14" s="1"/>
  <c r="CK241" i="14"/>
  <c r="CL241" i="14" s="1"/>
  <c r="ED433" i="14"/>
  <c r="ED434" i="14" s="1"/>
  <c r="CK181" i="14"/>
  <c r="CK182" i="14" s="1"/>
  <c r="DZ228" i="14"/>
  <c r="CK673" i="14"/>
  <c r="CL673" i="14" s="1"/>
  <c r="DY481" i="14"/>
  <c r="DY482" i="14" s="1"/>
  <c r="DA504" i="14"/>
  <c r="DO277" i="14"/>
  <c r="DO278" i="14" s="1"/>
  <c r="DP228" i="14"/>
  <c r="DK336" i="14"/>
  <c r="CP145" i="14"/>
  <c r="CQ145" i="14" s="1"/>
  <c r="CV108" i="14"/>
  <c r="CK229" i="14"/>
  <c r="CL229" i="14" s="1"/>
  <c r="DA240" i="14"/>
  <c r="CU553" i="14"/>
  <c r="CV553" i="14" s="1"/>
  <c r="CQ420" i="14"/>
  <c r="DT61" i="14"/>
  <c r="DT62" i="14" s="1"/>
  <c r="DO625" i="14"/>
  <c r="DP625" i="14" s="1"/>
  <c r="DJ145" i="14"/>
  <c r="DJ146" i="14" s="1"/>
  <c r="DZ492" i="14"/>
  <c r="EE288" i="14"/>
  <c r="DT421" i="14"/>
  <c r="DU421" i="14" s="1"/>
  <c r="DA672" i="14"/>
  <c r="DY421" i="14"/>
  <c r="DZ421" i="14" s="1"/>
  <c r="CL528" i="14"/>
  <c r="DZ528" i="14"/>
  <c r="DT85" i="14"/>
  <c r="DU85" i="14" s="1"/>
  <c r="CQ456" i="14"/>
  <c r="CV216" i="14"/>
  <c r="CG240" i="14"/>
  <c r="CL132" i="14"/>
  <c r="CK589" i="14"/>
  <c r="CL589" i="14" s="1"/>
  <c r="CK97" i="14"/>
  <c r="CK98" i="14" s="1"/>
  <c r="CV468" i="14"/>
  <c r="CZ253" i="14"/>
  <c r="DA253" i="14" s="1"/>
  <c r="CU673" i="14"/>
  <c r="CU674" i="14" s="1"/>
  <c r="CV516" i="14"/>
  <c r="CG84" i="14"/>
  <c r="CG360" i="14"/>
  <c r="DZ660" i="14"/>
  <c r="CQ60" i="14"/>
  <c r="ED493" i="14"/>
  <c r="ED494" i="14" s="1"/>
  <c r="CV48" i="14"/>
  <c r="DK300" i="14"/>
  <c r="ED145" i="14"/>
  <c r="EE145" i="14" s="1"/>
  <c r="DA216" i="14"/>
  <c r="CP109" i="14"/>
  <c r="CQ109" i="14" s="1"/>
  <c r="CF409" i="14"/>
  <c r="CG409" i="14" s="1"/>
  <c r="DU624" i="14"/>
  <c r="DY541" i="14"/>
  <c r="DY542" i="14" s="1"/>
  <c r="DU384" i="14"/>
  <c r="DT601" i="14"/>
  <c r="DU601" i="14" s="1"/>
  <c r="DO121" i="14"/>
  <c r="DO122" i="14" s="1"/>
  <c r="CQ360" i="14"/>
  <c r="DY301" i="14"/>
  <c r="DZ301" i="14" s="1"/>
  <c r="CU133" i="14"/>
  <c r="CU134" i="14" s="1"/>
  <c r="CP637" i="14"/>
  <c r="CP638" i="14" s="1"/>
  <c r="CL48" i="14"/>
  <c r="DU672" i="14"/>
  <c r="DP420" i="14"/>
  <c r="CV384" i="14"/>
  <c r="CK649" i="14"/>
  <c r="CK650" i="14" s="1"/>
  <c r="DK84" i="14"/>
  <c r="CP529" i="14"/>
  <c r="CQ529" i="14" s="1"/>
  <c r="CQ588" i="14"/>
  <c r="CV264" i="14"/>
  <c r="DJ589" i="14"/>
  <c r="DK589" i="14" s="1"/>
  <c r="CL156" i="14"/>
  <c r="DZ648" i="14"/>
  <c r="DP336" i="14"/>
  <c r="DF384" i="14"/>
  <c r="DF48" i="14"/>
  <c r="CB528" i="14"/>
  <c r="DF528" i="14"/>
  <c r="CB108" i="14"/>
  <c r="DF180" i="14"/>
  <c r="CB120" i="14"/>
  <c r="CB276" i="14"/>
  <c r="DF360" i="14"/>
  <c r="DF120" i="14"/>
  <c r="DF588" i="14"/>
  <c r="DF60" i="14"/>
  <c r="CB420" i="14"/>
  <c r="DF144" i="14"/>
  <c r="CB480" i="14"/>
  <c r="DF143" i="14"/>
  <c r="CB216" i="14"/>
  <c r="CB456" i="14"/>
  <c r="CB360" i="14"/>
  <c r="DF660" i="14"/>
  <c r="DF612" i="14"/>
  <c r="CB672" i="14"/>
  <c r="CB48" i="14"/>
  <c r="CB132" i="14"/>
  <c r="DF252" i="14"/>
  <c r="EE60" i="14"/>
  <c r="CV444" i="14"/>
  <c r="DU612" i="14"/>
  <c r="DE385" i="14"/>
  <c r="DE386" i="14" s="1"/>
  <c r="CV588" i="14"/>
  <c r="CV600" i="14"/>
  <c r="EE504" i="14"/>
  <c r="CU241" i="14"/>
  <c r="CU242" i="14" s="1"/>
  <c r="CZ433" i="14"/>
  <c r="DA433" i="14" s="1"/>
  <c r="ED49" i="14"/>
  <c r="ED50" i="14" s="1"/>
  <c r="DO589" i="14"/>
  <c r="DP589" i="14" s="1"/>
  <c r="CG396" i="14"/>
  <c r="DJ469" i="14"/>
  <c r="DK469" i="14" s="1"/>
  <c r="CV648" i="14"/>
  <c r="CG108" i="14"/>
  <c r="DZ468" i="14"/>
  <c r="DU48" i="14"/>
  <c r="DJ181" i="14"/>
  <c r="DJ182" i="14" s="1"/>
  <c r="DZ48" i="14"/>
  <c r="CZ385" i="14"/>
  <c r="DA385" i="14" s="1"/>
  <c r="ED625" i="14"/>
  <c r="EE625" i="14" s="1"/>
  <c r="DT505" i="14"/>
  <c r="DU505" i="14" s="1"/>
  <c r="DK48" i="14"/>
  <c r="CV636" i="14"/>
  <c r="CG600" i="14"/>
  <c r="CG324" i="14"/>
  <c r="CP277" i="14"/>
  <c r="CQ277" i="14" s="1"/>
  <c r="DY181" i="14"/>
  <c r="DZ181" i="14" s="1"/>
  <c r="ED649" i="14"/>
  <c r="ED650" i="14" s="1"/>
  <c r="DF433" i="14"/>
  <c r="CB313" i="14"/>
  <c r="CB337" i="14"/>
  <c r="CB541" i="14"/>
  <c r="DF193" i="14"/>
  <c r="CB565" i="14"/>
  <c r="CB625" i="14"/>
  <c r="DF613" i="14"/>
  <c r="DF205" i="14"/>
  <c r="CB493" i="14"/>
  <c r="DF541" i="14"/>
  <c r="DF109" i="14"/>
  <c r="CB661" i="14"/>
  <c r="CB193" i="14"/>
  <c r="DF601" i="14"/>
  <c r="DF85" i="14"/>
  <c r="DF397" i="14"/>
  <c r="DF577" i="14"/>
  <c r="DF445" i="14"/>
  <c r="CB577" i="14"/>
  <c r="DF409" i="14"/>
  <c r="CB325" i="14"/>
  <c r="CB517" i="14"/>
  <c r="CB469" i="14"/>
  <c r="DF313" i="14"/>
  <c r="CB373" i="14"/>
  <c r="DF493" i="14"/>
  <c r="DF277" i="14"/>
  <c r="CB133" i="14"/>
  <c r="DF337" i="14"/>
  <c r="DF97" i="14"/>
  <c r="CB241" i="14"/>
  <c r="CB145" i="14"/>
  <c r="DF49" i="14"/>
  <c r="DF517" i="14"/>
  <c r="CB157" i="14"/>
  <c r="CB361" i="14"/>
  <c r="DF253" i="14"/>
  <c r="DF289" i="14"/>
  <c r="DF457" i="14"/>
  <c r="CB457" i="14"/>
  <c r="CB601" i="14"/>
  <c r="CB445" i="14"/>
  <c r="CB97" i="14"/>
  <c r="CB229" i="14"/>
  <c r="CB289" i="14"/>
  <c r="DF589" i="14"/>
  <c r="DF673" i="14"/>
  <c r="DF229" i="14"/>
  <c r="DF121" i="14"/>
  <c r="DF661" i="14"/>
  <c r="CB553" i="14"/>
  <c r="DF553" i="14"/>
  <c r="CB673" i="14"/>
  <c r="DF469" i="14"/>
  <c r="CB529" i="14"/>
  <c r="DF373" i="14"/>
  <c r="CB649" i="14"/>
  <c r="CB181" i="14"/>
  <c r="DF361" i="14"/>
  <c r="DF421" i="14"/>
  <c r="DF625" i="14"/>
  <c r="DF301" i="14"/>
  <c r="CB613" i="14"/>
  <c r="CB169" i="14"/>
  <c r="CB277" i="14"/>
  <c r="CB433" i="14"/>
  <c r="CB85" i="14"/>
  <c r="DF325" i="14"/>
  <c r="CB505" i="14"/>
  <c r="DF265" i="14"/>
  <c r="CB409" i="14"/>
  <c r="CB253" i="14"/>
  <c r="DF637" i="14"/>
  <c r="CB589" i="14"/>
  <c r="CB205" i="14"/>
  <c r="DF145" i="14"/>
  <c r="DF181" i="14"/>
  <c r="CB49" i="14"/>
  <c r="CB481" i="14"/>
  <c r="DF481" i="14"/>
  <c r="CB385" i="14"/>
  <c r="CB349" i="14"/>
  <c r="CB397" i="14"/>
  <c r="CB61" i="14"/>
  <c r="CB109" i="14"/>
  <c r="CB121" i="14"/>
  <c r="DF61" i="14"/>
  <c r="DF241" i="14"/>
  <c r="CB301" i="14"/>
  <c r="CB217" i="14"/>
  <c r="DF217" i="14"/>
  <c r="CB637" i="14"/>
  <c r="CB421" i="14"/>
  <c r="DF157" i="14"/>
  <c r="DF169" i="14"/>
  <c r="DF649" i="14"/>
  <c r="DF565" i="14"/>
  <c r="DF349" i="14"/>
  <c r="CB265" i="14"/>
  <c r="DF529" i="14"/>
  <c r="DF505" i="14"/>
  <c r="DF133" i="14"/>
  <c r="DE434" i="14"/>
  <c r="DK289" i="14"/>
  <c r="DJ290" i="14"/>
  <c r="CG109" i="14"/>
  <c r="CF110" i="14"/>
  <c r="CZ446" i="14"/>
  <c r="DA445" i="14"/>
  <c r="CA314" i="14"/>
  <c r="CU422" i="14"/>
  <c r="CV421" i="14"/>
  <c r="CF206" i="14"/>
  <c r="CG205" i="14"/>
  <c r="CK578" i="14"/>
  <c r="CL577" i="14"/>
  <c r="DP253" i="14"/>
  <c r="DO254" i="14"/>
  <c r="CA338" i="14"/>
  <c r="CA542" i="14"/>
  <c r="DE194" i="14"/>
  <c r="DJ122" i="14"/>
  <c r="DK121" i="14"/>
  <c r="DY458" i="14"/>
  <c r="DZ457" i="14"/>
  <c r="CG541" i="14"/>
  <c r="CF542" i="14"/>
  <c r="DY446" i="14"/>
  <c r="DZ445" i="14"/>
  <c r="DA181" i="14"/>
  <c r="CZ182" i="14"/>
  <c r="DK385" i="14"/>
  <c r="DJ386" i="14"/>
  <c r="CU494" i="14"/>
  <c r="CV493" i="14"/>
  <c r="CV325" i="14"/>
  <c r="CU326" i="14"/>
  <c r="DO530" i="14"/>
  <c r="DP529" i="14"/>
  <c r="CA566" i="14"/>
  <c r="CP98" i="14"/>
  <c r="CQ97" i="14"/>
  <c r="DO302" i="14"/>
  <c r="DP301" i="14"/>
  <c r="CA626" i="14"/>
  <c r="CP362" i="14"/>
  <c r="CQ361" i="14"/>
  <c r="DZ493" i="14"/>
  <c r="DY494" i="14"/>
  <c r="DE614" i="14"/>
  <c r="DZ409" i="14"/>
  <c r="DY410" i="14"/>
  <c r="ED110" i="14"/>
  <c r="EE109" i="14"/>
  <c r="ED182" i="14"/>
  <c r="EE181" i="14"/>
  <c r="CL313" i="14"/>
  <c r="CK314" i="14"/>
  <c r="CV349" i="14"/>
  <c r="CU350" i="14"/>
  <c r="CQ313" i="14"/>
  <c r="CP314" i="14"/>
  <c r="DE206" i="14"/>
  <c r="CP122" i="14"/>
  <c r="CQ121" i="14"/>
  <c r="DO518" i="14"/>
  <c r="DP517" i="14"/>
  <c r="DK553" i="14"/>
  <c r="DJ554" i="14"/>
  <c r="CV637" i="14"/>
  <c r="CU638" i="14"/>
  <c r="DA313" i="14"/>
  <c r="CZ314" i="14"/>
  <c r="CK122" i="14"/>
  <c r="CL121" i="14"/>
  <c r="CA494" i="14"/>
  <c r="DO290" i="14"/>
  <c r="DP289" i="14"/>
  <c r="CG241" i="14"/>
  <c r="CF242" i="14"/>
  <c r="ED470" i="14"/>
  <c r="EE469" i="14"/>
  <c r="DU373" i="14"/>
  <c r="DT374" i="14"/>
  <c r="DA97" i="14"/>
  <c r="CZ98" i="14"/>
  <c r="DZ625" i="14"/>
  <c r="DY626" i="14"/>
  <c r="DJ674" i="14"/>
  <c r="DK673" i="14"/>
  <c r="DJ434" i="14"/>
  <c r="DK433" i="14"/>
  <c r="DZ241" i="14"/>
  <c r="DY242" i="14"/>
  <c r="DE542" i="14"/>
  <c r="DO350" i="14"/>
  <c r="DP349" i="14"/>
  <c r="CG469" i="14"/>
  <c r="CF470" i="14"/>
  <c r="DJ566" i="14"/>
  <c r="DK565" i="14"/>
  <c r="CU662" i="14"/>
  <c r="CV661" i="14"/>
  <c r="DO158" i="14"/>
  <c r="DP157" i="14"/>
  <c r="CG301" i="14"/>
  <c r="CF302" i="14"/>
  <c r="DU433" i="14"/>
  <c r="DT434" i="14"/>
  <c r="DE110" i="14"/>
  <c r="CA662" i="14"/>
  <c r="CK554" i="14"/>
  <c r="CL553" i="14"/>
  <c r="CF398" i="14"/>
  <c r="CG397" i="14"/>
  <c r="DY506" i="14"/>
  <c r="DZ505" i="14"/>
  <c r="CV337" i="14"/>
  <c r="CU338" i="14"/>
  <c r="CF650" i="14"/>
  <c r="CG649" i="14"/>
  <c r="CG637" i="14"/>
  <c r="CF638" i="14"/>
  <c r="EE457" i="14"/>
  <c r="ED458" i="14"/>
  <c r="CV289" i="14"/>
  <c r="CU290" i="14"/>
  <c r="CZ470" i="14"/>
  <c r="DA469" i="14"/>
  <c r="CK50" i="14"/>
  <c r="CL49" i="14"/>
  <c r="CK398" i="14"/>
  <c r="CL397" i="14"/>
  <c r="CA194" i="14"/>
  <c r="DA85" i="14"/>
  <c r="CZ86" i="14"/>
  <c r="ED482" i="14"/>
  <c r="EE481" i="14"/>
  <c r="DJ50" i="14"/>
  <c r="DK49" i="14"/>
  <c r="DU445" i="14"/>
  <c r="DT446" i="14"/>
  <c r="CG529" i="14"/>
  <c r="CF530" i="14"/>
  <c r="DE602" i="14"/>
  <c r="DU481" i="14"/>
  <c r="DT482" i="14"/>
  <c r="DE86" i="14"/>
  <c r="DZ433" i="14"/>
  <c r="DY434" i="14"/>
  <c r="CP554" i="14"/>
  <c r="CQ553" i="14"/>
  <c r="DE398" i="14"/>
  <c r="CQ565" i="14"/>
  <c r="CP566" i="14"/>
  <c r="DZ649" i="14"/>
  <c r="DY650" i="14"/>
  <c r="DE578" i="14"/>
  <c r="DE446" i="14"/>
  <c r="CA578" i="14"/>
  <c r="CU362" i="14"/>
  <c r="CV361" i="14"/>
  <c r="DY350" i="14"/>
  <c r="DZ349" i="14"/>
  <c r="CQ253" i="14"/>
  <c r="CP254" i="14"/>
  <c r="DP421" i="14"/>
  <c r="DO422" i="14"/>
  <c r="DP133" i="14"/>
  <c r="DO134" i="14"/>
  <c r="DP217" i="14"/>
  <c r="DO218" i="14"/>
  <c r="DP577" i="14"/>
  <c r="DO578" i="14"/>
  <c r="DE410" i="14"/>
  <c r="CQ385" i="14"/>
  <c r="CP386" i="14"/>
  <c r="CA326" i="14"/>
  <c r="CQ169" i="14"/>
  <c r="CP170" i="14"/>
  <c r="CU278" i="14"/>
  <c r="CV277" i="14"/>
  <c r="CA518" i="14"/>
  <c r="DU181" i="14"/>
  <c r="DT182" i="14"/>
  <c r="DK241" i="14"/>
  <c r="DJ242" i="14"/>
  <c r="CA470" i="14"/>
  <c r="CL253" i="14"/>
  <c r="CK254" i="14"/>
  <c r="DY638" i="14"/>
  <c r="DZ637" i="14"/>
  <c r="DJ218" i="14"/>
  <c r="DK217" i="14"/>
  <c r="DP565" i="14"/>
  <c r="DO566" i="14"/>
  <c r="CU470" i="14"/>
  <c r="CV469" i="14"/>
  <c r="DO506" i="14"/>
  <c r="DP505" i="14"/>
  <c r="DZ661" i="14"/>
  <c r="DY662" i="14"/>
  <c r="DU673" i="14"/>
  <c r="DT674" i="14"/>
  <c r="CV253" i="14"/>
  <c r="CU254" i="14"/>
  <c r="ED242" i="14"/>
  <c r="EE241" i="14"/>
  <c r="CF458" i="14"/>
  <c r="CG457" i="14"/>
  <c r="DE314" i="14"/>
  <c r="CQ61" i="14"/>
  <c r="CP62" i="14"/>
  <c r="DU589" i="14"/>
  <c r="DT590" i="14"/>
  <c r="CA374" i="14"/>
  <c r="CU110" i="14"/>
  <c r="CV109" i="14"/>
  <c r="CF434" i="14"/>
  <c r="CG433" i="14"/>
  <c r="CL349" i="14"/>
  <c r="CK350" i="14"/>
  <c r="CF482" i="14"/>
  <c r="CG481" i="14"/>
  <c r="CP266" i="14"/>
  <c r="CQ265" i="14"/>
  <c r="EE265" i="14"/>
  <c r="ED266" i="14"/>
  <c r="EE61" i="14"/>
  <c r="ED62" i="14"/>
  <c r="CP650" i="14"/>
  <c r="CQ649" i="14"/>
  <c r="CF590" i="14"/>
  <c r="CG589" i="14"/>
  <c r="CP482" i="14"/>
  <c r="CQ481" i="14"/>
  <c r="DO446" i="14"/>
  <c r="DP445" i="14"/>
  <c r="CK482" i="14"/>
  <c r="CL481" i="14"/>
  <c r="DO230" i="14"/>
  <c r="DP229" i="14"/>
  <c r="DE494" i="14"/>
  <c r="CZ122" i="14"/>
  <c r="DA121" i="14"/>
  <c r="CP518" i="14"/>
  <c r="CQ517" i="14"/>
  <c r="DZ469" i="14"/>
  <c r="DY470" i="14"/>
  <c r="DT650" i="14"/>
  <c r="DU649" i="14"/>
  <c r="DP661" i="14"/>
  <c r="DO662" i="14"/>
  <c r="CU650" i="14"/>
  <c r="CV649" i="14"/>
  <c r="CQ325" i="14"/>
  <c r="CP326" i="14"/>
  <c r="CU542" i="14"/>
  <c r="CV541" i="14"/>
  <c r="DJ254" i="14"/>
  <c r="DK253" i="14"/>
  <c r="ED230" i="14"/>
  <c r="EE229" i="14"/>
  <c r="CZ482" i="14"/>
  <c r="DA481" i="14"/>
  <c r="CQ193" i="14"/>
  <c r="CP194" i="14"/>
  <c r="EE589" i="14"/>
  <c r="ED590" i="14"/>
  <c r="DU661" i="14"/>
  <c r="DT662" i="14"/>
  <c r="CF194" i="14"/>
  <c r="CG193" i="14"/>
  <c r="CV625" i="14"/>
  <c r="CU626" i="14"/>
  <c r="DE278" i="14"/>
  <c r="ED302" i="14"/>
  <c r="EE301" i="14"/>
  <c r="DP313" i="14"/>
  <c r="DO314" i="14"/>
  <c r="DJ578" i="14"/>
  <c r="DK577" i="14"/>
  <c r="CK146" i="14"/>
  <c r="CL145" i="14"/>
  <c r="CA134" i="14"/>
  <c r="DE338" i="14"/>
  <c r="CL157" i="14"/>
  <c r="CK158" i="14"/>
  <c r="DE98" i="14"/>
  <c r="DJ278" i="14"/>
  <c r="DK277" i="14"/>
  <c r="EE169" i="14"/>
  <c r="ED170" i="14"/>
  <c r="CV193" i="14"/>
  <c r="CU194" i="14"/>
  <c r="DJ98" i="14"/>
  <c r="DK97" i="14"/>
  <c r="CG253" i="14"/>
  <c r="CF254" i="14"/>
  <c r="CF170" i="14"/>
  <c r="CG169" i="14"/>
  <c r="CV373" i="14"/>
  <c r="CU374" i="14"/>
  <c r="CL385" i="14"/>
  <c r="CK386" i="14"/>
  <c r="CU530" i="14"/>
  <c r="CV529" i="14"/>
  <c r="CU446" i="14"/>
  <c r="CV445" i="14"/>
  <c r="CQ493" i="14"/>
  <c r="CP494" i="14"/>
  <c r="DY170" i="14"/>
  <c r="DZ169" i="14"/>
  <c r="CU146" i="14"/>
  <c r="CV145" i="14"/>
  <c r="CA242" i="14"/>
  <c r="CA146" i="14"/>
  <c r="CL109" i="14"/>
  <c r="CK110" i="14"/>
  <c r="CG133" i="14"/>
  <c r="CF134" i="14"/>
  <c r="CU566" i="14"/>
  <c r="CV565" i="14"/>
  <c r="DU205" i="14"/>
  <c r="DT206" i="14"/>
  <c r="CP626" i="14"/>
  <c r="CQ625" i="14"/>
  <c r="EE505" i="14"/>
  <c r="ED506" i="14"/>
  <c r="CV505" i="14"/>
  <c r="CU506" i="14"/>
  <c r="DT254" i="14"/>
  <c r="DU253" i="14"/>
  <c r="DE50" i="14"/>
  <c r="CL373" i="14"/>
  <c r="CK374" i="14"/>
  <c r="DT218" i="14"/>
  <c r="DU217" i="14"/>
  <c r="CK542" i="14"/>
  <c r="CL541" i="14"/>
  <c r="CP602" i="14"/>
  <c r="CQ601" i="14"/>
  <c r="DA361" i="14"/>
  <c r="CZ362" i="14"/>
  <c r="DZ673" i="14"/>
  <c r="DY674" i="14"/>
  <c r="DA613" i="14"/>
  <c r="CZ614" i="14"/>
  <c r="DY50" i="14"/>
  <c r="DZ49" i="14"/>
  <c r="DA673" i="14"/>
  <c r="CZ674" i="14"/>
  <c r="CK194" i="14"/>
  <c r="CL193" i="14"/>
  <c r="ED554" i="14"/>
  <c r="EE553" i="14"/>
  <c r="DO194" i="14"/>
  <c r="DP193" i="14"/>
  <c r="DO614" i="14"/>
  <c r="DP613" i="14"/>
  <c r="DT266" i="14"/>
  <c r="DU265" i="14"/>
  <c r="DT134" i="14"/>
  <c r="DU133" i="14"/>
  <c r="DY158" i="14"/>
  <c r="DZ157" i="14"/>
  <c r="DE518" i="14"/>
  <c r="DZ385" i="14"/>
  <c r="DY386" i="14"/>
  <c r="DO470" i="14"/>
  <c r="DP469" i="14"/>
  <c r="CZ662" i="14"/>
  <c r="DA661" i="14"/>
  <c r="CV409" i="14"/>
  <c r="CU410" i="14"/>
  <c r="DY146" i="14"/>
  <c r="DZ145" i="14"/>
  <c r="CA158" i="14"/>
  <c r="DA601" i="14"/>
  <c r="CZ602" i="14"/>
  <c r="EE205" i="14"/>
  <c r="ED206" i="14"/>
  <c r="DK661" i="14"/>
  <c r="DJ662" i="14"/>
  <c r="CA362" i="14"/>
  <c r="CG349" i="14"/>
  <c r="CF350" i="14"/>
  <c r="CK530" i="14"/>
  <c r="CL529" i="14"/>
  <c r="CF62" i="14"/>
  <c r="CG61" i="14"/>
  <c r="DP49" i="14"/>
  <c r="DO50" i="14"/>
  <c r="DK601" i="14"/>
  <c r="DJ602" i="14"/>
  <c r="CQ229" i="14"/>
  <c r="CP230" i="14"/>
  <c r="DZ529" i="14"/>
  <c r="DY530" i="14"/>
  <c r="CV205" i="14"/>
  <c r="CU206" i="14"/>
  <c r="DE254" i="14"/>
  <c r="EE193" i="14"/>
  <c r="ED194" i="14"/>
  <c r="DE290" i="14"/>
  <c r="DT410" i="14"/>
  <c r="DU409" i="14"/>
  <c r="ED86" i="14"/>
  <c r="EE85" i="14"/>
  <c r="DZ589" i="14"/>
  <c r="DY590" i="14"/>
  <c r="CU578" i="14"/>
  <c r="CV577" i="14"/>
  <c r="CF386" i="14"/>
  <c r="CG385" i="14"/>
  <c r="DE458" i="14"/>
  <c r="DA301" i="14"/>
  <c r="CZ302" i="14"/>
  <c r="DU613" i="14"/>
  <c r="DT614" i="14"/>
  <c r="CL169" i="14"/>
  <c r="CK170" i="14"/>
  <c r="CA458" i="14"/>
  <c r="DT194" i="14"/>
  <c r="DU193" i="14"/>
  <c r="DT230" i="14"/>
  <c r="DU229" i="14"/>
  <c r="DU637" i="14"/>
  <c r="DT638" i="14"/>
  <c r="DZ277" i="14"/>
  <c r="DY278" i="14"/>
  <c r="CA602" i="14"/>
  <c r="DK313" i="14"/>
  <c r="DJ314" i="14"/>
  <c r="CG601" i="14"/>
  <c r="CF602" i="14"/>
  <c r="CA446" i="14"/>
  <c r="CK362" i="14"/>
  <c r="CL361" i="14"/>
  <c r="CF230" i="14"/>
  <c r="CG229" i="14"/>
  <c r="DU517" i="14"/>
  <c r="DT518" i="14"/>
  <c r="DZ337" i="14"/>
  <c r="DY338" i="14"/>
  <c r="CG121" i="14"/>
  <c r="CF122" i="14"/>
  <c r="ED218" i="14"/>
  <c r="EE217" i="14"/>
  <c r="DP409" i="14"/>
  <c r="DO410" i="14"/>
  <c r="CQ433" i="14"/>
  <c r="CP434" i="14"/>
  <c r="CA98" i="14"/>
  <c r="CA230" i="14"/>
  <c r="DA589" i="14"/>
  <c r="CZ590" i="14"/>
  <c r="CK470" i="14"/>
  <c r="CL469" i="14"/>
  <c r="DP61" i="14"/>
  <c r="DO62" i="14"/>
  <c r="DU313" i="14"/>
  <c r="DT314" i="14"/>
  <c r="CF422" i="14"/>
  <c r="CG421" i="14"/>
  <c r="CF146" i="14"/>
  <c r="CG145" i="14"/>
  <c r="CA290" i="14"/>
  <c r="CQ397" i="14"/>
  <c r="CP398" i="14"/>
  <c r="DJ362" i="14"/>
  <c r="DK361" i="14"/>
  <c r="DE590" i="14"/>
  <c r="DU289" i="14"/>
  <c r="DT290" i="14"/>
  <c r="DK337" i="14"/>
  <c r="DJ338" i="14"/>
  <c r="DU301" i="14"/>
  <c r="DT302" i="14"/>
  <c r="DK457" i="14"/>
  <c r="DJ458" i="14"/>
  <c r="DT398" i="14"/>
  <c r="DU397" i="14"/>
  <c r="DE674" i="14"/>
  <c r="DY206" i="14"/>
  <c r="DZ205" i="14"/>
  <c r="DT470" i="14"/>
  <c r="DU469" i="14"/>
  <c r="CV217" i="14"/>
  <c r="CU218" i="14"/>
  <c r="CV229" i="14"/>
  <c r="CU230" i="14"/>
  <c r="CV433" i="14"/>
  <c r="CU434" i="14"/>
  <c r="DE230" i="14"/>
  <c r="CU50" i="14"/>
  <c r="CV49" i="14"/>
  <c r="ED158" i="14"/>
  <c r="EE157" i="14"/>
  <c r="DU553" i="14"/>
  <c r="DT554" i="14"/>
  <c r="ED398" i="14"/>
  <c r="EE397" i="14"/>
  <c r="DE122" i="14"/>
  <c r="DJ86" i="14"/>
  <c r="DK85" i="14"/>
  <c r="CV589" i="14"/>
  <c r="CU590" i="14"/>
  <c r="DO266" i="14"/>
  <c r="DP265" i="14"/>
  <c r="DT170" i="14"/>
  <c r="DU169" i="14"/>
  <c r="CF662" i="14"/>
  <c r="CG661" i="14"/>
  <c r="DO86" i="14"/>
  <c r="DP85" i="14"/>
  <c r="CZ134" i="14"/>
  <c r="DA133" i="14"/>
  <c r="DJ398" i="14"/>
  <c r="DK397" i="14"/>
  <c r="CG613" i="14"/>
  <c r="CF614" i="14"/>
  <c r="ED374" i="14"/>
  <c r="EE373" i="14"/>
  <c r="DT122" i="14"/>
  <c r="DU121" i="14"/>
  <c r="EE673" i="14"/>
  <c r="ED674" i="14"/>
  <c r="CU458" i="14"/>
  <c r="CV457" i="14"/>
  <c r="CQ457" i="14"/>
  <c r="CP458" i="14"/>
  <c r="CF50" i="14"/>
  <c r="CG49" i="14"/>
  <c r="DE662" i="14"/>
  <c r="DO542" i="14"/>
  <c r="DP541" i="14"/>
  <c r="DY518" i="14"/>
  <c r="DZ517" i="14"/>
  <c r="CL421" i="14"/>
  <c r="CK422" i="14"/>
  <c r="DJ134" i="14"/>
  <c r="DK133" i="14"/>
  <c r="CF266" i="14"/>
  <c r="CG265" i="14"/>
  <c r="CZ326" i="14"/>
  <c r="DA325" i="14"/>
  <c r="DY362" i="14"/>
  <c r="DZ361" i="14"/>
  <c r="DZ565" i="14"/>
  <c r="DY566" i="14"/>
  <c r="CA554" i="14"/>
  <c r="DO602" i="14"/>
  <c r="DP601" i="14"/>
  <c r="CP470" i="14"/>
  <c r="CQ469" i="14"/>
  <c r="DO374" i="14"/>
  <c r="DP373" i="14"/>
  <c r="CF86" i="14"/>
  <c r="CG85" i="14"/>
  <c r="DP673" i="14"/>
  <c r="DO674" i="14"/>
  <c r="DZ61" i="14"/>
  <c r="DY62" i="14"/>
  <c r="DE554" i="14"/>
  <c r="DA337" i="14"/>
  <c r="CZ338" i="14"/>
  <c r="CP50" i="14"/>
  <c r="CQ49" i="14"/>
  <c r="CQ577" i="14"/>
  <c r="CP578" i="14"/>
  <c r="DJ482" i="14"/>
  <c r="DK481" i="14"/>
  <c r="CA674" i="14"/>
  <c r="DA397" i="14"/>
  <c r="CZ398" i="14"/>
  <c r="DK193" i="14"/>
  <c r="DJ194" i="14"/>
  <c r="DT146" i="14"/>
  <c r="DU145" i="14"/>
  <c r="CZ266" i="14"/>
  <c r="DA265" i="14"/>
  <c r="DZ217" i="14"/>
  <c r="DY218" i="14"/>
  <c r="DE470" i="14"/>
  <c r="CV121" i="14"/>
  <c r="CU122" i="14"/>
  <c r="CZ158" i="14"/>
  <c r="DA157" i="14"/>
  <c r="DO110" i="14"/>
  <c r="DP109" i="14"/>
  <c r="CA530" i="14"/>
  <c r="DY290" i="14"/>
  <c r="DZ289" i="14"/>
  <c r="DZ229" i="14"/>
  <c r="DY230" i="14"/>
  <c r="DZ313" i="14"/>
  <c r="DY314" i="14"/>
  <c r="EE613" i="14"/>
  <c r="ED614" i="14"/>
  <c r="DE374" i="14"/>
  <c r="CA650" i="14"/>
  <c r="DA49" i="14"/>
  <c r="CZ50" i="14"/>
  <c r="ED386" i="14"/>
  <c r="EE385" i="14"/>
  <c r="CV313" i="14"/>
  <c r="CU314" i="14"/>
  <c r="CA182" i="14"/>
  <c r="DK625" i="14"/>
  <c r="DJ626" i="14"/>
  <c r="CQ409" i="14"/>
  <c r="CP410" i="14"/>
  <c r="DE362" i="14"/>
  <c r="DJ170" i="14"/>
  <c r="DK169" i="14"/>
  <c r="ED98" i="14"/>
  <c r="EE97" i="14"/>
  <c r="DE422" i="14"/>
  <c r="CL85" i="14"/>
  <c r="CK86" i="14"/>
  <c r="CQ133" i="14"/>
  <c r="CP134" i="14"/>
  <c r="DE626" i="14"/>
  <c r="DE302" i="14"/>
  <c r="DO398" i="14"/>
  <c r="DP397" i="14"/>
  <c r="DK61" i="14"/>
  <c r="DJ62" i="14"/>
  <c r="CK302" i="14"/>
  <c r="CL301" i="14"/>
  <c r="DT626" i="14"/>
  <c r="DU625" i="14"/>
  <c r="DY98" i="14"/>
  <c r="DZ97" i="14"/>
  <c r="CA614" i="14"/>
  <c r="CA170" i="14"/>
  <c r="DY194" i="14"/>
  <c r="DZ193" i="14"/>
  <c r="DO98" i="14"/>
  <c r="DP97" i="14"/>
  <c r="DY602" i="14"/>
  <c r="DZ601" i="14"/>
  <c r="EE313" i="14"/>
  <c r="ED314" i="14"/>
  <c r="CA278" i="14"/>
  <c r="DO146" i="14"/>
  <c r="DP145" i="14"/>
  <c r="CV85" i="14"/>
  <c r="CU86" i="14"/>
  <c r="ED326" i="14"/>
  <c r="EE325" i="14"/>
  <c r="CL625" i="14"/>
  <c r="CK626" i="14"/>
  <c r="DA457" i="14"/>
  <c r="CZ458" i="14"/>
  <c r="DA169" i="14"/>
  <c r="CZ170" i="14"/>
  <c r="CL613" i="14"/>
  <c r="CK614" i="14"/>
  <c r="DK373" i="14"/>
  <c r="DJ374" i="14"/>
  <c r="CA434" i="14"/>
  <c r="CZ290" i="14"/>
  <c r="DA289" i="14"/>
  <c r="CZ206" i="14"/>
  <c r="DA205" i="14"/>
  <c r="CK602" i="14"/>
  <c r="CL601" i="14"/>
  <c r="CU398" i="14"/>
  <c r="CV397" i="14"/>
  <c r="DO458" i="14"/>
  <c r="DP457" i="14"/>
  <c r="DY578" i="14"/>
  <c r="DZ577" i="14"/>
  <c r="CK458" i="14"/>
  <c r="CL457" i="14"/>
  <c r="DY614" i="14"/>
  <c r="DZ613" i="14"/>
  <c r="DO650" i="14"/>
  <c r="DP649" i="14"/>
  <c r="DT362" i="14"/>
  <c r="DU361" i="14"/>
  <c r="DA409" i="14"/>
  <c r="CZ410" i="14"/>
  <c r="CQ505" i="14"/>
  <c r="CP506" i="14"/>
  <c r="CK290" i="14"/>
  <c r="CL289" i="14"/>
  <c r="CA86" i="14"/>
  <c r="CL325" i="14"/>
  <c r="CK326" i="14"/>
  <c r="DE326" i="14"/>
  <c r="DJ542" i="14"/>
  <c r="DK541" i="14"/>
  <c r="CA506" i="14"/>
  <c r="DA517" i="14"/>
  <c r="CZ518" i="14"/>
  <c r="DO362" i="14"/>
  <c r="DP361" i="14"/>
  <c r="CV385" i="14"/>
  <c r="CU386" i="14"/>
  <c r="DE266" i="14"/>
  <c r="CA410" i="14"/>
  <c r="CF182" i="14"/>
  <c r="CG181" i="14"/>
  <c r="EE529" i="14"/>
  <c r="ED530" i="14"/>
  <c r="CK338" i="14"/>
  <c r="CL337" i="14"/>
  <c r="CA254" i="14"/>
  <c r="EE277" i="14"/>
  <c r="ED278" i="14"/>
  <c r="CL61" i="14"/>
  <c r="CK62" i="14"/>
  <c r="CF158" i="14"/>
  <c r="CG157" i="14"/>
  <c r="CF362" i="14"/>
  <c r="CG361" i="14"/>
  <c r="EE361" i="14"/>
  <c r="ED362" i="14"/>
  <c r="DE638" i="14"/>
  <c r="DO182" i="14"/>
  <c r="DP181" i="14"/>
  <c r="DU277" i="14"/>
  <c r="DT278" i="14"/>
  <c r="CF578" i="14"/>
  <c r="CG577" i="14"/>
  <c r="CA590" i="14"/>
  <c r="DK493" i="14"/>
  <c r="DJ494" i="14"/>
  <c r="DK229" i="14"/>
  <c r="DJ230" i="14"/>
  <c r="DZ109" i="14"/>
  <c r="DY110" i="14"/>
  <c r="CA206" i="14"/>
  <c r="CU98" i="14"/>
  <c r="CV97" i="14"/>
  <c r="DE146" i="14"/>
  <c r="ED638" i="14"/>
  <c r="EE637" i="14"/>
  <c r="DE182" i="14"/>
  <c r="CP242" i="14"/>
  <c r="CQ241" i="14"/>
  <c r="DP433" i="14"/>
  <c r="DO434" i="14"/>
  <c r="CQ421" i="14"/>
  <c r="CP422" i="14"/>
  <c r="CA50" i="14"/>
  <c r="CZ230" i="14"/>
  <c r="DA229" i="14"/>
  <c r="EE445" i="14"/>
  <c r="ED446" i="14"/>
  <c r="CA482" i="14"/>
  <c r="DT110" i="14"/>
  <c r="DU109" i="14"/>
  <c r="CL433" i="14"/>
  <c r="CK434" i="14"/>
  <c r="DU241" i="14"/>
  <c r="DT242" i="14"/>
  <c r="ED134" i="14"/>
  <c r="EE133" i="14"/>
  <c r="CZ110" i="14"/>
  <c r="DA109" i="14"/>
  <c r="DJ530" i="14"/>
  <c r="DK529" i="14"/>
  <c r="CF374" i="14"/>
  <c r="CG373" i="14"/>
  <c r="CZ542" i="14"/>
  <c r="DA541" i="14"/>
  <c r="DK421" i="14"/>
  <c r="DJ422" i="14"/>
  <c r="DK637" i="14"/>
  <c r="DJ638" i="14"/>
  <c r="DE482" i="14"/>
  <c r="EE253" i="14"/>
  <c r="ED254" i="14"/>
  <c r="DU577" i="14"/>
  <c r="DT578" i="14"/>
  <c r="CA386" i="14"/>
  <c r="DP169" i="14"/>
  <c r="DO170" i="14"/>
  <c r="CZ638" i="14"/>
  <c r="DA637" i="14"/>
  <c r="CA350" i="14"/>
  <c r="CU170" i="14"/>
  <c r="CV169" i="14"/>
  <c r="CF494" i="14"/>
  <c r="CG493" i="14"/>
  <c r="CA398" i="14"/>
  <c r="DP481" i="14"/>
  <c r="DO482" i="14"/>
  <c r="DJ302" i="14"/>
  <c r="DK301" i="14"/>
  <c r="DP241" i="14"/>
  <c r="DO242" i="14"/>
  <c r="CA62" i="14"/>
  <c r="CA110" i="14"/>
  <c r="DJ110" i="14"/>
  <c r="DK109" i="14"/>
  <c r="DZ253" i="14"/>
  <c r="DY254" i="14"/>
  <c r="CU518" i="14"/>
  <c r="CV517" i="14"/>
  <c r="DU541" i="14"/>
  <c r="DT542" i="14"/>
  <c r="DU49" i="14"/>
  <c r="DT50" i="14"/>
  <c r="CA122" i="14"/>
  <c r="DZ325" i="14"/>
  <c r="DY326" i="14"/>
  <c r="DY122" i="14"/>
  <c r="DZ121" i="14"/>
  <c r="DE62" i="14"/>
  <c r="DU385" i="14"/>
  <c r="DT386" i="14"/>
  <c r="CK638" i="14"/>
  <c r="CL637" i="14"/>
  <c r="DT326" i="14"/>
  <c r="DU325" i="14"/>
  <c r="DE242" i="14"/>
  <c r="CL445" i="14"/>
  <c r="CK446" i="14"/>
  <c r="CG97" i="14"/>
  <c r="CF98" i="14"/>
  <c r="ED122" i="14"/>
  <c r="EE121" i="14"/>
  <c r="DA217" i="14"/>
  <c r="CZ218" i="14"/>
  <c r="CA302" i="14"/>
  <c r="CL217" i="14"/>
  <c r="CK218" i="14"/>
  <c r="CL409" i="14"/>
  <c r="CK410" i="14"/>
  <c r="DA505" i="14"/>
  <c r="CZ506" i="14"/>
  <c r="CZ350" i="14"/>
  <c r="DA349" i="14"/>
  <c r="DU97" i="14"/>
  <c r="DT98" i="14"/>
  <c r="ED290" i="14"/>
  <c r="EE289" i="14"/>
  <c r="DA241" i="14"/>
  <c r="CZ242" i="14"/>
  <c r="CA218" i="14"/>
  <c r="DA277" i="14"/>
  <c r="CZ278" i="14"/>
  <c r="CK206" i="14"/>
  <c r="CL205" i="14"/>
  <c r="CL493" i="14"/>
  <c r="CK494" i="14"/>
  <c r="DE218" i="14"/>
  <c r="CA638" i="14"/>
  <c r="CV265" i="14"/>
  <c r="CU266" i="14"/>
  <c r="EE409" i="14"/>
  <c r="ED410" i="14"/>
  <c r="CZ146" i="14"/>
  <c r="DA145" i="14"/>
  <c r="DA529" i="14"/>
  <c r="CZ530" i="14"/>
  <c r="CQ205" i="14"/>
  <c r="CP206" i="14"/>
  <c r="CU62" i="14"/>
  <c r="CV61" i="14"/>
  <c r="CA422" i="14"/>
  <c r="EE661" i="14"/>
  <c r="ED662" i="14"/>
  <c r="DA565" i="14"/>
  <c r="CZ566" i="14"/>
  <c r="DY86" i="14"/>
  <c r="DZ85" i="14"/>
  <c r="DE158" i="14"/>
  <c r="DA649" i="14"/>
  <c r="CZ650" i="14"/>
  <c r="DE170" i="14"/>
  <c r="CP674" i="14"/>
  <c r="CQ673" i="14"/>
  <c r="CL277" i="14"/>
  <c r="CK278" i="14"/>
  <c r="CL265" i="14"/>
  <c r="CK266" i="14"/>
  <c r="ED350" i="14"/>
  <c r="EE349" i="14"/>
  <c r="CV613" i="14"/>
  <c r="CU614" i="14"/>
  <c r="CF218" i="14"/>
  <c r="CG217" i="14"/>
  <c r="CV601" i="14"/>
  <c r="CU602" i="14"/>
  <c r="DZ397" i="14"/>
  <c r="DY398" i="14"/>
  <c r="CK518" i="14"/>
  <c r="CL517" i="14"/>
  <c r="DE650" i="14"/>
  <c r="CU482" i="14"/>
  <c r="CV481" i="14"/>
  <c r="DE566" i="14"/>
  <c r="DE350" i="14"/>
  <c r="CP542" i="14"/>
  <c r="CQ541" i="14"/>
  <c r="CK134" i="14"/>
  <c r="CL133" i="14"/>
  <c r="DU349" i="14"/>
  <c r="DT350" i="14"/>
  <c r="CP590" i="14"/>
  <c r="CQ589" i="14"/>
  <c r="CA266" i="14"/>
  <c r="DK505" i="14"/>
  <c r="DJ506" i="14"/>
  <c r="CF674" i="14"/>
  <c r="CG673" i="14"/>
  <c r="CG313" i="14"/>
  <c r="CF314" i="14"/>
  <c r="ED422" i="14"/>
  <c r="EE421" i="14"/>
  <c r="CF326" i="14"/>
  <c r="CG325" i="14"/>
  <c r="DO386" i="14"/>
  <c r="DP385" i="14"/>
  <c r="DJ614" i="14"/>
  <c r="DK613" i="14"/>
  <c r="CV181" i="14"/>
  <c r="CU182" i="14"/>
  <c r="DA421" i="14"/>
  <c r="CZ422" i="14"/>
  <c r="CL661" i="14"/>
  <c r="CK662" i="14"/>
  <c r="CP446" i="14"/>
  <c r="CQ445" i="14"/>
  <c r="CF278" i="14"/>
  <c r="CG277" i="14"/>
  <c r="DE530" i="14"/>
  <c r="CQ217" i="14"/>
  <c r="CP218" i="14"/>
  <c r="DE506" i="14"/>
  <c r="ED542" i="14"/>
  <c r="EE541" i="14"/>
  <c r="CP350" i="14"/>
  <c r="CQ349" i="14"/>
  <c r="DY134" i="14"/>
  <c r="DZ133" i="14"/>
  <c r="DT566" i="14"/>
  <c r="DU565" i="14"/>
  <c r="DE134" i="14"/>
  <c r="DO338" i="14"/>
  <c r="DP337" i="14"/>
  <c r="EE577" i="14"/>
  <c r="ED578" i="14"/>
  <c r="DE72" i="14"/>
  <c r="CA72" i="14"/>
  <c r="ED71" i="14"/>
  <c r="DY71" i="14"/>
  <c r="DT71" i="14"/>
  <c r="DO71" i="14"/>
  <c r="DJ71" i="14"/>
  <c r="CZ71" i="14"/>
  <c r="CU71" i="14"/>
  <c r="CF71" i="14"/>
  <c r="CP71" i="14"/>
  <c r="CK71" i="14"/>
  <c r="AT41" i="14"/>
  <c r="AT44" i="14"/>
  <c r="AT46" i="14"/>
  <c r="AT45" i="14"/>
  <c r="AT43" i="14"/>
  <c r="ED35" i="14"/>
  <c r="AT558" i="14"/>
  <c r="AT561" i="14"/>
  <c r="AT560" i="14"/>
  <c r="AT557" i="14"/>
  <c r="AT562" i="14"/>
  <c r="AT559" i="14"/>
  <c r="AT308" i="14"/>
  <c r="AT305" i="14"/>
  <c r="AT310" i="14"/>
  <c r="AT307" i="14"/>
  <c r="AT309" i="14"/>
  <c r="AT306" i="14"/>
  <c r="AT435" i="14"/>
  <c r="AT432" i="14"/>
  <c r="AT434" i="14"/>
  <c r="AT431" i="14"/>
  <c r="AT436" i="14"/>
  <c r="AT433" i="14"/>
  <c r="AT602" i="14"/>
  <c r="AT599" i="14"/>
  <c r="AT604" i="14"/>
  <c r="AT601" i="14"/>
  <c r="AT603" i="14"/>
  <c r="AT600" i="14"/>
  <c r="AT406" i="14"/>
  <c r="AT403" i="14"/>
  <c r="AT405" i="14"/>
  <c r="AT402" i="14"/>
  <c r="AT404" i="14"/>
  <c r="AT401" i="14"/>
  <c r="AT280" i="14"/>
  <c r="AT277" i="14"/>
  <c r="AT276" i="14"/>
  <c r="AT279" i="14"/>
  <c r="AT278" i="14"/>
  <c r="AT275" i="14"/>
  <c r="AT607" i="14"/>
  <c r="AT610" i="14"/>
  <c r="AT606" i="14"/>
  <c r="AT609" i="14"/>
  <c r="AT608" i="14"/>
  <c r="AT605" i="14"/>
  <c r="AT260" i="14"/>
  <c r="AT257" i="14"/>
  <c r="AT259" i="14"/>
  <c r="AT261" i="14"/>
  <c r="AT258" i="14"/>
  <c r="AT262" i="14"/>
  <c r="AT483" i="14"/>
  <c r="AT480" i="14"/>
  <c r="AT482" i="14"/>
  <c r="AT479" i="14"/>
  <c r="AT484" i="14"/>
  <c r="AT481" i="14"/>
  <c r="AT272" i="14"/>
  <c r="AT269" i="14"/>
  <c r="AT274" i="14"/>
  <c r="AT271" i="14"/>
  <c r="AT270" i="14"/>
  <c r="AT273" i="14"/>
  <c r="AT464" i="14"/>
  <c r="AT461" i="14"/>
  <c r="AT466" i="14"/>
  <c r="AT463" i="14"/>
  <c r="AT462" i="14"/>
  <c r="AT465" i="14"/>
  <c r="AT651" i="14"/>
  <c r="AT648" i="14"/>
  <c r="AT650" i="14"/>
  <c r="AT647" i="14"/>
  <c r="AT652" i="14"/>
  <c r="AT649" i="14"/>
  <c r="AT122" i="14"/>
  <c r="AT119" i="14"/>
  <c r="AT121" i="14"/>
  <c r="AT124" i="14"/>
  <c r="AT123" i="14"/>
  <c r="AT120" i="14"/>
  <c r="AT591" i="14"/>
  <c r="AT590" i="14"/>
  <c r="AT587" i="14"/>
  <c r="AT592" i="14"/>
  <c r="AT589" i="14"/>
  <c r="AT588" i="14"/>
  <c r="AT228" i="14"/>
  <c r="AT231" i="14"/>
  <c r="AT230" i="14"/>
  <c r="AT227" i="14"/>
  <c r="AT232" i="14"/>
  <c r="AT229" i="14"/>
  <c r="AT430" i="14"/>
  <c r="AT427" i="14"/>
  <c r="AT429" i="14"/>
  <c r="AT426" i="14"/>
  <c r="AT428" i="14"/>
  <c r="AT425" i="14"/>
  <c r="AT513" i="14"/>
  <c r="AT512" i="14"/>
  <c r="AT509" i="14"/>
  <c r="AT514" i="14"/>
  <c r="AT511" i="14"/>
  <c r="AT510" i="14"/>
  <c r="AT656" i="14"/>
  <c r="AT653" i="14"/>
  <c r="AT655" i="14"/>
  <c r="AT658" i="14"/>
  <c r="AT654" i="14"/>
  <c r="AT657" i="14"/>
  <c r="AT623" i="14"/>
  <c r="AT628" i="14"/>
  <c r="AT625" i="14"/>
  <c r="AT627" i="14"/>
  <c r="AT624" i="14"/>
  <c r="AT626" i="14"/>
  <c r="AT472" i="14"/>
  <c r="AT469" i="14"/>
  <c r="AT468" i="14"/>
  <c r="AT471" i="14"/>
  <c r="AT470" i="14"/>
  <c r="AT467" i="14"/>
  <c r="AT214" i="14"/>
  <c r="AT211" i="14"/>
  <c r="AT213" i="14"/>
  <c r="AT210" i="14"/>
  <c r="AT212" i="14"/>
  <c r="AT209" i="14"/>
  <c r="AT671" i="14"/>
  <c r="AT676" i="14"/>
  <c r="AT673" i="14"/>
  <c r="AT675" i="14"/>
  <c r="AT672" i="14"/>
  <c r="AT674" i="14"/>
  <c r="AT669" i="14"/>
  <c r="AT666" i="14"/>
  <c r="AT665" i="14"/>
  <c r="AT668" i="14"/>
  <c r="AT670" i="14"/>
  <c r="AT667" i="14"/>
  <c r="AT551" i="14"/>
  <c r="AT556" i="14"/>
  <c r="AT553" i="14"/>
  <c r="AT555" i="14"/>
  <c r="AT552" i="14"/>
  <c r="AT554" i="14"/>
  <c r="AT616" i="14"/>
  <c r="AT612" i="14"/>
  <c r="AT615" i="14"/>
  <c r="AT611" i="14"/>
  <c r="AT614" i="14"/>
  <c r="AT613" i="14"/>
  <c r="AT243" i="14"/>
  <c r="AT240" i="14"/>
  <c r="AT239" i="14"/>
  <c r="AT244" i="14"/>
  <c r="AT241" i="14"/>
  <c r="AT242" i="14"/>
  <c r="AT140" i="14"/>
  <c r="AT137" i="14"/>
  <c r="AT142" i="14"/>
  <c r="AT139" i="14"/>
  <c r="AT141" i="14"/>
  <c r="AT138" i="14"/>
  <c r="AT394" i="14"/>
  <c r="AT391" i="14"/>
  <c r="AT390" i="14"/>
  <c r="AT393" i="14"/>
  <c r="AT392" i="14"/>
  <c r="AT389" i="14"/>
  <c r="AT386" i="14"/>
  <c r="AT383" i="14"/>
  <c r="AT388" i="14"/>
  <c r="AT385" i="14"/>
  <c r="AT387" i="14"/>
  <c r="AT384" i="14"/>
  <c r="AT296" i="14"/>
  <c r="AT293" i="14"/>
  <c r="AT298" i="14"/>
  <c r="AT295" i="14"/>
  <c r="AT294" i="14"/>
  <c r="AT297" i="14"/>
  <c r="AT566" i="14"/>
  <c r="AT563" i="14"/>
  <c r="AT568" i="14"/>
  <c r="AT565" i="14"/>
  <c r="AT564" i="14"/>
  <c r="AT567" i="14"/>
  <c r="AT148" i="14"/>
  <c r="AT146" i="14"/>
  <c r="AT143" i="14"/>
  <c r="AT145" i="14"/>
  <c r="AT144" i="14"/>
  <c r="AT147" i="14"/>
  <c r="AT621" i="14"/>
  <c r="AT618" i="14"/>
  <c r="AT617" i="14"/>
  <c r="AT620" i="14"/>
  <c r="AT622" i="14"/>
  <c r="AT619" i="14"/>
  <c r="AT586" i="14"/>
  <c r="AT583" i="14"/>
  <c r="AT582" i="14"/>
  <c r="AT585" i="14"/>
  <c r="AT584" i="14"/>
  <c r="AT581" i="14"/>
  <c r="AT520" i="14"/>
  <c r="AT517" i="14"/>
  <c r="AT516" i="14"/>
  <c r="AT519" i="14"/>
  <c r="AT518" i="14"/>
  <c r="AT515" i="14"/>
  <c r="AT207" i="14"/>
  <c r="AT208" i="14"/>
  <c r="AT205" i="14"/>
  <c r="AT204" i="14"/>
  <c r="AT203" i="14"/>
  <c r="AT206" i="14"/>
  <c r="AT359" i="14"/>
  <c r="AT364" i="14"/>
  <c r="AT361" i="14"/>
  <c r="AT363" i="14"/>
  <c r="AT360" i="14"/>
  <c r="AT362" i="14"/>
  <c r="AT682" i="14"/>
  <c r="AT678" i="14"/>
  <c r="AT681" i="14"/>
  <c r="AT680" i="14"/>
  <c r="AT677" i="14"/>
  <c r="AT679" i="14"/>
  <c r="AT79" i="14"/>
  <c r="AT78" i="14"/>
  <c r="AT81" i="14"/>
  <c r="AT77" i="14"/>
  <c r="K23" i="43" s="1" a="1"/>
  <c r="K23" i="43" s="1"/>
  <c r="AT80" i="14"/>
  <c r="AT82" i="14"/>
  <c r="AT420" i="14"/>
  <c r="AT423" i="14"/>
  <c r="AT422" i="14"/>
  <c r="AT419" i="14"/>
  <c r="AT424" i="14"/>
  <c r="AT421" i="14"/>
  <c r="AT194" i="14"/>
  <c r="AT191" i="14"/>
  <c r="AT196" i="14"/>
  <c r="AT193" i="14"/>
  <c r="AT195" i="14"/>
  <c r="AT192" i="14"/>
  <c r="AT182" i="14"/>
  <c r="AT179" i="14"/>
  <c r="AT184" i="14"/>
  <c r="AT181" i="14"/>
  <c r="AT180" i="14"/>
  <c r="AT183" i="14"/>
  <c r="AT357" i="14"/>
  <c r="AT354" i="14"/>
  <c r="AT356" i="14"/>
  <c r="AT353" i="14"/>
  <c r="AT358" i="14"/>
  <c r="AT355" i="14"/>
  <c r="AT69" i="14"/>
  <c r="AT66" i="14"/>
  <c r="AT68" i="14"/>
  <c r="AT65" i="14"/>
  <c r="AT70" i="14"/>
  <c r="AT67" i="14"/>
  <c r="K20" i="43" s="1" a="1"/>
  <c r="K20" i="43" s="1"/>
  <c r="AT92" i="14"/>
  <c r="AT89" i="14"/>
  <c r="AT94" i="14"/>
  <c r="AT91" i="14"/>
  <c r="AT93" i="14"/>
  <c r="AT90" i="14"/>
  <c r="AT136" i="14"/>
  <c r="AT133" i="14"/>
  <c r="AT135" i="14"/>
  <c r="AT131" i="14"/>
  <c r="AT134" i="14"/>
  <c r="AT132" i="14"/>
  <c r="AT127" i="14"/>
  <c r="AT126" i="14"/>
  <c r="AT129" i="14"/>
  <c r="AT125" i="14"/>
  <c r="AT128" i="14"/>
  <c r="AT130" i="14"/>
  <c r="AT57" i="14"/>
  <c r="AT53" i="14"/>
  <c r="AT55" i="14"/>
  <c r="AT58" i="14"/>
  <c r="AT54" i="14"/>
  <c r="AT56" i="14"/>
  <c r="AT571" i="14"/>
  <c r="AT573" i="14"/>
  <c r="AT570" i="14"/>
  <c r="AT572" i="14"/>
  <c r="AT569" i="14"/>
  <c r="AT574" i="14"/>
  <c r="AT51" i="14"/>
  <c r="AT48" i="14"/>
  <c r="AT50" i="14"/>
  <c r="AT47" i="14"/>
  <c r="AT49" i="14"/>
  <c r="K19" i="43" s="1" a="1"/>
  <c r="K19" i="43" s="1"/>
  <c r="AT52" i="14"/>
  <c r="AT284" i="14"/>
  <c r="AT281" i="14"/>
  <c r="AT286" i="14"/>
  <c r="AT283" i="14"/>
  <c r="AT285" i="14"/>
  <c r="AT282" i="14"/>
  <c r="AT508" i="14"/>
  <c r="AT505" i="14"/>
  <c r="AT507" i="14"/>
  <c r="AT504" i="14"/>
  <c r="AT506" i="14"/>
  <c r="AT503" i="14"/>
  <c r="AT410" i="14"/>
  <c r="AT407" i="14"/>
  <c r="AT412" i="14"/>
  <c r="AT409" i="14"/>
  <c r="AT411" i="14"/>
  <c r="AT408" i="14"/>
  <c r="AT379" i="14"/>
  <c r="AT381" i="14"/>
  <c r="AT378" i="14"/>
  <c r="AT380" i="14"/>
  <c r="AT377" i="14"/>
  <c r="AT382" i="14"/>
  <c r="AT158" i="14"/>
  <c r="AT155" i="14"/>
  <c r="AT160" i="14"/>
  <c r="AT157" i="14"/>
  <c r="AT156" i="14"/>
  <c r="AT159" i="14"/>
  <c r="AT202" i="14"/>
  <c r="AT199" i="14"/>
  <c r="AT201" i="14"/>
  <c r="AT200" i="14"/>
  <c r="AT197" i="14"/>
  <c r="AT198" i="14"/>
  <c r="AT342" i="14"/>
  <c r="AT345" i="14"/>
  <c r="AT344" i="14"/>
  <c r="AT341" i="14"/>
  <c r="AT346" i="14"/>
  <c r="AT343" i="14"/>
  <c r="AT634" i="14"/>
  <c r="AT630" i="14"/>
  <c r="AT633" i="14"/>
  <c r="AT632" i="14"/>
  <c r="AT629" i="14"/>
  <c r="AT631" i="14"/>
  <c r="AT267" i="14"/>
  <c r="AT264" i="14"/>
  <c r="AT266" i="14"/>
  <c r="AT263" i="14"/>
  <c r="AT268" i="14"/>
  <c r="AT265" i="14"/>
  <c r="AT452" i="14"/>
  <c r="AT449" i="14"/>
  <c r="AT454" i="14"/>
  <c r="AT451" i="14"/>
  <c r="AT453" i="14"/>
  <c r="AT450" i="14"/>
  <c r="AT488" i="14"/>
  <c r="AT485" i="14"/>
  <c r="AT490" i="14"/>
  <c r="AT487" i="14"/>
  <c r="AT486" i="14"/>
  <c r="AT489" i="14"/>
  <c r="AT174" i="14"/>
  <c r="AT176" i="14"/>
  <c r="AT173" i="14"/>
  <c r="AT178" i="14"/>
  <c r="AT175" i="14"/>
  <c r="AT177" i="14"/>
  <c r="AT399" i="14"/>
  <c r="AT398" i="14"/>
  <c r="AT395" i="14"/>
  <c r="AT400" i="14"/>
  <c r="AT397" i="14"/>
  <c r="AT396" i="14"/>
  <c r="AT496" i="14"/>
  <c r="AT493" i="14"/>
  <c r="AT492" i="14"/>
  <c r="AT495" i="14"/>
  <c r="AT494" i="14"/>
  <c r="AT491" i="14"/>
  <c r="AT500" i="14"/>
  <c r="AT497" i="14"/>
  <c r="AT502" i="14"/>
  <c r="AT499" i="14"/>
  <c r="AT501" i="14"/>
  <c r="AT498" i="14"/>
  <c r="AT542" i="14"/>
  <c r="AT539" i="14"/>
  <c r="AT544" i="14"/>
  <c r="AT541" i="14"/>
  <c r="AT540" i="14"/>
  <c r="AT543" i="14"/>
  <c r="AT167" i="14"/>
  <c r="AT171" i="14"/>
  <c r="AT168" i="14"/>
  <c r="AT170" i="14"/>
  <c r="AT172" i="14"/>
  <c r="AT169" i="14"/>
  <c r="AT418" i="14"/>
  <c r="AT415" i="14"/>
  <c r="AT414" i="14"/>
  <c r="AT417" i="14"/>
  <c r="AT416" i="14"/>
  <c r="AT413" i="14"/>
  <c r="AT340" i="14"/>
  <c r="AT337" i="14"/>
  <c r="AT339" i="14"/>
  <c r="AT336" i="14"/>
  <c r="AT338" i="14"/>
  <c r="AT335" i="14"/>
  <c r="AT115" i="14"/>
  <c r="AT116" i="14"/>
  <c r="AT113" i="14"/>
  <c r="AT118" i="14"/>
  <c r="AT117" i="14"/>
  <c r="AT114" i="14"/>
  <c r="AT100" i="14"/>
  <c r="AT98" i="14"/>
  <c r="AT95" i="14"/>
  <c r="AT97" i="14"/>
  <c r="AT96" i="14"/>
  <c r="AT99" i="14"/>
  <c r="AT534" i="14"/>
  <c r="AT537" i="14"/>
  <c r="AT536" i="14"/>
  <c r="AT533" i="14"/>
  <c r="AT538" i="14"/>
  <c r="AT535" i="14"/>
  <c r="AT187" i="14"/>
  <c r="AT188" i="14"/>
  <c r="AT185" i="14"/>
  <c r="AT190" i="14"/>
  <c r="AT186" i="14"/>
  <c r="AT189" i="14"/>
  <c r="AT88" i="14"/>
  <c r="AT85" i="14"/>
  <c r="AT87" i="14"/>
  <c r="AT83" i="14"/>
  <c r="AT86" i="14"/>
  <c r="AT84" i="14"/>
  <c r="AT442" i="14"/>
  <c r="AT439" i="14"/>
  <c r="AT438" i="14"/>
  <c r="AT441" i="14"/>
  <c r="AT440" i="14"/>
  <c r="AT437" i="14"/>
  <c r="AT226" i="14"/>
  <c r="AT223" i="14"/>
  <c r="AT222" i="14"/>
  <c r="AT225" i="14"/>
  <c r="AT224" i="14"/>
  <c r="AT221" i="14"/>
  <c r="AT107" i="14"/>
  <c r="AT110" i="14"/>
  <c r="AT112" i="14"/>
  <c r="AT109" i="14"/>
  <c r="AT108" i="14"/>
  <c r="AT111" i="14"/>
  <c r="AT316" i="14"/>
  <c r="AT313" i="14"/>
  <c r="AT315" i="14"/>
  <c r="AT312" i="14"/>
  <c r="AT314" i="14"/>
  <c r="AT311" i="14"/>
  <c r="AT444" i="14"/>
  <c r="AT447" i="14"/>
  <c r="AT446" i="14"/>
  <c r="AT443" i="14"/>
  <c r="AT448" i="14"/>
  <c r="AT445" i="14"/>
  <c r="AT328" i="14"/>
  <c r="AT325" i="14"/>
  <c r="AT324" i="14"/>
  <c r="AT327" i="14"/>
  <c r="AT326" i="14"/>
  <c r="AT323" i="14"/>
  <c r="AT350" i="14"/>
  <c r="AT347" i="14"/>
  <c r="AT352" i="14"/>
  <c r="AT349" i="14"/>
  <c r="AT348" i="14"/>
  <c r="AT351" i="14"/>
  <c r="AT238" i="14"/>
  <c r="AT237" i="14"/>
  <c r="AT234" i="14"/>
  <c r="AT236" i="14"/>
  <c r="AT233" i="14"/>
  <c r="AT235" i="14"/>
  <c r="AT304" i="14"/>
  <c r="AT301" i="14"/>
  <c r="AT300" i="14"/>
  <c r="AT303" i="14"/>
  <c r="AT302" i="14"/>
  <c r="AT299" i="14"/>
  <c r="AT476" i="14"/>
  <c r="AT473" i="14"/>
  <c r="AT478" i="14"/>
  <c r="AT475" i="14"/>
  <c r="AT477" i="14"/>
  <c r="AT474" i="14"/>
  <c r="AT333" i="14"/>
  <c r="AT330" i="14"/>
  <c r="AT332" i="14"/>
  <c r="AT329" i="14"/>
  <c r="AT334" i="14"/>
  <c r="AT331" i="14"/>
  <c r="AT639" i="14"/>
  <c r="AT635" i="14"/>
  <c r="AT638" i="14"/>
  <c r="AT637" i="14"/>
  <c r="AT640" i="14"/>
  <c r="AT636" i="14"/>
  <c r="AT218" i="14"/>
  <c r="AT220" i="14"/>
  <c r="AT217" i="14"/>
  <c r="AT219" i="14"/>
  <c r="AT216" i="14"/>
  <c r="AT215" i="14"/>
  <c r="AT459" i="14"/>
  <c r="AT456" i="14"/>
  <c r="AT458" i="14"/>
  <c r="AT455" i="14"/>
  <c r="AT460" i="14"/>
  <c r="AT457" i="14"/>
  <c r="AT165" i="14"/>
  <c r="AT162" i="14"/>
  <c r="AT164" i="14"/>
  <c r="AT161" i="14"/>
  <c r="AT166" i="14"/>
  <c r="AT163" i="14"/>
  <c r="AT661" i="14"/>
  <c r="AT664" i="14"/>
  <c r="AT660" i="14"/>
  <c r="AT663" i="14"/>
  <c r="AT659" i="14"/>
  <c r="AT662" i="14"/>
  <c r="AT598" i="14"/>
  <c r="AT595" i="14"/>
  <c r="AT597" i="14"/>
  <c r="AT594" i="14"/>
  <c r="AT596" i="14"/>
  <c r="AT593" i="14"/>
  <c r="AT153" i="14"/>
  <c r="AT152" i="14"/>
  <c r="AT151" i="14"/>
  <c r="AT154" i="14"/>
  <c r="AT150" i="14"/>
  <c r="AT149" i="14"/>
  <c r="AT62" i="14"/>
  <c r="AT64" i="14"/>
  <c r="AT61" i="14"/>
  <c r="AT60" i="14"/>
  <c r="AT63" i="14"/>
  <c r="AT59" i="14"/>
  <c r="AT644" i="14"/>
  <c r="AT646" i="14"/>
  <c r="AT643" i="14"/>
  <c r="AT645" i="14"/>
  <c r="AT642" i="14"/>
  <c r="AT641" i="14"/>
  <c r="AT578" i="14"/>
  <c r="AT575" i="14"/>
  <c r="AT580" i="14"/>
  <c r="AT577" i="14"/>
  <c r="AT579" i="14"/>
  <c r="AT576" i="14"/>
  <c r="AT532" i="14"/>
  <c r="AT529" i="14"/>
  <c r="AT531" i="14"/>
  <c r="AT528" i="14"/>
  <c r="AT530" i="14"/>
  <c r="AT527" i="14"/>
  <c r="AT105" i="14"/>
  <c r="AT104" i="14"/>
  <c r="AT103" i="14"/>
  <c r="AT106" i="14"/>
  <c r="AT102" i="14"/>
  <c r="AT101" i="14"/>
  <c r="AT71" i="14"/>
  <c r="AT76" i="14"/>
  <c r="AT75" i="14"/>
  <c r="AT72" i="14"/>
  <c r="AT74" i="14"/>
  <c r="AT73" i="14"/>
  <c r="AT549" i="14"/>
  <c r="AT546" i="14"/>
  <c r="AT548" i="14"/>
  <c r="AT545" i="14"/>
  <c r="AT550" i="14"/>
  <c r="AT547" i="14"/>
  <c r="AT374" i="14"/>
  <c r="AT371" i="14"/>
  <c r="AT376" i="14"/>
  <c r="AT373" i="14"/>
  <c r="AT372" i="14"/>
  <c r="AT375" i="14"/>
  <c r="AT366" i="14"/>
  <c r="AT369" i="14"/>
  <c r="AT368" i="14"/>
  <c r="AT365" i="14"/>
  <c r="AT370" i="14"/>
  <c r="AT367" i="14"/>
  <c r="AT291" i="14"/>
  <c r="AT288" i="14"/>
  <c r="AT290" i="14"/>
  <c r="AT287" i="14"/>
  <c r="AT292" i="14"/>
  <c r="AT289" i="14"/>
  <c r="AT252" i="14"/>
  <c r="AT254" i="14"/>
  <c r="AT251" i="14"/>
  <c r="AT256" i="14"/>
  <c r="AT253" i="14"/>
  <c r="AT255" i="14"/>
  <c r="AT321" i="14"/>
  <c r="AT320" i="14"/>
  <c r="AT317" i="14"/>
  <c r="AT322" i="14"/>
  <c r="AT319" i="14"/>
  <c r="AT318" i="14"/>
  <c r="AT525" i="14"/>
  <c r="AT522" i="14"/>
  <c r="AT524" i="14"/>
  <c r="AT521" i="14"/>
  <c r="AT526" i="14"/>
  <c r="AT523" i="14"/>
  <c r="AT246" i="14"/>
  <c r="AT249" i="14"/>
  <c r="AT248" i="14"/>
  <c r="AT245" i="14"/>
  <c r="AT247" i="14"/>
  <c r="AT250" i="14"/>
  <c r="K25" i="43" a="1"/>
  <c r="K25" i="43" s="1"/>
  <c r="K26" i="43" a="1"/>
  <c r="K26" i="43" s="1"/>
  <c r="K22" i="43" a="1"/>
  <c r="K22" i="43" s="1"/>
  <c r="K24" i="43" a="1"/>
  <c r="K24" i="43" s="1"/>
  <c r="DO35" i="14"/>
  <c r="DJ35" i="14"/>
  <c r="DT35" i="14"/>
  <c r="DY35" i="14"/>
  <c r="AU36" i="14"/>
  <c r="AY36" i="14"/>
  <c r="BA36" i="14"/>
  <c r="BC36" i="14"/>
  <c r="AW36" i="14"/>
  <c r="AT40" i="14"/>
  <c r="AT38" i="14"/>
  <c r="AT37" i="14"/>
  <c r="AT36" i="14"/>
  <c r="AT39" i="14"/>
  <c r="K14" i="43" s="1" a="1"/>
  <c r="K14" i="43" s="1"/>
  <c r="DF62" i="14" a="1"/>
  <c r="CB614" i="14" a="1"/>
  <c r="DF674" i="14" a="1"/>
  <c r="DF650" i="14" a="1"/>
  <c r="CB230" i="14" a="1"/>
  <c r="AX35" i="14"/>
  <c r="DF458" i="14" a="1"/>
  <c r="CB146" i="14" a="1"/>
  <c r="CB578" i="14" a="1"/>
  <c r="CB98" i="14" a="1"/>
  <c r="DF590" i="14" a="1"/>
  <c r="CB110" i="14" a="1"/>
  <c r="DF146" i="14" a="1"/>
  <c r="DF506" i="14" a="1"/>
  <c r="CB434" i="14" a="1"/>
  <c r="DF158" i="14" a="1"/>
  <c r="DF194" i="14" a="1"/>
  <c r="CB422" i="14" a="1"/>
  <c r="CB458" i="14" a="1"/>
  <c r="DF578" i="14" a="1"/>
  <c r="DF362" i="14" a="1"/>
  <c r="DF326" i="14" a="1"/>
  <c r="CB626" i="14" a="1"/>
  <c r="DF278" i="14" a="1"/>
  <c r="DF182" i="14" a="1"/>
  <c r="DF542" i="14" a="1"/>
  <c r="CB278" i="14" a="1"/>
  <c r="BD35" i="14"/>
  <c r="CB194" i="14" a="1"/>
  <c r="DF434" i="14" a="1"/>
  <c r="DF71" i="14" a="1"/>
  <c r="CB218" i="14" a="1"/>
  <c r="CB518" i="14" a="1"/>
  <c r="DF638" i="14" a="1"/>
  <c r="BK35" i="14"/>
  <c r="DF374" i="14" a="1"/>
  <c r="DF614" i="14" a="1"/>
  <c r="CB650" i="14" a="1"/>
  <c r="DF518" i="14" a="1"/>
  <c r="CB266" i="14" a="1"/>
  <c r="CB674" i="14" a="1"/>
  <c r="DF50" i="14" a="1"/>
  <c r="CB170" i="14" a="1"/>
  <c r="DF554" i="14" a="1"/>
  <c r="CB398" i="14" a="1"/>
  <c r="CB494" i="14" a="1"/>
  <c r="CB62" i="14" a="1"/>
  <c r="DF350" i="14" a="1"/>
  <c r="DF386" i="14" a="1"/>
  <c r="DF422" i="14" a="1"/>
  <c r="DF662" i="14" a="1"/>
  <c r="DF602" i="14" a="1"/>
  <c r="CB72" i="14" a="1"/>
  <c r="DF302" i="14" a="1"/>
  <c r="DF218" i="14" a="1"/>
  <c r="CB638" i="14" a="1"/>
  <c r="DF398" i="14" a="1"/>
  <c r="DF98" i="14" a="1"/>
  <c r="CB410" i="14" a="1"/>
  <c r="CB590" i="14" a="1"/>
  <c r="CB350" i="14" a="1"/>
  <c r="DF170" i="14" a="1"/>
  <c r="CB290" i="14" a="1"/>
  <c r="CB50" i="14" a="1"/>
  <c r="CB302" i="14" a="1"/>
  <c r="CB386" i="14" a="1"/>
  <c r="CB158" i="14" a="1"/>
  <c r="CB542" i="14" a="1"/>
  <c r="CB122" i="14" a="1"/>
  <c r="DF566" i="14" a="1"/>
  <c r="CB482" i="14" a="1"/>
  <c r="BF35" i="14"/>
  <c r="CB326" i="14" a="1"/>
  <c r="DF290" i="14" a="1"/>
  <c r="CB242" i="14" a="1"/>
  <c r="CB554" i="14" a="1"/>
  <c r="DF338" i="14" a="1"/>
  <c r="DF242" i="14" a="1"/>
  <c r="CB566" i="14" a="1"/>
  <c r="CB254" i="14" a="1"/>
  <c r="CB314" i="14" a="1"/>
  <c r="DF254" i="14" a="1"/>
  <c r="AZ35" i="14"/>
  <c r="CB134" i="14" a="1"/>
  <c r="DF134" i="14" a="1"/>
  <c r="DF230" i="14" a="1"/>
  <c r="CB470" i="14" a="1"/>
  <c r="CB86" i="14" a="1"/>
  <c r="DF314" i="14" a="1"/>
  <c r="CB362" i="14" a="1"/>
  <c r="CB182" i="14" a="1"/>
  <c r="CB602" i="14" a="1"/>
  <c r="CB506" i="14" a="1"/>
  <c r="DF482" i="14" a="1"/>
  <c r="BM35" i="14"/>
  <c r="DF626" i="14" a="1"/>
  <c r="DF410" i="14" a="1"/>
  <c r="CB446" i="14" a="1"/>
  <c r="DF35" i="14" a="1"/>
  <c r="DF446" i="14" a="1"/>
  <c r="CB530" i="14" a="1"/>
  <c r="DF470" i="14" a="1"/>
  <c r="DF385" i="14" a="1"/>
  <c r="CB662" i="14" a="1"/>
  <c r="CB206" i="14" a="1"/>
  <c r="DF110" i="14" a="1"/>
  <c r="DF494" i="14" a="1"/>
  <c r="CB374" i="14" a="1"/>
  <c r="CB338" i="14" a="1"/>
  <c r="DF530" i="14" a="1"/>
  <c r="DF86" i="14" a="1"/>
  <c r="CB71" i="14" a="1"/>
  <c r="DF266" i="14" a="1"/>
  <c r="DF72" i="14" a="1"/>
  <c r="BB35" i="14"/>
  <c r="DF206" i="14" a="1"/>
  <c r="DF122" i="14" a="1"/>
  <c r="CF290" i="14" l="1"/>
  <c r="CF291" i="14" s="1"/>
  <c r="CQ289" i="14"/>
  <c r="EE565" i="14"/>
  <c r="CP614" i="14"/>
  <c r="CQ614" i="14" s="1"/>
  <c r="DP205" i="14"/>
  <c r="CZ194" i="14"/>
  <c r="DA194" i="14" s="1"/>
  <c r="DJ158" i="14"/>
  <c r="DK158" i="14" s="1"/>
  <c r="DK205" i="14"/>
  <c r="DT158" i="14"/>
  <c r="DU158" i="14" s="1"/>
  <c r="CV301" i="14"/>
  <c r="CF506" i="14"/>
  <c r="CG506" i="14" s="1"/>
  <c r="DP553" i="14"/>
  <c r="CQ301" i="14"/>
  <c r="CZ494" i="14"/>
  <c r="CZ495" i="14" s="1"/>
  <c r="CK506" i="14"/>
  <c r="CK507" i="14" s="1"/>
  <c r="CQ337" i="14"/>
  <c r="DP325" i="14"/>
  <c r="CF338" i="14"/>
  <c r="CF339" i="14" s="1"/>
  <c r="DJ350" i="14"/>
  <c r="DJ351" i="14" s="1"/>
  <c r="CP86" i="14"/>
  <c r="CP87" i="14" s="1"/>
  <c r="DK445" i="14"/>
  <c r="DK325" i="14"/>
  <c r="CQ157" i="14"/>
  <c r="DP637" i="14"/>
  <c r="CG565" i="14"/>
  <c r="CL565" i="14"/>
  <c r="DY554" i="14"/>
  <c r="DY555" i="14" s="1"/>
  <c r="CP182" i="14"/>
  <c r="CP183" i="14" s="1"/>
  <c r="DY374" i="14"/>
  <c r="DY375" i="14" s="1"/>
  <c r="CF554" i="14"/>
  <c r="CF555" i="14" s="1"/>
  <c r="CQ661" i="14"/>
  <c r="DP493" i="14"/>
  <c r="DJ650" i="14"/>
  <c r="DJ651" i="14" s="1"/>
  <c r="DT530" i="14"/>
  <c r="DT531" i="14" s="1"/>
  <c r="CG445" i="14"/>
  <c r="DA373" i="14"/>
  <c r="DK265" i="14"/>
  <c r="DA577" i="14"/>
  <c r="EE433" i="14"/>
  <c r="DY266" i="14"/>
  <c r="DY267" i="14" s="1"/>
  <c r="CU554" i="14"/>
  <c r="CV554" i="14" s="1"/>
  <c r="CV157" i="14"/>
  <c r="ED602" i="14"/>
  <c r="ED603" i="14" s="1"/>
  <c r="DU493" i="14"/>
  <c r="CF626" i="14"/>
  <c r="CG626" i="14" s="1"/>
  <c r="DK517" i="14"/>
  <c r="DA553" i="14"/>
  <c r="DT458" i="14"/>
  <c r="DT459" i="14" s="1"/>
  <c r="DY302" i="14"/>
  <c r="DZ302" i="14" s="1"/>
  <c r="CL181" i="14"/>
  <c r="DA625" i="14"/>
  <c r="CZ62" i="14"/>
  <c r="DA62" i="14" s="1"/>
  <c r="DT338" i="14"/>
  <c r="DT339" i="14" s="1"/>
  <c r="CK674" i="14"/>
  <c r="CK675" i="14" s="1"/>
  <c r="CG517" i="14"/>
  <c r="CQ373" i="14"/>
  <c r="CK242" i="14"/>
  <c r="CL242" i="14" s="1"/>
  <c r="ED338" i="14"/>
  <c r="EE338" i="14" s="1"/>
  <c r="CK230" i="14"/>
  <c r="CK231" i="14" s="1"/>
  <c r="DT86" i="14"/>
  <c r="DU86" i="14" s="1"/>
  <c r="ED518" i="14"/>
  <c r="ED519" i="14" s="1"/>
  <c r="DJ410" i="14"/>
  <c r="DJ411" i="14" s="1"/>
  <c r="CP146" i="14"/>
  <c r="CQ146" i="14" s="1"/>
  <c r="CV673" i="14"/>
  <c r="DP277" i="14"/>
  <c r="CZ254" i="14"/>
  <c r="DA254" i="14" s="1"/>
  <c r="CP110" i="14"/>
  <c r="CP111" i="14" s="1"/>
  <c r="CL649" i="14"/>
  <c r="DZ481" i="14"/>
  <c r="DK145" i="14"/>
  <c r="DU61" i="14"/>
  <c r="ED146" i="14"/>
  <c r="ED147" i="14" s="1"/>
  <c r="DP121" i="14"/>
  <c r="DO626" i="14"/>
  <c r="DO627" i="14" s="1"/>
  <c r="DT422" i="14"/>
  <c r="DU422" i="14" s="1"/>
  <c r="DY422" i="14"/>
  <c r="DZ422" i="14" s="1"/>
  <c r="CL97" i="14"/>
  <c r="DZ541" i="14"/>
  <c r="CK590" i="14"/>
  <c r="CL590" i="14" s="1"/>
  <c r="CV241" i="14"/>
  <c r="DJ590" i="14"/>
  <c r="DK590" i="14" s="1"/>
  <c r="DY182" i="14"/>
  <c r="DZ182" i="14" s="1"/>
  <c r="DT602" i="14"/>
  <c r="DU602" i="14" s="1"/>
  <c r="CF410" i="14"/>
  <c r="CG410" i="14" s="1"/>
  <c r="EE493" i="14"/>
  <c r="CZ434" i="14"/>
  <c r="CZ435" i="14" s="1"/>
  <c r="CV133" i="14"/>
  <c r="CQ637" i="14"/>
  <c r="DK181" i="14"/>
  <c r="EE49" i="14"/>
  <c r="CP530" i="14"/>
  <c r="CQ530" i="14" s="1"/>
  <c r="DO590" i="14"/>
  <c r="DP590" i="14" s="1"/>
  <c r="ED626" i="14"/>
  <c r="EE626" i="14" s="1"/>
  <c r="DF385" i="14"/>
  <c r="DJ470" i="14"/>
  <c r="DJ471" i="14" s="1"/>
  <c r="CP278" i="14"/>
  <c r="CP279" i="14" s="1"/>
  <c r="CZ386" i="14"/>
  <c r="DA386" i="14" s="1"/>
  <c r="DT506" i="14"/>
  <c r="DT507" i="14" s="1"/>
  <c r="EE649" i="14"/>
  <c r="DF71" i="14"/>
  <c r="CB71" i="14"/>
  <c r="DF506" i="14"/>
  <c r="DF398" i="14"/>
  <c r="DF350" i="14"/>
  <c r="CB62" i="14"/>
  <c r="CB50" i="14"/>
  <c r="CB590" i="14"/>
  <c r="DF374" i="14"/>
  <c r="DF662" i="14"/>
  <c r="DF230" i="14"/>
  <c r="DF518" i="14"/>
  <c r="DF266" i="14"/>
  <c r="DF110" i="14"/>
  <c r="CB338" i="14"/>
  <c r="DF530" i="14"/>
  <c r="DF650" i="14"/>
  <c r="CB638" i="14"/>
  <c r="DF326" i="14"/>
  <c r="CB182" i="14"/>
  <c r="DF470" i="14"/>
  <c r="CB230" i="14"/>
  <c r="DF290" i="14"/>
  <c r="DF494" i="14"/>
  <c r="CB566" i="14"/>
  <c r="CB266" i="14"/>
  <c r="CB170" i="14"/>
  <c r="CB578" i="14"/>
  <c r="DF626" i="14"/>
  <c r="CB518" i="14"/>
  <c r="DF218" i="14"/>
  <c r="DF122" i="14"/>
  <c r="CB98" i="14"/>
  <c r="DF458" i="14"/>
  <c r="CB242" i="14"/>
  <c r="DF338" i="14"/>
  <c r="CB374" i="14"/>
  <c r="DF446" i="14"/>
  <c r="DF194" i="14"/>
  <c r="DF134" i="14"/>
  <c r="DF554" i="14"/>
  <c r="CB134" i="14"/>
  <c r="CB494" i="14"/>
  <c r="DF614" i="14"/>
  <c r="CB302" i="14"/>
  <c r="CB410" i="14"/>
  <c r="DF302" i="14"/>
  <c r="CB386" i="14"/>
  <c r="CB614" i="14"/>
  <c r="CB290" i="14"/>
  <c r="DF62" i="14"/>
  <c r="CB398" i="14"/>
  <c r="DF182" i="14"/>
  <c r="CB278" i="14"/>
  <c r="CB674" i="14"/>
  <c r="DF254" i="14"/>
  <c r="DF50" i="14"/>
  <c r="DF278" i="14"/>
  <c r="DF542" i="14"/>
  <c r="DF206" i="14"/>
  <c r="DF434" i="14"/>
  <c r="CB602" i="14"/>
  <c r="DF158" i="14"/>
  <c r="CB542" i="14"/>
  <c r="CB158" i="14"/>
  <c r="DF482" i="14"/>
  <c r="CB254" i="14"/>
  <c r="DF422" i="14"/>
  <c r="DF386" i="14"/>
  <c r="CB326" i="14"/>
  <c r="DF578" i="14"/>
  <c r="DF86" i="14"/>
  <c r="CB482" i="14"/>
  <c r="DF638" i="14"/>
  <c r="CB86" i="14"/>
  <c r="DF566" i="14"/>
  <c r="DF242" i="14"/>
  <c r="DF146" i="14"/>
  <c r="DF590" i="14"/>
  <c r="CB446" i="14"/>
  <c r="CB458" i="14"/>
  <c r="CB362" i="14"/>
  <c r="CB470" i="14"/>
  <c r="DF602" i="14"/>
  <c r="DF170" i="14"/>
  <c r="CB506" i="14"/>
  <c r="CB530" i="14"/>
  <c r="CB554" i="14"/>
  <c r="DF674" i="14"/>
  <c r="DF410" i="14"/>
  <c r="CB422" i="14"/>
  <c r="CB218" i="14"/>
  <c r="CB122" i="14"/>
  <c r="CB350" i="14"/>
  <c r="CB434" i="14"/>
  <c r="CB146" i="14"/>
  <c r="DF98" i="14"/>
  <c r="CB194" i="14"/>
  <c r="CB314" i="14"/>
  <c r="CB206" i="14"/>
  <c r="CB110" i="14"/>
  <c r="DF362" i="14"/>
  <c r="CB650" i="14"/>
  <c r="DF314" i="14"/>
  <c r="CB662" i="14"/>
  <c r="CB626" i="14"/>
  <c r="DF35" i="14"/>
  <c r="DE507" i="14"/>
  <c r="DO171" i="14"/>
  <c r="DP170" i="14"/>
  <c r="ED87" i="14"/>
  <c r="EE86" i="14"/>
  <c r="DK98" i="14"/>
  <c r="DJ99" i="14"/>
  <c r="DE399" i="14"/>
  <c r="DJ207" i="14"/>
  <c r="DK206" i="14"/>
  <c r="EE542" i="14"/>
  <c r="ED543" i="14"/>
  <c r="DE351" i="14"/>
  <c r="CZ651" i="14"/>
  <c r="DA650" i="14"/>
  <c r="CP207" i="14"/>
  <c r="CQ206" i="14"/>
  <c r="ED411" i="14"/>
  <c r="EE410" i="14"/>
  <c r="CA63" i="14"/>
  <c r="CZ639" i="14"/>
  <c r="DA638" i="14"/>
  <c r="EE134" i="14"/>
  <c r="ED135" i="14"/>
  <c r="CA51" i="14"/>
  <c r="CA591" i="14"/>
  <c r="CG182" i="14"/>
  <c r="CF183" i="14"/>
  <c r="CZ411" i="14"/>
  <c r="DA410" i="14"/>
  <c r="CQ410" i="14"/>
  <c r="CP411" i="14"/>
  <c r="DE375" i="14"/>
  <c r="CP579" i="14"/>
  <c r="CQ578" i="14"/>
  <c r="CF87" i="14"/>
  <c r="CG86" i="14"/>
  <c r="DE663" i="14"/>
  <c r="DP266" i="14"/>
  <c r="DO267" i="14"/>
  <c r="DE231" i="14"/>
  <c r="CG122" i="14"/>
  <c r="CF123" i="14"/>
  <c r="DK602" i="14"/>
  <c r="DJ603" i="14"/>
  <c r="DE519" i="14"/>
  <c r="CK195" i="14"/>
  <c r="CL194" i="14"/>
  <c r="CK543" i="14"/>
  <c r="CL542" i="14"/>
  <c r="ED591" i="14"/>
  <c r="EE590" i="14"/>
  <c r="CP327" i="14"/>
  <c r="CQ326" i="14"/>
  <c r="CF591" i="14"/>
  <c r="CG590" i="14"/>
  <c r="DP218" i="14"/>
  <c r="DO219" i="14"/>
  <c r="CK399" i="14"/>
  <c r="CL398" i="14"/>
  <c r="DK122" i="14"/>
  <c r="DJ123" i="14"/>
  <c r="DA446" i="14"/>
  <c r="CZ447" i="14"/>
  <c r="ED495" i="14"/>
  <c r="EE494" i="14"/>
  <c r="CF159" i="14"/>
  <c r="CG158" i="14"/>
  <c r="CU435" i="14"/>
  <c r="CV434" i="14"/>
  <c r="EE182" i="14"/>
  <c r="ED183" i="14"/>
  <c r="ED291" i="14"/>
  <c r="EE290" i="14"/>
  <c r="CK639" i="14"/>
  <c r="CL638" i="14"/>
  <c r="CF579" i="14"/>
  <c r="CG578" i="14"/>
  <c r="CL62" i="14"/>
  <c r="CK63" i="14"/>
  <c r="DE267" i="14"/>
  <c r="DP374" i="14"/>
  <c r="DO375" i="14"/>
  <c r="CZ591" i="14"/>
  <c r="DA590" i="14"/>
  <c r="CP195" i="14"/>
  <c r="CQ194" i="14"/>
  <c r="CQ650" i="14"/>
  <c r="CP651" i="14"/>
  <c r="DE111" i="14"/>
  <c r="CV494" i="14"/>
  <c r="CU495" i="14"/>
  <c r="DP434" i="14"/>
  <c r="DO435" i="14"/>
  <c r="DU278" i="14"/>
  <c r="DT279" i="14"/>
  <c r="CU387" i="14"/>
  <c r="CV386" i="14"/>
  <c r="CV398" i="14"/>
  <c r="CU399" i="14"/>
  <c r="DA398" i="14"/>
  <c r="CZ399" i="14"/>
  <c r="CQ554" i="14"/>
  <c r="CP555" i="14"/>
  <c r="CV338" i="14"/>
  <c r="CU339" i="14"/>
  <c r="DT435" i="14"/>
  <c r="DU434" i="14"/>
  <c r="CG470" i="14"/>
  <c r="CF471" i="14"/>
  <c r="DJ675" i="14"/>
  <c r="DK674" i="14"/>
  <c r="ED111" i="14"/>
  <c r="EE110" i="14"/>
  <c r="CP99" i="14"/>
  <c r="CQ98" i="14"/>
  <c r="DJ387" i="14"/>
  <c r="DK386" i="14"/>
  <c r="CA339" i="14"/>
  <c r="DE531" i="14"/>
  <c r="DP386" i="14"/>
  <c r="DO387" i="14"/>
  <c r="DU350" i="14"/>
  <c r="DT351" i="14"/>
  <c r="DE651" i="14"/>
  <c r="DY87" i="14"/>
  <c r="DZ86" i="14"/>
  <c r="CZ531" i="14"/>
  <c r="DA530" i="14"/>
  <c r="CA639" i="14"/>
  <c r="DK302" i="14"/>
  <c r="DJ303" i="14"/>
  <c r="DU578" i="14"/>
  <c r="DT579" i="14"/>
  <c r="DA542" i="14"/>
  <c r="CZ543" i="14"/>
  <c r="DY111" i="14"/>
  <c r="DZ110" i="14"/>
  <c r="ED279" i="14"/>
  <c r="EE278" i="14"/>
  <c r="DE327" i="14"/>
  <c r="DJ267" i="14"/>
  <c r="DK266" i="14"/>
  <c r="CQ134" i="14"/>
  <c r="CP135" i="14"/>
  <c r="CA183" i="14"/>
  <c r="DE471" i="14"/>
  <c r="CZ339" i="14"/>
  <c r="DA338" i="14"/>
  <c r="CZ135" i="14"/>
  <c r="DA134" i="14"/>
  <c r="DJ87" i="14"/>
  <c r="DK86" i="14"/>
  <c r="DT303" i="14"/>
  <c r="DU302" i="14"/>
  <c r="CA231" i="14"/>
  <c r="DU518" i="14"/>
  <c r="DT519" i="14"/>
  <c r="DT639" i="14"/>
  <c r="DU638" i="14"/>
  <c r="DE291" i="14"/>
  <c r="DU134" i="14"/>
  <c r="DT135" i="14"/>
  <c r="DY51" i="14"/>
  <c r="DZ50" i="14"/>
  <c r="DA374" i="14"/>
  <c r="CZ375" i="14"/>
  <c r="DT207" i="14"/>
  <c r="DU206" i="14"/>
  <c r="CU303" i="14"/>
  <c r="CV302" i="14"/>
  <c r="CK387" i="14"/>
  <c r="CL386" i="14"/>
  <c r="EE566" i="14"/>
  <c r="ED567" i="14"/>
  <c r="CG566" i="14"/>
  <c r="CF567" i="14"/>
  <c r="DO663" i="14"/>
  <c r="DP662" i="14"/>
  <c r="DE495" i="14"/>
  <c r="CV110" i="14"/>
  <c r="CU111" i="14"/>
  <c r="DO207" i="14"/>
  <c r="DP206" i="14"/>
  <c r="DT447" i="14"/>
  <c r="DU446" i="14"/>
  <c r="CZ471" i="14"/>
  <c r="DA470" i="14"/>
  <c r="DP518" i="14"/>
  <c r="DO519" i="14"/>
  <c r="DY411" i="14"/>
  <c r="DZ410" i="14"/>
  <c r="CA567" i="14"/>
  <c r="DO255" i="14"/>
  <c r="DP254" i="14"/>
  <c r="CA267" i="14"/>
  <c r="DO243" i="14"/>
  <c r="DP242" i="14"/>
  <c r="CQ398" i="14"/>
  <c r="CP399" i="14"/>
  <c r="CZ675" i="14"/>
  <c r="DA674" i="14"/>
  <c r="DK434" i="14"/>
  <c r="DJ435" i="14"/>
  <c r="DK614" i="14"/>
  <c r="DJ615" i="14"/>
  <c r="CA171" i="14"/>
  <c r="CV122" i="14"/>
  <c r="CU123" i="14"/>
  <c r="DK398" i="14"/>
  <c r="DJ399" i="14"/>
  <c r="CA579" i="14"/>
  <c r="CV482" i="14"/>
  <c r="CU483" i="14"/>
  <c r="CL434" i="14"/>
  <c r="CK435" i="14"/>
  <c r="DE627" i="14"/>
  <c r="ED615" i="14"/>
  <c r="EE614" i="14"/>
  <c r="CP51" i="14"/>
  <c r="CQ50" i="14"/>
  <c r="CQ458" i="14"/>
  <c r="CP459" i="14"/>
  <c r="CV230" i="14"/>
  <c r="CU231" i="14"/>
  <c r="CQ626" i="14"/>
  <c r="CP627" i="14"/>
  <c r="CV650" i="14"/>
  <c r="CU651" i="14"/>
  <c r="EE62" i="14"/>
  <c r="ED63" i="14"/>
  <c r="CA519" i="14"/>
  <c r="CK267" i="14"/>
  <c r="CL266" i="14"/>
  <c r="DA566" i="14"/>
  <c r="CZ567" i="14"/>
  <c r="DE219" i="14"/>
  <c r="DT99" i="14"/>
  <c r="DU98" i="14"/>
  <c r="ED123" i="14"/>
  <c r="EE122" i="14"/>
  <c r="DT387" i="14"/>
  <c r="DU386" i="14"/>
  <c r="DP482" i="14"/>
  <c r="DO483" i="14"/>
  <c r="CK327" i="14"/>
  <c r="CL326" i="14"/>
  <c r="DP650" i="14"/>
  <c r="DO651" i="14"/>
  <c r="CK603" i="14"/>
  <c r="CL602" i="14"/>
  <c r="DA170" i="14"/>
  <c r="CZ171" i="14"/>
  <c r="DZ98" i="14"/>
  <c r="DY99" i="14"/>
  <c r="CV314" i="14"/>
  <c r="CU315" i="14"/>
  <c r="DZ314" i="14"/>
  <c r="DY315" i="14"/>
  <c r="CG266" i="14"/>
  <c r="CF267" i="14"/>
  <c r="DE123" i="14"/>
  <c r="CV218" i="14"/>
  <c r="CU219" i="14"/>
  <c r="CG146" i="14"/>
  <c r="CF147" i="14"/>
  <c r="CA99" i="14"/>
  <c r="DE459" i="14"/>
  <c r="ED195" i="14"/>
  <c r="EE194" i="14"/>
  <c r="CG62" i="14"/>
  <c r="CF63" i="14"/>
  <c r="DY147" i="14"/>
  <c r="DZ146" i="14"/>
  <c r="CZ615" i="14"/>
  <c r="DA614" i="14"/>
  <c r="CK375" i="14"/>
  <c r="CL374" i="14"/>
  <c r="CA243" i="14"/>
  <c r="DE339" i="14"/>
  <c r="DA482" i="14"/>
  <c r="CZ483" i="14"/>
  <c r="EE266" i="14"/>
  <c r="ED267" i="14"/>
  <c r="CA375" i="14"/>
  <c r="EE242" i="14"/>
  <c r="ED243" i="14"/>
  <c r="DK218" i="14"/>
  <c r="DJ219" i="14"/>
  <c r="CV278" i="14"/>
  <c r="CU279" i="14"/>
  <c r="DE447" i="14"/>
  <c r="CU291" i="14"/>
  <c r="CV290" i="14"/>
  <c r="CG302" i="14"/>
  <c r="CF303" i="14"/>
  <c r="DK326" i="14"/>
  <c r="DJ327" i="14"/>
  <c r="DO291" i="14"/>
  <c r="DP290" i="14"/>
  <c r="CZ183" i="14"/>
  <c r="DA182" i="14"/>
  <c r="DK290" i="14"/>
  <c r="DJ291" i="14"/>
  <c r="DY363" i="14"/>
  <c r="DZ362" i="14"/>
  <c r="CU591" i="14"/>
  <c r="CV590" i="14"/>
  <c r="CK471" i="14"/>
  <c r="CL470" i="14"/>
  <c r="CZ303" i="14"/>
  <c r="DA302" i="14"/>
  <c r="CZ603" i="14"/>
  <c r="DA602" i="14"/>
  <c r="DE195" i="14"/>
  <c r="ED351" i="14"/>
  <c r="EE350" i="14"/>
  <c r="CG50" i="14"/>
  <c r="CF51" i="14"/>
  <c r="DO123" i="14"/>
  <c r="DP122" i="14"/>
  <c r="CL50" i="14"/>
  <c r="CK51" i="14"/>
  <c r="CZ627" i="14"/>
  <c r="DA626" i="14"/>
  <c r="DK542" i="14"/>
  <c r="DJ543" i="14"/>
  <c r="DA326" i="14"/>
  <c r="CZ327" i="14"/>
  <c r="DU410" i="14"/>
  <c r="DT411" i="14"/>
  <c r="CV530" i="14"/>
  <c r="CU531" i="14"/>
  <c r="DA122" i="14"/>
  <c r="CZ123" i="14"/>
  <c r="DE135" i="14"/>
  <c r="CG278" i="14"/>
  <c r="CF279" i="14"/>
  <c r="CG326" i="14"/>
  <c r="CF327" i="14"/>
  <c r="CL518" i="14"/>
  <c r="CK519" i="14"/>
  <c r="CK495" i="14"/>
  <c r="CL494" i="14"/>
  <c r="CF99" i="14"/>
  <c r="CG98" i="14"/>
  <c r="CK183" i="14"/>
  <c r="CL182" i="14"/>
  <c r="ED255" i="14"/>
  <c r="EE254" i="14"/>
  <c r="CF375" i="14"/>
  <c r="CG374" i="14"/>
  <c r="CP243" i="14"/>
  <c r="CQ242" i="14"/>
  <c r="DP182" i="14"/>
  <c r="DO183" i="14"/>
  <c r="DU62" i="14"/>
  <c r="DT63" i="14"/>
  <c r="DO147" i="14"/>
  <c r="DP146" i="14"/>
  <c r="CK87" i="14"/>
  <c r="CL86" i="14"/>
  <c r="CP303" i="14"/>
  <c r="CQ302" i="14"/>
  <c r="DE555" i="14"/>
  <c r="CQ470" i="14"/>
  <c r="CP471" i="14"/>
  <c r="CV458" i="14"/>
  <c r="CU459" i="14"/>
  <c r="DO87" i="14"/>
  <c r="DP86" i="14"/>
  <c r="DK338" i="14"/>
  <c r="DJ339" i="14"/>
  <c r="CV410" i="14"/>
  <c r="CU411" i="14"/>
  <c r="DT267" i="14"/>
  <c r="DU266" i="14"/>
  <c r="CV374" i="14"/>
  <c r="CU375" i="14"/>
  <c r="EE170" i="14"/>
  <c r="ED171" i="14"/>
  <c r="CA135" i="14"/>
  <c r="ED303" i="14"/>
  <c r="EE302" i="14"/>
  <c r="DO231" i="14"/>
  <c r="DP230" i="14"/>
  <c r="CU255" i="14"/>
  <c r="CV254" i="14"/>
  <c r="CP171" i="14"/>
  <c r="CQ170" i="14"/>
  <c r="DO555" i="14"/>
  <c r="DP554" i="14"/>
  <c r="DY435" i="14"/>
  <c r="DZ434" i="14"/>
  <c r="DZ506" i="14"/>
  <c r="DY507" i="14"/>
  <c r="DO351" i="14"/>
  <c r="DP350" i="14"/>
  <c r="DZ626" i="14"/>
  <c r="DY627" i="14"/>
  <c r="CA495" i="14"/>
  <c r="CP123" i="14"/>
  <c r="CQ122" i="14"/>
  <c r="DE615" i="14"/>
  <c r="CK99" i="14"/>
  <c r="CL98" i="14"/>
  <c r="CA303" i="14"/>
  <c r="CA411" i="14"/>
  <c r="CP663" i="14"/>
  <c r="CQ662" i="14"/>
  <c r="CG110" i="14"/>
  <c r="CF111" i="14"/>
  <c r="CV266" i="14"/>
  <c r="CU267" i="14"/>
  <c r="DA218" i="14"/>
  <c r="CZ219" i="14"/>
  <c r="DE303" i="14"/>
  <c r="DK458" i="14"/>
  <c r="DJ459" i="14"/>
  <c r="DZ338" i="14"/>
  <c r="DY339" i="14"/>
  <c r="DY279" i="14"/>
  <c r="DZ278" i="14"/>
  <c r="DP50" i="14"/>
  <c r="DO51" i="14"/>
  <c r="DZ158" i="14"/>
  <c r="DY159" i="14"/>
  <c r="DT219" i="14"/>
  <c r="DU218" i="14"/>
  <c r="CF519" i="14"/>
  <c r="CG518" i="14"/>
  <c r="CU195" i="14"/>
  <c r="CV194" i="14"/>
  <c r="CG434" i="14"/>
  <c r="CF435" i="14"/>
  <c r="DO567" i="14"/>
  <c r="DP566" i="14"/>
  <c r="DP134" i="14"/>
  <c r="DO135" i="14"/>
  <c r="CG530" i="14"/>
  <c r="CF531" i="14"/>
  <c r="CV158" i="14"/>
  <c r="CU159" i="14"/>
  <c r="DK566" i="14"/>
  <c r="DJ567" i="14"/>
  <c r="CG242" i="14"/>
  <c r="CF243" i="14"/>
  <c r="CQ590" i="14"/>
  <c r="CP591" i="14"/>
  <c r="CA387" i="14"/>
  <c r="DU362" i="14"/>
  <c r="DT363" i="14"/>
  <c r="CA615" i="14"/>
  <c r="CA291" i="14"/>
  <c r="CG458" i="14"/>
  <c r="CF459" i="14"/>
  <c r="DY399" i="14"/>
  <c r="DZ398" i="14"/>
  <c r="CK279" i="14"/>
  <c r="CL278" i="14"/>
  <c r="CZ147" i="14"/>
  <c r="DA146" i="14"/>
  <c r="DE63" i="14"/>
  <c r="CA399" i="14"/>
  <c r="DE183" i="14"/>
  <c r="CP375" i="14"/>
  <c r="CQ374" i="14"/>
  <c r="DY615" i="14"/>
  <c r="DZ614" i="14"/>
  <c r="DA206" i="14"/>
  <c r="CZ207" i="14"/>
  <c r="CZ459" i="14"/>
  <c r="DA458" i="14"/>
  <c r="CA279" i="14"/>
  <c r="DU626" i="14"/>
  <c r="DT627" i="14"/>
  <c r="DZ230" i="14"/>
  <c r="DY231" i="14"/>
  <c r="DY219" i="14"/>
  <c r="DZ218" i="14"/>
  <c r="CA675" i="14"/>
  <c r="DY63" i="14"/>
  <c r="DZ62" i="14"/>
  <c r="DJ135" i="14"/>
  <c r="DK134" i="14"/>
  <c r="EE674" i="14"/>
  <c r="ED675" i="14"/>
  <c r="EE398" i="14"/>
  <c r="ED399" i="14"/>
  <c r="CF423" i="14"/>
  <c r="CG422" i="14"/>
  <c r="CV242" i="14"/>
  <c r="CU243" i="14"/>
  <c r="CG230" i="14"/>
  <c r="CF231" i="14"/>
  <c r="DT231" i="14"/>
  <c r="DU230" i="14"/>
  <c r="CF387" i="14"/>
  <c r="CG386" i="14"/>
  <c r="DE255" i="14"/>
  <c r="CL530" i="14"/>
  <c r="CK531" i="14"/>
  <c r="DZ674" i="14"/>
  <c r="DY675" i="14"/>
  <c r="DE51" i="14"/>
  <c r="CV566" i="14"/>
  <c r="CU567" i="14"/>
  <c r="CV146" i="14"/>
  <c r="CU147" i="14"/>
  <c r="DE279" i="14"/>
  <c r="DT495" i="14"/>
  <c r="DU494" i="14"/>
  <c r="DT651" i="14"/>
  <c r="DU650" i="14"/>
  <c r="DZ482" i="14"/>
  <c r="DY483" i="14"/>
  <c r="DY639" i="14"/>
  <c r="DZ638" i="14"/>
  <c r="DJ51" i="14"/>
  <c r="DK50" i="14"/>
  <c r="EE458" i="14"/>
  <c r="ED459" i="14"/>
  <c r="DE543" i="14"/>
  <c r="DE207" i="14"/>
  <c r="DZ494" i="14"/>
  <c r="DY495" i="14"/>
  <c r="CK579" i="14"/>
  <c r="CL578" i="14"/>
  <c r="DE435" i="14"/>
  <c r="DT243" i="14"/>
  <c r="DU242" i="14"/>
  <c r="CZ159" i="14"/>
  <c r="DA158" i="14"/>
  <c r="CA603" i="14"/>
  <c r="DU182" i="14"/>
  <c r="DT183" i="14"/>
  <c r="ED471" i="14"/>
  <c r="EE470" i="14"/>
  <c r="CQ218" i="14"/>
  <c r="CP219" i="14"/>
  <c r="DE159" i="14"/>
  <c r="DJ447" i="14"/>
  <c r="DK446" i="14"/>
  <c r="DJ627" i="14"/>
  <c r="DK626" i="14"/>
  <c r="CA543" i="14"/>
  <c r="DP338" i="14"/>
  <c r="DO339" i="14"/>
  <c r="DT543" i="14"/>
  <c r="DU542" i="14"/>
  <c r="CA159" i="14"/>
  <c r="DT567" i="14"/>
  <c r="DU566" i="14"/>
  <c r="CP447" i="14"/>
  <c r="CQ446" i="14"/>
  <c r="ED423" i="14"/>
  <c r="EE422" i="14"/>
  <c r="DP638" i="14"/>
  <c r="DO639" i="14"/>
  <c r="CZ351" i="14"/>
  <c r="DA350" i="14"/>
  <c r="CL446" i="14"/>
  <c r="CK447" i="14"/>
  <c r="CV518" i="14"/>
  <c r="CU519" i="14"/>
  <c r="DE483" i="14"/>
  <c r="DJ531" i="14"/>
  <c r="DK530" i="14"/>
  <c r="DU110" i="14"/>
  <c r="DT111" i="14"/>
  <c r="DJ231" i="14"/>
  <c r="DK230" i="14"/>
  <c r="CA255" i="14"/>
  <c r="DO363" i="14"/>
  <c r="DP362" i="14"/>
  <c r="EE314" i="14"/>
  <c r="ED315" i="14"/>
  <c r="DE423" i="14"/>
  <c r="DO603" i="14"/>
  <c r="DP602" i="14"/>
  <c r="CL422" i="14"/>
  <c r="CK423" i="14"/>
  <c r="CG662" i="14"/>
  <c r="CF663" i="14"/>
  <c r="DT555" i="14"/>
  <c r="DU554" i="14"/>
  <c r="DU470" i="14"/>
  <c r="DT471" i="14"/>
  <c r="DT291" i="14"/>
  <c r="DU290" i="14"/>
  <c r="CQ434" i="14"/>
  <c r="CP435" i="14"/>
  <c r="CU207" i="14"/>
  <c r="CV206" i="14"/>
  <c r="CG350" i="14"/>
  <c r="CF351" i="14"/>
  <c r="DP614" i="14"/>
  <c r="DO615" i="14"/>
  <c r="CG134" i="14"/>
  <c r="CF135" i="14"/>
  <c r="CL146" i="14"/>
  <c r="CK147" i="14"/>
  <c r="CV626" i="14"/>
  <c r="CU627" i="14"/>
  <c r="DZ470" i="14"/>
  <c r="DY471" i="14"/>
  <c r="CK483" i="14"/>
  <c r="CL482" i="14"/>
  <c r="DE387" i="14"/>
  <c r="DT675" i="14"/>
  <c r="DU674" i="14"/>
  <c r="CL254" i="14"/>
  <c r="CK255" i="14"/>
  <c r="CA327" i="14"/>
  <c r="DO423" i="14"/>
  <c r="DP422" i="14"/>
  <c r="DE579" i="14"/>
  <c r="DE87" i="14"/>
  <c r="CG398" i="14"/>
  <c r="CF399" i="14"/>
  <c r="DO159" i="14"/>
  <c r="DP158" i="14"/>
  <c r="DZ242" i="14"/>
  <c r="DY243" i="14"/>
  <c r="CZ99" i="14"/>
  <c r="DA98" i="14"/>
  <c r="CL122" i="14"/>
  <c r="CK123" i="14"/>
  <c r="CP315" i="14"/>
  <c r="CQ314" i="14"/>
  <c r="DY447" i="14"/>
  <c r="DZ446" i="14"/>
  <c r="CL662" i="14"/>
  <c r="CK663" i="14"/>
  <c r="CG314" i="14"/>
  <c r="CF315" i="14"/>
  <c r="CK135" i="14"/>
  <c r="CL134" i="14"/>
  <c r="CV602" i="14"/>
  <c r="CU603" i="14"/>
  <c r="EE662" i="14"/>
  <c r="ED663" i="14"/>
  <c r="CG446" i="14"/>
  <c r="CF447" i="14"/>
  <c r="CK207" i="14"/>
  <c r="CL206" i="14"/>
  <c r="CZ507" i="14"/>
  <c r="DA506" i="14"/>
  <c r="DY123" i="14"/>
  <c r="DZ122" i="14"/>
  <c r="DZ254" i="14"/>
  <c r="DY255" i="14"/>
  <c r="CF495" i="14"/>
  <c r="CG494" i="14"/>
  <c r="CA483" i="14"/>
  <c r="EE638" i="14"/>
  <c r="ED639" i="14"/>
  <c r="DE639" i="14"/>
  <c r="CZ519" i="14"/>
  <c r="DA518" i="14"/>
  <c r="CA87" i="14"/>
  <c r="CL458" i="14"/>
  <c r="CK459" i="14"/>
  <c r="CL626" i="14"/>
  <c r="CK627" i="14"/>
  <c r="CL302" i="14"/>
  <c r="CK303" i="14"/>
  <c r="DO675" i="14"/>
  <c r="DP674" i="14"/>
  <c r="CU675" i="14"/>
  <c r="CV674" i="14"/>
  <c r="CP339" i="14"/>
  <c r="CQ338" i="14"/>
  <c r="CK363" i="14"/>
  <c r="CL362" i="14"/>
  <c r="DU194" i="14"/>
  <c r="DT195" i="14"/>
  <c r="CU579" i="14"/>
  <c r="CV578" i="14"/>
  <c r="DA662" i="14"/>
  <c r="CZ663" i="14"/>
  <c r="CZ363" i="14"/>
  <c r="DA362" i="14"/>
  <c r="DU254" i="14"/>
  <c r="DT255" i="14"/>
  <c r="DY171" i="14"/>
  <c r="DZ170" i="14"/>
  <c r="CG170" i="14"/>
  <c r="CF171" i="14"/>
  <c r="DK278" i="14"/>
  <c r="DJ279" i="14"/>
  <c r="DP278" i="14"/>
  <c r="DO279" i="14"/>
  <c r="ED231" i="14"/>
  <c r="EE230" i="14"/>
  <c r="DT591" i="14"/>
  <c r="DU590" i="14"/>
  <c r="CQ386" i="14"/>
  <c r="CP387" i="14"/>
  <c r="DU482" i="14"/>
  <c r="DT483" i="14"/>
  <c r="ED483" i="14"/>
  <c r="EE482" i="14"/>
  <c r="CG638" i="14"/>
  <c r="CF639" i="14"/>
  <c r="CG542" i="14"/>
  <c r="CF543" i="14"/>
  <c r="CG206" i="14"/>
  <c r="CF207" i="14"/>
  <c r="DE567" i="14"/>
  <c r="CP423" i="14"/>
  <c r="CQ422" i="14"/>
  <c r="DK554" i="14"/>
  <c r="DJ555" i="14"/>
  <c r="DZ134" i="14"/>
  <c r="DY135" i="14"/>
  <c r="CQ290" i="14"/>
  <c r="CP291" i="14"/>
  <c r="CP675" i="14"/>
  <c r="CQ674" i="14"/>
  <c r="CZ279" i="14"/>
  <c r="DA278" i="14"/>
  <c r="DE243" i="14"/>
  <c r="DZ326" i="14"/>
  <c r="DY327" i="14"/>
  <c r="DY543" i="14"/>
  <c r="DZ542" i="14"/>
  <c r="DA110" i="14"/>
  <c r="CZ111" i="14"/>
  <c r="EE446" i="14"/>
  <c r="ED447" i="14"/>
  <c r="DE147" i="14"/>
  <c r="DJ495" i="14"/>
  <c r="DK494" i="14"/>
  <c r="ED363" i="14"/>
  <c r="EE362" i="14"/>
  <c r="CK339" i="14"/>
  <c r="CL338" i="14"/>
  <c r="EE98" i="14"/>
  <c r="ED99" i="14"/>
  <c r="ED387" i="14"/>
  <c r="EE386" i="14"/>
  <c r="DZ290" i="14"/>
  <c r="DY291" i="14"/>
  <c r="CZ267" i="14"/>
  <c r="DA266" i="14"/>
  <c r="DT123" i="14"/>
  <c r="DU122" i="14"/>
  <c r="DY207" i="14"/>
  <c r="DZ206" i="14"/>
  <c r="DE591" i="14"/>
  <c r="DU314" i="14"/>
  <c r="DT315" i="14"/>
  <c r="DP410" i="14"/>
  <c r="DO411" i="14"/>
  <c r="CA447" i="14"/>
  <c r="CA459" i="14"/>
  <c r="DZ590" i="14"/>
  <c r="DY591" i="14"/>
  <c r="DY531" i="14"/>
  <c r="DZ530" i="14"/>
  <c r="CA363" i="14"/>
  <c r="DP194" i="14"/>
  <c r="DO195" i="14"/>
  <c r="CV506" i="14"/>
  <c r="CU507" i="14"/>
  <c r="CL110" i="14"/>
  <c r="CK111" i="14"/>
  <c r="CP495" i="14"/>
  <c r="CQ494" i="14"/>
  <c r="DO447" i="14"/>
  <c r="DP446" i="14"/>
  <c r="CQ266" i="14"/>
  <c r="CP267" i="14"/>
  <c r="DY663" i="14"/>
  <c r="DZ662" i="14"/>
  <c r="CA471" i="14"/>
  <c r="CQ254" i="14"/>
  <c r="CP255" i="14"/>
  <c r="DA86" i="14"/>
  <c r="CZ87" i="14"/>
  <c r="ED651" i="14"/>
  <c r="EE650" i="14"/>
  <c r="EE434" i="14"/>
  <c r="ED435" i="14"/>
  <c r="DU374" i="14"/>
  <c r="DT375" i="14"/>
  <c r="CV350" i="14"/>
  <c r="CU351" i="14"/>
  <c r="CK159" i="14"/>
  <c r="CL158" i="14"/>
  <c r="DE603" i="14"/>
  <c r="DA422" i="14"/>
  <c r="CZ423" i="14"/>
  <c r="DE171" i="14"/>
  <c r="CQ638" i="14"/>
  <c r="CP639" i="14"/>
  <c r="CK411" i="14"/>
  <c r="CL410" i="14"/>
  <c r="CU171" i="14"/>
  <c r="CV170" i="14"/>
  <c r="ED531" i="14"/>
  <c r="EE530" i="14"/>
  <c r="CA507" i="14"/>
  <c r="CL290" i="14"/>
  <c r="CK291" i="14"/>
  <c r="DZ578" i="14"/>
  <c r="DY579" i="14"/>
  <c r="DA290" i="14"/>
  <c r="CZ291" i="14"/>
  <c r="DZ602" i="14"/>
  <c r="DY603" i="14"/>
  <c r="DA50" i="14"/>
  <c r="CZ51" i="14"/>
  <c r="CA531" i="14"/>
  <c r="EE50" i="14"/>
  <c r="ED51" i="14"/>
  <c r="CA555" i="14"/>
  <c r="DZ518" i="14"/>
  <c r="DY519" i="14"/>
  <c r="EE158" i="14"/>
  <c r="ED159" i="14"/>
  <c r="DE675" i="14"/>
  <c r="CG602" i="14"/>
  <c r="CF603" i="14"/>
  <c r="CK171" i="14"/>
  <c r="CL170" i="14"/>
  <c r="DK662" i="14"/>
  <c r="DJ663" i="14"/>
  <c r="DP470" i="14"/>
  <c r="DO471" i="14"/>
  <c r="CG194" i="14"/>
  <c r="CF195" i="14"/>
  <c r="DJ255" i="14"/>
  <c r="DK254" i="14"/>
  <c r="CP63" i="14"/>
  <c r="CQ62" i="14"/>
  <c r="DP494" i="14"/>
  <c r="DO495" i="14"/>
  <c r="DE411" i="14"/>
  <c r="DY651" i="14"/>
  <c r="DZ650" i="14"/>
  <c r="CK567" i="14"/>
  <c r="CL566" i="14"/>
  <c r="CZ315" i="14"/>
  <c r="DA314" i="14"/>
  <c r="CV422" i="14"/>
  <c r="CU423" i="14"/>
  <c r="DO399" i="14"/>
  <c r="DP398" i="14"/>
  <c r="CA423" i="14"/>
  <c r="CK651" i="14"/>
  <c r="CL650" i="14"/>
  <c r="ED579" i="14"/>
  <c r="EE578" i="14"/>
  <c r="CQ350" i="14"/>
  <c r="CP351" i="14"/>
  <c r="CG674" i="14"/>
  <c r="CF675" i="14"/>
  <c r="CF219" i="14"/>
  <c r="CG218" i="14"/>
  <c r="DK146" i="14"/>
  <c r="DJ147" i="14"/>
  <c r="CA219" i="14"/>
  <c r="DU326" i="14"/>
  <c r="DT327" i="14"/>
  <c r="CA123" i="14"/>
  <c r="DK110" i="14"/>
  <c r="DJ111" i="14"/>
  <c r="CA351" i="14"/>
  <c r="CQ158" i="14"/>
  <c r="CP159" i="14"/>
  <c r="CV98" i="14"/>
  <c r="CU99" i="14"/>
  <c r="CQ506" i="14"/>
  <c r="CP507" i="14"/>
  <c r="CA435" i="14"/>
  <c r="ED327" i="14"/>
  <c r="EE326" i="14"/>
  <c r="DJ63" i="14"/>
  <c r="DK62" i="14"/>
  <c r="DJ171" i="14"/>
  <c r="DK170" i="14"/>
  <c r="DT147" i="14"/>
  <c r="DU146" i="14"/>
  <c r="DA554" i="14"/>
  <c r="CZ555" i="14"/>
  <c r="DY567" i="14"/>
  <c r="DZ566" i="14"/>
  <c r="EE374" i="14"/>
  <c r="ED375" i="14"/>
  <c r="DU170" i="14"/>
  <c r="DT171" i="14"/>
  <c r="DK362" i="14"/>
  <c r="DJ363" i="14"/>
  <c r="DO63" i="14"/>
  <c r="DP62" i="14"/>
  <c r="CQ230" i="14"/>
  <c r="CP231" i="14"/>
  <c r="DY387" i="14"/>
  <c r="DZ386" i="14"/>
  <c r="EE554" i="14"/>
  <c r="ED555" i="14"/>
  <c r="CQ602" i="14"/>
  <c r="CP603" i="14"/>
  <c r="ED507" i="14"/>
  <c r="EE506" i="14"/>
  <c r="CA147" i="14"/>
  <c r="CG254" i="14"/>
  <c r="CF255" i="14"/>
  <c r="DE99" i="14"/>
  <c r="DK578" i="14"/>
  <c r="DJ579" i="14"/>
  <c r="DT663" i="14"/>
  <c r="DU662" i="14"/>
  <c r="CQ482" i="14"/>
  <c r="CP483" i="14"/>
  <c r="CG482" i="14"/>
  <c r="CF483" i="14"/>
  <c r="DO579" i="14"/>
  <c r="DP578" i="14"/>
  <c r="CA195" i="14"/>
  <c r="CG650" i="14"/>
  <c r="CF651" i="14"/>
  <c r="CL554" i="14"/>
  <c r="CK555" i="14"/>
  <c r="CV662" i="14"/>
  <c r="CU663" i="14"/>
  <c r="CL314" i="14"/>
  <c r="CK315" i="14"/>
  <c r="CP363" i="14"/>
  <c r="CQ362" i="14"/>
  <c r="DO531" i="14"/>
  <c r="DP530" i="14"/>
  <c r="DZ458" i="14"/>
  <c r="DY459" i="14"/>
  <c r="CA315" i="14"/>
  <c r="DK422" i="14"/>
  <c r="DJ423" i="14"/>
  <c r="CA207" i="14"/>
  <c r="CZ579" i="14"/>
  <c r="DA578" i="14"/>
  <c r="CL614" i="14"/>
  <c r="CK615" i="14"/>
  <c r="DZ194" i="14"/>
  <c r="DY195" i="14"/>
  <c r="CV470" i="14"/>
  <c r="CU471" i="14"/>
  <c r="CU363" i="14"/>
  <c r="CV362" i="14"/>
  <c r="CV134" i="14"/>
  <c r="CU135" i="14"/>
  <c r="DO303" i="14"/>
  <c r="DP302" i="14"/>
  <c r="CU183" i="14"/>
  <c r="CV182" i="14"/>
  <c r="DK506" i="14"/>
  <c r="DJ507" i="14"/>
  <c r="CQ542" i="14"/>
  <c r="CP543" i="14"/>
  <c r="CU615" i="14"/>
  <c r="CV614" i="14"/>
  <c r="CV62" i="14"/>
  <c r="CU63" i="14"/>
  <c r="DA242" i="14"/>
  <c r="CZ243" i="14"/>
  <c r="CK219" i="14"/>
  <c r="CL218" i="14"/>
  <c r="DU50" i="14"/>
  <c r="DT51" i="14"/>
  <c r="CA111" i="14"/>
  <c r="DK638" i="14"/>
  <c r="DJ639" i="14"/>
  <c r="DA230" i="14"/>
  <c r="CZ231" i="14"/>
  <c r="DJ519" i="14"/>
  <c r="DK518" i="14"/>
  <c r="CG362" i="14"/>
  <c r="CF363" i="14"/>
  <c r="DP458" i="14"/>
  <c r="DO459" i="14"/>
  <c r="DK374" i="14"/>
  <c r="DJ375" i="14"/>
  <c r="CV86" i="14"/>
  <c r="CU87" i="14"/>
  <c r="DP98" i="14"/>
  <c r="DO99" i="14"/>
  <c r="DE363" i="14"/>
  <c r="CA651" i="14"/>
  <c r="DO111" i="14"/>
  <c r="DP110" i="14"/>
  <c r="DJ195" i="14"/>
  <c r="DK194" i="14"/>
  <c r="DK482" i="14"/>
  <c r="DJ483" i="14"/>
  <c r="DP542" i="14"/>
  <c r="DO543" i="14"/>
  <c r="CG614" i="14"/>
  <c r="CF615" i="14"/>
  <c r="CV50" i="14"/>
  <c r="CU51" i="14"/>
  <c r="DT399" i="14"/>
  <c r="DU398" i="14"/>
  <c r="EE218" i="14"/>
  <c r="ED219" i="14"/>
  <c r="DK314" i="14"/>
  <c r="DJ315" i="14"/>
  <c r="DT615" i="14"/>
  <c r="DU614" i="14"/>
  <c r="EE206" i="14"/>
  <c r="ED207" i="14"/>
  <c r="CV446" i="14"/>
  <c r="CU447" i="14"/>
  <c r="DP314" i="14"/>
  <c r="DO315" i="14"/>
  <c r="CV542" i="14"/>
  <c r="CU543" i="14"/>
  <c r="CQ518" i="14"/>
  <c r="CP519" i="14"/>
  <c r="CL350" i="14"/>
  <c r="CK351" i="14"/>
  <c r="DE315" i="14"/>
  <c r="DP506" i="14"/>
  <c r="DO507" i="14"/>
  <c r="DJ243" i="14"/>
  <c r="DK242" i="14"/>
  <c r="DZ350" i="14"/>
  <c r="DY351" i="14"/>
  <c r="CP567" i="14"/>
  <c r="CQ566" i="14"/>
  <c r="DK182" i="14"/>
  <c r="DJ183" i="14"/>
  <c r="DO327" i="14"/>
  <c r="DP326" i="14"/>
  <c r="CA663" i="14"/>
  <c r="CV638" i="14"/>
  <c r="CU639" i="14"/>
  <c r="CA627" i="14"/>
  <c r="CV326" i="14"/>
  <c r="CU327" i="14"/>
  <c r="CB72" i="14"/>
  <c r="DF72" i="14"/>
  <c r="CG71" i="14"/>
  <c r="CF72" i="14"/>
  <c r="CV71" i="14"/>
  <c r="CU72" i="14"/>
  <c r="CZ72" i="14"/>
  <c r="DA71" i="14"/>
  <c r="DJ72" i="14"/>
  <c r="DK71" i="14"/>
  <c r="DP71" i="14"/>
  <c r="DO72" i="14"/>
  <c r="CQ71" i="14"/>
  <c r="CP72" i="14"/>
  <c r="DU71" i="14"/>
  <c r="DT72" i="14"/>
  <c r="DY72" i="14"/>
  <c r="DZ71" i="14"/>
  <c r="EE71" i="14"/>
  <c r="ED72" i="14"/>
  <c r="CK72" i="14"/>
  <c r="CL71" i="14"/>
  <c r="CA73" i="14"/>
  <c r="DE73" i="14"/>
  <c r="CZ35" i="14"/>
  <c r="DA35" i="14" s="1"/>
  <c r="CF35" i="14"/>
  <c r="CG35" i="14" s="1"/>
  <c r="BC37" i="14"/>
  <c r="BC38" i="14" s="1"/>
  <c r="BA37" i="14"/>
  <c r="BA38" i="14" s="1"/>
  <c r="AY37" i="14"/>
  <c r="AU37" i="14"/>
  <c r="AW37" i="14"/>
  <c r="EE35" i="14"/>
  <c r="ED36" i="14"/>
  <c r="CK35" i="14"/>
  <c r="CL35" i="14" s="1"/>
  <c r="K15" i="43" a="1"/>
  <c r="K15" i="43" s="1"/>
  <c r="K21" i="43" a="1"/>
  <c r="K21" i="43" s="1"/>
  <c r="K11" i="43" a="1"/>
  <c r="K11" i="43" s="1"/>
  <c r="K18" i="43" a="1"/>
  <c r="K18" i="43" s="1"/>
  <c r="K16" i="43" a="1"/>
  <c r="K16" i="43" s="1"/>
  <c r="K17" i="43" a="1"/>
  <c r="K17" i="43" s="1"/>
  <c r="K13" i="43" a="1"/>
  <c r="K13" i="43" s="1"/>
  <c r="K12" i="43" a="1"/>
  <c r="K12" i="43" s="1"/>
  <c r="CP35" i="14"/>
  <c r="CQ35" i="14" s="1"/>
  <c r="CU35" i="14"/>
  <c r="CV35" i="14" s="1"/>
  <c r="DZ35" i="14"/>
  <c r="DY36" i="14"/>
  <c r="DU35" i="14"/>
  <c r="DT36" i="14"/>
  <c r="DK35" i="14"/>
  <c r="DJ36" i="14"/>
  <c r="DP35" i="14"/>
  <c r="DO36" i="14"/>
  <c r="X22" i="43" a="1"/>
  <c r="BL35" i="14"/>
  <c r="DF447" i="14" a="1"/>
  <c r="DF51" i="14" a="1"/>
  <c r="CB591" i="14" a="1"/>
  <c r="CB111" i="14" a="1"/>
  <c r="CB267" i="14" a="1"/>
  <c r="DF411" i="14" a="1"/>
  <c r="CB555" i="14" a="1"/>
  <c r="X15" i="43" a="1"/>
  <c r="DF207" i="14" a="1"/>
  <c r="CB519" i="14" a="1"/>
  <c r="DF267" i="14" a="1"/>
  <c r="AE60" i="43" a="1"/>
  <c r="DF507" i="14" a="1"/>
  <c r="X20" i="43" a="1"/>
  <c r="CB219" i="14" a="1"/>
  <c r="AE56" i="43" a="1"/>
  <c r="CB423" i="14" a="1"/>
  <c r="CB351" i="14" a="1"/>
  <c r="X14" i="43" a="1"/>
  <c r="CB627" i="14" a="1"/>
  <c r="CB63" i="14" a="1"/>
  <c r="DF471" i="14" a="1"/>
  <c r="DF219" i="14" a="1"/>
  <c r="CB459" i="14" a="1"/>
  <c r="CB171" i="14" a="1"/>
  <c r="DF147" i="14" a="1"/>
  <c r="AZ36" i="14"/>
  <c r="DF231" i="14" a="1"/>
  <c r="AE64" i="43" a="1"/>
  <c r="CB291" i="14" a="1"/>
  <c r="CB99" i="14" a="1"/>
  <c r="CB195" i="14" a="1"/>
  <c r="CB279" i="14" a="1"/>
  <c r="CB243" i="14" a="1"/>
  <c r="X18" i="43" a="1"/>
  <c r="DF303" i="14" a="1"/>
  <c r="CB531" i="14" a="1"/>
  <c r="AE58" i="43" a="1"/>
  <c r="DF399" i="14" a="1"/>
  <c r="CB123" i="14" a="1"/>
  <c r="DF123" i="14" a="1"/>
  <c r="DF315" i="14" a="1"/>
  <c r="CB207" i="14" a="1"/>
  <c r="CB507" i="14" a="1"/>
  <c r="DF159" i="14" a="1"/>
  <c r="DF483" i="14" a="1"/>
  <c r="DF495" i="14" a="1"/>
  <c r="CB73" i="14" a="1"/>
  <c r="DF387" i="14" a="1"/>
  <c r="DF195" i="14" a="1"/>
  <c r="CB315" i="14" a="1"/>
  <c r="CB147" i="14" a="1"/>
  <c r="AE63" i="43" a="1"/>
  <c r="X16" i="43" a="1"/>
  <c r="DF99" i="14" a="1"/>
  <c r="CB387" i="14" a="1"/>
  <c r="BD36" i="14"/>
  <c r="X24" i="43" a="1"/>
  <c r="DF651" i="14" a="1"/>
  <c r="DF591" i="14" a="1"/>
  <c r="CB543" i="14" a="1"/>
  <c r="CB51" i="14" a="1"/>
  <c r="CB135" i="14" a="1"/>
  <c r="DF363" i="14" a="1"/>
  <c r="CB35" i="14" a="1"/>
  <c r="DF663" i="14" a="1"/>
  <c r="DF183" i="14" a="1"/>
  <c r="CB663" i="14" a="1"/>
  <c r="CB303" i="14" a="1"/>
  <c r="DF351" i="14" a="1"/>
  <c r="X12" i="43" a="1"/>
  <c r="DF555" i="14" a="1"/>
  <c r="X17" i="43" a="1"/>
  <c r="DF531" i="14" a="1"/>
  <c r="X23" i="43" a="1"/>
  <c r="DF279" i="14" a="1"/>
  <c r="CB579" i="14" a="1"/>
  <c r="AV36" i="14"/>
  <c r="DF375" i="14" a="1"/>
  <c r="AE62" i="43" a="1"/>
  <c r="CB183" i="14" a="1"/>
  <c r="DF423" i="14" a="1"/>
  <c r="CB447" i="14" a="1"/>
  <c r="DF603" i="14" a="1"/>
  <c r="CB339" i="14" a="1"/>
  <c r="CB675" i="14" a="1"/>
  <c r="DF543" i="14" a="1"/>
  <c r="CB363" i="14" a="1"/>
  <c r="CB615" i="14" a="1"/>
  <c r="BN35" i="14"/>
  <c r="CB639" i="14" a="1"/>
  <c r="DF291" i="14" a="1"/>
  <c r="DF73" i="14" a="1"/>
  <c r="DF567" i="14" a="1"/>
  <c r="X13" i="43" a="1"/>
  <c r="CB483" i="14" a="1"/>
  <c r="CB651" i="14" a="1"/>
  <c r="CB471" i="14" a="1"/>
  <c r="BB38" i="14"/>
  <c r="AE66" i="43" a="1"/>
  <c r="CB231" i="14" a="1"/>
  <c r="DF579" i="14" a="1"/>
  <c r="CB87" i="14" a="1"/>
  <c r="CB495" i="14" a="1"/>
  <c r="AE57" i="43" a="1"/>
  <c r="DF339" i="14" a="1"/>
  <c r="CB435" i="14" a="1"/>
  <c r="DF459" i="14" a="1"/>
  <c r="DF243" i="14" a="1"/>
  <c r="X11" i="43" a="1"/>
  <c r="X21" i="43" a="1"/>
  <c r="CB399" i="14" a="1"/>
  <c r="AX36" i="14"/>
  <c r="DF87" i="14" a="1"/>
  <c r="DF435" i="14" a="1"/>
  <c r="AE59" i="43" a="1"/>
  <c r="CB159" i="14" a="1"/>
  <c r="DF627" i="14" a="1"/>
  <c r="DF639" i="14" a="1"/>
  <c r="AE55" i="43" a="1"/>
  <c r="DF111" i="14" a="1"/>
  <c r="DF255" i="14" a="1"/>
  <c r="DF171" i="14" a="1"/>
  <c r="CB411" i="14" a="1"/>
  <c r="X19" i="43" a="1"/>
  <c r="CB255" i="14" a="1"/>
  <c r="AE67" i="43" a="1"/>
  <c r="DF519" i="14" a="1"/>
  <c r="DF63" i="14" a="1"/>
  <c r="DF135" i="14" a="1"/>
  <c r="AE65" i="43" a="1"/>
  <c r="BB36" i="14"/>
  <c r="CB567" i="14" a="1"/>
  <c r="CB375" i="14" a="1"/>
  <c r="DF615" i="14" a="1"/>
  <c r="DF327" i="14" a="1"/>
  <c r="CB327" i="14" a="1"/>
  <c r="CB603" i="14" a="1"/>
  <c r="AE61" i="43" a="1"/>
  <c r="DF675" i="14" a="1"/>
  <c r="CP615" i="14" l="1"/>
  <c r="CQ615" i="14" s="1"/>
  <c r="CG290" i="14"/>
  <c r="CZ195" i="14"/>
  <c r="DA195" i="14" s="1"/>
  <c r="DJ159" i="14"/>
  <c r="DK159" i="14" s="1"/>
  <c r="DT159" i="14"/>
  <c r="DU159" i="14" s="1"/>
  <c r="CL506" i="14"/>
  <c r="DA494" i="14"/>
  <c r="CF507" i="14"/>
  <c r="CF508" i="14" s="1"/>
  <c r="CG338" i="14"/>
  <c r="CQ86" i="14"/>
  <c r="DK350" i="14"/>
  <c r="DK650" i="14"/>
  <c r="DZ554" i="14"/>
  <c r="CQ182" i="14"/>
  <c r="CG554" i="14"/>
  <c r="DU530" i="14"/>
  <c r="DZ374" i="14"/>
  <c r="CF627" i="14"/>
  <c r="CF628" i="14" s="1"/>
  <c r="DZ266" i="14"/>
  <c r="EE602" i="14"/>
  <c r="CU555" i="14"/>
  <c r="CV555" i="14" s="1"/>
  <c r="DU458" i="14"/>
  <c r="DY303" i="14"/>
  <c r="DZ303" i="14" s="1"/>
  <c r="CL674" i="14"/>
  <c r="CZ63" i="14"/>
  <c r="CZ64" i="14" s="1"/>
  <c r="CK243" i="14"/>
  <c r="CL243" i="14" s="1"/>
  <c r="EE146" i="14"/>
  <c r="ED339" i="14"/>
  <c r="ED340" i="14" s="1"/>
  <c r="DU338" i="14"/>
  <c r="CL230" i="14"/>
  <c r="DT87" i="14"/>
  <c r="DT88" i="14" s="1"/>
  <c r="DK410" i="14"/>
  <c r="CK591" i="14"/>
  <c r="CK592" i="14" s="1"/>
  <c r="EE518" i="14"/>
  <c r="CP531" i="14"/>
  <c r="CP532" i="14" s="1"/>
  <c r="CZ255" i="14"/>
  <c r="DA255" i="14" s="1"/>
  <c r="CP147" i="14"/>
  <c r="CP148" i="14" s="1"/>
  <c r="DY423" i="14"/>
  <c r="DY424" i="14" s="1"/>
  <c r="DT423" i="14"/>
  <c r="DU423" i="14" s="1"/>
  <c r="DP626" i="14"/>
  <c r="CQ110" i="14"/>
  <c r="DJ591" i="14"/>
  <c r="DJ592" i="14" s="1"/>
  <c r="DA434" i="14"/>
  <c r="CF411" i="14"/>
  <c r="CG411" i="14" s="1"/>
  <c r="DT603" i="14"/>
  <c r="DT604" i="14" s="1"/>
  <c r="DU506" i="14"/>
  <c r="DY183" i="14"/>
  <c r="DY184" i="14" s="1"/>
  <c r="DO591" i="14"/>
  <c r="DO592" i="14" s="1"/>
  <c r="ED627" i="14"/>
  <c r="ED628" i="14" s="1"/>
  <c r="CQ278" i="14"/>
  <c r="DK470" i="14"/>
  <c r="CZ387" i="14"/>
  <c r="CZ388" i="14" s="1"/>
  <c r="CB35" i="14"/>
  <c r="CB447" i="14"/>
  <c r="CB555" i="14"/>
  <c r="CB459" i="14"/>
  <c r="DF243" i="14"/>
  <c r="DF567" i="14"/>
  <c r="CB279" i="14"/>
  <c r="DF63" i="14"/>
  <c r="CB411" i="14"/>
  <c r="DF555" i="14"/>
  <c r="CB63" i="14"/>
  <c r="DF507" i="14"/>
  <c r="CB579" i="14"/>
  <c r="CB375" i="14"/>
  <c r="DF519" i="14"/>
  <c r="CB627" i="14"/>
  <c r="CB111" i="14"/>
  <c r="CB531" i="14"/>
  <c r="DF147" i="14"/>
  <c r="CB87" i="14"/>
  <c r="DF387" i="14"/>
  <c r="CB255" i="14"/>
  <c r="DF615" i="14"/>
  <c r="CB135" i="14"/>
  <c r="DF195" i="14"/>
  <c r="DF123" i="14"/>
  <c r="DF267" i="14"/>
  <c r="DF663" i="14"/>
  <c r="CB315" i="14"/>
  <c r="DF435" i="14"/>
  <c r="CB675" i="14"/>
  <c r="CB219" i="14"/>
  <c r="DF591" i="14"/>
  <c r="CB387" i="14"/>
  <c r="CB519" i="14"/>
  <c r="CB267" i="14"/>
  <c r="DF531" i="14"/>
  <c r="DF111" i="14"/>
  <c r="DF399" i="14"/>
  <c r="CB147" i="14"/>
  <c r="CB423" i="14"/>
  <c r="DF639" i="14"/>
  <c r="DF51" i="14"/>
  <c r="CB495" i="14"/>
  <c r="CB171" i="14"/>
  <c r="CB591" i="14"/>
  <c r="CB183" i="14"/>
  <c r="DF675" i="14"/>
  <c r="DF603" i="14"/>
  <c r="DF423" i="14"/>
  <c r="DF447" i="14"/>
  <c r="DF291" i="14"/>
  <c r="CB51" i="14"/>
  <c r="CB615" i="14"/>
  <c r="DF339" i="14"/>
  <c r="DF627" i="14"/>
  <c r="CB567" i="14"/>
  <c r="DF327" i="14"/>
  <c r="CB291" i="14"/>
  <c r="DF231" i="14"/>
  <c r="CB507" i="14"/>
  <c r="CB543" i="14"/>
  <c r="DF315" i="14"/>
  <c r="CB651" i="14"/>
  <c r="CB483" i="14"/>
  <c r="DF579" i="14"/>
  <c r="DF207" i="14"/>
  <c r="CB639" i="14"/>
  <c r="DF375" i="14"/>
  <c r="CB207" i="14"/>
  <c r="DF135" i="14"/>
  <c r="CB159" i="14"/>
  <c r="CB195" i="14"/>
  <c r="CB363" i="14"/>
  <c r="DF459" i="14"/>
  <c r="CB663" i="14"/>
  <c r="DF363" i="14"/>
  <c r="DF411" i="14"/>
  <c r="CB603" i="14"/>
  <c r="DF543" i="14"/>
  <c r="DF183" i="14"/>
  <c r="CB243" i="14"/>
  <c r="CB339" i="14"/>
  <c r="CB303" i="14"/>
  <c r="DF651" i="14"/>
  <c r="DF171" i="14"/>
  <c r="DF159" i="14"/>
  <c r="DF87" i="14"/>
  <c r="DF99" i="14"/>
  <c r="DF483" i="14"/>
  <c r="DF255" i="14"/>
  <c r="CB99" i="14"/>
  <c r="DF495" i="14"/>
  <c r="DF351" i="14"/>
  <c r="CB123" i="14"/>
  <c r="DF303" i="14"/>
  <c r="CB435" i="14"/>
  <c r="CB351" i="14"/>
  <c r="CB471" i="14"/>
  <c r="CB327" i="14"/>
  <c r="DF279" i="14"/>
  <c r="CB399" i="14"/>
  <c r="DF219" i="14"/>
  <c r="CB231" i="14"/>
  <c r="DF471" i="14"/>
  <c r="CA448" i="14"/>
  <c r="DU567" i="14"/>
  <c r="DT568" i="14"/>
  <c r="CV327" i="14"/>
  <c r="CU328" i="14"/>
  <c r="CP184" i="14"/>
  <c r="CQ183" i="14"/>
  <c r="DY292" i="14"/>
  <c r="DZ291" i="14"/>
  <c r="CP340" i="14"/>
  <c r="CQ339" i="14"/>
  <c r="DJ448" i="14"/>
  <c r="DK447" i="14"/>
  <c r="DA459" i="14"/>
  <c r="CZ460" i="14"/>
  <c r="CF304" i="14"/>
  <c r="CG303" i="14"/>
  <c r="DO316" i="14"/>
  <c r="DP315" i="14"/>
  <c r="DT676" i="14"/>
  <c r="DU675" i="14"/>
  <c r="DJ568" i="14"/>
  <c r="DK567" i="14"/>
  <c r="DJ184" i="14"/>
  <c r="DK183" i="14"/>
  <c r="CG615" i="14"/>
  <c r="CF616" i="14"/>
  <c r="CV87" i="14"/>
  <c r="CU88" i="14"/>
  <c r="DA579" i="14"/>
  <c r="CZ580" i="14"/>
  <c r="DO580" i="14"/>
  <c r="DP579" i="14"/>
  <c r="DZ567" i="14"/>
  <c r="DY568" i="14"/>
  <c r="CQ507" i="14"/>
  <c r="CP508" i="14"/>
  <c r="DJ112" i="14"/>
  <c r="DK111" i="14"/>
  <c r="CV423" i="14"/>
  <c r="CU424" i="14"/>
  <c r="CA556" i="14"/>
  <c r="CV351" i="14"/>
  <c r="CU352" i="14"/>
  <c r="CA460" i="14"/>
  <c r="DE244" i="14"/>
  <c r="DE568" i="14"/>
  <c r="CK256" i="14"/>
  <c r="CL255" i="14"/>
  <c r="CK424" i="14"/>
  <c r="CL423" i="14"/>
  <c r="CU520" i="14"/>
  <c r="CV519" i="14"/>
  <c r="CF388" i="14"/>
  <c r="CG387" i="14"/>
  <c r="CA280" i="14"/>
  <c r="DE64" i="14"/>
  <c r="CA412" i="14"/>
  <c r="DO232" i="14"/>
  <c r="DP231" i="14"/>
  <c r="DE556" i="14"/>
  <c r="DU63" i="14"/>
  <c r="DT64" i="14"/>
  <c r="DK327" i="14"/>
  <c r="DJ328" i="14"/>
  <c r="CU316" i="14"/>
  <c r="CV315" i="14"/>
  <c r="DA567" i="14"/>
  <c r="CZ568" i="14"/>
  <c r="DP663" i="14"/>
  <c r="DO664" i="14"/>
  <c r="CZ376" i="14"/>
  <c r="DA375" i="14"/>
  <c r="DZ111" i="14"/>
  <c r="DY112" i="14"/>
  <c r="DZ87" i="14"/>
  <c r="DY88" i="14"/>
  <c r="CQ555" i="14"/>
  <c r="CP556" i="14"/>
  <c r="DP435" i="14"/>
  <c r="DO436" i="14"/>
  <c r="CZ592" i="14"/>
  <c r="DA591" i="14"/>
  <c r="ED520" i="14"/>
  <c r="EE519" i="14"/>
  <c r="CK544" i="14"/>
  <c r="CL543" i="14"/>
  <c r="CA64" i="14"/>
  <c r="DE508" i="14"/>
  <c r="CK292" i="14"/>
  <c r="CL291" i="14"/>
  <c r="EE231" i="14"/>
  <c r="ED232" i="14"/>
  <c r="CF244" i="14"/>
  <c r="CG243" i="14"/>
  <c r="CL183" i="14"/>
  <c r="CK184" i="14"/>
  <c r="CA580" i="14"/>
  <c r="CU136" i="14"/>
  <c r="CV135" i="14"/>
  <c r="CK112" i="14"/>
  <c r="CL111" i="14"/>
  <c r="DA123" i="14"/>
  <c r="CZ124" i="14"/>
  <c r="DJ472" i="14"/>
  <c r="DK471" i="14"/>
  <c r="DY244" i="14"/>
  <c r="DZ243" i="14"/>
  <c r="DU243" i="14"/>
  <c r="DT244" i="14"/>
  <c r="DK339" i="14"/>
  <c r="DJ340" i="14"/>
  <c r="DZ363" i="14"/>
  <c r="DY364" i="14"/>
  <c r="CA376" i="14"/>
  <c r="DY100" i="14"/>
  <c r="DZ99" i="14"/>
  <c r="CK268" i="14"/>
  <c r="CL267" i="14"/>
  <c r="CP460" i="14"/>
  <c r="CQ459" i="14"/>
  <c r="DK399" i="14"/>
  <c r="DJ400" i="14"/>
  <c r="DT448" i="14"/>
  <c r="DU447" i="14"/>
  <c r="DZ51" i="14"/>
  <c r="DY52" i="14"/>
  <c r="DU579" i="14"/>
  <c r="DT580" i="14"/>
  <c r="EE111" i="14"/>
  <c r="ED112" i="14"/>
  <c r="CP328" i="14"/>
  <c r="CQ327" i="14"/>
  <c r="DE520" i="14"/>
  <c r="EE363" i="14"/>
  <c r="ED364" i="14"/>
  <c r="CU592" i="14"/>
  <c r="CV591" i="14"/>
  <c r="CZ676" i="14"/>
  <c r="DA675" i="14"/>
  <c r="CG315" i="14"/>
  <c r="CF316" i="14"/>
  <c r="DA411" i="14"/>
  <c r="CZ412" i="14"/>
  <c r="CA628" i="14"/>
  <c r="DZ351" i="14"/>
  <c r="DY352" i="14"/>
  <c r="DK483" i="14"/>
  <c r="DJ484" i="14"/>
  <c r="DP459" i="14"/>
  <c r="DO460" i="14"/>
  <c r="CA112" i="14"/>
  <c r="ED508" i="14"/>
  <c r="EE507" i="14"/>
  <c r="DK363" i="14"/>
  <c r="DJ364" i="14"/>
  <c r="DT148" i="14"/>
  <c r="DU147" i="14"/>
  <c r="EE579" i="14"/>
  <c r="ED580" i="14"/>
  <c r="CZ316" i="14"/>
  <c r="DA315" i="14"/>
  <c r="DK255" i="14"/>
  <c r="DJ256" i="14"/>
  <c r="CL171" i="14"/>
  <c r="CK172" i="14"/>
  <c r="CA532" i="14"/>
  <c r="CU508" i="14"/>
  <c r="CV507" i="14"/>
  <c r="DT316" i="14"/>
  <c r="DU315" i="14"/>
  <c r="DE148" i="14"/>
  <c r="CP676" i="14"/>
  <c r="CQ675" i="14"/>
  <c r="DK279" i="14"/>
  <c r="DJ280" i="14"/>
  <c r="CV675" i="14"/>
  <c r="CU676" i="14"/>
  <c r="CA88" i="14"/>
  <c r="CK664" i="14"/>
  <c r="CL663" i="14"/>
  <c r="DE388" i="14"/>
  <c r="CA256" i="14"/>
  <c r="CQ219" i="14"/>
  <c r="CP220" i="14"/>
  <c r="DY640" i="14"/>
  <c r="DZ639" i="14"/>
  <c r="DZ63" i="14"/>
  <c r="DY64" i="14"/>
  <c r="DU363" i="14"/>
  <c r="DT364" i="14"/>
  <c r="CF520" i="14"/>
  <c r="CG519" i="14"/>
  <c r="DA219" i="14"/>
  <c r="CZ220" i="14"/>
  <c r="DE616" i="14"/>
  <c r="DJ412" i="14"/>
  <c r="DK411" i="14"/>
  <c r="CA136" i="14"/>
  <c r="CQ303" i="14"/>
  <c r="CP304" i="14"/>
  <c r="DO184" i="14"/>
  <c r="DP183" i="14"/>
  <c r="CF100" i="14"/>
  <c r="CG99" i="14"/>
  <c r="CZ628" i="14"/>
  <c r="DA627" i="14"/>
  <c r="DE196" i="14"/>
  <c r="ED268" i="14"/>
  <c r="EE267" i="14"/>
  <c r="DZ147" i="14"/>
  <c r="DY148" i="14"/>
  <c r="DE124" i="14"/>
  <c r="ED604" i="14"/>
  <c r="EE603" i="14"/>
  <c r="ED568" i="14"/>
  <c r="EE567" i="14"/>
  <c r="DU135" i="14"/>
  <c r="DT136" i="14"/>
  <c r="DP387" i="14"/>
  <c r="DO388" i="14"/>
  <c r="CV495" i="14"/>
  <c r="CU496" i="14"/>
  <c r="DE268" i="14"/>
  <c r="CU436" i="14"/>
  <c r="CV435" i="14"/>
  <c r="DK603" i="14"/>
  <c r="DJ604" i="14"/>
  <c r="DE664" i="14"/>
  <c r="CF184" i="14"/>
  <c r="CG183" i="14"/>
  <c r="CU64" i="14"/>
  <c r="CV63" i="14"/>
  <c r="CZ616" i="14"/>
  <c r="DA615" i="14"/>
  <c r="CU640" i="14"/>
  <c r="CV639" i="14"/>
  <c r="EE219" i="14"/>
  <c r="ED220" i="14"/>
  <c r="DU51" i="14"/>
  <c r="DT52" i="14"/>
  <c r="CU616" i="14"/>
  <c r="CV615" i="14"/>
  <c r="CU364" i="14"/>
  <c r="CV363" i="14"/>
  <c r="CA316" i="14"/>
  <c r="CK556" i="14"/>
  <c r="CL555" i="14"/>
  <c r="CQ483" i="14"/>
  <c r="CP484" i="14"/>
  <c r="CQ603" i="14"/>
  <c r="CP604" i="14"/>
  <c r="CF196" i="14"/>
  <c r="CG195" i="14"/>
  <c r="CG603" i="14"/>
  <c r="CF604" i="14"/>
  <c r="CZ52" i="14"/>
  <c r="DA51" i="14"/>
  <c r="ED532" i="14"/>
  <c r="EE531" i="14"/>
  <c r="DA423" i="14"/>
  <c r="CZ424" i="14"/>
  <c r="ED436" i="14"/>
  <c r="EE435" i="14"/>
  <c r="DO448" i="14"/>
  <c r="DP447" i="14"/>
  <c r="ED388" i="14"/>
  <c r="EE387" i="14"/>
  <c r="ED448" i="14"/>
  <c r="EE447" i="14"/>
  <c r="CP292" i="14"/>
  <c r="CQ291" i="14"/>
  <c r="DT532" i="14"/>
  <c r="DU531" i="14"/>
  <c r="CZ508" i="14"/>
  <c r="DA507" i="14"/>
  <c r="DT544" i="14"/>
  <c r="DU543" i="14"/>
  <c r="DE436" i="14"/>
  <c r="DY484" i="14"/>
  <c r="DZ483" i="14"/>
  <c r="CU568" i="14"/>
  <c r="CV567" i="14"/>
  <c r="CV243" i="14"/>
  <c r="CU244" i="14"/>
  <c r="CA676" i="14"/>
  <c r="DA147" i="14"/>
  <c r="CZ148" i="14"/>
  <c r="CV159" i="14"/>
  <c r="CU160" i="14"/>
  <c r="ED172" i="14"/>
  <c r="EE171" i="14"/>
  <c r="CU532" i="14"/>
  <c r="CV531" i="14"/>
  <c r="CK676" i="14"/>
  <c r="CL675" i="14"/>
  <c r="CG63" i="14"/>
  <c r="CF64" i="14"/>
  <c r="DA171" i="14"/>
  <c r="CZ172" i="14"/>
  <c r="DO484" i="14"/>
  <c r="DP483" i="14"/>
  <c r="CU124" i="14"/>
  <c r="CV123" i="14"/>
  <c r="DO244" i="14"/>
  <c r="DP243" i="14"/>
  <c r="DK87" i="14"/>
  <c r="DJ88" i="14"/>
  <c r="DJ268" i="14"/>
  <c r="DK267" i="14"/>
  <c r="DK303" i="14"/>
  <c r="DJ304" i="14"/>
  <c r="CL63" i="14"/>
  <c r="CK64" i="14"/>
  <c r="EE591" i="14"/>
  <c r="ED592" i="14"/>
  <c r="DK207" i="14"/>
  <c r="DJ208" i="14"/>
  <c r="CQ543" i="14"/>
  <c r="CP544" i="14"/>
  <c r="CU472" i="14"/>
  <c r="CV471" i="14"/>
  <c r="DZ459" i="14"/>
  <c r="DY460" i="14"/>
  <c r="CA220" i="14"/>
  <c r="CL651" i="14"/>
  <c r="CK652" i="14"/>
  <c r="DE592" i="14"/>
  <c r="ED100" i="14"/>
  <c r="EE99" i="14"/>
  <c r="CF172" i="14"/>
  <c r="CG171" i="14"/>
  <c r="CV579" i="14"/>
  <c r="CU580" i="14"/>
  <c r="DO676" i="14"/>
  <c r="DP675" i="14"/>
  <c r="DA519" i="14"/>
  <c r="CZ520" i="14"/>
  <c r="DP159" i="14"/>
  <c r="DO160" i="14"/>
  <c r="CQ87" i="14"/>
  <c r="CP88" i="14"/>
  <c r="CZ352" i="14"/>
  <c r="DA351" i="14"/>
  <c r="DY616" i="14"/>
  <c r="DZ615" i="14"/>
  <c r="CA388" i="14"/>
  <c r="DU219" i="14"/>
  <c r="DT220" i="14"/>
  <c r="CU268" i="14"/>
  <c r="CV267" i="14"/>
  <c r="CP124" i="14"/>
  <c r="CQ123" i="14"/>
  <c r="DP555" i="14"/>
  <c r="DO556" i="14"/>
  <c r="CK496" i="14"/>
  <c r="CL495" i="14"/>
  <c r="CU292" i="14"/>
  <c r="CV291" i="14"/>
  <c r="CZ484" i="14"/>
  <c r="DA483" i="14"/>
  <c r="CG267" i="14"/>
  <c r="CF268" i="14"/>
  <c r="CA520" i="14"/>
  <c r="CQ51" i="14"/>
  <c r="CP52" i="14"/>
  <c r="CA268" i="14"/>
  <c r="DE532" i="14"/>
  <c r="DK675" i="14"/>
  <c r="DJ676" i="14"/>
  <c r="CZ400" i="14"/>
  <c r="DA399" i="14"/>
  <c r="DE112" i="14"/>
  <c r="CL399" i="14"/>
  <c r="CK400" i="14"/>
  <c r="CF88" i="14"/>
  <c r="CG87" i="14"/>
  <c r="ED412" i="14"/>
  <c r="EE411" i="14"/>
  <c r="DE400" i="14"/>
  <c r="CZ664" i="14"/>
  <c r="DA663" i="14"/>
  <c r="CP100" i="14"/>
  <c r="CQ99" i="14"/>
  <c r="ED184" i="14"/>
  <c r="EE183" i="14"/>
  <c r="DJ424" i="14"/>
  <c r="DK423" i="14"/>
  <c r="CA148" i="14"/>
  <c r="DO412" i="14"/>
  <c r="DP411" i="14"/>
  <c r="CV195" i="14"/>
  <c r="CU196" i="14"/>
  <c r="DK243" i="14"/>
  <c r="DJ244" i="14"/>
  <c r="DJ196" i="14"/>
  <c r="DK195" i="14"/>
  <c r="CF652" i="14"/>
  <c r="CG651" i="14"/>
  <c r="EE555" i="14"/>
  <c r="ED556" i="14"/>
  <c r="CZ496" i="14"/>
  <c r="DA495" i="14"/>
  <c r="CA424" i="14"/>
  <c r="CL567" i="14"/>
  <c r="CK568" i="14"/>
  <c r="DO196" i="14"/>
  <c r="DP195" i="14"/>
  <c r="DA111" i="14"/>
  <c r="CZ112" i="14"/>
  <c r="CP388" i="14"/>
  <c r="CQ387" i="14"/>
  <c r="DU195" i="14"/>
  <c r="DT196" i="14"/>
  <c r="DE640" i="14"/>
  <c r="CL207" i="14"/>
  <c r="CK208" i="14"/>
  <c r="CG399" i="14"/>
  <c r="CF400" i="14"/>
  <c r="CL483" i="14"/>
  <c r="CK484" i="14"/>
  <c r="DO616" i="14"/>
  <c r="DP615" i="14"/>
  <c r="DT292" i="14"/>
  <c r="DU291" i="14"/>
  <c r="DK231" i="14"/>
  <c r="DJ232" i="14"/>
  <c r="DO340" i="14"/>
  <c r="DP339" i="14"/>
  <c r="ED472" i="14"/>
  <c r="EE471" i="14"/>
  <c r="CL579" i="14"/>
  <c r="CK580" i="14"/>
  <c r="DE52" i="14"/>
  <c r="DZ219" i="14"/>
  <c r="DY220" i="14"/>
  <c r="DO628" i="14"/>
  <c r="DP627" i="14"/>
  <c r="CL279" i="14"/>
  <c r="CK280" i="14"/>
  <c r="CG531" i="14"/>
  <c r="CF532" i="14"/>
  <c r="DZ159" i="14"/>
  <c r="DY160" i="14"/>
  <c r="CA496" i="14"/>
  <c r="CU376" i="14"/>
  <c r="CV375" i="14"/>
  <c r="CL87" i="14"/>
  <c r="CK88" i="14"/>
  <c r="CK520" i="14"/>
  <c r="CL519" i="14"/>
  <c r="CK52" i="14"/>
  <c r="CL51" i="14"/>
  <c r="ED64" i="14"/>
  <c r="EE63" i="14"/>
  <c r="CA172" i="14"/>
  <c r="DP207" i="14"/>
  <c r="DO208" i="14"/>
  <c r="CG339" i="14"/>
  <c r="CF340" i="14"/>
  <c r="DA135" i="14"/>
  <c r="CZ136" i="14"/>
  <c r="DJ352" i="14"/>
  <c r="DK351" i="14"/>
  <c r="CG471" i="14"/>
  <c r="CF472" i="14"/>
  <c r="CP652" i="14"/>
  <c r="CQ651" i="14"/>
  <c r="CG159" i="14"/>
  <c r="CF160" i="14"/>
  <c r="DP219" i="14"/>
  <c r="DO220" i="14"/>
  <c r="CA592" i="14"/>
  <c r="DJ100" i="14"/>
  <c r="DK99" i="14"/>
  <c r="DP303" i="14"/>
  <c r="DO304" i="14"/>
  <c r="CQ351" i="14"/>
  <c r="CP352" i="14"/>
  <c r="CQ639" i="14"/>
  <c r="CP640" i="14"/>
  <c r="CF208" i="14"/>
  <c r="CG207" i="14"/>
  <c r="CA184" i="14"/>
  <c r="CV663" i="14"/>
  <c r="CU664" i="14"/>
  <c r="CF544" i="14"/>
  <c r="CG543" i="14"/>
  <c r="DP603" i="14"/>
  <c r="DO604" i="14"/>
  <c r="CG231" i="14"/>
  <c r="CF232" i="14"/>
  <c r="EE303" i="14"/>
  <c r="ED304" i="14"/>
  <c r="DP507" i="14"/>
  <c r="DO508" i="14"/>
  <c r="CU448" i="14"/>
  <c r="CV447" i="14"/>
  <c r="CG363" i="14"/>
  <c r="CF364" i="14"/>
  <c r="DJ508" i="14"/>
  <c r="DK507" i="14"/>
  <c r="DU171" i="14"/>
  <c r="DT172" i="14"/>
  <c r="DJ172" i="14"/>
  <c r="DK171" i="14"/>
  <c r="CV99" i="14"/>
  <c r="CU100" i="14"/>
  <c r="DK147" i="14"/>
  <c r="DJ148" i="14"/>
  <c r="DE676" i="14"/>
  <c r="DE604" i="14"/>
  <c r="ED652" i="14"/>
  <c r="EE651" i="14"/>
  <c r="DY208" i="14"/>
  <c r="DZ207" i="14"/>
  <c r="DY136" i="14"/>
  <c r="DZ135" i="14"/>
  <c r="CQ111" i="14"/>
  <c r="CP112" i="14"/>
  <c r="EE639" i="14"/>
  <c r="ED640" i="14"/>
  <c r="CF448" i="14"/>
  <c r="CG447" i="14"/>
  <c r="DY448" i="14"/>
  <c r="DZ447" i="14"/>
  <c r="DZ471" i="14"/>
  <c r="DY472" i="14"/>
  <c r="DU471" i="14"/>
  <c r="DT472" i="14"/>
  <c r="DE424" i="14"/>
  <c r="DU111" i="14"/>
  <c r="DT112" i="14"/>
  <c r="DP639" i="14"/>
  <c r="DO640" i="14"/>
  <c r="DT184" i="14"/>
  <c r="DU183" i="14"/>
  <c r="DZ495" i="14"/>
  <c r="DY496" i="14"/>
  <c r="DU339" i="14"/>
  <c r="DT340" i="14"/>
  <c r="DZ675" i="14"/>
  <c r="DY676" i="14"/>
  <c r="CG423" i="14"/>
  <c r="CF424" i="14"/>
  <c r="DZ231" i="14"/>
  <c r="DY232" i="14"/>
  <c r="CG111" i="14"/>
  <c r="CF112" i="14"/>
  <c r="DZ627" i="14"/>
  <c r="DY628" i="14"/>
  <c r="CP172" i="14"/>
  <c r="CQ171" i="14"/>
  <c r="DP87" i="14"/>
  <c r="DO88" i="14"/>
  <c r="CQ243" i="14"/>
  <c r="CP244" i="14"/>
  <c r="DT412" i="14"/>
  <c r="DU411" i="14"/>
  <c r="DJ292" i="14"/>
  <c r="DK291" i="14"/>
  <c r="DE448" i="14"/>
  <c r="EE195" i="14"/>
  <c r="ED196" i="14"/>
  <c r="CK604" i="14"/>
  <c r="CL603" i="14"/>
  <c r="DT388" i="14"/>
  <c r="DU387" i="14"/>
  <c r="ED616" i="14"/>
  <c r="EE615" i="14"/>
  <c r="DO256" i="14"/>
  <c r="DP255" i="14"/>
  <c r="DE292" i="14"/>
  <c r="CZ436" i="14"/>
  <c r="DA435" i="14"/>
  <c r="CU400" i="14"/>
  <c r="CV399" i="14"/>
  <c r="CG579" i="14"/>
  <c r="CF580" i="14"/>
  <c r="CQ579" i="14"/>
  <c r="CP580" i="14"/>
  <c r="CA52" i="14"/>
  <c r="CQ207" i="14"/>
  <c r="CP208" i="14"/>
  <c r="CP64" i="14"/>
  <c r="CQ63" i="14"/>
  <c r="ED148" i="14"/>
  <c r="EE147" i="14"/>
  <c r="CZ472" i="14"/>
  <c r="DA471" i="14"/>
  <c r="DJ376" i="14"/>
  <c r="DK375" i="14"/>
  <c r="DT232" i="14"/>
  <c r="DU231" i="14"/>
  <c r="DU375" i="14"/>
  <c r="DT376" i="14"/>
  <c r="CA616" i="14"/>
  <c r="DY196" i="14"/>
  <c r="DZ195" i="14"/>
  <c r="ED160" i="14"/>
  <c r="EE159" i="14"/>
  <c r="DE340" i="14"/>
  <c r="CV651" i="14"/>
  <c r="CU652" i="14"/>
  <c r="DE628" i="14"/>
  <c r="CA568" i="14"/>
  <c r="CV111" i="14"/>
  <c r="CU112" i="14"/>
  <c r="CL387" i="14"/>
  <c r="CK388" i="14"/>
  <c r="CL231" i="14"/>
  <c r="CK232" i="14"/>
  <c r="DE328" i="14"/>
  <c r="CF124" i="14"/>
  <c r="CG123" i="14"/>
  <c r="EE135" i="14"/>
  <c r="ED136" i="14"/>
  <c r="DY664" i="14"/>
  <c r="DZ663" i="14"/>
  <c r="CA292" i="14"/>
  <c r="DK543" i="14"/>
  <c r="DJ544" i="14"/>
  <c r="DE232" i="14"/>
  <c r="EE543" i="14"/>
  <c r="ED544" i="14"/>
  <c r="DP543" i="14"/>
  <c r="DO544" i="14"/>
  <c r="DP267" i="14"/>
  <c r="DO268" i="14"/>
  <c r="DJ316" i="14"/>
  <c r="DK315" i="14"/>
  <c r="CF484" i="14"/>
  <c r="CG483" i="14"/>
  <c r="DP63" i="14"/>
  <c r="DO64" i="14"/>
  <c r="DT328" i="14"/>
  <c r="DU327" i="14"/>
  <c r="CA508" i="14"/>
  <c r="DJ496" i="14"/>
  <c r="DK495" i="14"/>
  <c r="DO364" i="14"/>
  <c r="DP363" i="14"/>
  <c r="CZ208" i="14"/>
  <c r="DA207" i="14"/>
  <c r="DO532" i="14"/>
  <c r="DP531" i="14"/>
  <c r="DY172" i="14"/>
  <c r="DZ171" i="14"/>
  <c r="CA544" i="14"/>
  <c r="DZ399" i="14"/>
  <c r="DY400" i="14"/>
  <c r="DP135" i="14"/>
  <c r="DO136" i="14"/>
  <c r="DP51" i="14"/>
  <c r="DO52" i="14"/>
  <c r="DA603" i="14"/>
  <c r="CZ604" i="14"/>
  <c r="DP651" i="14"/>
  <c r="DO652" i="14"/>
  <c r="DE316" i="14"/>
  <c r="DT400" i="14"/>
  <c r="DU399" i="14"/>
  <c r="CA652" i="14"/>
  <c r="CK220" i="14"/>
  <c r="CL219" i="14"/>
  <c r="DK579" i="14"/>
  <c r="DJ580" i="14"/>
  <c r="DZ387" i="14"/>
  <c r="DY388" i="14"/>
  <c r="EE375" i="14"/>
  <c r="ED376" i="14"/>
  <c r="DK63" i="14"/>
  <c r="DJ64" i="14"/>
  <c r="DZ651" i="14"/>
  <c r="DY652" i="14"/>
  <c r="CK160" i="14"/>
  <c r="CL159" i="14"/>
  <c r="DY544" i="14"/>
  <c r="DZ543" i="14"/>
  <c r="DJ556" i="14"/>
  <c r="DK555" i="14"/>
  <c r="DU255" i="14"/>
  <c r="DT256" i="14"/>
  <c r="CK364" i="14"/>
  <c r="CL363" i="14"/>
  <c r="CA484" i="14"/>
  <c r="EE663" i="14"/>
  <c r="ED664" i="14"/>
  <c r="DT460" i="14"/>
  <c r="DU459" i="14"/>
  <c r="DE580" i="14"/>
  <c r="CG351" i="14"/>
  <c r="CF352" i="14"/>
  <c r="ED316" i="14"/>
  <c r="EE315" i="14"/>
  <c r="DE208" i="14"/>
  <c r="DU651" i="14"/>
  <c r="DT652" i="14"/>
  <c r="CK532" i="14"/>
  <c r="CL531" i="14"/>
  <c r="CQ375" i="14"/>
  <c r="CP376" i="14"/>
  <c r="DU267" i="14"/>
  <c r="DT268" i="14"/>
  <c r="DO148" i="14"/>
  <c r="DP147" i="14"/>
  <c r="CG375" i="14"/>
  <c r="CF376" i="14"/>
  <c r="DO124" i="14"/>
  <c r="DP123" i="14"/>
  <c r="EE123" i="14"/>
  <c r="ED124" i="14"/>
  <c r="DJ616" i="14"/>
  <c r="DK615" i="14"/>
  <c r="DU639" i="14"/>
  <c r="DT640" i="14"/>
  <c r="CA640" i="14"/>
  <c r="DU435" i="14"/>
  <c r="DT436" i="14"/>
  <c r="CP196" i="14"/>
  <c r="CQ195" i="14"/>
  <c r="CL639" i="14"/>
  <c r="CK640" i="14"/>
  <c r="EE495" i="14"/>
  <c r="ED496" i="14"/>
  <c r="DY376" i="14"/>
  <c r="DZ375" i="14"/>
  <c r="DE376" i="14"/>
  <c r="CZ652" i="14"/>
  <c r="DA651" i="14"/>
  <c r="ED88" i="14"/>
  <c r="EE87" i="14"/>
  <c r="DK639" i="14"/>
  <c r="DJ640" i="14"/>
  <c r="CA208" i="14"/>
  <c r="CZ556" i="14"/>
  <c r="DA555" i="14"/>
  <c r="ED52" i="14"/>
  <c r="EE51" i="14"/>
  <c r="DA267" i="14"/>
  <c r="CZ268" i="14"/>
  <c r="DJ460" i="14"/>
  <c r="DK459" i="14"/>
  <c r="DE136" i="14"/>
  <c r="CU232" i="14"/>
  <c r="CV231" i="14"/>
  <c r="DA543" i="14"/>
  <c r="CZ544" i="14"/>
  <c r="CQ267" i="14"/>
  <c r="CP268" i="14"/>
  <c r="CZ280" i="14"/>
  <c r="DA279" i="14"/>
  <c r="DO280" i="14"/>
  <c r="DP279" i="14"/>
  <c r="CL459" i="14"/>
  <c r="CK460" i="14"/>
  <c r="DA99" i="14"/>
  <c r="CZ100" i="14"/>
  <c r="CA160" i="14"/>
  <c r="DJ136" i="14"/>
  <c r="DK135" i="14"/>
  <c r="CQ399" i="14"/>
  <c r="CP400" i="14"/>
  <c r="DT304" i="14"/>
  <c r="DU303" i="14"/>
  <c r="DT352" i="14"/>
  <c r="DU351" i="14"/>
  <c r="DO376" i="14"/>
  <c r="DP375" i="14"/>
  <c r="CL195" i="14"/>
  <c r="CK196" i="14"/>
  <c r="CF136" i="14"/>
  <c r="CG135" i="14"/>
  <c r="CL447" i="14"/>
  <c r="CK448" i="14"/>
  <c r="CU148" i="14"/>
  <c r="CV147" i="14"/>
  <c r="CA196" i="14"/>
  <c r="DT664" i="14"/>
  <c r="DU663" i="14"/>
  <c r="DY604" i="14"/>
  <c r="DZ603" i="14"/>
  <c r="DA87" i="14"/>
  <c r="CZ88" i="14"/>
  <c r="CA364" i="14"/>
  <c r="CK304" i="14"/>
  <c r="CL303" i="14"/>
  <c r="DE460" i="14"/>
  <c r="CA664" i="14"/>
  <c r="CK352" i="14"/>
  <c r="CL351" i="14"/>
  <c r="CV51" i="14"/>
  <c r="CU52" i="14"/>
  <c r="DE364" i="14"/>
  <c r="CZ244" i="14"/>
  <c r="DA243" i="14"/>
  <c r="CV183" i="14"/>
  <c r="CU184" i="14"/>
  <c r="CK616" i="14"/>
  <c r="CL615" i="14"/>
  <c r="CP364" i="14"/>
  <c r="CQ363" i="14"/>
  <c r="CQ231" i="14"/>
  <c r="CP232" i="14"/>
  <c r="CQ159" i="14"/>
  <c r="CP160" i="14"/>
  <c r="CF220" i="14"/>
  <c r="CG219" i="14"/>
  <c r="DE412" i="14"/>
  <c r="DP471" i="14"/>
  <c r="DO472" i="14"/>
  <c r="CZ292" i="14"/>
  <c r="DA291" i="14"/>
  <c r="CP256" i="14"/>
  <c r="CQ255" i="14"/>
  <c r="DY532" i="14"/>
  <c r="DZ531" i="14"/>
  <c r="DU123" i="14"/>
  <c r="DT124" i="14"/>
  <c r="DU591" i="14"/>
  <c r="DT592" i="14"/>
  <c r="CV627" i="14"/>
  <c r="CU628" i="14"/>
  <c r="DT556" i="14"/>
  <c r="DU555" i="14"/>
  <c r="DK531" i="14"/>
  <c r="DJ532" i="14"/>
  <c r="EE423" i="14"/>
  <c r="ED424" i="14"/>
  <c r="CA604" i="14"/>
  <c r="DE544" i="14"/>
  <c r="ED400" i="14"/>
  <c r="EE399" i="14"/>
  <c r="DE184" i="14"/>
  <c r="DO352" i="14"/>
  <c r="DP351" i="14"/>
  <c r="CV255" i="14"/>
  <c r="CU256" i="14"/>
  <c r="CU412" i="14"/>
  <c r="CV411" i="14"/>
  <c r="CG327" i="14"/>
  <c r="CF328" i="14"/>
  <c r="CK508" i="14"/>
  <c r="CL507" i="14"/>
  <c r="DA303" i="14"/>
  <c r="CZ304" i="14"/>
  <c r="CZ184" i="14"/>
  <c r="DA183" i="14"/>
  <c r="CU280" i="14"/>
  <c r="CV279" i="14"/>
  <c r="CA244" i="14"/>
  <c r="CL435" i="14"/>
  <c r="CK436" i="14"/>
  <c r="DY412" i="14"/>
  <c r="DZ411" i="14"/>
  <c r="CV303" i="14"/>
  <c r="CU304" i="14"/>
  <c r="DU519" i="14"/>
  <c r="DT520" i="14"/>
  <c r="ED280" i="14"/>
  <c r="EE279" i="14"/>
  <c r="CA340" i="14"/>
  <c r="CU340" i="14"/>
  <c r="CV339" i="14"/>
  <c r="CU388" i="14"/>
  <c r="CV387" i="14"/>
  <c r="DA447" i="14"/>
  <c r="CZ448" i="14"/>
  <c r="CP412" i="14"/>
  <c r="CQ411" i="14"/>
  <c r="CQ495" i="14"/>
  <c r="CP496" i="14"/>
  <c r="DK51" i="14"/>
  <c r="DJ52" i="14"/>
  <c r="CA304" i="14"/>
  <c r="ED244" i="14"/>
  <c r="EE243" i="14"/>
  <c r="DE652" i="14"/>
  <c r="DT616" i="14"/>
  <c r="DU615" i="14"/>
  <c r="EE483" i="14"/>
  <c r="ED484" i="14"/>
  <c r="DY124" i="14"/>
  <c r="DZ123" i="14"/>
  <c r="DY436" i="14"/>
  <c r="DZ435" i="14"/>
  <c r="CV219" i="14"/>
  <c r="CU220" i="14"/>
  <c r="CP136" i="14"/>
  <c r="CQ135" i="14"/>
  <c r="DE172" i="14"/>
  <c r="CP436" i="14"/>
  <c r="CQ435" i="14"/>
  <c r="DE160" i="14"/>
  <c r="CK100" i="14"/>
  <c r="CL99" i="14"/>
  <c r="DO112" i="14"/>
  <c r="DP111" i="14"/>
  <c r="CU172" i="14"/>
  <c r="CV171" i="14"/>
  <c r="DE88" i="14"/>
  <c r="ED208" i="14"/>
  <c r="EE207" i="14"/>
  <c r="DP99" i="14"/>
  <c r="DO100" i="14"/>
  <c r="DK519" i="14"/>
  <c r="DJ520" i="14"/>
  <c r="CK316" i="14"/>
  <c r="CL315" i="14"/>
  <c r="DE100" i="14"/>
  <c r="ED328" i="14"/>
  <c r="EE327" i="14"/>
  <c r="DO400" i="14"/>
  <c r="DP399" i="14"/>
  <c r="DO496" i="14"/>
  <c r="DP495" i="14"/>
  <c r="DY520" i="14"/>
  <c r="DZ519" i="14"/>
  <c r="DY556" i="14"/>
  <c r="DZ555" i="14"/>
  <c r="DZ591" i="14"/>
  <c r="DY592" i="14"/>
  <c r="DY328" i="14"/>
  <c r="DZ327" i="14"/>
  <c r="DY268" i="14"/>
  <c r="DZ267" i="14"/>
  <c r="CK628" i="14"/>
  <c r="CL627" i="14"/>
  <c r="CG495" i="14"/>
  <c r="CF496" i="14"/>
  <c r="CU604" i="14"/>
  <c r="CV603" i="14"/>
  <c r="CP316" i="14"/>
  <c r="CQ315" i="14"/>
  <c r="DO424" i="14"/>
  <c r="DP423" i="14"/>
  <c r="CG663" i="14"/>
  <c r="CF664" i="14"/>
  <c r="DE484" i="14"/>
  <c r="ED460" i="14"/>
  <c r="EE459" i="14"/>
  <c r="DT496" i="14"/>
  <c r="DU495" i="14"/>
  <c r="DE256" i="14"/>
  <c r="DU627" i="14"/>
  <c r="DT628" i="14"/>
  <c r="CQ591" i="14"/>
  <c r="CP592" i="14"/>
  <c r="DP567" i="14"/>
  <c r="DO568" i="14"/>
  <c r="DY280" i="14"/>
  <c r="DZ279" i="14"/>
  <c r="CQ663" i="14"/>
  <c r="CP664" i="14"/>
  <c r="DZ507" i="14"/>
  <c r="DY508" i="14"/>
  <c r="CP472" i="14"/>
  <c r="CQ471" i="14"/>
  <c r="EE255" i="14"/>
  <c r="ED256" i="14"/>
  <c r="CZ328" i="14"/>
  <c r="DA327" i="14"/>
  <c r="CG51" i="14"/>
  <c r="CF52" i="14"/>
  <c r="CA100" i="14"/>
  <c r="DZ315" i="14"/>
  <c r="DY316" i="14"/>
  <c r="CL327" i="14"/>
  <c r="CK328" i="14"/>
  <c r="DT100" i="14"/>
  <c r="DU99" i="14"/>
  <c r="CQ627" i="14"/>
  <c r="CP628" i="14"/>
  <c r="DJ436" i="14"/>
  <c r="DK435" i="14"/>
  <c r="DO520" i="14"/>
  <c r="DP519" i="14"/>
  <c r="DE496" i="14"/>
  <c r="DA339" i="14"/>
  <c r="CZ340" i="14"/>
  <c r="DA531" i="14"/>
  <c r="CZ532" i="14"/>
  <c r="DU279" i="14"/>
  <c r="DT280" i="14"/>
  <c r="EE291" i="14"/>
  <c r="ED292" i="14"/>
  <c r="CG555" i="14"/>
  <c r="CF556" i="14"/>
  <c r="DE352" i="14"/>
  <c r="CU544" i="14"/>
  <c r="CV543" i="14"/>
  <c r="CK136" i="14"/>
  <c r="CL135" i="14"/>
  <c r="CA124" i="14"/>
  <c r="CF292" i="14"/>
  <c r="CG291" i="14"/>
  <c r="EE351" i="14"/>
  <c r="ED352" i="14"/>
  <c r="CF568" i="14"/>
  <c r="CG567" i="14"/>
  <c r="CP568" i="14"/>
  <c r="CQ567" i="14"/>
  <c r="DT484" i="14"/>
  <c r="DU483" i="14"/>
  <c r="DE304" i="14"/>
  <c r="CV459" i="14"/>
  <c r="CU460" i="14"/>
  <c r="DO328" i="14"/>
  <c r="DP327" i="14"/>
  <c r="CQ519" i="14"/>
  <c r="CP520" i="14"/>
  <c r="DA231" i="14"/>
  <c r="CZ232" i="14"/>
  <c r="CG255" i="14"/>
  <c r="CF256" i="14"/>
  <c r="CP280" i="14"/>
  <c r="CQ279" i="14"/>
  <c r="CA436" i="14"/>
  <c r="CA352" i="14"/>
  <c r="CF676" i="14"/>
  <c r="CG675" i="14"/>
  <c r="DK663" i="14"/>
  <c r="DJ664" i="14"/>
  <c r="DZ579" i="14"/>
  <c r="DY580" i="14"/>
  <c r="CK412" i="14"/>
  <c r="CL411" i="14"/>
  <c r="CA472" i="14"/>
  <c r="DT508" i="14"/>
  <c r="DU507" i="14"/>
  <c r="CL339" i="14"/>
  <c r="CK340" i="14"/>
  <c r="CQ423" i="14"/>
  <c r="CP424" i="14"/>
  <c r="CG639" i="14"/>
  <c r="CF640" i="14"/>
  <c r="CZ364" i="14"/>
  <c r="DA363" i="14"/>
  <c r="DZ255" i="14"/>
  <c r="DY256" i="14"/>
  <c r="CK124" i="14"/>
  <c r="CL123" i="14"/>
  <c r="CA328" i="14"/>
  <c r="CL147" i="14"/>
  <c r="CK148" i="14"/>
  <c r="CU208" i="14"/>
  <c r="CV207" i="14"/>
  <c r="CQ447" i="14"/>
  <c r="CP448" i="14"/>
  <c r="DJ628" i="14"/>
  <c r="DK627" i="14"/>
  <c r="DA159" i="14"/>
  <c r="CZ160" i="14"/>
  <c r="DE280" i="14"/>
  <c r="EE675" i="14"/>
  <c r="ED676" i="14"/>
  <c r="CA400" i="14"/>
  <c r="CG459" i="14"/>
  <c r="CF460" i="14"/>
  <c r="CG435" i="14"/>
  <c r="CF436" i="14"/>
  <c r="DY340" i="14"/>
  <c r="DZ339" i="14"/>
  <c r="CF280" i="14"/>
  <c r="CG279" i="14"/>
  <c r="CK472" i="14"/>
  <c r="CL471" i="14"/>
  <c r="DO292" i="14"/>
  <c r="DP291" i="14"/>
  <c r="DK219" i="14"/>
  <c r="DJ220" i="14"/>
  <c r="CL375" i="14"/>
  <c r="CK376" i="14"/>
  <c r="CG147" i="14"/>
  <c r="CF148" i="14"/>
  <c r="DE220" i="14"/>
  <c r="CV483" i="14"/>
  <c r="CU484" i="14"/>
  <c r="DU207" i="14"/>
  <c r="DT208" i="14"/>
  <c r="CA232" i="14"/>
  <c r="DE472" i="14"/>
  <c r="DK387" i="14"/>
  <c r="DJ388" i="14"/>
  <c r="DK651" i="14"/>
  <c r="DJ652" i="14"/>
  <c r="DK123" i="14"/>
  <c r="DJ124" i="14"/>
  <c r="CG591" i="14"/>
  <c r="CF592" i="14"/>
  <c r="DA639" i="14"/>
  <c r="CZ640" i="14"/>
  <c r="DO172" i="14"/>
  <c r="DP171" i="14"/>
  <c r="CB73" i="14"/>
  <c r="DF73" i="14"/>
  <c r="CA74" i="14"/>
  <c r="DK72" i="14"/>
  <c r="DJ73" i="14"/>
  <c r="CZ73" i="14"/>
  <c r="DA72" i="14"/>
  <c r="CP73" i="14"/>
  <c r="CQ72" i="14"/>
  <c r="DP72" i="14"/>
  <c r="DO73" i="14"/>
  <c r="CL72" i="14"/>
  <c r="CK73" i="14"/>
  <c r="ED73" i="14"/>
  <c r="EE72" i="14"/>
  <c r="CV72" i="14"/>
  <c r="CU73" i="14"/>
  <c r="CF73" i="14"/>
  <c r="CG72" i="14"/>
  <c r="DE74" i="14"/>
  <c r="DZ72" i="14"/>
  <c r="DY73" i="14"/>
  <c r="DT73" i="14"/>
  <c r="DU72" i="14"/>
  <c r="AU38" i="14"/>
  <c r="AY38" i="14"/>
  <c r="BC39" i="14"/>
  <c r="BC40" i="14" s="1"/>
  <c r="AW38" i="14"/>
  <c r="CK36" i="14"/>
  <c r="CL36" i="14" s="1"/>
  <c r="AE67" i="43"/>
  <c r="AE66" i="43"/>
  <c r="AE65" i="43"/>
  <c r="EE36" i="14"/>
  <c r="ED37" i="14"/>
  <c r="AE64" i="43"/>
  <c r="AE63" i="43"/>
  <c r="AE62" i="43"/>
  <c r="AE61" i="43"/>
  <c r="X11" i="43"/>
  <c r="AE60" i="43"/>
  <c r="AE59" i="43"/>
  <c r="AE58" i="43"/>
  <c r="X24" i="43"/>
  <c r="X23" i="43"/>
  <c r="X22" i="43"/>
  <c r="X21" i="43"/>
  <c r="X20" i="43"/>
  <c r="X19" i="43"/>
  <c r="X18" i="43"/>
  <c r="X17" i="43"/>
  <c r="X16" i="43"/>
  <c r="X15" i="43"/>
  <c r="X14" i="43"/>
  <c r="AE57" i="43"/>
  <c r="X12" i="43"/>
  <c r="AE56" i="43"/>
  <c r="X13" i="43"/>
  <c r="AE55" i="43"/>
  <c r="CZ36" i="14"/>
  <c r="DA36" i="14" s="1"/>
  <c r="CF36" i="14"/>
  <c r="CG36" i="14" s="1"/>
  <c r="CU36" i="14"/>
  <c r="CV36" i="14" s="1"/>
  <c r="CA36" i="14"/>
  <c r="CP36" i="14"/>
  <c r="CQ36" i="14" s="1"/>
  <c r="DU36" i="14"/>
  <c r="DT37" i="14"/>
  <c r="DP36" i="14"/>
  <c r="DO37" i="14"/>
  <c r="DZ36" i="14"/>
  <c r="DY37" i="14"/>
  <c r="DK36" i="14"/>
  <c r="DJ37" i="14"/>
  <c r="BT52" i="14"/>
  <c r="BT50" i="14"/>
  <c r="BA39" i="14"/>
  <c r="AB23" i="43"/>
  <c r="AB12" i="43"/>
  <c r="DF136" i="14" a="1"/>
  <c r="DF196" i="14" a="1"/>
  <c r="CB100" i="14" a="1"/>
  <c r="CB616" i="14" a="1"/>
  <c r="CB184" i="14" a="1"/>
  <c r="DF412" i="14" a="1"/>
  <c r="CB436" i="14" a="1"/>
  <c r="DF244" i="14" a="1"/>
  <c r="DF604" i="14" a="1"/>
  <c r="DF148" i="14" a="1"/>
  <c r="DF448" i="14" a="1"/>
  <c r="CB364" i="14" a="1"/>
  <c r="CB172" i="14" a="1"/>
  <c r="CB304" i="14" a="1"/>
  <c r="CB340" i="14" a="1"/>
  <c r="DF88" i="14" a="1"/>
  <c r="AV37" i="14"/>
  <c r="DF364" i="14" a="1"/>
  <c r="CB244" i="14" a="1"/>
  <c r="CB556" i="14" a="1"/>
  <c r="CB388" i="14" a="1"/>
  <c r="DF520" i="14" a="1"/>
  <c r="CB472" i="14" a="1"/>
  <c r="AB11" i="43"/>
  <c r="CB64" i="14" a="1"/>
  <c r="DF64" i="14" a="1"/>
  <c r="CB88" i="14" a="1"/>
  <c r="CB112" i="14" a="1"/>
  <c r="CB424" i="14" a="1"/>
  <c r="DF100" i="14" a="1"/>
  <c r="DF316" i="14" a="1"/>
  <c r="AB14" i="43"/>
  <c r="DF184" i="14" a="1"/>
  <c r="DF400" i="14" a="1"/>
  <c r="CB160" i="14" a="1"/>
  <c r="CB484" i="14" a="1"/>
  <c r="DF74" i="14" a="1"/>
  <c r="DF508" i="14" a="1"/>
  <c r="DF496" i="14" a="1"/>
  <c r="DF664" i="14" a="1"/>
  <c r="DF592" i="14" a="1"/>
  <c r="BD40" i="14"/>
  <c r="DF472" i="14" a="1"/>
  <c r="DF460" i="14" a="1"/>
  <c r="DF676" i="14" a="1"/>
  <c r="CB232" i="14" a="1"/>
  <c r="CB508" i="14" a="1"/>
  <c r="DF556" i="14" a="1"/>
  <c r="DF388" i="14" a="1"/>
  <c r="DF112" i="14" a="1"/>
  <c r="CB220" i="14" a="1"/>
  <c r="DF532" i="14" a="1"/>
  <c r="DF628" i="14" a="1"/>
  <c r="CB208" i="14" a="1"/>
  <c r="AZ37" i="14"/>
  <c r="DF640" i="14" a="1"/>
  <c r="AB16" i="43"/>
  <c r="DF160" i="14" a="1"/>
  <c r="CB652" i="14" a="1"/>
  <c r="CB460" i="14" a="1"/>
  <c r="DF232" i="14" a="1"/>
  <c r="CB544" i="14" a="1"/>
  <c r="AB17" i="43"/>
  <c r="DF280" i="14" a="1"/>
  <c r="CB628" i="14" a="1"/>
  <c r="DF340" i="14" a="1"/>
  <c r="CB280" i="14" a="1"/>
  <c r="AB18" i="43"/>
  <c r="CB124" i="14" a="1"/>
  <c r="CB676" i="14" a="1"/>
  <c r="AB15" i="43"/>
  <c r="AB22" i="43"/>
  <c r="BB37" i="14"/>
  <c r="DF568" i="14" a="1"/>
  <c r="CB148" i="14" a="1"/>
  <c r="CB136" i="14" a="1"/>
  <c r="CB74" i="14" a="1"/>
  <c r="CB520" i="14" a="1"/>
  <c r="CB292" i="14" a="1"/>
  <c r="CB664" i="14" a="1"/>
  <c r="CB532" i="14" a="1"/>
  <c r="AB20" i="43"/>
  <c r="CB580" i="14" a="1"/>
  <c r="CB316" i="14" a="1"/>
  <c r="CB592" i="14" a="1"/>
  <c r="DF268" i="14" a="1"/>
  <c r="CB448" i="14" a="1"/>
  <c r="DF172" i="14" a="1"/>
  <c r="DF208" i="14" a="1"/>
  <c r="DF652" i="14" a="1"/>
  <c r="DF256" i="14" a="1"/>
  <c r="AB24" i="43"/>
  <c r="CB36" i="14" a="1"/>
  <c r="CB496" i="14" a="1"/>
  <c r="DF376" i="14" a="1"/>
  <c r="CB604" i="14" a="1"/>
  <c r="DF304" i="14" a="1"/>
  <c r="DF484" i="14" a="1"/>
  <c r="DF436" i="14" a="1"/>
  <c r="CB400" i="14" a="1"/>
  <c r="DF220" i="14" a="1"/>
  <c r="AB13" i="43"/>
  <c r="CB256" i="14" a="1"/>
  <c r="CB328" i="14" a="1"/>
  <c r="CB196" i="14" a="1"/>
  <c r="BD38" i="14"/>
  <c r="CB352" i="14" a="1"/>
  <c r="CB268" i="14" a="1"/>
  <c r="CB376" i="14" a="1"/>
  <c r="DF616" i="14" a="1"/>
  <c r="DF124" i="14" a="1"/>
  <c r="CB640" i="14" a="1"/>
  <c r="BD37" i="14"/>
  <c r="DF328" i="14" a="1"/>
  <c r="DF352" i="14" a="1"/>
  <c r="AX37" i="14"/>
  <c r="DF292" i="14" a="1"/>
  <c r="AB21" i="43"/>
  <c r="CB52" i="14" a="1"/>
  <c r="DF580" i="14" a="1"/>
  <c r="DF52" i="14" a="1"/>
  <c r="CB568" i="14" a="1"/>
  <c r="AB19" i="43"/>
  <c r="DF544" i="14" a="1"/>
  <c r="DF424" i="14" a="1"/>
  <c r="CB412" i="14" a="1"/>
  <c r="BB39" i="14"/>
  <c r="CP616" i="14" l="1"/>
  <c r="CP617" i="14" s="1"/>
  <c r="CZ196" i="14"/>
  <c r="DA196" i="14" s="1"/>
  <c r="CU556" i="14"/>
  <c r="CU557" i="14" s="1"/>
  <c r="DT160" i="14"/>
  <c r="DU160" i="14" s="1"/>
  <c r="DJ160" i="14"/>
  <c r="DK160" i="14" s="1"/>
  <c r="CG507" i="14"/>
  <c r="DP591" i="14"/>
  <c r="CG627" i="14"/>
  <c r="DY304" i="14"/>
  <c r="DY305" i="14" s="1"/>
  <c r="EE339" i="14"/>
  <c r="DA63" i="14"/>
  <c r="CK244" i="14"/>
  <c r="CK245" i="14" s="1"/>
  <c r="CL591" i="14"/>
  <c r="CQ531" i="14"/>
  <c r="CZ256" i="14"/>
  <c r="DA256" i="14" s="1"/>
  <c r="DU87" i="14"/>
  <c r="CQ147" i="14"/>
  <c r="DZ423" i="14"/>
  <c r="DT424" i="14"/>
  <c r="DT425" i="14" s="1"/>
  <c r="CF412" i="14"/>
  <c r="CF413" i="14" s="1"/>
  <c r="DK591" i="14"/>
  <c r="DU603" i="14"/>
  <c r="DZ183" i="14"/>
  <c r="DA387" i="14"/>
  <c r="EE627" i="14"/>
  <c r="DF220" i="14"/>
  <c r="DF316" i="14"/>
  <c r="DF448" i="14"/>
  <c r="DF328" i="14"/>
  <c r="CB424" i="14"/>
  <c r="CB664" i="14"/>
  <c r="CB616" i="14"/>
  <c r="DF292" i="14"/>
  <c r="DF424" i="14"/>
  <c r="DF640" i="14"/>
  <c r="DF532" i="14"/>
  <c r="DF508" i="14"/>
  <c r="DF232" i="14"/>
  <c r="CB352" i="14"/>
  <c r="DF652" i="14"/>
  <c r="DF460" i="14"/>
  <c r="DF592" i="14"/>
  <c r="DF436" i="14"/>
  <c r="DF664" i="14"/>
  <c r="CB64" i="14"/>
  <c r="DF556" i="14"/>
  <c r="CB196" i="14"/>
  <c r="CB436" i="14"/>
  <c r="DF256" i="14"/>
  <c r="DF172" i="14"/>
  <c r="CB244" i="14"/>
  <c r="CB52" i="14"/>
  <c r="DF400" i="14"/>
  <c r="CB268" i="14"/>
  <c r="DF124" i="14"/>
  <c r="DF520" i="14"/>
  <c r="CB412" i="14"/>
  <c r="DF244" i="14"/>
  <c r="CB400" i="14"/>
  <c r="CB136" i="14"/>
  <c r="DF148" i="14"/>
  <c r="DF472" i="14"/>
  <c r="CB328" i="14"/>
  <c r="DF304" i="14"/>
  <c r="CB340" i="14"/>
  <c r="CB568" i="14"/>
  <c r="CB520" i="14"/>
  <c r="CB580" i="14"/>
  <c r="DF64" i="14"/>
  <c r="CB460" i="14"/>
  <c r="DF160" i="14"/>
  <c r="DF580" i="14"/>
  <c r="DF568" i="14"/>
  <c r="CB232" i="14"/>
  <c r="CB472" i="14"/>
  <c r="DF88" i="14"/>
  <c r="DF184" i="14"/>
  <c r="CB364" i="14"/>
  <c r="DF136" i="14"/>
  <c r="DF628" i="14"/>
  <c r="DF604" i="14"/>
  <c r="CB592" i="14"/>
  <c r="CB148" i="14"/>
  <c r="DF268" i="14"/>
  <c r="DF616" i="14"/>
  <c r="CB256" i="14"/>
  <c r="CB280" i="14"/>
  <c r="CB160" i="14"/>
  <c r="DF280" i="14"/>
  <c r="DF484" i="14"/>
  <c r="DF412" i="14"/>
  <c r="DF676" i="14"/>
  <c r="CB220" i="14"/>
  <c r="DF388" i="14"/>
  <c r="CB628" i="14"/>
  <c r="CB484" i="14"/>
  <c r="CB652" i="14"/>
  <c r="CB184" i="14"/>
  <c r="DF52" i="14"/>
  <c r="CB388" i="14"/>
  <c r="CB676" i="14"/>
  <c r="DF196" i="14"/>
  <c r="CB532" i="14"/>
  <c r="CB556" i="14"/>
  <c r="CB124" i="14"/>
  <c r="CB208" i="14"/>
  <c r="CB292" i="14"/>
  <c r="CB100" i="14"/>
  <c r="DF352" i="14"/>
  <c r="DF496" i="14"/>
  <c r="DF100" i="14"/>
  <c r="DF544" i="14"/>
  <c r="DF364" i="14"/>
  <c r="CB640" i="14"/>
  <c r="DF340" i="14"/>
  <c r="CB172" i="14"/>
  <c r="CB496" i="14"/>
  <c r="DF112" i="14"/>
  <c r="CB316" i="14"/>
  <c r="CB112" i="14"/>
  <c r="CB376" i="14"/>
  <c r="CB304" i="14"/>
  <c r="CB604" i="14"/>
  <c r="DF376" i="14"/>
  <c r="DF208" i="14"/>
  <c r="CB544" i="14"/>
  <c r="CB508" i="14"/>
  <c r="CB88" i="14"/>
  <c r="CB448" i="14"/>
  <c r="CG640" i="14"/>
  <c r="CF641" i="14"/>
  <c r="DO653" i="14"/>
  <c r="DP652" i="14"/>
  <c r="DZ232" i="14"/>
  <c r="DY233" i="14"/>
  <c r="CQ652" i="14"/>
  <c r="CP653" i="14"/>
  <c r="DK676" i="14"/>
  <c r="DJ677" i="14"/>
  <c r="DA52" i="14"/>
  <c r="CZ53" i="14"/>
  <c r="DK112" i="14"/>
  <c r="DJ113" i="14"/>
  <c r="CP521" i="14"/>
  <c r="CQ520" i="14"/>
  <c r="DJ533" i="14"/>
  <c r="DK532" i="14"/>
  <c r="CV112" i="14"/>
  <c r="CU113" i="14"/>
  <c r="CF593" i="14"/>
  <c r="CG592" i="14"/>
  <c r="DE221" i="14"/>
  <c r="DA364" i="14"/>
  <c r="CZ365" i="14"/>
  <c r="DK664" i="14"/>
  <c r="DJ665" i="14"/>
  <c r="CG568" i="14"/>
  <c r="CF569" i="14"/>
  <c r="DO521" i="14"/>
  <c r="DP520" i="14"/>
  <c r="DP424" i="14"/>
  <c r="DO425" i="14"/>
  <c r="CK317" i="14"/>
  <c r="CL316" i="14"/>
  <c r="ED485" i="14"/>
  <c r="EE484" i="14"/>
  <c r="CF329" i="14"/>
  <c r="CG328" i="14"/>
  <c r="EE424" i="14"/>
  <c r="ED425" i="14"/>
  <c r="CP161" i="14"/>
  <c r="CQ160" i="14"/>
  <c r="DU352" i="14"/>
  <c r="DT353" i="14"/>
  <c r="CZ269" i="14"/>
  <c r="DA268" i="14"/>
  <c r="DT269" i="14"/>
  <c r="DU268" i="14"/>
  <c r="DT257" i="14"/>
  <c r="DU256" i="14"/>
  <c r="DE317" i="14"/>
  <c r="ED545" i="14"/>
  <c r="EE544" i="14"/>
  <c r="EE160" i="14"/>
  <c r="ED161" i="14"/>
  <c r="EE148" i="14"/>
  <c r="ED149" i="14"/>
  <c r="DA436" i="14"/>
  <c r="CZ437" i="14"/>
  <c r="DE449" i="14"/>
  <c r="ED305" i="14"/>
  <c r="EE304" i="14"/>
  <c r="CF209" i="14"/>
  <c r="CG208" i="14"/>
  <c r="EE64" i="14"/>
  <c r="ED65" i="14"/>
  <c r="CK569" i="14"/>
  <c r="CL568" i="14"/>
  <c r="DK244" i="14"/>
  <c r="DJ245" i="14"/>
  <c r="CZ401" i="14"/>
  <c r="DA400" i="14"/>
  <c r="CV292" i="14"/>
  <c r="CU293" i="14"/>
  <c r="DZ616" i="14"/>
  <c r="DY617" i="14"/>
  <c r="CU365" i="14"/>
  <c r="CV364" i="14"/>
  <c r="DT137" i="14"/>
  <c r="DU136" i="14"/>
  <c r="DU364" i="14"/>
  <c r="DT365" i="14"/>
  <c r="CU677" i="14"/>
  <c r="CV676" i="14"/>
  <c r="DK256" i="14"/>
  <c r="DJ257" i="14"/>
  <c r="DY53" i="14"/>
  <c r="DZ52" i="14"/>
  <c r="DZ364" i="14"/>
  <c r="DY365" i="14"/>
  <c r="CP557" i="14"/>
  <c r="CQ556" i="14"/>
  <c r="DK328" i="14"/>
  <c r="DJ329" i="14"/>
  <c r="DK448" i="14"/>
  <c r="DJ449" i="14"/>
  <c r="ED353" i="14"/>
  <c r="EE352" i="14"/>
  <c r="DE329" i="14"/>
  <c r="ED317" i="14"/>
  <c r="EE316" i="14"/>
  <c r="DP64" i="14"/>
  <c r="DO65" i="14"/>
  <c r="CQ148" i="14"/>
  <c r="CP149" i="14"/>
  <c r="CA425" i="14"/>
  <c r="DZ88" i="14"/>
  <c r="DY89" i="14"/>
  <c r="CQ508" i="14"/>
  <c r="CP509" i="14"/>
  <c r="CP425" i="14"/>
  <c r="CQ424" i="14"/>
  <c r="CG676" i="14"/>
  <c r="CF677" i="14"/>
  <c r="CQ628" i="14"/>
  <c r="CP629" i="14"/>
  <c r="ED257" i="14"/>
  <c r="EE256" i="14"/>
  <c r="DU628" i="14"/>
  <c r="DT629" i="14"/>
  <c r="DZ556" i="14"/>
  <c r="DY557" i="14"/>
  <c r="DO101" i="14"/>
  <c r="DP100" i="14"/>
  <c r="DT617" i="14"/>
  <c r="DU616" i="14"/>
  <c r="CK437" i="14"/>
  <c r="CL436" i="14"/>
  <c r="CL592" i="14"/>
  <c r="CK593" i="14"/>
  <c r="CA665" i="14"/>
  <c r="CP401" i="14"/>
  <c r="CQ400" i="14"/>
  <c r="EE52" i="14"/>
  <c r="ED53" i="14"/>
  <c r="DK616" i="14"/>
  <c r="DJ617" i="14"/>
  <c r="DY389" i="14"/>
  <c r="DZ388" i="14"/>
  <c r="CA617" i="14"/>
  <c r="CQ208" i="14"/>
  <c r="CP209" i="14"/>
  <c r="DE293" i="14"/>
  <c r="CG424" i="14"/>
  <c r="CF425" i="14"/>
  <c r="DE425" i="14"/>
  <c r="DT173" i="14"/>
  <c r="DU172" i="14"/>
  <c r="CP353" i="14"/>
  <c r="CQ352" i="14"/>
  <c r="DO341" i="14"/>
  <c r="DP340" i="14"/>
  <c r="DE641" i="14"/>
  <c r="DA664" i="14"/>
  <c r="CZ665" i="14"/>
  <c r="DE533" i="14"/>
  <c r="DO557" i="14"/>
  <c r="DP556" i="14"/>
  <c r="DA352" i="14"/>
  <c r="CZ353" i="14"/>
  <c r="ED101" i="14"/>
  <c r="EE100" i="14"/>
  <c r="CP545" i="14"/>
  <c r="CQ544" i="14"/>
  <c r="CU533" i="14"/>
  <c r="CV532" i="14"/>
  <c r="DY485" i="14"/>
  <c r="DZ484" i="14"/>
  <c r="EE448" i="14"/>
  <c r="ED449" i="14"/>
  <c r="DU52" i="14"/>
  <c r="DT53" i="14"/>
  <c r="CF185" i="14"/>
  <c r="CG184" i="14"/>
  <c r="ED569" i="14"/>
  <c r="EE568" i="14"/>
  <c r="DO185" i="14"/>
  <c r="DP184" i="14"/>
  <c r="DY65" i="14"/>
  <c r="DZ64" i="14"/>
  <c r="DA316" i="14"/>
  <c r="CZ317" i="14"/>
  <c r="DU448" i="14"/>
  <c r="DT449" i="14"/>
  <c r="CK113" i="14"/>
  <c r="CL112" i="14"/>
  <c r="DE509" i="14"/>
  <c r="CK257" i="14"/>
  <c r="CL256" i="14"/>
  <c r="DZ340" i="14"/>
  <c r="DY341" i="14"/>
  <c r="DY533" i="14"/>
  <c r="DZ532" i="14"/>
  <c r="CF533" i="14"/>
  <c r="CG532" i="14"/>
  <c r="CP449" i="14"/>
  <c r="CQ448" i="14"/>
  <c r="CP317" i="14"/>
  <c r="CQ316" i="14"/>
  <c r="CL352" i="14"/>
  <c r="CK353" i="14"/>
  <c r="DY173" i="14"/>
  <c r="DZ172" i="14"/>
  <c r="DE233" i="14"/>
  <c r="DZ196" i="14"/>
  <c r="DY197" i="14"/>
  <c r="DK292" i="14"/>
  <c r="DJ293" i="14"/>
  <c r="DJ89" i="14"/>
  <c r="DK88" i="14"/>
  <c r="CF605" i="14"/>
  <c r="CG604" i="14"/>
  <c r="CU617" i="14"/>
  <c r="CV616" i="14"/>
  <c r="DK280" i="14"/>
  <c r="DJ281" i="14"/>
  <c r="CQ340" i="14"/>
  <c r="CP341" i="14"/>
  <c r="DJ653" i="14"/>
  <c r="DK652" i="14"/>
  <c r="CL376" i="14"/>
  <c r="CK377" i="14"/>
  <c r="CF461" i="14"/>
  <c r="CG460" i="14"/>
  <c r="CA353" i="14"/>
  <c r="CG292" i="14"/>
  <c r="CF293" i="14"/>
  <c r="DU280" i="14"/>
  <c r="DT281" i="14"/>
  <c r="CV604" i="14"/>
  <c r="CU605" i="14"/>
  <c r="CP437" i="14"/>
  <c r="CQ436" i="14"/>
  <c r="DE653" i="14"/>
  <c r="CV412" i="14"/>
  <c r="CU413" i="14"/>
  <c r="DE461" i="14"/>
  <c r="CV148" i="14"/>
  <c r="CU149" i="14"/>
  <c r="EE496" i="14"/>
  <c r="ED497" i="14"/>
  <c r="EE124" i="14"/>
  <c r="ED125" i="14"/>
  <c r="DU604" i="14"/>
  <c r="DT605" i="14"/>
  <c r="CG352" i="14"/>
  <c r="CF353" i="14"/>
  <c r="EE628" i="14"/>
  <c r="ED629" i="14"/>
  <c r="DP532" i="14"/>
  <c r="DO533" i="14"/>
  <c r="DJ545" i="14"/>
  <c r="DK544" i="14"/>
  <c r="CL388" i="14"/>
  <c r="CK389" i="14"/>
  <c r="DT377" i="14"/>
  <c r="DU376" i="14"/>
  <c r="DU412" i="14"/>
  <c r="DT413" i="14"/>
  <c r="DU472" i="14"/>
  <c r="DT473" i="14"/>
  <c r="DY137" i="14"/>
  <c r="DZ136" i="14"/>
  <c r="DO605" i="14"/>
  <c r="DP604" i="14"/>
  <c r="DK592" i="14"/>
  <c r="DJ593" i="14"/>
  <c r="DJ233" i="14"/>
  <c r="DK232" i="14"/>
  <c r="DT197" i="14"/>
  <c r="DU196" i="14"/>
  <c r="CZ497" i="14"/>
  <c r="DA496" i="14"/>
  <c r="CP89" i="14"/>
  <c r="CQ88" i="14"/>
  <c r="DE593" i="14"/>
  <c r="DE437" i="14"/>
  <c r="DE665" i="14"/>
  <c r="CP305" i="14"/>
  <c r="CQ304" i="14"/>
  <c r="ED581" i="14"/>
  <c r="EE580" i="14"/>
  <c r="DZ352" i="14"/>
  <c r="DY353" i="14"/>
  <c r="CU593" i="14"/>
  <c r="CV592" i="14"/>
  <c r="DJ401" i="14"/>
  <c r="DK400" i="14"/>
  <c r="ED341" i="14"/>
  <c r="EE340" i="14"/>
  <c r="CA65" i="14"/>
  <c r="DY113" i="14"/>
  <c r="DZ112" i="14"/>
  <c r="DE557" i="14"/>
  <c r="DY569" i="14"/>
  <c r="DZ568" i="14"/>
  <c r="DJ569" i="14"/>
  <c r="DK568" i="14"/>
  <c r="DZ292" i="14"/>
  <c r="DY293" i="14"/>
  <c r="DU664" i="14"/>
  <c r="DT665" i="14"/>
  <c r="ED377" i="14"/>
  <c r="EE376" i="14"/>
  <c r="DT113" i="14"/>
  <c r="DU112" i="14"/>
  <c r="CF101" i="14"/>
  <c r="CG100" i="14"/>
  <c r="CG148" i="14"/>
  <c r="CF149" i="14"/>
  <c r="CA197" i="14"/>
  <c r="CL232" i="14"/>
  <c r="CK233" i="14"/>
  <c r="CF473" i="14"/>
  <c r="CG472" i="14"/>
  <c r="CL496" i="14"/>
  <c r="CK497" i="14"/>
  <c r="CV472" i="14"/>
  <c r="CU473" i="14"/>
  <c r="DA676" i="14"/>
  <c r="CZ677" i="14"/>
  <c r="DK340" i="14"/>
  <c r="DJ341" i="14"/>
  <c r="CL292" i="14"/>
  <c r="CK293" i="14"/>
  <c r="DT65" i="14"/>
  <c r="DU64" i="14"/>
  <c r="DK184" i="14"/>
  <c r="DJ185" i="14"/>
  <c r="CV208" i="14"/>
  <c r="CU209" i="14"/>
  <c r="CK341" i="14"/>
  <c r="CL340" i="14"/>
  <c r="CA437" i="14"/>
  <c r="DP328" i="14"/>
  <c r="DO329" i="14"/>
  <c r="DE257" i="14"/>
  <c r="CG496" i="14"/>
  <c r="CF497" i="14"/>
  <c r="DZ520" i="14"/>
  <c r="DY521" i="14"/>
  <c r="DE173" i="14"/>
  <c r="CU389" i="14"/>
  <c r="CV388" i="14"/>
  <c r="CA245" i="14"/>
  <c r="CV256" i="14"/>
  <c r="CU257" i="14"/>
  <c r="DT557" i="14"/>
  <c r="DU556" i="14"/>
  <c r="CP257" i="14"/>
  <c r="CQ256" i="14"/>
  <c r="CP365" i="14"/>
  <c r="CQ364" i="14"/>
  <c r="CK449" i="14"/>
  <c r="CL448" i="14"/>
  <c r="CZ545" i="14"/>
  <c r="DA544" i="14"/>
  <c r="DA556" i="14"/>
  <c r="CZ557" i="14"/>
  <c r="CQ376" i="14"/>
  <c r="CP377" i="14"/>
  <c r="DK556" i="14"/>
  <c r="DJ557" i="14"/>
  <c r="DJ581" i="14"/>
  <c r="DK580" i="14"/>
  <c r="DA604" i="14"/>
  <c r="CZ605" i="14"/>
  <c r="CG484" i="14"/>
  <c r="CF485" i="14"/>
  <c r="CA53" i="14"/>
  <c r="DP256" i="14"/>
  <c r="DO257" i="14"/>
  <c r="CP245" i="14"/>
  <c r="CQ244" i="14"/>
  <c r="DY677" i="14"/>
  <c r="DZ676" i="14"/>
  <c r="DO305" i="14"/>
  <c r="DP304" i="14"/>
  <c r="DJ353" i="14"/>
  <c r="DK352" i="14"/>
  <c r="CL52" i="14"/>
  <c r="CK53" i="14"/>
  <c r="CK281" i="14"/>
  <c r="CL280" i="14"/>
  <c r="ED557" i="14"/>
  <c r="EE556" i="14"/>
  <c r="CV196" i="14"/>
  <c r="CU197" i="14"/>
  <c r="DE401" i="14"/>
  <c r="CA269" i="14"/>
  <c r="DO245" i="14"/>
  <c r="DP244" i="14"/>
  <c r="EE172" i="14"/>
  <c r="ED173" i="14"/>
  <c r="EE388" i="14"/>
  <c r="ED389" i="14"/>
  <c r="CG196" i="14"/>
  <c r="CF197" i="14"/>
  <c r="DK604" i="14"/>
  <c r="DJ605" i="14"/>
  <c r="ED605" i="14"/>
  <c r="EE604" i="14"/>
  <c r="CP677" i="14"/>
  <c r="CQ676" i="14"/>
  <c r="EE364" i="14"/>
  <c r="ED365" i="14"/>
  <c r="DT245" i="14"/>
  <c r="DU244" i="14"/>
  <c r="CG508" i="14"/>
  <c r="CF509" i="14"/>
  <c r="CZ281" i="14"/>
  <c r="DA280" i="14"/>
  <c r="EE472" i="14"/>
  <c r="ED473" i="14"/>
  <c r="CG436" i="14"/>
  <c r="CF437" i="14"/>
  <c r="ED293" i="14"/>
  <c r="EE292" i="14"/>
  <c r="DA448" i="14"/>
  <c r="CZ449" i="14"/>
  <c r="CG232" i="14"/>
  <c r="CF233" i="14"/>
  <c r="CL148" i="14"/>
  <c r="CK149" i="14"/>
  <c r="CP473" i="14"/>
  <c r="CQ472" i="14"/>
  <c r="CQ124" i="14"/>
  <c r="CP125" i="14"/>
  <c r="DE125" i="14"/>
  <c r="CF545" i="14"/>
  <c r="CG544" i="14"/>
  <c r="CL520" i="14"/>
  <c r="CK521" i="14"/>
  <c r="DZ148" i="14"/>
  <c r="DY149" i="14"/>
  <c r="CQ220" i="14"/>
  <c r="CP221" i="14"/>
  <c r="DU148" i="14"/>
  <c r="DT149" i="14"/>
  <c r="DE521" i="14"/>
  <c r="CQ460" i="14"/>
  <c r="CP461" i="14"/>
  <c r="CV136" i="14"/>
  <c r="CU137" i="14"/>
  <c r="CZ377" i="14"/>
  <c r="DA376" i="14"/>
  <c r="CA413" i="14"/>
  <c r="DE245" i="14"/>
  <c r="DO581" i="14"/>
  <c r="DP580" i="14"/>
  <c r="CU329" i="14"/>
  <c r="CV328" i="14"/>
  <c r="DZ376" i="14"/>
  <c r="DY377" i="14"/>
  <c r="CK209" i="14"/>
  <c r="CL208" i="14"/>
  <c r="CL676" i="14"/>
  <c r="CK677" i="14"/>
  <c r="DK124" i="14"/>
  <c r="DJ125" i="14"/>
  <c r="CA401" i="14"/>
  <c r="CU461" i="14"/>
  <c r="CV460" i="14"/>
  <c r="CQ52" i="14"/>
  <c r="CP53" i="14"/>
  <c r="DP160" i="14"/>
  <c r="DO161" i="14"/>
  <c r="DK208" i="14"/>
  <c r="DJ209" i="14"/>
  <c r="DU544" i="14"/>
  <c r="DT545" i="14"/>
  <c r="CA137" i="14"/>
  <c r="DE149" i="14"/>
  <c r="DY545" i="14"/>
  <c r="DZ544" i="14"/>
  <c r="ED617" i="14"/>
  <c r="EE616" i="14"/>
  <c r="DO89" i="14"/>
  <c r="DP88" i="14"/>
  <c r="DT341" i="14"/>
  <c r="DU340" i="14"/>
  <c r="DZ472" i="14"/>
  <c r="DY473" i="14"/>
  <c r="CG364" i="14"/>
  <c r="CF365" i="14"/>
  <c r="DT293" i="14"/>
  <c r="DU292" i="14"/>
  <c r="CQ388" i="14"/>
  <c r="CP389" i="14"/>
  <c r="ED413" i="14"/>
  <c r="EE412" i="14"/>
  <c r="CU125" i="14"/>
  <c r="CV124" i="14"/>
  <c r="CU161" i="14"/>
  <c r="CV160" i="14"/>
  <c r="DO449" i="14"/>
  <c r="DP448" i="14"/>
  <c r="DE473" i="14"/>
  <c r="CA329" i="14"/>
  <c r="DU508" i="14"/>
  <c r="DT509" i="14"/>
  <c r="CG256" i="14"/>
  <c r="CF257" i="14"/>
  <c r="DE305" i="14"/>
  <c r="DA532" i="14"/>
  <c r="CZ533" i="14"/>
  <c r="CK629" i="14"/>
  <c r="CL628" i="14"/>
  <c r="CU221" i="14"/>
  <c r="CV220" i="14"/>
  <c r="DK52" i="14"/>
  <c r="DJ53" i="14"/>
  <c r="CA341" i="14"/>
  <c r="DO353" i="14"/>
  <c r="DP352" i="14"/>
  <c r="DP472" i="14"/>
  <c r="DO473" i="14"/>
  <c r="CV184" i="14"/>
  <c r="CU185" i="14"/>
  <c r="CK305" i="14"/>
  <c r="CL304" i="14"/>
  <c r="CF137" i="14"/>
  <c r="CG136" i="14"/>
  <c r="CZ101" i="14"/>
  <c r="DA100" i="14"/>
  <c r="CV232" i="14"/>
  <c r="CU233" i="14"/>
  <c r="DO125" i="14"/>
  <c r="DP124" i="14"/>
  <c r="DT461" i="14"/>
  <c r="DU460" i="14"/>
  <c r="CF629" i="14"/>
  <c r="CG628" i="14"/>
  <c r="DA208" i="14"/>
  <c r="CZ209" i="14"/>
  <c r="DZ664" i="14"/>
  <c r="DY665" i="14"/>
  <c r="CA569" i="14"/>
  <c r="CG580" i="14"/>
  <c r="CF581" i="14"/>
  <c r="ED653" i="14"/>
  <c r="EE652" i="14"/>
  <c r="DK100" i="14"/>
  <c r="DJ101" i="14"/>
  <c r="CG340" i="14"/>
  <c r="CF341" i="14"/>
  <c r="CL88" i="14"/>
  <c r="CK89" i="14"/>
  <c r="DP628" i="14"/>
  <c r="DO629" i="14"/>
  <c r="CZ113" i="14"/>
  <c r="DA112" i="14"/>
  <c r="CG652" i="14"/>
  <c r="CF653" i="14"/>
  <c r="DP412" i="14"/>
  <c r="DO413" i="14"/>
  <c r="CA521" i="14"/>
  <c r="CU269" i="14"/>
  <c r="CV268" i="14"/>
  <c r="DA520" i="14"/>
  <c r="CZ521" i="14"/>
  <c r="CK653" i="14"/>
  <c r="CL652" i="14"/>
  <c r="ED593" i="14"/>
  <c r="EE592" i="14"/>
  <c r="CZ509" i="14"/>
  <c r="DA508" i="14"/>
  <c r="CP485" i="14"/>
  <c r="CQ484" i="14"/>
  <c r="CU437" i="14"/>
  <c r="CV436" i="14"/>
  <c r="DK412" i="14"/>
  <c r="DJ413" i="14"/>
  <c r="DU316" i="14"/>
  <c r="DT317" i="14"/>
  <c r="DJ365" i="14"/>
  <c r="DK364" i="14"/>
  <c r="CZ413" i="14"/>
  <c r="DA412" i="14"/>
  <c r="DY245" i="14"/>
  <c r="DZ244" i="14"/>
  <c r="CA581" i="14"/>
  <c r="EE520" i="14"/>
  <c r="ED521" i="14"/>
  <c r="DP664" i="14"/>
  <c r="DO665" i="14"/>
  <c r="DE65" i="14"/>
  <c r="CA461" i="14"/>
  <c r="CZ581" i="14"/>
  <c r="DA580" i="14"/>
  <c r="DP316" i="14"/>
  <c r="DO317" i="14"/>
  <c r="CK101" i="14"/>
  <c r="CL100" i="14"/>
  <c r="DJ269" i="14"/>
  <c r="DK268" i="14"/>
  <c r="CV64" i="14"/>
  <c r="CU65" i="14"/>
  <c r="DJ437" i="14"/>
  <c r="DK436" i="14"/>
  <c r="DE161" i="14"/>
  <c r="DY413" i="14"/>
  <c r="DZ412" i="14"/>
  <c r="CQ268" i="14"/>
  <c r="CP269" i="14"/>
  <c r="CP65" i="14"/>
  <c r="CQ64" i="14"/>
  <c r="EE208" i="14"/>
  <c r="ED209" i="14"/>
  <c r="CV628" i="14"/>
  <c r="CU629" i="14"/>
  <c r="CL640" i="14"/>
  <c r="CK641" i="14"/>
  <c r="DE581" i="14"/>
  <c r="CQ580" i="14"/>
  <c r="CP581" i="14"/>
  <c r="DK508" i="14"/>
  <c r="DJ509" i="14"/>
  <c r="CK545" i="14"/>
  <c r="CL544" i="14"/>
  <c r="DE569" i="14"/>
  <c r="CP185" i="14"/>
  <c r="CQ184" i="14"/>
  <c r="DZ508" i="14"/>
  <c r="DY509" i="14"/>
  <c r="CQ136" i="14"/>
  <c r="CP137" i="14"/>
  <c r="CV280" i="14"/>
  <c r="CU281" i="14"/>
  <c r="CK617" i="14"/>
  <c r="CL616" i="14"/>
  <c r="CA233" i="14"/>
  <c r="DP292" i="14"/>
  <c r="DO293" i="14"/>
  <c r="CA473" i="14"/>
  <c r="CK137" i="14"/>
  <c r="CL136" i="14"/>
  <c r="DZ316" i="14"/>
  <c r="DY317" i="14"/>
  <c r="CQ664" i="14"/>
  <c r="CP665" i="14"/>
  <c r="ED461" i="14"/>
  <c r="EE460" i="14"/>
  <c r="DO401" i="14"/>
  <c r="DP400" i="14"/>
  <c r="DE89" i="14"/>
  <c r="CZ185" i="14"/>
  <c r="DA184" i="14"/>
  <c r="DE185" i="14"/>
  <c r="CA365" i="14"/>
  <c r="CK197" i="14"/>
  <c r="CL196" i="14"/>
  <c r="DE137" i="14"/>
  <c r="CQ196" i="14"/>
  <c r="CP197" i="14"/>
  <c r="CF377" i="14"/>
  <c r="CG376" i="14"/>
  <c r="EE664" i="14"/>
  <c r="ED665" i="14"/>
  <c r="DO137" i="14"/>
  <c r="DP136" i="14"/>
  <c r="DO269" i="14"/>
  <c r="DP268" i="14"/>
  <c r="EE136" i="14"/>
  <c r="ED137" i="14"/>
  <c r="DE629" i="14"/>
  <c r="DT389" i="14"/>
  <c r="DU388" i="14"/>
  <c r="DZ496" i="14"/>
  <c r="DY497" i="14"/>
  <c r="DE605" i="14"/>
  <c r="CV664" i="14"/>
  <c r="CU665" i="14"/>
  <c r="CA593" i="14"/>
  <c r="DY221" i="14"/>
  <c r="DZ220" i="14"/>
  <c r="DO617" i="14"/>
  <c r="DP616" i="14"/>
  <c r="CA149" i="14"/>
  <c r="CF89" i="14"/>
  <c r="CG88" i="14"/>
  <c r="CF269" i="14"/>
  <c r="CG268" i="14"/>
  <c r="DT221" i="14"/>
  <c r="DU220" i="14"/>
  <c r="DO485" i="14"/>
  <c r="DP484" i="14"/>
  <c r="DA148" i="14"/>
  <c r="CZ149" i="14"/>
  <c r="EE436" i="14"/>
  <c r="ED437" i="14"/>
  <c r="CZ389" i="14"/>
  <c r="DA388" i="14"/>
  <c r="DE269" i="14"/>
  <c r="DE617" i="14"/>
  <c r="CA257" i="14"/>
  <c r="CQ328" i="14"/>
  <c r="CP329" i="14"/>
  <c r="CK269" i="14"/>
  <c r="CL268" i="14"/>
  <c r="CK185" i="14"/>
  <c r="CL184" i="14"/>
  <c r="CA281" i="14"/>
  <c r="CU353" i="14"/>
  <c r="CV352" i="14"/>
  <c r="DT569" i="14"/>
  <c r="DU568" i="14"/>
  <c r="CQ640" i="14"/>
  <c r="CP641" i="14"/>
  <c r="CP101" i="14"/>
  <c r="CQ100" i="14"/>
  <c r="CP293" i="14"/>
  <c r="CQ292" i="14"/>
  <c r="CL424" i="14"/>
  <c r="CK425" i="14"/>
  <c r="ED245" i="14"/>
  <c r="EE244" i="14"/>
  <c r="EE676" i="14"/>
  <c r="ED677" i="14"/>
  <c r="CA161" i="14"/>
  <c r="DE281" i="14"/>
  <c r="CZ341" i="14"/>
  <c r="DA340" i="14"/>
  <c r="DE485" i="14"/>
  <c r="DY269" i="14"/>
  <c r="DZ268" i="14"/>
  <c r="CP497" i="14"/>
  <c r="CQ496" i="14"/>
  <c r="EE280" i="14"/>
  <c r="ED281" i="14"/>
  <c r="CZ305" i="14"/>
  <c r="DA304" i="14"/>
  <c r="DU592" i="14"/>
  <c r="DT593" i="14"/>
  <c r="DE413" i="14"/>
  <c r="CZ89" i="14"/>
  <c r="DA88" i="14"/>
  <c r="CK461" i="14"/>
  <c r="CL460" i="14"/>
  <c r="ED89" i="14"/>
  <c r="EE88" i="14"/>
  <c r="DU436" i="14"/>
  <c r="DT437" i="14"/>
  <c r="CK533" i="14"/>
  <c r="CL532" i="14"/>
  <c r="CK161" i="14"/>
  <c r="CL160" i="14"/>
  <c r="CL220" i="14"/>
  <c r="CK221" i="14"/>
  <c r="DP364" i="14"/>
  <c r="DO365" i="14"/>
  <c r="CU653" i="14"/>
  <c r="CV652" i="14"/>
  <c r="DJ377" i="14"/>
  <c r="DK376" i="14"/>
  <c r="CQ172" i="14"/>
  <c r="CP173" i="14"/>
  <c r="DY449" i="14"/>
  <c r="DZ448" i="14"/>
  <c r="DE677" i="14"/>
  <c r="CV448" i="14"/>
  <c r="CU449" i="14"/>
  <c r="DO221" i="14"/>
  <c r="DP220" i="14"/>
  <c r="DO209" i="14"/>
  <c r="DP208" i="14"/>
  <c r="CK485" i="14"/>
  <c r="CL484" i="14"/>
  <c r="CL400" i="14"/>
  <c r="CK401" i="14"/>
  <c r="CA221" i="14"/>
  <c r="CK65" i="14"/>
  <c r="CL64" i="14"/>
  <c r="CZ173" i="14"/>
  <c r="DA172" i="14"/>
  <c r="CZ425" i="14"/>
  <c r="DA424" i="14"/>
  <c r="CU497" i="14"/>
  <c r="CV496" i="14"/>
  <c r="ED269" i="14"/>
  <c r="EE268" i="14"/>
  <c r="DA220" i="14"/>
  <c r="CZ221" i="14"/>
  <c r="DE389" i="14"/>
  <c r="CU509" i="14"/>
  <c r="CV508" i="14"/>
  <c r="ED113" i="14"/>
  <c r="EE112" i="14"/>
  <c r="CZ569" i="14"/>
  <c r="DA568" i="14"/>
  <c r="CU89" i="14"/>
  <c r="CV88" i="14"/>
  <c r="CF305" i="14"/>
  <c r="CG304" i="14"/>
  <c r="DK628" i="14"/>
  <c r="DJ629" i="14"/>
  <c r="DJ521" i="14"/>
  <c r="DK520" i="14"/>
  <c r="CF173" i="14"/>
  <c r="CG172" i="14"/>
  <c r="CQ232" i="14"/>
  <c r="CP233" i="14"/>
  <c r="DJ389" i="14"/>
  <c r="DK388" i="14"/>
  <c r="DU100" i="14"/>
  <c r="DT101" i="14"/>
  <c r="DY209" i="14"/>
  <c r="DZ208" i="14"/>
  <c r="CZ137" i="14"/>
  <c r="DA136" i="14"/>
  <c r="DU88" i="14"/>
  <c r="DT89" i="14"/>
  <c r="CP605" i="14"/>
  <c r="CQ604" i="14"/>
  <c r="CA629" i="14"/>
  <c r="CU341" i="14"/>
  <c r="CV340" i="14"/>
  <c r="DK640" i="14"/>
  <c r="DJ641" i="14"/>
  <c r="DK316" i="14"/>
  <c r="DJ317" i="14"/>
  <c r="DT209" i="14"/>
  <c r="DU208" i="14"/>
  <c r="DO173" i="14"/>
  <c r="DP172" i="14"/>
  <c r="CV544" i="14"/>
  <c r="CU545" i="14"/>
  <c r="CF665" i="14"/>
  <c r="CG664" i="14"/>
  <c r="EE328" i="14"/>
  <c r="ED329" i="14"/>
  <c r="CU173" i="14"/>
  <c r="CV172" i="14"/>
  <c r="DZ436" i="14"/>
  <c r="DY437" i="14"/>
  <c r="EE400" i="14"/>
  <c r="ED401" i="14"/>
  <c r="DA244" i="14"/>
  <c r="CZ245" i="14"/>
  <c r="DJ461" i="14"/>
  <c r="DK460" i="14"/>
  <c r="DT653" i="14"/>
  <c r="DU652" i="14"/>
  <c r="CA485" i="14"/>
  <c r="DY653" i="14"/>
  <c r="DZ652" i="14"/>
  <c r="CA653" i="14"/>
  <c r="DY401" i="14"/>
  <c r="DZ400" i="14"/>
  <c r="CV400" i="14"/>
  <c r="CU401" i="14"/>
  <c r="CK605" i="14"/>
  <c r="CL604" i="14"/>
  <c r="DZ628" i="14"/>
  <c r="DY629" i="14"/>
  <c r="DK148" i="14"/>
  <c r="DJ149" i="14"/>
  <c r="DO509" i="14"/>
  <c r="DP508" i="14"/>
  <c r="CA185" i="14"/>
  <c r="CV376" i="14"/>
  <c r="CU377" i="14"/>
  <c r="DE53" i="14"/>
  <c r="DO197" i="14"/>
  <c r="DP196" i="14"/>
  <c r="DK424" i="14"/>
  <c r="DJ425" i="14"/>
  <c r="CA389" i="14"/>
  <c r="DP676" i="14"/>
  <c r="DO677" i="14"/>
  <c r="CA677" i="14"/>
  <c r="DT533" i="14"/>
  <c r="DU532" i="14"/>
  <c r="CL556" i="14"/>
  <c r="CK557" i="14"/>
  <c r="CU641" i="14"/>
  <c r="CV640" i="14"/>
  <c r="DE197" i="14"/>
  <c r="CA533" i="14"/>
  <c r="ED509" i="14"/>
  <c r="EE508" i="14"/>
  <c r="DZ184" i="14"/>
  <c r="DY185" i="14"/>
  <c r="DZ100" i="14"/>
  <c r="DY101" i="14"/>
  <c r="CZ593" i="14"/>
  <c r="DA592" i="14"/>
  <c r="CF389" i="14"/>
  <c r="CG388" i="14"/>
  <c r="CA557" i="14"/>
  <c r="CZ461" i="14"/>
  <c r="DA460" i="14"/>
  <c r="CP113" i="14"/>
  <c r="CQ112" i="14"/>
  <c r="CU569" i="14"/>
  <c r="CV568" i="14"/>
  <c r="CZ329" i="14"/>
  <c r="DA328" i="14"/>
  <c r="DU304" i="14"/>
  <c r="DT305" i="14"/>
  <c r="CZ65" i="14"/>
  <c r="DA64" i="14"/>
  <c r="DK220" i="14"/>
  <c r="DJ221" i="14"/>
  <c r="CA125" i="14"/>
  <c r="CP533" i="14"/>
  <c r="CQ532" i="14"/>
  <c r="DK136" i="14"/>
  <c r="DJ137" i="14"/>
  <c r="CA209" i="14"/>
  <c r="CA293" i="14"/>
  <c r="ED221" i="14"/>
  <c r="EE220" i="14"/>
  <c r="DP232" i="14"/>
  <c r="DO233" i="14"/>
  <c r="CQ280" i="14"/>
  <c r="CP281" i="14"/>
  <c r="CL328" i="14"/>
  <c r="CK329" i="14"/>
  <c r="DP496" i="14"/>
  <c r="DO497" i="14"/>
  <c r="DZ424" i="14"/>
  <c r="DY425" i="14"/>
  <c r="DT233" i="14"/>
  <c r="DU232" i="14"/>
  <c r="CL124" i="14"/>
  <c r="CK125" i="14"/>
  <c r="CK473" i="14"/>
  <c r="CL472" i="14"/>
  <c r="DZ256" i="14"/>
  <c r="DY257" i="14"/>
  <c r="CK413" i="14"/>
  <c r="CL412" i="14"/>
  <c r="CA101" i="14"/>
  <c r="DT521" i="14"/>
  <c r="DU520" i="14"/>
  <c r="CZ641" i="14"/>
  <c r="DA640" i="14"/>
  <c r="CU485" i="14"/>
  <c r="CV484" i="14"/>
  <c r="CZ161" i="14"/>
  <c r="DA160" i="14"/>
  <c r="DZ580" i="14"/>
  <c r="DY581" i="14"/>
  <c r="CQ568" i="14"/>
  <c r="CP569" i="14"/>
  <c r="DE353" i="14"/>
  <c r="DE497" i="14"/>
  <c r="DZ280" i="14"/>
  <c r="DY281" i="14"/>
  <c r="DZ328" i="14"/>
  <c r="DY329" i="14"/>
  <c r="DE101" i="14"/>
  <c r="DE545" i="14"/>
  <c r="DU124" i="14"/>
  <c r="DT125" i="14"/>
  <c r="DE365" i="14"/>
  <c r="DO377" i="14"/>
  <c r="DP376" i="14"/>
  <c r="CZ653" i="14"/>
  <c r="DA652" i="14"/>
  <c r="CA641" i="14"/>
  <c r="DP148" i="14"/>
  <c r="DO149" i="14"/>
  <c r="DK496" i="14"/>
  <c r="DJ497" i="14"/>
  <c r="DO545" i="14"/>
  <c r="DP544" i="14"/>
  <c r="CF125" i="14"/>
  <c r="CG124" i="14"/>
  <c r="DE341" i="14"/>
  <c r="DA472" i="14"/>
  <c r="CZ473" i="14"/>
  <c r="ED197" i="14"/>
  <c r="EE196" i="14"/>
  <c r="DT185" i="14"/>
  <c r="DU184" i="14"/>
  <c r="CF449" i="14"/>
  <c r="CG448" i="14"/>
  <c r="CG160" i="14"/>
  <c r="CF161" i="14"/>
  <c r="CA173" i="14"/>
  <c r="CA497" i="14"/>
  <c r="CL580" i="14"/>
  <c r="CK581" i="14"/>
  <c r="CF401" i="14"/>
  <c r="CG400" i="14"/>
  <c r="DE113" i="14"/>
  <c r="CZ485" i="14"/>
  <c r="DA484" i="14"/>
  <c r="CU581" i="14"/>
  <c r="CV580" i="14"/>
  <c r="DK304" i="14"/>
  <c r="DJ305" i="14"/>
  <c r="CF65" i="14"/>
  <c r="CG64" i="14"/>
  <c r="CV244" i="14"/>
  <c r="CU245" i="14"/>
  <c r="CA317" i="14"/>
  <c r="DP388" i="14"/>
  <c r="DO389" i="14"/>
  <c r="CK665" i="14"/>
  <c r="CL664" i="14"/>
  <c r="CK173" i="14"/>
  <c r="CL172" i="14"/>
  <c r="CA113" i="14"/>
  <c r="CG316" i="14"/>
  <c r="CF317" i="14"/>
  <c r="DT581" i="14"/>
  <c r="DU580" i="14"/>
  <c r="CA377" i="14"/>
  <c r="DK472" i="14"/>
  <c r="DJ473" i="14"/>
  <c r="CG244" i="14"/>
  <c r="CF245" i="14"/>
  <c r="DO437" i="14"/>
  <c r="DP436" i="14"/>
  <c r="CU425" i="14"/>
  <c r="CV424" i="14"/>
  <c r="CF617" i="14"/>
  <c r="CG616" i="14"/>
  <c r="CQ616" i="14"/>
  <c r="CP593" i="14"/>
  <c r="CQ592" i="14"/>
  <c r="DU328" i="14"/>
  <c r="DT329" i="14"/>
  <c r="DK484" i="14"/>
  <c r="DJ485" i="14"/>
  <c r="DK172" i="14"/>
  <c r="DJ173" i="14"/>
  <c r="DY641" i="14"/>
  <c r="DZ640" i="14"/>
  <c r="DT677" i="14"/>
  <c r="DU676" i="14"/>
  <c r="DU496" i="14"/>
  <c r="DT497" i="14"/>
  <c r="CA305" i="14"/>
  <c r="DA292" i="14"/>
  <c r="CZ293" i="14"/>
  <c r="DP52" i="14"/>
  <c r="DO53" i="14"/>
  <c r="DT485" i="14"/>
  <c r="DU484" i="14"/>
  <c r="CF281" i="14"/>
  <c r="CG280" i="14"/>
  <c r="CZ233" i="14"/>
  <c r="DA232" i="14"/>
  <c r="CG556" i="14"/>
  <c r="CF557" i="14"/>
  <c r="CF53" i="14"/>
  <c r="CG52" i="14"/>
  <c r="DP568" i="14"/>
  <c r="DO569" i="14"/>
  <c r="DZ592" i="14"/>
  <c r="DY593" i="14"/>
  <c r="DP112" i="14"/>
  <c r="DO113" i="14"/>
  <c r="DZ124" i="14"/>
  <c r="DY125" i="14"/>
  <c r="CP413" i="14"/>
  <c r="CQ412" i="14"/>
  <c r="CU305" i="14"/>
  <c r="CV304" i="14"/>
  <c r="CK509" i="14"/>
  <c r="CL508" i="14"/>
  <c r="CA605" i="14"/>
  <c r="CG220" i="14"/>
  <c r="CF221" i="14"/>
  <c r="CV52" i="14"/>
  <c r="CU53" i="14"/>
  <c r="DY605" i="14"/>
  <c r="DZ604" i="14"/>
  <c r="DO281" i="14"/>
  <c r="DP280" i="14"/>
  <c r="DP592" i="14"/>
  <c r="DO593" i="14"/>
  <c r="DE377" i="14"/>
  <c r="DT641" i="14"/>
  <c r="DU640" i="14"/>
  <c r="DE209" i="14"/>
  <c r="CK365" i="14"/>
  <c r="CL364" i="14"/>
  <c r="DJ65" i="14"/>
  <c r="DK64" i="14"/>
  <c r="DU400" i="14"/>
  <c r="DT401" i="14"/>
  <c r="CA545" i="14"/>
  <c r="CA509" i="14"/>
  <c r="CG112" i="14"/>
  <c r="CF113" i="14"/>
  <c r="DO641" i="14"/>
  <c r="DP640" i="14"/>
  <c r="EE640" i="14"/>
  <c r="ED641" i="14"/>
  <c r="CV100" i="14"/>
  <c r="CU101" i="14"/>
  <c r="DY161" i="14"/>
  <c r="DZ160" i="14"/>
  <c r="DK196" i="14"/>
  <c r="DJ197" i="14"/>
  <c r="ED185" i="14"/>
  <c r="EE184" i="14"/>
  <c r="DZ460" i="14"/>
  <c r="DY461" i="14"/>
  <c r="ED533" i="14"/>
  <c r="EE532" i="14"/>
  <c r="CZ617" i="14"/>
  <c r="DA616" i="14"/>
  <c r="DA628" i="14"/>
  <c r="CZ629" i="14"/>
  <c r="CF521" i="14"/>
  <c r="CG520" i="14"/>
  <c r="CA89" i="14"/>
  <c r="DO461" i="14"/>
  <c r="DP460" i="14"/>
  <c r="DA124" i="14"/>
  <c r="CZ125" i="14"/>
  <c r="ED233" i="14"/>
  <c r="EE232" i="14"/>
  <c r="CV316" i="14"/>
  <c r="CU317" i="14"/>
  <c r="CV520" i="14"/>
  <c r="CU521" i="14"/>
  <c r="CA449" i="14"/>
  <c r="DF74" i="14"/>
  <c r="CB74" i="14"/>
  <c r="DP73" i="14"/>
  <c r="DO74" i="14"/>
  <c r="DE75" i="14"/>
  <c r="CZ74" i="14"/>
  <c r="DA73" i="14"/>
  <c r="DT74" i="14"/>
  <c r="DU73" i="14"/>
  <c r="DZ73" i="14"/>
  <c r="DY74" i="14"/>
  <c r="CG73" i="14"/>
  <c r="CF74" i="14"/>
  <c r="DJ74" i="14"/>
  <c r="DK73" i="14"/>
  <c r="CQ73" i="14"/>
  <c r="CP74" i="14"/>
  <c r="CA75" i="14"/>
  <c r="CV73" i="14"/>
  <c r="CU74" i="14"/>
  <c r="EE73" i="14"/>
  <c r="ED74" i="14"/>
  <c r="CL73" i="14"/>
  <c r="CK74" i="14"/>
  <c r="CB36" i="14"/>
  <c r="AW39" i="14"/>
  <c r="AY39" i="14"/>
  <c r="AU39" i="14"/>
  <c r="AC11" i="43"/>
  <c r="AF11" i="43" s="1"/>
  <c r="CK37" i="14"/>
  <c r="CK38" i="14" s="1"/>
  <c r="CL38" i="14" s="1"/>
  <c r="EE37" i="14"/>
  <c r="ED38" i="14"/>
  <c r="AD19" i="43" a="1"/>
  <c r="AD19" i="43" s="1"/>
  <c r="AC21" i="43"/>
  <c r="AF21" i="43" s="1"/>
  <c r="AC16" i="43"/>
  <c r="AF16" i="43" s="1"/>
  <c r="AC17" i="43"/>
  <c r="AF17" i="43" s="1"/>
  <c r="AE23" i="43"/>
  <c r="AC23" i="43"/>
  <c r="AF23" i="43" s="1"/>
  <c r="AD23" i="43" a="1"/>
  <c r="AD23" i="43" s="1"/>
  <c r="AC18" i="43"/>
  <c r="AF18" i="43" s="1"/>
  <c r="AE24" i="43"/>
  <c r="AD16" i="43" a="1"/>
  <c r="AD16" i="43" s="1"/>
  <c r="AD18" i="43" a="1"/>
  <c r="AD18" i="43" s="1"/>
  <c r="AC19" i="43"/>
  <c r="AF19" i="43" s="1"/>
  <c r="AD17" i="43" a="1"/>
  <c r="AD17" i="43" s="1"/>
  <c r="AD21" i="43" a="1"/>
  <c r="AD21" i="43" s="1"/>
  <c r="AE22" i="43"/>
  <c r="AE21" i="43"/>
  <c r="AE20" i="43"/>
  <c r="AE19" i="43"/>
  <c r="AE18" i="43"/>
  <c r="AE17" i="43"/>
  <c r="AE16" i="43"/>
  <c r="AE15" i="43"/>
  <c r="AE13" i="43"/>
  <c r="AE14" i="43"/>
  <c r="CZ37" i="14"/>
  <c r="DA37" i="14" s="1"/>
  <c r="CF37" i="14"/>
  <c r="CG37" i="14" s="1"/>
  <c r="CU37" i="14"/>
  <c r="CV37" i="14" s="1"/>
  <c r="CP37" i="14"/>
  <c r="CQ37" i="14" s="1"/>
  <c r="CA37" i="14"/>
  <c r="DZ37" i="14"/>
  <c r="DY38" i="14"/>
  <c r="DP37" i="14"/>
  <c r="DO38" i="14"/>
  <c r="DU37" i="14"/>
  <c r="DT38" i="14"/>
  <c r="DJ38" i="14"/>
  <c r="DK37" i="14"/>
  <c r="BC41" i="14"/>
  <c r="BA40" i="14"/>
  <c r="AD15" i="43" a="1"/>
  <c r="AC15" i="43"/>
  <c r="AF15" i="43" s="1"/>
  <c r="AD24" i="43" a="1"/>
  <c r="AC24" i="43"/>
  <c r="AF24" i="43" s="1"/>
  <c r="AD22" i="43" a="1"/>
  <c r="AD20" i="43" a="1"/>
  <c r="AC20" i="43"/>
  <c r="AF20" i="43" s="1"/>
  <c r="AC22" i="43"/>
  <c r="AF22" i="43" s="1"/>
  <c r="AD14" i="43" a="1"/>
  <c r="AC14" i="43"/>
  <c r="AC13" i="43"/>
  <c r="AD13" i="43" a="1"/>
  <c r="AC12" i="43"/>
  <c r="DF101" i="14" a="1"/>
  <c r="DF75" i="14" a="1"/>
  <c r="DF113" i="14" a="1"/>
  <c r="CB281" i="14" a="1"/>
  <c r="CB581" i="14" a="1"/>
  <c r="DF593" i="14" a="1"/>
  <c r="DF65" i="14" a="1"/>
  <c r="DF437" i="14" a="1"/>
  <c r="CB317" i="14" a="1"/>
  <c r="CB629" i="14" a="1"/>
  <c r="CB437" i="14" a="1"/>
  <c r="CB269" i="14" a="1"/>
  <c r="BD39" i="14"/>
  <c r="DF557" i="14" a="1"/>
  <c r="DF149" i="14" a="1"/>
  <c r="CB125" i="14" a="1"/>
  <c r="CB233" i="14" a="1"/>
  <c r="DF425" i="14" a="1"/>
  <c r="CB329" i="14" a="1"/>
  <c r="DF269" i="14" a="1"/>
  <c r="CB413" i="14" a="1"/>
  <c r="DF485" i="14" a="1"/>
  <c r="DF545" i="14" a="1"/>
  <c r="DF581" i="14" a="1"/>
  <c r="CB425" i="14" a="1"/>
  <c r="AX38" i="14"/>
  <c r="DF641" i="14" a="1"/>
  <c r="DF221" i="14" a="1"/>
  <c r="CB461" i="14" a="1"/>
  <c r="CB293" i="14" a="1"/>
  <c r="CB617" i="14" a="1"/>
  <c r="DF617" i="14" a="1"/>
  <c r="CB389" i="14" a="1"/>
  <c r="DF257" i="14" a="1"/>
  <c r="DF317" i="14" a="1"/>
  <c r="CB37" i="14" a="1"/>
  <c r="CB677" i="14" a="1"/>
  <c r="CB221" i="14" a="1"/>
  <c r="CB485" i="14" a="1"/>
  <c r="CB593" i="14" a="1"/>
  <c r="CB473" i="14" a="1"/>
  <c r="DF305" i="14" a="1"/>
  <c r="CB605" i="14" a="1"/>
  <c r="CB569" i="14" a="1"/>
  <c r="DF677" i="14" a="1"/>
  <c r="CB521" i="14" a="1"/>
  <c r="DF281" i="14" a="1"/>
  <c r="DF329" i="14" a="1"/>
  <c r="DF653" i="14" a="1"/>
  <c r="CB365" i="14" a="1"/>
  <c r="DF413" i="14" a="1"/>
  <c r="CB245" i="14" a="1"/>
  <c r="CB53" i="14" a="1"/>
  <c r="BB40" i="14"/>
  <c r="CB197" i="14" a="1"/>
  <c r="CB257" i="14" a="1"/>
  <c r="DF389" i="14" a="1"/>
  <c r="CB89" i="14" a="1"/>
  <c r="CB149" i="14" a="1"/>
  <c r="CB665" i="14" a="1"/>
  <c r="CB509" i="14" a="1"/>
  <c r="CB353" i="14" a="1"/>
  <c r="DF209" i="14" a="1"/>
  <c r="DF629" i="14" a="1"/>
  <c r="CB377" i="14" a="1"/>
  <c r="CB137" i="14" a="1"/>
  <c r="DF569" i="14" a="1"/>
  <c r="DF521" i="14" a="1"/>
  <c r="DF461" i="14" a="1"/>
  <c r="CB161" i="14" a="1"/>
  <c r="DF665" i="14" a="1"/>
  <c r="CB75" i="14" a="1"/>
  <c r="DF293" i="14" a="1"/>
  <c r="AZ38" i="14"/>
  <c r="DF497" i="14" a="1"/>
  <c r="DF533" i="14" a="1"/>
  <c r="CB533" i="14" a="1"/>
  <c r="DF341" i="14" a="1"/>
  <c r="CB65" i="14" a="1"/>
  <c r="DF137" i="14" a="1"/>
  <c r="CB557" i="14" a="1"/>
  <c r="DF245" i="14" a="1"/>
  <c r="CB341" i="14" a="1"/>
  <c r="CB653" i="14" a="1"/>
  <c r="DF125" i="14" a="1"/>
  <c r="DF197" i="14" a="1"/>
  <c r="CB641" i="14" a="1"/>
  <c r="DF473" i="14" a="1"/>
  <c r="CB545" i="14" a="1"/>
  <c r="CB401" i="14" a="1"/>
  <c r="DF365" i="14" a="1"/>
  <c r="DF185" i="14" a="1"/>
  <c r="CB185" i="14" a="1"/>
  <c r="CB305" i="14" a="1"/>
  <c r="CB173" i="14" a="1"/>
  <c r="DF605" i="14" a="1"/>
  <c r="DF173" i="14" a="1"/>
  <c r="CB497" i="14" a="1"/>
  <c r="DF53" i="14" a="1"/>
  <c r="DF449" i="14" a="1"/>
  <c r="CB101" i="14" a="1"/>
  <c r="DF89" i="14" a="1"/>
  <c r="CB113" i="14" a="1"/>
  <c r="DF353" i="14" a="1"/>
  <c r="AV38" i="14"/>
  <c r="DF233" i="14" a="1"/>
  <c r="CB449" i="14" a="1"/>
  <c r="DF401" i="14" a="1"/>
  <c r="DF377" i="14" a="1"/>
  <c r="CB209" i="14" a="1"/>
  <c r="DF509" i="14" a="1"/>
  <c r="DF161" i="14" a="1"/>
  <c r="CZ197" i="14" l="1"/>
  <c r="DA197" i="14" s="1"/>
  <c r="DT161" i="14"/>
  <c r="DT162" i="14" s="1"/>
  <c r="CV556" i="14"/>
  <c r="DJ161" i="14"/>
  <c r="DK161" i="14" s="1"/>
  <c r="DZ304" i="14"/>
  <c r="CL244" i="14"/>
  <c r="CZ257" i="14"/>
  <c r="DA257" i="14" s="1"/>
  <c r="CG412" i="14"/>
  <c r="DU424" i="14"/>
  <c r="CB89" i="14"/>
  <c r="CB125" i="14"/>
  <c r="CB137" i="14"/>
  <c r="DF461" i="14"/>
  <c r="CB401" i="14"/>
  <c r="DF245" i="14"/>
  <c r="CB197" i="14"/>
  <c r="DF113" i="14"/>
  <c r="CB317" i="14"/>
  <c r="CB557" i="14"/>
  <c r="DF485" i="14"/>
  <c r="CB581" i="14"/>
  <c r="CB53" i="14"/>
  <c r="DF653" i="14"/>
  <c r="DF101" i="14"/>
  <c r="DF377" i="14"/>
  <c r="DF89" i="14"/>
  <c r="DF305" i="14"/>
  <c r="CB437" i="14"/>
  <c r="DF557" i="14"/>
  <c r="CB617" i="14"/>
  <c r="CB593" i="14"/>
  <c r="DF413" i="14"/>
  <c r="DF605" i="14"/>
  <c r="CB245" i="14"/>
  <c r="DF665" i="14"/>
  <c r="DF233" i="14"/>
  <c r="CB665" i="14"/>
  <c r="CB629" i="14"/>
  <c r="CB413" i="14"/>
  <c r="CB449" i="14"/>
  <c r="CB233" i="14"/>
  <c r="DF641" i="14"/>
  <c r="CB305" i="14"/>
  <c r="CB497" i="14"/>
  <c r="DF341" i="14"/>
  <c r="DF353" i="14"/>
  <c r="CB293" i="14"/>
  <c r="CB509" i="14"/>
  <c r="CB173" i="14"/>
  <c r="CB209" i="14"/>
  <c r="CB221" i="14"/>
  <c r="DF677" i="14"/>
  <c r="DF281" i="14"/>
  <c r="CB341" i="14"/>
  <c r="CB65" i="14"/>
  <c r="DF317" i="14"/>
  <c r="CB425" i="14"/>
  <c r="DF569" i="14"/>
  <c r="CB545" i="14"/>
  <c r="DF365" i="14"/>
  <c r="CB677" i="14"/>
  <c r="CB185" i="14"/>
  <c r="DF389" i="14"/>
  <c r="CB257" i="14"/>
  <c r="CB569" i="14"/>
  <c r="DF521" i="14"/>
  <c r="DF533" i="14"/>
  <c r="CB641" i="14"/>
  <c r="CB473" i="14"/>
  <c r="CB377" i="14"/>
  <c r="CB653" i="14"/>
  <c r="CB161" i="14"/>
  <c r="DF617" i="14"/>
  <c r="CB329" i="14"/>
  <c r="DF125" i="14"/>
  <c r="CB269" i="14"/>
  <c r="DF173" i="14"/>
  <c r="DF437" i="14"/>
  <c r="DF509" i="14"/>
  <c r="DF329" i="14"/>
  <c r="CB533" i="14"/>
  <c r="CB365" i="14"/>
  <c r="DF209" i="14"/>
  <c r="CB101" i="14"/>
  <c r="DF269" i="14"/>
  <c r="DF581" i="14"/>
  <c r="DF161" i="14"/>
  <c r="DF473" i="14"/>
  <c r="DF401" i="14"/>
  <c r="DF293" i="14"/>
  <c r="DF545" i="14"/>
  <c r="CB149" i="14"/>
  <c r="CB521" i="14"/>
  <c r="DF257" i="14"/>
  <c r="CB605" i="14"/>
  <c r="DF197" i="14"/>
  <c r="CB281" i="14"/>
  <c r="DF185" i="14"/>
  <c r="DF497" i="14"/>
  <c r="DF53" i="14"/>
  <c r="CB113" i="14"/>
  <c r="CB389" i="14"/>
  <c r="DF137" i="14"/>
  <c r="CB461" i="14"/>
  <c r="CB485" i="14"/>
  <c r="DF629" i="14"/>
  <c r="DF65" i="14"/>
  <c r="DF149" i="14"/>
  <c r="DF593" i="14"/>
  <c r="CB353" i="14"/>
  <c r="DF425" i="14"/>
  <c r="DF449" i="14"/>
  <c r="DF221" i="14"/>
  <c r="CK366" i="14"/>
  <c r="CL365" i="14"/>
  <c r="DO150" i="14"/>
  <c r="DP149" i="14"/>
  <c r="CP90" i="14"/>
  <c r="CQ89" i="14"/>
  <c r="CF522" i="14"/>
  <c r="CG521" i="14"/>
  <c r="DU185" i="14"/>
  <c r="DT186" i="14"/>
  <c r="CK150" i="14"/>
  <c r="CL149" i="14"/>
  <c r="EE257" i="14"/>
  <c r="ED258" i="14"/>
  <c r="DA641" i="14"/>
  <c r="CZ642" i="14"/>
  <c r="CV245" i="14"/>
  <c r="CU246" i="14"/>
  <c r="CQ293" i="14"/>
  <c r="CP294" i="14"/>
  <c r="CA90" i="14"/>
  <c r="DZ461" i="14"/>
  <c r="DY462" i="14"/>
  <c r="CG221" i="14"/>
  <c r="CF222" i="14"/>
  <c r="DK173" i="14"/>
  <c r="DJ174" i="14"/>
  <c r="CG449" i="14"/>
  <c r="CF450" i="14"/>
  <c r="DP233" i="14"/>
  <c r="DO234" i="14"/>
  <c r="CA126" i="14"/>
  <c r="CP114" i="14"/>
  <c r="CQ113" i="14"/>
  <c r="ED510" i="14"/>
  <c r="EE509" i="14"/>
  <c r="DJ426" i="14"/>
  <c r="DK425" i="14"/>
  <c r="DZ629" i="14"/>
  <c r="DY630" i="14"/>
  <c r="CU342" i="14"/>
  <c r="CV341" i="14"/>
  <c r="CL485" i="14"/>
  <c r="CK486" i="14"/>
  <c r="DK377" i="14"/>
  <c r="DJ378" i="14"/>
  <c r="ED438" i="14"/>
  <c r="EE437" i="14"/>
  <c r="DP617" i="14"/>
  <c r="DO618" i="14"/>
  <c r="ED138" i="14"/>
  <c r="EE137" i="14"/>
  <c r="CL197" i="14"/>
  <c r="CK198" i="14"/>
  <c r="CU630" i="14"/>
  <c r="CV629" i="14"/>
  <c r="CU66" i="14"/>
  <c r="CV65" i="14"/>
  <c r="DO666" i="14"/>
  <c r="DP665" i="14"/>
  <c r="CU270" i="14"/>
  <c r="CV269" i="14"/>
  <c r="DJ102" i="14"/>
  <c r="DK101" i="14"/>
  <c r="CL629" i="14"/>
  <c r="CK630" i="14"/>
  <c r="CA138" i="14"/>
  <c r="CU462" i="14"/>
  <c r="CV461" i="14"/>
  <c r="DP581" i="14"/>
  <c r="DO582" i="14"/>
  <c r="DY150" i="14"/>
  <c r="DZ149" i="14"/>
  <c r="ED474" i="14"/>
  <c r="EE473" i="14"/>
  <c r="DJ606" i="14"/>
  <c r="DK605" i="14"/>
  <c r="DJ582" i="14"/>
  <c r="DK581" i="14"/>
  <c r="CQ365" i="14"/>
  <c r="CP366" i="14"/>
  <c r="DT66" i="14"/>
  <c r="DU65" i="14"/>
  <c r="CV593" i="14"/>
  <c r="CU594" i="14"/>
  <c r="DZ137" i="14"/>
  <c r="DY138" i="14"/>
  <c r="DP533" i="14"/>
  <c r="DO534" i="14"/>
  <c r="DE462" i="14"/>
  <c r="CG605" i="14"/>
  <c r="CF606" i="14"/>
  <c r="DT450" i="14"/>
  <c r="DU449" i="14"/>
  <c r="DP557" i="14"/>
  <c r="DO558" i="14"/>
  <c r="CF426" i="14"/>
  <c r="CG425" i="14"/>
  <c r="CQ401" i="14"/>
  <c r="CP402" i="14"/>
  <c r="DJ450" i="14"/>
  <c r="DK449" i="14"/>
  <c r="DT366" i="14"/>
  <c r="DU365" i="14"/>
  <c r="DA401" i="14"/>
  <c r="CZ402" i="14"/>
  <c r="DA437" i="14"/>
  <c r="CZ438" i="14"/>
  <c r="CZ270" i="14"/>
  <c r="DA269" i="14"/>
  <c r="CQ653" i="14"/>
  <c r="CP654" i="14"/>
  <c r="CU486" i="14"/>
  <c r="CV485" i="14"/>
  <c r="DU653" i="14"/>
  <c r="DT654" i="14"/>
  <c r="ED246" i="14"/>
  <c r="EE245" i="14"/>
  <c r="CA402" i="14"/>
  <c r="CK294" i="14"/>
  <c r="CL293" i="14"/>
  <c r="DO390" i="14"/>
  <c r="DP389" i="14"/>
  <c r="DY222" i="14"/>
  <c r="DZ221" i="14"/>
  <c r="DO54" i="14"/>
  <c r="DP53" i="14"/>
  <c r="DA425" i="14"/>
  <c r="CZ426" i="14"/>
  <c r="EE653" i="14"/>
  <c r="ED654" i="14"/>
  <c r="DA533" i="14"/>
  <c r="CZ534" i="14"/>
  <c r="CU126" i="14"/>
  <c r="CV125" i="14"/>
  <c r="CZ282" i="14"/>
  <c r="DA281" i="14"/>
  <c r="DP329" i="14"/>
  <c r="DO330" i="14"/>
  <c r="DK341" i="14"/>
  <c r="DJ342" i="14"/>
  <c r="CK378" i="14"/>
  <c r="CL377" i="14"/>
  <c r="DJ294" i="14"/>
  <c r="DK293" i="14"/>
  <c r="CG533" i="14"/>
  <c r="CF534" i="14"/>
  <c r="CP210" i="14"/>
  <c r="CQ209" i="14"/>
  <c r="CK594" i="14"/>
  <c r="CL593" i="14"/>
  <c r="CQ629" i="14"/>
  <c r="CP630" i="14"/>
  <c r="CL665" i="14"/>
  <c r="CK666" i="14"/>
  <c r="DJ390" i="14"/>
  <c r="DK389" i="14"/>
  <c r="CU354" i="14"/>
  <c r="CV353" i="14"/>
  <c r="DE246" i="14"/>
  <c r="CA198" i="14"/>
  <c r="DE114" i="14"/>
  <c r="DJ210" i="14"/>
  <c r="DK209" i="14"/>
  <c r="CV521" i="14"/>
  <c r="CU522" i="14"/>
  <c r="DJ198" i="14"/>
  <c r="DK197" i="14"/>
  <c r="DU641" i="14"/>
  <c r="DT642" i="14"/>
  <c r="CL509" i="14"/>
  <c r="CK510" i="14"/>
  <c r="CF54" i="14"/>
  <c r="CG53" i="14"/>
  <c r="DT330" i="14"/>
  <c r="DU329" i="14"/>
  <c r="DJ474" i="14"/>
  <c r="DK473" i="14"/>
  <c r="CA318" i="14"/>
  <c r="CG401" i="14"/>
  <c r="CF402" i="14"/>
  <c r="EE197" i="14"/>
  <c r="ED198" i="14"/>
  <c r="DZ281" i="14"/>
  <c r="DY282" i="14"/>
  <c r="EE221" i="14"/>
  <c r="ED222" i="14"/>
  <c r="CA558" i="14"/>
  <c r="CU642" i="14"/>
  <c r="CV641" i="14"/>
  <c r="CU402" i="14"/>
  <c r="CV401" i="14"/>
  <c r="DA245" i="14"/>
  <c r="CZ246" i="14"/>
  <c r="CQ605" i="14"/>
  <c r="CP606" i="14"/>
  <c r="DP365" i="14"/>
  <c r="DO366" i="14"/>
  <c r="DE486" i="14"/>
  <c r="CK186" i="14"/>
  <c r="CL185" i="14"/>
  <c r="CU666" i="14"/>
  <c r="CV665" i="14"/>
  <c r="DA185" i="14"/>
  <c r="CZ186" i="14"/>
  <c r="DO294" i="14"/>
  <c r="DP293" i="14"/>
  <c r="CA582" i="14"/>
  <c r="CP486" i="14"/>
  <c r="CQ485" i="14"/>
  <c r="CF654" i="14"/>
  <c r="CG653" i="14"/>
  <c r="DU461" i="14"/>
  <c r="DT462" i="14"/>
  <c r="DO474" i="14"/>
  <c r="DP473" i="14"/>
  <c r="DT342" i="14"/>
  <c r="DU341" i="14"/>
  <c r="CK678" i="14"/>
  <c r="CL677" i="14"/>
  <c r="DA377" i="14"/>
  <c r="CZ378" i="14"/>
  <c r="CL521" i="14"/>
  <c r="CK522" i="14"/>
  <c r="CF234" i="14"/>
  <c r="CG233" i="14"/>
  <c r="CG509" i="14"/>
  <c r="CF510" i="14"/>
  <c r="EE389" i="14"/>
  <c r="ED390" i="14"/>
  <c r="CK282" i="14"/>
  <c r="CL281" i="14"/>
  <c r="CA54" i="14"/>
  <c r="CP378" i="14"/>
  <c r="CQ377" i="14"/>
  <c r="DT558" i="14"/>
  <c r="DU557" i="14"/>
  <c r="DY570" i="14"/>
  <c r="DZ569" i="14"/>
  <c r="EE581" i="14"/>
  <c r="ED582" i="14"/>
  <c r="CZ498" i="14"/>
  <c r="DA497" i="14"/>
  <c r="DU413" i="14"/>
  <c r="DT414" i="14"/>
  <c r="CG353" i="14"/>
  <c r="CF354" i="14"/>
  <c r="DE654" i="14"/>
  <c r="DZ485" i="14"/>
  <c r="DY486" i="14"/>
  <c r="CV557" i="14"/>
  <c r="CU558" i="14"/>
  <c r="CQ149" i="14"/>
  <c r="CP150" i="14"/>
  <c r="DU137" i="14"/>
  <c r="DT138" i="14"/>
  <c r="CL569" i="14"/>
  <c r="CK570" i="14"/>
  <c r="ED162" i="14"/>
  <c r="EE161" i="14"/>
  <c r="CP162" i="14"/>
  <c r="CQ161" i="14"/>
  <c r="DE102" i="14"/>
  <c r="EE557" i="14"/>
  <c r="ED558" i="14"/>
  <c r="CG593" i="14"/>
  <c r="CF594" i="14"/>
  <c r="CK246" i="14"/>
  <c r="CL245" i="14"/>
  <c r="CQ185" i="14"/>
  <c r="CP186" i="14"/>
  <c r="DP413" i="14"/>
  <c r="DO414" i="14"/>
  <c r="DJ126" i="14"/>
  <c r="DK125" i="14"/>
  <c r="DP257" i="14"/>
  <c r="DO258" i="14"/>
  <c r="CU414" i="14"/>
  <c r="CV413" i="14"/>
  <c r="DZ233" i="14"/>
  <c r="DY234" i="14"/>
  <c r="ED186" i="14"/>
  <c r="EE185" i="14"/>
  <c r="CK606" i="14"/>
  <c r="CL605" i="14"/>
  <c r="DA569" i="14"/>
  <c r="CZ570" i="14"/>
  <c r="CK462" i="14"/>
  <c r="CL461" i="14"/>
  <c r="DY270" i="14"/>
  <c r="DZ269" i="14"/>
  <c r="DO270" i="14"/>
  <c r="DP269" i="14"/>
  <c r="DE378" i="14"/>
  <c r="CZ294" i="14"/>
  <c r="DA293" i="14"/>
  <c r="CL581" i="14"/>
  <c r="CK582" i="14"/>
  <c r="DA473" i="14"/>
  <c r="CZ474" i="14"/>
  <c r="CZ654" i="14"/>
  <c r="DA653" i="14"/>
  <c r="DT522" i="14"/>
  <c r="DU521" i="14"/>
  <c r="DT234" i="14"/>
  <c r="DU233" i="14"/>
  <c r="CL557" i="14"/>
  <c r="CK558" i="14"/>
  <c r="DP197" i="14"/>
  <c r="DO198" i="14"/>
  <c r="DU89" i="14"/>
  <c r="DT90" i="14"/>
  <c r="DA173" i="14"/>
  <c r="CZ174" i="14"/>
  <c r="DP221" i="14"/>
  <c r="DO222" i="14"/>
  <c r="CZ90" i="14"/>
  <c r="DA89" i="14"/>
  <c r="DP485" i="14"/>
  <c r="DO486" i="14"/>
  <c r="DO138" i="14"/>
  <c r="DP137" i="14"/>
  <c r="DE90" i="14"/>
  <c r="CK546" i="14"/>
  <c r="CL545" i="14"/>
  <c r="DE306" i="14"/>
  <c r="DP161" i="14"/>
  <c r="DO162" i="14"/>
  <c r="CV137" i="14"/>
  <c r="CU138" i="14"/>
  <c r="CL53" i="14"/>
  <c r="CK54" i="14"/>
  <c r="CU258" i="14"/>
  <c r="CV257" i="14"/>
  <c r="CA438" i="14"/>
  <c r="CZ678" i="14"/>
  <c r="DA677" i="14"/>
  <c r="CG101" i="14"/>
  <c r="CF102" i="14"/>
  <c r="DE558" i="14"/>
  <c r="DZ197" i="14"/>
  <c r="DY198" i="14"/>
  <c r="DY534" i="14"/>
  <c r="DZ533" i="14"/>
  <c r="CA618" i="14"/>
  <c r="CP558" i="14"/>
  <c r="CQ557" i="14"/>
  <c r="DO522" i="14"/>
  <c r="DP521" i="14"/>
  <c r="DJ534" i="14"/>
  <c r="DK533" i="14"/>
  <c r="DP653" i="14"/>
  <c r="DO654" i="14"/>
  <c r="DU353" i="14"/>
  <c r="DT354" i="14"/>
  <c r="DA461" i="14"/>
  <c r="CZ462" i="14"/>
  <c r="CA594" i="14"/>
  <c r="DE414" i="14"/>
  <c r="CG257" i="14"/>
  <c r="CF258" i="14"/>
  <c r="CZ558" i="14"/>
  <c r="DA557" i="14"/>
  <c r="CK438" i="14"/>
  <c r="CL437" i="14"/>
  <c r="ED66" i="14"/>
  <c r="EE65" i="14"/>
  <c r="CZ618" i="14"/>
  <c r="DA617" i="14"/>
  <c r="DU425" i="14"/>
  <c r="DT426" i="14"/>
  <c r="CK66" i="14"/>
  <c r="CL65" i="14"/>
  <c r="DU593" i="14"/>
  <c r="DT594" i="14"/>
  <c r="DA341" i="14"/>
  <c r="CZ342" i="14"/>
  <c r="CQ329" i="14"/>
  <c r="CP330" i="14"/>
  <c r="DT222" i="14"/>
  <c r="DU221" i="14"/>
  <c r="DE606" i="14"/>
  <c r="DO402" i="14"/>
  <c r="DP401" i="14"/>
  <c r="DK509" i="14"/>
  <c r="DJ510" i="14"/>
  <c r="CP270" i="14"/>
  <c r="CQ269" i="14"/>
  <c r="CZ114" i="14"/>
  <c r="DA113" i="14"/>
  <c r="CG581" i="14"/>
  <c r="CF582" i="14"/>
  <c r="DO126" i="14"/>
  <c r="DP125" i="14"/>
  <c r="DP353" i="14"/>
  <c r="DO354" i="14"/>
  <c r="CQ389" i="14"/>
  <c r="CP390" i="14"/>
  <c r="CP54" i="14"/>
  <c r="CQ53" i="14"/>
  <c r="CK210" i="14"/>
  <c r="CL209" i="14"/>
  <c r="CP462" i="14"/>
  <c r="CQ461" i="14"/>
  <c r="DT246" i="14"/>
  <c r="DU245" i="14"/>
  <c r="CF486" i="14"/>
  <c r="CG485" i="14"/>
  <c r="CA246" i="14"/>
  <c r="CK342" i="14"/>
  <c r="CL341" i="14"/>
  <c r="CV473" i="14"/>
  <c r="CU474" i="14"/>
  <c r="DZ113" i="14"/>
  <c r="DY114" i="14"/>
  <c r="DE666" i="14"/>
  <c r="CV605" i="14"/>
  <c r="CU606" i="14"/>
  <c r="CQ341" i="14"/>
  <c r="CP342" i="14"/>
  <c r="DE234" i="14"/>
  <c r="DZ389" i="14"/>
  <c r="DY390" i="14"/>
  <c r="EE545" i="14"/>
  <c r="ED546" i="14"/>
  <c r="CF570" i="14"/>
  <c r="CG569" i="14"/>
  <c r="CQ521" i="14"/>
  <c r="CP522" i="14"/>
  <c r="DP641" i="14"/>
  <c r="DO642" i="14"/>
  <c r="DU485" i="14"/>
  <c r="DT486" i="14"/>
  <c r="CV497" i="14"/>
  <c r="CU498" i="14"/>
  <c r="EE449" i="14"/>
  <c r="ED450" i="14"/>
  <c r="CA666" i="14"/>
  <c r="DJ246" i="14"/>
  <c r="DK245" i="14"/>
  <c r="CF114" i="14"/>
  <c r="CG113" i="14"/>
  <c r="DJ486" i="14"/>
  <c r="DK485" i="14"/>
  <c r="CA630" i="14"/>
  <c r="CV653" i="14"/>
  <c r="CU654" i="14"/>
  <c r="CV437" i="14"/>
  <c r="CU438" i="14"/>
  <c r="CU186" i="14"/>
  <c r="CV185" i="14"/>
  <c r="CA414" i="14"/>
  <c r="DK569" i="14"/>
  <c r="DJ570" i="14"/>
  <c r="CF462" i="14"/>
  <c r="CG461" i="14"/>
  <c r="DA665" i="14"/>
  <c r="CZ666" i="14"/>
  <c r="CA450" i="14"/>
  <c r="CV545" i="14"/>
  <c r="CU546" i="14"/>
  <c r="DP209" i="14"/>
  <c r="DO210" i="14"/>
  <c r="DJ270" i="14"/>
  <c r="DK269" i="14"/>
  <c r="DP593" i="14"/>
  <c r="DO594" i="14"/>
  <c r="DP173" i="14"/>
  <c r="DO174" i="14"/>
  <c r="ED114" i="14"/>
  <c r="EE113" i="14"/>
  <c r="CU450" i="14"/>
  <c r="CV449" i="14"/>
  <c r="CA234" i="14"/>
  <c r="CP66" i="14"/>
  <c r="CQ65" i="14"/>
  <c r="DO90" i="14"/>
  <c r="DP89" i="14"/>
  <c r="DK653" i="14"/>
  <c r="DJ654" i="14"/>
  <c r="DE642" i="14"/>
  <c r="CG677" i="14"/>
  <c r="CF678" i="14"/>
  <c r="CV365" i="14"/>
  <c r="CU366" i="14"/>
  <c r="CG641" i="14"/>
  <c r="CF642" i="14"/>
  <c r="DZ305" i="14"/>
  <c r="DY306" i="14"/>
  <c r="CA306" i="14"/>
  <c r="CP594" i="14"/>
  <c r="CQ593" i="14"/>
  <c r="CA498" i="14"/>
  <c r="DE342" i="14"/>
  <c r="DP377" i="14"/>
  <c r="DO378" i="14"/>
  <c r="DE354" i="14"/>
  <c r="CA294" i="14"/>
  <c r="DT306" i="14"/>
  <c r="DU305" i="14"/>
  <c r="CU378" i="14"/>
  <c r="CV377" i="14"/>
  <c r="CL101" i="14"/>
  <c r="CK102" i="14"/>
  <c r="CA510" i="14"/>
  <c r="CP414" i="14"/>
  <c r="CQ413" i="14"/>
  <c r="DU497" i="14"/>
  <c r="DT498" i="14"/>
  <c r="CQ617" i="14"/>
  <c r="CP618" i="14"/>
  <c r="DT582" i="14"/>
  <c r="DU581" i="14"/>
  <c r="CA174" i="14"/>
  <c r="CP570" i="14"/>
  <c r="CQ569" i="14"/>
  <c r="DO498" i="14"/>
  <c r="DP497" i="14"/>
  <c r="CA210" i="14"/>
  <c r="DA593" i="14"/>
  <c r="CZ594" i="14"/>
  <c r="DT534" i="14"/>
  <c r="DU533" i="14"/>
  <c r="DY438" i="14"/>
  <c r="DZ437" i="14"/>
  <c r="DT210" i="14"/>
  <c r="DU209" i="14"/>
  <c r="CZ138" i="14"/>
  <c r="DA137" i="14"/>
  <c r="CV509" i="14"/>
  <c r="CU510" i="14"/>
  <c r="CA222" i="14"/>
  <c r="DE678" i="14"/>
  <c r="DE282" i="14"/>
  <c r="CQ101" i="14"/>
  <c r="CP102" i="14"/>
  <c r="DY498" i="14"/>
  <c r="DZ497" i="14"/>
  <c r="CK618" i="14"/>
  <c r="CL617" i="14"/>
  <c r="DO318" i="14"/>
  <c r="DP317" i="14"/>
  <c r="DA413" i="14"/>
  <c r="CZ414" i="14"/>
  <c r="ED594" i="14"/>
  <c r="EE593" i="14"/>
  <c r="DO630" i="14"/>
  <c r="DP629" i="14"/>
  <c r="CV233" i="14"/>
  <c r="CU234" i="14"/>
  <c r="CA342" i="14"/>
  <c r="DU509" i="14"/>
  <c r="DT510" i="14"/>
  <c r="ED618" i="14"/>
  <c r="EE617" i="14"/>
  <c r="CF546" i="14"/>
  <c r="CG545" i="14"/>
  <c r="CZ450" i="14"/>
  <c r="DA449" i="14"/>
  <c r="EE365" i="14"/>
  <c r="ED366" i="14"/>
  <c r="DJ354" i="14"/>
  <c r="DK353" i="14"/>
  <c r="CU210" i="14"/>
  <c r="CV209" i="14"/>
  <c r="DU113" i="14"/>
  <c r="DT114" i="14"/>
  <c r="CA66" i="14"/>
  <c r="DJ234" i="14"/>
  <c r="DK233" i="14"/>
  <c r="DU377" i="14"/>
  <c r="DT378" i="14"/>
  <c r="EE125" i="14"/>
  <c r="ED126" i="14"/>
  <c r="DP185" i="14"/>
  <c r="DO186" i="14"/>
  <c r="CP546" i="14"/>
  <c r="CQ545" i="14"/>
  <c r="DO342" i="14"/>
  <c r="DP341" i="14"/>
  <c r="DU617" i="14"/>
  <c r="DT618" i="14"/>
  <c r="DE318" i="14"/>
  <c r="DK113" i="14"/>
  <c r="DJ114" i="14"/>
  <c r="DP425" i="14"/>
  <c r="DO426" i="14"/>
  <c r="DZ329" i="14"/>
  <c r="DY330" i="14"/>
  <c r="CQ233" i="14"/>
  <c r="CP234" i="14"/>
  <c r="CK138" i="14"/>
  <c r="CL137" i="14"/>
  <c r="CA426" i="14"/>
  <c r="DJ330" i="14"/>
  <c r="DK329" i="14"/>
  <c r="DE570" i="14"/>
  <c r="ED402" i="14"/>
  <c r="EE401" i="14"/>
  <c r="DU605" i="14"/>
  <c r="DT606" i="14"/>
  <c r="EE233" i="14"/>
  <c r="ED234" i="14"/>
  <c r="ED534" i="14"/>
  <c r="EE533" i="14"/>
  <c r="DZ161" i="14"/>
  <c r="DY162" i="14"/>
  <c r="CA546" i="14"/>
  <c r="DO282" i="14"/>
  <c r="DP281" i="14"/>
  <c r="DY126" i="14"/>
  <c r="DZ125" i="14"/>
  <c r="CZ234" i="14"/>
  <c r="DA233" i="14"/>
  <c r="CG317" i="14"/>
  <c r="CF318" i="14"/>
  <c r="CG65" i="14"/>
  <c r="CF66" i="14"/>
  <c r="CF162" i="14"/>
  <c r="CG161" i="14"/>
  <c r="CG125" i="14"/>
  <c r="CF126" i="14"/>
  <c r="DE366" i="14"/>
  <c r="DK137" i="14"/>
  <c r="DJ138" i="14"/>
  <c r="DY102" i="14"/>
  <c r="DZ101" i="14"/>
  <c r="CA678" i="14"/>
  <c r="CA186" i="14"/>
  <c r="DY402" i="14"/>
  <c r="DZ401" i="14"/>
  <c r="DJ318" i="14"/>
  <c r="DK317" i="14"/>
  <c r="DJ522" i="14"/>
  <c r="DK521" i="14"/>
  <c r="DE390" i="14"/>
  <c r="CL401" i="14"/>
  <c r="CK402" i="14"/>
  <c r="CK162" i="14"/>
  <c r="CL161" i="14"/>
  <c r="CQ641" i="14"/>
  <c r="CP642" i="14"/>
  <c r="CA258" i="14"/>
  <c r="CF270" i="14"/>
  <c r="CG269" i="14"/>
  <c r="CF378" i="14"/>
  <c r="CG377" i="14"/>
  <c r="CV281" i="14"/>
  <c r="CU282" i="14"/>
  <c r="CQ581" i="14"/>
  <c r="CP582" i="14"/>
  <c r="CA570" i="14"/>
  <c r="DK53" i="14"/>
  <c r="DJ54" i="14"/>
  <c r="DZ377" i="14"/>
  <c r="DY378" i="14"/>
  <c r="DE522" i="14"/>
  <c r="DO246" i="14"/>
  <c r="DP245" i="14"/>
  <c r="CZ546" i="14"/>
  <c r="DA545" i="14"/>
  <c r="CV389" i="14"/>
  <c r="CU390" i="14"/>
  <c r="CK498" i="14"/>
  <c r="CL497" i="14"/>
  <c r="DJ594" i="14"/>
  <c r="DK593" i="14"/>
  <c r="CK390" i="14"/>
  <c r="CL389" i="14"/>
  <c r="DU281" i="14"/>
  <c r="DT282" i="14"/>
  <c r="DK281" i="14"/>
  <c r="DJ282" i="14"/>
  <c r="DY174" i="14"/>
  <c r="DZ173" i="14"/>
  <c r="CK258" i="14"/>
  <c r="CL257" i="14"/>
  <c r="DJ618" i="14"/>
  <c r="DK617" i="14"/>
  <c r="CQ425" i="14"/>
  <c r="CP426" i="14"/>
  <c r="EE317" i="14"/>
  <c r="ED318" i="14"/>
  <c r="DY54" i="14"/>
  <c r="DZ53" i="14"/>
  <c r="DY618" i="14"/>
  <c r="DZ617" i="14"/>
  <c r="CG329" i="14"/>
  <c r="CF330" i="14"/>
  <c r="DK665" i="14"/>
  <c r="DJ666" i="14"/>
  <c r="DP569" i="14"/>
  <c r="DO570" i="14"/>
  <c r="EE89" i="14"/>
  <c r="ED90" i="14"/>
  <c r="DE534" i="14"/>
  <c r="CZ318" i="14"/>
  <c r="DA317" i="14"/>
  <c r="CA642" i="14"/>
  <c r="CA474" i="14"/>
  <c r="CA378" i="14"/>
  <c r="DA65" i="14"/>
  <c r="CZ66" i="14"/>
  <c r="CG173" i="14"/>
  <c r="CF174" i="14"/>
  <c r="ED414" i="14"/>
  <c r="EE413" i="14"/>
  <c r="DP65" i="14"/>
  <c r="DO66" i="14"/>
  <c r="ED426" i="14"/>
  <c r="EE425" i="14"/>
  <c r="DA125" i="14"/>
  <c r="CZ126" i="14"/>
  <c r="CF414" i="14"/>
  <c r="CG413" i="14"/>
  <c r="CU102" i="14"/>
  <c r="CV101" i="14"/>
  <c r="DU401" i="14"/>
  <c r="DT402" i="14"/>
  <c r="DJ306" i="14"/>
  <c r="DK305" i="14"/>
  <c r="DT126" i="14"/>
  <c r="DU125" i="14"/>
  <c r="DY582" i="14"/>
  <c r="DZ581" i="14"/>
  <c r="CL329" i="14"/>
  <c r="CK330" i="14"/>
  <c r="DA329" i="14"/>
  <c r="CZ330" i="14"/>
  <c r="DO678" i="14"/>
  <c r="DP677" i="14"/>
  <c r="CA654" i="14"/>
  <c r="DZ209" i="14"/>
  <c r="DY210" i="14"/>
  <c r="DJ630" i="14"/>
  <c r="DK629" i="14"/>
  <c r="DA221" i="14"/>
  <c r="CZ222" i="14"/>
  <c r="DY450" i="14"/>
  <c r="DZ449" i="14"/>
  <c r="CA162" i="14"/>
  <c r="DE618" i="14"/>
  <c r="CQ197" i="14"/>
  <c r="CP198" i="14"/>
  <c r="EE461" i="14"/>
  <c r="ED462" i="14"/>
  <c r="DZ413" i="14"/>
  <c r="DY414" i="14"/>
  <c r="DJ366" i="14"/>
  <c r="DK365" i="14"/>
  <c r="CL653" i="14"/>
  <c r="CK654" i="14"/>
  <c r="CK90" i="14"/>
  <c r="CL89" i="14"/>
  <c r="DZ665" i="14"/>
  <c r="DY666" i="14"/>
  <c r="CA330" i="14"/>
  <c r="DT294" i="14"/>
  <c r="DU293" i="14"/>
  <c r="DU149" i="14"/>
  <c r="DT150" i="14"/>
  <c r="DE126" i="14"/>
  <c r="CA270" i="14"/>
  <c r="DP305" i="14"/>
  <c r="DO306" i="14"/>
  <c r="DE174" i="14"/>
  <c r="EE377" i="14"/>
  <c r="ED378" i="14"/>
  <c r="ED342" i="14"/>
  <c r="EE341" i="14"/>
  <c r="DE438" i="14"/>
  <c r="EE497" i="14"/>
  <c r="ED498" i="14"/>
  <c r="CL353" i="14"/>
  <c r="CK354" i="14"/>
  <c r="DE510" i="14"/>
  <c r="EE569" i="14"/>
  <c r="ED570" i="14"/>
  <c r="ED102" i="14"/>
  <c r="EE101" i="14"/>
  <c r="CQ353" i="14"/>
  <c r="CP354" i="14"/>
  <c r="DP101" i="14"/>
  <c r="DO102" i="14"/>
  <c r="CP510" i="14"/>
  <c r="CQ509" i="14"/>
  <c r="DE330" i="14"/>
  <c r="DK257" i="14"/>
  <c r="DJ258" i="14"/>
  <c r="CG209" i="14"/>
  <c r="CF210" i="14"/>
  <c r="DT258" i="14"/>
  <c r="DU257" i="14"/>
  <c r="CZ54" i="14"/>
  <c r="DA53" i="14"/>
  <c r="CA534" i="14"/>
  <c r="CU90" i="14"/>
  <c r="CV89" i="14"/>
  <c r="CA366" i="14"/>
  <c r="DZ353" i="14"/>
  <c r="DY354" i="14"/>
  <c r="DE210" i="14"/>
  <c r="CL125" i="14"/>
  <c r="CK126" i="14"/>
  <c r="CG197" i="14"/>
  <c r="CF198" i="14"/>
  <c r="CG149" i="14"/>
  <c r="CF150" i="14"/>
  <c r="DJ90" i="14"/>
  <c r="DK89" i="14"/>
  <c r="CZ630" i="14"/>
  <c r="DA629" i="14"/>
  <c r="CL425" i="14"/>
  <c r="CK426" i="14"/>
  <c r="CU306" i="14"/>
  <c r="CV305" i="14"/>
  <c r="CA102" i="14"/>
  <c r="CZ510" i="14"/>
  <c r="DA509" i="14"/>
  <c r="ED174" i="14"/>
  <c r="EE173" i="14"/>
  <c r="DZ65" i="14"/>
  <c r="DY66" i="14"/>
  <c r="DP545" i="14"/>
  <c r="DO546" i="14"/>
  <c r="DZ185" i="14"/>
  <c r="DY186" i="14"/>
  <c r="DP509" i="14"/>
  <c r="DO510" i="14"/>
  <c r="CU174" i="14"/>
  <c r="CV173" i="14"/>
  <c r="DJ642" i="14"/>
  <c r="DK641" i="14"/>
  <c r="CQ173" i="14"/>
  <c r="CP174" i="14"/>
  <c r="CK534" i="14"/>
  <c r="CL533" i="14"/>
  <c r="DA305" i="14"/>
  <c r="CZ306" i="14"/>
  <c r="ED678" i="14"/>
  <c r="EE677" i="14"/>
  <c r="DE270" i="14"/>
  <c r="CG89" i="14"/>
  <c r="CF90" i="14"/>
  <c r="DT390" i="14"/>
  <c r="DU389" i="14"/>
  <c r="CQ665" i="14"/>
  <c r="CP666" i="14"/>
  <c r="CP138" i="14"/>
  <c r="CQ137" i="14"/>
  <c r="DE582" i="14"/>
  <c r="DE162" i="14"/>
  <c r="DA581" i="14"/>
  <c r="CZ582" i="14"/>
  <c r="DT318" i="14"/>
  <c r="DU317" i="14"/>
  <c r="CZ522" i="14"/>
  <c r="DA521" i="14"/>
  <c r="DA101" i="14"/>
  <c r="CZ102" i="14"/>
  <c r="DE474" i="14"/>
  <c r="DZ545" i="14"/>
  <c r="DY546" i="14"/>
  <c r="CQ125" i="14"/>
  <c r="CP126" i="14"/>
  <c r="ED294" i="14"/>
  <c r="EE293" i="14"/>
  <c r="CP678" i="14"/>
  <c r="CQ677" i="14"/>
  <c r="DE402" i="14"/>
  <c r="DA605" i="14"/>
  <c r="CZ606" i="14"/>
  <c r="CK450" i="14"/>
  <c r="CL449" i="14"/>
  <c r="DZ521" i="14"/>
  <c r="DY522" i="14"/>
  <c r="DJ186" i="14"/>
  <c r="DK185" i="14"/>
  <c r="DT666" i="14"/>
  <c r="DU665" i="14"/>
  <c r="CF294" i="14"/>
  <c r="CG293" i="14"/>
  <c r="CZ354" i="14"/>
  <c r="DA353" i="14"/>
  <c r="ED54" i="14"/>
  <c r="EE53" i="14"/>
  <c r="DZ557" i="14"/>
  <c r="DY558" i="14"/>
  <c r="CU294" i="14"/>
  <c r="CV293" i="14"/>
  <c r="EE485" i="14"/>
  <c r="ED486" i="14"/>
  <c r="DA365" i="14"/>
  <c r="CZ366" i="14"/>
  <c r="DO438" i="14"/>
  <c r="DP437" i="14"/>
  <c r="CK474" i="14"/>
  <c r="CL473" i="14"/>
  <c r="CF666" i="14"/>
  <c r="CG665" i="14"/>
  <c r="CQ497" i="14"/>
  <c r="CP498" i="14"/>
  <c r="DY474" i="14"/>
  <c r="DZ473" i="14"/>
  <c r="DK557" i="14"/>
  <c r="DJ558" i="14"/>
  <c r="DT474" i="14"/>
  <c r="DU473" i="14"/>
  <c r="DA149" i="14"/>
  <c r="CZ150" i="14"/>
  <c r="ED630" i="14"/>
  <c r="EE629" i="14"/>
  <c r="DE294" i="14"/>
  <c r="CV113" i="14"/>
  <c r="CU114" i="14"/>
  <c r="CU318" i="14"/>
  <c r="CV317" i="14"/>
  <c r="CL221" i="14"/>
  <c r="CK222" i="14"/>
  <c r="CK270" i="14"/>
  <c r="CL269" i="14"/>
  <c r="DZ245" i="14"/>
  <c r="DY246" i="14"/>
  <c r="DY342" i="14"/>
  <c r="DZ341" i="14"/>
  <c r="ED642" i="14"/>
  <c r="EE641" i="14"/>
  <c r="CV53" i="14"/>
  <c r="CU54" i="14"/>
  <c r="CG281" i="14"/>
  <c r="CF282" i="14"/>
  <c r="DE546" i="14"/>
  <c r="CV569" i="14"/>
  <c r="CU570" i="14"/>
  <c r="EE329" i="14"/>
  <c r="ED330" i="14"/>
  <c r="EE281" i="14"/>
  <c r="ED282" i="14"/>
  <c r="CA150" i="14"/>
  <c r="CL641" i="14"/>
  <c r="CK642" i="14"/>
  <c r="CF342" i="14"/>
  <c r="CG341" i="14"/>
  <c r="CV221" i="14"/>
  <c r="CU222" i="14"/>
  <c r="CV329" i="14"/>
  <c r="CU330" i="14"/>
  <c r="CQ221" i="14"/>
  <c r="CP222" i="14"/>
  <c r="CF438" i="14"/>
  <c r="CG437" i="14"/>
  <c r="CU198" i="14"/>
  <c r="CV197" i="14"/>
  <c r="CG473" i="14"/>
  <c r="CF474" i="14"/>
  <c r="DJ402" i="14"/>
  <c r="DK401" i="14"/>
  <c r="DO606" i="14"/>
  <c r="DP605" i="14"/>
  <c r="DK545" i="14"/>
  <c r="DJ546" i="14"/>
  <c r="CV149" i="14"/>
  <c r="CU150" i="14"/>
  <c r="CV617" i="14"/>
  <c r="CU618" i="14"/>
  <c r="CK114" i="14"/>
  <c r="CL113" i="14"/>
  <c r="CG185" i="14"/>
  <c r="CF186" i="14"/>
  <c r="DT174" i="14"/>
  <c r="DU173" i="14"/>
  <c r="DZ89" i="14"/>
  <c r="DY90" i="14"/>
  <c r="EE305" i="14"/>
  <c r="ED306" i="14"/>
  <c r="DU269" i="14"/>
  <c r="DT270" i="14"/>
  <c r="DJ678" i="14"/>
  <c r="DK677" i="14"/>
  <c r="CZ486" i="14"/>
  <c r="DA485" i="14"/>
  <c r="DK221" i="14"/>
  <c r="DJ222" i="14"/>
  <c r="CA522" i="14"/>
  <c r="CL305" i="14"/>
  <c r="CK306" i="14"/>
  <c r="CV161" i="14"/>
  <c r="CU162" i="14"/>
  <c r="DU545" i="14"/>
  <c r="DT546" i="14"/>
  <c r="CP474" i="14"/>
  <c r="CQ473" i="14"/>
  <c r="CQ245" i="14"/>
  <c r="CP246" i="14"/>
  <c r="DE258" i="14"/>
  <c r="CP450" i="14"/>
  <c r="CQ449" i="14"/>
  <c r="CA606" i="14"/>
  <c r="CF246" i="14"/>
  <c r="CG245" i="14"/>
  <c r="DE198" i="14"/>
  <c r="CA282" i="14"/>
  <c r="DE186" i="14"/>
  <c r="EE209" i="14"/>
  <c r="ED210" i="14"/>
  <c r="ED522" i="14"/>
  <c r="EE521" i="14"/>
  <c r="CF630" i="14"/>
  <c r="CG629" i="14"/>
  <c r="CP258" i="14"/>
  <c r="CQ257" i="14"/>
  <c r="ED150" i="14"/>
  <c r="EE149" i="14"/>
  <c r="DK461" i="14"/>
  <c r="DJ462" i="14"/>
  <c r="CF558" i="14"/>
  <c r="CG557" i="14"/>
  <c r="DE498" i="14"/>
  <c r="DY426" i="14"/>
  <c r="DZ425" i="14"/>
  <c r="CG389" i="14"/>
  <c r="CF390" i="14"/>
  <c r="DE54" i="14"/>
  <c r="ED666" i="14"/>
  <c r="EE665" i="14"/>
  <c r="CP306" i="14"/>
  <c r="CQ305" i="14"/>
  <c r="DT198" i="14"/>
  <c r="DU197" i="14"/>
  <c r="CQ437" i="14"/>
  <c r="CP438" i="14"/>
  <c r="CU534" i="14"/>
  <c r="CV533" i="14"/>
  <c r="DZ365" i="14"/>
  <c r="DY366" i="14"/>
  <c r="DY606" i="14"/>
  <c r="DZ605" i="14"/>
  <c r="DP113" i="14"/>
  <c r="DO114" i="14"/>
  <c r="DU677" i="14"/>
  <c r="DT678" i="14"/>
  <c r="CF618" i="14"/>
  <c r="CG617" i="14"/>
  <c r="CA114" i="14"/>
  <c r="CK414" i="14"/>
  <c r="CL413" i="14"/>
  <c r="DK497" i="14"/>
  <c r="DJ498" i="14"/>
  <c r="DY258" i="14"/>
  <c r="DZ257" i="14"/>
  <c r="CQ281" i="14"/>
  <c r="CP282" i="14"/>
  <c r="CQ533" i="14"/>
  <c r="CP534" i="14"/>
  <c r="CA390" i="14"/>
  <c r="DK149" i="14"/>
  <c r="DJ150" i="14"/>
  <c r="DY654" i="14"/>
  <c r="DZ653" i="14"/>
  <c r="DT102" i="14"/>
  <c r="DU101" i="14"/>
  <c r="DU437" i="14"/>
  <c r="DT438" i="14"/>
  <c r="DE138" i="14"/>
  <c r="CA462" i="14"/>
  <c r="DA209" i="14"/>
  <c r="CZ210" i="14"/>
  <c r="DO462" i="14"/>
  <c r="DP461" i="14"/>
  <c r="DK65" i="14"/>
  <c r="DJ66" i="14"/>
  <c r="DY594" i="14"/>
  <c r="DZ593" i="14"/>
  <c r="DY642" i="14"/>
  <c r="DZ641" i="14"/>
  <c r="CU426" i="14"/>
  <c r="CV425" i="14"/>
  <c r="CL173" i="14"/>
  <c r="CK174" i="14"/>
  <c r="CV581" i="14"/>
  <c r="CU582" i="14"/>
  <c r="DA161" i="14"/>
  <c r="CZ162" i="14"/>
  <c r="CA486" i="14"/>
  <c r="CG305" i="14"/>
  <c r="CF306" i="14"/>
  <c r="EE269" i="14"/>
  <c r="ED270" i="14"/>
  <c r="DU569" i="14"/>
  <c r="DT570" i="14"/>
  <c r="DA389" i="14"/>
  <c r="CZ390" i="14"/>
  <c r="DE630" i="14"/>
  <c r="DZ317" i="14"/>
  <c r="DY318" i="14"/>
  <c r="DZ509" i="14"/>
  <c r="DY510" i="14"/>
  <c r="DJ438" i="14"/>
  <c r="DK437" i="14"/>
  <c r="DE66" i="14"/>
  <c r="DJ414" i="14"/>
  <c r="DK413" i="14"/>
  <c r="CF138" i="14"/>
  <c r="CG137" i="14"/>
  <c r="DP449" i="14"/>
  <c r="DO450" i="14"/>
  <c r="CF366" i="14"/>
  <c r="CG365" i="14"/>
  <c r="DE150" i="14"/>
  <c r="ED606" i="14"/>
  <c r="EE605" i="14"/>
  <c r="DZ677" i="14"/>
  <c r="DY678" i="14"/>
  <c r="CG497" i="14"/>
  <c r="CF498" i="14"/>
  <c r="CK234" i="14"/>
  <c r="CL233" i="14"/>
  <c r="DZ293" i="14"/>
  <c r="DY294" i="14"/>
  <c r="DE594" i="14"/>
  <c r="CA354" i="14"/>
  <c r="CP318" i="14"/>
  <c r="CQ317" i="14"/>
  <c r="DU53" i="14"/>
  <c r="DT54" i="14"/>
  <c r="DE426" i="14"/>
  <c r="DT630" i="14"/>
  <c r="DU629" i="14"/>
  <c r="ED354" i="14"/>
  <c r="EE353" i="14"/>
  <c r="CV677" i="14"/>
  <c r="CU678" i="14"/>
  <c r="DE450" i="14"/>
  <c r="CL317" i="14"/>
  <c r="CK318" i="14"/>
  <c r="DE222" i="14"/>
  <c r="DF75" i="14"/>
  <c r="CB75" i="14"/>
  <c r="DT75" i="14"/>
  <c r="DU74" i="14"/>
  <c r="DZ74" i="14"/>
  <c r="DY75" i="14"/>
  <c r="CL74" i="14"/>
  <c r="CK75" i="14"/>
  <c r="CV74" i="14"/>
  <c r="CU75" i="14"/>
  <c r="CZ75" i="14"/>
  <c r="DA74" i="14"/>
  <c r="DE76" i="14"/>
  <c r="CA76" i="14"/>
  <c r="DO75" i="14"/>
  <c r="DP74" i="14"/>
  <c r="CQ74" i="14"/>
  <c r="CP75" i="14"/>
  <c r="DK74" i="14"/>
  <c r="DJ75" i="14"/>
  <c r="ED75" i="14"/>
  <c r="EE74" i="14"/>
  <c r="CF75" i="14"/>
  <c r="CG74" i="14"/>
  <c r="CB37" i="14"/>
  <c r="BC42" i="14"/>
  <c r="BC43" i="14" s="1"/>
  <c r="AU40" i="14"/>
  <c r="AY40" i="14"/>
  <c r="AW40" i="14"/>
  <c r="AF13" i="43"/>
  <c r="CL37" i="14"/>
  <c r="AF14" i="43"/>
  <c r="CK39" i="14"/>
  <c r="EE38" i="14"/>
  <c r="ED39" i="14"/>
  <c r="AF12" i="43"/>
  <c r="AD24" i="43"/>
  <c r="AD22" i="43"/>
  <c r="AD20" i="43"/>
  <c r="AD13" i="43"/>
  <c r="AD14" i="43"/>
  <c r="AD15" i="43"/>
  <c r="CZ38" i="14"/>
  <c r="DA38" i="14" s="1"/>
  <c r="CF38" i="14"/>
  <c r="CG38" i="14" s="1"/>
  <c r="CU38" i="14"/>
  <c r="CV38" i="14" s="1"/>
  <c r="CA38" i="14"/>
  <c r="CP38" i="14"/>
  <c r="CQ38" i="14" s="1"/>
  <c r="DK38" i="14"/>
  <c r="DJ39" i="14"/>
  <c r="DT39" i="14"/>
  <c r="DU38" i="14"/>
  <c r="DP38" i="14"/>
  <c r="DO39" i="14"/>
  <c r="DZ38" i="14"/>
  <c r="DY39" i="14"/>
  <c r="BA41" i="14"/>
  <c r="DF282" i="14" a="1"/>
  <c r="CB234" i="14" a="1"/>
  <c r="AX39" i="14"/>
  <c r="CB38" i="14" a="1"/>
  <c r="CB174" i="14" a="1"/>
  <c r="CB66" i="14" a="1"/>
  <c r="CB150" i="14" a="1"/>
  <c r="DF210" i="14" a="1"/>
  <c r="CB54" i="14" a="1"/>
  <c r="DF486" i="14" a="1"/>
  <c r="CB642" i="14" a="1"/>
  <c r="CB126" i="14" a="1"/>
  <c r="CB76" i="14" a="1"/>
  <c r="DF342" i="14" a="1"/>
  <c r="CB114" i="14" a="1"/>
  <c r="CB330" i="14" a="1"/>
  <c r="DF582" i="14" a="1"/>
  <c r="CB474" i="14" a="1"/>
  <c r="CB294" i="14" a="1"/>
  <c r="CB558" i="14" a="1"/>
  <c r="CB246" i="14" a="1"/>
  <c r="CB258" i="14" a="1"/>
  <c r="CB630" i="14" a="1"/>
  <c r="CB462" i="14" a="1"/>
  <c r="DF306" i="14" a="1"/>
  <c r="DF390" i="14" a="1"/>
  <c r="CB342" i="14" a="1"/>
  <c r="CB210" i="14" a="1"/>
  <c r="DF198" i="14" a="1"/>
  <c r="CB186" i="14" a="1"/>
  <c r="DF666" i="14" a="1"/>
  <c r="CB138" i="14" a="1"/>
  <c r="BD43" i="14"/>
  <c r="DF222" i="14" a="1"/>
  <c r="BD41" i="14"/>
  <c r="DF294" i="14" a="1"/>
  <c r="DF570" i="14" a="1"/>
  <c r="DF66" i="14" a="1"/>
  <c r="DF102" i="14" a="1"/>
  <c r="CB486" i="14" a="1"/>
  <c r="CB414" i="14" a="1"/>
  <c r="DF378" i="14" a="1"/>
  <c r="DF186" i="14" a="1"/>
  <c r="CB498" i="14" a="1"/>
  <c r="DF150" i="14" a="1"/>
  <c r="CB102" i="14" a="1"/>
  <c r="DF126" i="14" a="1"/>
  <c r="DF510" i="14" a="1"/>
  <c r="DF678" i="14" a="1"/>
  <c r="DF258" i="14" a="1"/>
  <c r="DF606" i="14" a="1"/>
  <c r="DF522" i="14" a="1"/>
  <c r="DF618" i="14" a="1"/>
  <c r="DF318" i="14" a="1"/>
  <c r="CB678" i="14" a="1"/>
  <c r="DF558" i="14" a="1"/>
  <c r="CB522" i="14" a="1"/>
  <c r="DF246" i="14" a="1"/>
  <c r="CB378" i="14" a="1"/>
  <c r="DF354" i="14" a="1"/>
  <c r="DF534" i="14" a="1"/>
  <c r="CB666" i="14" a="1"/>
  <c r="CB618" i="14" a="1"/>
  <c r="CB390" i="14" a="1"/>
  <c r="DF162" i="14" a="1"/>
  <c r="DF594" i="14" a="1"/>
  <c r="DF138" i="14" a="1"/>
  <c r="DF462" i="14" a="1"/>
  <c r="CB366" i="14" a="1"/>
  <c r="DF498" i="14" a="1"/>
  <c r="CB510" i="14" a="1"/>
  <c r="DF90" i="14" a="1"/>
  <c r="CB570" i="14" a="1"/>
  <c r="DF174" i="14" a="1"/>
  <c r="DF114" i="14" a="1"/>
  <c r="CB582" i="14" a="1"/>
  <c r="CB654" i="14" a="1"/>
  <c r="DF630" i="14" a="1"/>
  <c r="DF450" i="14" a="1"/>
  <c r="AV39" i="14"/>
  <c r="CB426" i="14" a="1"/>
  <c r="DF546" i="14" a="1"/>
  <c r="CB402" i="14" a="1"/>
  <c r="CB270" i="14" a="1"/>
  <c r="DF330" i="14" a="1"/>
  <c r="CB606" i="14" a="1"/>
  <c r="CB438" i="14" a="1"/>
  <c r="CB162" i="14" a="1"/>
  <c r="CB198" i="14" a="1"/>
  <c r="CB546" i="14" a="1"/>
  <c r="CB282" i="14" a="1"/>
  <c r="CB222" i="14" a="1"/>
  <c r="DF438" i="14" a="1"/>
  <c r="DF366" i="14" a="1"/>
  <c r="CB306" i="14" a="1"/>
  <c r="CB354" i="14" a="1"/>
  <c r="DF654" i="14" a="1"/>
  <c r="CB90" i="14" a="1"/>
  <c r="DF270" i="14" a="1"/>
  <c r="DF402" i="14" a="1"/>
  <c r="DF76" i="14" a="1"/>
  <c r="CB450" i="14" a="1"/>
  <c r="DF474" i="14" a="1"/>
  <c r="CB318" i="14" a="1"/>
  <c r="CB534" i="14" a="1"/>
  <c r="DF414" i="14" a="1"/>
  <c r="DF54" i="14" a="1"/>
  <c r="CB594" i="14" a="1"/>
  <c r="DF426" i="14" a="1"/>
  <c r="DF642" i="14" a="1"/>
  <c r="DF234" i="14" a="1"/>
  <c r="AZ39" i="14"/>
  <c r="CZ198" i="14" l="1"/>
  <c r="DA198" i="14" s="1"/>
  <c r="DU161" i="14"/>
  <c r="DJ162" i="14"/>
  <c r="DK162" i="14" s="1"/>
  <c r="CZ258" i="14"/>
  <c r="CZ259" i="14" s="1"/>
  <c r="DF594" i="14"/>
  <c r="DF138" i="14"/>
  <c r="CB546" i="14"/>
  <c r="CB426" i="14"/>
  <c r="DF114" i="14"/>
  <c r="CB666" i="14"/>
  <c r="CB558" i="14"/>
  <c r="DF582" i="14"/>
  <c r="CB162" i="14"/>
  <c r="CB378" i="14"/>
  <c r="CB498" i="14"/>
  <c r="CB246" i="14"/>
  <c r="CB90" i="14"/>
  <c r="DF618" i="14"/>
  <c r="DF246" i="14"/>
  <c r="DF498" i="14"/>
  <c r="DF174" i="14"/>
  <c r="CB474" i="14"/>
  <c r="DF282" i="14"/>
  <c r="CB126" i="14"/>
  <c r="CB642" i="14"/>
  <c r="DF522" i="14"/>
  <c r="CB258" i="14"/>
  <c r="CB186" i="14"/>
  <c r="DF678" i="14"/>
  <c r="CB210" i="14"/>
  <c r="CB510" i="14"/>
  <c r="DF234" i="14"/>
  <c r="DF90" i="14"/>
  <c r="DF486" i="14"/>
  <c r="CB342" i="14"/>
  <c r="DF162" i="14"/>
  <c r="DF66" i="14"/>
  <c r="CB114" i="14"/>
  <c r="CB282" i="14"/>
  <c r="DF546" i="14"/>
  <c r="CB678" i="14"/>
  <c r="CB222" i="14"/>
  <c r="CB306" i="14"/>
  <c r="DF378" i="14"/>
  <c r="CB198" i="14"/>
  <c r="CB534" i="14"/>
  <c r="DF186" i="14"/>
  <c r="DF198" i="14"/>
  <c r="DF474" i="14"/>
  <c r="CB438" i="14"/>
  <c r="DF450" i="14"/>
  <c r="CB414" i="14"/>
  <c r="DF462" i="14"/>
  <c r="DF510" i="14"/>
  <c r="DF534" i="14"/>
  <c r="CB234" i="14"/>
  <c r="CB390" i="14"/>
  <c r="CB102" i="14"/>
  <c r="CB270" i="14"/>
  <c r="CB450" i="14"/>
  <c r="CB630" i="14"/>
  <c r="CB330" i="14"/>
  <c r="DF558" i="14"/>
  <c r="DF210" i="14"/>
  <c r="DF126" i="14"/>
  <c r="CB570" i="14"/>
  <c r="CB174" i="14"/>
  <c r="DF666" i="14"/>
  <c r="CB582" i="14"/>
  <c r="DF642" i="14"/>
  <c r="CB522" i="14"/>
  <c r="DF318" i="14"/>
  <c r="DF414" i="14"/>
  <c r="CB618" i="14"/>
  <c r="DF102" i="14"/>
  <c r="CB318" i="14"/>
  <c r="CB138" i="14"/>
  <c r="DF342" i="14"/>
  <c r="DF306" i="14"/>
  <c r="DF426" i="14"/>
  <c r="CB486" i="14"/>
  <c r="CB606" i="14"/>
  <c r="DF294" i="14"/>
  <c r="DF570" i="14"/>
  <c r="DF222" i="14"/>
  <c r="DF402" i="14"/>
  <c r="DF270" i="14"/>
  <c r="CB654" i="14"/>
  <c r="DF390" i="14"/>
  <c r="CB66" i="14"/>
  <c r="CB294" i="14"/>
  <c r="CB594" i="14"/>
  <c r="DF654" i="14"/>
  <c r="CB402" i="14"/>
  <c r="DF606" i="14"/>
  <c r="DF150" i="14"/>
  <c r="DF330" i="14"/>
  <c r="CB354" i="14"/>
  <c r="DF630" i="14"/>
  <c r="CB462" i="14"/>
  <c r="DF54" i="14"/>
  <c r="DF258" i="14"/>
  <c r="CB150" i="14"/>
  <c r="CB366" i="14"/>
  <c r="DF438" i="14"/>
  <c r="DF366" i="14"/>
  <c r="DF354" i="14"/>
  <c r="CB54" i="14"/>
  <c r="DO547" i="14"/>
  <c r="DP546" i="14"/>
  <c r="DU498" i="14"/>
  <c r="DT499" i="14"/>
  <c r="DP402" i="14"/>
  <c r="DO403" i="14"/>
  <c r="ED511" i="14"/>
  <c r="EE510" i="14"/>
  <c r="CU235" i="14"/>
  <c r="CV234" i="14"/>
  <c r="DE595" i="14"/>
  <c r="DP450" i="14"/>
  <c r="DO451" i="14"/>
  <c r="CZ391" i="14"/>
  <c r="DA390" i="14"/>
  <c r="DE139" i="14"/>
  <c r="DZ606" i="14"/>
  <c r="DY607" i="14"/>
  <c r="CG390" i="14"/>
  <c r="CF391" i="14"/>
  <c r="CG630" i="14"/>
  <c r="CF631" i="14"/>
  <c r="CP247" i="14"/>
  <c r="CQ246" i="14"/>
  <c r="CZ487" i="14"/>
  <c r="DA486" i="14"/>
  <c r="CK115" i="14"/>
  <c r="CL114" i="14"/>
  <c r="CV198" i="14"/>
  <c r="CU199" i="14"/>
  <c r="EE282" i="14"/>
  <c r="ED283" i="14"/>
  <c r="DZ342" i="14"/>
  <c r="DY343" i="14"/>
  <c r="CZ151" i="14"/>
  <c r="DA150" i="14"/>
  <c r="CP679" i="14"/>
  <c r="CQ678" i="14"/>
  <c r="DA582" i="14"/>
  <c r="CZ583" i="14"/>
  <c r="ED679" i="14"/>
  <c r="EE678" i="14"/>
  <c r="DO103" i="14"/>
  <c r="DP102" i="14"/>
  <c r="DU294" i="14"/>
  <c r="DT295" i="14"/>
  <c r="CP199" i="14"/>
  <c r="CQ198" i="14"/>
  <c r="DP678" i="14"/>
  <c r="DO679" i="14"/>
  <c r="CU103" i="14"/>
  <c r="CV102" i="14"/>
  <c r="CL258" i="14"/>
  <c r="CK259" i="14"/>
  <c r="DJ523" i="14"/>
  <c r="DK522" i="14"/>
  <c r="CG126" i="14"/>
  <c r="CF127" i="14"/>
  <c r="CA547" i="14"/>
  <c r="CA427" i="14"/>
  <c r="DZ438" i="14"/>
  <c r="DY439" i="14"/>
  <c r="DP378" i="14"/>
  <c r="DO379" i="14"/>
  <c r="DK570" i="14"/>
  <c r="DJ571" i="14"/>
  <c r="CF571" i="14"/>
  <c r="CG570" i="14"/>
  <c r="CP391" i="14"/>
  <c r="CQ390" i="14"/>
  <c r="DY199" i="14"/>
  <c r="DZ198" i="14"/>
  <c r="DO163" i="14"/>
  <c r="DP162" i="14"/>
  <c r="DA174" i="14"/>
  <c r="CZ175" i="14"/>
  <c r="CZ475" i="14"/>
  <c r="DA474" i="14"/>
  <c r="DJ127" i="14"/>
  <c r="DK126" i="14"/>
  <c r="DE115" i="14"/>
  <c r="CP211" i="14"/>
  <c r="CQ210" i="14"/>
  <c r="CU127" i="14"/>
  <c r="CV126" i="14"/>
  <c r="CL294" i="14"/>
  <c r="CK295" i="14"/>
  <c r="DA402" i="14"/>
  <c r="CZ403" i="14"/>
  <c r="CG606" i="14"/>
  <c r="CF607" i="14"/>
  <c r="DK582" i="14"/>
  <c r="DJ583" i="14"/>
  <c r="DP618" i="14"/>
  <c r="DO619" i="14"/>
  <c r="DZ246" i="14"/>
  <c r="DY247" i="14"/>
  <c r="DO595" i="14"/>
  <c r="DP594" i="14"/>
  <c r="CA667" i="14"/>
  <c r="CA559" i="14"/>
  <c r="DU474" i="14"/>
  <c r="DT475" i="14"/>
  <c r="DU666" i="14"/>
  <c r="DT667" i="14"/>
  <c r="CP127" i="14"/>
  <c r="CQ126" i="14"/>
  <c r="DE583" i="14"/>
  <c r="DZ66" i="14"/>
  <c r="DY67" i="14"/>
  <c r="DK90" i="14"/>
  <c r="DJ91" i="14"/>
  <c r="CA163" i="14"/>
  <c r="CK331" i="14"/>
  <c r="CL330" i="14"/>
  <c r="DA126" i="14"/>
  <c r="CZ127" i="14"/>
  <c r="CA379" i="14"/>
  <c r="DK282" i="14"/>
  <c r="DJ283" i="14"/>
  <c r="CG162" i="14"/>
  <c r="CF163" i="14"/>
  <c r="CP235" i="14"/>
  <c r="CQ234" i="14"/>
  <c r="CQ546" i="14"/>
  <c r="CP547" i="14"/>
  <c r="CZ595" i="14"/>
  <c r="DA594" i="14"/>
  <c r="CA499" i="14"/>
  <c r="EE450" i="14"/>
  <c r="ED451" i="14"/>
  <c r="DY391" i="14"/>
  <c r="DZ390" i="14"/>
  <c r="CA247" i="14"/>
  <c r="DO655" i="14"/>
  <c r="DP654" i="14"/>
  <c r="CF103" i="14"/>
  <c r="CG102" i="14"/>
  <c r="CQ186" i="14"/>
  <c r="CP187" i="14"/>
  <c r="DO475" i="14"/>
  <c r="DP474" i="14"/>
  <c r="ED223" i="14"/>
  <c r="EE222" i="14"/>
  <c r="CF55" i="14"/>
  <c r="CG54" i="14"/>
  <c r="EE654" i="14"/>
  <c r="ED655" i="14"/>
  <c r="ED247" i="14"/>
  <c r="EE246" i="14"/>
  <c r="DU366" i="14"/>
  <c r="DT367" i="14"/>
  <c r="DP534" i="14"/>
  <c r="DO535" i="14"/>
  <c r="CV270" i="14"/>
  <c r="CU271" i="14"/>
  <c r="ED439" i="14"/>
  <c r="EE438" i="14"/>
  <c r="CP115" i="14"/>
  <c r="CQ114" i="14"/>
  <c r="CP91" i="14"/>
  <c r="CQ90" i="14"/>
  <c r="DP342" i="14"/>
  <c r="DO343" i="14"/>
  <c r="CA91" i="14"/>
  <c r="CG438" i="14"/>
  <c r="CF439" i="14"/>
  <c r="DE619" i="14"/>
  <c r="DP354" i="14"/>
  <c r="DO355" i="14"/>
  <c r="CK583" i="14"/>
  <c r="CL582" i="14"/>
  <c r="DE247" i="14"/>
  <c r="CQ222" i="14"/>
  <c r="CP223" i="14"/>
  <c r="EE270" i="14"/>
  <c r="ED271" i="14"/>
  <c r="DE499" i="14"/>
  <c r="CU571" i="14"/>
  <c r="CV570" i="14"/>
  <c r="DK558" i="14"/>
  <c r="DJ559" i="14"/>
  <c r="EE486" i="14"/>
  <c r="ED487" i="14"/>
  <c r="CK535" i="14"/>
  <c r="CL534" i="14"/>
  <c r="CF151" i="14"/>
  <c r="CG150" i="14"/>
  <c r="CZ55" i="14"/>
  <c r="DA54" i="14"/>
  <c r="DE175" i="14"/>
  <c r="CA475" i="14"/>
  <c r="DY619" i="14"/>
  <c r="DZ618" i="14"/>
  <c r="DO247" i="14"/>
  <c r="DP246" i="14"/>
  <c r="CF271" i="14"/>
  <c r="CG270" i="14"/>
  <c r="DZ402" i="14"/>
  <c r="DY403" i="14"/>
  <c r="CF67" i="14"/>
  <c r="CG66" i="14"/>
  <c r="EE534" i="14"/>
  <c r="ED535" i="14"/>
  <c r="DP186" i="14"/>
  <c r="DO187" i="14"/>
  <c r="DJ355" i="14"/>
  <c r="DK354" i="14"/>
  <c r="DE283" i="14"/>
  <c r="CQ414" i="14"/>
  <c r="CP415" i="14"/>
  <c r="DK270" i="14"/>
  <c r="DJ271" i="14"/>
  <c r="CV186" i="14"/>
  <c r="CU187" i="14"/>
  <c r="DT223" i="14"/>
  <c r="DU222" i="14"/>
  <c r="EE66" i="14"/>
  <c r="ED67" i="14"/>
  <c r="CL546" i="14"/>
  <c r="CK547" i="14"/>
  <c r="DO199" i="14"/>
  <c r="DP198" i="14"/>
  <c r="DU162" i="14"/>
  <c r="DT163" i="14"/>
  <c r="DU138" i="14"/>
  <c r="DT139" i="14"/>
  <c r="DA498" i="14"/>
  <c r="CZ499" i="14"/>
  <c r="CG510" i="14"/>
  <c r="CF511" i="14"/>
  <c r="DT463" i="14"/>
  <c r="DU462" i="14"/>
  <c r="CK187" i="14"/>
  <c r="CL186" i="14"/>
  <c r="CL510" i="14"/>
  <c r="CK511" i="14"/>
  <c r="CV354" i="14"/>
  <c r="CU355" i="14"/>
  <c r="DJ295" i="14"/>
  <c r="DK294" i="14"/>
  <c r="DU654" i="14"/>
  <c r="DT655" i="14"/>
  <c r="EE474" i="14"/>
  <c r="ED475" i="14"/>
  <c r="DJ379" i="14"/>
  <c r="DK378" i="14"/>
  <c r="CA127" i="14"/>
  <c r="CU247" i="14"/>
  <c r="CV246" i="14"/>
  <c r="DY367" i="14"/>
  <c r="DZ366" i="14"/>
  <c r="CZ631" i="14"/>
  <c r="DA630" i="14"/>
  <c r="CP103" i="14"/>
  <c r="CQ102" i="14"/>
  <c r="CZ619" i="14"/>
  <c r="DA618" i="14"/>
  <c r="EE390" i="14"/>
  <c r="ED391" i="14"/>
  <c r="DY427" i="14"/>
  <c r="DZ426" i="14"/>
  <c r="CF499" i="14"/>
  <c r="CG498" i="14"/>
  <c r="CQ438" i="14"/>
  <c r="CP439" i="14"/>
  <c r="DJ187" i="14"/>
  <c r="DK186" i="14"/>
  <c r="CQ138" i="14"/>
  <c r="CP139" i="14"/>
  <c r="CQ174" i="14"/>
  <c r="CP175" i="14"/>
  <c r="EE102" i="14"/>
  <c r="ED103" i="14"/>
  <c r="CK91" i="14"/>
  <c r="CL90" i="14"/>
  <c r="DY451" i="14"/>
  <c r="DZ450" i="14"/>
  <c r="CA643" i="14"/>
  <c r="DU282" i="14"/>
  <c r="DT283" i="14"/>
  <c r="DE523" i="14"/>
  <c r="CA259" i="14"/>
  <c r="CA187" i="14"/>
  <c r="ED235" i="14"/>
  <c r="EE234" i="14"/>
  <c r="DZ330" i="14"/>
  <c r="DY331" i="14"/>
  <c r="ED367" i="14"/>
  <c r="EE366" i="14"/>
  <c r="DP630" i="14"/>
  <c r="DO631" i="14"/>
  <c r="DE679" i="14"/>
  <c r="CA211" i="14"/>
  <c r="CA511" i="14"/>
  <c r="CP595" i="14"/>
  <c r="CQ594" i="14"/>
  <c r="DP90" i="14"/>
  <c r="DO91" i="14"/>
  <c r="DP210" i="14"/>
  <c r="DO211" i="14"/>
  <c r="CV438" i="14"/>
  <c r="CU439" i="14"/>
  <c r="CV498" i="14"/>
  <c r="CU499" i="14"/>
  <c r="DE235" i="14"/>
  <c r="CG486" i="14"/>
  <c r="CF487" i="14"/>
  <c r="DP126" i="14"/>
  <c r="DO127" i="14"/>
  <c r="CP331" i="14"/>
  <c r="CQ330" i="14"/>
  <c r="DE91" i="14"/>
  <c r="CZ295" i="14"/>
  <c r="DA294" i="14"/>
  <c r="ED583" i="14"/>
  <c r="EE582" i="14"/>
  <c r="DE487" i="14"/>
  <c r="DZ282" i="14"/>
  <c r="DY283" i="14"/>
  <c r="CZ427" i="14"/>
  <c r="DA426" i="14"/>
  <c r="DK450" i="14"/>
  <c r="DJ451" i="14"/>
  <c r="DZ138" i="14"/>
  <c r="DY139" i="14"/>
  <c r="DO667" i="14"/>
  <c r="DP666" i="14"/>
  <c r="DP234" i="14"/>
  <c r="DO235" i="14"/>
  <c r="DP150" i="14"/>
  <c r="DO151" i="14"/>
  <c r="DT439" i="14"/>
  <c r="DU438" i="14"/>
  <c r="DY259" i="14"/>
  <c r="DZ258" i="14"/>
  <c r="CV618" i="14"/>
  <c r="CU619" i="14"/>
  <c r="CG294" i="14"/>
  <c r="CF295" i="14"/>
  <c r="CV90" i="14"/>
  <c r="CU91" i="14"/>
  <c r="CZ331" i="14"/>
  <c r="DA330" i="14"/>
  <c r="CA343" i="14"/>
  <c r="DK246" i="14"/>
  <c r="DJ247" i="14"/>
  <c r="CK283" i="14"/>
  <c r="CL282" i="14"/>
  <c r="DU330" i="14"/>
  <c r="DT331" i="14"/>
  <c r="CG522" i="14"/>
  <c r="CF523" i="14"/>
  <c r="CV678" i="14"/>
  <c r="CU679" i="14"/>
  <c r="DT571" i="14"/>
  <c r="DU570" i="14"/>
  <c r="DJ499" i="14"/>
  <c r="DK498" i="14"/>
  <c r="DE163" i="14"/>
  <c r="ED379" i="14"/>
  <c r="EE378" i="14"/>
  <c r="DU534" i="14"/>
  <c r="DT535" i="14"/>
  <c r="CK343" i="14"/>
  <c r="CL342" i="14"/>
  <c r="CG138" i="14"/>
  <c r="CF139" i="14"/>
  <c r="DY643" i="14"/>
  <c r="DZ642" i="14"/>
  <c r="CU535" i="14"/>
  <c r="CV534" i="14"/>
  <c r="CK415" i="14"/>
  <c r="CL414" i="14"/>
  <c r="DE67" i="14"/>
  <c r="CG306" i="14"/>
  <c r="CF307" i="14"/>
  <c r="DY595" i="14"/>
  <c r="DZ594" i="14"/>
  <c r="DY655" i="14"/>
  <c r="DZ654" i="14"/>
  <c r="CA115" i="14"/>
  <c r="CF559" i="14"/>
  <c r="CG558" i="14"/>
  <c r="CA283" i="14"/>
  <c r="CU163" i="14"/>
  <c r="CV162" i="14"/>
  <c r="DE547" i="14"/>
  <c r="DY523" i="14"/>
  <c r="DZ522" i="14"/>
  <c r="CQ666" i="14"/>
  <c r="CP667" i="14"/>
  <c r="ED175" i="14"/>
  <c r="EE174" i="14"/>
  <c r="CG198" i="14"/>
  <c r="CF199" i="14"/>
  <c r="DU258" i="14"/>
  <c r="DT259" i="14"/>
  <c r="EE570" i="14"/>
  <c r="ED571" i="14"/>
  <c r="CL654" i="14"/>
  <c r="CK655" i="14"/>
  <c r="DA222" i="14"/>
  <c r="CZ223" i="14"/>
  <c r="DY583" i="14"/>
  <c r="DZ582" i="14"/>
  <c r="ED427" i="14"/>
  <c r="EE426" i="14"/>
  <c r="DY55" i="14"/>
  <c r="DZ54" i="14"/>
  <c r="DZ378" i="14"/>
  <c r="DY379" i="14"/>
  <c r="CQ642" i="14"/>
  <c r="CP643" i="14"/>
  <c r="CA679" i="14"/>
  <c r="CG318" i="14"/>
  <c r="CF319" i="14"/>
  <c r="ED127" i="14"/>
  <c r="EE126" i="14"/>
  <c r="CA223" i="14"/>
  <c r="CK103" i="14"/>
  <c r="CL102" i="14"/>
  <c r="CA307" i="14"/>
  <c r="CP343" i="14"/>
  <c r="CQ342" i="14"/>
  <c r="CF583" i="14"/>
  <c r="CG582" i="14"/>
  <c r="CK439" i="14"/>
  <c r="CL438" i="14"/>
  <c r="DK534" i="14"/>
  <c r="DJ535" i="14"/>
  <c r="CZ679" i="14"/>
  <c r="DA678" i="14"/>
  <c r="CL558" i="14"/>
  <c r="CK559" i="14"/>
  <c r="DE379" i="14"/>
  <c r="EE186" i="14"/>
  <c r="ED187" i="14"/>
  <c r="CK247" i="14"/>
  <c r="CL246" i="14"/>
  <c r="CQ150" i="14"/>
  <c r="CP151" i="14"/>
  <c r="DO367" i="14"/>
  <c r="DP366" i="14"/>
  <c r="DT643" i="14"/>
  <c r="DU642" i="14"/>
  <c r="DJ391" i="14"/>
  <c r="DK390" i="14"/>
  <c r="CK379" i="14"/>
  <c r="CL378" i="14"/>
  <c r="CQ402" i="14"/>
  <c r="CP403" i="14"/>
  <c r="DY151" i="14"/>
  <c r="DZ150" i="14"/>
  <c r="CK487" i="14"/>
  <c r="CL486" i="14"/>
  <c r="CZ643" i="14"/>
  <c r="DA642" i="14"/>
  <c r="DA306" i="14"/>
  <c r="CZ307" i="14"/>
  <c r="ED343" i="14"/>
  <c r="EE342" i="14"/>
  <c r="CF331" i="14"/>
  <c r="CG330" i="14"/>
  <c r="CA199" i="14"/>
  <c r="DA366" i="14"/>
  <c r="CZ367" i="14"/>
  <c r="CA535" i="14"/>
  <c r="CV150" i="14"/>
  <c r="CU151" i="14"/>
  <c r="CK235" i="14"/>
  <c r="CL234" i="14"/>
  <c r="DT103" i="14"/>
  <c r="DU102" i="14"/>
  <c r="DT547" i="14"/>
  <c r="DU546" i="14"/>
  <c r="CL270" i="14"/>
  <c r="CK271" i="14"/>
  <c r="ED355" i="14"/>
  <c r="EE354" i="14"/>
  <c r="DK414" i="14"/>
  <c r="DJ415" i="14"/>
  <c r="DE187" i="14"/>
  <c r="EE306" i="14"/>
  <c r="ED307" i="14"/>
  <c r="DK546" i="14"/>
  <c r="DJ547" i="14"/>
  <c r="CU331" i="14"/>
  <c r="CV330" i="14"/>
  <c r="CL222" i="14"/>
  <c r="CK223" i="14"/>
  <c r="DZ546" i="14"/>
  <c r="DY547" i="14"/>
  <c r="DU630" i="14"/>
  <c r="DT631" i="14"/>
  <c r="DY679" i="14"/>
  <c r="DZ678" i="14"/>
  <c r="DJ67" i="14"/>
  <c r="DK66" i="14"/>
  <c r="DJ151" i="14"/>
  <c r="DK150" i="14"/>
  <c r="DK462" i="14"/>
  <c r="DJ463" i="14"/>
  <c r="DE199" i="14"/>
  <c r="DY91" i="14"/>
  <c r="DZ90" i="14"/>
  <c r="CV222" i="14"/>
  <c r="CU223" i="14"/>
  <c r="CF283" i="14"/>
  <c r="CG282" i="14"/>
  <c r="DY475" i="14"/>
  <c r="DZ474" i="14"/>
  <c r="CV294" i="14"/>
  <c r="CU295" i="14"/>
  <c r="DE475" i="14"/>
  <c r="CF211" i="14"/>
  <c r="CG210" i="14"/>
  <c r="DO307" i="14"/>
  <c r="DP306" i="14"/>
  <c r="DP66" i="14"/>
  <c r="DO67" i="14"/>
  <c r="CZ319" i="14"/>
  <c r="DA318" i="14"/>
  <c r="EE318" i="14"/>
  <c r="ED319" i="14"/>
  <c r="DT607" i="14"/>
  <c r="DU606" i="14"/>
  <c r="DP426" i="14"/>
  <c r="DO427" i="14"/>
  <c r="EE594" i="14"/>
  <c r="ED595" i="14"/>
  <c r="CV510" i="14"/>
  <c r="CU511" i="14"/>
  <c r="DP498" i="14"/>
  <c r="DO499" i="14"/>
  <c r="DZ306" i="14"/>
  <c r="DY307" i="14"/>
  <c r="CQ66" i="14"/>
  <c r="CP67" i="14"/>
  <c r="CU547" i="14"/>
  <c r="CV546" i="14"/>
  <c r="CV654" i="14"/>
  <c r="CU655" i="14"/>
  <c r="DT487" i="14"/>
  <c r="DU486" i="14"/>
  <c r="DT247" i="14"/>
  <c r="DU246" i="14"/>
  <c r="DA342" i="14"/>
  <c r="CZ343" i="14"/>
  <c r="CA439" i="14"/>
  <c r="DO139" i="14"/>
  <c r="DP138" i="14"/>
  <c r="DZ234" i="14"/>
  <c r="DY235" i="14"/>
  <c r="CF595" i="14"/>
  <c r="CG594" i="14"/>
  <c r="CG234" i="14"/>
  <c r="CF235" i="14"/>
  <c r="CG654" i="14"/>
  <c r="CF655" i="14"/>
  <c r="ED199" i="14"/>
  <c r="EE198" i="14"/>
  <c r="CK667" i="14"/>
  <c r="CL666" i="14"/>
  <c r="DK342" i="14"/>
  <c r="DJ343" i="14"/>
  <c r="CU487" i="14"/>
  <c r="CV486" i="14"/>
  <c r="CV594" i="14"/>
  <c r="CU595" i="14"/>
  <c r="DP582" i="14"/>
  <c r="DO583" i="14"/>
  <c r="CV66" i="14"/>
  <c r="CU67" i="14"/>
  <c r="CF451" i="14"/>
  <c r="CG450" i="14"/>
  <c r="CK367" i="14"/>
  <c r="CL366" i="14"/>
  <c r="DE451" i="14"/>
  <c r="DZ498" i="14"/>
  <c r="DY499" i="14"/>
  <c r="ED547" i="14"/>
  <c r="EE546" i="14"/>
  <c r="ED163" i="14"/>
  <c r="EE162" i="14"/>
  <c r="CU427" i="14"/>
  <c r="CV426" i="14"/>
  <c r="CP355" i="14"/>
  <c r="CQ354" i="14"/>
  <c r="CF379" i="14"/>
  <c r="CG378" i="14"/>
  <c r="CA415" i="14"/>
  <c r="DE463" i="14"/>
  <c r="DK606" i="14"/>
  <c r="DJ607" i="14"/>
  <c r="DT199" i="14"/>
  <c r="DU198" i="14"/>
  <c r="CK307" i="14"/>
  <c r="CL306" i="14"/>
  <c r="CP499" i="14"/>
  <c r="CQ498" i="14"/>
  <c r="DA102" i="14"/>
  <c r="CZ103" i="14"/>
  <c r="DJ643" i="14"/>
  <c r="DK642" i="14"/>
  <c r="CZ511" i="14"/>
  <c r="DA510" i="14"/>
  <c r="CK127" i="14"/>
  <c r="CL126" i="14"/>
  <c r="DE511" i="14"/>
  <c r="DU126" i="14"/>
  <c r="DT127" i="14"/>
  <c r="DE535" i="14"/>
  <c r="CK391" i="14"/>
  <c r="CL390" i="14"/>
  <c r="DK54" i="14"/>
  <c r="DJ55" i="14"/>
  <c r="DY103" i="14"/>
  <c r="DZ102" i="14"/>
  <c r="DU378" i="14"/>
  <c r="DT379" i="14"/>
  <c r="DA450" i="14"/>
  <c r="CZ451" i="14"/>
  <c r="CZ415" i="14"/>
  <c r="DA414" i="14"/>
  <c r="CA235" i="14"/>
  <c r="CU607" i="14"/>
  <c r="CV606" i="14"/>
  <c r="CZ559" i="14"/>
  <c r="DA558" i="14"/>
  <c r="DP522" i="14"/>
  <c r="DO523" i="14"/>
  <c r="DP486" i="14"/>
  <c r="DO487" i="14"/>
  <c r="DO271" i="14"/>
  <c r="DP270" i="14"/>
  <c r="CU559" i="14"/>
  <c r="CV558" i="14"/>
  <c r="DY571" i="14"/>
  <c r="DZ570" i="14"/>
  <c r="CL522" i="14"/>
  <c r="CK523" i="14"/>
  <c r="CQ606" i="14"/>
  <c r="CP607" i="14"/>
  <c r="DP54" i="14"/>
  <c r="DO55" i="14"/>
  <c r="CQ654" i="14"/>
  <c r="CP655" i="14"/>
  <c r="ED259" i="14"/>
  <c r="EE258" i="14"/>
  <c r="CQ294" i="14"/>
  <c r="CP295" i="14"/>
  <c r="DU54" i="14"/>
  <c r="DT55" i="14"/>
  <c r="DA162" i="14"/>
  <c r="CZ163" i="14"/>
  <c r="CA391" i="14"/>
  <c r="CF247" i="14"/>
  <c r="CG246" i="14"/>
  <c r="CV54" i="14"/>
  <c r="CU55" i="14"/>
  <c r="CL450" i="14"/>
  <c r="CK451" i="14"/>
  <c r="DT391" i="14"/>
  <c r="DU390" i="14"/>
  <c r="CA103" i="14"/>
  <c r="DK258" i="14"/>
  <c r="DJ259" i="14"/>
  <c r="CK355" i="14"/>
  <c r="CL354" i="14"/>
  <c r="CA271" i="14"/>
  <c r="DK366" i="14"/>
  <c r="DJ367" i="14"/>
  <c r="DJ631" i="14"/>
  <c r="DK630" i="14"/>
  <c r="ED91" i="14"/>
  <c r="EE90" i="14"/>
  <c r="CP427" i="14"/>
  <c r="CQ426" i="14"/>
  <c r="CK163" i="14"/>
  <c r="CL162" i="14"/>
  <c r="DK138" i="14"/>
  <c r="DJ139" i="14"/>
  <c r="DA234" i="14"/>
  <c r="CZ235" i="14"/>
  <c r="DK114" i="14"/>
  <c r="DJ115" i="14"/>
  <c r="CP571" i="14"/>
  <c r="CQ570" i="14"/>
  <c r="CU379" i="14"/>
  <c r="CV378" i="14"/>
  <c r="CG642" i="14"/>
  <c r="CF643" i="14"/>
  <c r="CA451" i="14"/>
  <c r="CA631" i="14"/>
  <c r="DO643" i="14"/>
  <c r="DP642" i="14"/>
  <c r="CQ462" i="14"/>
  <c r="CP463" i="14"/>
  <c r="DA114" i="14"/>
  <c r="CZ115" i="14"/>
  <c r="DU594" i="14"/>
  <c r="DT595" i="14"/>
  <c r="CF259" i="14"/>
  <c r="CG258" i="14"/>
  <c r="CU259" i="14"/>
  <c r="CV258" i="14"/>
  <c r="DU234" i="14"/>
  <c r="DT235" i="14"/>
  <c r="ED559" i="14"/>
  <c r="EE558" i="14"/>
  <c r="CQ486" i="14"/>
  <c r="CP487" i="14"/>
  <c r="CF403" i="14"/>
  <c r="CG402" i="14"/>
  <c r="DJ199" i="14"/>
  <c r="DK198" i="14"/>
  <c r="CP631" i="14"/>
  <c r="CQ630" i="14"/>
  <c r="DP330" i="14"/>
  <c r="DO331" i="14"/>
  <c r="CG426" i="14"/>
  <c r="CF427" i="14"/>
  <c r="CV630" i="14"/>
  <c r="CU631" i="14"/>
  <c r="CV342" i="14"/>
  <c r="CU343" i="14"/>
  <c r="DJ175" i="14"/>
  <c r="DK174" i="14"/>
  <c r="CA331" i="14"/>
  <c r="DZ162" i="14"/>
  <c r="DY163" i="14"/>
  <c r="DT415" i="14"/>
  <c r="DU414" i="14"/>
  <c r="CG414" i="14"/>
  <c r="CF415" i="14"/>
  <c r="CL138" i="14"/>
  <c r="CK139" i="14"/>
  <c r="DJ655" i="14"/>
  <c r="DK654" i="14"/>
  <c r="DE559" i="14"/>
  <c r="CK571" i="14"/>
  <c r="CL570" i="14"/>
  <c r="ED211" i="14"/>
  <c r="EE210" i="14"/>
  <c r="CG618" i="14"/>
  <c r="CF619" i="14"/>
  <c r="DO463" i="14"/>
  <c r="DP462" i="14"/>
  <c r="CG90" i="14"/>
  <c r="CF91" i="14"/>
  <c r="CV174" i="14"/>
  <c r="CU175" i="14"/>
  <c r="DE211" i="14"/>
  <c r="DE127" i="14"/>
  <c r="DZ414" i="14"/>
  <c r="DY415" i="14"/>
  <c r="DY211" i="14"/>
  <c r="DZ210" i="14"/>
  <c r="DJ307" i="14"/>
  <c r="DK306" i="14"/>
  <c r="DK594" i="14"/>
  <c r="DJ595" i="14"/>
  <c r="CA571" i="14"/>
  <c r="CK403" i="14"/>
  <c r="CL402" i="14"/>
  <c r="EE402" i="14"/>
  <c r="ED403" i="14"/>
  <c r="CG546" i="14"/>
  <c r="CF547" i="14"/>
  <c r="DA138" i="14"/>
  <c r="CZ139" i="14"/>
  <c r="CA175" i="14"/>
  <c r="CU451" i="14"/>
  <c r="CV450" i="14"/>
  <c r="CZ667" i="14"/>
  <c r="DA666" i="14"/>
  <c r="DE667" i="14"/>
  <c r="CQ558" i="14"/>
  <c r="CP559" i="14"/>
  <c r="CK55" i="14"/>
  <c r="CL54" i="14"/>
  <c r="DY271" i="14"/>
  <c r="DZ270" i="14"/>
  <c r="CU415" i="14"/>
  <c r="CV414" i="14"/>
  <c r="DY487" i="14"/>
  <c r="DZ486" i="14"/>
  <c r="DU558" i="14"/>
  <c r="DT559" i="14"/>
  <c r="DA378" i="14"/>
  <c r="CZ379" i="14"/>
  <c r="CA583" i="14"/>
  <c r="DA246" i="14"/>
  <c r="CZ247" i="14"/>
  <c r="CU523" i="14"/>
  <c r="CV522" i="14"/>
  <c r="DY223" i="14"/>
  <c r="DZ222" i="14"/>
  <c r="DO559" i="14"/>
  <c r="DP558" i="14"/>
  <c r="DT67" i="14"/>
  <c r="DU66" i="14"/>
  <c r="CV462" i="14"/>
  <c r="CU463" i="14"/>
  <c r="CK199" i="14"/>
  <c r="CL198" i="14"/>
  <c r="DZ630" i="14"/>
  <c r="DY631" i="14"/>
  <c r="DE643" i="14"/>
  <c r="ED523" i="14"/>
  <c r="EE522" i="14"/>
  <c r="CK607" i="14"/>
  <c r="CL606" i="14"/>
  <c r="CP475" i="14"/>
  <c r="CQ474" i="14"/>
  <c r="CU319" i="14"/>
  <c r="CV318" i="14"/>
  <c r="DY511" i="14"/>
  <c r="DZ510" i="14"/>
  <c r="CU115" i="14"/>
  <c r="CV114" i="14"/>
  <c r="CQ534" i="14"/>
  <c r="CP535" i="14"/>
  <c r="CA523" i="14"/>
  <c r="CV582" i="14"/>
  <c r="CU583" i="14"/>
  <c r="CF475" i="14"/>
  <c r="CG474" i="14"/>
  <c r="ED55" i="14"/>
  <c r="EE54" i="14"/>
  <c r="CU307" i="14"/>
  <c r="CV306" i="14"/>
  <c r="DT151" i="14"/>
  <c r="DU150" i="14"/>
  <c r="DU402" i="14"/>
  <c r="DT403" i="14"/>
  <c r="DO571" i="14"/>
  <c r="DP570" i="14"/>
  <c r="CP583" i="14"/>
  <c r="CQ582" i="14"/>
  <c r="DY127" i="14"/>
  <c r="DZ126" i="14"/>
  <c r="DE319" i="14"/>
  <c r="DK234" i="14"/>
  <c r="DJ235" i="14"/>
  <c r="DU306" i="14"/>
  <c r="DT307" i="14"/>
  <c r="DJ487" i="14"/>
  <c r="DK486" i="14"/>
  <c r="CP523" i="14"/>
  <c r="CQ522" i="14"/>
  <c r="DZ114" i="14"/>
  <c r="DY115" i="14"/>
  <c r="CL210" i="14"/>
  <c r="CK211" i="14"/>
  <c r="CP271" i="14"/>
  <c r="CQ270" i="14"/>
  <c r="DE415" i="14"/>
  <c r="CA619" i="14"/>
  <c r="DU522" i="14"/>
  <c r="DT523" i="14"/>
  <c r="DP258" i="14"/>
  <c r="DO259" i="14"/>
  <c r="DE103" i="14"/>
  <c r="CA319" i="14"/>
  <c r="CZ271" i="14"/>
  <c r="DA270" i="14"/>
  <c r="CQ366" i="14"/>
  <c r="CP367" i="14"/>
  <c r="CA139" i="14"/>
  <c r="CG222" i="14"/>
  <c r="CF223" i="14"/>
  <c r="CK151" i="14"/>
  <c r="CL150" i="14"/>
  <c r="DO439" i="14"/>
  <c r="DP438" i="14"/>
  <c r="DT343" i="14"/>
  <c r="DU342" i="14"/>
  <c r="DK678" i="14"/>
  <c r="DJ679" i="14"/>
  <c r="EE330" i="14"/>
  <c r="ED331" i="14"/>
  <c r="EE294" i="14"/>
  <c r="ED295" i="14"/>
  <c r="DZ174" i="14"/>
  <c r="DY175" i="14"/>
  <c r="DK318" i="14"/>
  <c r="DJ319" i="14"/>
  <c r="CU211" i="14"/>
  <c r="CV210" i="14"/>
  <c r="DE343" i="14"/>
  <c r="DE307" i="14"/>
  <c r="DE427" i="14"/>
  <c r="CA487" i="14"/>
  <c r="DO607" i="14"/>
  <c r="DP606" i="14"/>
  <c r="DT679" i="14"/>
  <c r="DU678" i="14"/>
  <c r="EE150" i="14"/>
  <c r="ED151" i="14"/>
  <c r="CA607" i="14"/>
  <c r="DU174" i="14"/>
  <c r="DT175" i="14"/>
  <c r="DK402" i="14"/>
  <c r="DJ403" i="14"/>
  <c r="CG342" i="14"/>
  <c r="CF343" i="14"/>
  <c r="DA606" i="14"/>
  <c r="CZ607" i="14"/>
  <c r="DP114" i="14"/>
  <c r="DO115" i="14"/>
  <c r="DK222" i="14"/>
  <c r="DJ223" i="14"/>
  <c r="CF187" i="14"/>
  <c r="CG186" i="14"/>
  <c r="CK643" i="14"/>
  <c r="CL642" i="14"/>
  <c r="DE295" i="14"/>
  <c r="DA522" i="14"/>
  <c r="CZ523" i="14"/>
  <c r="DO511" i="14"/>
  <c r="DP510" i="14"/>
  <c r="DZ354" i="14"/>
  <c r="DY355" i="14"/>
  <c r="ED499" i="14"/>
  <c r="EE498" i="14"/>
  <c r="CZ199" i="14"/>
  <c r="DE571" i="14"/>
  <c r="DO319" i="14"/>
  <c r="DP318" i="14"/>
  <c r="CU367" i="14"/>
  <c r="CV366" i="14"/>
  <c r="CZ91" i="14"/>
  <c r="DA90" i="14"/>
  <c r="DE223" i="14"/>
  <c r="CQ318" i="14"/>
  <c r="CP319" i="14"/>
  <c r="CP283" i="14"/>
  <c r="CQ282" i="14"/>
  <c r="ED667" i="14"/>
  <c r="EE666" i="14"/>
  <c r="CQ258" i="14"/>
  <c r="CP259" i="14"/>
  <c r="CP451" i="14"/>
  <c r="CQ450" i="14"/>
  <c r="ED643" i="14"/>
  <c r="EE642" i="14"/>
  <c r="DE403" i="14"/>
  <c r="DE271" i="14"/>
  <c r="CL426" i="14"/>
  <c r="CK427" i="14"/>
  <c r="ED463" i="14"/>
  <c r="EE462" i="14"/>
  <c r="CA655" i="14"/>
  <c r="ED415" i="14"/>
  <c r="EE414" i="14"/>
  <c r="DJ619" i="14"/>
  <c r="DK618" i="14"/>
  <c r="CL498" i="14"/>
  <c r="CK499" i="14"/>
  <c r="DE391" i="14"/>
  <c r="DT619" i="14"/>
  <c r="DU618" i="14"/>
  <c r="CA67" i="14"/>
  <c r="ED619" i="14"/>
  <c r="EE618" i="14"/>
  <c r="DT211" i="14"/>
  <c r="DU210" i="14"/>
  <c r="DT583" i="14"/>
  <c r="DU582" i="14"/>
  <c r="CA295" i="14"/>
  <c r="EE114" i="14"/>
  <c r="ED115" i="14"/>
  <c r="DJ511" i="14"/>
  <c r="DK510" i="14"/>
  <c r="CK67" i="14"/>
  <c r="CL66" i="14"/>
  <c r="CA595" i="14"/>
  <c r="CU139" i="14"/>
  <c r="CV138" i="14"/>
  <c r="DP222" i="14"/>
  <c r="DO223" i="14"/>
  <c r="CK463" i="14"/>
  <c r="CL462" i="14"/>
  <c r="DE655" i="14"/>
  <c r="CQ378" i="14"/>
  <c r="CP379" i="14"/>
  <c r="DP294" i="14"/>
  <c r="DO295" i="14"/>
  <c r="CK595" i="14"/>
  <c r="CL594" i="14"/>
  <c r="CZ283" i="14"/>
  <c r="DA282" i="14"/>
  <c r="DO391" i="14"/>
  <c r="DP390" i="14"/>
  <c r="CZ439" i="14"/>
  <c r="DA438" i="14"/>
  <c r="CK631" i="14"/>
  <c r="CL630" i="14"/>
  <c r="DT187" i="14"/>
  <c r="DU186" i="14"/>
  <c r="DY295" i="14"/>
  <c r="DZ294" i="14"/>
  <c r="DA66" i="14"/>
  <c r="CZ67" i="14"/>
  <c r="DU354" i="14"/>
  <c r="DT355" i="14"/>
  <c r="DP414" i="14"/>
  <c r="DO415" i="14"/>
  <c r="CV642" i="14"/>
  <c r="CU643" i="14"/>
  <c r="CG534" i="14"/>
  <c r="CF535" i="14"/>
  <c r="DA534" i="14"/>
  <c r="CZ535" i="14"/>
  <c r="CA403" i="14"/>
  <c r="DK102" i="14"/>
  <c r="DJ103" i="14"/>
  <c r="DZ666" i="14"/>
  <c r="DY667" i="14"/>
  <c r="CZ547" i="14"/>
  <c r="DA546" i="14"/>
  <c r="DE607" i="14"/>
  <c r="DU90" i="14"/>
  <c r="DT91" i="14"/>
  <c r="CV666" i="14"/>
  <c r="CU667" i="14"/>
  <c r="DT271" i="14"/>
  <c r="DU270" i="14"/>
  <c r="DK438" i="14"/>
  <c r="DJ439" i="14"/>
  <c r="DY559" i="14"/>
  <c r="DZ558" i="14"/>
  <c r="ED607" i="14"/>
  <c r="EE606" i="14"/>
  <c r="CQ306" i="14"/>
  <c r="CP307" i="14"/>
  <c r="DE151" i="14"/>
  <c r="DZ318" i="14"/>
  <c r="DY319" i="14"/>
  <c r="DA210" i="14"/>
  <c r="CZ211" i="14"/>
  <c r="CG666" i="14"/>
  <c r="CF667" i="14"/>
  <c r="DE331" i="14"/>
  <c r="CK319" i="14"/>
  <c r="CL318" i="14"/>
  <c r="CA355" i="14"/>
  <c r="CF367" i="14"/>
  <c r="CG366" i="14"/>
  <c r="DE631" i="14"/>
  <c r="CL174" i="14"/>
  <c r="CK175" i="14"/>
  <c r="CA463" i="14"/>
  <c r="DE55" i="14"/>
  <c r="DE259" i="14"/>
  <c r="CA151" i="14"/>
  <c r="ED631" i="14"/>
  <c r="EE630" i="14"/>
  <c r="CK475" i="14"/>
  <c r="CL474" i="14"/>
  <c r="DA354" i="14"/>
  <c r="CZ355" i="14"/>
  <c r="DT319" i="14"/>
  <c r="DU318" i="14"/>
  <c r="DZ186" i="14"/>
  <c r="DY187" i="14"/>
  <c r="CA367" i="14"/>
  <c r="CP511" i="14"/>
  <c r="CQ510" i="14"/>
  <c r="DE439" i="14"/>
  <c r="CG174" i="14"/>
  <c r="CF175" i="14"/>
  <c r="DK666" i="14"/>
  <c r="DJ667" i="14"/>
  <c r="CU391" i="14"/>
  <c r="CV390" i="14"/>
  <c r="CV282" i="14"/>
  <c r="CU283" i="14"/>
  <c r="DE367" i="14"/>
  <c r="DO283" i="14"/>
  <c r="DP282" i="14"/>
  <c r="DJ331" i="14"/>
  <c r="DK330" i="14"/>
  <c r="DT115" i="14"/>
  <c r="DU114" i="14"/>
  <c r="DU510" i="14"/>
  <c r="DT511" i="14"/>
  <c r="CL618" i="14"/>
  <c r="CK619" i="14"/>
  <c r="CP619" i="14"/>
  <c r="CQ618" i="14"/>
  <c r="DE355" i="14"/>
  <c r="CF679" i="14"/>
  <c r="CG678" i="14"/>
  <c r="DP174" i="14"/>
  <c r="DO175" i="14"/>
  <c r="CG462" i="14"/>
  <c r="CF463" i="14"/>
  <c r="CG114" i="14"/>
  <c r="CF115" i="14"/>
  <c r="CU475" i="14"/>
  <c r="CV474" i="14"/>
  <c r="CP55" i="14"/>
  <c r="CQ54" i="14"/>
  <c r="DU426" i="14"/>
  <c r="DT427" i="14"/>
  <c r="DA462" i="14"/>
  <c r="CZ463" i="14"/>
  <c r="DY535" i="14"/>
  <c r="DZ534" i="14"/>
  <c r="DA654" i="14"/>
  <c r="CZ655" i="14"/>
  <c r="DA570" i="14"/>
  <c r="CZ571" i="14"/>
  <c r="CP163" i="14"/>
  <c r="CQ162" i="14"/>
  <c r="CG354" i="14"/>
  <c r="CF355" i="14"/>
  <c r="CA55" i="14"/>
  <c r="CK679" i="14"/>
  <c r="CL678" i="14"/>
  <c r="CZ187" i="14"/>
  <c r="DA186" i="14"/>
  <c r="CU403" i="14"/>
  <c r="CV402" i="14"/>
  <c r="DJ475" i="14"/>
  <c r="DK474" i="14"/>
  <c r="DK210" i="14"/>
  <c r="DJ211" i="14"/>
  <c r="DT451" i="14"/>
  <c r="DU450" i="14"/>
  <c r="EE138" i="14"/>
  <c r="ED139" i="14"/>
  <c r="DJ427" i="14"/>
  <c r="DK426" i="14"/>
  <c r="DY463" i="14"/>
  <c r="DZ462" i="14"/>
  <c r="CB76" i="14"/>
  <c r="DF76" i="14"/>
  <c r="CL75" i="14"/>
  <c r="CK76" i="14"/>
  <c r="DA75" i="14"/>
  <c r="CZ76" i="14"/>
  <c r="DK75" i="14"/>
  <c r="DJ76" i="14"/>
  <c r="CG75" i="14"/>
  <c r="CF76" i="14"/>
  <c r="EE75" i="14"/>
  <c r="ED76" i="14"/>
  <c r="DZ75" i="14"/>
  <c r="DY76" i="14"/>
  <c r="CU76" i="14"/>
  <c r="CV75" i="14"/>
  <c r="CQ75" i="14"/>
  <c r="CP76" i="14"/>
  <c r="DU75" i="14"/>
  <c r="DT76" i="14"/>
  <c r="DP75" i="14"/>
  <c r="DO76" i="14"/>
  <c r="CA77" i="14"/>
  <c r="DE77" i="14"/>
  <c r="CB38" i="14"/>
  <c r="AW41" i="14"/>
  <c r="AY41" i="14"/>
  <c r="AU41" i="14"/>
  <c r="BA42" i="14"/>
  <c r="BA43" i="14" s="1"/>
  <c r="AG11" i="43" a="1"/>
  <c r="AG11" i="43" s="1"/>
  <c r="AL11" i="43" s="1"/>
  <c r="EE39" i="14"/>
  <c r="ED40" i="14"/>
  <c r="CK40" i="14"/>
  <c r="CL39" i="14"/>
  <c r="CZ39" i="14"/>
  <c r="DA39" i="14" s="1"/>
  <c r="CF39" i="14"/>
  <c r="CG39" i="14" s="1"/>
  <c r="CU39" i="14"/>
  <c r="CV39" i="14" s="1"/>
  <c r="CP39" i="14"/>
  <c r="CQ39" i="14" s="1"/>
  <c r="CA39" i="14"/>
  <c r="DO40" i="14"/>
  <c r="DP39" i="14"/>
  <c r="DY40" i="14"/>
  <c r="DZ39" i="14"/>
  <c r="DT40" i="14"/>
  <c r="DU39" i="14"/>
  <c r="DJ40" i="14"/>
  <c r="DK39" i="14"/>
  <c r="BK36" i="14"/>
  <c r="BM36" i="14"/>
  <c r="BC44" i="14"/>
  <c r="CB415" i="14" a="1"/>
  <c r="CB607" i="14" a="1"/>
  <c r="CB307" i="14" a="1"/>
  <c r="DF115" i="14" a="1"/>
  <c r="CB655" i="14" a="1"/>
  <c r="CB511" i="14" a="1"/>
  <c r="CB643" i="14" a="1"/>
  <c r="CB463" i="14" a="1"/>
  <c r="CB571" i="14" a="1"/>
  <c r="DF463" i="14" a="1"/>
  <c r="DF487" i="14" a="1"/>
  <c r="CB331" i="14" a="1"/>
  <c r="CB547" i="14" a="1"/>
  <c r="CB523" i="14" a="1"/>
  <c r="DF595" i="14" a="1"/>
  <c r="BD42" i="14"/>
  <c r="CB355" i="14" a="1"/>
  <c r="DF77" i="14" a="1"/>
  <c r="CB247" i="14" a="1"/>
  <c r="AX40" i="14"/>
  <c r="CB39" i="14" a="1"/>
  <c r="DF559" i="14" a="1"/>
  <c r="DF211" i="14" a="1"/>
  <c r="CB439" i="14" a="1"/>
  <c r="DF91" i="14" a="1"/>
  <c r="DF103" i="14" a="1"/>
  <c r="BD44" i="14"/>
  <c r="CB475" i="14" a="1"/>
  <c r="CB319" i="14" a="1"/>
  <c r="DF295" i="14" a="1"/>
  <c r="DF199" i="14" a="1"/>
  <c r="DF427" i="14" a="1"/>
  <c r="DF535" i="14" a="1"/>
  <c r="DF367" i="14" a="1"/>
  <c r="CB91" i="14" a="1"/>
  <c r="DF187" i="14" a="1"/>
  <c r="DF643" i="14" a="1"/>
  <c r="CB77" i="14" a="1"/>
  <c r="DF403" i="14" a="1"/>
  <c r="CB55" i="14" a="1"/>
  <c r="DF607" i="14" a="1"/>
  <c r="CB595" i="14" a="1"/>
  <c r="CB487" i="14" a="1"/>
  <c r="DF523" i="14" a="1"/>
  <c r="CB679" i="14" a="1"/>
  <c r="DF511" i="14" a="1"/>
  <c r="CB127" i="14" a="1"/>
  <c r="DF307" i="14" a="1"/>
  <c r="DF235" i="14" a="1"/>
  <c r="DF343" i="14" a="1"/>
  <c r="CB583" i="14" a="1"/>
  <c r="CB187" i="14" a="1"/>
  <c r="CB67" i="14" a="1"/>
  <c r="CB271" i="14" a="1"/>
  <c r="BB41" i="14"/>
  <c r="DF655" i="14" a="1"/>
  <c r="DF127" i="14" a="1"/>
  <c r="CB199" i="14" a="1"/>
  <c r="CB283" i="14" a="1"/>
  <c r="CB151" i="14" a="1"/>
  <c r="CB343" i="14" a="1"/>
  <c r="DF355" i="14" a="1"/>
  <c r="DF223" i="14" a="1"/>
  <c r="DF571" i="14" a="1"/>
  <c r="CB295" i="14" a="1"/>
  <c r="DF475" i="14" a="1"/>
  <c r="DF439" i="14" a="1"/>
  <c r="DF271" i="14" a="1"/>
  <c r="CB115" i="14" a="1"/>
  <c r="DF139" i="14" a="1"/>
  <c r="DF175" i="14" a="1"/>
  <c r="AZ40" i="14"/>
  <c r="DF151" i="14" a="1"/>
  <c r="DF247" i="14" a="1"/>
  <c r="DF319" i="14" a="1"/>
  <c r="DF283" i="14" a="1"/>
  <c r="DF583" i="14" a="1"/>
  <c r="AV40" i="14"/>
  <c r="CB499" i="14" a="1"/>
  <c r="CB559" i="14" a="1"/>
  <c r="DF55" i="14" a="1"/>
  <c r="CB223" i="14" a="1"/>
  <c r="DF451" i="14" a="1"/>
  <c r="CB619" i="14" a="1"/>
  <c r="CB139" i="14" a="1"/>
  <c r="DF259" i="14" a="1"/>
  <c r="CB379" i="14" a="1"/>
  <c r="CB235" i="14" a="1"/>
  <c r="CB451" i="14" a="1"/>
  <c r="DF631" i="14" a="1"/>
  <c r="CB103" i="14" a="1"/>
  <c r="DF67" i="14" a="1"/>
  <c r="DF391" i="14" a="1"/>
  <c r="CB667" i="14" a="1"/>
  <c r="CB427" i="14" a="1"/>
  <c r="CB403" i="14" a="1"/>
  <c r="DF499" i="14" a="1"/>
  <c r="DF379" i="14" a="1"/>
  <c r="DF547" i="14" a="1"/>
  <c r="CB631" i="14" a="1"/>
  <c r="DF163" i="14" a="1"/>
  <c r="CB259" i="14" a="1"/>
  <c r="DF667" i="14" a="1"/>
  <c r="CB391" i="14" a="1"/>
  <c r="CB535" i="14" a="1"/>
  <c r="CB367" i="14" a="1"/>
  <c r="DF415" i="14" a="1"/>
  <c r="CB163" i="14" a="1"/>
  <c r="DF331" i="14" a="1"/>
  <c r="CB211" i="14" a="1"/>
  <c r="DF679" i="14" a="1"/>
  <c r="CB175" i="14" a="1"/>
  <c r="DF619" i="14" a="1"/>
  <c r="BB43" i="14"/>
  <c r="BN36" i="14"/>
  <c r="AK11" i="43" l="1"/>
  <c r="DJ163" i="14"/>
  <c r="DK163" i="14" s="1"/>
  <c r="DA258" i="14"/>
  <c r="CB283" i="14"/>
  <c r="CB55" i="14"/>
  <c r="DF367" i="14"/>
  <c r="DF151" i="14"/>
  <c r="CB655" i="14"/>
  <c r="DF319" i="14"/>
  <c r="CB535" i="14"/>
  <c r="CB247" i="14"/>
  <c r="CB139" i="14"/>
  <c r="CB379" i="14"/>
  <c r="CB199" i="14"/>
  <c r="CB307" i="14"/>
  <c r="DF91" i="14"/>
  <c r="DF247" i="14"/>
  <c r="CB355" i="14"/>
  <c r="CB595" i="14"/>
  <c r="CB67" i="14"/>
  <c r="CB331" i="14"/>
  <c r="DF379" i="14"/>
  <c r="CB115" i="14"/>
  <c r="CB187" i="14"/>
  <c r="CB427" i="14"/>
  <c r="DF271" i="14"/>
  <c r="DF223" i="14"/>
  <c r="CB487" i="14"/>
  <c r="CB523" i="14"/>
  <c r="CB259" i="14"/>
  <c r="CB499" i="14"/>
  <c r="CB559" i="14"/>
  <c r="CB547" i="14"/>
  <c r="DF355" i="14"/>
  <c r="DF607" i="14"/>
  <c r="CB667" i="14"/>
  <c r="DF331" i="14"/>
  <c r="DF391" i="14"/>
  <c r="DF307" i="14"/>
  <c r="DF103" i="14"/>
  <c r="DF127" i="14"/>
  <c r="DF559" i="14"/>
  <c r="CB271" i="14"/>
  <c r="CB391" i="14"/>
  <c r="CB511" i="14"/>
  <c r="CB163" i="14"/>
  <c r="DF631" i="14"/>
  <c r="CB415" i="14"/>
  <c r="DF403" i="14"/>
  <c r="DF427" i="14"/>
  <c r="CB223" i="14"/>
  <c r="DF139" i="14"/>
  <c r="CB403" i="14"/>
  <c r="DF343" i="14"/>
  <c r="DF211" i="14"/>
  <c r="CB211" i="14"/>
  <c r="DF619" i="14"/>
  <c r="DF439" i="14"/>
  <c r="DF295" i="14"/>
  <c r="CB583" i="14"/>
  <c r="DF535" i="14"/>
  <c r="DF475" i="14"/>
  <c r="DF679" i="14"/>
  <c r="CB643" i="14"/>
  <c r="DF283" i="14"/>
  <c r="DF451" i="14"/>
  <c r="CB571" i="14"/>
  <c r="CB235" i="14"/>
  <c r="DF235" i="14"/>
  <c r="CB439" i="14"/>
  <c r="CB319" i="14"/>
  <c r="DF199" i="14"/>
  <c r="DF523" i="14"/>
  <c r="CB151" i="14"/>
  <c r="DF667" i="14"/>
  <c r="DF55" i="14"/>
  <c r="DF655" i="14"/>
  <c r="CB295" i="14"/>
  <c r="CB631" i="14"/>
  <c r="CB679" i="14"/>
  <c r="DF67" i="14"/>
  <c r="CB91" i="14"/>
  <c r="DF115" i="14"/>
  <c r="DF595" i="14"/>
  <c r="DF463" i="14"/>
  <c r="DF259" i="14"/>
  <c r="CB367" i="14"/>
  <c r="CB463" i="14"/>
  <c r="DF571" i="14"/>
  <c r="CB607" i="14"/>
  <c r="CB619" i="14"/>
  <c r="CB451" i="14"/>
  <c r="CB103" i="14"/>
  <c r="DF511" i="14"/>
  <c r="DF547" i="14"/>
  <c r="DF163" i="14"/>
  <c r="DF487" i="14"/>
  <c r="CB127" i="14"/>
  <c r="CB475" i="14"/>
  <c r="DF499" i="14"/>
  <c r="DF583" i="14"/>
  <c r="CB175" i="14"/>
  <c r="DF643" i="14"/>
  <c r="DF415" i="14"/>
  <c r="DF187" i="14"/>
  <c r="CB343" i="14"/>
  <c r="DF175" i="14"/>
  <c r="CA284" i="14"/>
  <c r="CG511" i="14"/>
  <c r="CF512" i="14"/>
  <c r="CA56" i="14"/>
  <c r="DY128" i="14"/>
  <c r="DZ127" i="14"/>
  <c r="CF680" i="14"/>
  <c r="CG679" i="14"/>
  <c r="DE368" i="14"/>
  <c r="DE152" i="14"/>
  <c r="DA439" i="14"/>
  <c r="CZ440" i="14"/>
  <c r="DO224" i="14"/>
  <c r="DP223" i="14"/>
  <c r="CA656" i="14"/>
  <c r="ED668" i="14"/>
  <c r="EE667" i="14"/>
  <c r="DJ224" i="14"/>
  <c r="DK223" i="14"/>
  <c r="DE320" i="14"/>
  <c r="EE55" i="14"/>
  <c r="ED56" i="14"/>
  <c r="DT68" i="14"/>
  <c r="DU67" i="14"/>
  <c r="CV451" i="14"/>
  <c r="CU452" i="14"/>
  <c r="DP463" i="14"/>
  <c r="DO464" i="14"/>
  <c r="CU260" i="14"/>
  <c r="CV259" i="14"/>
  <c r="CP428" i="14"/>
  <c r="CQ427" i="14"/>
  <c r="DU391" i="14"/>
  <c r="DT392" i="14"/>
  <c r="CL127" i="14"/>
  <c r="CK128" i="14"/>
  <c r="DK343" i="14"/>
  <c r="DJ344" i="14"/>
  <c r="DY680" i="14"/>
  <c r="DZ679" i="14"/>
  <c r="DK415" i="14"/>
  <c r="DJ416" i="14"/>
  <c r="CA536" i="14"/>
  <c r="CF584" i="14"/>
  <c r="CG583" i="14"/>
  <c r="DZ379" i="14"/>
  <c r="DY380" i="14"/>
  <c r="EE571" i="14"/>
  <c r="ED572" i="14"/>
  <c r="CU164" i="14"/>
  <c r="CV163" i="14"/>
  <c r="DK499" i="14"/>
  <c r="DJ500" i="14"/>
  <c r="DP235" i="14"/>
  <c r="DO236" i="14"/>
  <c r="ED584" i="14"/>
  <c r="EE583" i="14"/>
  <c r="DZ331" i="14"/>
  <c r="DY332" i="14"/>
  <c r="ED104" i="14"/>
  <c r="EE103" i="14"/>
  <c r="EE391" i="14"/>
  <c r="ED392" i="14"/>
  <c r="DK379" i="14"/>
  <c r="DJ380" i="14"/>
  <c r="DT464" i="14"/>
  <c r="DU463" i="14"/>
  <c r="ED536" i="14"/>
  <c r="EE535" i="14"/>
  <c r="EE655" i="14"/>
  <c r="ED656" i="14"/>
  <c r="CA248" i="14"/>
  <c r="DJ284" i="14"/>
  <c r="DK283" i="14"/>
  <c r="CQ127" i="14"/>
  <c r="CP128" i="14"/>
  <c r="DO380" i="14"/>
  <c r="DP379" i="14"/>
  <c r="DP679" i="14"/>
  <c r="DO680" i="14"/>
  <c r="CG631" i="14"/>
  <c r="CF632" i="14"/>
  <c r="CA140" i="14"/>
  <c r="DT416" i="14"/>
  <c r="DU415" i="14"/>
  <c r="DY308" i="14"/>
  <c r="DZ307" i="14"/>
  <c r="CP224" i="14"/>
  <c r="CQ223" i="14"/>
  <c r="DU319" i="14"/>
  <c r="DT320" i="14"/>
  <c r="DT224" i="14"/>
  <c r="DU223" i="14"/>
  <c r="CA380" i="14"/>
  <c r="DA175" i="14"/>
  <c r="CZ176" i="14"/>
  <c r="DZ343" i="14"/>
  <c r="DY344" i="14"/>
  <c r="CG391" i="14"/>
  <c r="CF392" i="14"/>
  <c r="CG355" i="14"/>
  <c r="CF356" i="14"/>
  <c r="CP620" i="14"/>
  <c r="CQ619" i="14"/>
  <c r="DA355" i="14"/>
  <c r="CZ356" i="14"/>
  <c r="CF368" i="14"/>
  <c r="CG367" i="14"/>
  <c r="DA547" i="14"/>
  <c r="CZ548" i="14"/>
  <c r="DT356" i="14"/>
  <c r="DU355" i="14"/>
  <c r="CU140" i="14"/>
  <c r="CV139" i="14"/>
  <c r="EE619" i="14"/>
  <c r="ED620" i="14"/>
  <c r="CL427" i="14"/>
  <c r="CK428" i="14"/>
  <c r="CP320" i="14"/>
  <c r="CQ319" i="14"/>
  <c r="DY356" i="14"/>
  <c r="DZ355" i="14"/>
  <c r="ED332" i="14"/>
  <c r="EE331" i="14"/>
  <c r="CU584" i="14"/>
  <c r="CV583" i="14"/>
  <c r="CK608" i="14"/>
  <c r="CL607" i="14"/>
  <c r="CV415" i="14"/>
  <c r="CU416" i="14"/>
  <c r="DU595" i="14"/>
  <c r="DT596" i="14"/>
  <c r="CU56" i="14"/>
  <c r="CV55" i="14"/>
  <c r="CK368" i="14"/>
  <c r="CL367" i="14"/>
  <c r="CL667" i="14"/>
  <c r="CK668" i="14"/>
  <c r="DA343" i="14"/>
  <c r="CZ344" i="14"/>
  <c r="DP499" i="14"/>
  <c r="DO500" i="14"/>
  <c r="DO68" i="14"/>
  <c r="DP67" i="14"/>
  <c r="DZ547" i="14"/>
  <c r="DY548" i="14"/>
  <c r="ED356" i="14"/>
  <c r="EE355" i="14"/>
  <c r="CA200" i="14"/>
  <c r="CA308" i="14"/>
  <c r="DY56" i="14"/>
  <c r="DZ55" i="14"/>
  <c r="CG559" i="14"/>
  <c r="CF560" i="14"/>
  <c r="DY644" i="14"/>
  <c r="DZ643" i="14"/>
  <c r="CV679" i="14"/>
  <c r="CU680" i="14"/>
  <c r="DP667" i="14"/>
  <c r="DO668" i="14"/>
  <c r="DE92" i="14"/>
  <c r="DP91" i="14"/>
  <c r="DO92" i="14"/>
  <c r="EE235" i="14"/>
  <c r="ED236" i="14"/>
  <c r="CZ620" i="14"/>
  <c r="DA619" i="14"/>
  <c r="DT656" i="14"/>
  <c r="DU655" i="14"/>
  <c r="CZ500" i="14"/>
  <c r="DA499" i="14"/>
  <c r="CV187" i="14"/>
  <c r="CU188" i="14"/>
  <c r="CF68" i="14"/>
  <c r="CG67" i="14"/>
  <c r="CG151" i="14"/>
  <c r="CF152" i="14"/>
  <c r="DE248" i="14"/>
  <c r="CQ115" i="14"/>
  <c r="CP116" i="14"/>
  <c r="CF56" i="14"/>
  <c r="CG55" i="14"/>
  <c r="ED452" i="14"/>
  <c r="EE451" i="14"/>
  <c r="CZ128" i="14"/>
  <c r="DA127" i="14"/>
  <c r="DT476" i="14"/>
  <c r="DU475" i="14"/>
  <c r="CZ404" i="14"/>
  <c r="DA403" i="14"/>
  <c r="CP200" i="14"/>
  <c r="CQ199" i="14"/>
  <c r="DT380" i="14"/>
  <c r="DU379" i="14"/>
  <c r="EE475" i="14"/>
  <c r="ED476" i="14"/>
  <c r="ED140" i="14"/>
  <c r="EE139" i="14"/>
  <c r="ED464" i="14"/>
  <c r="EE463" i="14"/>
  <c r="DP403" i="14"/>
  <c r="DO404" i="14"/>
  <c r="CP56" i="14"/>
  <c r="CQ55" i="14"/>
  <c r="CL619" i="14"/>
  <c r="CK620" i="14"/>
  <c r="CU392" i="14"/>
  <c r="CV391" i="14"/>
  <c r="CA356" i="14"/>
  <c r="ED608" i="14"/>
  <c r="EE607" i="14"/>
  <c r="DY668" i="14"/>
  <c r="DZ667" i="14"/>
  <c r="CZ284" i="14"/>
  <c r="DA283" i="14"/>
  <c r="CA596" i="14"/>
  <c r="CA68" i="14"/>
  <c r="DA607" i="14"/>
  <c r="CZ608" i="14"/>
  <c r="DO608" i="14"/>
  <c r="DP607" i="14"/>
  <c r="DY116" i="14"/>
  <c r="DZ115" i="14"/>
  <c r="CP584" i="14"/>
  <c r="CQ583" i="14"/>
  <c r="DY224" i="14"/>
  <c r="DZ223" i="14"/>
  <c r="CF548" i="14"/>
  <c r="CG547" i="14"/>
  <c r="DZ211" i="14"/>
  <c r="DY212" i="14"/>
  <c r="EE211" i="14"/>
  <c r="ED212" i="14"/>
  <c r="CA332" i="14"/>
  <c r="DJ200" i="14"/>
  <c r="DK199" i="14"/>
  <c r="CP572" i="14"/>
  <c r="CQ571" i="14"/>
  <c r="DJ632" i="14"/>
  <c r="DK631" i="14"/>
  <c r="DP55" i="14"/>
  <c r="DO56" i="14"/>
  <c r="DO524" i="14"/>
  <c r="DP523" i="14"/>
  <c r="DZ103" i="14"/>
  <c r="DY104" i="14"/>
  <c r="DK643" i="14"/>
  <c r="DJ644" i="14"/>
  <c r="CG379" i="14"/>
  <c r="CF380" i="14"/>
  <c r="CK272" i="14"/>
  <c r="CL271" i="14"/>
  <c r="DE380" i="14"/>
  <c r="CG199" i="14"/>
  <c r="CF200" i="14"/>
  <c r="CA116" i="14"/>
  <c r="CG139" i="14"/>
  <c r="CF140" i="14"/>
  <c r="CF296" i="14"/>
  <c r="CG295" i="14"/>
  <c r="DY140" i="14"/>
  <c r="DZ139" i="14"/>
  <c r="CA188" i="14"/>
  <c r="CQ139" i="14"/>
  <c r="CP140" i="14"/>
  <c r="DZ403" i="14"/>
  <c r="DY404" i="14"/>
  <c r="CA428" i="14"/>
  <c r="DU295" i="14"/>
  <c r="DT296" i="14"/>
  <c r="ED284" i="14"/>
  <c r="EE283" i="14"/>
  <c r="DZ607" i="14"/>
  <c r="DY608" i="14"/>
  <c r="DU499" i="14"/>
  <c r="DT500" i="14"/>
  <c r="DK427" i="14"/>
  <c r="DJ428" i="14"/>
  <c r="DZ487" i="14"/>
  <c r="DY488" i="14"/>
  <c r="ED260" i="14"/>
  <c r="EE259" i="14"/>
  <c r="CF284" i="14"/>
  <c r="CG283" i="14"/>
  <c r="DA55" i="14"/>
  <c r="CZ56" i="14"/>
  <c r="ED92" i="14"/>
  <c r="EE91" i="14"/>
  <c r="DU451" i="14"/>
  <c r="DT452" i="14"/>
  <c r="DK667" i="14"/>
  <c r="DJ668" i="14"/>
  <c r="DA67" i="14"/>
  <c r="CZ68" i="14"/>
  <c r="DE272" i="14"/>
  <c r="DE224" i="14"/>
  <c r="CA488" i="14"/>
  <c r="DK679" i="14"/>
  <c r="DJ680" i="14"/>
  <c r="CZ272" i="14"/>
  <c r="DA271" i="14"/>
  <c r="CA524" i="14"/>
  <c r="EE523" i="14"/>
  <c r="ED524" i="14"/>
  <c r="DZ271" i="14"/>
  <c r="DY272" i="14"/>
  <c r="DZ415" i="14"/>
  <c r="DY416" i="14"/>
  <c r="CZ116" i="14"/>
  <c r="DA115" i="14"/>
  <c r="DJ116" i="14"/>
  <c r="DK115" i="14"/>
  <c r="DJ368" i="14"/>
  <c r="DK367" i="14"/>
  <c r="DJ56" i="14"/>
  <c r="DK55" i="14"/>
  <c r="CZ104" i="14"/>
  <c r="DA103" i="14"/>
  <c r="CG451" i="14"/>
  <c r="CF452" i="14"/>
  <c r="EE199" i="14"/>
  <c r="ED200" i="14"/>
  <c r="CV511" i="14"/>
  <c r="CU512" i="14"/>
  <c r="DY92" i="14"/>
  <c r="DZ91" i="14"/>
  <c r="CK224" i="14"/>
  <c r="CL223" i="14"/>
  <c r="CG331" i="14"/>
  <c r="CF332" i="14"/>
  <c r="CL379" i="14"/>
  <c r="CK380" i="14"/>
  <c r="CK560" i="14"/>
  <c r="CL559" i="14"/>
  <c r="CL103" i="14"/>
  <c r="CK104" i="14"/>
  <c r="ED428" i="14"/>
  <c r="EE427" i="14"/>
  <c r="CF524" i="14"/>
  <c r="CG523" i="14"/>
  <c r="CQ331" i="14"/>
  <c r="CP332" i="14"/>
  <c r="CA260" i="14"/>
  <c r="CP104" i="14"/>
  <c r="CQ103" i="14"/>
  <c r="DT140" i="14"/>
  <c r="DU139" i="14"/>
  <c r="DJ272" i="14"/>
  <c r="DK271" i="14"/>
  <c r="CK536" i="14"/>
  <c r="CL535" i="14"/>
  <c r="CK584" i="14"/>
  <c r="CL583" i="14"/>
  <c r="EE439" i="14"/>
  <c r="ED440" i="14"/>
  <c r="ED224" i="14"/>
  <c r="EE223" i="14"/>
  <c r="CA500" i="14"/>
  <c r="CA560" i="14"/>
  <c r="CL295" i="14"/>
  <c r="CK296" i="14"/>
  <c r="DP163" i="14"/>
  <c r="DO164" i="14"/>
  <c r="CA548" i="14"/>
  <c r="DE356" i="14"/>
  <c r="DE608" i="14"/>
  <c r="CP476" i="14"/>
  <c r="CQ475" i="14"/>
  <c r="CL247" i="14"/>
  <c r="CK248" i="14"/>
  <c r="CZ332" i="14"/>
  <c r="DA331" i="14"/>
  <c r="CP92" i="14"/>
  <c r="CQ91" i="14"/>
  <c r="DP391" i="14"/>
  <c r="DO392" i="14"/>
  <c r="DA511" i="14"/>
  <c r="CZ512" i="14"/>
  <c r="CQ403" i="14"/>
  <c r="CP404" i="14"/>
  <c r="DT260" i="14"/>
  <c r="DU259" i="14"/>
  <c r="CQ175" i="14"/>
  <c r="CP176" i="14"/>
  <c r="DK211" i="14"/>
  <c r="DJ212" i="14"/>
  <c r="DJ104" i="14"/>
  <c r="DK103" i="14"/>
  <c r="CQ535" i="14"/>
  <c r="CP536" i="14"/>
  <c r="ED404" i="14"/>
  <c r="EE403" i="14"/>
  <c r="CG403" i="14"/>
  <c r="CF404" i="14"/>
  <c r="CP356" i="14"/>
  <c r="CQ355" i="14"/>
  <c r="CL331" i="14"/>
  <c r="CK332" i="14"/>
  <c r="CA668" i="14"/>
  <c r="CU200" i="14"/>
  <c r="CV199" i="14"/>
  <c r="CZ572" i="14"/>
  <c r="DA571" i="14"/>
  <c r="CG115" i="14"/>
  <c r="CF116" i="14"/>
  <c r="CF176" i="14"/>
  <c r="CG175" i="14"/>
  <c r="DE332" i="14"/>
  <c r="DJ440" i="14"/>
  <c r="DK439" i="14"/>
  <c r="DO296" i="14"/>
  <c r="DP295" i="14"/>
  <c r="DE392" i="14"/>
  <c r="CZ92" i="14"/>
  <c r="DA91" i="14"/>
  <c r="DA523" i="14"/>
  <c r="CZ524" i="14"/>
  <c r="DE308" i="14"/>
  <c r="DE104" i="14"/>
  <c r="CQ523" i="14"/>
  <c r="CP524" i="14"/>
  <c r="DU403" i="14"/>
  <c r="DT404" i="14"/>
  <c r="DY632" i="14"/>
  <c r="DZ631" i="14"/>
  <c r="DA247" i="14"/>
  <c r="CZ248" i="14"/>
  <c r="CK56" i="14"/>
  <c r="CL55" i="14"/>
  <c r="DE128" i="14"/>
  <c r="DE560" i="14"/>
  <c r="CU344" i="14"/>
  <c r="CV343" i="14"/>
  <c r="CQ487" i="14"/>
  <c r="CP488" i="14"/>
  <c r="CP464" i="14"/>
  <c r="CQ463" i="14"/>
  <c r="DA235" i="14"/>
  <c r="CZ236" i="14"/>
  <c r="CA272" i="14"/>
  <c r="CA392" i="14"/>
  <c r="CZ560" i="14"/>
  <c r="DA559" i="14"/>
  <c r="EE595" i="14"/>
  <c r="ED596" i="14"/>
  <c r="DK463" i="14"/>
  <c r="DJ464" i="14"/>
  <c r="DU547" i="14"/>
  <c r="DT548" i="14"/>
  <c r="ED344" i="14"/>
  <c r="EE343" i="14"/>
  <c r="DK391" i="14"/>
  <c r="DJ392" i="14"/>
  <c r="DY584" i="14"/>
  <c r="DZ583" i="14"/>
  <c r="ED176" i="14"/>
  <c r="EE175" i="14"/>
  <c r="CL343" i="14"/>
  <c r="CK344" i="14"/>
  <c r="DT332" i="14"/>
  <c r="DU331" i="14"/>
  <c r="CA512" i="14"/>
  <c r="DT284" i="14"/>
  <c r="DU283" i="14"/>
  <c r="DJ188" i="14"/>
  <c r="DK187" i="14"/>
  <c r="CZ632" i="14"/>
  <c r="DA631" i="14"/>
  <c r="CU356" i="14"/>
  <c r="CV355" i="14"/>
  <c r="DU163" i="14"/>
  <c r="DT164" i="14"/>
  <c r="CP416" i="14"/>
  <c r="CQ415" i="14"/>
  <c r="CG271" i="14"/>
  <c r="CF272" i="14"/>
  <c r="DP475" i="14"/>
  <c r="DO476" i="14"/>
  <c r="DA595" i="14"/>
  <c r="CZ596" i="14"/>
  <c r="CA164" i="14"/>
  <c r="DY200" i="14"/>
  <c r="DZ199" i="14"/>
  <c r="DO104" i="14"/>
  <c r="DP103" i="14"/>
  <c r="DO548" i="14"/>
  <c r="DP547" i="14"/>
  <c r="DE632" i="14"/>
  <c r="DO140" i="14"/>
  <c r="DP139" i="14"/>
  <c r="DY152" i="14"/>
  <c r="DZ151" i="14"/>
  <c r="CG475" i="14"/>
  <c r="CF476" i="14"/>
  <c r="CZ140" i="14"/>
  <c r="DA139" i="14"/>
  <c r="DZ163" i="14"/>
  <c r="DY164" i="14"/>
  <c r="CF260" i="14"/>
  <c r="CG259" i="14"/>
  <c r="CQ655" i="14"/>
  <c r="CP656" i="14"/>
  <c r="CA416" i="14"/>
  <c r="EE187" i="14"/>
  <c r="ED188" i="14"/>
  <c r="CP344" i="14"/>
  <c r="CQ343" i="14"/>
  <c r="DU571" i="14"/>
  <c r="DT572" i="14"/>
  <c r="CP164" i="14"/>
  <c r="CQ163" i="14"/>
  <c r="DT512" i="14"/>
  <c r="DU511" i="14"/>
  <c r="CL319" i="14"/>
  <c r="CK320" i="14"/>
  <c r="DZ559" i="14"/>
  <c r="DY560" i="14"/>
  <c r="CK68" i="14"/>
  <c r="CL67" i="14"/>
  <c r="DE404" i="14"/>
  <c r="DE428" i="14"/>
  <c r="DP571" i="14"/>
  <c r="DO572" i="14"/>
  <c r="CU524" i="14"/>
  <c r="CV523" i="14"/>
  <c r="CK572" i="14"/>
  <c r="CL571" i="14"/>
  <c r="CU68" i="14"/>
  <c r="CV67" i="14"/>
  <c r="DU247" i="14"/>
  <c r="DT248" i="14"/>
  <c r="DO308" i="14"/>
  <c r="DP307" i="14"/>
  <c r="CA224" i="14"/>
  <c r="DJ452" i="14"/>
  <c r="DK451" i="14"/>
  <c r="DJ296" i="14"/>
  <c r="DK295" i="14"/>
  <c r="ED488" i="14"/>
  <c r="EE487" i="14"/>
  <c r="CV271" i="14"/>
  <c r="CU272" i="14"/>
  <c r="CF128" i="14"/>
  <c r="CG127" i="14"/>
  <c r="DE140" i="14"/>
  <c r="EE631" i="14"/>
  <c r="ED632" i="14"/>
  <c r="CG667" i="14"/>
  <c r="CF668" i="14"/>
  <c r="CA404" i="14"/>
  <c r="DY296" i="14"/>
  <c r="DZ295" i="14"/>
  <c r="DJ512" i="14"/>
  <c r="DK511" i="14"/>
  <c r="CL499" i="14"/>
  <c r="CK500" i="14"/>
  <c r="ED644" i="14"/>
  <c r="EE643" i="14"/>
  <c r="DK403" i="14"/>
  <c r="DJ404" i="14"/>
  <c r="DE344" i="14"/>
  <c r="DU343" i="14"/>
  <c r="DT344" i="14"/>
  <c r="DP259" i="14"/>
  <c r="DO260" i="14"/>
  <c r="CQ559" i="14"/>
  <c r="CP560" i="14"/>
  <c r="DE212" i="14"/>
  <c r="CZ164" i="14"/>
  <c r="DA163" i="14"/>
  <c r="CK524" i="14"/>
  <c r="CL523" i="14"/>
  <c r="CK392" i="14"/>
  <c r="CL391" i="14"/>
  <c r="CQ499" i="14"/>
  <c r="CP500" i="14"/>
  <c r="CU428" i="14"/>
  <c r="CV427" i="14"/>
  <c r="DO584" i="14"/>
  <c r="DP583" i="14"/>
  <c r="CG235" i="14"/>
  <c r="CF236" i="14"/>
  <c r="DU487" i="14"/>
  <c r="DT488" i="14"/>
  <c r="CG211" i="14"/>
  <c r="CF212" i="14"/>
  <c r="CU332" i="14"/>
  <c r="CV331" i="14"/>
  <c r="DA307" i="14"/>
  <c r="CZ308" i="14"/>
  <c r="DA679" i="14"/>
  <c r="CZ680" i="14"/>
  <c r="EE127" i="14"/>
  <c r="ED128" i="14"/>
  <c r="CZ224" i="14"/>
  <c r="DA223" i="14"/>
  <c r="CQ667" i="14"/>
  <c r="CP668" i="14"/>
  <c r="DZ595" i="14"/>
  <c r="DY596" i="14"/>
  <c r="DT536" i="14"/>
  <c r="DU535" i="14"/>
  <c r="CG487" i="14"/>
  <c r="CF488" i="14"/>
  <c r="CA212" i="14"/>
  <c r="CQ439" i="14"/>
  <c r="CP440" i="14"/>
  <c r="DJ560" i="14"/>
  <c r="DK559" i="14"/>
  <c r="DE620" i="14"/>
  <c r="DO536" i="14"/>
  <c r="DP535" i="14"/>
  <c r="CP188" i="14"/>
  <c r="CQ187" i="14"/>
  <c r="CP548" i="14"/>
  <c r="CQ547" i="14"/>
  <c r="DJ92" i="14"/>
  <c r="DK91" i="14"/>
  <c r="DP595" i="14"/>
  <c r="DO596" i="14"/>
  <c r="CU128" i="14"/>
  <c r="CV127" i="14"/>
  <c r="DA391" i="14"/>
  <c r="CZ392" i="14"/>
  <c r="DT428" i="14"/>
  <c r="DU427" i="14"/>
  <c r="CL451" i="14"/>
  <c r="CK452" i="14"/>
  <c r="ED512" i="14"/>
  <c r="EE511" i="14"/>
  <c r="CL211" i="14"/>
  <c r="CK212" i="14"/>
  <c r="DY440" i="14"/>
  <c r="DZ439" i="14"/>
  <c r="CK476" i="14"/>
  <c r="CL475" i="14"/>
  <c r="CG247" i="14"/>
  <c r="CF248" i="14"/>
  <c r="DK475" i="14"/>
  <c r="DJ476" i="14"/>
  <c r="DE440" i="14"/>
  <c r="CP380" i="14"/>
  <c r="CQ379" i="14"/>
  <c r="CU368" i="14"/>
  <c r="CV367" i="14"/>
  <c r="DE296" i="14"/>
  <c r="DK487" i="14"/>
  <c r="DJ488" i="14"/>
  <c r="CU116" i="14"/>
  <c r="CV115" i="14"/>
  <c r="CA584" i="14"/>
  <c r="CL403" i="14"/>
  <c r="CK404" i="14"/>
  <c r="CV175" i="14"/>
  <c r="CU176" i="14"/>
  <c r="DK655" i="14"/>
  <c r="DJ656" i="14"/>
  <c r="CU632" i="14"/>
  <c r="CV631" i="14"/>
  <c r="DJ140" i="14"/>
  <c r="DK139" i="14"/>
  <c r="CK356" i="14"/>
  <c r="CL355" i="14"/>
  <c r="CV607" i="14"/>
  <c r="CU608" i="14"/>
  <c r="DE536" i="14"/>
  <c r="CV655" i="14"/>
  <c r="CU656" i="14"/>
  <c r="DP427" i="14"/>
  <c r="DO428" i="14"/>
  <c r="DE476" i="14"/>
  <c r="DK547" i="14"/>
  <c r="DJ548" i="14"/>
  <c r="DT104" i="14"/>
  <c r="DU103" i="14"/>
  <c r="DT644" i="14"/>
  <c r="DU643" i="14"/>
  <c r="DJ536" i="14"/>
  <c r="DK535" i="14"/>
  <c r="CG319" i="14"/>
  <c r="CF320" i="14"/>
  <c r="CF308" i="14"/>
  <c r="CG307" i="14"/>
  <c r="DY260" i="14"/>
  <c r="DZ259" i="14"/>
  <c r="DA427" i="14"/>
  <c r="CZ428" i="14"/>
  <c r="DE680" i="14"/>
  <c r="CA644" i="14"/>
  <c r="DY368" i="14"/>
  <c r="DZ367" i="14"/>
  <c r="CL511" i="14"/>
  <c r="CK512" i="14"/>
  <c r="DE284" i="14"/>
  <c r="DP247" i="14"/>
  <c r="DO248" i="14"/>
  <c r="CF440" i="14"/>
  <c r="CG439" i="14"/>
  <c r="DZ247" i="14"/>
  <c r="DY248" i="14"/>
  <c r="CQ391" i="14"/>
  <c r="CP392" i="14"/>
  <c r="DJ524" i="14"/>
  <c r="DK523" i="14"/>
  <c r="ED680" i="14"/>
  <c r="EE679" i="14"/>
  <c r="CL115" i="14"/>
  <c r="CK116" i="14"/>
  <c r="DP451" i="14"/>
  <c r="DO452" i="14"/>
  <c r="CK680" i="14"/>
  <c r="CL679" i="14"/>
  <c r="DP415" i="14"/>
  <c r="DO416" i="14"/>
  <c r="EE295" i="14"/>
  <c r="ED296" i="14"/>
  <c r="CG619" i="14"/>
  <c r="CF620" i="14"/>
  <c r="DE452" i="14"/>
  <c r="CU536" i="14"/>
  <c r="CV535" i="14"/>
  <c r="DP115" i="14"/>
  <c r="DO116" i="14"/>
  <c r="DY392" i="14"/>
  <c r="DZ391" i="14"/>
  <c r="DJ176" i="14"/>
  <c r="DK175" i="14"/>
  <c r="CP608" i="14"/>
  <c r="CQ607" i="14"/>
  <c r="CF464" i="14"/>
  <c r="CG463" i="14"/>
  <c r="DU271" i="14"/>
  <c r="DT272" i="14"/>
  <c r="DT188" i="14"/>
  <c r="DU187" i="14"/>
  <c r="DP439" i="14"/>
  <c r="DO440" i="14"/>
  <c r="DU151" i="14"/>
  <c r="DT152" i="14"/>
  <c r="CL199" i="14"/>
  <c r="CK200" i="14"/>
  <c r="CA572" i="14"/>
  <c r="CL139" i="14"/>
  <c r="CK140" i="14"/>
  <c r="DU55" i="14"/>
  <c r="DT56" i="14"/>
  <c r="CA236" i="14"/>
  <c r="CK308" i="14"/>
  <c r="CL307" i="14"/>
  <c r="CV595" i="14"/>
  <c r="CU596" i="14"/>
  <c r="DK151" i="14"/>
  <c r="DJ152" i="14"/>
  <c r="CK656" i="14"/>
  <c r="CL655" i="14"/>
  <c r="CL283" i="14"/>
  <c r="CK284" i="14"/>
  <c r="DZ283" i="14"/>
  <c r="DY284" i="14"/>
  <c r="DE236" i="14"/>
  <c r="DO632" i="14"/>
  <c r="DP631" i="14"/>
  <c r="DP199" i="14"/>
  <c r="DO200" i="14"/>
  <c r="DT368" i="14"/>
  <c r="DU367" i="14"/>
  <c r="DY68" i="14"/>
  <c r="DZ67" i="14"/>
  <c r="CQ211" i="14"/>
  <c r="CP212" i="14"/>
  <c r="CK260" i="14"/>
  <c r="CL259" i="14"/>
  <c r="CZ584" i="14"/>
  <c r="DA583" i="14"/>
  <c r="CU284" i="14"/>
  <c r="CV283" i="14"/>
  <c r="CQ307" i="14"/>
  <c r="CP308" i="14"/>
  <c r="DT212" i="14"/>
  <c r="DU211" i="14"/>
  <c r="CQ271" i="14"/>
  <c r="CP272" i="14"/>
  <c r="DA367" i="14"/>
  <c r="CZ368" i="14"/>
  <c r="DO212" i="14"/>
  <c r="DP211" i="14"/>
  <c r="CF608" i="14"/>
  <c r="CG607" i="14"/>
  <c r="CP284" i="14"/>
  <c r="CQ283" i="14"/>
  <c r="EE499" i="14"/>
  <c r="ED500" i="14"/>
  <c r="DT680" i="14"/>
  <c r="DU679" i="14"/>
  <c r="CP368" i="14"/>
  <c r="CQ367" i="14"/>
  <c r="DO560" i="14"/>
  <c r="DP559" i="14"/>
  <c r="DJ308" i="14"/>
  <c r="DK307" i="14"/>
  <c r="CQ631" i="14"/>
  <c r="CP632" i="14"/>
  <c r="CU380" i="14"/>
  <c r="CV379" i="14"/>
  <c r="DP487" i="14"/>
  <c r="DO488" i="14"/>
  <c r="CA440" i="14"/>
  <c r="DA319" i="14"/>
  <c r="CZ320" i="14"/>
  <c r="CU224" i="14"/>
  <c r="CV223" i="14"/>
  <c r="CV91" i="14"/>
  <c r="CU92" i="14"/>
  <c r="DA295" i="14"/>
  <c r="CZ296" i="14"/>
  <c r="CU476" i="14"/>
  <c r="CV475" i="14"/>
  <c r="DU619" i="14"/>
  <c r="DT620" i="14"/>
  <c r="DO512" i="14"/>
  <c r="DP511" i="14"/>
  <c r="CA320" i="14"/>
  <c r="DE200" i="14"/>
  <c r="DZ655" i="14"/>
  <c r="DY656" i="14"/>
  <c r="CV619" i="14"/>
  <c r="CU620" i="14"/>
  <c r="DO128" i="14"/>
  <c r="DP127" i="14"/>
  <c r="CQ595" i="14"/>
  <c r="CP596" i="14"/>
  <c r="DE524" i="14"/>
  <c r="CZ656" i="14"/>
  <c r="DA655" i="14"/>
  <c r="DT116" i="14"/>
  <c r="DU115" i="14"/>
  <c r="CA152" i="14"/>
  <c r="CZ536" i="14"/>
  <c r="DA535" i="14"/>
  <c r="ED116" i="14"/>
  <c r="EE115" i="14"/>
  <c r="DU175" i="14"/>
  <c r="DT176" i="14"/>
  <c r="CV211" i="14"/>
  <c r="CU212" i="14"/>
  <c r="DT524" i="14"/>
  <c r="DU523" i="14"/>
  <c r="DA379" i="14"/>
  <c r="CZ380" i="14"/>
  <c r="DE668" i="14"/>
  <c r="ED560" i="14"/>
  <c r="EE559" i="14"/>
  <c r="DP643" i="14"/>
  <c r="DO644" i="14"/>
  <c r="DK259" i="14"/>
  <c r="DJ260" i="14"/>
  <c r="DT128" i="14"/>
  <c r="DU127" i="14"/>
  <c r="ED164" i="14"/>
  <c r="EE163" i="14"/>
  <c r="CU296" i="14"/>
  <c r="CV295" i="14"/>
  <c r="CV403" i="14"/>
  <c r="CU404" i="14"/>
  <c r="DO176" i="14"/>
  <c r="DP175" i="14"/>
  <c r="DJ332" i="14"/>
  <c r="DK331" i="14"/>
  <c r="CP512" i="14"/>
  <c r="CQ511" i="14"/>
  <c r="DE56" i="14"/>
  <c r="CU668" i="14"/>
  <c r="CV667" i="14"/>
  <c r="CF536" i="14"/>
  <c r="CG535" i="14"/>
  <c r="DE656" i="14"/>
  <c r="CA296" i="14"/>
  <c r="DK619" i="14"/>
  <c r="DJ620" i="14"/>
  <c r="CQ259" i="14"/>
  <c r="CP260" i="14"/>
  <c r="DO320" i="14"/>
  <c r="DP319" i="14"/>
  <c r="CK644" i="14"/>
  <c r="CL643" i="14"/>
  <c r="DK319" i="14"/>
  <c r="DJ320" i="14"/>
  <c r="DZ511" i="14"/>
  <c r="DY512" i="14"/>
  <c r="CU464" i="14"/>
  <c r="CV463" i="14"/>
  <c r="DK595" i="14"/>
  <c r="DJ596" i="14"/>
  <c r="CG91" i="14"/>
  <c r="CF92" i="14"/>
  <c r="CF428" i="14"/>
  <c r="CG427" i="14"/>
  <c r="DU235" i="14"/>
  <c r="DT236" i="14"/>
  <c r="CA632" i="14"/>
  <c r="DY572" i="14"/>
  <c r="DZ571" i="14"/>
  <c r="CF596" i="14"/>
  <c r="CG595" i="14"/>
  <c r="ED308" i="14"/>
  <c r="EE307" i="14"/>
  <c r="CL235" i="14"/>
  <c r="CK236" i="14"/>
  <c r="CZ644" i="14"/>
  <c r="DA643" i="14"/>
  <c r="DO368" i="14"/>
  <c r="DP367" i="14"/>
  <c r="CA680" i="14"/>
  <c r="DY524" i="14"/>
  <c r="DZ523" i="14"/>
  <c r="DE68" i="14"/>
  <c r="EE379" i="14"/>
  <c r="ED380" i="14"/>
  <c r="DJ248" i="14"/>
  <c r="DK247" i="14"/>
  <c r="DU439" i="14"/>
  <c r="DT440" i="14"/>
  <c r="CV499" i="14"/>
  <c r="CU500" i="14"/>
  <c r="DY452" i="14"/>
  <c r="DZ451" i="14"/>
  <c r="CG499" i="14"/>
  <c r="CF500" i="14"/>
  <c r="CU248" i="14"/>
  <c r="CV247" i="14"/>
  <c r="CK548" i="14"/>
  <c r="CL547" i="14"/>
  <c r="DJ356" i="14"/>
  <c r="DK355" i="14"/>
  <c r="DZ619" i="14"/>
  <c r="DY620" i="14"/>
  <c r="CV571" i="14"/>
  <c r="CU572" i="14"/>
  <c r="CA92" i="14"/>
  <c r="CG103" i="14"/>
  <c r="CF104" i="14"/>
  <c r="CQ235" i="14"/>
  <c r="CP236" i="14"/>
  <c r="DO620" i="14"/>
  <c r="DP619" i="14"/>
  <c r="DE116" i="14"/>
  <c r="CG571" i="14"/>
  <c r="CF572" i="14"/>
  <c r="DA487" i="14"/>
  <c r="CZ488" i="14"/>
  <c r="DE596" i="14"/>
  <c r="DE464" i="14"/>
  <c r="DT668" i="14"/>
  <c r="DU667" i="14"/>
  <c r="CZ476" i="14"/>
  <c r="DA475" i="14"/>
  <c r="DE260" i="14"/>
  <c r="CZ212" i="14"/>
  <c r="DA211" i="14"/>
  <c r="CP452" i="14"/>
  <c r="CQ451" i="14"/>
  <c r="DT308" i="14"/>
  <c r="DU307" i="14"/>
  <c r="DZ535" i="14"/>
  <c r="DY536" i="14"/>
  <c r="CA368" i="14"/>
  <c r="CA464" i="14"/>
  <c r="DY320" i="14"/>
  <c r="DZ319" i="14"/>
  <c r="CL631" i="14"/>
  <c r="CK632" i="14"/>
  <c r="DE572" i="14"/>
  <c r="CA608" i="14"/>
  <c r="CK152" i="14"/>
  <c r="CL151" i="14"/>
  <c r="CA620" i="14"/>
  <c r="DJ236" i="14"/>
  <c r="DK235" i="14"/>
  <c r="CU308" i="14"/>
  <c r="CV307" i="14"/>
  <c r="DT560" i="14"/>
  <c r="DU559" i="14"/>
  <c r="DA667" i="14"/>
  <c r="CZ668" i="14"/>
  <c r="CF416" i="14"/>
  <c r="CG415" i="14"/>
  <c r="CA452" i="14"/>
  <c r="CK164" i="14"/>
  <c r="CL163" i="14"/>
  <c r="CA104" i="14"/>
  <c r="CP296" i="14"/>
  <c r="CQ295" i="14"/>
  <c r="DA415" i="14"/>
  <c r="CZ416" i="14"/>
  <c r="DE512" i="14"/>
  <c r="DT200" i="14"/>
  <c r="DU199" i="14"/>
  <c r="ED548" i="14"/>
  <c r="EE547" i="14"/>
  <c r="DY236" i="14"/>
  <c r="DZ235" i="14"/>
  <c r="CU548" i="14"/>
  <c r="CV547" i="14"/>
  <c r="DU607" i="14"/>
  <c r="DT608" i="14"/>
  <c r="DJ68" i="14"/>
  <c r="DK67" i="14"/>
  <c r="CU152" i="14"/>
  <c r="CV151" i="14"/>
  <c r="CP152" i="14"/>
  <c r="CQ151" i="14"/>
  <c r="CK440" i="14"/>
  <c r="CL439" i="14"/>
  <c r="CP644" i="14"/>
  <c r="CQ643" i="14"/>
  <c r="DE548" i="14"/>
  <c r="DE164" i="14"/>
  <c r="DO152" i="14"/>
  <c r="DP151" i="14"/>
  <c r="DE488" i="14"/>
  <c r="CA128" i="14"/>
  <c r="CK188" i="14"/>
  <c r="CL187" i="14"/>
  <c r="DO188" i="14"/>
  <c r="DP187" i="14"/>
  <c r="CA476" i="14"/>
  <c r="DE500" i="14"/>
  <c r="DO344" i="14"/>
  <c r="DP343" i="14"/>
  <c r="CG163" i="14"/>
  <c r="CF164" i="14"/>
  <c r="DE584" i="14"/>
  <c r="DK571" i="14"/>
  <c r="DJ572" i="14"/>
  <c r="CA176" i="14"/>
  <c r="DO272" i="14"/>
  <c r="DP271" i="14"/>
  <c r="DU631" i="14"/>
  <c r="DT632" i="14"/>
  <c r="DA151" i="14"/>
  <c r="CZ152" i="14"/>
  <c r="CK596" i="14"/>
  <c r="CL595" i="14"/>
  <c r="CG343" i="14"/>
  <c r="CF344" i="14"/>
  <c r="DE644" i="14"/>
  <c r="CG655" i="14"/>
  <c r="CF656" i="14"/>
  <c r="DP355" i="14"/>
  <c r="DO356" i="14"/>
  <c r="DZ463" i="14"/>
  <c r="DY464" i="14"/>
  <c r="DA187" i="14"/>
  <c r="CZ188" i="14"/>
  <c r="DA463" i="14"/>
  <c r="CZ464" i="14"/>
  <c r="DO284" i="14"/>
  <c r="DP283" i="14"/>
  <c r="DY188" i="14"/>
  <c r="DZ187" i="14"/>
  <c r="CL175" i="14"/>
  <c r="CK176" i="14"/>
  <c r="DT92" i="14"/>
  <c r="DU91" i="14"/>
  <c r="CV643" i="14"/>
  <c r="CU644" i="14"/>
  <c r="CK464" i="14"/>
  <c r="CL463" i="14"/>
  <c r="DU583" i="14"/>
  <c r="DT584" i="14"/>
  <c r="EE415" i="14"/>
  <c r="ED416" i="14"/>
  <c r="DA199" i="14"/>
  <c r="CZ200" i="14"/>
  <c r="CF188" i="14"/>
  <c r="CG187" i="14"/>
  <c r="EE151" i="14"/>
  <c r="ED152" i="14"/>
  <c r="DZ175" i="14"/>
  <c r="DY176" i="14"/>
  <c r="CF224" i="14"/>
  <c r="CG223" i="14"/>
  <c r="DE416" i="14"/>
  <c r="CV319" i="14"/>
  <c r="CU320" i="14"/>
  <c r="DP331" i="14"/>
  <c r="DO332" i="14"/>
  <c r="CG643" i="14"/>
  <c r="CF644" i="14"/>
  <c r="CU560" i="14"/>
  <c r="CV559" i="14"/>
  <c r="DA451" i="14"/>
  <c r="CZ452" i="14"/>
  <c r="DJ608" i="14"/>
  <c r="DK607" i="14"/>
  <c r="DY500" i="14"/>
  <c r="DZ499" i="14"/>
  <c r="CU488" i="14"/>
  <c r="CV487" i="14"/>
  <c r="CP68" i="14"/>
  <c r="CQ67" i="14"/>
  <c r="ED320" i="14"/>
  <c r="EE319" i="14"/>
  <c r="DZ475" i="14"/>
  <c r="DY476" i="14"/>
  <c r="DE188" i="14"/>
  <c r="CK488" i="14"/>
  <c r="CL487" i="14"/>
  <c r="DA259" i="14"/>
  <c r="CZ260" i="14"/>
  <c r="CK416" i="14"/>
  <c r="CL415" i="14"/>
  <c r="CA344" i="14"/>
  <c r="CV439" i="14"/>
  <c r="CU440" i="14"/>
  <c r="EE367" i="14"/>
  <c r="ED368" i="14"/>
  <c r="CL91" i="14"/>
  <c r="CK92" i="14"/>
  <c r="DZ427" i="14"/>
  <c r="DY428" i="14"/>
  <c r="ED68" i="14"/>
  <c r="EE67" i="14"/>
  <c r="DE176" i="14"/>
  <c r="ED272" i="14"/>
  <c r="EE271" i="14"/>
  <c r="EE247" i="14"/>
  <c r="ED248" i="14"/>
  <c r="DP655" i="14"/>
  <c r="DO656" i="14"/>
  <c r="DJ584" i="14"/>
  <c r="DK583" i="14"/>
  <c r="DJ128" i="14"/>
  <c r="DK127" i="14"/>
  <c r="CU104" i="14"/>
  <c r="CV103" i="14"/>
  <c r="CP680" i="14"/>
  <c r="CQ679" i="14"/>
  <c r="CQ247" i="14"/>
  <c r="CP248" i="14"/>
  <c r="CU236" i="14"/>
  <c r="CV235" i="14"/>
  <c r="DF77" i="14"/>
  <c r="CB77" i="14"/>
  <c r="CG76" i="14"/>
  <c r="CF77" i="14"/>
  <c r="DP76" i="14"/>
  <c r="DO77" i="14"/>
  <c r="DK76" i="14"/>
  <c r="DJ77" i="14"/>
  <c r="DA76" i="14"/>
  <c r="CZ77" i="14"/>
  <c r="DE78" i="14"/>
  <c r="CQ76" i="14"/>
  <c r="CP77" i="14"/>
  <c r="CK77" i="14"/>
  <c r="CL76" i="14"/>
  <c r="ED77" i="14"/>
  <c r="EE76" i="14"/>
  <c r="CA78" i="14"/>
  <c r="DU76" i="14"/>
  <c r="DT77" i="14"/>
  <c r="CU77" i="14"/>
  <c r="CV76" i="14"/>
  <c r="DZ76" i="14"/>
  <c r="DY77" i="14"/>
  <c r="CB39" i="14"/>
  <c r="AU42" i="14"/>
  <c r="BK37" i="14"/>
  <c r="AY42" i="14"/>
  <c r="AW42" i="14"/>
  <c r="AI11" i="43"/>
  <c r="AL48" i="43"/>
  <c r="AL40" i="43"/>
  <c r="AL27" i="43"/>
  <c r="AL62" i="43"/>
  <c r="AL37" i="43"/>
  <c r="AL51" i="43"/>
  <c r="AL81" i="43"/>
  <c r="AL24" i="43"/>
  <c r="AL29" i="43"/>
  <c r="AL73" i="43"/>
  <c r="AL98" i="43"/>
  <c r="AL13" i="43"/>
  <c r="AL57" i="43"/>
  <c r="AL79" i="43"/>
  <c r="AL84" i="43"/>
  <c r="AL63" i="43"/>
  <c r="AL60" i="43"/>
  <c r="AL12" i="43"/>
  <c r="AK12" i="43" s="1"/>
  <c r="AL20" i="43"/>
  <c r="AK20" i="43" s="1"/>
  <c r="AL19" i="43"/>
  <c r="AK19" i="43" s="1"/>
  <c r="AL78" i="43"/>
  <c r="AL43" i="43"/>
  <c r="AL65" i="43"/>
  <c r="AL28" i="43"/>
  <c r="AL32" i="43"/>
  <c r="AL71" i="43"/>
  <c r="AL70" i="43"/>
  <c r="AL21" i="43"/>
  <c r="AL66" i="43"/>
  <c r="AL41" i="43"/>
  <c r="AL50" i="43"/>
  <c r="AL16" i="43"/>
  <c r="AK16" i="43" s="1"/>
  <c r="AL23" i="43"/>
  <c r="AL22" i="43"/>
  <c r="AL42" i="43"/>
  <c r="AL33" i="43"/>
  <c r="AL18" i="43"/>
  <c r="AK18" i="43" s="1"/>
  <c r="AL36" i="43"/>
  <c r="AL15" i="43"/>
  <c r="AL14" i="43"/>
  <c r="AL68" i="43"/>
  <c r="AL26" i="43"/>
  <c r="AL25" i="43"/>
  <c r="AL96" i="43"/>
  <c r="AL67" i="43"/>
  <c r="AL92" i="43"/>
  <c r="AL93" i="43"/>
  <c r="AL44" i="43"/>
  <c r="AL89" i="43"/>
  <c r="AL17" i="43"/>
  <c r="AL56" i="43"/>
  <c r="AL35" i="43"/>
  <c r="AL52" i="43"/>
  <c r="AL85" i="43"/>
  <c r="AL90" i="43"/>
  <c r="AL88" i="43"/>
  <c r="AL74" i="43"/>
  <c r="AL55" i="43"/>
  <c r="AL54" i="43"/>
  <c r="AL77" i="43"/>
  <c r="AL80" i="43"/>
  <c r="AL58" i="43"/>
  <c r="AL47" i="43"/>
  <c r="AL91" i="43"/>
  <c r="AL46" i="43"/>
  <c r="AL69" i="43"/>
  <c r="AL49" i="43"/>
  <c r="AL59" i="43"/>
  <c r="AL72" i="43"/>
  <c r="AL76" i="43"/>
  <c r="AL34" i="43"/>
  <c r="AL39" i="43"/>
  <c r="AL75" i="43"/>
  <c r="AL38" i="43"/>
  <c r="AL61" i="43"/>
  <c r="AL64" i="43"/>
  <c r="AL95" i="43"/>
  <c r="AL31" i="43"/>
  <c r="AL94" i="43"/>
  <c r="AL30" i="43"/>
  <c r="AL53" i="43"/>
  <c r="AL83" i="43"/>
  <c r="AL97" i="43"/>
  <c r="AL82" i="43"/>
  <c r="AL99" i="43"/>
  <c r="AL87" i="43"/>
  <c r="AL86" i="43"/>
  <c r="AL45" i="43"/>
  <c r="EE40" i="14"/>
  <c r="ED41" i="14"/>
  <c r="CL40" i="14"/>
  <c r="CK41" i="14"/>
  <c r="CZ40" i="14"/>
  <c r="DA40" i="14" s="1"/>
  <c r="CF40" i="14"/>
  <c r="CG40" i="14" s="1"/>
  <c r="CU40" i="14"/>
  <c r="CV40" i="14" s="1"/>
  <c r="CA40" i="14"/>
  <c r="CP40" i="14"/>
  <c r="CQ40" i="14" s="1"/>
  <c r="DK40" i="14"/>
  <c r="DJ41" i="14"/>
  <c r="DT41" i="14"/>
  <c r="DU40" i="14"/>
  <c r="DY41" i="14"/>
  <c r="DZ40" i="14"/>
  <c r="DP40" i="14"/>
  <c r="DO41" i="14"/>
  <c r="BM37" i="14"/>
  <c r="BA44" i="14"/>
  <c r="BC45" i="14"/>
  <c r="CB68" i="14" a="1"/>
  <c r="CB212" i="14" a="1"/>
  <c r="DF332" i="14" a="1"/>
  <c r="DF248" i="14" a="1"/>
  <c r="AZ41" i="14"/>
  <c r="DF524" i="14" a="1"/>
  <c r="DF464" i="14" a="1"/>
  <c r="CB116" i="14" a="1"/>
  <c r="DF392" i="14" a="1"/>
  <c r="CB344" i="14" a="1"/>
  <c r="DF308" i="14" a="1"/>
  <c r="DF668" i="14" a="1"/>
  <c r="CB656" i="14" a="1"/>
  <c r="CB224" i="14" a="1"/>
  <c r="CB500" i="14" a="1"/>
  <c r="DF92" i="14" a="1"/>
  <c r="CB584" i="14" a="1"/>
  <c r="DF320" i="14" a="1"/>
  <c r="CB512" i="14" a="1"/>
  <c r="DF656" i="14" a="1"/>
  <c r="DF188" i="14" a="1"/>
  <c r="CB632" i="14" a="1"/>
  <c r="DF428" i="14" a="1"/>
  <c r="DF212" i="14" a="1"/>
  <c r="BD45" i="14"/>
  <c r="DF344" i="14" a="1"/>
  <c r="CB668" i="14" a="1"/>
  <c r="CB452" i="14" a="1"/>
  <c r="CB596" i="14" a="1"/>
  <c r="DF78" i="14" a="1"/>
  <c r="CB320" i="14" a="1"/>
  <c r="DF56" i="14" a="1"/>
  <c r="BL36" i="14"/>
  <c r="DF572" i="14" a="1"/>
  <c r="DF272" i="14" a="1"/>
  <c r="CB356" i="14" a="1"/>
  <c r="CB620" i="14" a="1"/>
  <c r="CB332" i="14" a="1"/>
  <c r="BB44" i="14"/>
  <c r="CB476" i="14" a="1"/>
  <c r="DF596" i="14" a="1"/>
  <c r="CB488" i="14" a="1"/>
  <c r="DF224" i="14" a="1"/>
  <c r="CB680" i="14" a="1"/>
  <c r="DF644" i="14" a="1"/>
  <c r="DF356" i="14" a="1"/>
  <c r="CB560" i="14" a="1"/>
  <c r="CB164" i="14" a="1"/>
  <c r="CB608" i="14" a="1"/>
  <c r="DF584" i="14" a="1"/>
  <c r="DF116" i="14" a="1"/>
  <c r="CB368" i="14" a="1"/>
  <c r="BB42" i="14"/>
  <c r="DF380" i="14" a="1"/>
  <c r="DF140" i="14" a="1"/>
  <c r="CB260" i="14" a="1"/>
  <c r="CB40" i="14" a="1"/>
  <c r="CB296" i="14" a="1"/>
  <c r="CB92" i="14" a="1"/>
  <c r="DF404" i="14" a="1"/>
  <c r="CB272" i="14" a="1"/>
  <c r="DF176" i="14" a="1"/>
  <c r="CB140" i="14" a="1"/>
  <c r="DF440" i="14" a="1"/>
  <c r="CB392" i="14" a="1"/>
  <c r="CB284" i="14" a="1"/>
  <c r="DF488" i="14" a="1"/>
  <c r="CB200" i="14" a="1"/>
  <c r="DF632" i="14" a="1"/>
  <c r="DF104" i="14" a="1"/>
  <c r="DF200" i="14" a="1"/>
  <c r="DF416" i="14" a="1"/>
  <c r="CB416" i="14" a="1"/>
  <c r="CB464" i="14" a="1"/>
  <c r="CB440" i="14" a="1"/>
  <c r="CB404" i="14" a="1"/>
  <c r="CB428" i="14" a="1"/>
  <c r="DF284" i="14" a="1"/>
  <c r="DF368" i="14" a="1"/>
  <c r="CB78" i="14" a="1"/>
  <c r="DF68" i="14" a="1"/>
  <c r="CB128" i="14" a="1"/>
  <c r="DF152" i="14" a="1"/>
  <c r="DF548" i="14" a="1"/>
  <c r="CB236" i="14" a="1"/>
  <c r="DF680" i="14" a="1"/>
  <c r="CB176" i="14" a="1"/>
  <c r="CB572" i="14" a="1"/>
  <c r="DF236" i="14" a="1"/>
  <c r="DF560" i="14" a="1"/>
  <c r="CB536" i="14" a="1"/>
  <c r="DF164" i="14" a="1"/>
  <c r="DF296" i="14" a="1"/>
  <c r="CB104" i="14" a="1"/>
  <c r="DF512" i="14" a="1"/>
  <c r="DF620" i="14" a="1"/>
  <c r="DF452" i="14" a="1"/>
  <c r="CB188" i="14" a="1"/>
  <c r="DF476" i="14" a="1"/>
  <c r="CB380" i="14" a="1"/>
  <c r="CB524" i="14" a="1"/>
  <c r="CB248" i="14" a="1"/>
  <c r="CB548" i="14" a="1"/>
  <c r="DF128" i="14" a="1"/>
  <c r="CB56" i="14" a="1"/>
  <c r="CB152" i="14" a="1"/>
  <c r="DF260" i="14" a="1"/>
  <c r="AX41" i="14"/>
  <c r="CB644" i="14" a="1"/>
  <c r="DF536" i="14" a="1"/>
  <c r="DF500" i="14" a="1"/>
  <c r="AV41" i="14"/>
  <c r="CB308" i="14" a="1"/>
  <c r="DF608" i="14" a="1"/>
  <c r="DJ164" i="14" l="1"/>
  <c r="DJ165" i="14" s="1"/>
  <c r="DF548" i="14"/>
  <c r="DF116" i="14"/>
  <c r="DF656" i="14"/>
  <c r="DF284" i="14"/>
  <c r="DF536" i="14"/>
  <c r="DF620" i="14"/>
  <c r="DF212" i="14"/>
  <c r="CB500" i="14"/>
  <c r="CB524" i="14"/>
  <c r="CB608" i="14"/>
  <c r="DF524" i="14"/>
  <c r="DF320" i="14"/>
  <c r="CB476" i="14"/>
  <c r="CB404" i="14"/>
  <c r="CB56" i="14"/>
  <c r="CB680" i="14"/>
  <c r="CB644" i="14"/>
  <c r="CB212" i="14"/>
  <c r="CB488" i="14"/>
  <c r="DF500" i="14"/>
  <c r="DF260" i="14"/>
  <c r="DF188" i="14"/>
  <c r="DF680" i="14"/>
  <c r="DF296" i="14"/>
  <c r="CB224" i="14"/>
  <c r="DF404" i="14"/>
  <c r="DF332" i="14"/>
  <c r="DF608" i="14"/>
  <c r="DF224" i="14"/>
  <c r="CB428" i="14"/>
  <c r="CB248" i="14"/>
  <c r="CB668" i="14"/>
  <c r="DF68" i="14"/>
  <c r="CB164" i="14"/>
  <c r="DF56" i="14"/>
  <c r="DF428" i="14"/>
  <c r="DF512" i="14"/>
  <c r="CB464" i="14"/>
  <c r="CB92" i="14"/>
  <c r="DF344" i="14"/>
  <c r="DF356" i="14"/>
  <c r="DF272" i="14"/>
  <c r="DF380" i="14"/>
  <c r="CB536" i="14"/>
  <c r="CB656" i="14"/>
  <c r="CB284" i="14"/>
  <c r="CB632" i="14"/>
  <c r="CB368" i="14"/>
  <c r="DF464" i="14"/>
  <c r="CB572" i="14"/>
  <c r="CB512" i="14"/>
  <c r="CB548" i="14"/>
  <c r="CB260" i="14"/>
  <c r="CB68" i="14"/>
  <c r="CB272" i="14"/>
  <c r="CB176" i="14"/>
  <c r="CB128" i="14"/>
  <c r="DF596" i="14"/>
  <c r="DF476" i="14"/>
  <c r="DF140" i="14"/>
  <c r="CB416" i="14"/>
  <c r="DF104" i="14"/>
  <c r="CB356" i="14"/>
  <c r="CB140" i="14"/>
  <c r="DF416" i="14"/>
  <c r="DF488" i="14"/>
  <c r="DF632" i="14"/>
  <c r="DF308" i="14"/>
  <c r="CB452" i="14"/>
  <c r="CB596" i="14"/>
  <c r="DF236" i="14"/>
  <c r="CB152" i="14"/>
  <c r="DF200" i="14"/>
  <c r="DF440" i="14"/>
  <c r="DF560" i="14"/>
  <c r="CB188" i="14"/>
  <c r="CB584" i="14"/>
  <c r="CB392" i="14"/>
  <c r="CB236" i="14"/>
  <c r="DF644" i="14"/>
  <c r="DF584" i="14"/>
  <c r="CB104" i="14"/>
  <c r="CB620" i="14"/>
  <c r="DF668" i="14"/>
  <c r="CB320" i="14"/>
  <c r="DF128" i="14"/>
  <c r="CB332" i="14"/>
  <c r="DF248" i="14"/>
  <c r="CB308" i="14"/>
  <c r="CB380" i="14"/>
  <c r="DF152" i="14"/>
  <c r="DF392" i="14"/>
  <c r="DF92" i="14"/>
  <c r="DF176" i="14"/>
  <c r="DF572" i="14"/>
  <c r="DF452" i="14"/>
  <c r="CB116" i="14"/>
  <c r="CB344" i="14"/>
  <c r="DF164" i="14"/>
  <c r="CB296" i="14"/>
  <c r="CB440" i="14"/>
  <c r="CB560" i="14"/>
  <c r="CB200" i="14"/>
  <c r="DF368" i="14"/>
  <c r="DA212" i="14"/>
  <c r="CZ213" i="14"/>
  <c r="CV536" i="14"/>
  <c r="CU537" i="14"/>
  <c r="CK429" i="14"/>
  <c r="CL428" i="14"/>
  <c r="CP249" i="14"/>
  <c r="CQ248" i="14"/>
  <c r="CU489" i="14"/>
  <c r="CV488" i="14"/>
  <c r="EE416" i="14"/>
  <c r="ED417" i="14"/>
  <c r="DE549" i="14"/>
  <c r="CU549" i="14"/>
  <c r="CV548" i="14"/>
  <c r="CK165" i="14"/>
  <c r="CL164" i="14"/>
  <c r="CL152" i="14"/>
  <c r="CK153" i="14"/>
  <c r="CQ452" i="14"/>
  <c r="CP453" i="14"/>
  <c r="DE117" i="14"/>
  <c r="EE380" i="14"/>
  <c r="ED381" i="14"/>
  <c r="CU465" i="14"/>
  <c r="CV464" i="14"/>
  <c r="DE657" i="14"/>
  <c r="DO513" i="14"/>
  <c r="DP512" i="14"/>
  <c r="DP488" i="14"/>
  <c r="DO489" i="14"/>
  <c r="EE500" i="14"/>
  <c r="ED501" i="14"/>
  <c r="CP309" i="14"/>
  <c r="CQ308" i="14"/>
  <c r="DO201" i="14"/>
  <c r="DP200" i="14"/>
  <c r="CK117" i="14"/>
  <c r="CL116" i="14"/>
  <c r="DE285" i="14"/>
  <c r="DE537" i="14"/>
  <c r="CG248" i="14"/>
  <c r="CF249" i="14"/>
  <c r="CZ393" i="14"/>
  <c r="DA392" i="14"/>
  <c r="DE621" i="14"/>
  <c r="CF237" i="14"/>
  <c r="CG236" i="14"/>
  <c r="DE213" i="14"/>
  <c r="CL572" i="14"/>
  <c r="CK573" i="14"/>
  <c r="DT513" i="14"/>
  <c r="DU512" i="14"/>
  <c r="DZ164" i="14"/>
  <c r="DY165" i="14"/>
  <c r="DO105" i="14"/>
  <c r="DP104" i="14"/>
  <c r="ED177" i="14"/>
  <c r="EE176" i="14"/>
  <c r="DA560" i="14"/>
  <c r="CZ561" i="14"/>
  <c r="CL56" i="14"/>
  <c r="CK57" i="14"/>
  <c r="DA92" i="14"/>
  <c r="CZ93" i="14"/>
  <c r="CV200" i="14"/>
  <c r="CU201" i="14"/>
  <c r="DK212" i="14"/>
  <c r="DJ213" i="14"/>
  <c r="CA501" i="14"/>
  <c r="CP105" i="14"/>
  <c r="CQ104" i="14"/>
  <c r="CG332" i="14"/>
  <c r="CF333" i="14"/>
  <c r="CA525" i="14"/>
  <c r="DY609" i="14"/>
  <c r="DZ608" i="14"/>
  <c r="DZ104" i="14"/>
  <c r="DY105" i="14"/>
  <c r="DA356" i="14"/>
  <c r="CZ357" i="14"/>
  <c r="DU224" i="14"/>
  <c r="DT225" i="14"/>
  <c r="CU165" i="14"/>
  <c r="CV164" i="14"/>
  <c r="CK129" i="14"/>
  <c r="CL128" i="14"/>
  <c r="ED57" i="14"/>
  <c r="EE56" i="14"/>
  <c r="CL416" i="14"/>
  <c r="CK417" i="14"/>
  <c r="CA609" i="14"/>
  <c r="DK512" i="14"/>
  <c r="DJ513" i="14"/>
  <c r="CV356" i="14"/>
  <c r="CU357" i="14"/>
  <c r="CZ333" i="14"/>
  <c r="DA332" i="14"/>
  <c r="CG296" i="14"/>
  <c r="CF297" i="14"/>
  <c r="DY501" i="14"/>
  <c r="DZ500" i="14"/>
  <c r="DE525" i="14"/>
  <c r="DK536" i="14"/>
  <c r="DJ537" i="14"/>
  <c r="CQ164" i="14"/>
  <c r="CP165" i="14"/>
  <c r="DE321" i="14"/>
  <c r="EE164" i="14"/>
  <c r="ED165" i="14"/>
  <c r="DJ393" i="14"/>
  <c r="DK392" i="14"/>
  <c r="DK680" i="14"/>
  <c r="DJ681" i="14"/>
  <c r="CA477" i="14"/>
  <c r="CP633" i="14"/>
  <c r="CQ632" i="14"/>
  <c r="DY369" i="14"/>
  <c r="DZ368" i="14"/>
  <c r="CA405" i="14"/>
  <c r="CA57" i="14"/>
  <c r="DA452" i="14"/>
  <c r="CZ453" i="14"/>
  <c r="CA681" i="14"/>
  <c r="CA645" i="14"/>
  <c r="DZ440" i="14"/>
  <c r="DY441" i="14"/>
  <c r="CA213" i="14"/>
  <c r="CV428" i="14"/>
  <c r="CU429" i="14"/>
  <c r="DT345" i="14"/>
  <c r="DU344" i="14"/>
  <c r="CG668" i="14"/>
  <c r="CF669" i="14"/>
  <c r="DJ453" i="14"/>
  <c r="DK452" i="14"/>
  <c r="DJ189" i="14"/>
  <c r="DK188" i="14"/>
  <c r="DT405" i="14"/>
  <c r="DU404" i="14"/>
  <c r="DK440" i="14"/>
  <c r="DJ441" i="14"/>
  <c r="CQ356" i="14"/>
  <c r="CP357" i="14"/>
  <c r="DU260" i="14"/>
  <c r="DT261" i="14"/>
  <c r="CQ476" i="14"/>
  <c r="CP477" i="14"/>
  <c r="CG524" i="14"/>
  <c r="CF525" i="14"/>
  <c r="DY93" i="14"/>
  <c r="DZ92" i="14"/>
  <c r="DJ117" i="14"/>
  <c r="DK116" i="14"/>
  <c r="CA489" i="14"/>
  <c r="CF285" i="14"/>
  <c r="CG284" i="14"/>
  <c r="CF201" i="14"/>
  <c r="CG200" i="14"/>
  <c r="ED465" i="14"/>
  <c r="EE464" i="14"/>
  <c r="DA128" i="14"/>
  <c r="CZ129" i="14"/>
  <c r="DP68" i="14"/>
  <c r="DO69" i="14"/>
  <c r="DK284" i="14"/>
  <c r="DJ285" i="14"/>
  <c r="DY333" i="14"/>
  <c r="DZ332" i="14"/>
  <c r="CP429" i="14"/>
  <c r="CQ428" i="14"/>
  <c r="CF513" i="14"/>
  <c r="CG512" i="14"/>
  <c r="DZ512" i="14"/>
  <c r="DY513" i="14"/>
  <c r="CZ657" i="14"/>
  <c r="DA656" i="14"/>
  <c r="CU609" i="14"/>
  <c r="CV608" i="14"/>
  <c r="DA404" i="14"/>
  <c r="CZ405" i="14"/>
  <c r="ED357" i="14"/>
  <c r="EE356" i="14"/>
  <c r="DT321" i="14"/>
  <c r="DU320" i="14"/>
  <c r="DU584" i="14"/>
  <c r="DT585" i="14"/>
  <c r="CG536" i="14"/>
  <c r="CF537" i="14"/>
  <c r="DK560" i="14"/>
  <c r="DJ561" i="14"/>
  <c r="DE501" i="14"/>
  <c r="DE261" i="14"/>
  <c r="DO633" i="14"/>
  <c r="DP632" i="14"/>
  <c r="CV116" i="14"/>
  <c r="CU117" i="14"/>
  <c r="DJ297" i="14"/>
  <c r="DK296" i="14"/>
  <c r="CK225" i="14"/>
  <c r="CL224" i="14"/>
  <c r="CV188" i="14"/>
  <c r="CU189" i="14"/>
  <c r="CQ620" i="14"/>
  <c r="CP621" i="14"/>
  <c r="DY381" i="14"/>
  <c r="DZ380" i="14"/>
  <c r="DK608" i="14"/>
  <c r="DJ609" i="14"/>
  <c r="DZ524" i="14"/>
  <c r="DY525" i="14"/>
  <c r="CF621" i="14"/>
  <c r="CG620" i="14"/>
  <c r="DJ489" i="14"/>
  <c r="DK488" i="14"/>
  <c r="DA596" i="14"/>
  <c r="CZ597" i="14"/>
  <c r="CK489" i="14"/>
  <c r="CL488" i="14"/>
  <c r="CK465" i="14"/>
  <c r="CL464" i="14"/>
  <c r="DT237" i="14"/>
  <c r="DU236" i="14"/>
  <c r="DE189" i="14"/>
  <c r="DY177" i="14"/>
  <c r="DZ176" i="14"/>
  <c r="CV644" i="14"/>
  <c r="CU645" i="14"/>
  <c r="DY465" i="14"/>
  <c r="DZ464" i="14"/>
  <c r="DO189" i="14"/>
  <c r="DP188" i="14"/>
  <c r="CP153" i="14"/>
  <c r="CQ152" i="14"/>
  <c r="DU200" i="14"/>
  <c r="DT201" i="14"/>
  <c r="DZ320" i="14"/>
  <c r="DY321" i="14"/>
  <c r="CK645" i="14"/>
  <c r="CL644" i="14"/>
  <c r="DK260" i="14"/>
  <c r="DJ261" i="14"/>
  <c r="DO129" i="14"/>
  <c r="DP128" i="14"/>
  <c r="CL140" i="14"/>
  <c r="CK141" i="14"/>
  <c r="CF465" i="14"/>
  <c r="CG464" i="14"/>
  <c r="EE296" i="14"/>
  <c r="ED297" i="14"/>
  <c r="CP393" i="14"/>
  <c r="CQ392" i="14"/>
  <c r="DE681" i="14"/>
  <c r="DU104" i="14"/>
  <c r="DT105" i="14"/>
  <c r="DJ141" i="14"/>
  <c r="DK140" i="14"/>
  <c r="DE297" i="14"/>
  <c r="CK213" i="14"/>
  <c r="CL212" i="14"/>
  <c r="CF489" i="14"/>
  <c r="CG488" i="14"/>
  <c r="DA308" i="14"/>
  <c r="CZ309" i="14"/>
  <c r="CP501" i="14"/>
  <c r="CQ500" i="14"/>
  <c r="CA225" i="14"/>
  <c r="DE405" i="14"/>
  <c r="CQ344" i="14"/>
  <c r="CP345" i="14"/>
  <c r="DO477" i="14"/>
  <c r="DP476" i="14"/>
  <c r="ED345" i="14"/>
  <c r="EE344" i="14"/>
  <c r="CQ464" i="14"/>
  <c r="CP465" i="14"/>
  <c r="DE333" i="14"/>
  <c r="CG404" i="14"/>
  <c r="CF405" i="14"/>
  <c r="CP405" i="14"/>
  <c r="CQ404" i="14"/>
  <c r="DE609" i="14"/>
  <c r="CK585" i="14"/>
  <c r="CL584" i="14"/>
  <c r="CU513" i="14"/>
  <c r="CV512" i="14"/>
  <c r="DE225" i="14"/>
  <c r="CA429" i="14"/>
  <c r="DY225" i="14"/>
  <c r="DZ224" i="14"/>
  <c r="DZ668" i="14"/>
  <c r="DY669" i="14"/>
  <c r="CZ501" i="14"/>
  <c r="DA500" i="14"/>
  <c r="DP500" i="14"/>
  <c r="DO501" i="14"/>
  <c r="CF393" i="14"/>
  <c r="CG392" i="14"/>
  <c r="DZ308" i="14"/>
  <c r="DY309" i="14"/>
  <c r="CA249" i="14"/>
  <c r="CF585" i="14"/>
  <c r="CG584" i="14"/>
  <c r="ED669" i="14"/>
  <c r="EE668" i="14"/>
  <c r="DU620" i="14"/>
  <c r="DT621" i="14"/>
  <c r="CK513" i="14"/>
  <c r="CL512" i="14"/>
  <c r="DA224" i="14"/>
  <c r="CZ225" i="14"/>
  <c r="CA669" i="14"/>
  <c r="EE572" i="14"/>
  <c r="ED573" i="14"/>
  <c r="CQ644" i="14"/>
  <c r="CP645" i="14"/>
  <c r="DE69" i="14"/>
  <c r="CK333" i="14"/>
  <c r="CL332" i="14"/>
  <c r="ED225" i="14"/>
  <c r="EE224" i="14"/>
  <c r="CG68" i="14"/>
  <c r="CF69" i="14"/>
  <c r="DY549" i="14"/>
  <c r="DZ548" i="14"/>
  <c r="CP129" i="14"/>
  <c r="CQ128" i="14"/>
  <c r="DU392" i="14"/>
  <c r="DT393" i="14"/>
  <c r="CZ153" i="14"/>
  <c r="DA152" i="14"/>
  <c r="CV380" i="14"/>
  <c r="CU381" i="14"/>
  <c r="CV128" i="14"/>
  <c r="CU129" i="14"/>
  <c r="DO585" i="14"/>
  <c r="DP584" i="14"/>
  <c r="DT573" i="14"/>
  <c r="DU572" i="14"/>
  <c r="CA165" i="14"/>
  <c r="DO297" i="14"/>
  <c r="DP296" i="14"/>
  <c r="ED441" i="14"/>
  <c r="EE440" i="14"/>
  <c r="EE284" i="14"/>
  <c r="ED285" i="14"/>
  <c r="EE548" i="14"/>
  <c r="ED549" i="14"/>
  <c r="CF549" i="14"/>
  <c r="CG548" i="14"/>
  <c r="DK224" i="14"/>
  <c r="DJ225" i="14"/>
  <c r="CV104" i="14"/>
  <c r="CU105" i="14"/>
  <c r="CG104" i="14"/>
  <c r="CF105" i="14"/>
  <c r="DE57" i="14"/>
  <c r="DU128" i="14"/>
  <c r="DT129" i="14"/>
  <c r="DT177" i="14"/>
  <c r="DU176" i="14"/>
  <c r="CZ297" i="14"/>
  <c r="DA296" i="14"/>
  <c r="CF609" i="14"/>
  <c r="CG608" i="14"/>
  <c r="DA584" i="14"/>
  <c r="CZ585" i="14"/>
  <c r="DZ284" i="14"/>
  <c r="DY285" i="14"/>
  <c r="DK524" i="14"/>
  <c r="DJ525" i="14"/>
  <c r="DE429" i="14"/>
  <c r="DJ129" i="14"/>
  <c r="DK128" i="14"/>
  <c r="CK93" i="14"/>
  <c r="CL92" i="14"/>
  <c r="DZ476" i="14"/>
  <c r="DY477" i="14"/>
  <c r="DE513" i="14"/>
  <c r="DU560" i="14"/>
  <c r="DT561" i="14"/>
  <c r="CA465" i="14"/>
  <c r="DU668" i="14"/>
  <c r="DT669" i="14"/>
  <c r="CA93" i="14"/>
  <c r="DZ452" i="14"/>
  <c r="DY453" i="14"/>
  <c r="DO369" i="14"/>
  <c r="DP368" i="14"/>
  <c r="CQ512" i="14"/>
  <c r="CP513" i="14"/>
  <c r="CV620" i="14"/>
  <c r="CU621" i="14"/>
  <c r="CV92" i="14"/>
  <c r="CU93" i="14"/>
  <c r="DK308" i="14"/>
  <c r="DJ309" i="14"/>
  <c r="DP212" i="14"/>
  <c r="DO213" i="14"/>
  <c r="CL260" i="14"/>
  <c r="CK261" i="14"/>
  <c r="CL284" i="14"/>
  <c r="CK285" i="14"/>
  <c r="CZ429" i="14"/>
  <c r="DA428" i="14"/>
  <c r="DK548" i="14"/>
  <c r="DJ549" i="14"/>
  <c r="DJ93" i="14"/>
  <c r="DK92" i="14"/>
  <c r="DE345" i="14"/>
  <c r="EE632" i="14"/>
  <c r="ED633" i="14"/>
  <c r="EE188" i="14"/>
  <c r="ED189" i="14"/>
  <c r="DY153" i="14"/>
  <c r="DZ152" i="14"/>
  <c r="DU284" i="14"/>
  <c r="DT285" i="14"/>
  <c r="DU548" i="14"/>
  <c r="DT549" i="14"/>
  <c r="CQ488" i="14"/>
  <c r="CP489" i="14"/>
  <c r="CP525" i="14"/>
  <c r="CQ524" i="14"/>
  <c r="DE357" i="14"/>
  <c r="EE428" i="14"/>
  <c r="ED429" i="14"/>
  <c r="CZ117" i="14"/>
  <c r="DA116" i="14"/>
  <c r="DE273" i="14"/>
  <c r="EE260" i="14"/>
  <c r="ED261" i="14"/>
  <c r="DZ404" i="14"/>
  <c r="DY405" i="14"/>
  <c r="DE381" i="14"/>
  <c r="DJ633" i="14"/>
  <c r="DK632" i="14"/>
  <c r="ED141" i="14"/>
  <c r="EE140" i="14"/>
  <c r="EE452" i="14"/>
  <c r="ED453" i="14"/>
  <c r="DZ644" i="14"/>
  <c r="DY645" i="14"/>
  <c r="CK609" i="14"/>
  <c r="CL608" i="14"/>
  <c r="CU141" i="14"/>
  <c r="CV140" i="14"/>
  <c r="ED657" i="14"/>
  <c r="EE656" i="14"/>
  <c r="CA537" i="14"/>
  <c r="CV260" i="14"/>
  <c r="CU261" i="14"/>
  <c r="CA657" i="14"/>
  <c r="CA285" i="14"/>
  <c r="DY201" i="14"/>
  <c r="DZ200" i="14"/>
  <c r="CL632" i="14"/>
  <c r="CK633" i="14"/>
  <c r="DT273" i="14"/>
  <c r="DU272" i="14"/>
  <c r="CA633" i="14"/>
  <c r="CU561" i="14"/>
  <c r="CV560" i="14"/>
  <c r="ED153" i="14"/>
  <c r="EE152" i="14"/>
  <c r="DO357" i="14"/>
  <c r="DP356" i="14"/>
  <c r="DP272" i="14"/>
  <c r="DO273" i="14"/>
  <c r="CK189" i="14"/>
  <c r="CL188" i="14"/>
  <c r="CU153" i="14"/>
  <c r="CV152" i="14"/>
  <c r="DA416" i="14"/>
  <c r="CZ417" i="14"/>
  <c r="CA369" i="14"/>
  <c r="DE465" i="14"/>
  <c r="CU573" i="14"/>
  <c r="CV572" i="14"/>
  <c r="CU501" i="14"/>
  <c r="CV500" i="14"/>
  <c r="CG428" i="14"/>
  <c r="CF429" i="14"/>
  <c r="DP320" i="14"/>
  <c r="DO321" i="14"/>
  <c r="DP644" i="14"/>
  <c r="DO645" i="14"/>
  <c r="EE116" i="14"/>
  <c r="ED117" i="14"/>
  <c r="CZ369" i="14"/>
  <c r="DA368" i="14"/>
  <c r="CQ212" i="14"/>
  <c r="CP213" i="14"/>
  <c r="CA573" i="14"/>
  <c r="CP609" i="14"/>
  <c r="CQ608" i="14"/>
  <c r="DP416" i="14"/>
  <c r="DO417" i="14"/>
  <c r="DY249" i="14"/>
  <c r="DZ248" i="14"/>
  <c r="CU633" i="14"/>
  <c r="CV632" i="14"/>
  <c r="CU369" i="14"/>
  <c r="CV368" i="14"/>
  <c r="DJ405" i="14"/>
  <c r="DK404" i="14"/>
  <c r="DP308" i="14"/>
  <c r="DO309" i="14"/>
  <c r="CL68" i="14"/>
  <c r="CK69" i="14"/>
  <c r="CG272" i="14"/>
  <c r="CF273" i="14"/>
  <c r="CA513" i="14"/>
  <c r="CG176" i="14"/>
  <c r="CF177" i="14"/>
  <c r="DA512" i="14"/>
  <c r="CZ513" i="14"/>
  <c r="CA549" i="14"/>
  <c r="CK537" i="14"/>
  <c r="CL536" i="14"/>
  <c r="CK105" i="14"/>
  <c r="CL104" i="14"/>
  <c r="ED201" i="14"/>
  <c r="EE200" i="14"/>
  <c r="DZ416" i="14"/>
  <c r="DY417" i="14"/>
  <c r="DA68" i="14"/>
  <c r="CZ69" i="14"/>
  <c r="DZ488" i="14"/>
  <c r="DY489" i="14"/>
  <c r="CQ584" i="14"/>
  <c r="CP585" i="14"/>
  <c r="ED609" i="14"/>
  <c r="EE608" i="14"/>
  <c r="EE476" i="14"/>
  <c r="ED477" i="14"/>
  <c r="DT657" i="14"/>
  <c r="DU656" i="14"/>
  <c r="CG560" i="14"/>
  <c r="CF561" i="14"/>
  <c r="CZ345" i="14"/>
  <c r="DA344" i="14"/>
  <c r="DY345" i="14"/>
  <c r="DZ344" i="14"/>
  <c r="DT417" i="14"/>
  <c r="DU416" i="14"/>
  <c r="EE584" i="14"/>
  <c r="ED585" i="14"/>
  <c r="DJ417" i="14"/>
  <c r="DK416" i="14"/>
  <c r="DO465" i="14"/>
  <c r="DP464" i="14"/>
  <c r="CF597" i="14"/>
  <c r="CG596" i="14"/>
  <c r="CZ249" i="14"/>
  <c r="DA248" i="14"/>
  <c r="CA261" i="14"/>
  <c r="CA69" i="14"/>
  <c r="CZ261" i="14"/>
  <c r="DA260" i="14"/>
  <c r="DU188" i="14"/>
  <c r="DT189" i="14"/>
  <c r="CA273" i="14"/>
  <c r="DA56" i="14"/>
  <c r="CZ57" i="14"/>
  <c r="CP681" i="14"/>
  <c r="CQ680" i="14"/>
  <c r="CP237" i="14"/>
  <c r="CQ236" i="14"/>
  <c r="DP260" i="14"/>
  <c r="DO261" i="14"/>
  <c r="DA236" i="14"/>
  <c r="CZ237" i="14"/>
  <c r="DJ369" i="14"/>
  <c r="DK368" i="14"/>
  <c r="CU417" i="14"/>
  <c r="CV416" i="14"/>
  <c r="CP225" i="14"/>
  <c r="CQ224" i="14"/>
  <c r="DK584" i="14"/>
  <c r="DJ585" i="14"/>
  <c r="EE368" i="14"/>
  <c r="ED369" i="14"/>
  <c r="CG644" i="14"/>
  <c r="CF645" i="14"/>
  <c r="DT93" i="14"/>
  <c r="DU92" i="14"/>
  <c r="CA177" i="14"/>
  <c r="CA129" i="14"/>
  <c r="CV308" i="14"/>
  <c r="CU309" i="14"/>
  <c r="DY537" i="14"/>
  <c r="DZ536" i="14"/>
  <c r="DE597" i="14"/>
  <c r="CZ645" i="14"/>
  <c r="DA644" i="14"/>
  <c r="CF93" i="14"/>
  <c r="CG92" i="14"/>
  <c r="CQ260" i="14"/>
  <c r="CP261" i="14"/>
  <c r="DK332" i="14"/>
  <c r="DJ333" i="14"/>
  <c r="DY657" i="14"/>
  <c r="DZ656" i="14"/>
  <c r="DP560" i="14"/>
  <c r="DO561" i="14"/>
  <c r="CL200" i="14"/>
  <c r="CK201" i="14"/>
  <c r="DE477" i="14"/>
  <c r="DJ657" i="14"/>
  <c r="DK656" i="14"/>
  <c r="EE512" i="14"/>
  <c r="ED513" i="14"/>
  <c r="CQ548" i="14"/>
  <c r="CP549" i="14"/>
  <c r="DT537" i="14"/>
  <c r="DU536" i="14"/>
  <c r="CV332" i="14"/>
  <c r="CU333" i="14"/>
  <c r="CK393" i="14"/>
  <c r="CL392" i="14"/>
  <c r="DE141" i="14"/>
  <c r="DT249" i="14"/>
  <c r="DU248" i="14"/>
  <c r="DY561" i="14"/>
  <c r="DZ560" i="14"/>
  <c r="CA417" i="14"/>
  <c r="DP140" i="14"/>
  <c r="DO141" i="14"/>
  <c r="DK464" i="14"/>
  <c r="DJ465" i="14"/>
  <c r="DE105" i="14"/>
  <c r="CF117" i="14"/>
  <c r="CG116" i="14"/>
  <c r="EE404" i="14"/>
  <c r="ED405" i="14"/>
  <c r="DO165" i="14"/>
  <c r="DP164" i="14"/>
  <c r="CP141" i="14"/>
  <c r="CQ140" i="14"/>
  <c r="CL272" i="14"/>
  <c r="CK273" i="14"/>
  <c r="CP573" i="14"/>
  <c r="CQ572" i="14"/>
  <c r="CA357" i="14"/>
  <c r="CF57" i="14"/>
  <c r="CG56" i="14"/>
  <c r="CV584" i="14"/>
  <c r="CU585" i="14"/>
  <c r="DT357" i="14"/>
  <c r="DU356" i="14"/>
  <c r="CA141" i="14"/>
  <c r="DO237" i="14"/>
  <c r="DP236" i="14"/>
  <c r="DO225" i="14"/>
  <c r="DP224" i="14"/>
  <c r="DO285" i="14"/>
  <c r="DP284" i="14"/>
  <c r="EE488" i="14"/>
  <c r="ED489" i="14"/>
  <c r="DO345" i="14"/>
  <c r="DP344" i="14"/>
  <c r="DE417" i="14"/>
  <c r="CU249" i="14"/>
  <c r="CV248" i="14"/>
  <c r="ED681" i="14"/>
  <c r="EE680" i="14"/>
  <c r="CL440" i="14"/>
  <c r="CK441" i="14"/>
  <c r="DU56" i="14"/>
  <c r="DT57" i="14"/>
  <c r="DO597" i="14"/>
  <c r="DP596" i="14"/>
  <c r="DO57" i="14"/>
  <c r="DP56" i="14"/>
  <c r="CV680" i="14"/>
  <c r="CU681" i="14"/>
  <c r="DP656" i="14"/>
  <c r="DO657" i="14"/>
  <c r="ED321" i="14"/>
  <c r="EE320" i="14"/>
  <c r="CL176" i="14"/>
  <c r="CK177" i="14"/>
  <c r="CG656" i="14"/>
  <c r="CF657" i="14"/>
  <c r="DJ573" i="14"/>
  <c r="DK572" i="14"/>
  <c r="DE489" i="14"/>
  <c r="DJ69" i="14"/>
  <c r="DK68" i="14"/>
  <c r="CZ489" i="14"/>
  <c r="DA488" i="14"/>
  <c r="DZ620" i="14"/>
  <c r="DY621" i="14"/>
  <c r="DT441" i="14"/>
  <c r="DU440" i="14"/>
  <c r="CL236" i="14"/>
  <c r="CK237" i="14"/>
  <c r="DA536" i="14"/>
  <c r="CZ537" i="14"/>
  <c r="CV224" i="14"/>
  <c r="CU225" i="14"/>
  <c r="CP273" i="14"/>
  <c r="CQ272" i="14"/>
  <c r="CL656" i="14"/>
  <c r="CK657" i="14"/>
  <c r="DK176" i="14"/>
  <c r="DJ177" i="14"/>
  <c r="DZ260" i="14"/>
  <c r="DY261" i="14"/>
  <c r="DO429" i="14"/>
  <c r="DP428" i="14"/>
  <c r="CP381" i="14"/>
  <c r="CQ380" i="14"/>
  <c r="CK453" i="14"/>
  <c r="CL452" i="14"/>
  <c r="DZ596" i="14"/>
  <c r="DY597" i="14"/>
  <c r="CF213" i="14"/>
  <c r="CG212" i="14"/>
  <c r="CP657" i="14"/>
  <c r="CQ656" i="14"/>
  <c r="DE633" i="14"/>
  <c r="DT333" i="14"/>
  <c r="DU332" i="14"/>
  <c r="CV344" i="14"/>
  <c r="CU345" i="14"/>
  <c r="DE309" i="14"/>
  <c r="CQ536" i="14"/>
  <c r="CP537" i="14"/>
  <c r="DO393" i="14"/>
  <c r="DP392" i="14"/>
  <c r="DK272" i="14"/>
  <c r="DJ273" i="14"/>
  <c r="CG452" i="14"/>
  <c r="CF453" i="14"/>
  <c r="DZ272" i="14"/>
  <c r="DY273" i="14"/>
  <c r="DK668" i="14"/>
  <c r="DJ669" i="14"/>
  <c r="DJ429" i="14"/>
  <c r="DK428" i="14"/>
  <c r="CG380" i="14"/>
  <c r="CF381" i="14"/>
  <c r="DZ116" i="14"/>
  <c r="DY117" i="14"/>
  <c r="CP117" i="14"/>
  <c r="CQ116" i="14"/>
  <c r="DA620" i="14"/>
  <c r="CZ621" i="14"/>
  <c r="CL668" i="14"/>
  <c r="CK669" i="14"/>
  <c r="DA548" i="14"/>
  <c r="CZ549" i="14"/>
  <c r="DA176" i="14"/>
  <c r="CZ177" i="14"/>
  <c r="CF633" i="14"/>
  <c r="CG632" i="14"/>
  <c r="ED537" i="14"/>
  <c r="EE536" i="14"/>
  <c r="CU453" i="14"/>
  <c r="CV452" i="14"/>
  <c r="DA440" i="14"/>
  <c r="CZ441" i="14"/>
  <c r="ED273" i="14"/>
  <c r="EE272" i="14"/>
  <c r="CU321" i="14"/>
  <c r="CV320" i="14"/>
  <c r="CA453" i="14"/>
  <c r="CU57" i="14"/>
  <c r="CV56" i="14"/>
  <c r="CP321" i="14"/>
  <c r="CQ320" i="14"/>
  <c r="EE392" i="14"/>
  <c r="ED393" i="14"/>
  <c r="CL596" i="14"/>
  <c r="CK597" i="14"/>
  <c r="DP620" i="14"/>
  <c r="DO621" i="14"/>
  <c r="EE128" i="14"/>
  <c r="ED129" i="14"/>
  <c r="CV524" i="14"/>
  <c r="CU525" i="14"/>
  <c r="CP177" i="14"/>
  <c r="CQ176" i="14"/>
  <c r="CP333" i="14"/>
  <c r="CQ332" i="14"/>
  <c r="CZ273" i="14"/>
  <c r="DA272" i="14"/>
  <c r="CF141" i="14"/>
  <c r="CG140" i="14"/>
  <c r="CA597" i="14"/>
  <c r="DO669" i="14"/>
  <c r="DP668" i="14"/>
  <c r="CF417" i="14"/>
  <c r="CG416" i="14"/>
  <c r="DK320" i="14"/>
  <c r="DJ321" i="14"/>
  <c r="CP285" i="14"/>
  <c r="CQ284" i="14"/>
  <c r="CP441" i="14"/>
  <c r="CQ440" i="14"/>
  <c r="DP572" i="14"/>
  <c r="DO573" i="14"/>
  <c r="DA632" i="14"/>
  <c r="CZ633" i="14"/>
  <c r="DZ128" i="14"/>
  <c r="DY129" i="14"/>
  <c r="DE237" i="14"/>
  <c r="CZ681" i="14"/>
  <c r="DA680" i="14"/>
  <c r="CG476" i="14"/>
  <c r="CF477" i="14"/>
  <c r="CG356" i="14"/>
  <c r="CF357" i="14"/>
  <c r="ED105" i="14"/>
  <c r="EE104" i="14"/>
  <c r="CV440" i="14"/>
  <c r="CU441" i="14"/>
  <c r="DP332" i="14"/>
  <c r="DO333" i="14"/>
  <c r="CG188" i="14"/>
  <c r="CF189" i="14"/>
  <c r="DT609" i="14"/>
  <c r="DU608" i="14"/>
  <c r="CP297" i="14"/>
  <c r="CQ296" i="14"/>
  <c r="DK236" i="14"/>
  <c r="DJ237" i="14"/>
  <c r="DJ597" i="14"/>
  <c r="DK596" i="14"/>
  <c r="DJ621" i="14"/>
  <c r="DK620" i="14"/>
  <c r="DP176" i="14"/>
  <c r="DO177" i="14"/>
  <c r="EE560" i="14"/>
  <c r="ED561" i="14"/>
  <c r="CA153" i="14"/>
  <c r="DE201" i="14"/>
  <c r="CZ321" i="14"/>
  <c r="DA320" i="14"/>
  <c r="CQ368" i="14"/>
  <c r="CP369" i="14"/>
  <c r="DY69" i="14"/>
  <c r="DZ68" i="14"/>
  <c r="DJ153" i="14"/>
  <c r="DK152" i="14"/>
  <c r="DT153" i="14"/>
  <c r="DU152" i="14"/>
  <c r="CL680" i="14"/>
  <c r="CK681" i="14"/>
  <c r="CG440" i="14"/>
  <c r="CF441" i="14"/>
  <c r="CV176" i="14"/>
  <c r="CU177" i="14"/>
  <c r="DE441" i="14"/>
  <c r="CQ188" i="14"/>
  <c r="CP189" i="14"/>
  <c r="CL524" i="14"/>
  <c r="CK525" i="14"/>
  <c r="ED645" i="14"/>
  <c r="EE644" i="14"/>
  <c r="CF129" i="14"/>
  <c r="CG128" i="14"/>
  <c r="CK321" i="14"/>
  <c r="CL320" i="14"/>
  <c r="CP417" i="14"/>
  <c r="CQ416" i="14"/>
  <c r="CL344" i="14"/>
  <c r="CK345" i="14"/>
  <c r="ED597" i="14"/>
  <c r="EE596" i="14"/>
  <c r="DE561" i="14"/>
  <c r="DA524" i="14"/>
  <c r="CZ525" i="14"/>
  <c r="CK297" i="14"/>
  <c r="CL296" i="14"/>
  <c r="CL560" i="14"/>
  <c r="CK561" i="14"/>
  <c r="CA189" i="14"/>
  <c r="DJ201" i="14"/>
  <c r="DK200" i="14"/>
  <c r="CV392" i="14"/>
  <c r="CU393" i="14"/>
  <c r="DT381" i="14"/>
  <c r="DU380" i="14"/>
  <c r="ED237" i="14"/>
  <c r="EE236" i="14"/>
  <c r="DY57" i="14"/>
  <c r="DZ56" i="14"/>
  <c r="ED333" i="14"/>
  <c r="EE332" i="14"/>
  <c r="DK500" i="14"/>
  <c r="DJ501" i="14"/>
  <c r="DY681" i="14"/>
  <c r="DZ680" i="14"/>
  <c r="CA585" i="14"/>
  <c r="CA393" i="14"/>
  <c r="CG680" i="14"/>
  <c r="CF681" i="14"/>
  <c r="DZ236" i="14"/>
  <c r="DY237" i="14"/>
  <c r="DY573" i="14"/>
  <c r="DZ572" i="14"/>
  <c r="CA237" i="14"/>
  <c r="DZ296" i="14"/>
  <c r="DY297" i="14"/>
  <c r="DP524" i="14"/>
  <c r="DO525" i="14"/>
  <c r="DA668" i="14"/>
  <c r="CZ669" i="14"/>
  <c r="CF501" i="14"/>
  <c r="CG500" i="14"/>
  <c r="CU477" i="14"/>
  <c r="CV476" i="14"/>
  <c r="DT645" i="14"/>
  <c r="DU644" i="14"/>
  <c r="EE620" i="14"/>
  <c r="ED621" i="14"/>
  <c r="DA476" i="14"/>
  <c r="CZ477" i="14"/>
  <c r="EE248" i="14"/>
  <c r="ED249" i="14"/>
  <c r="CQ68" i="14"/>
  <c r="CP69" i="14"/>
  <c r="CZ201" i="14"/>
  <c r="DA200" i="14"/>
  <c r="DE645" i="14"/>
  <c r="DE585" i="14"/>
  <c r="DP152" i="14"/>
  <c r="DO153" i="14"/>
  <c r="CA105" i="14"/>
  <c r="CA621" i="14"/>
  <c r="DU308" i="14"/>
  <c r="DT309" i="14"/>
  <c r="CG572" i="14"/>
  <c r="CF573" i="14"/>
  <c r="CV404" i="14"/>
  <c r="CU405" i="14"/>
  <c r="DE669" i="14"/>
  <c r="CA321" i="14"/>
  <c r="DZ392" i="14"/>
  <c r="DY393" i="14"/>
  <c r="DO453" i="14"/>
  <c r="DP452" i="14"/>
  <c r="DO249" i="14"/>
  <c r="DP248" i="14"/>
  <c r="CF309" i="14"/>
  <c r="CG308" i="14"/>
  <c r="CV656" i="14"/>
  <c r="CU657" i="14"/>
  <c r="DJ477" i="14"/>
  <c r="DK476" i="14"/>
  <c r="CP669" i="14"/>
  <c r="CQ668" i="14"/>
  <c r="DT489" i="14"/>
  <c r="DU488" i="14"/>
  <c r="CK501" i="14"/>
  <c r="CL500" i="14"/>
  <c r="CU273" i="14"/>
  <c r="CV272" i="14"/>
  <c r="CV68" i="14"/>
  <c r="CU69" i="14"/>
  <c r="DP548" i="14"/>
  <c r="DO549" i="14"/>
  <c r="DU164" i="14"/>
  <c r="DT165" i="14"/>
  <c r="DE129" i="14"/>
  <c r="DA572" i="14"/>
  <c r="CZ573" i="14"/>
  <c r="DT141" i="14"/>
  <c r="DU140" i="14"/>
  <c r="CK381" i="14"/>
  <c r="CL380" i="14"/>
  <c r="ED525" i="14"/>
  <c r="EE524" i="14"/>
  <c r="DU452" i="14"/>
  <c r="DT453" i="14"/>
  <c r="DT501" i="14"/>
  <c r="DU500" i="14"/>
  <c r="DK644" i="14"/>
  <c r="DJ645" i="14"/>
  <c r="CA333" i="14"/>
  <c r="DO609" i="14"/>
  <c r="DP608" i="14"/>
  <c r="CK621" i="14"/>
  <c r="CL620" i="14"/>
  <c r="DE249" i="14"/>
  <c r="CA309" i="14"/>
  <c r="CA381" i="14"/>
  <c r="DO681" i="14"/>
  <c r="DP680" i="14"/>
  <c r="DT465" i="14"/>
  <c r="DU464" i="14"/>
  <c r="DJ345" i="14"/>
  <c r="DK344" i="14"/>
  <c r="DE153" i="14"/>
  <c r="CK549" i="14"/>
  <c r="CL548" i="14"/>
  <c r="CV296" i="14"/>
  <c r="CU297" i="14"/>
  <c r="CP561" i="14"/>
  <c r="CQ560" i="14"/>
  <c r="DE393" i="14"/>
  <c r="DK56" i="14"/>
  <c r="DJ57" i="14"/>
  <c r="ED93" i="14"/>
  <c r="EE92" i="14"/>
  <c r="DY213" i="14"/>
  <c r="DZ212" i="14"/>
  <c r="CP57" i="14"/>
  <c r="CQ56" i="14"/>
  <c r="DE93" i="14"/>
  <c r="DP380" i="14"/>
  <c r="DO381" i="14"/>
  <c r="DE177" i="14"/>
  <c r="CZ465" i="14"/>
  <c r="DA464" i="14"/>
  <c r="DE573" i="14"/>
  <c r="DU524" i="14"/>
  <c r="DT525" i="14"/>
  <c r="CL308" i="14"/>
  <c r="CK309" i="14"/>
  <c r="DY585" i="14"/>
  <c r="DZ584" i="14"/>
  <c r="CL248" i="14"/>
  <c r="CK249" i="14"/>
  <c r="DO405" i="14"/>
  <c r="DP404" i="14"/>
  <c r="DT597" i="14"/>
  <c r="DU596" i="14"/>
  <c r="CU213" i="14"/>
  <c r="CV212" i="14"/>
  <c r="CP597" i="14"/>
  <c r="CQ596" i="14"/>
  <c r="CU285" i="14"/>
  <c r="CV284" i="14"/>
  <c r="DE453" i="14"/>
  <c r="CL476" i="14"/>
  <c r="CK477" i="14"/>
  <c r="DA140" i="14"/>
  <c r="CZ141" i="14"/>
  <c r="DT477" i="14"/>
  <c r="DU476" i="14"/>
  <c r="ED69" i="14"/>
  <c r="EE68" i="14"/>
  <c r="CZ189" i="14"/>
  <c r="DA188" i="14"/>
  <c r="CV668" i="14"/>
  <c r="CU669" i="14"/>
  <c r="CK357" i="14"/>
  <c r="CL356" i="14"/>
  <c r="DY633" i="14"/>
  <c r="DZ632" i="14"/>
  <c r="DT297" i="14"/>
  <c r="DU296" i="14"/>
  <c r="CA117" i="14"/>
  <c r="CZ285" i="14"/>
  <c r="DA284" i="14"/>
  <c r="DY429" i="14"/>
  <c r="DZ428" i="14"/>
  <c r="CG224" i="14"/>
  <c r="CF225" i="14"/>
  <c r="DU632" i="14"/>
  <c r="DT633" i="14"/>
  <c r="CU237" i="14"/>
  <c r="CV236" i="14"/>
  <c r="CA345" i="14"/>
  <c r="DY189" i="14"/>
  <c r="DZ188" i="14"/>
  <c r="CG344" i="14"/>
  <c r="CF345" i="14"/>
  <c r="CF165" i="14"/>
  <c r="CG164" i="14"/>
  <c r="DE165" i="14"/>
  <c r="DK356" i="14"/>
  <c r="DJ357" i="14"/>
  <c r="DK248" i="14"/>
  <c r="DJ249" i="14"/>
  <c r="EE308" i="14"/>
  <c r="ED309" i="14"/>
  <c r="CA297" i="14"/>
  <c r="CZ381" i="14"/>
  <c r="DA380" i="14"/>
  <c r="DU116" i="14"/>
  <c r="DT117" i="14"/>
  <c r="CA441" i="14"/>
  <c r="DT681" i="14"/>
  <c r="DU680" i="14"/>
  <c r="DT213" i="14"/>
  <c r="DU212" i="14"/>
  <c r="DU368" i="14"/>
  <c r="DT369" i="14"/>
  <c r="CV596" i="14"/>
  <c r="CU597" i="14"/>
  <c r="DO441" i="14"/>
  <c r="DP440" i="14"/>
  <c r="DP116" i="14"/>
  <c r="DO117" i="14"/>
  <c r="CF321" i="14"/>
  <c r="CG320" i="14"/>
  <c r="CK405" i="14"/>
  <c r="CL404" i="14"/>
  <c r="DT429" i="14"/>
  <c r="DU428" i="14"/>
  <c r="DO537" i="14"/>
  <c r="DP536" i="14"/>
  <c r="DA164" i="14"/>
  <c r="CZ165" i="14"/>
  <c r="CG260" i="14"/>
  <c r="CF261" i="14"/>
  <c r="DJ105" i="14"/>
  <c r="DK104" i="14"/>
  <c r="CQ92" i="14"/>
  <c r="CP93" i="14"/>
  <c r="CA561" i="14"/>
  <c r="CZ105" i="14"/>
  <c r="DA104" i="14"/>
  <c r="DZ140" i="14"/>
  <c r="DY141" i="14"/>
  <c r="EE212" i="14"/>
  <c r="ED213" i="14"/>
  <c r="CZ609" i="14"/>
  <c r="DA608" i="14"/>
  <c r="CP201" i="14"/>
  <c r="CQ200" i="14"/>
  <c r="CG152" i="14"/>
  <c r="CF153" i="14"/>
  <c r="DO93" i="14"/>
  <c r="DP92" i="14"/>
  <c r="CA201" i="14"/>
  <c r="CL368" i="14"/>
  <c r="CK369" i="14"/>
  <c r="DZ356" i="14"/>
  <c r="DY357" i="14"/>
  <c r="CG368" i="14"/>
  <c r="CF369" i="14"/>
  <c r="DJ381" i="14"/>
  <c r="DK380" i="14"/>
  <c r="DU68" i="14"/>
  <c r="DT69" i="14"/>
  <c r="DE369" i="14"/>
  <c r="DF78" i="14"/>
  <c r="CB78" i="14"/>
  <c r="DE79" i="14"/>
  <c r="CZ78" i="14"/>
  <c r="DA77" i="14"/>
  <c r="DY78" i="14"/>
  <c r="DZ77" i="14"/>
  <c r="DJ78" i="14"/>
  <c r="DK77" i="14"/>
  <c r="CV77" i="14"/>
  <c r="CU78" i="14"/>
  <c r="DT78" i="14"/>
  <c r="DU77" i="14"/>
  <c r="DP77" i="14"/>
  <c r="DO78" i="14"/>
  <c r="CA79" i="14"/>
  <c r="CF78" i="14"/>
  <c r="CG77" i="14"/>
  <c r="CQ77" i="14"/>
  <c r="CP78" i="14"/>
  <c r="EE77" i="14"/>
  <c r="ED78" i="14"/>
  <c r="CK78" i="14"/>
  <c r="CL77" i="14"/>
  <c r="CB40" i="14"/>
  <c r="AJ11" i="43"/>
  <c r="B10" i="43" s="1"/>
  <c r="AW43" i="14"/>
  <c r="AY43" i="14"/>
  <c r="BM38" i="14"/>
  <c r="BK38" i="14"/>
  <c r="AU43" i="14"/>
  <c r="BI86" i="43"/>
  <c r="AK86" i="43"/>
  <c r="BI94" i="43"/>
  <c r="AK94" i="43"/>
  <c r="BI34" i="43"/>
  <c r="AK34" i="43"/>
  <c r="BI47" i="43"/>
  <c r="AK47" i="43"/>
  <c r="BI90" i="43"/>
  <c r="AK90" i="43"/>
  <c r="BI93" i="43"/>
  <c r="AK93" i="43"/>
  <c r="AI15" i="43"/>
  <c r="AK15" i="43"/>
  <c r="BI50" i="43"/>
  <c r="AK50" i="43"/>
  <c r="BI65" i="43"/>
  <c r="AK65" i="43"/>
  <c r="BI84" i="43"/>
  <c r="AK84" i="43"/>
  <c r="BI81" i="43"/>
  <c r="AK81" i="43"/>
  <c r="BI87" i="43"/>
  <c r="AK87" i="43"/>
  <c r="BI31" i="43"/>
  <c r="AK31" i="43"/>
  <c r="BI76" i="43"/>
  <c r="AK76" i="43"/>
  <c r="BI58" i="43"/>
  <c r="AK58" i="43"/>
  <c r="BI85" i="43"/>
  <c r="AK85" i="43"/>
  <c r="BI92" i="43"/>
  <c r="AK92" i="43"/>
  <c r="BI36" i="43"/>
  <c r="AK36" i="43"/>
  <c r="BI41" i="43"/>
  <c r="AK41" i="43"/>
  <c r="BI43" i="43"/>
  <c r="AK43" i="43"/>
  <c r="BI79" i="43"/>
  <c r="AK79" i="43"/>
  <c r="BI51" i="43"/>
  <c r="AK51" i="43"/>
  <c r="BI99" i="43"/>
  <c r="AK99" i="43"/>
  <c r="BI95" i="43"/>
  <c r="AK95" i="43"/>
  <c r="BI72" i="43"/>
  <c r="AK72" i="43"/>
  <c r="BI80" i="43"/>
  <c r="AK80" i="43"/>
  <c r="BI52" i="43"/>
  <c r="AK52" i="43"/>
  <c r="BI67" i="43"/>
  <c r="AK67" i="43"/>
  <c r="BI66" i="43"/>
  <c r="AK66" i="43"/>
  <c r="BI78" i="43"/>
  <c r="AK78" i="43"/>
  <c r="BI57" i="43"/>
  <c r="AK57" i="43"/>
  <c r="BI37" i="43"/>
  <c r="AK37" i="43"/>
  <c r="BI82" i="43"/>
  <c r="AK82" i="43"/>
  <c r="BI64" i="43"/>
  <c r="AK64" i="43"/>
  <c r="BI59" i="43"/>
  <c r="AK59" i="43"/>
  <c r="BI77" i="43"/>
  <c r="AK77" i="43"/>
  <c r="BI35" i="43"/>
  <c r="AK35" i="43"/>
  <c r="BI96" i="43"/>
  <c r="AK96" i="43"/>
  <c r="BI33" i="43"/>
  <c r="AK33" i="43"/>
  <c r="AI21" i="43"/>
  <c r="AK21" i="43"/>
  <c r="AI13" i="43"/>
  <c r="AK13" i="43"/>
  <c r="BI62" i="43"/>
  <c r="AK62" i="43"/>
  <c r="BI97" i="43"/>
  <c r="AK97" i="43"/>
  <c r="BI61" i="43"/>
  <c r="AK61" i="43"/>
  <c r="BI49" i="43"/>
  <c r="AK49" i="43"/>
  <c r="BI54" i="43"/>
  <c r="AK54" i="43"/>
  <c r="BI56" i="43"/>
  <c r="AK56" i="43"/>
  <c r="BI25" i="43"/>
  <c r="AK25" i="43"/>
  <c r="BI42" i="43"/>
  <c r="AK42" i="43"/>
  <c r="BI70" i="43"/>
  <c r="AK70" i="43"/>
  <c r="BI98" i="43"/>
  <c r="AK98" i="43"/>
  <c r="BI27" i="43"/>
  <c r="AK27" i="43"/>
  <c r="BI83" i="43"/>
  <c r="AK83" i="43"/>
  <c r="BI38" i="43"/>
  <c r="AK38" i="43"/>
  <c r="BI69" i="43"/>
  <c r="AK69" i="43"/>
  <c r="BI55" i="43"/>
  <c r="AK55" i="43"/>
  <c r="AI17" i="43"/>
  <c r="AK17" i="43"/>
  <c r="BI26" i="43"/>
  <c r="AK26" i="43"/>
  <c r="BI22" i="43"/>
  <c r="AK22" i="43"/>
  <c r="BI71" i="43"/>
  <c r="AK71" i="43"/>
  <c r="BI73" i="43"/>
  <c r="AK73" i="43"/>
  <c r="BI40" i="43"/>
  <c r="AK40" i="43"/>
  <c r="BI53" i="43"/>
  <c r="AK53" i="43"/>
  <c r="BI75" i="43"/>
  <c r="AK75" i="43"/>
  <c r="BI46" i="43"/>
  <c r="AK46" i="43"/>
  <c r="BI74" i="43"/>
  <c r="AK74" i="43"/>
  <c r="BI89" i="43"/>
  <c r="AK89" i="43"/>
  <c r="BI68" i="43"/>
  <c r="AK68" i="43"/>
  <c r="BI23" i="43"/>
  <c r="AK23" i="43"/>
  <c r="BI32" i="43"/>
  <c r="AK32" i="43"/>
  <c r="BI60" i="43"/>
  <c r="AK60" i="43"/>
  <c r="BI29" i="43"/>
  <c r="AK29" i="43"/>
  <c r="BI48" i="43"/>
  <c r="AK48" i="43"/>
  <c r="BI45" i="43"/>
  <c r="AK45" i="43"/>
  <c r="BI30" i="43"/>
  <c r="AK30" i="43"/>
  <c r="BI39" i="43"/>
  <c r="AK39" i="43"/>
  <c r="BI91" i="43"/>
  <c r="AK91" i="43"/>
  <c r="BI88" i="43"/>
  <c r="AK88" i="43"/>
  <c r="BI44" i="43"/>
  <c r="AK44" i="43"/>
  <c r="AI14" i="43"/>
  <c r="AK14" i="43"/>
  <c r="BI28" i="43"/>
  <c r="AK28" i="43"/>
  <c r="BI63" i="43"/>
  <c r="AK63" i="43"/>
  <c r="BI24" i="43"/>
  <c r="AK24" i="43"/>
  <c r="AI57" i="43"/>
  <c r="AH57" i="43" s="1"/>
  <c r="AI47" i="43"/>
  <c r="AH47" i="43" s="1"/>
  <c r="AI20" i="43"/>
  <c r="AI70" i="43"/>
  <c r="AH70" i="43" s="1"/>
  <c r="AI40" i="43"/>
  <c r="AH40" i="43" s="1"/>
  <c r="AI22" i="43"/>
  <c r="AH22" i="43" s="1"/>
  <c r="AI69" i="43"/>
  <c r="AH69" i="43" s="1"/>
  <c r="AI12" i="43"/>
  <c r="AH12" i="43" s="1"/>
  <c r="AI73" i="43"/>
  <c r="AH73" i="43" s="1"/>
  <c r="AI97" i="43"/>
  <c r="AH97" i="43" s="1"/>
  <c r="AI19" i="43"/>
  <c r="AI54" i="43"/>
  <c r="AH54" i="43" s="1"/>
  <c r="AI25" i="43"/>
  <c r="AH25" i="43" s="1"/>
  <c r="AI42" i="43"/>
  <c r="AH42" i="43" s="1"/>
  <c r="AI61" i="43"/>
  <c r="AH61" i="43" s="1"/>
  <c r="AI98" i="43"/>
  <c r="AH98" i="43" s="1"/>
  <c r="AI56" i="43"/>
  <c r="AH56" i="43" s="1"/>
  <c r="AI27" i="43"/>
  <c r="AH27" i="43" s="1"/>
  <c r="AI49" i="43"/>
  <c r="AH49" i="43" s="1"/>
  <c r="AI26" i="43"/>
  <c r="AH26" i="43" s="1"/>
  <c r="AI71" i="43"/>
  <c r="AH71" i="43" s="1"/>
  <c r="AI55" i="43"/>
  <c r="AH55" i="43" s="1"/>
  <c r="AI35" i="43"/>
  <c r="AH35" i="43" s="1"/>
  <c r="AI62" i="43"/>
  <c r="AH62" i="43" s="1"/>
  <c r="AI83" i="43"/>
  <c r="AH83" i="43" s="1"/>
  <c r="AI37" i="43"/>
  <c r="AH37" i="43" s="1"/>
  <c r="AI66" i="43"/>
  <c r="AH66" i="43" s="1"/>
  <c r="AI78" i="43"/>
  <c r="AH78" i="43" s="1"/>
  <c r="AI48" i="43"/>
  <c r="AH48" i="43" s="1"/>
  <c r="AI38" i="43"/>
  <c r="AH38" i="43" s="1"/>
  <c r="AI51" i="43"/>
  <c r="AH51" i="43" s="1"/>
  <c r="AI18" i="43"/>
  <c r="AI77" i="43"/>
  <c r="AH77" i="43" s="1"/>
  <c r="AI96" i="43"/>
  <c r="AH96" i="43" s="1"/>
  <c r="AI82" i="43"/>
  <c r="AH82" i="43" s="1"/>
  <c r="AI59" i="43"/>
  <c r="AH59" i="43" s="1"/>
  <c r="AI33" i="43"/>
  <c r="AH33" i="43" s="1"/>
  <c r="AI64" i="43"/>
  <c r="AH64" i="43" s="1"/>
  <c r="AI81" i="43"/>
  <c r="AH81" i="43" s="1"/>
  <c r="AI85" i="43"/>
  <c r="AH85" i="43" s="1"/>
  <c r="AI93" i="43"/>
  <c r="AH93" i="43" s="1"/>
  <c r="AI86" i="43"/>
  <c r="AH86" i="43" s="1"/>
  <c r="AI65" i="43"/>
  <c r="AH65" i="43" s="1"/>
  <c r="AI84" i="43"/>
  <c r="AH84" i="43" s="1"/>
  <c r="AI90" i="43"/>
  <c r="AH90" i="43" s="1"/>
  <c r="AI50" i="43"/>
  <c r="AH50" i="43" s="1"/>
  <c r="AI34" i="43"/>
  <c r="AH34" i="43" s="1"/>
  <c r="AI94" i="43"/>
  <c r="AH94" i="43" s="1"/>
  <c r="AI63" i="43"/>
  <c r="AH63" i="43" s="1"/>
  <c r="AI24" i="43"/>
  <c r="AH24" i="43" s="1"/>
  <c r="AI39" i="43"/>
  <c r="AH39" i="43" s="1"/>
  <c r="AI88" i="43"/>
  <c r="AH88" i="43" s="1"/>
  <c r="AI28" i="43"/>
  <c r="AH28" i="43" s="1"/>
  <c r="AI16" i="43"/>
  <c r="AI45" i="43"/>
  <c r="AH45" i="43" s="1"/>
  <c r="AI44" i="43"/>
  <c r="AH44" i="43" s="1"/>
  <c r="AI30" i="43"/>
  <c r="AH30" i="43" s="1"/>
  <c r="AI91" i="43"/>
  <c r="AH91" i="43" s="1"/>
  <c r="AI68" i="43"/>
  <c r="AH68" i="43" s="1"/>
  <c r="AI89" i="43"/>
  <c r="AH89" i="43" s="1"/>
  <c r="AI74" i="43"/>
  <c r="AH74" i="43" s="1"/>
  <c r="AI75" i="43"/>
  <c r="AH75" i="43" s="1"/>
  <c r="AI46" i="43"/>
  <c r="AH46" i="43" s="1"/>
  <c r="AI53" i="43"/>
  <c r="AH53" i="43" s="1"/>
  <c r="AI60" i="43"/>
  <c r="AH60" i="43" s="1"/>
  <c r="AI29" i="43"/>
  <c r="AH29" i="43" s="1"/>
  <c r="AI32" i="43"/>
  <c r="AH32" i="43" s="1"/>
  <c r="AI23" i="43"/>
  <c r="AH23" i="43" s="1"/>
  <c r="AI41" i="43"/>
  <c r="AH41" i="43" s="1"/>
  <c r="AI43" i="43"/>
  <c r="AH43" i="43" s="1"/>
  <c r="AI92" i="43"/>
  <c r="AH92" i="43" s="1"/>
  <c r="AI79" i="43"/>
  <c r="AH79" i="43" s="1"/>
  <c r="AI36" i="43"/>
  <c r="AH36" i="43" s="1"/>
  <c r="AI67" i="43"/>
  <c r="AH67" i="43" s="1"/>
  <c r="AI52" i="43"/>
  <c r="AH52" i="43" s="1"/>
  <c r="AI95" i="43"/>
  <c r="AH95" i="43" s="1"/>
  <c r="AI58" i="43"/>
  <c r="AH58" i="43" s="1"/>
  <c r="AI80" i="43"/>
  <c r="AH80" i="43" s="1"/>
  <c r="AI76" i="43"/>
  <c r="AH76" i="43" s="1"/>
  <c r="AI87" i="43"/>
  <c r="AH87" i="43" s="1"/>
  <c r="AI72" i="43"/>
  <c r="AH72" i="43" s="1"/>
  <c r="AI31" i="43"/>
  <c r="AH31" i="43" s="1"/>
  <c r="AI99" i="43"/>
  <c r="AH99" i="43" s="1"/>
  <c r="EE41" i="14"/>
  <c r="ED42" i="14"/>
  <c r="CL41" i="14"/>
  <c r="CK42" i="14"/>
  <c r="CZ41" i="14"/>
  <c r="DA41" i="14" s="1"/>
  <c r="CF41" i="14"/>
  <c r="CG41" i="14" s="1"/>
  <c r="CU41" i="14"/>
  <c r="CV41" i="14" s="1"/>
  <c r="CP41" i="14"/>
  <c r="CQ41" i="14" s="1"/>
  <c r="CA41" i="14"/>
  <c r="DO42" i="14"/>
  <c r="DP41" i="14"/>
  <c r="DY42" i="14"/>
  <c r="DZ41" i="14"/>
  <c r="DU41" i="14"/>
  <c r="DT42" i="14"/>
  <c r="DK41" i="14"/>
  <c r="DJ42" i="14"/>
  <c r="BA45" i="14"/>
  <c r="BC46" i="14"/>
  <c r="CB477" i="14" a="1"/>
  <c r="DF621" i="14" a="1"/>
  <c r="CB57" i="14" a="1"/>
  <c r="DF357" i="14" a="1"/>
  <c r="DF537" i="14" a="1"/>
  <c r="CB321" i="14" a="1"/>
  <c r="DF141" i="14" a="1"/>
  <c r="CB93" i="14" a="1"/>
  <c r="AZ42" i="14"/>
  <c r="DF585" i="14" a="1"/>
  <c r="CB79" i="14" a="1"/>
  <c r="CB117" i="14" a="1"/>
  <c r="CB573" i="14" a="1"/>
  <c r="DF297" i="14" a="1"/>
  <c r="CB621" i="14" a="1"/>
  <c r="CB681" i="14" a="1"/>
  <c r="DF273" i="14" a="1"/>
  <c r="DF69" i="14" a="1"/>
  <c r="CB189" i="14" a="1"/>
  <c r="CB225" i="14" a="1"/>
  <c r="DF657" i="14" a="1"/>
  <c r="AV42" i="14"/>
  <c r="CB453" i="14" a="1"/>
  <c r="CB129" i="14" a="1"/>
  <c r="BN37" i="14"/>
  <c r="DF93" i="14" a="1"/>
  <c r="DF57" i="14" a="1"/>
  <c r="CB213" i="14" a="1"/>
  <c r="DF249" i="14" a="1"/>
  <c r="DF105" i="14" a="1"/>
  <c r="CB657" i="14" a="1"/>
  <c r="DF549" i="14" a="1"/>
  <c r="CB489" i="14" a="1"/>
  <c r="DF309" i="14" a="1"/>
  <c r="BD46" i="14"/>
  <c r="AX42" i="14"/>
  <c r="CB273" i="14" a="1"/>
  <c r="CB69" i="14" a="1"/>
  <c r="DF333" i="14" a="1"/>
  <c r="CB309" i="14" a="1"/>
  <c r="DF513" i="14" a="1"/>
  <c r="DF237" i="14" a="1"/>
  <c r="DF561" i="14" a="1"/>
  <c r="CB249" i="14" a="1"/>
  <c r="CB357" i="14" a="1"/>
  <c r="DF381" i="14" a="1"/>
  <c r="DF189" i="14" a="1"/>
  <c r="DF261" i="14" a="1"/>
  <c r="BB45" i="14"/>
  <c r="DF79" i="14" a="1"/>
  <c r="DF597" i="14" a="1"/>
  <c r="DF369" i="14" a="1"/>
  <c r="DF321" i="14" a="1"/>
  <c r="CB345" i="14" a="1"/>
  <c r="CB105" i="14" a="1"/>
  <c r="DF609" i="14" a="1"/>
  <c r="DF633" i="14" a="1"/>
  <c r="BL37" i="14"/>
  <c r="DF501" i="14" a="1"/>
  <c r="DF441" i="14" a="1"/>
  <c r="CB297" i="14" a="1"/>
  <c r="DF177" i="14" a="1"/>
  <c r="DF129" i="14" a="1"/>
  <c r="DF201" i="14" a="1"/>
  <c r="DF453" i="14" a="1"/>
  <c r="DF681" i="14" a="1"/>
  <c r="CB525" i="14" a="1"/>
  <c r="CB141" i="14" a="1"/>
  <c r="CB633" i="14" a="1"/>
  <c r="DF213" i="14" a="1"/>
  <c r="DF225" i="14" a="1"/>
  <c r="CB597" i="14" a="1"/>
  <c r="CB645" i="14" a="1"/>
  <c r="DF645" i="14" a="1"/>
  <c r="CB501" i="14" a="1"/>
  <c r="DF285" i="14" a="1"/>
  <c r="DF477" i="14" a="1"/>
  <c r="DF465" i="14" a="1"/>
  <c r="DF345" i="14" a="1"/>
  <c r="CB549" i="14" a="1"/>
  <c r="CB333" i="14" a="1"/>
  <c r="DF573" i="14" a="1"/>
  <c r="CB381" i="14" a="1"/>
  <c r="CB465" i="14" a="1"/>
  <c r="DF153" i="14" a="1"/>
  <c r="DF417" i="14" a="1"/>
  <c r="DF117" i="14" a="1"/>
  <c r="DF165" i="14" a="1"/>
  <c r="CB561" i="14" a="1"/>
  <c r="CB177" i="14" a="1"/>
  <c r="CB261" i="14" a="1"/>
  <c r="CB405" i="14" a="1"/>
  <c r="DF489" i="14" a="1"/>
  <c r="CB417" i="14" a="1"/>
  <c r="DF393" i="14" a="1"/>
  <c r="DF525" i="14" a="1"/>
  <c r="CB537" i="14" a="1"/>
  <c r="DF669" i="14" a="1"/>
  <c r="CB585" i="14" a="1"/>
  <c r="CB369" i="14" a="1"/>
  <c r="CB41" i="14" a="1"/>
  <c r="CB165" i="14" a="1"/>
  <c r="CB153" i="14" a="1"/>
  <c r="CB441" i="14" a="1"/>
  <c r="DF429" i="14" a="1"/>
  <c r="CB201" i="14" a="1"/>
  <c r="DF405" i="14" a="1"/>
  <c r="CB285" i="14" a="1"/>
  <c r="CB237" i="14" a="1"/>
  <c r="CB393" i="14" a="1"/>
  <c r="CB513" i="14" a="1"/>
  <c r="CB429" i="14" a="1"/>
  <c r="CB609" i="14" a="1"/>
  <c r="CB669" i="14" a="1"/>
  <c r="DK164" i="14" l="1"/>
  <c r="G2" i="40"/>
  <c r="CB93" i="14"/>
  <c r="DF177" i="14"/>
  <c r="DF249" i="14"/>
  <c r="CB105" i="14"/>
  <c r="CB597" i="14"/>
  <c r="CB141" i="14"/>
  <c r="DF429" i="14"/>
  <c r="CB429" i="14"/>
  <c r="CB405" i="14"/>
  <c r="CB609" i="14"/>
  <c r="DF117" i="14"/>
  <c r="DF213" i="14"/>
  <c r="DF93" i="14"/>
  <c r="DF585" i="14"/>
  <c r="DF561" i="14"/>
  <c r="DF417" i="14"/>
  <c r="CB657" i="14"/>
  <c r="DF357" i="14"/>
  <c r="DF525" i="14"/>
  <c r="CB525" i="14"/>
  <c r="DF297" i="14"/>
  <c r="CB345" i="14"/>
  <c r="DF645" i="14"/>
  <c r="CB573" i="14"/>
  <c r="DF345" i="14"/>
  <c r="CB465" i="14"/>
  <c r="CB165" i="14"/>
  <c r="CB669" i="14"/>
  <c r="DF621" i="14"/>
  <c r="CB117" i="14"/>
  <c r="DF597" i="14"/>
  <c r="DF153" i="14"/>
  <c r="CB333" i="14"/>
  <c r="CB321" i="14"/>
  <c r="CB273" i="14"/>
  <c r="CB477" i="14"/>
  <c r="CB249" i="14"/>
  <c r="CB297" i="14"/>
  <c r="CB213" i="14"/>
  <c r="CB585" i="14"/>
  <c r="CB357" i="14"/>
  <c r="CB129" i="14"/>
  <c r="DF465" i="14"/>
  <c r="DF381" i="14"/>
  <c r="DF513" i="14"/>
  <c r="CB225" i="14"/>
  <c r="DF681" i="14"/>
  <c r="CB489" i="14"/>
  <c r="DF309" i="14"/>
  <c r="CB177" i="14"/>
  <c r="CB549" i="14"/>
  <c r="CB369" i="14"/>
  <c r="DF189" i="14"/>
  <c r="CB501" i="14"/>
  <c r="DF669" i="14"/>
  <c r="DF441" i="14"/>
  <c r="DF405" i="14"/>
  <c r="CB201" i="14"/>
  <c r="DF165" i="14"/>
  <c r="DF201" i="14"/>
  <c r="CB453" i="14"/>
  <c r="CB633" i="14"/>
  <c r="CB645" i="14"/>
  <c r="DF537" i="14"/>
  <c r="DF657" i="14"/>
  <c r="DF549" i="14"/>
  <c r="DF225" i="14"/>
  <c r="DF129" i="14"/>
  <c r="CB393" i="14"/>
  <c r="CB561" i="14"/>
  <c r="CB189" i="14"/>
  <c r="CB153" i="14"/>
  <c r="CB69" i="14"/>
  <c r="CB681" i="14"/>
  <c r="DF285" i="14"/>
  <c r="DF141" i="14"/>
  <c r="CB285" i="14"/>
  <c r="DF453" i="14"/>
  <c r="CB441" i="14"/>
  <c r="DF573" i="14"/>
  <c r="DF237" i="14"/>
  <c r="CB417" i="14"/>
  <c r="CB261" i="14"/>
  <c r="DF333" i="14"/>
  <c r="DF261" i="14"/>
  <c r="DF477" i="14"/>
  <c r="DF369" i="14"/>
  <c r="DF273" i="14"/>
  <c r="DF501" i="14"/>
  <c r="DF321" i="14"/>
  <c r="DF57" i="14"/>
  <c r="DF489" i="14"/>
  <c r="DF105" i="14"/>
  <c r="CB537" i="14"/>
  <c r="DF609" i="14"/>
  <c r="DF393" i="14"/>
  <c r="CB381" i="14"/>
  <c r="CB309" i="14"/>
  <c r="CB621" i="14"/>
  <c r="CB237" i="14"/>
  <c r="DF633" i="14"/>
  <c r="CB513" i="14"/>
  <c r="DF69" i="14"/>
  <c r="CB57" i="14"/>
  <c r="DU477" i="14"/>
  <c r="DT478" i="14"/>
  <c r="DU478" i="14" s="1"/>
  <c r="CQ657" i="14"/>
  <c r="CP658" i="14"/>
  <c r="CQ658" i="14" s="1"/>
  <c r="DA645" i="14"/>
  <c r="CZ646" i="14"/>
  <c r="DA646" i="14" s="1"/>
  <c r="CA94" i="14"/>
  <c r="DO442" i="14"/>
  <c r="DP442" i="14" s="1"/>
  <c r="DP441" i="14"/>
  <c r="DP453" i="14"/>
  <c r="DO454" i="14"/>
  <c r="DP454" i="14" s="1"/>
  <c r="DP573" i="14"/>
  <c r="DO574" i="14"/>
  <c r="DP574" i="14" s="1"/>
  <c r="CU250" i="14"/>
  <c r="CV250" i="14" s="1"/>
  <c r="CV249" i="14"/>
  <c r="EE573" i="14"/>
  <c r="ED574" i="14"/>
  <c r="EE574" i="14" s="1"/>
  <c r="CP310" i="14"/>
  <c r="CQ310" i="14" s="1"/>
  <c r="CQ309" i="14"/>
  <c r="EE153" i="14"/>
  <c r="ED154" i="14"/>
  <c r="EE154" i="14" s="1"/>
  <c r="DK105" i="14"/>
  <c r="DJ106" i="14"/>
  <c r="DK106" i="14" s="1"/>
  <c r="DA285" i="14"/>
  <c r="CZ286" i="14"/>
  <c r="DA286" i="14" s="1"/>
  <c r="DT598" i="14"/>
  <c r="DU598" i="14" s="1"/>
  <c r="DU597" i="14"/>
  <c r="DE178" i="14"/>
  <c r="CP562" i="14"/>
  <c r="CQ562" i="14" s="1"/>
  <c r="CQ561" i="14"/>
  <c r="DE250" i="14"/>
  <c r="CU274" i="14"/>
  <c r="CV274" i="14" s="1"/>
  <c r="CV273" i="14"/>
  <c r="DP249" i="14"/>
  <c r="DO250" i="14"/>
  <c r="DP250" i="14" s="1"/>
  <c r="CA106" i="14"/>
  <c r="CL297" i="14"/>
  <c r="CK298" i="14"/>
  <c r="CL298" i="14" s="1"/>
  <c r="DU153" i="14"/>
  <c r="DT154" i="14"/>
  <c r="DU154" i="14" s="1"/>
  <c r="CZ634" i="14"/>
  <c r="DA634" i="14" s="1"/>
  <c r="DA633" i="14"/>
  <c r="CA598" i="14"/>
  <c r="CZ442" i="14"/>
  <c r="DA442" i="14" s="1"/>
  <c r="DA441" i="14"/>
  <c r="CZ622" i="14"/>
  <c r="DA622" i="14" s="1"/>
  <c r="DA621" i="14"/>
  <c r="CF454" i="14"/>
  <c r="CG454" i="14" s="1"/>
  <c r="CG453" i="14"/>
  <c r="DK177" i="14"/>
  <c r="DJ178" i="14"/>
  <c r="DK178" i="14" s="1"/>
  <c r="DZ621" i="14"/>
  <c r="DY622" i="14"/>
  <c r="DZ622" i="14" s="1"/>
  <c r="ED322" i="14"/>
  <c r="EE322" i="14" s="1"/>
  <c r="EE321" i="14"/>
  <c r="EE681" i="14"/>
  <c r="ED682" i="14"/>
  <c r="EE682" i="14" s="1"/>
  <c r="CA142" i="14"/>
  <c r="DJ658" i="14"/>
  <c r="DK658" i="14" s="1"/>
  <c r="DK657" i="14"/>
  <c r="CQ237" i="14"/>
  <c r="CP238" i="14"/>
  <c r="CQ238" i="14" s="1"/>
  <c r="CF562" i="14"/>
  <c r="CG562" i="14" s="1"/>
  <c r="CG561" i="14"/>
  <c r="DY418" i="14"/>
  <c r="DZ418" i="14" s="1"/>
  <c r="DZ417" i="14"/>
  <c r="CF274" i="14"/>
  <c r="CG274" i="14" s="1"/>
  <c r="CG273" i="14"/>
  <c r="DP417" i="14"/>
  <c r="DO418" i="14"/>
  <c r="DP418" i="14" s="1"/>
  <c r="CL189" i="14"/>
  <c r="CK190" i="14"/>
  <c r="CL190" i="14" s="1"/>
  <c r="CZ118" i="14"/>
  <c r="DA118" i="14" s="1"/>
  <c r="DA117" i="14"/>
  <c r="ED190" i="14"/>
  <c r="EE190" i="14" s="1"/>
  <c r="EE189" i="14"/>
  <c r="DE430" i="14"/>
  <c r="DA153" i="14"/>
  <c r="CZ154" i="14"/>
  <c r="DA154" i="14" s="1"/>
  <c r="CP646" i="14"/>
  <c r="CQ646" i="14" s="1"/>
  <c r="CQ645" i="14"/>
  <c r="CF586" i="14"/>
  <c r="CG586" i="14" s="1"/>
  <c r="CG585" i="14"/>
  <c r="CA430" i="14"/>
  <c r="CL141" i="14"/>
  <c r="CK142" i="14"/>
  <c r="CL142" i="14" s="1"/>
  <c r="CK490" i="14"/>
  <c r="CL490" i="14" s="1"/>
  <c r="CL489" i="14"/>
  <c r="CZ658" i="14"/>
  <c r="DA658" i="14" s="1"/>
  <c r="DA657" i="14"/>
  <c r="CP478" i="14"/>
  <c r="CQ478" i="14" s="1"/>
  <c r="CQ477" i="14"/>
  <c r="CF670" i="14"/>
  <c r="CG670" i="14" s="1"/>
  <c r="CG669" i="14"/>
  <c r="CA406" i="14"/>
  <c r="CA610" i="14"/>
  <c r="DP201" i="14"/>
  <c r="DO202" i="14"/>
  <c r="DP202" i="14" s="1"/>
  <c r="DE118" i="14"/>
  <c r="CF598" i="14"/>
  <c r="CG598" i="14" s="1"/>
  <c r="CG597" i="14"/>
  <c r="DE214" i="14"/>
  <c r="CL621" i="14"/>
  <c r="CK622" i="14"/>
  <c r="CL622" i="14" s="1"/>
  <c r="DK153" i="14"/>
  <c r="DJ154" i="14"/>
  <c r="DK154" i="14" s="1"/>
  <c r="DT358" i="14"/>
  <c r="DU358" i="14" s="1"/>
  <c r="DU357" i="14"/>
  <c r="DY310" i="14"/>
  <c r="DZ310" i="14" s="1"/>
  <c r="DZ309" i="14"/>
  <c r="CG369" i="14"/>
  <c r="CF370" i="14"/>
  <c r="CG370" i="14" s="1"/>
  <c r="DA609" i="14"/>
  <c r="CZ610" i="14"/>
  <c r="DA610" i="14" s="1"/>
  <c r="DA165" i="14"/>
  <c r="CZ166" i="14"/>
  <c r="DA166" i="14" s="1"/>
  <c r="CU598" i="14"/>
  <c r="CV598" i="14" s="1"/>
  <c r="CV597" i="14"/>
  <c r="EE309" i="14"/>
  <c r="ED310" i="14"/>
  <c r="EE310" i="14" s="1"/>
  <c r="DT298" i="14"/>
  <c r="DU298" i="14" s="1"/>
  <c r="DU297" i="14"/>
  <c r="CL249" i="14"/>
  <c r="CK250" i="14"/>
  <c r="CL250" i="14" s="1"/>
  <c r="DE94" i="14"/>
  <c r="DU141" i="14"/>
  <c r="DT142" i="14"/>
  <c r="DU142" i="14" s="1"/>
  <c r="DY394" i="14"/>
  <c r="DZ394" i="14" s="1"/>
  <c r="DZ393" i="14"/>
  <c r="DE586" i="14"/>
  <c r="EE237" i="14"/>
  <c r="ED238" i="14"/>
  <c r="EE238" i="14" s="1"/>
  <c r="DE562" i="14"/>
  <c r="ED394" i="14"/>
  <c r="EE394" i="14" s="1"/>
  <c r="EE393" i="14"/>
  <c r="CV453" i="14"/>
  <c r="CU454" i="14"/>
  <c r="CV454" i="14" s="1"/>
  <c r="CP118" i="14"/>
  <c r="CQ118" i="14" s="1"/>
  <c r="CQ117" i="14"/>
  <c r="CG213" i="14"/>
  <c r="CF214" i="14"/>
  <c r="CG214" i="14" s="1"/>
  <c r="DA489" i="14"/>
  <c r="CZ490" i="14"/>
  <c r="DA490" i="14" s="1"/>
  <c r="CV681" i="14"/>
  <c r="CU682" i="14"/>
  <c r="CV682" i="14" s="1"/>
  <c r="DE418" i="14"/>
  <c r="CU586" i="14"/>
  <c r="CV586" i="14" s="1"/>
  <c r="CV585" i="14"/>
  <c r="DA57" i="14"/>
  <c r="CZ58" i="14"/>
  <c r="DA58" i="14" s="1"/>
  <c r="DP465" i="14"/>
  <c r="DO466" i="14"/>
  <c r="DP466" i="14" s="1"/>
  <c r="DT658" i="14"/>
  <c r="DU658" i="14" s="1"/>
  <c r="DU657" i="14"/>
  <c r="ED202" i="14"/>
  <c r="EE202" i="14" s="1"/>
  <c r="EE201" i="14"/>
  <c r="CP610" i="14"/>
  <c r="CQ610" i="14" s="1"/>
  <c r="CQ609" i="14"/>
  <c r="CA658" i="14"/>
  <c r="DE358" i="14"/>
  <c r="DJ310" i="14"/>
  <c r="DK310" i="14" s="1"/>
  <c r="DK309" i="14"/>
  <c r="DZ285" i="14"/>
  <c r="DY286" i="14"/>
  <c r="DZ286" i="14" s="1"/>
  <c r="DO298" i="14"/>
  <c r="DP298" i="14" s="1"/>
  <c r="DP297" i="14"/>
  <c r="CU514" i="14"/>
  <c r="CV514" i="14" s="1"/>
  <c r="CV513" i="14"/>
  <c r="DO478" i="14"/>
  <c r="DP478" i="14" s="1"/>
  <c r="DP477" i="14"/>
  <c r="DO130" i="14"/>
  <c r="DP130" i="14" s="1"/>
  <c r="DP129" i="14"/>
  <c r="DZ465" i="14"/>
  <c r="DY466" i="14"/>
  <c r="DZ466" i="14" s="1"/>
  <c r="DU585" i="14"/>
  <c r="DT586" i="14"/>
  <c r="DU586" i="14" s="1"/>
  <c r="DT346" i="14"/>
  <c r="DU346" i="14" s="1"/>
  <c r="DU345" i="14"/>
  <c r="DE526" i="14"/>
  <c r="CA526" i="14"/>
  <c r="DA561" i="14"/>
  <c r="CZ562" i="14"/>
  <c r="DA562" i="14" s="1"/>
  <c r="CG237" i="14"/>
  <c r="CF238" i="14"/>
  <c r="CG238" i="14" s="1"/>
  <c r="EE501" i="14"/>
  <c r="ED502" i="14"/>
  <c r="EE502" i="14" s="1"/>
  <c r="CL153" i="14"/>
  <c r="CK154" i="14"/>
  <c r="CL154" i="14" s="1"/>
  <c r="CL429" i="14"/>
  <c r="CK430" i="14"/>
  <c r="CL430" i="14" s="1"/>
  <c r="DY574" i="14"/>
  <c r="DZ574" i="14" s="1"/>
  <c r="DZ573" i="14"/>
  <c r="DA141" i="14"/>
  <c r="CZ142" i="14"/>
  <c r="DA142" i="14" s="1"/>
  <c r="DT646" i="14"/>
  <c r="DU646" i="14" s="1"/>
  <c r="DU645" i="14"/>
  <c r="ED406" i="14"/>
  <c r="EE406" i="14" s="1"/>
  <c r="EE405" i="14"/>
  <c r="CQ681" i="14"/>
  <c r="CP682" i="14"/>
  <c r="CQ682" i="14" s="1"/>
  <c r="CL69" i="14"/>
  <c r="CK70" i="14"/>
  <c r="CL70" i="14" s="1"/>
  <c r="DT670" i="14"/>
  <c r="DU670" i="14" s="1"/>
  <c r="DU669" i="14"/>
  <c r="DE298" i="14"/>
  <c r="EE213" i="14"/>
  <c r="ED214" i="14"/>
  <c r="EE214" i="14" s="1"/>
  <c r="CA346" i="14"/>
  <c r="CL477" i="14"/>
  <c r="CK478" i="14"/>
  <c r="CL478" i="14" s="1"/>
  <c r="CK550" i="14"/>
  <c r="CL550" i="14" s="1"/>
  <c r="CL549" i="14"/>
  <c r="DP609" i="14"/>
  <c r="DO610" i="14"/>
  <c r="DP610" i="14" s="1"/>
  <c r="CZ574" i="14"/>
  <c r="DA574" i="14" s="1"/>
  <c r="DA573" i="14"/>
  <c r="DT490" i="14"/>
  <c r="DU490" i="14" s="1"/>
  <c r="DU489" i="14"/>
  <c r="DE646" i="14"/>
  <c r="CU478" i="14"/>
  <c r="CV478" i="14" s="1"/>
  <c r="CV477" i="14"/>
  <c r="CG681" i="14"/>
  <c r="CF682" i="14"/>
  <c r="CG682" i="14" s="1"/>
  <c r="CP190" i="14"/>
  <c r="CQ190" i="14" s="1"/>
  <c r="CQ189" i="14"/>
  <c r="DZ69" i="14"/>
  <c r="DY70" i="14"/>
  <c r="DZ70" i="14" s="1"/>
  <c r="DJ598" i="14"/>
  <c r="DK598" i="14" s="1"/>
  <c r="DK597" i="14"/>
  <c r="EE105" i="14"/>
  <c r="ED106" i="14"/>
  <c r="EE106" i="14" s="1"/>
  <c r="DA273" i="14"/>
  <c r="CZ274" i="14"/>
  <c r="DA274" i="14" s="1"/>
  <c r="DY118" i="14"/>
  <c r="DZ118" i="14" s="1"/>
  <c r="DZ117" i="14"/>
  <c r="DY598" i="14"/>
  <c r="DZ598" i="14" s="1"/>
  <c r="DZ597" i="14"/>
  <c r="CL393" i="14"/>
  <c r="CK394" i="14"/>
  <c r="CL394" i="14" s="1"/>
  <c r="DO562" i="14"/>
  <c r="DP562" i="14" s="1"/>
  <c r="DP561" i="14"/>
  <c r="DY538" i="14"/>
  <c r="DZ538" i="14" s="1"/>
  <c r="DZ537" i="14"/>
  <c r="CP226" i="14"/>
  <c r="CQ226" i="14" s="1"/>
  <c r="CQ225" i="14"/>
  <c r="ED478" i="14"/>
  <c r="EE478" i="14" s="1"/>
  <c r="EE477" i="14"/>
  <c r="DP309" i="14"/>
  <c r="DO310" i="14"/>
  <c r="DP310" i="14" s="1"/>
  <c r="CA574" i="14"/>
  <c r="CU502" i="14"/>
  <c r="CV502" i="14" s="1"/>
  <c r="CV501" i="14"/>
  <c r="DO358" i="14"/>
  <c r="DP358" i="14" s="1"/>
  <c r="DP357" i="14"/>
  <c r="CV261" i="14"/>
  <c r="CU262" i="14"/>
  <c r="CV262" i="14" s="1"/>
  <c r="EE141" i="14"/>
  <c r="ED142" i="14"/>
  <c r="EE142" i="14" s="1"/>
  <c r="DE346" i="14"/>
  <c r="CA466" i="14"/>
  <c r="CU106" i="14"/>
  <c r="CV106" i="14" s="1"/>
  <c r="CV105" i="14"/>
  <c r="CA166" i="14"/>
  <c r="CP130" i="14"/>
  <c r="CQ130" i="14" s="1"/>
  <c r="CQ129" i="14"/>
  <c r="CA670" i="14"/>
  <c r="CQ345" i="14"/>
  <c r="CP346" i="14"/>
  <c r="CQ346" i="14" s="1"/>
  <c r="DJ142" i="14"/>
  <c r="DK142" i="14" s="1"/>
  <c r="DK141" i="14"/>
  <c r="DK261" i="14"/>
  <c r="DJ262" i="14"/>
  <c r="DK262" i="14" s="1"/>
  <c r="CV645" i="14"/>
  <c r="CU646" i="14"/>
  <c r="CV646" i="14" s="1"/>
  <c r="DJ490" i="14"/>
  <c r="DK490" i="14" s="1"/>
  <c r="DK489" i="14"/>
  <c r="CK226" i="14"/>
  <c r="CL226" i="14" s="1"/>
  <c r="CL225" i="14"/>
  <c r="CF514" i="14"/>
  <c r="CG514" i="14" s="1"/>
  <c r="CG513" i="14"/>
  <c r="CF202" i="14"/>
  <c r="CG202" i="14" s="1"/>
  <c r="CG201" i="14"/>
  <c r="CQ357" i="14"/>
  <c r="CP358" i="14"/>
  <c r="CQ358" i="14" s="1"/>
  <c r="CV429" i="14"/>
  <c r="CU430" i="14"/>
  <c r="CV430" i="14" s="1"/>
  <c r="CQ633" i="14"/>
  <c r="CP634" i="14"/>
  <c r="CQ634" i="14" s="1"/>
  <c r="ED58" i="14"/>
  <c r="EE58" i="14" s="1"/>
  <c r="EE57" i="14"/>
  <c r="CG333" i="14"/>
  <c r="CF334" i="14"/>
  <c r="CG334" i="14" s="1"/>
  <c r="DE622" i="14"/>
  <c r="CV537" i="14"/>
  <c r="CU538" i="14"/>
  <c r="CV538" i="14" s="1"/>
  <c r="CA118" i="14"/>
  <c r="CV441" i="14"/>
  <c r="CU442" i="14"/>
  <c r="CV442" i="14" s="1"/>
  <c r="CQ249" i="14"/>
  <c r="CP250" i="14"/>
  <c r="CQ250" i="14" s="1"/>
  <c r="DP405" i="14"/>
  <c r="DO406" i="14"/>
  <c r="DP406" i="14" s="1"/>
  <c r="DE598" i="14"/>
  <c r="DY358" i="14"/>
  <c r="DZ358" i="14" s="1"/>
  <c r="DZ357" i="14"/>
  <c r="DT370" i="14"/>
  <c r="DU370" i="14" s="1"/>
  <c r="DU369" i="14"/>
  <c r="DK249" i="14"/>
  <c r="DJ250" i="14"/>
  <c r="DK250" i="14" s="1"/>
  <c r="DY634" i="14"/>
  <c r="DZ634" i="14" s="1"/>
  <c r="DZ633" i="14"/>
  <c r="CQ57" i="14"/>
  <c r="CP58" i="14"/>
  <c r="CQ58" i="14" s="1"/>
  <c r="DE154" i="14"/>
  <c r="CA334" i="14"/>
  <c r="CA322" i="14"/>
  <c r="DU381" i="14"/>
  <c r="DT382" i="14"/>
  <c r="DU382" i="14" s="1"/>
  <c r="ED598" i="14"/>
  <c r="EE598" i="14" s="1"/>
  <c r="EE597" i="14"/>
  <c r="CP370" i="14"/>
  <c r="CQ370" i="14" s="1"/>
  <c r="CQ369" i="14"/>
  <c r="DK237" i="14"/>
  <c r="DJ238" i="14"/>
  <c r="DK238" i="14" s="1"/>
  <c r="CF358" i="14"/>
  <c r="CG358" i="14" s="1"/>
  <c r="CG357" i="14"/>
  <c r="CQ441" i="14"/>
  <c r="CP442" i="14"/>
  <c r="CQ442" i="14" s="1"/>
  <c r="ED538" i="14"/>
  <c r="EE538" i="14" s="1"/>
  <c r="EE537" i="14"/>
  <c r="DP393" i="14"/>
  <c r="DO394" i="14"/>
  <c r="DP394" i="14" s="1"/>
  <c r="CQ273" i="14"/>
  <c r="CP274" i="14"/>
  <c r="CQ274" i="14" s="1"/>
  <c r="DK69" i="14"/>
  <c r="DJ70" i="14"/>
  <c r="DK70" i="14" s="1"/>
  <c r="DO346" i="14"/>
  <c r="DP346" i="14" s="1"/>
  <c r="DP345" i="14"/>
  <c r="CG117" i="14"/>
  <c r="CF118" i="14"/>
  <c r="CG118" i="14" s="1"/>
  <c r="CU334" i="14"/>
  <c r="CV334" i="14" s="1"/>
  <c r="CV333" i="14"/>
  <c r="CU310" i="14"/>
  <c r="CV310" i="14" s="1"/>
  <c r="CV309" i="14"/>
  <c r="CA274" i="14"/>
  <c r="DJ418" i="14"/>
  <c r="DK418" i="14" s="1"/>
  <c r="DK417" i="14"/>
  <c r="CK106" i="14"/>
  <c r="CL106" i="14" s="1"/>
  <c r="CL105" i="14"/>
  <c r="CQ213" i="14"/>
  <c r="CP214" i="14"/>
  <c r="CQ214" i="14" s="1"/>
  <c r="CQ525" i="14"/>
  <c r="CP526" i="14"/>
  <c r="CQ526" i="14" s="1"/>
  <c r="CV93" i="14"/>
  <c r="CU94" i="14"/>
  <c r="CV94" i="14" s="1"/>
  <c r="DU561" i="14"/>
  <c r="DT562" i="14"/>
  <c r="DU562" i="14" s="1"/>
  <c r="CZ586" i="14"/>
  <c r="DA586" i="14" s="1"/>
  <c r="DA585" i="14"/>
  <c r="DA225" i="14"/>
  <c r="CZ226" i="14"/>
  <c r="DA226" i="14" s="1"/>
  <c r="CG393" i="14"/>
  <c r="CF394" i="14"/>
  <c r="CG394" i="14" s="1"/>
  <c r="CK586" i="14"/>
  <c r="CL586" i="14" s="1"/>
  <c r="CL585" i="14"/>
  <c r="DU105" i="14"/>
  <c r="DT106" i="14"/>
  <c r="DU106" i="14" s="1"/>
  <c r="CA478" i="14"/>
  <c r="DY502" i="14"/>
  <c r="DZ502" i="14" s="1"/>
  <c r="DZ501" i="14"/>
  <c r="DP489" i="14"/>
  <c r="DO490" i="14"/>
  <c r="DP490" i="14" s="1"/>
  <c r="DO274" i="14"/>
  <c r="DP274" i="14" s="1"/>
  <c r="DP273" i="14"/>
  <c r="DP213" i="14"/>
  <c r="DO214" i="14"/>
  <c r="DP214" i="14" s="1"/>
  <c r="ED442" i="14"/>
  <c r="EE442" i="14" s="1"/>
  <c r="EE441" i="14"/>
  <c r="CA250" i="14"/>
  <c r="CL213" i="14"/>
  <c r="CK214" i="14"/>
  <c r="CL214" i="14" s="1"/>
  <c r="DA597" i="14"/>
  <c r="CZ598" i="14"/>
  <c r="DA598" i="14" s="1"/>
  <c r="DJ538" i="14"/>
  <c r="DK538" i="14" s="1"/>
  <c r="DK537" i="14"/>
  <c r="CA298" i="14"/>
  <c r="DJ622" i="14"/>
  <c r="DK622" i="14" s="1"/>
  <c r="DK621" i="14"/>
  <c r="DP537" i="14"/>
  <c r="DO538" i="14"/>
  <c r="DP538" i="14" s="1"/>
  <c r="DA201" i="14"/>
  <c r="CZ202" i="14"/>
  <c r="DA202" i="14" s="1"/>
  <c r="CG381" i="14"/>
  <c r="CF382" i="14"/>
  <c r="CG382" i="14" s="1"/>
  <c r="DP57" i="14"/>
  <c r="DO58" i="14"/>
  <c r="DP58" i="14" s="1"/>
  <c r="CV417" i="14"/>
  <c r="CU418" i="14"/>
  <c r="CV418" i="14" s="1"/>
  <c r="ED586" i="14"/>
  <c r="EE586" i="14" s="1"/>
  <c r="EE585" i="14"/>
  <c r="CV573" i="14"/>
  <c r="CU574" i="14"/>
  <c r="CV574" i="14" s="1"/>
  <c r="CP490" i="14"/>
  <c r="CQ490" i="14" s="1"/>
  <c r="CQ489" i="14"/>
  <c r="DU573" i="14"/>
  <c r="DT574" i="14"/>
  <c r="DU574" i="14" s="1"/>
  <c r="DU321" i="14"/>
  <c r="DT322" i="14"/>
  <c r="DU322" i="14" s="1"/>
  <c r="CA214" i="14"/>
  <c r="CL129" i="14"/>
  <c r="CK130" i="14"/>
  <c r="CL130" i="14" s="1"/>
  <c r="CK166" i="14"/>
  <c r="CL166" i="14" s="1"/>
  <c r="CL165" i="14"/>
  <c r="DA213" i="14"/>
  <c r="CZ214" i="14"/>
  <c r="DA214" i="14" s="1"/>
  <c r="CL369" i="14"/>
  <c r="CK370" i="14"/>
  <c r="CL370" i="14" s="1"/>
  <c r="DK357" i="14"/>
  <c r="DJ358" i="14"/>
  <c r="DK358" i="14" s="1"/>
  <c r="DT634" i="14"/>
  <c r="DU634" i="14" s="1"/>
  <c r="DU633" i="14"/>
  <c r="CL357" i="14"/>
  <c r="CK358" i="14"/>
  <c r="CL358" i="14" s="1"/>
  <c r="CK310" i="14"/>
  <c r="CL310" i="14" s="1"/>
  <c r="CL309" i="14"/>
  <c r="DZ213" i="14"/>
  <c r="DY214" i="14"/>
  <c r="DZ214" i="14" s="1"/>
  <c r="DK345" i="14"/>
  <c r="DJ346" i="14"/>
  <c r="DK346" i="14" s="1"/>
  <c r="DT166" i="14"/>
  <c r="DU166" i="14" s="1"/>
  <c r="DU165" i="14"/>
  <c r="CV405" i="14"/>
  <c r="CU406" i="14"/>
  <c r="CV406" i="14" s="1"/>
  <c r="CQ69" i="14"/>
  <c r="CP70" i="14"/>
  <c r="CQ70" i="14" s="1"/>
  <c r="DA669" i="14"/>
  <c r="CZ670" i="14"/>
  <c r="DA670" i="14" s="1"/>
  <c r="CA586" i="14"/>
  <c r="CU178" i="14"/>
  <c r="CV178" i="14" s="1"/>
  <c r="CV177" i="14"/>
  <c r="CG477" i="14"/>
  <c r="CF478" i="14"/>
  <c r="CG478" i="14" s="1"/>
  <c r="CQ285" i="14"/>
  <c r="CP286" i="14"/>
  <c r="CQ286" i="14" s="1"/>
  <c r="CG633" i="14"/>
  <c r="CF634" i="14"/>
  <c r="CG634" i="14" s="1"/>
  <c r="CK454" i="14"/>
  <c r="CL454" i="14" s="1"/>
  <c r="CL453" i="14"/>
  <c r="CA358" i="14"/>
  <c r="DJ466" i="14"/>
  <c r="DK466" i="14" s="1"/>
  <c r="DK465" i="14"/>
  <c r="DZ657" i="14"/>
  <c r="DY658" i="14"/>
  <c r="DZ658" i="14" s="1"/>
  <c r="CA130" i="14"/>
  <c r="ED610" i="14"/>
  <c r="EE610" i="14" s="1"/>
  <c r="EE609" i="14"/>
  <c r="CK538" i="14"/>
  <c r="CL538" i="14" s="1"/>
  <c r="CL537" i="14"/>
  <c r="DK405" i="14"/>
  <c r="DJ406" i="14"/>
  <c r="DK406" i="14" s="1"/>
  <c r="DE466" i="14"/>
  <c r="DE382" i="14"/>
  <c r="DK549" i="14"/>
  <c r="DJ550" i="14"/>
  <c r="DK550" i="14" s="1"/>
  <c r="CU622" i="14"/>
  <c r="CV622" i="14" s="1"/>
  <c r="CV621" i="14"/>
  <c r="DE514" i="14"/>
  <c r="CG69" i="14"/>
  <c r="CF70" i="14"/>
  <c r="CG70" i="14" s="1"/>
  <c r="CA226" i="14"/>
  <c r="DE682" i="14"/>
  <c r="CL645" i="14"/>
  <c r="CK646" i="14"/>
  <c r="CL646" i="14" s="1"/>
  <c r="DZ177" i="14"/>
  <c r="DY178" i="14"/>
  <c r="DZ178" i="14" s="1"/>
  <c r="DZ525" i="14"/>
  <c r="DY526" i="14"/>
  <c r="DZ526" i="14" s="1"/>
  <c r="CV117" i="14"/>
  <c r="CU118" i="14"/>
  <c r="CV118" i="14" s="1"/>
  <c r="CA490" i="14"/>
  <c r="DZ441" i="14"/>
  <c r="DY442" i="14"/>
  <c r="DZ442" i="14" s="1"/>
  <c r="CP106" i="14"/>
  <c r="CQ106" i="14" s="1"/>
  <c r="CQ105" i="14"/>
  <c r="CF250" i="14"/>
  <c r="CG250" i="14" s="1"/>
  <c r="CG249" i="14"/>
  <c r="DO382" i="14"/>
  <c r="DP382" i="14" s="1"/>
  <c r="DP381" i="14"/>
  <c r="DU249" i="14"/>
  <c r="DT250" i="14"/>
  <c r="DU250" i="14" s="1"/>
  <c r="DK381" i="14"/>
  <c r="DJ382" i="14"/>
  <c r="DK382" i="14" s="1"/>
  <c r="DY238" i="14"/>
  <c r="DZ238" i="14" s="1"/>
  <c r="DZ237" i="14"/>
  <c r="DJ646" i="14"/>
  <c r="DK646" i="14" s="1"/>
  <c r="DK645" i="14"/>
  <c r="EE489" i="14"/>
  <c r="ED490" i="14"/>
  <c r="EE490" i="14" s="1"/>
  <c r="DT190" i="14"/>
  <c r="DU190" i="14" s="1"/>
  <c r="DU189" i="14"/>
  <c r="DK297" i="14"/>
  <c r="DJ298" i="14"/>
  <c r="DK298" i="14" s="1"/>
  <c r="DJ682" i="14"/>
  <c r="DK682" i="14" s="1"/>
  <c r="DK681" i="14"/>
  <c r="DU213" i="14"/>
  <c r="DT214" i="14"/>
  <c r="DU214" i="14" s="1"/>
  <c r="CV669" i="14"/>
  <c r="CU670" i="14"/>
  <c r="CV670" i="14" s="1"/>
  <c r="CV285" i="14"/>
  <c r="CU286" i="14"/>
  <c r="CV286" i="14" s="1"/>
  <c r="DK477" i="14"/>
  <c r="DJ478" i="14"/>
  <c r="DK478" i="14" s="1"/>
  <c r="DA321" i="14"/>
  <c r="CZ322" i="14"/>
  <c r="DA322" i="14" s="1"/>
  <c r="CP298" i="14"/>
  <c r="CQ298" i="14" s="1"/>
  <c r="CQ297" i="14"/>
  <c r="DJ322" i="14"/>
  <c r="DK322" i="14" s="1"/>
  <c r="DK321" i="14"/>
  <c r="CQ177" i="14"/>
  <c r="CP178" i="14"/>
  <c r="CQ178" i="14" s="1"/>
  <c r="CU58" i="14"/>
  <c r="CV58" i="14" s="1"/>
  <c r="CV57" i="14"/>
  <c r="CZ178" i="14"/>
  <c r="DA178" i="14" s="1"/>
  <c r="DA177" i="14"/>
  <c r="DE310" i="14"/>
  <c r="DA537" i="14"/>
  <c r="CZ538" i="14"/>
  <c r="DA538" i="14" s="1"/>
  <c r="DK573" i="14"/>
  <c r="DJ574" i="14"/>
  <c r="DK574" i="14" s="1"/>
  <c r="DP597" i="14"/>
  <c r="DO598" i="14"/>
  <c r="DP598" i="14" s="1"/>
  <c r="DU537" i="14"/>
  <c r="DT538" i="14"/>
  <c r="DU538" i="14" s="1"/>
  <c r="DJ334" i="14"/>
  <c r="DK334" i="14" s="1"/>
  <c r="DK333" i="14"/>
  <c r="CA178" i="14"/>
  <c r="DJ370" i="14"/>
  <c r="DK370" i="14" s="1"/>
  <c r="DK369" i="14"/>
  <c r="CQ585" i="14"/>
  <c r="CP586" i="14"/>
  <c r="CQ586" i="14" s="1"/>
  <c r="CA550" i="14"/>
  <c r="DA369" i="14"/>
  <c r="CZ370" i="14"/>
  <c r="DA370" i="14" s="1"/>
  <c r="CA370" i="14"/>
  <c r="CU562" i="14"/>
  <c r="CV562" i="14" s="1"/>
  <c r="CV561" i="14"/>
  <c r="EE657" i="14"/>
  <c r="ED658" i="14"/>
  <c r="EE658" i="14" s="1"/>
  <c r="DY406" i="14"/>
  <c r="DZ406" i="14" s="1"/>
  <c r="DZ405" i="14"/>
  <c r="DU549" i="14"/>
  <c r="DT550" i="14"/>
  <c r="DU550" i="14" s="1"/>
  <c r="DY478" i="14"/>
  <c r="DZ478" i="14" s="1"/>
  <c r="DZ477" i="14"/>
  <c r="CG609" i="14"/>
  <c r="CF610" i="14"/>
  <c r="CG610" i="14" s="1"/>
  <c r="DP585" i="14"/>
  <c r="DO586" i="14"/>
  <c r="DP586" i="14" s="1"/>
  <c r="CK514" i="14"/>
  <c r="CL514" i="14" s="1"/>
  <c r="CL513" i="14"/>
  <c r="CQ405" i="14"/>
  <c r="CP406" i="14"/>
  <c r="CQ406" i="14" s="1"/>
  <c r="DY322" i="14"/>
  <c r="DZ322" i="14" s="1"/>
  <c r="DZ321" i="14"/>
  <c r="DE190" i="14"/>
  <c r="EE357" i="14"/>
  <c r="ED358" i="14"/>
  <c r="EE358" i="14" s="1"/>
  <c r="DZ333" i="14"/>
  <c r="DY334" i="14"/>
  <c r="DZ334" i="14" s="1"/>
  <c r="CV165" i="14"/>
  <c r="CU166" i="14"/>
  <c r="CV166" i="14" s="1"/>
  <c r="CA502" i="14"/>
  <c r="DP105" i="14"/>
  <c r="DO106" i="14"/>
  <c r="DP106" i="14" s="1"/>
  <c r="DP513" i="14"/>
  <c r="DO514" i="14"/>
  <c r="DP514" i="14" s="1"/>
  <c r="CV549" i="14"/>
  <c r="CU550" i="14"/>
  <c r="CV550" i="14" s="1"/>
  <c r="CQ201" i="14"/>
  <c r="CP202" i="14"/>
  <c r="CQ202" i="14" s="1"/>
  <c r="DY190" i="14"/>
  <c r="DZ190" i="14" s="1"/>
  <c r="DZ189" i="14"/>
  <c r="CL381" i="14"/>
  <c r="CK382" i="14"/>
  <c r="CL382" i="14" s="1"/>
  <c r="DP165" i="14"/>
  <c r="DO166" i="14"/>
  <c r="DP166" i="14" s="1"/>
  <c r="DZ201" i="14"/>
  <c r="DY202" i="14"/>
  <c r="DZ202" i="14" s="1"/>
  <c r="DK525" i="14"/>
  <c r="DJ526" i="14"/>
  <c r="DK526" i="14" s="1"/>
  <c r="CU190" i="14"/>
  <c r="CV190" i="14" s="1"/>
  <c r="CV189" i="14"/>
  <c r="CK502" i="14"/>
  <c r="CL502" i="14" s="1"/>
  <c r="CL501" i="14"/>
  <c r="CL525" i="14"/>
  <c r="CK526" i="14"/>
  <c r="CL526" i="14" s="1"/>
  <c r="CL201" i="14"/>
  <c r="CK202" i="14"/>
  <c r="CL202" i="14" s="1"/>
  <c r="ED634" i="14"/>
  <c r="EE634" i="14" s="1"/>
  <c r="EE633" i="14"/>
  <c r="CG105" i="14"/>
  <c r="CF106" i="14"/>
  <c r="CG106" i="14" s="1"/>
  <c r="DT262" i="14"/>
  <c r="DU262" i="14" s="1"/>
  <c r="DU261" i="14"/>
  <c r="DY142" i="14"/>
  <c r="DZ142" i="14" s="1"/>
  <c r="DZ141" i="14"/>
  <c r="DE670" i="14"/>
  <c r="CG501" i="14"/>
  <c r="CF502" i="14"/>
  <c r="CG502" i="14" s="1"/>
  <c r="CU394" i="14"/>
  <c r="CV394" i="14" s="1"/>
  <c r="CV393" i="14"/>
  <c r="CL345" i="14"/>
  <c r="CK346" i="14"/>
  <c r="CL346" i="14" s="1"/>
  <c r="DE442" i="14"/>
  <c r="CP334" i="14"/>
  <c r="CQ334" i="14" s="1"/>
  <c r="CQ333" i="14"/>
  <c r="CV225" i="14"/>
  <c r="CU226" i="14"/>
  <c r="CV226" i="14" s="1"/>
  <c r="CF58" i="14"/>
  <c r="CG58" i="14" s="1"/>
  <c r="CG57" i="14"/>
  <c r="DZ549" i="14"/>
  <c r="DY550" i="14"/>
  <c r="DZ550" i="14" s="1"/>
  <c r="DE406" i="14"/>
  <c r="CF622" i="14"/>
  <c r="CG622" i="14" s="1"/>
  <c r="CG621" i="14"/>
  <c r="CQ429" i="14"/>
  <c r="CP430" i="14"/>
  <c r="CQ430" i="14" s="1"/>
  <c r="CF298" i="14"/>
  <c r="CG298" i="14" s="1"/>
  <c r="CG297" i="14"/>
  <c r="CZ394" i="14"/>
  <c r="DA394" i="14" s="1"/>
  <c r="DA393" i="14"/>
  <c r="CA202" i="14"/>
  <c r="DA105" i="14"/>
  <c r="CZ106" i="14"/>
  <c r="DA106" i="14" s="1"/>
  <c r="DE166" i="14"/>
  <c r="CF226" i="14"/>
  <c r="CG226" i="14" s="1"/>
  <c r="CG225" i="14"/>
  <c r="DT526" i="14"/>
  <c r="DU526" i="14" s="1"/>
  <c r="DU525" i="14"/>
  <c r="EE93" i="14"/>
  <c r="ED94" i="14"/>
  <c r="EE94" i="14" s="1"/>
  <c r="DT466" i="14"/>
  <c r="DU466" i="14" s="1"/>
  <c r="DU465" i="14"/>
  <c r="DT502" i="14"/>
  <c r="DU502" i="14" s="1"/>
  <c r="DU501" i="14"/>
  <c r="DP549" i="14"/>
  <c r="DO550" i="14"/>
  <c r="DP550" i="14" s="1"/>
  <c r="CU658" i="14"/>
  <c r="CV658" i="14" s="1"/>
  <c r="CV657" i="14"/>
  <c r="CG573" i="14"/>
  <c r="CF574" i="14"/>
  <c r="CG574" i="14" s="1"/>
  <c r="EE249" i="14"/>
  <c r="ED250" i="14"/>
  <c r="EE250" i="14" s="1"/>
  <c r="DO526" i="14"/>
  <c r="DP526" i="14" s="1"/>
  <c r="DP525" i="14"/>
  <c r="DY682" i="14"/>
  <c r="DZ682" i="14" s="1"/>
  <c r="DZ681" i="14"/>
  <c r="DJ202" i="14"/>
  <c r="DK202" i="14" s="1"/>
  <c r="DK201" i="14"/>
  <c r="CQ417" i="14"/>
  <c r="CP418" i="14"/>
  <c r="CQ418" i="14" s="1"/>
  <c r="CG441" i="14"/>
  <c r="CF442" i="14"/>
  <c r="CG442" i="14" s="1"/>
  <c r="DE202" i="14"/>
  <c r="CU526" i="14"/>
  <c r="CV526" i="14" s="1"/>
  <c r="CV525" i="14"/>
  <c r="CA454" i="14"/>
  <c r="DK429" i="14"/>
  <c r="DJ430" i="14"/>
  <c r="DK430" i="14" s="1"/>
  <c r="CV345" i="14"/>
  <c r="CU346" i="14"/>
  <c r="CV346" i="14" s="1"/>
  <c r="CP382" i="14"/>
  <c r="CQ382" i="14" s="1"/>
  <c r="CQ381" i="14"/>
  <c r="CG657" i="14"/>
  <c r="CF658" i="14"/>
  <c r="CG658" i="14" s="1"/>
  <c r="DT58" i="14"/>
  <c r="DU58" i="14" s="1"/>
  <c r="DU57" i="14"/>
  <c r="DP285" i="14"/>
  <c r="DO286" i="14"/>
  <c r="DP286" i="14" s="1"/>
  <c r="CQ573" i="14"/>
  <c r="CP574" i="14"/>
  <c r="CQ574" i="14" s="1"/>
  <c r="DP141" i="14"/>
  <c r="DO142" i="14"/>
  <c r="DP142" i="14" s="1"/>
  <c r="CP550" i="14"/>
  <c r="CQ550" i="14" s="1"/>
  <c r="CQ549" i="14"/>
  <c r="CZ238" i="14"/>
  <c r="DA238" i="14" s="1"/>
  <c r="DA237" i="14"/>
  <c r="DA261" i="14"/>
  <c r="CZ262" i="14"/>
  <c r="DA262" i="14" s="1"/>
  <c r="DU417" i="14"/>
  <c r="DT418" i="14"/>
  <c r="DU418" i="14" s="1"/>
  <c r="DA513" i="14"/>
  <c r="CZ514" i="14"/>
  <c r="DA514" i="14" s="1"/>
  <c r="CU370" i="14"/>
  <c r="CV370" i="14" s="1"/>
  <c r="CV369" i="14"/>
  <c r="EE117" i="14"/>
  <c r="ED118" i="14"/>
  <c r="EE118" i="14" s="1"/>
  <c r="CZ418" i="14"/>
  <c r="DA418" i="14" s="1"/>
  <c r="DA417" i="14"/>
  <c r="CA634" i="14"/>
  <c r="CQ513" i="14"/>
  <c r="CP514" i="14"/>
  <c r="CQ514" i="14" s="1"/>
  <c r="CG549" i="14"/>
  <c r="CF550" i="14"/>
  <c r="CG550" i="14" s="1"/>
  <c r="CU130" i="14"/>
  <c r="CV130" i="14" s="1"/>
  <c r="CV129" i="14"/>
  <c r="DT622" i="14"/>
  <c r="DU622" i="14" s="1"/>
  <c r="DU621" i="14"/>
  <c r="DA501" i="14"/>
  <c r="CZ502" i="14"/>
  <c r="DA502" i="14" s="1"/>
  <c r="CF406" i="14"/>
  <c r="CG406" i="14" s="1"/>
  <c r="CG405" i="14"/>
  <c r="CP502" i="14"/>
  <c r="CQ502" i="14" s="1"/>
  <c r="CQ501" i="14"/>
  <c r="CQ393" i="14"/>
  <c r="CP394" i="14"/>
  <c r="CQ394" i="14" s="1"/>
  <c r="DK609" i="14"/>
  <c r="DJ610" i="14"/>
  <c r="DK610" i="14" s="1"/>
  <c r="CZ406" i="14"/>
  <c r="DA406" i="14" s="1"/>
  <c r="DA405" i="14"/>
  <c r="DK285" i="14"/>
  <c r="DJ286" i="14"/>
  <c r="DK286" i="14" s="1"/>
  <c r="DJ118" i="14"/>
  <c r="DK118" i="14" s="1"/>
  <c r="DK117" i="14"/>
  <c r="DU405" i="14"/>
  <c r="DT406" i="14"/>
  <c r="DU406" i="14" s="1"/>
  <c r="CA646" i="14"/>
  <c r="DJ394" i="14"/>
  <c r="DK394" i="14" s="1"/>
  <c r="DK393" i="14"/>
  <c r="DA333" i="14"/>
  <c r="CZ334" i="14"/>
  <c r="DA334" i="14" s="1"/>
  <c r="DT226" i="14"/>
  <c r="DU226" i="14" s="1"/>
  <c r="DU225" i="14"/>
  <c r="DK213" i="14"/>
  <c r="DJ214" i="14"/>
  <c r="DK214" i="14" s="1"/>
  <c r="DY166" i="14"/>
  <c r="DZ166" i="14" s="1"/>
  <c r="DZ165" i="14"/>
  <c r="DE538" i="14"/>
  <c r="DE658" i="14"/>
  <c r="DE550" i="14"/>
  <c r="DA381" i="14"/>
  <c r="CZ382" i="14"/>
  <c r="DA382" i="14" s="1"/>
  <c r="DP153" i="14"/>
  <c r="DO154" i="14"/>
  <c r="DP154" i="14" s="1"/>
  <c r="ED646" i="14"/>
  <c r="EE646" i="14" s="1"/>
  <c r="EE645" i="14"/>
  <c r="DK585" i="14"/>
  <c r="DJ586" i="14"/>
  <c r="DK586" i="14" s="1"/>
  <c r="DE226" i="14"/>
  <c r="DY370" i="14"/>
  <c r="DZ370" i="14" s="1"/>
  <c r="DZ369" i="14"/>
  <c r="DZ609" i="14"/>
  <c r="DY610" i="14"/>
  <c r="DZ610" i="14" s="1"/>
  <c r="CU238" i="14"/>
  <c r="CV238" i="14" s="1"/>
  <c r="CV237" i="14"/>
  <c r="DE130" i="14"/>
  <c r="CA394" i="14"/>
  <c r="DP501" i="14"/>
  <c r="DO502" i="14"/>
  <c r="DP502" i="14" s="1"/>
  <c r="CG285" i="14"/>
  <c r="CF286" i="14"/>
  <c r="CG286" i="14" s="1"/>
  <c r="DU429" i="14"/>
  <c r="DT430" i="14"/>
  <c r="DU430" i="14" s="1"/>
  <c r="CA562" i="14"/>
  <c r="CK406" i="14"/>
  <c r="CL406" i="14" s="1"/>
  <c r="CL405" i="14"/>
  <c r="DU681" i="14"/>
  <c r="DT682" i="14"/>
  <c r="DU682" i="14" s="1"/>
  <c r="CP598" i="14"/>
  <c r="CQ598" i="14" s="1"/>
  <c r="CQ597" i="14"/>
  <c r="DJ58" i="14"/>
  <c r="DK58" i="14" s="1"/>
  <c r="DK57" i="14"/>
  <c r="DT454" i="14"/>
  <c r="DU454" i="14" s="1"/>
  <c r="DU453" i="14"/>
  <c r="DK501" i="14"/>
  <c r="DJ502" i="14"/>
  <c r="DK502" i="14" s="1"/>
  <c r="CA190" i="14"/>
  <c r="CA154" i="14"/>
  <c r="DT610" i="14"/>
  <c r="DU610" i="14" s="1"/>
  <c r="DU609" i="14"/>
  <c r="CZ682" i="14"/>
  <c r="DA682" i="14" s="1"/>
  <c r="DA681" i="14"/>
  <c r="DA549" i="14"/>
  <c r="CZ550" i="14"/>
  <c r="DA550" i="14" s="1"/>
  <c r="DK669" i="14"/>
  <c r="DJ670" i="14"/>
  <c r="DK670" i="14" s="1"/>
  <c r="CK238" i="14"/>
  <c r="CL238" i="14" s="1"/>
  <c r="CL237" i="14"/>
  <c r="CL273" i="14"/>
  <c r="CK274" i="14"/>
  <c r="CL274" i="14" s="1"/>
  <c r="CP262" i="14"/>
  <c r="CQ262" i="14" s="1"/>
  <c r="CQ261" i="14"/>
  <c r="DU93" i="14"/>
  <c r="DT94" i="14"/>
  <c r="DU94" i="14" s="1"/>
  <c r="CA70" i="14"/>
  <c r="DZ489" i="14"/>
  <c r="DY490" i="14"/>
  <c r="DZ490" i="14" s="1"/>
  <c r="CV141" i="14"/>
  <c r="CU142" i="14"/>
  <c r="CV142" i="14" s="1"/>
  <c r="ED262" i="14"/>
  <c r="EE262" i="14" s="1"/>
  <c r="EE261" i="14"/>
  <c r="DU285" i="14"/>
  <c r="DT286" i="14"/>
  <c r="DU286" i="14" s="1"/>
  <c r="CZ430" i="14"/>
  <c r="DA430" i="14" s="1"/>
  <c r="DA429" i="14"/>
  <c r="CZ298" i="14"/>
  <c r="DA298" i="14" s="1"/>
  <c r="DA297" i="14"/>
  <c r="ED550" i="14"/>
  <c r="EE550" i="14" s="1"/>
  <c r="EE549" i="14"/>
  <c r="ED226" i="14"/>
  <c r="EE226" i="14" s="1"/>
  <c r="EE225" i="14"/>
  <c r="DY670" i="14"/>
  <c r="DZ670" i="14" s="1"/>
  <c r="DZ669" i="14"/>
  <c r="DA309" i="14"/>
  <c r="CZ310" i="14"/>
  <c r="DA310" i="14" s="1"/>
  <c r="ED298" i="14"/>
  <c r="EE298" i="14" s="1"/>
  <c r="EE297" i="14"/>
  <c r="DT202" i="14"/>
  <c r="DU202" i="14" s="1"/>
  <c r="DU201" i="14"/>
  <c r="DU237" i="14"/>
  <c r="DT238" i="14"/>
  <c r="DU238" i="14" s="1"/>
  <c r="DO634" i="14"/>
  <c r="DP634" i="14" s="1"/>
  <c r="DP633" i="14"/>
  <c r="CA682" i="14"/>
  <c r="EE165" i="14"/>
  <c r="ED166" i="14"/>
  <c r="EE166" i="14" s="1"/>
  <c r="CV357" i="14"/>
  <c r="CU358" i="14"/>
  <c r="CV358" i="14" s="1"/>
  <c r="DE286" i="14"/>
  <c r="ED418" i="14"/>
  <c r="EE418" i="14" s="1"/>
  <c r="EE417" i="14"/>
  <c r="CU298" i="14"/>
  <c r="CV298" i="14" s="1"/>
  <c r="CV297" i="14"/>
  <c r="DP657" i="14"/>
  <c r="DO658" i="14"/>
  <c r="DP658" i="14" s="1"/>
  <c r="EE453" i="14"/>
  <c r="ED454" i="14"/>
  <c r="EE454" i="14" s="1"/>
  <c r="CQ453" i="14"/>
  <c r="CP454" i="14"/>
  <c r="CQ454" i="14" s="1"/>
  <c r="DJ274" i="14"/>
  <c r="DK274" i="14" s="1"/>
  <c r="DK273" i="14"/>
  <c r="DE142" i="14"/>
  <c r="CA286" i="14"/>
  <c r="DE454" i="14"/>
  <c r="DK441" i="14"/>
  <c r="DJ442" i="14"/>
  <c r="DK442" i="14" s="1"/>
  <c r="ED178" i="14"/>
  <c r="EE178" i="14" s="1"/>
  <c r="EE177" i="14"/>
  <c r="DP93" i="14"/>
  <c r="DO94" i="14"/>
  <c r="DP94" i="14" s="1"/>
  <c r="CQ93" i="14"/>
  <c r="CP94" i="14"/>
  <c r="CQ94" i="14" s="1"/>
  <c r="CA442" i="14"/>
  <c r="CF166" i="14"/>
  <c r="CG166" i="14" s="1"/>
  <c r="CG165" i="14"/>
  <c r="CZ190" i="14"/>
  <c r="DA190" i="14" s="1"/>
  <c r="DA189" i="14"/>
  <c r="DE574" i="14"/>
  <c r="DO682" i="14"/>
  <c r="DP682" i="14" s="1"/>
  <c r="DP681" i="14"/>
  <c r="CV69" i="14"/>
  <c r="CU70" i="14"/>
  <c r="CV70" i="14" s="1"/>
  <c r="DU309" i="14"/>
  <c r="DT310" i="14"/>
  <c r="DU310" i="14" s="1"/>
  <c r="CZ478" i="14"/>
  <c r="DA478" i="14" s="1"/>
  <c r="DA477" i="14"/>
  <c r="DY298" i="14"/>
  <c r="DZ298" i="14" s="1"/>
  <c r="DZ297" i="14"/>
  <c r="CK562" i="14"/>
  <c r="CL562" i="14" s="1"/>
  <c r="CL561" i="14"/>
  <c r="CL321" i="14"/>
  <c r="CK322" i="14"/>
  <c r="CL322" i="14" s="1"/>
  <c r="CL681" i="14"/>
  <c r="CK682" i="14"/>
  <c r="CL682" i="14" s="1"/>
  <c r="ED562" i="14"/>
  <c r="EE562" i="14" s="1"/>
  <c r="EE561" i="14"/>
  <c r="CG189" i="14"/>
  <c r="CF190" i="14"/>
  <c r="CG190" i="14" s="1"/>
  <c r="DE238" i="14"/>
  <c r="CF418" i="14"/>
  <c r="CG418" i="14" s="1"/>
  <c r="CG417" i="14"/>
  <c r="ED130" i="14"/>
  <c r="EE130" i="14" s="1"/>
  <c r="EE129" i="14"/>
  <c r="CU322" i="14"/>
  <c r="CV322" i="14" s="1"/>
  <c r="CV321" i="14"/>
  <c r="DO430" i="14"/>
  <c r="DP430" i="14" s="1"/>
  <c r="DP429" i="14"/>
  <c r="CK178" i="14"/>
  <c r="CL178" i="14" s="1"/>
  <c r="CL177" i="14"/>
  <c r="CL441" i="14"/>
  <c r="CK442" i="14"/>
  <c r="CL442" i="14" s="1"/>
  <c r="DP225" i="14"/>
  <c r="DO226" i="14"/>
  <c r="DP226" i="14" s="1"/>
  <c r="CA418" i="14"/>
  <c r="EE513" i="14"/>
  <c r="ED514" i="14"/>
  <c r="EE514" i="14" s="1"/>
  <c r="CF646" i="14"/>
  <c r="CG646" i="14" s="1"/>
  <c r="CG645" i="14"/>
  <c r="DP261" i="14"/>
  <c r="DO262" i="14"/>
  <c r="DP262" i="14" s="1"/>
  <c r="CA262" i="14"/>
  <c r="DY346" i="14"/>
  <c r="DZ346" i="14" s="1"/>
  <c r="DZ345" i="14"/>
  <c r="CF178" i="14"/>
  <c r="CG178" i="14" s="1"/>
  <c r="CG177" i="14"/>
  <c r="CU634" i="14"/>
  <c r="CV634" i="14" s="1"/>
  <c r="CV633" i="14"/>
  <c r="DO646" i="14"/>
  <c r="DP646" i="14" s="1"/>
  <c r="DP645" i="14"/>
  <c r="DU273" i="14"/>
  <c r="DT274" i="14"/>
  <c r="DU274" i="14" s="1"/>
  <c r="CK286" i="14"/>
  <c r="CL286" i="14" s="1"/>
  <c r="CL285" i="14"/>
  <c r="CL93" i="14"/>
  <c r="CK94" i="14"/>
  <c r="CL94" i="14" s="1"/>
  <c r="CU382" i="14"/>
  <c r="CV382" i="14" s="1"/>
  <c r="CV381" i="14"/>
  <c r="DE334" i="14"/>
  <c r="DE262" i="14"/>
  <c r="DP69" i="14"/>
  <c r="DO70" i="14"/>
  <c r="DP70" i="14" s="1"/>
  <c r="DZ93" i="14"/>
  <c r="DY94" i="14"/>
  <c r="DZ94" i="14" s="1"/>
  <c r="DK189" i="14"/>
  <c r="DJ190" i="14"/>
  <c r="DK190" i="14" s="1"/>
  <c r="CZ454" i="14"/>
  <c r="DA454" i="14" s="1"/>
  <c r="DA453" i="14"/>
  <c r="DA357" i="14"/>
  <c r="CZ358" i="14"/>
  <c r="DA358" i="14" s="1"/>
  <c r="CV201" i="14"/>
  <c r="CU202" i="14"/>
  <c r="CV202" i="14" s="1"/>
  <c r="CU466" i="14"/>
  <c r="CV466" i="14" s="1"/>
  <c r="CV465" i="14"/>
  <c r="CF262" i="14"/>
  <c r="CG262" i="14" s="1"/>
  <c r="CG261" i="14"/>
  <c r="DZ57" i="14"/>
  <c r="DY58" i="14"/>
  <c r="DZ58" i="14" s="1"/>
  <c r="DE478" i="14"/>
  <c r="CG141" i="14"/>
  <c r="CF142" i="14"/>
  <c r="CG142" i="14" s="1"/>
  <c r="DY586" i="14"/>
  <c r="DZ586" i="14" s="1"/>
  <c r="DZ585" i="14"/>
  <c r="DE370" i="14"/>
  <c r="CF154" i="14"/>
  <c r="CG154" i="14" s="1"/>
  <c r="CG153" i="14"/>
  <c r="CG321" i="14"/>
  <c r="CF322" i="14"/>
  <c r="CG322" i="14" s="1"/>
  <c r="DT118" i="14"/>
  <c r="DU118" i="14" s="1"/>
  <c r="DU117" i="14"/>
  <c r="CF346" i="14"/>
  <c r="CG346" i="14" s="1"/>
  <c r="CG345" i="14"/>
  <c r="DZ429" i="14"/>
  <c r="DY430" i="14"/>
  <c r="DZ430" i="14" s="1"/>
  <c r="CV213" i="14"/>
  <c r="CU214" i="14"/>
  <c r="CV214" i="14" s="1"/>
  <c r="DZ129" i="14"/>
  <c r="DY130" i="14"/>
  <c r="DZ130" i="14" s="1"/>
  <c r="CK670" i="14"/>
  <c r="CL670" i="14" s="1"/>
  <c r="CL669" i="14"/>
  <c r="DY274" i="14"/>
  <c r="DZ274" i="14" s="1"/>
  <c r="DZ273" i="14"/>
  <c r="DT334" i="14"/>
  <c r="DU334" i="14" s="1"/>
  <c r="DU333" i="14"/>
  <c r="DY262" i="14"/>
  <c r="DZ262" i="14" s="1"/>
  <c r="DZ261" i="14"/>
  <c r="CZ70" i="14"/>
  <c r="DA70" i="14" s="1"/>
  <c r="DA69" i="14"/>
  <c r="CU154" i="14"/>
  <c r="CV154" i="14" s="1"/>
  <c r="CV153" i="14"/>
  <c r="CK634" i="14"/>
  <c r="CL634" i="14" s="1"/>
  <c r="CL633" i="14"/>
  <c r="CL609" i="14"/>
  <c r="CK610" i="14"/>
  <c r="CL610" i="14" s="1"/>
  <c r="DE274" i="14"/>
  <c r="DP369" i="14"/>
  <c r="DO370" i="14"/>
  <c r="DP370" i="14" s="1"/>
  <c r="DU177" i="14"/>
  <c r="DT178" i="14"/>
  <c r="DU178" i="14" s="1"/>
  <c r="ED286" i="14"/>
  <c r="EE286" i="14" s="1"/>
  <c r="EE285" i="14"/>
  <c r="CL333" i="14"/>
  <c r="CK334" i="14"/>
  <c r="CL334" i="14" s="1"/>
  <c r="ED670" i="14"/>
  <c r="EE670" i="14" s="1"/>
  <c r="EE669" i="14"/>
  <c r="CQ465" i="14"/>
  <c r="CP466" i="14"/>
  <c r="CQ466" i="14" s="1"/>
  <c r="CL465" i="14"/>
  <c r="CK466" i="14"/>
  <c r="CL466" i="14" s="1"/>
  <c r="DY382" i="14"/>
  <c r="DZ382" i="14" s="1"/>
  <c r="DZ381" i="14"/>
  <c r="DE502" i="14"/>
  <c r="CV609" i="14"/>
  <c r="CU610" i="14"/>
  <c r="CV610" i="14" s="1"/>
  <c r="CG525" i="14"/>
  <c r="CF526" i="14"/>
  <c r="CG526" i="14" s="1"/>
  <c r="DE322" i="14"/>
  <c r="DK513" i="14"/>
  <c r="DJ514" i="14"/>
  <c r="DK514" i="14" s="1"/>
  <c r="DU513" i="14"/>
  <c r="DT514" i="14"/>
  <c r="DU514" i="14" s="1"/>
  <c r="CL117" i="14"/>
  <c r="CK118" i="14"/>
  <c r="CL118" i="14" s="1"/>
  <c r="EE381" i="14"/>
  <c r="ED382" i="14"/>
  <c r="EE382" i="14" s="1"/>
  <c r="CZ526" i="14"/>
  <c r="DA526" i="14" s="1"/>
  <c r="DA525" i="14"/>
  <c r="CL597" i="14"/>
  <c r="CK598" i="14"/>
  <c r="CL598" i="14" s="1"/>
  <c r="CG429" i="14"/>
  <c r="CF430" i="14"/>
  <c r="CG430" i="14" s="1"/>
  <c r="ED430" i="14"/>
  <c r="EE430" i="14" s="1"/>
  <c r="EE429" i="14"/>
  <c r="DE58" i="14"/>
  <c r="DT394" i="14"/>
  <c r="DU394" i="14" s="1"/>
  <c r="DU393" i="14"/>
  <c r="EE345" i="14"/>
  <c r="ED346" i="14"/>
  <c r="EE346" i="14" s="1"/>
  <c r="DP189" i="14"/>
  <c r="DO190" i="14"/>
  <c r="DP190" i="14" s="1"/>
  <c r="CG537" i="14"/>
  <c r="CF538" i="14"/>
  <c r="CG538" i="14" s="1"/>
  <c r="DY514" i="14"/>
  <c r="DZ514" i="14" s="1"/>
  <c r="DZ513" i="14"/>
  <c r="CK418" i="14"/>
  <c r="CL418" i="14" s="1"/>
  <c r="CL417" i="14"/>
  <c r="CK58" i="14"/>
  <c r="CL58" i="14" s="1"/>
  <c r="CL57" i="14"/>
  <c r="DK165" i="14"/>
  <c r="DJ166" i="14"/>
  <c r="DK166" i="14" s="1"/>
  <c r="CK658" i="14"/>
  <c r="CL658" i="14" s="1"/>
  <c r="CL657" i="14"/>
  <c r="EE465" i="14"/>
  <c r="ED466" i="14"/>
  <c r="EE466" i="14" s="1"/>
  <c r="CP670" i="14"/>
  <c r="CQ670" i="14" s="1"/>
  <c r="CQ669" i="14"/>
  <c r="CQ321" i="14"/>
  <c r="CP322" i="14"/>
  <c r="CQ322" i="14" s="1"/>
  <c r="CP538" i="14"/>
  <c r="CQ538" i="14" s="1"/>
  <c r="CQ537" i="14"/>
  <c r="DE490" i="14"/>
  <c r="DE106" i="14"/>
  <c r="CA538" i="14"/>
  <c r="DJ634" i="14"/>
  <c r="DK634" i="14" s="1"/>
  <c r="DK633" i="14"/>
  <c r="DJ94" i="14"/>
  <c r="DK94" i="14" s="1"/>
  <c r="DK93" i="14"/>
  <c r="DK225" i="14"/>
  <c r="DJ226" i="14"/>
  <c r="DK226" i="14" s="1"/>
  <c r="DE610" i="14"/>
  <c r="DE394" i="14"/>
  <c r="CA382" i="14"/>
  <c r="CF310" i="14"/>
  <c r="CG310" i="14" s="1"/>
  <c r="CG309" i="14"/>
  <c r="DT70" i="14"/>
  <c r="DU70" i="14" s="1"/>
  <c r="DU69" i="14"/>
  <c r="DO118" i="14"/>
  <c r="DP118" i="14" s="1"/>
  <c r="DP117" i="14"/>
  <c r="EE69" i="14"/>
  <c r="ED70" i="14"/>
  <c r="EE70" i="14" s="1"/>
  <c r="CZ466" i="14"/>
  <c r="DA466" i="14" s="1"/>
  <c r="DA465" i="14"/>
  <c r="CA310" i="14"/>
  <c r="EE525" i="14"/>
  <c r="ED526" i="14"/>
  <c r="EE526" i="14" s="1"/>
  <c r="CA622" i="14"/>
  <c r="EE621" i="14"/>
  <c r="ED622" i="14"/>
  <c r="EE622" i="14" s="1"/>
  <c r="CA238" i="14"/>
  <c r="EE333" i="14"/>
  <c r="ED334" i="14"/>
  <c r="EE334" i="14" s="1"/>
  <c r="CF130" i="14"/>
  <c r="CG130" i="14" s="1"/>
  <c r="CG129" i="14"/>
  <c r="DO178" i="14"/>
  <c r="DP178" i="14" s="1"/>
  <c r="DP177" i="14"/>
  <c r="DO334" i="14"/>
  <c r="DP334" i="14" s="1"/>
  <c r="DP333" i="14"/>
  <c r="DO670" i="14"/>
  <c r="DP670" i="14" s="1"/>
  <c r="DP669" i="14"/>
  <c r="DO622" i="14"/>
  <c r="DP622" i="14" s="1"/>
  <c r="DP621" i="14"/>
  <c r="EE273" i="14"/>
  <c r="ED274" i="14"/>
  <c r="EE274" i="14" s="1"/>
  <c r="DE634" i="14"/>
  <c r="DU441" i="14"/>
  <c r="DT442" i="14"/>
  <c r="DU442" i="14" s="1"/>
  <c r="DO238" i="14"/>
  <c r="DP238" i="14" s="1"/>
  <c r="DP237" i="14"/>
  <c r="CP142" i="14"/>
  <c r="CQ142" i="14" s="1"/>
  <c r="CQ141" i="14"/>
  <c r="DZ561" i="14"/>
  <c r="DY562" i="14"/>
  <c r="DZ562" i="14" s="1"/>
  <c r="CG93" i="14"/>
  <c r="CF94" i="14"/>
  <c r="CG94" i="14" s="1"/>
  <c r="ED370" i="14"/>
  <c r="EE370" i="14" s="1"/>
  <c r="EE369" i="14"/>
  <c r="CZ250" i="14"/>
  <c r="DA250" i="14" s="1"/>
  <c r="DA249" i="14"/>
  <c r="DA345" i="14"/>
  <c r="CZ346" i="14"/>
  <c r="DA346" i="14" s="1"/>
  <c r="CA514" i="14"/>
  <c r="DZ249" i="14"/>
  <c r="DY250" i="14"/>
  <c r="DZ250" i="14" s="1"/>
  <c r="DO322" i="14"/>
  <c r="DP322" i="14" s="1"/>
  <c r="DP321" i="14"/>
  <c r="DY646" i="14"/>
  <c r="DZ646" i="14" s="1"/>
  <c r="DZ645" i="14"/>
  <c r="DY154" i="14"/>
  <c r="DZ154" i="14" s="1"/>
  <c r="DZ153" i="14"/>
  <c r="CL261" i="14"/>
  <c r="CK262" i="14"/>
  <c r="CL262" i="14" s="1"/>
  <c r="DY454" i="14"/>
  <c r="DZ454" i="14" s="1"/>
  <c r="DZ453" i="14"/>
  <c r="DK129" i="14"/>
  <c r="DJ130" i="14"/>
  <c r="DK130" i="14" s="1"/>
  <c r="DT130" i="14"/>
  <c r="DU130" i="14" s="1"/>
  <c r="DU129" i="14"/>
  <c r="DE70" i="14"/>
  <c r="DY226" i="14"/>
  <c r="DZ226" i="14" s="1"/>
  <c r="DZ225" i="14"/>
  <c r="CG489" i="14"/>
  <c r="CF490" i="14"/>
  <c r="CG490" i="14" s="1"/>
  <c r="CF466" i="14"/>
  <c r="CG466" i="14" s="1"/>
  <c r="CG465" i="14"/>
  <c r="CP154" i="14"/>
  <c r="CQ154" i="14" s="1"/>
  <c r="CQ153" i="14"/>
  <c r="CP622" i="14"/>
  <c r="CQ622" i="14" s="1"/>
  <c r="CQ621" i="14"/>
  <c r="DK561" i="14"/>
  <c r="DJ562" i="14"/>
  <c r="DK562" i="14" s="1"/>
  <c r="CZ130" i="14"/>
  <c r="DA130" i="14" s="1"/>
  <c r="DA129" i="14"/>
  <c r="DK453" i="14"/>
  <c r="DJ454" i="14"/>
  <c r="DK454" i="14" s="1"/>
  <c r="CA58" i="14"/>
  <c r="CQ165" i="14"/>
  <c r="CP166" i="14"/>
  <c r="CQ166" i="14" s="1"/>
  <c r="DY106" i="14"/>
  <c r="DZ106" i="14" s="1"/>
  <c r="DZ105" i="14"/>
  <c r="CZ94" i="14"/>
  <c r="DA94" i="14" s="1"/>
  <c r="DA93" i="14"/>
  <c r="CK574" i="14"/>
  <c r="CL574" i="14" s="1"/>
  <c r="CL573" i="14"/>
  <c r="CV489" i="14"/>
  <c r="CU490" i="14"/>
  <c r="CV490" i="14" s="1"/>
  <c r="DF79" i="14"/>
  <c r="CB79" i="14"/>
  <c r="DT79" i="14"/>
  <c r="DU78" i="14"/>
  <c r="CV78" i="14"/>
  <c r="CU79" i="14"/>
  <c r="CL78" i="14"/>
  <c r="CK79" i="14"/>
  <c r="EE78" i="14"/>
  <c r="ED79" i="14"/>
  <c r="DJ79" i="14"/>
  <c r="DK78" i="14"/>
  <c r="CP79" i="14"/>
  <c r="CQ78" i="14"/>
  <c r="DY79" i="14"/>
  <c r="DZ78" i="14"/>
  <c r="DA78" i="14"/>
  <c r="CZ79" i="14"/>
  <c r="CF79" i="14"/>
  <c r="CG78" i="14"/>
  <c r="DE80" i="14"/>
  <c r="CA80" i="14"/>
  <c r="DP78" i="14"/>
  <c r="DO79" i="14"/>
  <c r="CB41" i="14"/>
  <c r="BK39" i="14"/>
  <c r="BM39" i="14"/>
  <c r="AY44" i="14"/>
  <c r="AU44" i="14"/>
  <c r="AW44" i="14"/>
  <c r="AH21" i="43"/>
  <c r="AH13" i="43"/>
  <c r="AH14" i="43" s="1"/>
  <c r="AH15" i="43" s="1"/>
  <c r="AH16" i="43" s="1"/>
  <c r="AH17" i="43" s="1"/>
  <c r="AH18" i="43" s="1"/>
  <c r="AH19" i="43" s="1"/>
  <c r="AH20" i="43" s="1"/>
  <c r="CL42" i="14"/>
  <c r="CK43" i="14"/>
  <c r="EE42" i="14"/>
  <c r="ED43" i="14"/>
  <c r="AJ12" i="43"/>
  <c r="E10" i="43"/>
  <c r="CZ42" i="14"/>
  <c r="DA42" i="14" s="1"/>
  <c r="CF42" i="14"/>
  <c r="CG42" i="14" s="1"/>
  <c r="CU42" i="14"/>
  <c r="CV42" i="14" s="1"/>
  <c r="CA42" i="14"/>
  <c r="CP42" i="14"/>
  <c r="CQ42" i="14" s="1"/>
  <c r="DJ43" i="14"/>
  <c r="DK42" i="14"/>
  <c r="DU42" i="14"/>
  <c r="DT43" i="14"/>
  <c r="DZ42" i="14"/>
  <c r="DY43" i="14"/>
  <c r="DO43" i="14"/>
  <c r="DP42" i="14"/>
  <c r="BA46" i="14"/>
  <c r="BN38" i="14"/>
  <c r="CB94" i="14" a="1"/>
  <c r="DF142" i="14" a="1"/>
  <c r="AX43" i="14"/>
  <c r="DF430" i="14" a="1"/>
  <c r="CB634" i="14" a="1"/>
  <c r="CB190" i="14" a="1"/>
  <c r="CB238" i="14" a="1"/>
  <c r="CB226" i="14" a="1"/>
  <c r="CB658" i="14" a="1"/>
  <c r="DF562" i="14" a="1"/>
  <c r="CB454" i="14" a="1"/>
  <c r="CB370" i="14" a="1"/>
  <c r="DF322" i="14" a="1"/>
  <c r="CB214" i="14" a="1"/>
  <c r="DF130" i="14" a="1"/>
  <c r="DF286" i="14" a="1"/>
  <c r="CB118" i="14" a="1"/>
  <c r="CB358" i="14" a="1"/>
  <c r="DF478" i="14" a="1"/>
  <c r="DF526" i="14" a="1"/>
  <c r="CB70" i="14" a="1"/>
  <c r="DF598" i="14" a="1"/>
  <c r="CB646" i="14" a="1"/>
  <c r="CB682" i="14" a="1"/>
  <c r="CB286" i="14" a="1"/>
  <c r="CB58" i="14" a="1"/>
  <c r="CB406" i="14" a="1"/>
  <c r="DF80" i="14" a="1"/>
  <c r="CB298" i="14" a="1"/>
  <c r="DF682" i="14" a="1"/>
  <c r="CB202" i="14" a="1"/>
  <c r="CB526" i="14" a="1"/>
  <c r="CB490" i="14" a="1"/>
  <c r="AV43" i="14"/>
  <c r="DF202" i="14" a="1"/>
  <c r="CB574" i="14" a="1"/>
  <c r="DF178" i="14" a="1"/>
  <c r="DF406" i="14" a="1"/>
  <c r="CB622" i="14" a="1"/>
  <c r="DF574" i="14" a="1"/>
  <c r="DF262" i="14" a="1"/>
  <c r="DF106" i="14" a="1"/>
  <c r="DF454" i="14" a="1"/>
  <c r="DF622" i="14" a="1"/>
  <c r="DF466" i="14" a="1"/>
  <c r="AZ43" i="14"/>
  <c r="CB514" i="14" a="1"/>
  <c r="CB598" i="14" a="1"/>
  <c r="CB586" i="14" a="1"/>
  <c r="DF118" i="14" a="1"/>
  <c r="CB130" i="14" a="1"/>
  <c r="CB322" i="14" a="1"/>
  <c r="DF538" i="14" a="1"/>
  <c r="DF154" i="14" a="1"/>
  <c r="DF514" i="14" a="1"/>
  <c r="DF634" i="14" a="1"/>
  <c r="DF610" i="14" a="1"/>
  <c r="DF502" i="14" a="1"/>
  <c r="DF214" i="14" a="1"/>
  <c r="CB610" i="14" a="1"/>
  <c r="CB250" i="14" a="1"/>
  <c r="DF490" i="14" a="1"/>
  <c r="BL38" i="14"/>
  <c r="DF346" i="14" a="1"/>
  <c r="CB442" i="14" a="1"/>
  <c r="CB394" i="14" a="1"/>
  <c r="DF658" i="14" a="1"/>
  <c r="DF190" i="14" a="1"/>
  <c r="DF670" i="14" a="1"/>
  <c r="CB42" i="14" a="1"/>
  <c r="DF166" i="14" a="1"/>
  <c r="DF394" i="14" a="1"/>
  <c r="DF418" i="14" a="1"/>
  <c r="DF550" i="14" a="1"/>
  <c r="CB178" i="14" a="1"/>
  <c r="CB466" i="14" a="1"/>
  <c r="DF58" i="14" a="1"/>
  <c r="DF382" i="14" a="1"/>
  <c r="CB562" i="14" a="1"/>
  <c r="DF646" i="14" a="1"/>
  <c r="CB430" i="14" a="1"/>
  <c r="DF442" i="14" a="1"/>
  <c r="CB262" i="14" a="1"/>
  <c r="CB154" i="14" a="1"/>
  <c r="CB274" i="14" a="1"/>
  <c r="CB550" i="14" a="1"/>
  <c r="CB418" i="14" a="1"/>
  <c r="CB80" i="14" a="1"/>
  <c r="DF94" i="14" a="1"/>
  <c r="DF250" i="14" a="1"/>
  <c r="DF70" i="14" a="1"/>
  <c r="CB670" i="14" a="1"/>
  <c r="CB502" i="14" a="1"/>
  <c r="DF298" i="14" a="1"/>
  <c r="DF358" i="14" a="1"/>
  <c r="CB166" i="14" a="1"/>
  <c r="CB142" i="14" a="1"/>
  <c r="CB334" i="14" a="1"/>
  <c r="CB478" i="14" a="1"/>
  <c r="CB538" i="14" a="1"/>
  <c r="DF370" i="14" a="1"/>
  <c r="DF238" i="14" a="1"/>
  <c r="DF334" i="14" a="1"/>
  <c r="CB310" i="14" a="1"/>
  <c r="CB106" i="14" a="1"/>
  <c r="CB382" i="14" a="1"/>
  <c r="DF586" i="14" a="1"/>
  <c r="DF274" i="14" a="1"/>
  <c r="CB346" i="14" a="1"/>
  <c r="DF226" i="14" a="1"/>
  <c r="DF310" i="14" a="1"/>
  <c r="BB46" i="14"/>
  <c r="DQ431" i="14" l="1"/>
  <c r="DR431" i="14" s="1"/>
  <c r="DQ432" i="14" s="1"/>
  <c r="DR432" i="14" s="1"/>
  <c r="EF467" i="14"/>
  <c r="EG467" i="14" s="1"/>
  <c r="EF468" i="14" s="1"/>
  <c r="EG468" i="14" s="1"/>
  <c r="EF383" i="14"/>
  <c r="EG383" i="14" s="1"/>
  <c r="EH383" i="14" s="1"/>
  <c r="DQ227" i="14"/>
  <c r="DR227" i="14" s="1"/>
  <c r="DQ228" i="14" s="1"/>
  <c r="DR228" i="14" s="1"/>
  <c r="CM647" i="14"/>
  <c r="CN647" i="14" s="1"/>
  <c r="CM648" i="14" s="1"/>
  <c r="CN648" i="14" s="1"/>
  <c r="EA263" i="14"/>
  <c r="EB263" i="14" s="1"/>
  <c r="EC263" i="14" s="1"/>
  <c r="CW455" i="14"/>
  <c r="CX455" i="14" s="1"/>
  <c r="CY455" i="14" s="1"/>
  <c r="CH167" i="14"/>
  <c r="CI167" i="14" s="1"/>
  <c r="CJ167" i="14" s="1"/>
  <c r="DB287" i="14"/>
  <c r="DC287" i="14" s="1"/>
  <c r="DB288" i="14" s="1"/>
  <c r="DC288" i="14" s="1"/>
  <c r="EA359" i="14"/>
  <c r="EB359" i="14" s="1"/>
  <c r="EA360" i="14" s="1"/>
  <c r="EB360" i="14" s="1"/>
  <c r="EA155" i="14"/>
  <c r="EB155" i="14" s="1"/>
  <c r="EC155" i="14" s="1"/>
  <c r="CW359" i="14"/>
  <c r="CX359" i="14" s="1"/>
  <c r="CY359" i="14" s="1"/>
  <c r="DV515" i="14"/>
  <c r="DW515" i="14" s="1"/>
  <c r="DX515" i="14" s="1"/>
  <c r="CH611" i="14"/>
  <c r="CI611" i="14" s="1"/>
  <c r="CH612" i="14" s="1"/>
  <c r="CI612" i="14" s="1"/>
  <c r="CW383" i="14"/>
  <c r="CX383" i="14" s="1"/>
  <c r="CY383" i="14" s="1"/>
  <c r="DB575" i="14"/>
  <c r="DC575" i="14" s="1"/>
  <c r="DB576" i="14" s="1"/>
  <c r="DC576" i="14" s="1"/>
  <c r="EF455" i="14"/>
  <c r="EG455" i="14" s="1"/>
  <c r="EH455" i="14" s="1"/>
  <c r="DQ179" i="14"/>
  <c r="DR179" i="14" s="1"/>
  <c r="DQ180" i="14" s="1"/>
  <c r="DR180" i="14" s="1"/>
  <c r="DQ59" i="14"/>
  <c r="DR59" i="14" s="1"/>
  <c r="DQ60" i="14" s="1"/>
  <c r="DR60" i="14" s="1"/>
  <c r="DQ215" i="14"/>
  <c r="DR215" i="14" s="1"/>
  <c r="DS215" i="14" s="1"/>
  <c r="EF443" i="14"/>
  <c r="EG443" i="14" s="1"/>
  <c r="EH443" i="14" s="1"/>
  <c r="EA599" i="14"/>
  <c r="EB599" i="14" s="1"/>
  <c r="EA600" i="14" s="1"/>
  <c r="EB600" i="14" s="1"/>
  <c r="EF107" i="14"/>
  <c r="EG107" i="14" s="1"/>
  <c r="EH107" i="14" s="1"/>
  <c r="DQ131" i="14"/>
  <c r="DR131" i="14" s="1"/>
  <c r="DQ132" i="14" s="1"/>
  <c r="DR132" i="14" s="1"/>
  <c r="DL419" i="14"/>
  <c r="DM419" i="14" s="1"/>
  <c r="DL420" i="14" s="1"/>
  <c r="DM420" i="14" s="1"/>
  <c r="EF83" i="14"/>
  <c r="EG83" i="14" s="1"/>
  <c r="EF84" i="14" s="1"/>
  <c r="EG84" i="14" s="1"/>
  <c r="CR419" i="14"/>
  <c r="CS419" i="14" s="1"/>
  <c r="CT419" i="14" s="1"/>
  <c r="CM335" i="14"/>
  <c r="CN335" i="14" s="1"/>
  <c r="CO335" i="14" s="1"/>
  <c r="CW155" i="14"/>
  <c r="CX155" i="14" s="1"/>
  <c r="CW156" i="14" s="1"/>
  <c r="CX156" i="14" s="1"/>
  <c r="DB359" i="14"/>
  <c r="DC359" i="14" s="1"/>
  <c r="DB360" i="14" s="1"/>
  <c r="DC360" i="14" s="1"/>
  <c r="DL563" i="14"/>
  <c r="DM563" i="14" s="1"/>
  <c r="DL564" i="14" s="1"/>
  <c r="DM564" i="14" s="1"/>
  <c r="CM635" i="14"/>
  <c r="CN635" i="14" s="1"/>
  <c r="CO635" i="14" s="1"/>
  <c r="DL443" i="14"/>
  <c r="DM443" i="14" s="1"/>
  <c r="DL444" i="14" s="1"/>
  <c r="DM444" i="14" s="1"/>
  <c r="CH671" i="14"/>
  <c r="CI671" i="14" s="1"/>
  <c r="CJ671" i="14" s="1"/>
  <c r="DB623" i="14"/>
  <c r="DC623" i="14" s="1"/>
  <c r="DB624" i="14" s="1"/>
  <c r="DC624" i="14" s="1"/>
  <c r="DQ563" i="14"/>
  <c r="DR563" i="14" s="1"/>
  <c r="DQ564" i="14" s="1"/>
  <c r="DR564" i="14" s="1"/>
  <c r="CW659" i="14"/>
  <c r="CX659" i="14" s="1"/>
  <c r="CW660" i="14" s="1"/>
  <c r="CX660" i="14" s="1"/>
  <c r="DQ47" i="14"/>
  <c r="DR47" i="14" s="1"/>
  <c r="DQ48" i="14" s="1"/>
  <c r="DR48" i="14" s="1"/>
  <c r="CH107" i="14"/>
  <c r="CI107" i="14" s="1"/>
  <c r="CJ107" i="14" s="1"/>
  <c r="CW431" i="14"/>
  <c r="CX431" i="14" s="1"/>
  <c r="CW432" i="14" s="1"/>
  <c r="CX432" i="14" s="1"/>
  <c r="CR347" i="14"/>
  <c r="CS347" i="14" s="1"/>
  <c r="CT347" i="14" s="1"/>
  <c r="CW251" i="14"/>
  <c r="CX251" i="14" s="1"/>
  <c r="CY251" i="14" s="1"/>
  <c r="DQ599" i="14"/>
  <c r="DR599" i="14" s="1"/>
  <c r="DS599" i="14" s="1"/>
  <c r="CR671" i="14"/>
  <c r="CS671" i="14" s="1"/>
  <c r="CR672" i="14" s="1"/>
  <c r="CS672" i="14" s="1"/>
  <c r="EF491" i="14"/>
  <c r="EG491" i="14" s="1"/>
  <c r="EH491" i="14" s="1"/>
  <c r="DB155" i="14"/>
  <c r="DC155" i="14" s="1"/>
  <c r="DD155" i="14" s="1"/>
  <c r="CR647" i="14"/>
  <c r="CS647" i="14" s="1"/>
  <c r="CT647" i="14" s="1"/>
  <c r="EF515" i="14"/>
  <c r="EG515" i="14" s="1"/>
  <c r="EH515" i="14" s="1"/>
  <c r="CM359" i="14"/>
  <c r="CN359" i="14" s="1"/>
  <c r="CO359" i="14" s="1"/>
  <c r="DV119" i="14"/>
  <c r="DW119" i="14" s="1"/>
  <c r="DX119" i="14" s="1"/>
  <c r="DQ167" i="14"/>
  <c r="DR167" i="14" s="1"/>
  <c r="DS167" i="14" s="1"/>
  <c r="DL83" i="14"/>
  <c r="DM83" i="14" s="1"/>
  <c r="DN83" i="14" s="1"/>
  <c r="EA371" i="14"/>
  <c r="EB371" i="14" s="1"/>
  <c r="EA372" i="14" s="1"/>
  <c r="EB372" i="14" s="1"/>
  <c r="DV599" i="14"/>
  <c r="DW599" i="14" s="1"/>
  <c r="DX599" i="14" s="1"/>
  <c r="CM395" i="14"/>
  <c r="CN395" i="14" s="1"/>
  <c r="CO395" i="14" s="1"/>
  <c r="DL107" i="14"/>
  <c r="DM107" i="14" s="1"/>
  <c r="DN107" i="14" s="1"/>
  <c r="DV179" i="14"/>
  <c r="DW179" i="14" s="1"/>
  <c r="DV180" i="14" s="1"/>
  <c r="DW180" i="14" s="1"/>
  <c r="CH239" i="14"/>
  <c r="CI239" i="14" s="1"/>
  <c r="CH240" i="14" s="1"/>
  <c r="CI240" i="14" s="1"/>
  <c r="CM527" i="14"/>
  <c r="CN527" i="14" s="1"/>
  <c r="CO527" i="14" s="1"/>
  <c r="DL611" i="14"/>
  <c r="DM611" i="14" s="1"/>
  <c r="DN611" i="14" s="1"/>
  <c r="DQ263" i="14"/>
  <c r="DR263" i="14" s="1"/>
  <c r="DS263" i="14" s="1"/>
  <c r="EF47" i="14"/>
  <c r="EG47" i="14" s="1"/>
  <c r="EH47" i="14" s="1"/>
  <c r="DB335" i="14"/>
  <c r="DC335" i="14" s="1"/>
  <c r="DD335" i="14" s="1"/>
  <c r="DV431" i="14"/>
  <c r="DW431" i="14" s="1"/>
  <c r="DV432" i="14" s="1"/>
  <c r="DW432" i="14" s="1"/>
  <c r="DL155" i="14"/>
  <c r="DM155" i="14" s="1"/>
  <c r="DN155" i="14" s="1"/>
  <c r="CM599" i="14"/>
  <c r="CN599" i="14" s="1"/>
  <c r="CO599" i="14" s="1"/>
  <c r="CW191" i="14"/>
  <c r="CX191" i="14" s="1"/>
  <c r="CW192" i="14" s="1"/>
  <c r="CX192" i="14" s="1"/>
  <c r="DV419" i="14"/>
  <c r="DW419" i="14" s="1"/>
  <c r="DV420" i="14" s="1"/>
  <c r="DW420" i="14" s="1"/>
  <c r="DL203" i="14"/>
  <c r="DM203" i="14" s="1"/>
  <c r="DL204" i="14" s="1"/>
  <c r="DM204" i="14" s="1"/>
  <c r="DB503" i="14"/>
  <c r="DC503" i="14" s="1"/>
  <c r="DB504" i="14" s="1"/>
  <c r="DC504" i="14" s="1"/>
  <c r="DQ275" i="14"/>
  <c r="DR275" i="14" s="1"/>
  <c r="DS275" i="14" s="1"/>
  <c r="CH563" i="14"/>
  <c r="CI563" i="14" s="1"/>
  <c r="CH564" i="14" s="1"/>
  <c r="CI564" i="14" s="1"/>
  <c r="CH491" i="14"/>
  <c r="CI491" i="14" s="1"/>
  <c r="CJ491" i="14" s="1"/>
  <c r="EF347" i="14"/>
  <c r="EG347" i="14" s="1"/>
  <c r="EF348" i="14" s="1"/>
  <c r="EG348" i="14" s="1"/>
  <c r="CH59" i="14"/>
  <c r="CI59" i="14" s="1"/>
  <c r="CJ59" i="14" s="1"/>
  <c r="EA203" i="14"/>
  <c r="EB203" i="14" s="1"/>
  <c r="EC203" i="14" s="1"/>
  <c r="DV551" i="14"/>
  <c r="DW551" i="14" s="1"/>
  <c r="DX551" i="14" s="1"/>
  <c r="EF95" i="14"/>
  <c r="EG95" i="14" s="1"/>
  <c r="EF96" i="14" s="1"/>
  <c r="EG96" i="14" s="1"/>
  <c r="DQ239" i="14"/>
  <c r="DR239" i="14" s="1"/>
  <c r="DQ240" i="14" s="1"/>
  <c r="DR240" i="14" s="1"/>
  <c r="EF143" i="14"/>
  <c r="EG143" i="14" s="1"/>
  <c r="EH143" i="14" s="1"/>
  <c r="CM587" i="14"/>
  <c r="CN587" i="14" s="1"/>
  <c r="CO587" i="14" s="1"/>
  <c r="DL623" i="14"/>
  <c r="DM623" i="14" s="1"/>
  <c r="DL624" i="14" s="1"/>
  <c r="DM624" i="14" s="1"/>
  <c r="EF575" i="14"/>
  <c r="EG575" i="14" s="1"/>
  <c r="EH575" i="14" s="1"/>
  <c r="CH119" i="14"/>
  <c r="CI119" i="14" s="1"/>
  <c r="CH120" i="14" s="1"/>
  <c r="CI120" i="14" s="1"/>
  <c r="DV611" i="14"/>
  <c r="DW611" i="14" s="1"/>
  <c r="DV612" i="14" s="1"/>
  <c r="DW612" i="14" s="1"/>
  <c r="CW575" i="14"/>
  <c r="CX575" i="14" s="1"/>
  <c r="CW576" i="14" s="1"/>
  <c r="CX576" i="14" s="1"/>
  <c r="CM251" i="14"/>
  <c r="CN251" i="14" s="1"/>
  <c r="CO251" i="14" s="1"/>
  <c r="EF263" i="14"/>
  <c r="EG263" i="14" s="1"/>
  <c r="EF264" i="14" s="1"/>
  <c r="EG264" i="14" s="1"/>
  <c r="DL503" i="14"/>
  <c r="DM503" i="14" s="1"/>
  <c r="DL504" i="14" s="1"/>
  <c r="DM504" i="14" s="1"/>
  <c r="DQ251" i="14"/>
  <c r="DR251" i="14" s="1"/>
  <c r="DQ252" i="14" s="1"/>
  <c r="DR252" i="14" s="1"/>
  <c r="EA179" i="14"/>
  <c r="EB179" i="14" s="1"/>
  <c r="EC179" i="14" s="1"/>
  <c r="DL299" i="14"/>
  <c r="DM299" i="14" s="1"/>
  <c r="DN299" i="14" s="1"/>
  <c r="CR251" i="14"/>
  <c r="CS251" i="14" s="1"/>
  <c r="CR252" i="14" s="1"/>
  <c r="CS252" i="14" s="1"/>
  <c r="CR467" i="14"/>
  <c r="CS467" i="14" s="1"/>
  <c r="CR468" i="14" s="1"/>
  <c r="CS468" i="14" s="1"/>
  <c r="CR155" i="14"/>
  <c r="CS155" i="14" s="1"/>
  <c r="CR156" i="14" s="1"/>
  <c r="CS156" i="14" s="1"/>
  <c r="CH419" i="14"/>
  <c r="CI419" i="14" s="1"/>
  <c r="CJ419" i="14" s="1"/>
  <c r="CM323" i="14"/>
  <c r="CN323" i="14" s="1"/>
  <c r="CM324" i="14" s="1"/>
  <c r="CN324" i="14" s="1"/>
  <c r="CH131" i="14"/>
  <c r="CI131" i="14" s="1"/>
  <c r="CJ131" i="14" s="1"/>
  <c r="CW347" i="14"/>
  <c r="CX347" i="14" s="1"/>
  <c r="CW348" i="14" s="1"/>
  <c r="CX348" i="14" s="1"/>
  <c r="DL659" i="14"/>
  <c r="DM659" i="14" s="1"/>
  <c r="DN659" i="14" s="1"/>
  <c r="DQ143" i="14"/>
  <c r="DR143" i="14" s="1"/>
  <c r="DS143" i="14" s="1"/>
  <c r="CR383" i="14"/>
  <c r="CS383" i="14" s="1"/>
  <c r="CR384" i="14" s="1"/>
  <c r="CS384" i="14" s="1"/>
  <c r="CR503" i="14"/>
  <c r="CS503" i="14" s="1"/>
  <c r="CT503" i="14" s="1"/>
  <c r="CW215" i="14"/>
  <c r="CX215" i="14" s="1"/>
  <c r="CY215" i="14" s="1"/>
  <c r="DL515" i="14"/>
  <c r="DM515" i="14" s="1"/>
  <c r="DN515" i="14" s="1"/>
  <c r="DQ503" i="14"/>
  <c r="DR503" i="14" s="1"/>
  <c r="DQ504" i="14" s="1"/>
  <c r="DR504" i="14" s="1"/>
  <c r="CR395" i="14"/>
  <c r="CS395" i="14" s="1"/>
  <c r="CR396" i="14" s="1"/>
  <c r="CS396" i="14" s="1"/>
  <c r="EF647" i="14"/>
  <c r="EG647" i="14" s="1"/>
  <c r="EH647" i="14" s="1"/>
  <c r="CR167" i="14"/>
  <c r="CS167" i="14" s="1"/>
  <c r="CT167" i="14" s="1"/>
  <c r="DV203" i="14"/>
  <c r="DW203" i="14" s="1"/>
  <c r="DV204" i="14" s="1"/>
  <c r="DW204" i="14" s="1"/>
  <c r="DL371" i="14"/>
  <c r="DM371" i="14" s="1"/>
  <c r="DL372" i="14" s="1"/>
  <c r="DM372" i="14" s="1"/>
  <c r="DL539" i="14"/>
  <c r="DM539" i="14" s="1"/>
  <c r="DL540" i="14" s="1"/>
  <c r="DM540" i="14" s="1"/>
  <c r="DV311" i="14"/>
  <c r="DW311" i="14" s="1"/>
  <c r="DX311" i="14" s="1"/>
  <c r="CH371" i="14"/>
  <c r="CI371" i="14" s="1"/>
  <c r="CJ371" i="14" s="1"/>
  <c r="DL227" i="14"/>
  <c r="DM227" i="14" s="1"/>
  <c r="DL228" i="14" s="1"/>
  <c r="DM228" i="14" s="1"/>
  <c r="CR335" i="14"/>
  <c r="CS335" i="14" s="1"/>
  <c r="CT335" i="14" s="1"/>
  <c r="CH227" i="14"/>
  <c r="CI227" i="14" s="1"/>
  <c r="CH228" i="14" s="1"/>
  <c r="CI228" i="14" s="1"/>
  <c r="DB599" i="14"/>
  <c r="DC599" i="14" s="1"/>
  <c r="DD599" i="14" s="1"/>
  <c r="CM131" i="14"/>
  <c r="CN131" i="14" s="1"/>
  <c r="CM132" i="14" s="1"/>
  <c r="CN132" i="14" s="1"/>
  <c r="CM179" i="14"/>
  <c r="CN179" i="14" s="1"/>
  <c r="CO179" i="14" s="1"/>
  <c r="DV467" i="14"/>
  <c r="DW467" i="14" s="1"/>
  <c r="DV468" i="14" s="1"/>
  <c r="DW468" i="14" s="1"/>
  <c r="EF551" i="14"/>
  <c r="EG551" i="14" s="1"/>
  <c r="EH551" i="14" s="1"/>
  <c r="EF599" i="14"/>
  <c r="EG599" i="14" s="1"/>
  <c r="EH599" i="14" s="1"/>
  <c r="CH551" i="14"/>
  <c r="CI551" i="14" s="1"/>
  <c r="CJ551" i="14" s="1"/>
  <c r="EF119" i="14"/>
  <c r="EG119" i="14" s="1"/>
  <c r="EF120" i="14" s="1"/>
  <c r="EG120" i="14" s="1"/>
  <c r="EA659" i="14"/>
  <c r="EB659" i="14" s="1"/>
  <c r="EC659" i="14" s="1"/>
  <c r="CR371" i="14"/>
  <c r="CS371" i="14" s="1"/>
  <c r="CT371" i="14" s="1"/>
  <c r="DL191" i="14"/>
  <c r="DM191" i="14" s="1"/>
  <c r="DN191" i="14" s="1"/>
  <c r="DV491" i="14"/>
  <c r="DW491" i="14" s="1"/>
  <c r="DV492" i="14" s="1"/>
  <c r="DW492" i="14" s="1"/>
  <c r="DB383" i="14"/>
  <c r="DC383" i="14" s="1"/>
  <c r="DB384" i="14" s="1"/>
  <c r="DC384" i="14" s="1"/>
  <c r="DV623" i="14"/>
  <c r="DW623" i="14" s="1"/>
  <c r="DV624" i="14" s="1"/>
  <c r="DW624" i="14" s="1"/>
  <c r="CM575" i="14"/>
  <c r="CN575" i="14" s="1"/>
  <c r="CM576" i="14" s="1"/>
  <c r="CN576" i="14" s="1"/>
  <c r="CR179" i="14"/>
  <c r="CS179" i="14" s="1"/>
  <c r="CR180" i="14" s="1"/>
  <c r="CS180" i="14" s="1"/>
  <c r="CM467" i="14"/>
  <c r="CN467" i="14" s="1"/>
  <c r="CO467" i="14" s="1"/>
  <c r="CM563" i="14"/>
  <c r="CN563" i="14" s="1"/>
  <c r="CO563" i="14" s="1"/>
  <c r="CW299" i="14"/>
  <c r="CX299" i="14" s="1"/>
  <c r="CW300" i="14" s="1"/>
  <c r="CX300" i="14" s="1"/>
  <c r="CW515" i="14"/>
  <c r="CX515" i="14" s="1"/>
  <c r="CY515" i="14" s="1"/>
  <c r="CR95" i="14"/>
  <c r="CS95" i="14" s="1"/>
  <c r="CT95" i="14" s="1"/>
  <c r="DV659" i="14"/>
  <c r="DW659" i="14" s="1"/>
  <c r="DV660" i="14" s="1"/>
  <c r="DW660" i="14" s="1"/>
  <c r="EA503" i="14"/>
  <c r="EB503" i="14" s="1"/>
  <c r="EA504" i="14" s="1"/>
  <c r="EB504" i="14" s="1"/>
  <c r="DB227" i="14"/>
  <c r="DC227" i="14" s="1"/>
  <c r="DD227" i="14" s="1"/>
  <c r="DL215" i="14"/>
  <c r="DM215" i="14" s="1"/>
  <c r="DL216" i="14" s="1"/>
  <c r="DM216" i="14" s="1"/>
  <c r="DV167" i="14"/>
  <c r="DW167" i="14" s="1"/>
  <c r="DV168" i="14" s="1"/>
  <c r="DW168" i="14" s="1"/>
  <c r="CR83" i="14"/>
  <c r="CS83" i="14" s="1"/>
  <c r="CR84" i="14" s="1"/>
  <c r="CS84" i="14" s="1"/>
  <c r="DV671" i="14"/>
  <c r="DW671" i="14" s="1"/>
  <c r="DX671" i="14" s="1"/>
  <c r="DV395" i="14"/>
  <c r="DW395" i="14" s="1"/>
  <c r="DV396" i="14" s="1"/>
  <c r="DW396" i="14" s="1"/>
  <c r="CM95" i="14"/>
  <c r="CN95" i="14" s="1"/>
  <c r="CM96" i="14" s="1"/>
  <c r="CN96" i="14" s="1"/>
  <c r="DV359" i="14"/>
  <c r="DW359" i="14" s="1"/>
  <c r="DV360" i="14" s="1"/>
  <c r="DW360" i="14" s="1"/>
  <c r="EF527" i="14"/>
  <c r="EG527" i="14" s="1"/>
  <c r="EF528" i="14" s="1"/>
  <c r="EG528" i="14" s="1"/>
  <c r="DL263" i="14"/>
  <c r="DM263" i="14" s="1"/>
  <c r="DN263" i="14" s="1"/>
  <c r="DL383" i="14"/>
  <c r="DM383" i="14" s="1"/>
  <c r="DL384" i="14" s="1"/>
  <c r="DM384" i="14" s="1"/>
  <c r="DB215" i="14"/>
  <c r="DC215" i="14" s="1"/>
  <c r="DB216" i="14" s="1"/>
  <c r="DC216" i="14" s="1"/>
  <c r="DQ299" i="14"/>
  <c r="DR299" i="14" s="1"/>
  <c r="DQ300" i="14" s="1"/>
  <c r="DR300" i="14" s="1"/>
  <c r="EF203" i="14"/>
  <c r="EG203" i="14" s="1"/>
  <c r="EH203" i="14" s="1"/>
  <c r="CW443" i="14"/>
  <c r="CX443" i="14" s="1"/>
  <c r="CY443" i="14" s="1"/>
  <c r="EA611" i="14"/>
  <c r="EB611" i="14" s="1"/>
  <c r="EC611" i="14" s="1"/>
  <c r="DB275" i="14"/>
  <c r="DC275" i="14" s="1"/>
  <c r="DB276" i="14" s="1"/>
  <c r="DC276" i="14" s="1"/>
  <c r="DQ443" i="14"/>
  <c r="DR443" i="14" s="1"/>
  <c r="DS443" i="14" s="1"/>
  <c r="EA467" i="14"/>
  <c r="EB467" i="14" s="1"/>
  <c r="EA468" i="14" s="1"/>
  <c r="EB468" i="14" s="1"/>
  <c r="CH155" i="14"/>
  <c r="CI155" i="14" s="1"/>
  <c r="CH156" i="14" s="1"/>
  <c r="CI156" i="14" s="1"/>
  <c r="EF167" i="14"/>
  <c r="EG167" i="14" s="1"/>
  <c r="EF168" i="14" s="1"/>
  <c r="EG168" i="14" s="1"/>
  <c r="DV479" i="14"/>
  <c r="DW479" i="14" s="1"/>
  <c r="DX479" i="14" s="1"/>
  <c r="DB59" i="14"/>
  <c r="DC59" i="14" s="1"/>
  <c r="DB60" i="14" s="1"/>
  <c r="DC60" i="14" s="1"/>
  <c r="DL479" i="14"/>
  <c r="DM479" i="14" s="1"/>
  <c r="DL480" i="14" s="1"/>
  <c r="DM480" i="14" s="1"/>
  <c r="CW95" i="14"/>
  <c r="CX95" i="14" s="1"/>
  <c r="CW96" i="14" s="1"/>
  <c r="CX96" i="14" s="1"/>
  <c r="EA563" i="14"/>
  <c r="EB563" i="14" s="1"/>
  <c r="EA564" i="14" s="1"/>
  <c r="EB564" i="14" s="1"/>
  <c r="DV335" i="14"/>
  <c r="DW335" i="14" s="1"/>
  <c r="DX335" i="14" s="1"/>
  <c r="DV287" i="14"/>
  <c r="DW287" i="14" s="1"/>
  <c r="DV288" i="14" s="1"/>
  <c r="DW288" i="14" s="1"/>
  <c r="DV347" i="14"/>
  <c r="DW347" i="14" s="1"/>
  <c r="DV348" i="14" s="1"/>
  <c r="DW348" i="14" s="1"/>
  <c r="CH659" i="14"/>
  <c r="CI659" i="14" s="1"/>
  <c r="CH660" i="14" s="1"/>
  <c r="CI660" i="14" s="1"/>
  <c r="EA407" i="14"/>
  <c r="EB407" i="14" s="1"/>
  <c r="EC407" i="14" s="1"/>
  <c r="EF323" i="14"/>
  <c r="EG323" i="14" s="1"/>
  <c r="EF324" i="14" s="1"/>
  <c r="EG324" i="14" s="1"/>
  <c r="DV503" i="14"/>
  <c r="DW503" i="14" s="1"/>
  <c r="DX503" i="14" s="1"/>
  <c r="CR455" i="14"/>
  <c r="CS455" i="14" s="1"/>
  <c r="CR456" i="14" s="1"/>
  <c r="CS456" i="14" s="1"/>
  <c r="CM671" i="14"/>
  <c r="CN671" i="14" s="1"/>
  <c r="CO671" i="14" s="1"/>
  <c r="DL431" i="14"/>
  <c r="DM431" i="14" s="1"/>
  <c r="DL432" i="14" s="1"/>
  <c r="DM432" i="14" s="1"/>
  <c r="CM263" i="14"/>
  <c r="CN263" i="14" s="1"/>
  <c r="CO263" i="14" s="1"/>
  <c r="DL491" i="14"/>
  <c r="DM491" i="14" s="1"/>
  <c r="DL492" i="14" s="1"/>
  <c r="DM492" i="14" s="1"/>
  <c r="DL575" i="14"/>
  <c r="DM575" i="14" s="1"/>
  <c r="DL576" i="14" s="1"/>
  <c r="DM576" i="14" s="1"/>
  <c r="EA539" i="14"/>
  <c r="EB539" i="14" s="1"/>
  <c r="EC539" i="14" s="1"/>
  <c r="CR191" i="14"/>
  <c r="CS191" i="14" s="1"/>
  <c r="CT191" i="14" s="1"/>
  <c r="DV539" i="14"/>
  <c r="DW539" i="14" s="1"/>
  <c r="DX539" i="14" s="1"/>
  <c r="CW275" i="14"/>
  <c r="CX275" i="14" s="1"/>
  <c r="CY275" i="14" s="1"/>
  <c r="EA431" i="14"/>
  <c r="EB431" i="14" s="1"/>
  <c r="EA432" i="14" s="1"/>
  <c r="EB432" i="14" s="1"/>
  <c r="CW407" i="14"/>
  <c r="CX407" i="14" s="1"/>
  <c r="CY407" i="14" s="1"/>
  <c r="CR431" i="14"/>
  <c r="CS431" i="14" s="1"/>
  <c r="CT431" i="14" s="1"/>
  <c r="CR239" i="14"/>
  <c r="CS239" i="14" s="1"/>
  <c r="CR240" i="14" s="1"/>
  <c r="CS240" i="14" s="1"/>
  <c r="CW419" i="14"/>
  <c r="CX419" i="14" s="1"/>
  <c r="CW420" i="14" s="1"/>
  <c r="CX420" i="14" s="1"/>
  <c r="DL251" i="14"/>
  <c r="DM251" i="14" s="1"/>
  <c r="DN251" i="14" s="1"/>
  <c r="EF131" i="14"/>
  <c r="EG131" i="14" s="1"/>
  <c r="EF132" i="14" s="1"/>
  <c r="EG132" i="14" s="1"/>
  <c r="CM59" i="14"/>
  <c r="CN59" i="14" s="1"/>
  <c r="CO59" i="14" s="1"/>
  <c r="CM143" i="14"/>
  <c r="CN143" i="14" s="1"/>
  <c r="CM144" i="14" s="1"/>
  <c r="CN144" i="14" s="1"/>
  <c r="EA455" i="14"/>
  <c r="EB455" i="14" s="1"/>
  <c r="EA456" i="14" s="1"/>
  <c r="EB456" i="14" s="1"/>
  <c r="EF227" i="14"/>
  <c r="EG227" i="14" s="1"/>
  <c r="EH227" i="14" s="1"/>
  <c r="CM611" i="14"/>
  <c r="CN611" i="14" s="1"/>
  <c r="CM612" i="14" s="1"/>
  <c r="CN612" i="14" s="1"/>
  <c r="CR227" i="14"/>
  <c r="CS227" i="14" s="1"/>
  <c r="CT227" i="14" s="1"/>
  <c r="DB635" i="14"/>
  <c r="DC635" i="14" s="1"/>
  <c r="DB636" i="14" s="1"/>
  <c r="DC636" i="14" s="1"/>
  <c r="DB239" i="14"/>
  <c r="DC239" i="14" s="1"/>
  <c r="DD239" i="14" s="1"/>
  <c r="DV59" i="14"/>
  <c r="DW59" i="14" s="1"/>
  <c r="DX59" i="14" s="1"/>
  <c r="CM47" i="14"/>
  <c r="CN47" i="14" s="1"/>
  <c r="CO47" i="14" s="1"/>
  <c r="CM623" i="14"/>
  <c r="CN623" i="14" s="1"/>
  <c r="CM624" i="14" s="1"/>
  <c r="CN624" i="14" s="1"/>
  <c r="DQ419" i="14"/>
  <c r="DR419" i="14" s="1"/>
  <c r="DS419" i="14" s="1"/>
  <c r="EF407" i="14"/>
  <c r="EG407" i="14" s="1"/>
  <c r="EF408" i="14" s="1"/>
  <c r="EG408" i="14" s="1"/>
  <c r="EF287" i="14"/>
  <c r="EG287" i="14" s="1"/>
  <c r="EH287" i="14" s="1"/>
  <c r="DV215" i="14"/>
  <c r="DW215" i="14" s="1"/>
  <c r="DX215" i="14" s="1"/>
  <c r="DV47" i="14"/>
  <c r="DW47" i="14" s="1"/>
  <c r="DV48" i="14" s="1"/>
  <c r="DW48" i="14" s="1"/>
  <c r="CW647" i="14"/>
  <c r="CX647" i="14" s="1"/>
  <c r="CW648" i="14" s="1"/>
  <c r="CX648" i="14" s="1"/>
  <c r="CM299" i="14"/>
  <c r="CN299" i="14" s="1"/>
  <c r="CO299" i="14" s="1"/>
  <c r="EA527" i="14"/>
  <c r="EB527" i="14" s="1"/>
  <c r="EA528" i="14" s="1"/>
  <c r="EB528" i="14" s="1"/>
  <c r="DL587" i="14"/>
  <c r="DM587" i="14" s="1"/>
  <c r="DL588" i="14" s="1"/>
  <c r="DM588" i="14" s="1"/>
  <c r="DB611" i="14"/>
  <c r="DC611" i="14" s="1"/>
  <c r="DD611" i="14" s="1"/>
  <c r="CW263" i="14"/>
  <c r="CX263" i="14" s="1"/>
  <c r="CY263" i="14" s="1"/>
  <c r="CR299" i="14"/>
  <c r="CS299" i="14" s="1"/>
  <c r="CT299" i="14" s="1"/>
  <c r="CR143" i="14"/>
  <c r="CS143" i="14" s="1"/>
  <c r="CT143" i="14" s="1"/>
  <c r="EF611" i="14"/>
  <c r="EG611" i="14" s="1"/>
  <c r="EH611" i="14" s="1"/>
  <c r="CW203" i="14"/>
  <c r="CX203" i="14" s="1"/>
  <c r="CW204" i="14" s="1"/>
  <c r="CX204" i="14" s="1"/>
  <c r="DB299" i="14"/>
  <c r="DC299" i="14" s="1"/>
  <c r="DB300" i="14" s="1"/>
  <c r="DC300" i="14" s="1"/>
  <c r="CM227" i="14"/>
  <c r="CN227" i="14" s="1"/>
  <c r="CM228" i="14" s="1"/>
  <c r="CN228" i="14" s="1"/>
  <c r="DV443" i="14"/>
  <c r="DW443" i="14" s="1"/>
  <c r="DX443" i="14" s="1"/>
  <c r="DQ491" i="14"/>
  <c r="DR491" i="14" s="1"/>
  <c r="DQ492" i="14" s="1"/>
  <c r="DR492" i="14" s="1"/>
  <c r="EF635" i="14"/>
  <c r="EG635" i="14" s="1"/>
  <c r="EF636" i="14" s="1"/>
  <c r="EG636" i="14" s="1"/>
  <c r="DB323" i="14"/>
  <c r="DC323" i="14" s="1"/>
  <c r="DB324" i="14" s="1"/>
  <c r="DC324" i="14" s="1"/>
  <c r="DB251" i="14"/>
  <c r="DC251" i="14" s="1"/>
  <c r="DB252" i="14" s="1"/>
  <c r="DC252" i="14" s="1"/>
  <c r="CH647" i="14"/>
  <c r="CI647" i="14" s="1"/>
  <c r="CH648" i="14" s="1"/>
  <c r="CI648" i="14" s="1"/>
  <c r="CR407" i="14"/>
  <c r="CS407" i="14" s="1"/>
  <c r="CR408" i="14" s="1"/>
  <c r="CS408" i="14" s="1"/>
  <c r="DQ539" i="14"/>
  <c r="DR539" i="14" s="1"/>
  <c r="DQ540" i="14" s="1"/>
  <c r="DR540" i="14" s="1"/>
  <c r="CH47" i="14"/>
  <c r="CI47" i="14" s="1"/>
  <c r="CH48" i="14" s="1"/>
  <c r="CI48" i="14" s="1"/>
  <c r="EA131" i="14"/>
  <c r="EB131" i="14" s="1"/>
  <c r="EA132" i="14" s="1"/>
  <c r="EB132" i="14" s="1"/>
  <c r="CW179" i="14"/>
  <c r="CX179" i="14" s="1"/>
  <c r="CW180" i="14" s="1"/>
  <c r="CX180" i="14" s="1"/>
  <c r="EA311" i="14"/>
  <c r="EB311" i="14" s="1"/>
  <c r="EA312" i="14" s="1"/>
  <c r="EB312" i="14" s="1"/>
  <c r="CW107" i="14"/>
  <c r="CX107" i="14" s="1"/>
  <c r="CY107" i="14" s="1"/>
  <c r="DB659" i="14"/>
  <c r="DC659" i="14" s="1"/>
  <c r="DB660" i="14" s="1"/>
  <c r="DC660" i="14" s="1"/>
  <c r="CM347" i="14"/>
  <c r="CN347" i="14" s="1"/>
  <c r="CM348" i="14" s="1"/>
  <c r="CN348" i="14" s="1"/>
  <c r="CM203" i="14"/>
  <c r="CN203" i="14" s="1"/>
  <c r="CM204" i="14" s="1"/>
  <c r="CN204" i="14" s="1"/>
  <c r="DV95" i="14"/>
  <c r="DW95" i="14" s="1"/>
  <c r="DX95" i="14" s="1"/>
  <c r="CR515" i="14"/>
  <c r="CS515" i="14" s="1"/>
  <c r="CT515" i="14" s="1"/>
  <c r="EA59" i="14"/>
  <c r="EB59" i="14" s="1"/>
  <c r="EC59" i="14" s="1"/>
  <c r="DB479" i="14"/>
  <c r="DC479" i="14" s="1"/>
  <c r="DB480" i="14" s="1"/>
  <c r="DC480" i="14" s="1"/>
  <c r="EF563" i="14"/>
  <c r="EG563" i="14" s="1"/>
  <c r="EH563" i="14" s="1"/>
  <c r="DB551" i="14"/>
  <c r="DC551" i="14" s="1"/>
  <c r="DB552" i="14" s="1"/>
  <c r="DC552" i="14" s="1"/>
  <c r="CH359" i="14"/>
  <c r="CI359" i="14" s="1"/>
  <c r="CJ359" i="14" s="1"/>
  <c r="DQ191" i="14"/>
  <c r="DR191" i="14" s="1"/>
  <c r="DQ192" i="14" s="1"/>
  <c r="DR192" i="14" s="1"/>
  <c r="DQ407" i="14"/>
  <c r="DR407" i="14" s="1"/>
  <c r="DQ408" i="14" s="1"/>
  <c r="DR408" i="14" s="1"/>
  <c r="CW239" i="14"/>
  <c r="CX239" i="14" s="1"/>
  <c r="CW240" i="14" s="1"/>
  <c r="CX240" i="14" s="1"/>
  <c r="EA551" i="14"/>
  <c r="EB551" i="14" s="1"/>
  <c r="EA552" i="14" s="1"/>
  <c r="EB552" i="14" s="1"/>
  <c r="CH527" i="14"/>
  <c r="CI527" i="14" s="1"/>
  <c r="CJ527" i="14" s="1"/>
  <c r="CW599" i="14"/>
  <c r="CX599" i="14" s="1"/>
  <c r="CW600" i="14" s="1"/>
  <c r="CX600" i="14" s="1"/>
  <c r="EA47" i="14"/>
  <c r="EB47" i="14" s="1"/>
  <c r="EA48" i="14" s="1"/>
  <c r="EB48" i="14" s="1"/>
  <c r="EA83" i="14"/>
  <c r="EB83" i="14" s="1"/>
  <c r="EA84" i="14" s="1"/>
  <c r="EB84" i="14" s="1"/>
  <c r="EA287" i="14"/>
  <c r="EB287" i="14" s="1"/>
  <c r="EA288" i="14" s="1"/>
  <c r="EB288" i="14" s="1"/>
  <c r="CR443" i="14"/>
  <c r="CS443" i="14" s="1"/>
  <c r="CT443" i="14" s="1"/>
  <c r="EA479" i="14"/>
  <c r="EB479" i="14" s="1"/>
  <c r="EC479" i="14" s="1"/>
  <c r="CR587" i="14"/>
  <c r="CS587" i="14" s="1"/>
  <c r="CT587" i="14" s="1"/>
  <c r="CR491" i="14"/>
  <c r="CS491" i="14" s="1"/>
  <c r="CT491" i="14" s="1"/>
  <c r="CW335" i="14"/>
  <c r="CX335" i="14" s="1"/>
  <c r="CY335" i="14" s="1"/>
  <c r="CR323" i="14"/>
  <c r="CS323" i="14" s="1"/>
  <c r="CR324" i="14" s="1"/>
  <c r="CS324" i="14" s="1"/>
  <c r="CM503" i="14"/>
  <c r="CN503" i="14" s="1"/>
  <c r="CM504" i="14" s="1"/>
  <c r="CN504" i="14" s="1"/>
  <c r="CW551" i="14"/>
  <c r="CX551" i="14" s="1"/>
  <c r="CY551" i="14" s="1"/>
  <c r="DQ587" i="14"/>
  <c r="DR587" i="14" s="1"/>
  <c r="DQ588" i="14" s="1"/>
  <c r="DR588" i="14" s="1"/>
  <c r="DL311" i="14"/>
  <c r="DM311" i="14" s="1"/>
  <c r="DL312" i="14" s="1"/>
  <c r="DM312" i="14" s="1"/>
  <c r="DL671" i="14"/>
  <c r="DM671" i="14" s="1"/>
  <c r="DL672" i="14" s="1"/>
  <c r="DM672" i="14" s="1"/>
  <c r="EA167" i="14"/>
  <c r="EB167" i="14" s="1"/>
  <c r="EC167" i="14" s="1"/>
  <c r="CM443" i="14"/>
  <c r="CN443" i="14" s="1"/>
  <c r="CM444" i="14" s="1"/>
  <c r="CN444" i="14" s="1"/>
  <c r="CW395" i="14"/>
  <c r="CX395" i="14" s="1"/>
  <c r="CW396" i="14" s="1"/>
  <c r="CX396" i="14" s="1"/>
  <c r="EF431" i="14"/>
  <c r="EG431" i="14" s="1"/>
  <c r="EF432" i="14" s="1"/>
  <c r="EG432" i="14" s="1"/>
  <c r="CR359" i="14"/>
  <c r="CS359" i="14" s="1"/>
  <c r="CT359" i="14" s="1"/>
  <c r="CH503" i="14"/>
  <c r="CI503" i="14" s="1"/>
  <c r="CH504" i="14" s="1"/>
  <c r="CI504" i="14" s="1"/>
  <c r="DQ155" i="14"/>
  <c r="DR155" i="14" s="1"/>
  <c r="DS155" i="14" s="1"/>
  <c r="DL287" i="14"/>
  <c r="DM287" i="14" s="1"/>
  <c r="DL288" i="14" s="1"/>
  <c r="DM288" i="14" s="1"/>
  <c r="DL395" i="14"/>
  <c r="DM395" i="14" s="1"/>
  <c r="DL396" i="14" s="1"/>
  <c r="DM396" i="14" s="1"/>
  <c r="CH623" i="14"/>
  <c r="CI623" i="14" s="1"/>
  <c r="CH624" i="14" s="1"/>
  <c r="CI624" i="14" s="1"/>
  <c r="DQ527" i="14"/>
  <c r="DR527" i="14" s="1"/>
  <c r="DS527" i="14" s="1"/>
  <c r="DQ203" i="14"/>
  <c r="DR203" i="14" s="1"/>
  <c r="DS203" i="14" s="1"/>
  <c r="CR263" i="14"/>
  <c r="CS263" i="14" s="1"/>
  <c r="CT263" i="14" s="1"/>
  <c r="CH323" i="14"/>
  <c r="CI323" i="14" s="1"/>
  <c r="CJ323" i="14" s="1"/>
  <c r="DB131" i="14"/>
  <c r="DC131" i="14" s="1"/>
  <c r="DB132" i="14" s="1"/>
  <c r="DC132" i="14" s="1"/>
  <c r="DQ455" i="14"/>
  <c r="DR455" i="14" s="1"/>
  <c r="DQ456" i="14" s="1"/>
  <c r="DR456" i="14" s="1"/>
  <c r="CR107" i="14"/>
  <c r="CS107" i="14" s="1"/>
  <c r="CR108" i="14" s="1"/>
  <c r="CS108" i="14" s="1"/>
  <c r="CM239" i="14"/>
  <c r="CN239" i="14" s="1"/>
  <c r="CO239" i="14" s="1"/>
  <c r="CH575" i="14"/>
  <c r="CI575" i="14" s="1"/>
  <c r="CH576" i="14" s="1"/>
  <c r="CI576" i="14" s="1"/>
  <c r="EF311" i="14"/>
  <c r="EG311" i="14" s="1"/>
  <c r="EF312" i="14" s="1"/>
  <c r="EG312" i="14" s="1"/>
  <c r="DV143" i="14"/>
  <c r="DW143" i="14" s="1"/>
  <c r="DV144" i="14" s="1"/>
  <c r="DW144" i="14" s="1"/>
  <c r="CB130" i="14"/>
  <c r="CC119" i="14" s="1"/>
  <c r="CD119" i="14" s="1"/>
  <c r="CB514" i="14"/>
  <c r="CC503" i="14" s="1"/>
  <c r="CD503" i="14" s="1"/>
  <c r="DF274" i="14"/>
  <c r="DG263" i="14" s="1"/>
  <c r="DH263" i="14" s="1"/>
  <c r="DF334" i="14"/>
  <c r="DG323" i="14" s="1"/>
  <c r="DH323" i="14" s="1"/>
  <c r="CB154" i="14"/>
  <c r="CC143" i="14" s="1"/>
  <c r="CD143" i="14" s="1"/>
  <c r="CB562" i="14"/>
  <c r="CC551" i="14" s="1"/>
  <c r="CD551" i="14" s="1"/>
  <c r="CB226" i="14"/>
  <c r="CC215" i="14" s="1"/>
  <c r="CD215" i="14" s="1"/>
  <c r="CB298" i="14"/>
  <c r="CC287" i="14" s="1"/>
  <c r="CD287" i="14" s="1"/>
  <c r="CB322" i="14"/>
  <c r="CC311" i="14" s="1"/>
  <c r="CD311" i="14" s="1"/>
  <c r="CB466" i="14"/>
  <c r="CC455" i="14" s="1"/>
  <c r="CD455" i="14" s="1"/>
  <c r="CB106" i="14"/>
  <c r="CC95" i="14" s="1"/>
  <c r="CD95" i="14" s="1"/>
  <c r="DF418" i="14"/>
  <c r="DG407" i="14" s="1"/>
  <c r="DH407" i="14" s="1"/>
  <c r="DF634" i="14"/>
  <c r="DG623" i="14" s="1"/>
  <c r="DH623" i="14" s="1"/>
  <c r="DF106" i="14"/>
  <c r="DG95" i="14" s="1"/>
  <c r="DH95" i="14" s="1"/>
  <c r="DF58" i="14"/>
  <c r="DG47" i="14" s="1"/>
  <c r="DH47" i="14" s="1"/>
  <c r="DF370" i="14"/>
  <c r="DG359" i="14" s="1"/>
  <c r="DH359" i="14" s="1"/>
  <c r="CB262" i="14"/>
  <c r="CC251" i="14" s="1"/>
  <c r="CD251" i="14" s="1"/>
  <c r="DF166" i="14"/>
  <c r="DG155" i="14" s="1"/>
  <c r="DH155" i="14" s="1"/>
  <c r="DF670" i="14"/>
  <c r="DG659" i="14" s="1"/>
  <c r="DH659" i="14" s="1"/>
  <c r="DF190" i="14"/>
  <c r="DG179" i="14" s="1"/>
  <c r="DH179" i="14" s="1"/>
  <c r="DF514" i="14"/>
  <c r="DG503" i="14" s="1"/>
  <c r="DH503" i="14" s="1"/>
  <c r="CB658" i="14"/>
  <c r="CC647" i="14" s="1"/>
  <c r="CD647" i="14" s="1"/>
  <c r="DF406" i="14"/>
  <c r="DG395" i="14" s="1"/>
  <c r="DH395" i="14" s="1"/>
  <c r="DF574" i="14"/>
  <c r="DG563" i="14" s="1"/>
  <c r="DH563" i="14" s="1"/>
  <c r="DF454" i="14"/>
  <c r="DG443" i="14" s="1"/>
  <c r="DH443" i="14" s="1"/>
  <c r="CB178" i="14"/>
  <c r="CC167" i="14" s="1"/>
  <c r="CD167" i="14" s="1"/>
  <c r="CB490" i="14"/>
  <c r="CC479" i="14" s="1"/>
  <c r="CD479" i="14" s="1"/>
  <c r="CB586" i="14"/>
  <c r="CC575" i="14" s="1"/>
  <c r="CD575" i="14" s="1"/>
  <c r="CB478" i="14"/>
  <c r="CC467" i="14" s="1"/>
  <c r="CD467" i="14" s="1"/>
  <c r="DF586" i="14"/>
  <c r="DG575" i="14" s="1"/>
  <c r="DH575" i="14" s="1"/>
  <c r="DF214" i="14"/>
  <c r="DG203" i="14" s="1"/>
  <c r="DH203" i="14" s="1"/>
  <c r="CB286" i="14"/>
  <c r="CC275" i="14" s="1"/>
  <c r="CD275" i="14" s="1"/>
  <c r="DF286" i="14"/>
  <c r="DG275" i="14" s="1"/>
  <c r="DH275" i="14" s="1"/>
  <c r="CB214" i="14"/>
  <c r="CC203" i="14" s="1"/>
  <c r="CD203" i="14" s="1"/>
  <c r="DF250" i="14"/>
  <c r="DG239" i="14" s="1"/>
  <c r="DH239" i="14" s="1"/>
  <c r="DF358" i="14"/>
  <c r="DG347" i="14" s="1"/>
  <c r="DH347" i="14" s="1"/>
  <c r="DF322" i="14"/>
  <c r="DG311" i="14" s="1"/>
  <c r="DH311" i="14" s="1"/>
  <c r="DF142" i="14"/>
  <c r="DG131" i="14" s="1"/>
  <c r="DH131" i="14" s="1"/>
  <c r="CB202" i="14"/>
  <c r="CC191" i="14" s="1"/>
  <c r="CD191" i="14" s="1"/>
  <c r="CB118" i="14"/>
  <c r="CC107" i="14" s="1"/>
  <c r="CD107" i="14" s="1"/>
  <c r="CB142" i="14"/>
  <c r="CC131" i="14" s="1"/>
  <c r="CD131" i="14" s="1"/>
  <c r="DF562" i="14"/>
  <c r="DG551" i="14" s="1"/>
  <c r="DH551" i="14" s="1"/>
  <c r="CB622" i="14"/>
  <c r="CC611" i="14" s="1"/>
  <c r="CD611" i="14" s="1"/>
  <c r="CB382" i="14"/>
  <c r="CC371" i="14" s="1"/>
  <c r="CD371" i="14" s="1"/>
  <c r="CB394" i="14"/>
  <c r="CC383" i="14" s="1"/>
  <c r="CD383" i="14" s="1"/>
  <c r="CB358" i="14"/>
  <c r="CC347" i="14" s="1"/>
  <c r="CD347" i="14" s="1"/>
  <c r="CB250" i="14"/>
  <c r="CC239" i="14" s="1"/>
  <c r="CD239" i="14" s="1"/>
  <c r="DF118" i="14"/>
  <c r="DG107" i="14" s="1"/>
  <c r="DH107" i="14" s="1"/>
  <c r="CB598" i="14"/>
  <c r="CC587" i="14" s="1"/>
  <c r="CD587" i="14" s="1"/>
  <c r="DF478" i="14"/>
  <c r="DG467" i="14" s="1"/>
  <c r="DH467" i="14" s="1"/>
  <c r="DF130" i="14"/>
  <c r="DG119" i="14" s="1"/>
  <c r="DH119" i="14" s="1"/>
  <c r="CB634" i="14"/>
  <c r="CC623" i="14" s="1"/>
  <c r="CD623" i="14" s="1"/>
  <c r="DF382" i="14"/>
  <c r="DG371" i="14" s="1"/>
  <c r="DH371" i="14" s="1"/>
  <c r="CB670" i="14"/>
  <c r="CC659" i="14" s="1"/>
  <c r="CD659" i="14" s="1"/>
  <c r="CB430" i="14"/>
  <c r="CC419" i="14" s="1"/>
  <c r="CD419" i="14" s="1"/>
  <c r="DF178" i="14"/>
  <c r="DG167" i="14" s="1"/>
  <c r="DH167" i="14" s="1"/>
  <c r="DF310" i="14"/>
  <c r="DG299" i="14" s="1"/>
  <c r="DH299" i="14" s="1"/>
  <c r="CB538" i="14"/>
  <c r="CC527" i="14" s="1"/>
  <c r="CD527" i="14" s="1"/>
  <c r="CB238" i="14"/>
  <c r="CC227" i="14" s="1"/>
  <c r="CD227" i="14" s="1"/>
  <c r="CB442" i="14"/>
  <c r="CC431" i="14" s="1"/>
  <c r="CD431" i="14" s="1"/>
  <c r="CB646" i="14"/>
  <c r="CC635" i="14" s="1"/>
  <c r="CD635" i="14" s="1"/>
  <c r="DF466" i="14"/>
  <c r="DG455" i="14" s="1"/>
  <c r="DH455" i="14" s="1"/>
  <c r="DF622" i="14"/>
  <c r="DG611" i="14" s="1"/>
  <c r="DH611" i="14" s="1"/>
  <c r="DF94" i="14"/>
  <c r="DG83" i="14" s="1"/>
  <c r="DH83" i="14" s="1"/>
  <c r="DF346" i="14"/>
  <c r="DG335" i="14" s="1"/>
  <c r="DH335" i="14" s="1"/>
  <c r="CB94" i="14"/>
  <c r="CC83" i="14" s="1"/>
  <c r="CD83" i="14" s="1"/>
  <c r="DF394" i="14"/>
  <c r="DG383" i="14" s="1"/>
  <c r="DH383" i="14" s="1"/>
  <c r="CB310" i="14"/>
  <c r="CC299" i="14" s="1"/>
  <c r="CD299" i="14" s="1"/>
  <c r="CB418" i="14"/>
  <c r="CC407" i="14" s="1"/>
  <c r="CD407" i="14" s="1"/>
  <c r="CB682" i="14"/>
  <c r="CC671" i="14" s="1"/>
  <c r="CD671" i="14" s="1"/>
  <c r="DF550" i="14"/>
  <c r="DG539" i="14" s="1"/>
  <c r="DH539" i="14" s="1"/>
  <c r="DF442" i="14"/>
  <c r="DG431" i="14" s="1"/>
  <c r="DH431" i="14" s="1"/>
  <c r="CB502" i="14"/>
  <c r="CC491" i="14" s="1"/>
  <c r="CD491" i="14" s="1"/>
  <c r="CB370" i="14"/>
  <c r="CC359" i="14" s="1"/>
  <c r="CD359" i="14" s="1"/>
  <c r="CB574" i="14"/>
  <c r="CC563" i="14" s="1"/>
  <c r="CD563" i="14" s="1"/>
  <c r="CB346" i="14"/>
  <c r="CC335" i="14" s="1"/>
  <c r="CD335" i="14" s="1"/>
  <c r="CB526" i="14"/>
  <c r="CC515" i="14" s="1"/>
  <c r="CD515" i="14" s="1"/>
  <c r="CB610" i="14"/>
  <c r="CC599" i="14" s="1"/>
  <c r="CD599" i="14" s="1"/>
  <c r="CB334" i="14"/>
  <c r="CC323" i="14" s="1"/>
  <c r="CD323" i="14" s="1"/>
  <c r="DF490" i="14"/>
  <c r="DG479" i="14" s="1"/>
  <c r="DH479" i="14" s="1"/>
  <c r="DF238" i="14"/>
  <c r="DG227" i="14" s="1"/>
  <c r="DH227" i="14" s="1"/>
  <c r="DF658" i="14"/>
  <c r="DG647" i="14" s="1"/>
  <c r="DH647" i="14" s="1"/>
  <c r="CB166" i="14"/>
  <c r="CC155" i="14" s="1"/>
  <c r="CD155" i="14" s="1"/>
  <c r="DF526" i="14"/>
  <c r="DG515" i="14" s="1"/>
  <c r="DH515" i="14" s="1"/>
  <c r="CB406" i="14"/>
  <c r="CC395" i="14" s="1"/>
  <c r="CD395" i="14" s="1"/>
  <c r="DF430" i="14"/>
  <c r="DG419" i="14" s="1"/>
  <c r="DH419" i="14" s="1"/>
  <c r="DF202" i="14"/>
  <c r="DG191" i="14" s="1"/>
  <c r="DH191" i="14" s="1"/>
  <c r="DF154" i="14"/>
  <c r="DG143" i="14" s="1"/>
  <c r="DH143" i="14" s="1"/>
  <c r="DF70" i="14"/>
  <c r="DG59" i="14" s="1"/>
  <c r="DH59" i="14" s="1"/>
  <c r="DF502" i="14"/>
  <c r="DG491" i="14" s="1"/>
  <c r="DH491" i="14" s="1"/>
  <c r="CB70" i="14"/>
  <c r="CC59" i="14" s="1"/>
  <c r="CD59" i="14" s="1"/>
  <c r="DF538" i="14"/>
  <c r="DG527" i="14" s="1"/>
  <c r="DH527" i="14" s="1"/>
  <c r="CB190" i="14"/>
  <c r="CC179" i="14" s="1"/>
  <c r="CD179" i="14" s="1"/>
  <c r="DF226" i="14"/>
  <c r="DG215" i="14" s="1"/>
  <c r="DH215" i="14" s="1"/>
  <c r="CB58" i="14"/>
  <c r="CC47" i="14" s="1"/>
  <c r="CD47" i="14" s="1"/>
  <c r="DF610" i="14"/>
  <c r="DG599" i="14" s="1"/>
  <c r="DH599" i="14" s="1"/>
  <c r="DF262" i="14"/>
  <c r="DG251" i="14" s="1"/>
  <c r="DH251" i="14" s="1"/>
  <c r="CB454" i="14"/>
  <c r="CC443" i="14" s="1"/>
  <c r="CD443" i="14" s="1"/>
  <c r="CB550" i="14"/>
  <c r="CC539" i="14" s="1"/>
  <c r="CD539" i="14" s="1"/>
  <c r="DF682" i="14"/>
  <c r="DG671" i="14" s="1"/>
  <c r="DH671" i="14" s="1"/>
  <c r="CB274" i="14"/>
  <c r="CC263" i="14" s="1"/>
  <c r="CD263" i="14" s="1"/>
  <c r="DF598" i="14"/>
  <c r="DG587" i="14" s="1"/>
  <c r="DH587" i="14" s="1"/>
  <c r="DF646" i="14"/>
  <c r="DG635" i="14" s="1"/>
  <c r="DH635" i="14" s="1"/>
  <c r="DF298" i="14"/>
  <c r="DG287" i="14" s="1"/>
  <c r="DH287" i="14" s="1"/>
  <c r="DL119" i="14"/>
  <c r="DM119" i="14" s="1"/>
  <c r="CM107" i="14"/>
  <c r="CN107" i="14" s="1"/>
  <c r="CM455" i="14"/>
  <c r="CN455" i="14" s="1"/>
  <c r="CW59" i="14"/>
  <c r="CX59" i="14" s="1"/>
  <c r="DL275" i="14"/>
  <c r="DM275" i="14" s="1"/>
  <c r="CM515" i="14"/>
  <c r="CN515" i="14" s="1"/>
  <c r="CR575" i="14"/>
  <c r="CS575" i="14" s="1"/>
  <c r="DL467" i="14"/>
  <c r="DM467" i="14" s="1"/>
  <c r="EF479" i="14"/>
  <c r="EG479" i="14" s="1"/>
  <c r="CH467" i="14"/>
  <c r="CI467" i="14" s="1"/>
  <c r="DQ479" i="14"/>
  <c r="DR479" i="14" s="1"/>
  <c r="DQ395" i="14"/>
  <c r="DR395" i="14" s="1"/>
  <c r="CR623" i="14"/>
  <c r="CS623" i="14" s="1"/>
  <c r="CW635" i="14"/>
  <c r="CX635" i="14" s="1"/>
  <c r="CM419" i="14"/>
  <c r="CN419" i="14" s="1"/>
  <c r="DV575" i="14"/>
  <c r="DW575" i="14" s="1"/>
  <c r="EF299" i="14"/>
  <c r="EG299" i="14" s="1"/>
  <c r="DL143" i="14"/>
  <c r="DM143" i="14" s="1"/>
  <c r="DQ107" i="14"/>
  <c r="DR107" i="14" s="1"/>
  <c r="DB83" i="14"/>
  <c r="DC83" i="14" s="1"/>
  <c r="EA443" i="14"/>
  <c r="EB443" i="14" s="1"/>
  <c r="EA119" i="14"/>
  <c r="EB119" i="14" s="1"/>
  <c r="DB347" i="14"/>
  <c r="DC347" i="14" s="1"/>
  <c r="CM83" i="14"/>
  <c r="CN83" i="14" s="1"/>
  <c r="DQ671" i="14"/>
  <c r="DR671" i="14" s="1"/>
  <c r="DV275" i="14"/>
  <c r="DW275" i="14" s="1"/>
  <c r="CH275" i="14"/>
  <c r="CI275" i="14" s="1"/>
  <c r="DB395" i="14"/>
  <c r="DC395" i="14" s="1"/>
  <c r="CW119" i="14"/>
  <c r="CX119" i="14" s="1"/>
  <c r="DV407" i="14"/>
  <c r="DW407" i="14" s="1"/>
  <c r="CH431" i="14"/>
  <c r="CI431" i="14" s="1"/>
  <c r="CM491" i="14"/>
  <c r="CN491" i="14" s="1"/>
  <c r="DL359" i="14"/>
  <c r="DM359" i="14" s="1"/>
  <c r="DB167" i="14"/>
  <c r="DC167" i="14" s="1"/>
  <c r="DL635" i="14"/>
  <c r="DM635" i="14" s="1"/>
  <c r="EA647" i="14"/>
  <c r="EB647" i="14" s="1"/>
  <c r="CW167" i="14"/>
  <c r="CX167" i="14" s="1"/>
  <c r="CM119" i="14"/>
  <c r="CN119" i="14" s="1"/>
  <c r="DB587" i="14"/>
  <c r="DC587" i="14" s="1"/>
  <c r="EA491" i="14"/>
  <c r="EB491" i="14" s="1"/>
  <c r="CW83" i="14"/>
  <c r="CX83" i="14" s="1"/>
  <c r="CW323" i="14"/>
  <c r="CX323" i="14" s="1"/>
  <c r="CR47" i="14"/>
  <c r="CS47" i="14" s="1"/>
  <c r="DB563" i="14"/>
  <c r="DC563" i="14" s="1"/>
  <c r="CW671" i="14"/>
  <c r="CX671" i="14" s="1"/>
  <c r="CW587" i="14"/>
  <c r="CX587" i="14" s="1"/>
  <c r="DB647" i="14"/>
  <c r="DC647" i="14" s="1"/>
  <c r="EF179" i="14"/>
  <c r="EG179" i="14" s="1"/>
  <c r="CM311" i="14"/>
  <c r="CN311" i="14" s="1"/>
  <c r="DL599" i="14"/>
  <c r="DM599" i="14" s="1"/>
  <c r="CH539" i="14"/>
  <c r="CI539" i="14" s="1"/>
  <c r="DB95" i="14"/>
  <c r="DC95" i="14" s="1"/>
  <c r="CW539" i="14"/>
  <c r="CX539" i="14" s="1"/>
  <c r="EA575" i="14"/>
  <c r="EB575" i="14" s="1"/>
  <c r="EA395" i="14"/>
  <c r="EB395" i="14" s="1"/>
  <c r="CW47" i="14"/>
  <c r="CX47" i="14" s="1"/>
  <c r="EA227" i="14"/>
  <c r="EB227" i="14" s="1"/>
  <c r="CW611" i="14"/>
  <c r="CX611" i="14" s="1"/>
  <c r="CH347" i="14"/>
  <c r="CI347" i="14" s="1"/>
  <c r="DL131" i="14"/>
  <c r="DM131" i="14" s="1"/>
  <c r="DQ119" i="14"/>
  <c r="DR119" i="14" s="1"/>
  <c r="CR599" i="14"/>
  <c r="CS599" i="14" s="1"/>
  <c r="CM479" i="14"/>
  <c r="CN479" i="14" s="1"/>
  <c r="DB107" i="14"/>
  <c r="DC107" i="14" s="1"/>
  <c r="DL647" i="14"/>
  <c r="DM647" i="14" s="1"/>
  <c r="DV383" i="14"/>
  <c r="DW383" i="14" s="1"/>
  <c r="DL527" i="14"/>
  <c r="DM527" i="14" s="1"/>
  <c r="CR215" i="14"/>
  <c r="CS215" i="14" s="1"/>
  <c r="EF659" i="14"/>
  <c r="EG659" i="14" s="1"/>
  <c r="EF359" i="14"/>
  <c r="EG359" i="14" s="1"/>
  <c r="CR527" i="14"/>
  <c r="CS527" i="14" s="1"/>
  <c r="CW143" i="14"/>
  <c r="CX143" i="14" s="1"/>
  <c r="DB443" i="14"/>
  <c r="DC443" i="14" s="1"/>
  <c r="CW311" i="14"/>
  <c r="CX311" i="14" s="1"/>
  <c r="DB179" i="14"/>
  <c r="DC179" i="14" s="1"/>
  <c r="EF251" i="14"/>
  <c r="EG251" i="14" s="1"/>
  <c r="DL323" i="14"/>
  <c r="DM323" i="14" s="1"/>
  <c r="DL455" i="14"/>
  <c r="DM455" i="14" s="1"/>
  <c r="EA623" i="14"/>
  <c r="EB623" i="14" s="1"/>
  <c r="DQ551" i="14"/>
  <c r="DR551" i="14" s="1"/>
  <c r="EA383" i="14"/>
  <c r="EB383" i="14" s="1"/>
  <c r="CH587" i="14"/>
  <c r="CI587" i="14" s="1"/>
  <c r="DB431" i="14"/>
  <c r="DC431" i="14" s="1"/>
  <c r="EA335" i="14"/>
  <c r="EB335" i="14" s="1"/>
  <c r="EA95" i="14"/>
  <c r="EB95" i="14" s="1"/>
  <c r="EF419" i="14"/>
  <c r="EG419" i="14" s="1"/>
  <c r="CH455" i="14"/>
  <c r="CI455" i="14" s="1"/>
  <c r="CH299" i="14"/>
  <c r="CI299" i="14" s="1"/>
  <c r="CM407" i="14"/>
  <c r="CN407" i="14" s="1"/>
  <c r="CM275" i="14"/>
  <c r="CN275" i="14" s="1"/>
  <c r="CH479" i="14"/>
  <c r="CI479" i="14" s="1"/>
  <c r="EA143" i="14"/>
  <c r="EB143" i="14" s="1"/>
  <c r="CH83" i="14"/>
  <c r="CI83" i="14" s="1"/>
  <c r="DQ611" i="14"/>
  <c r="DR611" i="14" s="1"/>
  <c r="CR311" i="14"/>
  <c r="CS311" i="14" s="1"/>
  <c r="CH515" i="14"/>
  <c r="CI515" i="14" s="1"/>
  <c r="EA419" i="14"/>
  <c r="EB419" i="14" s="1"/>
  <c r="DL179" i="14"/>
  <c r="DM179" i="14" s="1"/>
  <c r="DV263" i="14"/>
  <c r="DW263" i="14" s="1"/>
  <c r="CH635" i="14"/>
  <c r="CI635" i="14" s="1"/>
  <c r="CM551" i="14"/>
  <c r="CN551" i="14" s="1"/>
  <c r="CW131" i="14"/>
  <c r="CX131" i="14" s="1"/>
  <c r="DL47" i="14"/>
  <c r="DM47" i="14" s="1"/>
  <c r="DV251" i="14"/>
  <c r="DW251" i="14" s="1"/>
  <c r="DV527" i="14"/>
  <c r="DW527" i="14" s="1"/>
  <c r="EA515" i="14"/>
  <c r="EB515" i="14" s="1"/>
  <c r="CR59" i="14"/>
  <c r="CS59" i="14" s="1"/>
  <c r="CR203" i="14"/>
  <c r="CS203" i="14" s="1"/>
  <c r="DQ335" i="14"/>
  <c r="DR335" i="14" s="1"/>
  <c r="DL239" i="14"/>
  <c r="DM239" i="14" s="1"/>
  <c r="CW527" i="14"/>
  <c r="CX527" i="14" s="1"/>
  <c r="CH191" i="14"/>
  <c r="CI191" i="14" s="1"/>
  <c r="DQ347" i="14"/>
  <c r="DR347" i="14" s="1"/>
  <c r="CM383" i="14"/>
  <c r="CN383" i="14" s="1"/>
  <c r="CM539" i="14"/>
  <c r="CN539" i="14" s="1"/>
  <c r="EF395" i="14"/>
  <c r="EG395" i="14" s="1"/>
  <c r="DQ467" i="14"/>
  <c r="DR467" i="14" s="1"/>
  <c r="EF191" i="14"/>
  <c r="EG191" i="14" s="1"/>
  <c r="CH203" i="14"/>
  <c r="CI203" i="14" s="1"/>
  <c r="DV131" i="14"/>
  <c r="DW131" i="14" s="1"/>
  <c r="EF671" i="14"/>
  <c r="EG671" i="14" s="1"/>
  <c r="CR551" i="14"/>
  <c r="CS551" i="14" s="1"/>
  <c r="CM167" i="14"/>
  <c r="CN167" i="14" s="1"/>
  <c r="CH215" i="14"/>
  <c r="CI215" i="14" s="1"/>
  <c r="EF503" i="14"/>
  <c r="EG503" i="14" s="1"/>
  <c r="EF155" i="14"/>
  <c r="EG155" i="14" s="1"/>
  <c r="DB539" i="14"/>
  <c r="DC539" i="14" s="1"/>
  <c r="DB371" i="14"/>
  <c r="DC371" i="14" s="1"/>
  <c r="CH95" i="14"/>
  <c r="CI95" i="14" s="1"/>
  <c r="EA191" i="14"/>
  <c r="EB191" i="14" s="1"/>
  <c r="DQ95" i="14"/>
  <c r="DR95" i="14" s="1"/>
  <c r="DV239" i="14"/>
  <c r="DW239" i="14" s="1"/>
  <c r="DV563" i="14"/>
  <c r="DW563" i="14" s="1"/>
  <c r="DB191" i="14"/>
  <c r="DC191" i="14" s="1"/>
  <c r="DL59" i="14"/>
  <c r="DM59" i="14" s="1"/>
  <c r="CW287" i="14"/>
  <c r="CX287" i="14" s="1"/>
  <c r="EA635" i="14"/>
  <c r="EB635" i="14" s="1"/>
  <c r="DL347" i="14"/>
  <c r="DM347" i="14" s="1"/>
  <c r="CH383" i="14"/>
  <c r="CI383" i="14" s="1"/>
  <c r="CW491" i="14"/>
  <c r="CX491" i="14" s="1"/>
  <c r="DV635" i="14"/>
  <c r="DW635" i="14" s="1"/>
  <c r="CW503" i="14"/>
  <c r="CX503" i="14" s="1"/>
  <c r="DV647" i="14"/>
  <c r="DW647" i="14" s="1"/>
  <c r="CW371" i="14"/>
  <c r="CX371" i="14" s="1"/>
  <c r="DQ635" i="14"/>
  <c r="DR635" i="14" s="1"/>
  <c r="CH407" i="14"/>
  <c r="CI407" i="14" s="1"/>
  <c r="EF215" i="14"/>
  <c r="EG215" i="14" s="1"/>
  <c r="CW227" i="14"/>
  <c r="CX227" i="14" s="1"/>
  <c r="DB407" i="14"/>
  <c r="DC407" i="14" s="1"/>
  <c r="CR539" i="14"/>
  <c r="CS539" i="14" s="1"/>
  <c r="EA671" i="14"/>
  <c r="EB671" i="14" s="1"/>
  <c r="DV455" i="14"/>
  <c r="DW455" i="14" s="1"/>
  <c r="CH287" i="14"/>
  <c r="CI287" i="14" s="1"/>
  <c r="DQ575" i="14"/>
  <c r="DR575" i="14" s="1"/>
  <c r="CR119" i="14"/>
  <c r="CS119" i="14" s="1"/>
  <c r="EA587" i="14"/>
  <c r="EB587" i="14" s="1"/>
  <c r="DV587" i="14"/>
  <c r="DW587" i="14" s="1"/>
  <c r="CM659" i="14"/>
  <c r="CN659" i="14" s="1"/>
  <c r="DB419" i="14"/>
  <c r="DC419" i="14" s="1"/>
  <c r="CH443" i="14"/>
  <c r="CI443" i="14" s="1"/>
  <c r="EF275" i="14"/>
  <c r="EG275" i="14" s="1"/>
  <c r="EA215" i="14"/>
  <c r="EB215" i="14" s="1"/>
  <c r="CR659" i="14"/>
  <c r="CS659" i="14" s="1"/>
  <c r="CH335" i="14"/>
  <c r="CI335" i="14" s="1"/>
  <c r="DQ323" i="14"/>
  <c r="DR323" i="14" s="1"/>
  <c r="DB515" i="14"/>
  <c r="DC515" i="14" s="1"/>
  <c r="DB671" i="14"/>
  <c r="DC671" i="14" s="1"/>
  <c r="CH395" i="14"/>
  <c r="CI395" i="14" s="1"/>
  <c r="EF623" i="14"/>
  <c r="EG623" i="14" s="1"/>
  <c r="CR287" i="14"/>
  <c r="CS287" i="14" s="1"/>
  <c r="DQ371" i="14"/>
  <c r="DR371" i="14" s="1"/>
  <c r="CR479" i="14"/>
  <c r="CS479" i="14" s="1"/>
  <c r="EF587" i="14"/>
  <c r="EG587" i="14" s="1"/>
  <c r="CM215" i="14"/>
  <c r="CN215" i="14" s="1"/>
  <c r="DQ287" i="14"/>
  <c r="DR287" i="14" s="1"/>
  <c r="EA299" i="14"/>
  <c r="EB299" i="14" s="1"/>
  <c r="CH263" i="14"/>
  <c r="CI263" i="14" s="1"/>
  <c r="CH143" i="14"/>
  <c r="CI143" i="14" s="1"/>
  <c r="DV191" i="14"/>
  <c r="DW191" i="14" s="1"/>
  <c r="CM155" i="14"/>
  <c r="CN155" i="14" s="1"/>
  <c r="DQ659" i="14"/>
  <c r="DR659" i="14" s="1"/>
  <c r="EA251" i="14"/>
  <c r="EB251" i="14" s="1"/>
  <c r="DB467" i="14"/>
  <c r="DC467" i="14" s="1"/>
  <c r="CW479" i="14"/>
  <c r="CX479" i="14" s="1"/>
  <c r="DB119" i="14"/>
  <c r="DC119" i="14" s="1"/>
  <c r="EA239" i="14"/>
  <c r="EB239" i="14" s="1"/>
  <c r="CR131" i="14"/>
  <c r="CS131" i="14" s="1"/>
  <c r="DB455" i="14"/>
  <c r="DC455" i="14" s="1"/>
  <c r="EF371" i="14"/>
  <c r="EG371" i="14" s="1"/>
  <c r="DQ359" i="14"/>
  <c r="DR359" i="14" s="1"/>
  <c r="DV323" i="14"/>
  <c r="DW323" i="14" s="1"/>
  <c r="DV107" i="14"/>
  <c r="DW107" i="14" s="1"/>
  <c r="CH251" i="14"/>
  <c r="CI251" i="14" s="1"/>
  <c r="CW623" i="14"/>
  <c r="CX623" i="14" s="1"/>
  <c r="CH179" i="14"/>
  <c r="CI179" i="14" s="1"/>
  <c r="DV299" i="14"/>
  <c r="DW299" i="14" s="1"/>
  <c r="DQ83" i="14"/>
  <c r="DR83" i="14" s="1"/>
  <c r="DQ623" i="14"/>
  <c r="DR623" i="14" s="1"/>
  <c r="EF539" i="14"/>
  <c r="EG539" i="14" s="1"/>
  <c r="DV83" i="14"/>
  <c r="DW83" i="14" s="1"/>
  <c r="DB491" i="14"/>
  <c r="DC491" i="14" s="1"/>
  <c r="DQ515" i="14"/>
  <c r="DR515" i="14" s="1"/>
  <c r="CM191" i="14"/>
  <c r="CN191" i="14" s="1"/>
  <c r="CM371" i="14"/>
  <c r="CN371" i="14" s="1"/>
  <c r="CH599" i="14"/>
  <c r="CI599" i="14" s="1"/>
  <c r="DB311" i="14"/>
  <c r="DC311" i="14" s="1"/>
  <c r="CR275" i="14"/>
  <c r="CS275" i="14" s="1"/>
  <c r="DV155" i="14"/>
  <c r="DW155" i="14" s="1"/>
  <c r="CW563" i="14"/>
  <c r="CX563" i="14" s="1"/>
  <c r="DL407" i="14"/>
  <c r="DM407" i="14" s="1"/>
  <c r="DQ383" i="14"/>
  <c r="DR383" i="14" s="1"/>
  <c r="DV371" i="14"/>
  <c r="DW371" i="14" s="1"/>
  <c r="EA347" i="14"/>
  <c r="EB347" i="14" s="1"/>
  <c r="EA107" i="14"/>
  <c r="EB107" i="14" s="1"/>
  <c r="CW467" i="14"/>
  <c r="CX467" i="14" s="1"/>
  <c r="EA275" i="14"/>
  <c r="EB275" i="14" s="1"/>
  <c r="DB47" i="14"/>
  <c r="DC47" i="14" s="1"/>
  <c r="CR635" i="14"/>
  <c r="CS635" i="14" s="1"/>
  <c r="CM287" i="14"/>
  <c r="CN287" i="14" s="1"/>
  <c r="CR611" i="14"/>
  <c r="CS611" i="14" s="1"/>
  <c r="DQ311" i="14"/>
  <c r="DR311" i="14" s="1"/>
  <c r="DL551" i="14"/>
  <c r="DM551" i="14" s="1"/>
  <c r="EF59" i="14"/>
  <c r="EG59" i="14" s="1"/>
  <c r="EF335" i="14"/>
  <c r="EG335" i="14" s="1"/>
  <c r="CH311" i="14"/>
  <c r="CI311" i="14" s="1"/>
  <c r="CM431" i="14"/>
  <c r="CN431" i="14" s="1"/>
  <c r="DQ647" i="14"/>
  <c r="DR647" i="14" s="1"/>
  <c r="DV227" i="14"/>
  <c r="DW227" i="14" s="1"/>
  <c r="CR563" i="14"/>
  <c r="CS563" i="14" s="1"/>
  <c r="EF239" i="14"/>
  <c r="EG239" i="14" s="1"/>
  <c r="EA323" i="14"/>
  <c r="EB323" i="14" s="1"/>
  <c r="DB527" i="14"/>
  <c r="DC527" i="14" s="1"/>
  <c r="DL335" i="14"/>
  <c r="DM335" i="14" s="1"/>
  <c r="DB203" i="14"/>
  <c r="DC203" i="14" s="1"/>
  <c r="DB263" i="14"/>
  <c r="DC263" i="14" s="1"/>
  <c r="DB143" i="14"/>
  <c r="DC143" i="14" s="1"/>
  <c r="DL167" i="14"/>
  <c r="DM167" i="14" s="1"/>
  <c r="DL95" i="14"/>
  <c r="DM95" i="14" s="1"/>
  <c r="CB80" i="14"/>
  <c r="DF80" i="14"/>
  <c r="DK79" i="14"/>
  <c r="DJ80" i="14"/>
  <c r="DO80" i="14"/>
  <c r="DP79" i="14"/>
  <c r="ED80" i="14"/>
  <c r="EE79" i="14"/>
  <c r="CQ79" i="14"/>
  <c r="CP80" i="14"/>
  <c r="CL79" i="14"/>
  <c r="CK80" i="14"/>
  <c r="CU80" i="14"/>
  <c r="CV79" i="14"/>
  <c r="CZ80" i="14"/>
  <c r="DA79" i="14"/>
  <c r="CA81" i="14"/>
  <c r="DT80" i="14"/>
  <c r="DU79" i="14"/>
  <c r="DE81" i="14"/>
  <c r="CG79" i="14"/>
  <c r="CF80" i="14"/>
  <c r="DZ79" i="14"/>
  <c r="DY80" i="14"/>
  <c r="CB42" i="14"/>
  <c r="AU45" i="14"/>
  <c r="AY45" i="14"/>
  <c r="BM40" i="14"/>
  <c r="AW45" i="14"/>
  <c r="BK40" i="14"/>
  <c r="E11" i="43"/>
  <c r="EE43" i="14"/>
  <c r="ED44" i="14"/>
  <c r="CK44" i="14"/>
  <c r="CL43" i="14"/>
  <c r="CZ43" i="14"/>
  <c r="DA43" i="14" s="1"/>
  <c r="CF43" i="14"/>
  <c r="CG43" i="14" s="1"/>
  <c r="CU43" i="14"/>
  <c r="CV43" i="14" s="1"/>
  <c r="CP43" i="14"/>
  <c r="CQ43" i="14" s="1"/>
  <c r="CA43" i="14"/>
  <c r="DP43" i="14"/>
  <c r="DO44" i="14"/>
  <c r="DY44" i="14"/>
  <c r="DZ43" i="14"/>
  <c r="DT44" i="14"/>
  <c r="DU43" i="14"/>
  <c r="DJ44" i="14"/>
  <c r="DK43" i="14"/>
  <c r="BL39" i="14"/>
  <c r="CB43" i="14" a="1"/>
  <c r="AV44" i="14"/>
  <c r="CB81" i="14" a="1"/>
  <c r="DF81" i="14" a="1"/>
  <c r="BN39" i="14"/>
  <c r="AZ44" i="14"/>
  <c r="AX44" i="14"/>
  <c r="DS431" i="14" l="1"/>
  <c r="EF384" i="14"/>
  <c r="EG384" i="14" s="1"/>
  <c r="EF385" i="14" s="1"/>
  <c r="EG385" i="14" s="1"/>
  <c r="EH467" i="14"/>
  <c r="DS227" i="14"/>
  <c r="DN443" i="14"/>
  <c r="DS179" i="14"/>
  <c r="CM636" i="14"/>
  <c r="CN636" i="14" s="1"/>
  <c r="CO636" i="14" s="1"/>
  <c r="EA264" i="14"/>
  <c r="EB264" i="14" s="1"/>
  <c r="EA265" i="14" s="1"/>
  <c r="EB265" i="14" s="1"/>
  <c r="DS59" i="14"/>
  <c r="EF444" i="14"/>
  <c r="EG444" i="14" s="1"/>
  <c r="EF445" i="14" s="1"/>
  <c r="EG445" i="14" s="1"/>
  <c r="CO647" i="14"/>
  <c r="CH672" i="14"/>
  <c r="CI672" i="14" s="1"/>
  <c r="CH673" i="14" s="1"/>
  <c r="CI673" i="14" s="1"/>
  <c r="DQ216" i="14"/>
  <c r="DR216" i="14" s="1"/>
  <c r="DS216" i="14" s="1"/>
  <c r="CY419" i="14"/>
  <c r="DX359" i="14"/>
  <c r="DS563" i="14"/>
  <c r="EH95" i="14"/>
  <c r="CW456" i="14"/>
  <c r="CX456" i="14" s="1"/>
  <c r="CY456" i="14" s="1"/>
  <c r="CW360" i="14"/>
  <c r="CX360" i="14" s="1"/>
  <c r="CW361" i="14" s="1"/>
  <c r="CX361" i="14" s="1"/>
  <c r="CY659" i="14"/>
  <c r="DD287" i="14"/>
  <c r="DD623" i="14"/>
  <c r="EC359" i="14"/>
  <c r="CH168" i="14"/>
  <c r="CI168" i="14" s="1"/>
  <c r="CJ168" i="14" s="1"/>
  <c r="CR168" i="14"/>
  <c r="CS168" i="14" s="1"/>
  <c r="CR169" i="14" s="1"/>
  <c r="CS169" i="14" s="1"/>
  <c r="EA156" i="14"/>
  <c r="EB156" i="14" s="1"/>
  <c r="EC156" i="14" s="1"/>
  <c r="CH528" i="14"/>
  <c r="CI528" i="14" s="1"/>
  <c r="CH529" i="14" s="1"/>
  <c r="CI529" i="14" s="1"/>
  <c r="DN563" i="14"/>
  <c r="EA540" i="14"/>
  <c r="EB540" i="14" s="1"/>
  <c r="EA541" i="14" s="1"/>
  <c r="EB541" i="14" s="1"/>
  <c r="CT155" i="14"/>
  <c r="EF456" i="14"/>
  <c r="EG456" i="14" s="1"/>
  <c r="EF457" i="14" s="1"/>
  <c r="EG457" i="14" s="1"/>
  <c r="DN419" i="14"/>
  <c r="DX203" i="14"/>
  <c r="CH108" i="14"/>
  <c r="CI108" i="14" s="1"/>
  <c r="CJ108" i="14" s="1"/>
  <c r="DD575" i="14"/>
  <c r="CW384" i="14"/>
  <c r="CX384" i="14" s="1"/>
  <c r="CW385" i="14" s="1"/>
  <c r="CX385" i="14" s="1"/>
  <c r="EF600" i="14"/>
  <c r="EG600" i="14" s="1"/>
  <c r="EF601" i="14" s="1"/>
  <c r="EG601" i="14" s="1"/>
  <c r="EC371" i="14"/>
  <c r="CJ611" i="14"/>
  <c r="CO443" i="14"/>
  <c r="CM588" i="14"/>
  <c r="CN588" i="14" s="1"/>
  <c r="CM589" i="14" s="1"/>
  <c r="CN589" i="14" s="1"/>
  <c r="DV516" i="14"/>
  <c r="DW516" i="14" s="1"/>
  <c r="DX516" i="14" s="1"/>
  <c r="CY395" i="14"/>
  <c r="DL300" i="14"/>
  <c r="DM300" i="14" s="1"/>
  <c r="DN300" i="14" s="1"/>
  <c r="EC599" i="14"/>
  <c r="CY191" i="14"/>
  <c r="EC455" i="14"/>
  <c r="DB336" i="14"/>
  <c r="DC336" i="14" s="1"/>
  <c r="DD336" i="14" s="1"/>
  <c r="DN671" i="14"/>
  <c r="CY95" i="14"/>
  <c r="EF48" i="14"/>
  <c r="EG48" i="14" s="1"/>
  <c r="EF49" i="14" s="1"/>
  <c r="EG49" i="14" s="1"/>
  <c r="DX431" i="14"/>
  <c r="EF108" i="14"/>
  <c r="EG108" i="14" s="1"/>
  <c r="EH108" i="14" s="1"/>
  <c r="CO347" i="14"/>
  <c r="EF144" i="14"/>
  <c r="EG144" i="14" s="1"/>
  <c r="EH144" i="14" s="1"/>
  <c r="DN371" i="14"/>
  <c r="CM60" i="14"/>
  <c r="CN60" i="14" s="1"/>
  <c r="CM61" i="14" s="1"/>
  <c r="CN61" i="14" s="1"/>
  <c r="EF576" i="14"/>
  <c r="EG576" i="14" s="1"/>
  <c r="EF577" i="14" s="1"/>
  <c r="EG577" i="14" s="1"/>
  <c r="EC563" i="14"/>
  <c r="DX419" i="14"/>
  <c r="CT395" i="14"/>
  <c r="CO227" i="14"/>
  <c r="DV480" i="14"/>
  <c r="DW480" i="14" s="1"/>
  <c r="DX480" i="14" s="1"/>
  <c r="DL156" i="14"/>
  <c r="DM156" i="14" s="1"/>
  <c r="DL157" i="14" s="1"/>
  <c r="DM157" i="14" s="1"/>
  <c r="EC83" i="14"/>
  <c r="CH324" i="14"/>
  <c r="CI324" i="14" s="1"/>
  <c r="CJ324" i="14" s="1"/>
  <c r="EC527" i="14"/>
  <c r="DS239" i="14"/>
  <c r="DQ168" i="14"/>
  <c r="DR168" i="14" s="1"/>
  <c r="DS168" i="14" s="1"/>
  <c r="EA60" i="14"/>
  <c r="EB60" i="14" s="1"/>
  <c r="EA61" i="14" s="1"/>
  <c r="EB61" i="14" s="1"/>
  <c r="CY431" i="14"/>
  <c r="CM240" i="14"/>
  <c r="CN240" i="14" s="1"/>
  <c r="CO240" i="14" s="1"/>
  <c r="CR444" i="14"/>
  <c r="CS444" i="14" s="1"/>
  <c r="CT444" i="14" s="1"/>
  <c r="DN623" i="14"/>
  <c r="CR516" i="14"/>
  <c r="CS516" i="14" s="1"/>
  <c r="CR517" i="14" s="1"/>
  <c r="CS517" i="14" s="1"/>
  <c r="DD359" i="14"/>
  <c r="EC287" i="14"/>
  <c r="CR96" i="14"/>
  <c r="CS96" i="14" s="1"/>
  <c r="CT96" i="14" s="1"/>
  <c r="DX659" i="14"/>
  <c r="CM600" i="14"/>
  <c r="CN600" i="14" s="1"/>
  <c r="CO600" i="14" s="1"/>
  <c r="DS47" i="14"/>
  <c r="DN203" i="14"/>
  <c r="CR192" i="14"/>
  <c r="CS192" i="14" s="1"/>
  <c r="CR193" i="14" s="1"/>
  <c r="CS193" i="14" s="1"/>
  <c r="DS299" i="14"/>
  <c r="CM300" i="14"/>
  <c r="CN300" i="14" s="1"/>
  <c r="CO300" i="14" s="1"/>
  <c r="CM396" i="14"/>
  <c r="CN396" i="14" s="1"/>
  <c r="CO396" i="14" s="1"/>
  <c r="EC503" i="14"/>
  <c r="EH83" i="14"/>
  <c r="CO95" i="14"/>
  <c r="EH119" i="14"/>
  <c r="CO323" i="14"/>
  <c r="DD323" i="14"/>
  <c r="CR420" i="14"/>
  <c r="CS420" i="14" s="1"/>
  <c r="CR421" i="14" s="1"/>
  <c r="CS421" i="14" s="1"/>
  <c r="DL264" i="14"/>
  <c r="DM264" i="14" s="1"/>
  <c r="DL265" i="14" s="1"/>
  <c r="DM265" i="14" s="1"/>
  <c r="DV336" i="14"/>
  <c r="DW336" i="14" s="1"/>
  <c r="DX336" i="14" s="1"/>
  <c r="EF228" i="14"/>
  <c r="EG228" i="14" s="1"/>
  <c r="EF229" i="14" s="1"/>
  <c r="EG229" i="14" s="1"/>
  <c r="DD215" i="14"/>
  <c r="CM468" i="14"/>
  <c r="CN468" i="14" s="1"/>
  <c r="CO468" i="14" s="1"/>
  <c r="CT179" i="14"/>
  <c r="CJ119" i="14"/>
  <c r="CM336" i="14"/>
  <c r="CN336" i="14" s="1"/>
  <c r="CM337" i="14" s="1"/>
  <c r="CN337" i="14" s="1"/>
  <c r="CW444" i="14"/>
  <c r="CX444" i="14" s="1"/>
  <c r="CY444" i="14" s="1"/>
  <c r="CH132" i="14"/>
  <c r="CI132" i="14" s="1"/>
  <c r="CJ132" i="14" s="1"/>
  <c r="DD635" i="14"/>
  <c r="DD503" i="14"/>
  <c r="CY155" i="14"/>
  <c r="CW276" i="14"/>
  <c r="CX276" i="14" s="1"/>
  <c r="CW277" i="14" s="1"/>
  <c r="CX277" i="14" s="1"/>
  <c r="DL84" i="14"/>
  <c r="DM84" i="14" s="1"/>
  <c r="DN84" i="14" s="1"/>
  <c r="DL108" i="14"/>
  <c r="DM108" i="14" s="1"/>
  <c r="DN108" i="14" s="1"/>
  <c r="CR360" i="14"/>
  <c r="CS360" i="14" s="1"/>
  <c r="CR361" i="14" s="1"/>
  <c r="CS361" i="14" s="1"/>
  <c r="CR372" i="14"/>
  <c r="CS372" i="14" s="1"/>
  <c r="CT372" i="14" s="1"/>
  <c r="CW252" i="14"/>
  <c r="CX252" i="14" s="1"/>
  <c r="CY252" i="14" s="1"/>
  <c r="DN383" i="14"/>
  <c r="CW516" i="14"/>
  <c r="CX516" i="14" s="1"/>
  <c r="CY516" i="14" s="1"/>
  <c r="DV600" i="14"/>
  <c r="DW600" i="14" s="1"/>
  <c r="DX600" i="14" s="1"/>
  <c r="DV120" i="14"/>
  <c r="DW120" i="14" s="1"/>
  <c r="DX120" i="14" s="1"/>
  <c r="DS131" i="14"/>
  <c r="DS455" i="14"/>
  <c r="DX395" i="14"/>
  <c r="CM564" i="14"/>
  <c r="CN564" i="14" s="1"/>
  <c r="CM565" i="14" s="1"/>
  <c r="CN565" i="14" s="1"/>
  <c r="EH431" i="14"/>
  <c r="CH552" i="14"/>
  <c r="CI552" i="14" s="1"/>
  <c r="CJ552" i="14" s="1"/>
  <c r="CO611" i="14"/>
  <c r="DN539" i="14"/>
  <c r="CH420" i="14"/>
  <c r="CI420" i="14" s="1"/>
  <c r="CH421" i="14" s="1"/>
  <c r="CI421" i="14" s="1"/>
  <c r="EF564" i="14"/>
  <c r="EG564" i="14" s="1"/>
  <c r="EF565" i="14" s="1"/>
  <c r="EG565" i="14" s="1"/>
  <c r="CR348" i="14"/>
  <c r="CS348" i="14" s="1"/>
  <c r="CT348" i="14" s="1"/>
  <c r="DX347" i="14"/>
  <c r="CT107" i="14"/>
  <c r="EF288" i="14"/>
  <c r="EG288" i="14" s="1"/>
  <c r="EF289" i="14" s="1"/>
  <c r="EG289" i="14" s="1"/>
  <c r="DQ144" i="14"/>
  <c r="DR144" i="14" s="1"/>
  <c r="DQ145" i="14" s="1"/>
  <c r="DR145" i="14" s="1"/>
  <c r="DN227" i="14"/>
  <c r="DL660" i="14"/>
  <c r="DM660" i="14" s="1"/>
  <c r="DL661" i="14" s="1"/>
  <c r="DM661" i="14" s="1"/>
  <c r="CR300" i="14"/>
  <c r="CS300" i="14" s="1"/>
  <c r="CT300" i="14" s="1"/>
  <c r="CT671" i="14"/>
  <c r="CJ659" i="14"/>
  <c r="CJ47" i="14"/>
  <c r="DX611" i="14"/>
  <c r="DB612" i="14"/>
  <c r="DC612" i="14" s="1"/>
  <c r="DB613" i="14" s="1"/>
  <c r="DC613" i="14" s="1"/>
  <c r="DB228" i="14"/>
  <c r="DC228" i="14" s="1"/>
  <c r="DD228" i="14" s="1"/>
  <c r="EH311" i="14"/>
  <c r="CT407" i="14"/>
  <c r="CR588" i="14"/>
  <c r="CS588" i="14" s="1"/>
  <c r="CR589" i="14" s="1"/>
  <c r="CS589" i="14" s="1"/>
  <c r="DQ600" i="14"/>
  <c r="DR600" i="14" s="1"/>
  <c r="DQ601" i="14" s="1"/>
  <c r="DR601" i="14" s="1"/>
  <c r="DQ276" i="14"/>
  <c r="DR276" i="14" s="1"/>
  <c r="DS276" i="14" s="1"/>
  <c r="DV312" i="14"/>
  <c r="DW312" i="14" s="1"/>
  <c r="DX312" i="14" s="1"/>
  <c r="DX179" i="14"/>
  <c r="CJ503" i="14"/>
  <c r="CY347" i="14"/>
  <c r="DN287" i="14"/>
  <c r="CH492" i="14"/>
  <c r="CI492" i="14" s="1"/>
  <c r="CH493" i="14" s="1"/>
  <c r="CI493" i="14" s="1"/>
  <c r="CR648" i="14"/>
  <c r="CS648" i="14" s="1"/>
  <c r="CR649" i="14" s="1"/>
  <c r="CS649" i="14" s="1"/>
  <c r="DD275" i="14"/>
  <c r="DB156" i="14"/>
  <c r="DC156" i="14" s="1"/>
  <c r="DD156" i="14" s="1"/>
  <c r="CM252" i="14"/>
  <c r="CN252" i="14" s="1"/>
  <c r="CO252" i="14" s="1"/>
  <c r="EF492" i="14"/>
  <c r="EG492" i="14" s="1"/>
  <c r="EH492" i="14" s="1"/>
  <c r="EA408" i="14"/>
  <c r="EB408" i="14" s="1"/>
  <c r="EA409" i="14" s="1"/>
  <c r="EB409" i="14" s="1"/>
  <c r="DQ264" i="14"/>
  <c r="DR264" i="14" s="1"/>
  <c r="DQ265" i="14" s="1"/>
  <c r="DR265" i="14" s="1"/>
  <c r="EH347" i="14"/>
  <c r="CW408" i="14"/>
  <c r="CX408" i="14" s="1"/>
  <c r="CW409" i="14" s="1"/>
  <c r="CX409" i="14" s="1"/>
  <c r="DV60" i="14"/>
  <c r="DW60" i="14" s="1"/>
  <c r="DX60" i="14" s="1"/>
  <c r="DL612" i="14"/>
  <c r="DM612" i="14" s="1"/>
  <c r="DL613" i="14" s="1"/>
  <c r="DM613" i="14" s="1"/>
  <c r="DX491" i="14"/>
  <c r="CW336" i="14"/>
  <c r="CX336" i="14" s="1"/>
  <c r="CY336" i="14" s="1"/>
  <c r="CM528" i="14"/>
  <c r="CN528" i="14" s="1"/>
  <c r="CO528" i="14" s="1"/>
  <c r="DX167" i="14"/>
  <c r="CH360" i="14"/>
  <c r="CI360" i="14" s="1"/>
  <c r="CH361" i="14" s="1"/>
  <c r="CI361" i="14" s="1"/>
  <c r="EH167" i="14"/>
  <c r="EF516" i="14"/>
  <c r="EG516" i="14" s="1"/>
  <c r="EH516" i="14" s="1"/>
  <c r="CM360" i="14"/>
  <c r="CN360" i="14" s="1"/>
  <c r="CM361" i="14" s="1"/>
  <c r="CN361" i="14" s="1"/>
  <c r="EC551" i="14"/>
  <c r="DQ204" i="14"/>
  <c r="DR204" i="14" s="1"/>
  <c r="DQ205" i="14" s="1"/>
  <c r="DR205" i="14" s="1"/>
  <c r="CO575" i="14"/>
  <c r="DL516" i="14"/>
  <c r="DM516" i="14" s="1"/>
  <c r="DN516" i="14" s="1"/>
  <c r="CW108" i="14"/>
  <c r="CX108" i="14" s="1"/>
  <c r="CY108" i="14" s="1"/>
  <c r="EH407" i="14"/>
  <c r="DQ528" i="14"/>
  <c r="DR528" i="14" s="1"/>
  <c r="DS528" i="14" s="1"/>
  <c r="CW216" i="14"/>
  <c r="CX216" i="14" s="1"/>
  <c r="CW217" i="14" s="1"/>
  <c r="CX217" i="14" s="1"/>
  <c r="DL252" i="14"/>
  <c r="DM252" i="14" s="1"/>
  <c r="DL253" i="14" s="1"/>
  <c r="DM253" i="14" s="1"/>
  <c r="DS587" i="14"/>
  <c r="DV552" i="14"/>
  <c r="DW552" i="14" s="1"/>
  <c r="DV553" i="14" s="1"/>
  <c r="DW553" i="14" s="1"/>
  <c r="CM672" i="14"/>
  <c r="CN672" i="14" s="1"/>
  <c r="CO672" i="14" s="1"/>
  <c r="DS251" i="14"/>
  <c r="EA204" i="14"/>
  <c r="EB204" i="14" s="1"/>
  <c r="EA205" i="14" s="1"/>
  <c r="EB205" i="14" s="1"/>
  <c r="DD299" i="14"/>
  <c r="CO131" i="14"/>
  <c r="EA180" i="14"/>
  <c r="EB180" i="14" s="1"/>
  <c r="EC180" i="14" s="1"/>
  <c r="CY239" i="14"/>
  <c r="CJ155" i="14"/>
  <c r="CY203" i="14"/>
  <c r="DB600" i="14"/>
  <c r="DC600" i="14" s="1"/>
  <c r="DB601" i="14" s="1"/>
  <c r="DC601" i="14" s="1"/>
  <c r="CO503" i="14"/>
  <c r="CT323" i="14"/>
  <c r="CY179" i="14"/>
  <c r="DN215" i="14"/>
  <c r="CR492" i="14"/>
  <c r="CS492" i="14" s="1"/>
  <c r="CT492" i="14" s="1"/>
  <c r="CY575" i="14"/>
  <c r="CT239" i="14"/>
  <c r="EC131" i="14"/>
  <c r="CJ239" i="14"/>
  <c r="EA612" i="14"/>
  <c r="EB612" i="14" s="1"/>
  <c r="EC612" i="14" s="1"/>
  <c r="DS191" i="14"/>
  <c r="CJ563" i="14"/>
  <c r="CH372" i="14"/>
  <c r="CI372" i="14" s="1"/>
  <c r="CJ372" i="14" s="1"/>
  <c r="CR144" i="14"/>
  <c r="CS144" i="14" s="1"/>
  <c r="CR145" i="14" s="1"/>
  <c r="CS145" i="14" s="1"/>
  <c r="DL192" i="14"/>
  <c r="DM192" i="14" s="1"/>
  <c r="DN192" i="14" s="1"/>
  <c r="EF612" i="14"/>
  <c r="EG612" i="14" s="1"/>
  <c r="EF613" i="14" s="1"/>
  <c r="EG613" i="14" s="1"/>
  <c r="CJ623" i="14"/>
  <c r="DV672" i="14"/>
  <c r="DW672" i="14" s="1"/>
  <c r="DX672" i="14" s="1"/>
  <c r="DD383" i="14"/>
  <c r="DN395" i="14"/>
  <c r="DV504" i="14"/>
  <c r="DW504" i="14" s="1"/>
  <c r="DX504" i="14" s="1"/>
  <c r="EH323" i="14"/>
  <c r="DQ444" i="14"/>
  <c r="DR444" i="14" s="1"/>
  <c r="DS444" i="14" s="1"/>
  <c r="CT83" i="14"/>
  <c r="EC467" i="14"/>
  <c r="CR504" i="14"/>
  <c r="CS504" i="14" s="1"/>
  <c r="CT504" i="14" s="1"/>
  <c r="CT455" i="14"/>
  <c r="CR432" i="14"/>
  <c r="CS432" i="14" s="1"/>
  <c r="CR433" i="14" s="1"/>
  <c r="CS433" i="14" s="1"/>
  <c r="EH263" i="14"/>
  <c r="CJ227" i="14"/>
  <c r="CT383" i="14"/>
  <c r="DQ420" i="14"/>
  <c r="DR420" i="14" s="1"/>
  <c r="DQ421" i="14" s="1"/>
  <c r="DR421" i="14" s="1"/>
  <c r="CH60" i="14"/>
  <c r="CI60" i="14" s="1"/>
  <c r="CJ60" i="14" s="1"/>
  <c r="CO623" i="14"/>
  <c r="DS407" i="14"/>
  <c r="DX623" i="14"/>
  <c r="CR336" i="14"/>
  <c r="CS336" i="14" s="1"/>
  <c r="CT336" i="14" s="1"/>
  <c r="DN587" i="14"/>
  <c r="CW552" i="14"/>
  <c r="CX552" i="14" s="1"/>
  <c r="CY552" i="14" s="1"/>
  <c r="DN503" i="14"/>
  <c r="EC311" i="14"/>
  <c r="CM48" i="14"/>
  <c r="CN48" i="14" s="1"/>
  <c r="CM49" i="14" s="1"/>
  <c r="CN49" i="14" s="1"/>
  <c r="DN479" i="14"/>
  <c r="EF552" i="14"/>
  <c r="EG552" i="14" s="1"/>
  <c r="EF553" i="14" s="1"/>
  <c r="EG553" i="14" s="1"/>
  <c r="DN311" i="14"/>
  <c r="DS503" i="14"/>
  <c r="DD479" i="14"/>
  <c r="DD659" i="14"/>
  <c r="DX287" i="14"/>
  <c r="CY599" i="14"/>
  <c r="CR264" i="14"/>
  <c r="CS264" i="14" s="1"/>
  <c r="CR265" i="14" s="1"/>
  <c r="CS265" i="14" s="1"/>
  <c r="EC47" i="14"/>
  <c r="DX467" i="14"/>
  <c r="DN491" i="14"/>
  <c r="EF204" i="14"/>
  <c r="EG204" i="14" s="1"/>
  <c r="EH204" i="14" s="1"/>
  <c r="EH635" i="14"/>
  <c r="CJ575" i="14"/>
  <c r="EH527" i="14"/>
  <c r="CY647" i="14"/>
  <c r="CT467" i="14"/>
  <c r="CM180" i="14"/>
  <c r="CN180" i="14" s="1"/>
  <c r="CM181" i="14" s="1"/>
  <c r="CN181" i="14" s="1"/>
  <c r="DS491" i="14"/>
  <c r="CM264" i="14"/>
  <c r="CN264" i="14" s="1"/>
  <c r="CO264" i="14" s="1"/>
  <c r="EH131" i="14"/>
  <c r="DD59" i="14"/>
  <c r="CT251" i="14"/>
  <c r="DX47" i="14"/>
  <c r="DN431" i="14"/>
  <c r="EA168" i="14"/>
  <c r="EB168" i="14" s="1"/>
  <c r="EC168" i="14" s="1"/>
  <c r="EF648" i="14"/>
  <c r="EG648" i="14" s="1"/>
  <c r="EH648" i="14" s="1"/>
  <c r="CO203" i="14"/>
  <c r="DV444" i="14"/>
  <c r="DW444" i="14" s="1"/>
  <c r="DX444" i="14" s="1"/>
  <c r="CY299" i="14"/>
  <c r="DD131" i="14"/>
  <c r="EA660" i="14"/>
  <c r="EB660" i="14" s="1"/>
  <c r="EC660" i="14" s="1"/>
  <c r="DV216" i="14"/>
  <c r="DW216" i="14" s="1"/>
  <c r="DX216" i="14" s="1"/>
  <c r="DN575" i="14"/>
  <c r="CO143" i="14"/>
  <c r="DV540" i="14"/>
  <c r="DW540" i="14" s="1"/>
  <c r="DX540" i="14" s="1"/>
  <c r="CW264" i="14"/>
  <c r="CX264" i="14" s="1"/>
  <c r="CW265" i="14" s="1"/>
  <c r="CX265" i="14" s="1"/>
  <c r="DQ156" i="14"/>
  <c r="DR156" i="14" s="1"/>
  <c r="DS156" i="14" s="1"/>
  <c r="EA480" i="14"/>
  <c r="EB480" i="14" s="1"/>
  <c r="EA481" i="14" s="1"/>
  <c r="EB481" i="14" s="1"/>
  <c r="DD551" i="14"/>
  <c r="DS539" i="14"/>
  <c r="EC431" i="14"/>
  <c r="CJ647" i="14"/>
  <c r="DX143" i="14"/>
  <c r="DB240" i="14"/>
  <c r="DC240" i="14" s="1"/>
  <c r="DB241" i="14" s="1"/>
  <c r="DC241" i="14" s="1"/>
  <c r="DV96" i="14"/>
  <c r="DW96" i="14" s="1"/>
  <c r="DX96" i="14" s="1"/>
  <c r="DD251" i="14"/>
  <c r="CR228" i="14"/>
  <c r="CS228" i="14" s="1"/>
  <c r="CT228" i="14" s="1"/>
  <c r="DL313" i="14"/>
  <c r="DM313" i="14" s="1"/>
  <c r="DN312" i="14"/>
  <c r="DX204" i="14"/>
  <c r="DV205" i="14"/>
  <c r="DW205" i="14" s="1"/>
  <c r="DG252" i="14"/>
  <c r="DH252" i="14" s="1"/>
  <c r="DG648" i="14"/>
  <c r="DH648" i="14" s="1"/>
  <c r="DX288" i="14"/>
  <c r="DV289" i="14"/>
  <c r="DW289" i="14" s="1"/>
  <c r="CT635" i="14"/>
  <c r="CR636" i="14"/>
  <c r="CS636" i="14" s="1"/>
  <c r="CO371" i="14"/>
  <c r="CM372" i="14"/>
  <c r="CN372" i="14" s="1"/>
  <c r="DS359" i="14"/>
  <c r="DQ360" i="14"/>
  <c r="DR360" i="14" s="1"/>
  <c r="CW601" i="14"/>
  <c r="CX601" i="14" s="1"/>
  <c r="CY600" i="14"/>
  <c r="CR288" i="14"/>
  <c r="CS288" i="14" s="1"/>
  <c r="CT287" i="14"/>
  <c r="CH444" i="14"/>
  <c r="CI444" i="14" s="1"/>
  <c r="CJ443" i="14"/>
  <c r="DX360" i="14"/>
  <c r="DV361" i="14"/>
  <c r="DW361" i="14" s="1"/>
  <c r="DL289" i="14"/>
  <c r="DM289" i="14" s="1"/>
  <c r="DN288" i="14"/>
  <c r="CJ504" i="14"/>
  <c r="CH505" i="14"/>
  <c r="CI505" i="14" s="1"/>
  <c r="DL673" i="14"/>
  <c r="DM673" i="14" s="1"/>
  <c r="DN672" i="14"/>
  <c r="EF121" i="14"/>
  <c r="EG121" i="14" s="1"/>
  <c r="EH120" i="14"/>
  <c r="CO383" i="14"/>
  <c r="CM384" i="14"/>
  <c r="CN384" i="14" s="1"/>
  <c r="CH636" i="14"/>
  <c r="CI636" i="14" s="1"/>
  <c r="CJ635" i="14"/>
  <c r="CM325" i="14"/>
  <c r="CN325" i="14" s="1"/>
  <c r="CO324" i="14"/>
  <c r="CT240" i="14"/>
  <c r="CR241" i="14"/>
  <c r="CS241" i="14" s="1"/>
  <c r="DQ552" i="14"/>
  <c r="DR552" i="14" s="1"/>
  <c r="DS551" i="14"/>
  <c r="CY311" i="14"/>
  <c r="CW312" i="14"/>
  <c r="CX312" i="14" s="1"/>
  <c r="DX383" i="14"/>
  <c r="DV384" i="14"/>
  <c r="DW384" i="14" s="1"/>
  <c r="CM120" i="14"/>
  <c r="CN120" i="14" s="1"/>
  <c r="CO119" i="14"/>
  <c r="CM84" i="14"/>
  <c r="CN84" i="14" s="1"/>
  <c r="CO83" i="14"/>
  <c r="DQ396" i="14"/>
  <c r="DR396" i="14" s="1"/>
  <c r="DS395" i="14"/>
  <c r="CC444" i="14"/>
  <c r="CD444" i="14" s="1"/>
  <c r="DG516" i="14"/>
  <c r="DH516" i="14" s="1"/>
  <c r="CC672" i="14"/>
  <c r="CD672" i="14" s="1"/>
  <c r="DG168" i="14"/>
  <c r="DH168" i="14" s="1"/>
  <c r="DG552" i="14"/>
  <c r="DH552" i="14" s="1"/>
  <c r="CC576" i="14"/>
  <c r="CD576" i="14" s="1"/>
  <c r="DG96" i="14"/>
  <c r="DH96" i="14" s="1"/>
  <c r="DD47" i="14"/>
  <c r="DB48" i="14"/>
  <c r="DC48" i="14" s="1"/>
  <c r="DB577" i="14"/>
  <c r="DC577" i="14" s="1"/>
  <c r="DD576" i="14"/>
  <c r="CC48" i="14"/>
  <c r="CD48" i="14" s="1"/>
  <c r="DG228" i="14"/>
  <c r="DH228" i="14" s="1"/>
  <c r="DG384" i="14"/>
  <c r="DH384" i="14" s="1"/>
  <c r="DG372" i="14"/>
  <c r="DH372" i="14" s="1"/>
  <c r="CC192" i="14"/>
  <c r="CD192" i="14" s="1"/>
  <c r="DG444" i="14"/>
  <c r="DH444" i="14" s="1"/>
  <c r="CC96" i="14"/>
  <c r="CD96" i="14" s="1"/>
  <c r="CH577" i="14"/>
  <c r="CI577" i="14" s="1"/>
  <c r="CJ576" i="14"/>
  <c r="EC468" i="14"/>
  <c r="EA469" i="14"/>
  <c r="EB469" i="14" s="1"/>
  <c r="CO348" i="14"/>
  <c r="CM349" i="14"/>
  <c r="CN349" i="14" s="1"/>
  <c r="CC156" i="14"/>
  <c r="CD156" i="14" s="1"/>
  <c r="CC300" i="14"/>
  <c r="CD300" i="14" s="1"/>
  <c r="DD360" i="14"/>
  <c r="DB361" i="14"/>
  <c r="DC361" i="14" s="1"/>
  <c r="DL385" i="14"/>
  <c r="DM385" i="14" s="1"/>
  <c r="DN384" i="14"/>
  <c r="EC623" i="14"/>
  <c r="EA624" i="14"/>
  <c r="EB624" i="14" s="1"/>
  <c r="CW540" i="14"/>
  <c r="CX540" i="14" s="1"/>
  <c r="CY539" i="14"/>
  <c r="CM216" i="14"/>
  <c r="CN216" i="14" s="1"/>
  <c r="CO215" i="14"/>
  <c r="DB516" i="14"/>
  <c r="DC516" i="14" s="1"/>
  <c r="DD515" i="14"/>
  <c r="CO659" i="14"/>
  <c r="CM660" i="14"/>
  <c r="CN660" i="14" s="1"/>
  <c r="CO96" i="14"/>
  <c r="CM97" i="14"/>
  <c r="CN97" i="14" s="1"/>
  <c r="CH408" i="14"/>
  <c r="CI408" i="14" s="1"/>
  <c r="CJ407" i="14"/>
  <c r="DQ565" i="14"/>
  <c r="DR565" i="14" s="1"/>
  <c r="DS564" i="14"/>
  <c r="DQ589" i="14"/>
  <c r="DR589" i="14" s="1"/>
  <c r="DS588" i="14"/>
  <c r="DB553" i="14"/>
  <c r="DC553" i="14" s="1"/>
  <c r="DD552" i="14"/>
  <c r="EC191" i="14"/>
  <c r="EA192" i="14"/>
  <c r="EB192" i="14" s="1"/>
  <c r="DB372" i="14"/>
  <c r="DC372" i="14" s="1"/>
  <c r="DD371" i="14"/>
  <c r="DL240" i="14"/>
  <c r="DM240" i="14" s="1"/>
  <c r="DN239" i="14"/>
  <c r="CJ515" i="14"/>
  <c r="CH516" i="14"/>
  <c r="CI516" i="14" s="1"/>
  <c r="EC335" i="14"/>
  <c r="EA336" i="14"/>
  <c r="EB336" i="14" s="1"/>
  <c r="DX660" i="14"/>
  <c r="DV661" i="14"/>
  <c r="DW661" i="14" s="1"/>
  <c r="CY611" i="14"/>
  <c r="CW612" i="14"/>
  <c r="CX612" i="14" s="1"/>
  <c r="EF325" i="14"/>
  <c r="EG325" i="14" s="1"/>
  <c r="EH324" i="14"/>
  <c r="DD95" i="14"/>
  <c r="DB96" i="14"/>
  <c r="DC96" i="14" s="1"/>
  <c r="EH179" i="14"/>
  <c r="EF180" i="14"/>
  <c r="EG180" i="14" s="1"/>
  <c r="DD167" i="14"/>
  <c r="DB168" i="14"/>
  <c r="DC168" i="14" s="1"/>
  <c r="DB84" i="14"/>
  <c r="DC84" i="14" s="1"/>
  <c r="DD83" i="14"/>
  <c r="DN143" i="14"/>
  <c r="DL144" i="14"/>
  <c r="DM144" i="14" s="1"/>
  <c r="CH468" i="14"/>
  <c r="CI468" i="14" s="1"/>
  <c r="CJ467" i="14"/>
  <c r="CM108" i="14"/>
  <c r="CN108" i="14" s="1"/>
  <c r="CO107" i="14"/>
  <c r="DG216" i="14"/>
  <c r="DH216" i="14" s="1"/>
  <c r="DG480" i="14"/>
  <c r="DH480" i="14" s="1"/>
  <c r="CC84" i="14"/>
  <c r="CD84" i="14" s="1"/>
  <c r="CC624" i="14"/>
  <c r="CD624" i="14" s="1"/>
  <c r="DG132" i="14"/>
  <c r="DH132" i="14" s="1"/>
  <c r="DG564" i="14"/>
  <c r="DH564" i="14" s="1"/>
  <c r="CC456" i="14"/>
  <c r="CD456" i="14" s="1"/>
  <c r="DS347" i="14"/>
  <c r="DQ348" i="14"/>
  <c r="DR348" i="14" s="1"/>
  <c r="CC132" i="14"/>
  <c r="CD132" i="14" s="1"/>
  <c r="EC600" i="14"/>
  <c r="EA601" i="14"/>
  <c r="EB601" i="14" s="1"/>
  <c r="DX468" i="14"/>
  <c r="DV469" i="14"/>
  <c r="DW469" i="14" s="1"/>
  <c r="EA529" i="14"/>
  <c r="EB529" i="14" s="1"/>
  <c r="EC528" i="14"/>
  <c r="CT131" i="14"/>
  <c r="CR132" i="14"/>
  <c r="CS132" i="14" s="1"/>
  <c r="CH384" i="14"/>
  <c r="CI384" i="14" s="1"/>
  <c r="CJ383" i="14"/>
  <c r="CY527" i="14"/>
  <c r="CW528" i="14"/>
  <c r="CX528" i="14" s="1"/>
  <c r="CO311" i="14"/>
  <c r="CM312" i="14"/>
  <c r="CN312" i="14" s="1"/>
  <c r="DL168" i="14"/>
  <c r="DM168" i="14" s="1"/>
  <c r="DN167" i="14"/>
  <c r="DB264" i="14"/>
  <c r="DC264" i="14" s="1"/>
  <c r="DD263" i="14"/>
  <c r="DL433" i="14"/>
  <c r="DM433" i="14" s="1"/>
  <c r="DN432" i="14"/>
  <c r="EA348" i="14"/>
  <c r="EB348" i="14" s="1"/>
  <c r="EC347" i="14"/>
  <c r="EF540" i="14"/>
  <c r="EG540" i="14" s="1"/>
  <c r="EH539" i="14"/>
  <c r="DB120" i="14"/>
  <c r="DC120" i="14" s="1"/>
  <c r="DD119" i="14"/>
  <c r="EH264" i="14"/>
  <c r="EF265" i="14"/>
  <c r="EG265" i="14" s="1"/>
  <c r="EH587" i="14"/>
  <c r="EF588" i="14"/>
  <c r="EG588" i="14" s="1"/>
  <c r="DQ324" i="14"/>
  <c r="DR324" i="14" s="1"/>
  <c r="DS323" i="14"/>
  <c r="CT108" i="14"/>
  <c r="CR109" i="14"/>
  <c r="CS109" i="14" s="1"/>
  <c r="CH288" i="14"/>
  <c r="CI288" i="14" s="1"/>
  <c r="CJ287" i="14"/>
  <c r="DQ636" i="14"/>
  <c r="DR636" i="14" s="1"/>
  <c r="DS635" i="14"/>
  <c r="EH432" i="14"/>
  <c r="EF433" i="14"/>
  <c r="EG433" i="14" s="1"/>
  <c r="CH96" i="14"/>
  <c r="CI96" i="14" s="1"/>
  <c r="CJ95" i="14"/>
  <c r="DD539" i="14"/>
  <c r="DB540" i="14"/>
  <c r="DC540" i="14" s="1"/>
  <c r="DN624" i="14"/>
  <c r="DL625" i="14"/>
  <c r="DM625" i="14" s="1"/>
  <c r="DS335" i="14"/>
  <c r="DQ336" i="14"/>
  <c r="DR336" i="14" s="1"/>
  <c r="CT311" i="14"/>
  <c r="CR312" i="14"/>
  <c r="CS312" i="14" s="1"/>
  <c r="DD300" i="14"/>
  <c r="DB301" i="14"/>
  <c r="DC301" i="14" s="1"/>
  <c r="DL229" i="14"/>
  <c r="DM229" i="14" s="1"/>
  <c r="DN228" i="14"/>
  <c r="DN323" i="14"/>
  <c r="DL324" i="14"/>
  <c r="DM324" i="14" s="1"/>
  <c r="CT384" i="14"/>
  <c r="CR385" i="14"/>
  <c r="CS385" i="14" s="1"/>
  <c r="CT527" i="14"/>
  <c r="CR528" i="14"/>
  <c r="CS528" i="14" s="1"/>
  <c r="DQ541" i="14"/>
  <c r="DR541" i="14" s="1"/>
  <c r="DS540" i="14"/>
  <c r="DB648" i="14"/>
  <c r="DC648" i="14" s="1"/>
  <c r="DD647" i="14"/>
  <c r="DN359" i="14"/>
  <c r="DL360" i="14"/>
  <c r="DM360" i="14" s="1"/>
  <c r="EH299" i="14"/>
  <c r="EF300" i="14"/>
  <c r="EG300" i="14" s="1"/>
  <c r="EH479" i="14"/>
  <c r="EF480" i="14"/>
  <c r="EG480" i="14" s="1"/>
  <c r="CC180" i="14"/>
  <c r="CD180" i="14" s="1"/>
  <c r="CC324" i="14"/>
  <c r="CD324" i="14" s="1"/>
  <c r="DG336" i="14"/>
  <c r="DH336" i="14" s="1"/>
  <c r="DG120" i="14"/>
  <c r="DH120" i="14" s="1"/>
  <c r="DG312" i="14"/>
  <c r="DH312" i="14" s="1"/>
  <c r="DG396" i="14"/>
  <c r="DH396" i="14" s="1"/>
  <c r="CC312" i="14"/>
  <c r="CD312" i="14" s="1"/>
  <c r="CO191" i="14"/>
  <c r="CM192" i="14"/>
  <c r="CN192" i="14" s="1"/>
  <c r="EA457" i="14"/>
  <c r="EB457" i="14" s="1"/>
  <c r="EC456" i="14"/>
  <c r="EH132" i="14"/>
  <c r="EF133" i="14"/>
  <c r="EG133" i="14" s="1"/>
  <c r="EH636" i="14"/>
  <c r="EF637" i="14"/>
  <c r="EG637" i="14" s="1"/>
  <c r="DB348" i="14"/>
  <c r="DC348" i="14" s="1"/>
  <c r="DD347" i="14"/>
  <c r="DQ516" i="14"/>
  <c r="DR516" i="14" s="1"/>
  <c r="DS515" i="14"/>
  <c r="DN179" i="14"/>
  <c r="DL180" i="14"/>
  <c r="DM180" i="14" s="1"/>
  <c r="CT599" i="14"/>
  <c r="CR600" i="14"/>
  <c r="CS600" i="14" s="1"/>
  <c r="DG408" i="14"/>
  <c r="DH408" i="14" s="1"/>
  <c r="CH456" i="14"/>
  <c r="CI456" i="14" s="1"/>
  <c r="CJ455" i="14"/>
  <c r="DN635" i="14"/>
  <c r="DL636" i="14"/>
  <c r="DM636" i="14" s="1"/>
  <c r="DN95" i="14"/>
  <c r="DL96" i="14"/>
  <c r="DM96" i="14" s="1"/>
  <c r="DX83" i="14"/>
  <c r="DV84" i="14"/>
  <c r="DW84" i="14" s="1"/>
  <c r="DX371" i="14"/>
  <c r="DV372" i="14"/>
  <c r="DW372" i="14" s="1"/>
  <c r="DN347" i="14"/>
  <c r="DL348" i="14"/>
  <c r="DM348" i="14" s="1"/>
  <c r="DN131" i="14"/>
  <c r="DL132" i="14"/>
  <c r="DM132" i="14" s="1"/>
  <c r="CW301" i="14"/>
  <c r="CX301" i="14" s="1"/>
  <c r="CY300" i="14"/>
  <c r="CW649" i="14"/>
  <c r="CX649" i="14" s="1"/>
  <c r="CY648" i="14"/>
  <c r="CM492" i="14"/>
  <c r="CN492" i="14" s="1"/>
  <c r="CO491" i="14"/>
  <c r="CC600" i="14"/>
  <c r="CD600" i="14" s="1"/>
  <c r="DG468" i="14"/>
  <c r="DH468" i="14" s="1"/>
  <c r="CC648" i="14"/>
  <c r="CD648" i="14" s="1"/>
  <c r="CH241" i="14"/>
  <c r="CI241" i="14" s="1"/>
  <c r="CJ240" i="14"/>
  <c r="DS311" i="14"/>
  <c r="DQ312" i="14"/>
  <c r="DR312" i="14" s="1"/>
  <c r="DS83" i="14"/>
  <c r="DQ84" i="14"/>
  <c r="DR84" i="14" s="1"/>
  <c r="DX191" i="14"/>
  <c r="DV192" i="14"/>
  <c r="DW192" i="14" s="1"/>
  <c r="DD216" i="14"/>
  <c r="DB217" i="14"/>
  <c r="DC217" i="14" s="1"/>
  <c r="EF624" i="14"/>
  <c r="EG624" i="14" s="1"/>
  <c r="EH623" i="14"/>
  <c r="CR660" i="14"/>
  <c r="CS660" i="14" s="1"/>
  <c r="CT659" i="14"/>
  <c r="DQ457" i="14"/>
  <c r="DR457" i="14" s="1"/>
  <c r="DS456" i="14"/>
  <c r="EC671" i="14"/>
  <c r="EA672" i="14"/>
  <c r="EB672" i="14" s="1"/>
  <c r="DV169" i="14"/>
  <c r="DW169" i="14" s="1"/>
  <c r="DX168" i="14"/>
  <c r="DX647" i="14"/>
  <c r="DV648" i="14"/>
  <c r="DW648" i="14" s="1"/>
  <c r="CO504" i="14"/>
  <c r="CM505" i="14"/>
  <c r="CN505" i="14" s="1"/>
  <c r="DV433" i="14"/>
  <c r="DW433" i="14" s="1"/>
  <c r="DX432" i="14"/>
  <c r="CT180" i="14"/>
  <c r="CR181" i="14"/>
  <c r="CS181" i="14" s="1"/>
  <c r="DB385" i="14"/>
  <c r="DC385" i="14" s="1"/>
  <c r="DD384" i="14"/>
  <c r="DL505" i="14"/>
  <c r="DM505" i="14" s="1"/>
  <c r="DN504" i="14"/>
  <c r="EH671" i="14"/>
  <c r="EF672" i="14"/>
  <c r="EG672" i="14" s="1"/>
  <c r="CT59" i="14"/>
  <c r="CR60" i="14"/>
  <c r="CS60" i="14" s="1"/>
  <c r="CH84" i="14"/>
  <c r="CI84" i="14" s="1"/>
  <c r="CJ83" i="14"/>
  <c r="CY204" i="14"/>
  <c r="CW205" i="14"/>
  <c r="CX205" i="14" s="1"/>
  <c r="CO132" i="14"/>
  <c r="CM133" i="14"/>
  <c r="CN133" i="14" s="1"/>
  <c r="CT156" i="14"/>
  <c r="CR157" i="14"/>
  <c r="CS157" i="14" s="1"/>
  <c r="CJ347" i="14"/>
  <c r="CH348" i="14"/>
  <c r="CI348" i="14" s="1"/>
  <c r="EA228" i="14"/>
  <c r="EB228" i="14" s="1"/>
  <c r="EC227" i="14"/>
  <c r="CT408" i="14"/>
  <c r="CR409" i="14"/>
  <c r="CS409" i="14" s="1"/>
  <c r="CM229" i="14"/>
  <c r="CN229" i="14" s="1"/>
  <c r="CO228" i="14"/>
  <c r="CW433" i="14"/>
  <c r="CX433" i="14" s="1"/>
  <c r="CY432" i="14"/>
  <c r="DS252" i="14"/>
  <c r="DQ253" i="14"/>
  <c r="DR253" i="14" s="1"/>
  <c r="CW672" i="14"/>
  <c r="CX672" i="14" s="1"/>
  <c r="CY671" i="14"/>
  <c r="CH432" i="14"/>
  <c r="CI432" i="14" s="1"/>
  <c r="CJ431" i="14"/>
  <c r="CT575" i="14"/>
  <c r="CR576" i="14"/>
  <c r="CS576" i="14" s="1"/>
  <c r="DS228" i="14"/>
  <c r="DQ229" i="14"/>
  <c r="DR229" i="14" s="1"/>
  <c r="DB505" i="14"/>
  <c r="DC505" i="14" s="1"/>
  <c r="DD504" i="14"/>
  <c r="CC60" i="14"/>
  <c r="CD60" i="14" s="1"/>
  <c r="CC516" i="14"/>
  <c r="CD516" i="14" s="1"/>
  <c r="DG612" i="14"/>
  <c r="DH612" i="14" s="1"/>
  <c r="CC588" i="14"/>
  <c r="CD588" i="14" s="1"/>
  <c r="DG240" i="14"/>
  <c r="DH240" i="14" s="1"/>
  <c r="DG504" i="14"/>
  <c r="DH504" i="14" s="1"/>
  <c r="CC216" i="14"/>
  <c r="CD216" i="14" s="1"/>
  <c r="EH59" i="14"/>
  <c r="EF60" i="14"/>
  <c r="EG60" i="14" s="1"/>
  <c r="DN564" i="14"/>
  <c r="DL565" i="14"/>
  <c r="DM565" i="14" s="1"/>
  <c r="DV625" i="14"/>
  <c r="DW625" i="14" s="1"/>
  <c r="DX624" i="14"/>
  <c r="DB481" i="14"/>
  <c r="DC481" i="14" s="1"/>
  <c r="DD480" i="14"/>
  <c r="CY167" i="14"/>
  <c r="CW168" i="14"/>
  <c r="CX168" i="14" s="1"/>
  <c r="DG624" i="14"/>
  <c r="DH624" i="14" s="1"/>
  <c r="EC275" i="14"/>
  <c r="EA276" i="14"/>
  <c r="EB276" i="14" s="1"/>
  <c r="CH300" i="14"/>
  <c r="CI300" i="14" s="1"/>
  <c r="CJ299" i="14"/>
  <c r="CJ48" i="14"/>
  <c r="CH49" i="14"/>
  <c r="CI49" i="14" s="1"/>
  <c r="EC647" i="14"/>
  <c r="EA648" i="14"/>
  <c r="EB648" i="14" s="1"/>
  <c r="CC108" i="14"/>
  <c r="CD108" i="14" s="1"/>
  <c r="DL336" i="14"/>
  <c r="DM336" i="14" s="1"/>
  <c r="DN335" i="14"/>
  <c r="DQ120" i="14"/>
  <c r="DR120" i="14" s="1"/>
  <c r="DS119" i="14"/>
  <c r="CH121" i="14"/>
  <c r="CI121" i="14" s="1"/>
  <c r="CJ120" i="14"/>
  <c r="EA240" i="14"/>
  <c r="EB240" i="14" s="1"/>
  <c r="EC239" i="14"/>
  <c r="DV228" i="14"/>
  <c r="DW228" i="14" s="1"/>
  <c r="DX227" i="14"/>
  <c r="CY479" i="14"/>
  <c r="CW480" i="14"/>
  <c r="CX480" i="14" s="1"/>
  <c r="CJ335" i="14"/>
  <c r="CH336" i="14"/>
  <c r="CI336" i="14" s="1"/>
  <c r="DV613" i="14"/>
  <c r="DW613" i="14" s="1"/>
  <c r="DX612" i="14"/>
  <c r="CT551" i="14"/>
  <c r="CR552" i="14"/>
  <c r="CS552" i="14" s="1"/>
  <c r="EC432" i="14"/>
  <c r="EA433" i="14"/>
  <c r="EB433" i="14" s="1"/>
  <c r="DN467" i="14"/>
  <c r="DL468" i="14"/>
  <c r="DM468" i="14" s="1"/>
  <c r="DG84" i="14"/>
  <c r="DH84" i="14" s="1"/>
  <c r="DG348" i="14"/>
  <c r="DH348" i="14" s="1"/>
  <c r="CC288" i="14"/>
  <c r="CD288" i="14" s="1"/>
  <c r="DQ648" i="14"/>
  <c r="DR648" i="14" s="1"/>
  <c r="DS647" i="14"/>
  <c r="DQ384" i="14"/>
  <c r="DR384" i="14" s="1"/>
  <c r="DS383" i="14"/>
  <c r="DD143" i="14"/>
  <c r="DB144" i="14"/>
  <c r="DC144" i="14" s="1"/>
  <c r="DN480" i="14"/>
  <c r="DL481" i="14"/>
  <c r="DM481" i="14" s="1"/>
  <c r="CM432" i="14"/>
  <c r="CN432" i="14" s="1"/>
  <c r="CO431" i="14"/>
  <c r="EC504" i="14"/>
  <c r="EA505" i="14"/>
  <c r="EB505" i="14" s="1"/>
  <c r="EH96" i="14"/>
  <c r="EF97" i="14"/>
  <c r="EG97" i="14" s="1"/>
  <c r="DL408" i="14"/>
  <c r="DM408" i="14" s="1"/>
  <c r="DN407" i="14"/>
  <c r="DX299" i="14"/>
  <c r="DV300" i="14"/>
  <c r="DW300" i="14" s="1"/>
  <c r="CJ143" i="14"/>
  <c r="CH144" i="14"/>
  <c r="CI144" i="14" s="1"/>
  <c r="CR480" i="14"/>
  <c r="CS480" i="14" s="1"/>
  <c r="CT479" i="14"/>
  <c r="EC215" i="14"/>
  <c r="EA216" i="14"/>
  <c r="EB216" i="14" s="1"/>
  <c r="DX420" i="14"/>
  <c r="DV421" i="14"/>
  <c r="DW421" i="14" s="1"/>
  <c r="CT539" i="14"/>
  <c r="CR540" i="14"/>
  <c r="CS540" i="14" s="1"/>
  <c r="CY371" i="14"/>
  <c r="CW372" i="14"/>
  <c r="CX372" i="14" s="1"/>
  <c r="CY503" i="14"/>
  <c r="CW504" i="14"/>
  <c r="CX504" i="14" s="1"/>
  <c r="CW397" i="14"/>
  <c r="CX397" i="14" s="1"/>
  <c r="CY396" i="14"/>
  <c r="EC288" i="14"/>
  <c r="EA289" i="14"/>
  <c r="EB289" i="14" s="1"/>
  <c r="EH155" i="14"/>
  <c r="EF156" i="14"/>
  <c r="EG156" i="14" s="1"/>
  <c r="DX131" i="14"/>
  <c r="DV132" i="14"/>
  <c r="DW132" i="14" s="1"/>
  <c r="EC515" i="14"/>
  <c r="EA516" i="14"/>
  <c r="EB516" i="14" s="1"/>
  <c r="EA144" i="14"/>
  <c r="EB144" i="14" s="1"/>
  <c r="EC143" i="14"/>
  <c r="EH419" i="14"/>
  <c r="EF420" i="14"/>
  <c r="EG420" i="14" s="1"/>
  <c r="CW577" i="14"/>
  <c r="CX577" i="14" s="1"/>
  <c r="CY576" i="14"/>
  <c r="CH588" i="14"/>
  <c r="CI588" i="14" s="1"/>
  <c r="CJ587" i="14"/>
  <c r="CW48" i="14"/>
  <c r="CX48" i="14" s="1"/>
  <c r="CY47" i="14"/>
  <c r="EA576" i="14"/>
  <c r="EB576" i="14" s="1"/>
  <c r="EC575" i="14"/>
  <c r="DX48" i="14"/>
  <c r="DV49" i="14"/>
  <c r="DW49" i="14" s="1"/>
  <c r="DB564" i="14"/>
  <c r="DC564" i="14" s="1"/>
  <c r="DD563" i="14"/>
  <c r="DV408" i="14"/>
  <c r="DW408" i="14" s="1"/>
  <c r="DX407" i="14"/>
  <c r="DL493" i="14"/>
  <c r="DM493" i="14" s="1"/>
  <c r="DN492" i="14"/>
  <c r="DX575" i="14"/>
  <c r="DV576" i="14"/>
  <c r="DW576" i="14" s="1"/>
  <c r="CM516" i="14"/>
  <c r="CN516" i="14" s="1"/>
  <c r="CO515" i="14"/>
  <c r="DG288" i="14"/>
  <c r="DH288" i="14" s="1"/>
  <c r="DG492" i="14"/>
  <c r="DH492" i="14" s="1"/>
  <c r="CC336" i="14"/>
  <c r="CD336" i="14" s="1"/>
  <c r="DG456" i="14"/>
  <c r="DH456" i="14" s="1"/>
  <c r="DG108" i="14"/>
  <c r="DH108" i="14" s="1"/>
  <c r="CC204" i="14"/>
  <c r="CD204" i="14" s="1"/>
  <c r="DG180" i="14"/>
  <c r="DH180" i="14" s="1"/>
  <c r="CC552" i="14"/>
  <c r="CD552" i="14" s="1"/>
  <c r="EF504" i="14"/>
  <c r="EG504" i="14" s="1"/>
  <c r="EH503" i="14"/>
  <c r="EC132" i="14"/>
  <c r="EA133" i="14"/>
  <c r="EB133" i="14" s="1"/>
  <c r="CC408" i="14"/>
  <c r="CD408" i="14" s="1"/>
  <c r="DV240" i="14"/>
  <c r="DW240" i="14" s="1"/>
  <c r="DX239" i="14"/>
  <c r="DD419" i="14"/>
  <c r="DB420" i="14"/>
  <c r="DC420" i="14" s="1"/>
  <c r="DS95" i="14"/>
  <c r="DQ96" i="14"/>
  <c r="DR96" i="14" s="1"/>
  <c r="DQ480" i="14"/>
  <c r="DR480" i="14" s="1"/>
  <c r="DS479" i="14"/>
  <c r="DL552" i="14"/>
  <c r="DM552" i="14" s="1"/>
  <c r="DN551" i="14"/>
  <c r="CW588" i="14"/>
  <c r="CX588" i="14" s="1"/>
  <c r="CY587" i="14"/>
  <c r="CJ311" i="14"/>
  <c r="CH312" i="14"/>
  <c r="CI312" i="14" s="1"/>
  <c r="CH180" i="14"/>
  <c r="CI180" i="14" s="1"/>
  <c r="CJ179" i="14"/>
  <c r="CJ263" i="14"/>
  <c r="CH264" i="14"/>
  <c r="CI264" i="14" s="1"/>
  <c r="EF276" i="14"/>
  <c r="EG276" i="14" s="1"/>
  <c r="EH275" i="14"/>
  <c r="DV588" i="14"/>
  <c r="DW588" i="14" s="1"/>
  <c r="DX587" i="14"/>
  <c r="DD132" i="14"/>
  <c r="DB133" i="14"/>
  <c r="DC133" i="14" s="1"/>
  <c r="DD407" i="14"/>
  <c r="DB408" i="14"/>
  <c r="DC408" i="14" s="1"/>
  <c r="EC84" i="14"/>
  <c r="EA85" i="14"/>
  <c r="EB85" i="14" s="1"/>
  <c r="DX635" i="14"/>
  <c r="DV636" i="14"/>
  <c r="DW636" i="14" s="1"/>
  <c r="DN59" i="14"/>
  <c r="DL60" i="14"/>
  <c r="DM60" i="14" s="1"/>
  <c r="DX492" i="14"/>
  <c r="DV493" i="14"/>
  <c r="DW493" i="14" s="1"/>
  <c r="CW421" i="14"/>
  <c r="CX421" i="14" s="1"/>
  <c r="CY420" i="14"/>
  <c r="CJ203" i="14"/>
  <c r="CH204" i="14"/>
  <c r="CI204" i="14" s="1"/>
  <c r="DV528" i="14"/>
  <c r="DW528" i="14" s="1"/>
  <c r="DX527" i="14"/>
  <c r="CJ479" i="14"/>
  <c r="CH480" i="14"/>
  <c r="CI480" i="14" s="1"/>
  <c r="EC95" i="14"/>
  <c r="EA96" i="14"/>
  <c r="EB96" i="14" s="1"/>
  <c r="CR397" i="14"/>
  <c r="CS397" i="14" s="1"/>
  <c r="CT396" i="14"/>
  <c r="EF660" i="14"/>
  <c r="EG660" i="14" s="1"/>
  <c r="EH659" i="14"/>
  <c r="EA396" i="14"/>
  <c r="EB396" i="14" s="1"/>
  <c r="EC395" i="14"/>
  <c r="CJ648" i="14"/>
  <c r="CH649" i="14"/>
  <c r="CI649" i="14" s="1"/>
  <c r="CH540" i="14"/>
  <c r="CI540" i="14" s="1"/>
  <c r="CJ539" i="14"/>
  <c r="CR48" i="14"/>
  <c r="CS48" i="14" s="1"/>
  <c r="CT47" i="14"/>
  <c r="CW120" i="14"/>
  <c r="CX120" i="14" s="1"/>
  <c r="CY119" i="14"/>
  <c r="DS107" i="14"/>
  <c r="DQ108" i="14"/>
  <c r="DR108" i="14" s="1"/>
  <c r="CM420" i="14"/>
  <c r="CN420" i="14" s="1"/>
  <c r="CO419" i="14"/>
  <c r="DB289" i="14"/>
  <c r="DC289" i="14" s="1"/>
  <c r="DD288" i="14"/>
  <c r="DN119" i="14"/>
  <c r="DL120" i="14"/>
  <c r="DM120" i="14" s="1"/>
  <c r="DG636" i="14"/>
  <c r="DH636" i="14" s="1"/>
  <c r="DG60" i="14"/>
  <c r="DH60" i="14" s="1"/>
  <c r="CC564" i="14"/>
  <c r="CD564" i="14" s="1"/>
  <c r="CC636" i="14"/>
  <c r="CD636" i="14" s="1"/>
  <c r="CC240" i="14"/>
  <c r="CD240" i="14" s="1"/>
  <c r="DG276" i="14"/>
  <c r="DH276" i="14" s="1"/>
  <c r="DG660" i="14"/>
  <c r="DH660" i="14" s="1"/>
  <c r="CC144" i="14"/>
  <c r="CD144" i="14" s="1"/>
  <c r="DD443" i="14"/>
  <c r="DB444" i="14"/>
  <c r="DC444" i="14" s="1"/>
  <c r="CC420" i="14"/>
  <c r="CD420" i="14" s="1"/>
  <c r="CW661" i="14"/>
  <c r="CX661" i="14" s="1"/>
  <c r="CY660" i="14"/>
  <c r="DG600" i="14"/>
  <c r="DH600" i="14" s="1"/>
  <c r="DD467" i="14"/>
  <c r="DB468" i="14"/>
  <c r="DC468" i="14" s="1"/>
  <c r="DD60" i="14"/>
  <c r="DB61" i="14"/>
  <c r="DC61" i="14" s="1"/>
  <c r="DQ433" i="14"/>
  <c r="DR433" i="14" s="1"/>
  <c r="DS432" i="14"/>
  <c r="DS180" i="14"/>
  <c r="DQ181" i="14"/>
  <c r="DR181" i="14" s="1"/>
  <c r="EF360" i="14"/>
  <c r="EG360" i="14" s="1"/>
  <c r="EH359" i="14"/>
  <c r="DB528" i="14"/>
  <c r="DC528" i="14" s="1"/>
  <c r="DD527" i="14"/>
  <c r="EH348" i="14"/>
  <c r="EF349" i="14"/>
  <c r="EG349" i="14" s="1"/>
  <c r="CY623" i="14"/>
  <c r="CW624" i="14"/>
  <c r="CX624" i="14" s="1"/>
  <c r="EA252" i="14"/>
  <c r="EB252" i="14" s="1"/>
  <c r="EC251" i="14"/>
  <c r="CJ624" i="14"/>
  <c r="CH625" i="14"/>
  <c r="CI625" i="14" s="1"/>
  <c r="CM445" i="14"/>
  <c r="CN445" i="14" s="1"/>
  <c r="CO444" i="14"/>
  <c r="CR325" i="14"/>
  <c r="CS325" i="14" s="1"/>
  <c r="CT324" i="14"/>
  <c r="EA49" i="14"/>
  <c r="EB49" i="14" s="1"/>
  <c r="EC48" i="14"/>
  <c r="CH216" i="14"/>
  <c r="CI216" i="14" s="1"/>
  <c r="CJ215" i="14"/>
  <c r="EF192" i="14"/>
  <c r="EG192" i="14" s="1"/>
  <c r="EH191" i="14"/>
  <c r="DX251" i="14"/>
  <c r="DV252" i="14"/>
  <c r="DW252" i="14" s="1"/>
  <c r="CM276" i="14"/>
  <c r="CN276" i="14" s="1"/>
  <c r="CO275" i="14"/>
  <c r="DL456" i="14"/>
  <c r="DM456" i="14" s="1"/>
  <c r="DN455" i="14"/>
  <c r="DQ505" i="14"/>
  <c r="DR505" i="14" s="1"/>
  <c r="DS504" i="14"/>
  <c r="EH251" i="14"/>
  <c r="EF252" i="14"/>
  <c r="EG252" i="14" s="1"/>
  <c r="CT215" i="14"/>
  <c r="CR216" i="14"/>
  <c r="CS216" i="14" s="1"/>
  <c r="CR673" i="14"/>
  <c r="CS673" i="14" s="1"/>
  <c r="CT672" i="14"/>
  <c r="DN599" i="14"/>
  <c r="DL600" i="14"/>
  <c r="DM600" i="14" s="1"/>
  <c r="CO144" i="14"/>
  <c r="CM145" i="14"/>
  <c r="CN145" i="14" s="1"/>
  <c r="CY323" i="14"/>
  <c r="CW324" i="14"/>
  <c r="CX324" i="14" s="1"/>
  <c r="DB396" i="14"/>
  <c r="DC396" i="14" s="1"/>
  <c r="DD395" i="14"/>
  <c r="EF469" i="14"/>
  <c r="EG469" i="14" s="1"/>
  <c r="EH468" i="14"/>
  <c r="CW60" i="14"/>
  <c r="CX60" i="14" s="1"/>
  <c r="CY59" i="14"/>
  <c r="DG588" i="14"/>
  <c r="DH588" i="14" s="1"/>
  <c r="DG144" i="14"/>
  <c r="DH144" i="14" s="1"/>
  <c r="CC360" i="14"/>
  <c r="CD360" i="14" s="1"/>
  <c r="CC432" i="14"/>
  <c r="CD432" i="14" s="1"/>
  <c r="CC348" i="14"/>
  <c r="CD348" i="14" s="1"/>
  <c r="CC276" i="14"/>
  <c r="CD276" i="14" s="1"/>
  <c r="DG156" i="14"/>
  <c r="DH156" i="14" s="1"/>
  <c r="DG324" i="14"/>
  <c r="DH324" i="14" s="1"/>
  <c r="CM408" i="14"/>
  <c r="CN408" i="14" s="1"/>
  <c r="CO407" i="14"/>
  <c r="CC480" i="14"/>
  <c r="CD480" i="14" s="1"/>
  <c r="DQ576" i="14"/>
  <c r="DR576" i="14" s="1"/>
  <c r="DS575" i="14"/>
  <c r="CW288" i="14"/>
  <c r="CX288" i="14" s="1"/>
  <c r="CY287" i="14"/>
  <c r="CW144" i="14"/>
  <c r="CX144" i="14" s="1"/>
  <c r="CY143" i="14"/>
  <c r="EF409" i="14"/>
  <c r="EG409" i="14" s="1"/>
  <c r="EH408" i="14"/>
  <c r="CC660" i="14"/>
  <c r="CD660" i="14" s="1"/>
  <c r="DS300" i="14"/>
  <c r="DQ301" i="14"/>
  <c r="DR301" i="14" s="1"/>
  <c r="DB432" i="14"/>
  <c r="DC432" i="14" s="1"/>
  <c r="DD431" i="14"/>
  <c r="DQ493" i="14"/>
  <c r="DR493" i="14" s="1"/>
  <c r="DS492" i="14"/>
  <c r="CM456" i="14"/>
  <c r="CN456" i="14" s="1"/>
  <c r="CO455" i="14"/>
  <c r="EC107" i="14"/>
  <c r="EA108" i="14"/>
  <c r="EB108" i="14" s="1"/>
  <c r="CR612" i="14"/>
  <c r="CS612" i="14" s="1"/>
  <c r="CT611" i="14"/>
  <c r="DB277" i="14"/>
  <c r="DC277" i="14" s="1"/>
  <c r="DD276" i="14"/>
  <c r="DX455" i="14"/>
  <c r="DV456" i="14"/>
  <c r="DW456" i="14" s="1"/>
  <c r="CR204" i="14"/>
  <c r="CS204" i="14" s="1"/>
  <c r="CT203" i="14"/>
  <c r="DG528" i="14"/>
  <c r="DH528" i="14" s="1"/>
  <c r="DX180" i="14"/>
  <c r="DV181" i="14"/>
  <c r="DW181" i="14" s="1"/>
  <c r="CJ660" i="14"/>
  <c r="CH661" i="14"/>
  <c r="CI661" i="14" s="1"/>
  <c r="EA373" i="14"/>
  <c r="EB373" i="14" s="1"/>
  <c r="EC372" i="14"/>
  <c r="DX155" i="14"/>
  <c r="DV156" i="14"/>
  <c r="DW156" i="14" s="1"/>
  <c r="EH84" i="14"/>
  <c r="EF85" i="14"/>
  <c r="EG85" i="14" s="1"/>
  <c r="EC299" i="14"/>
  <c r="EA300" i="14"/>
  <c r="EB300" i="14" s="1"/>
  <c r="EA588" i="14"/>
  <c r="EB588" i="14" s="1"/>
  <c r="EC587" i="14"/>
  <c r="DV397" i="14"/>
  <c r="DW397" i="14" s="1"/>
  <c r="DX396" i="14"/>
  <c r="CW241" i="14"/>
  <c r="CX241" i="14" s="1"/>
  <c r="CY240" i="14"/>
  <c r="DV349" i="14"/>
  <c r="DW349" i="14" s="1"/>
  <c r="DX348" i="14"/>
  <c r="EA324" i="14"/>
  <c r="EB324" i="14" s="1"/>
  <c r="EC323" i="14"/>
  <c r="CO624" i="14"/>
  <c r="CM625" i="14"/>
  <c r="CN625" i="14" s="1"/>
  <c r="EH168" i="14"/>
  <c r="EF169" i="14"/>
  <c r="EG169" i="14" s="1"/>
  <c r="CR276" i="14"/>
  <c r="CS276" i="14" s="1"/>
  <c r="CT275" i="14"/>
  <c r="CH252" i="14"/>
  <c r="CI252" i="14" s="1"/>
  <c r="CJ251" i="14"/>
  <c r="DS132" i="14"/>
  <c r="DQ133" i="14"/>
  <c r="DR133" i="14" s="1"/>
  <c r="EA553" i="14"/>
  <c r="EB553" i="14" s="1"/>
  <c r="EC552" i="14"/>
  <c r="DX144" i="14"/>
  <c r="DV145" i="14"/>
  <c r="DW145" i="14" s="1"/>
  <c r="CR120" i="14"/>
  <c r="CS120" i="14" s="1"/>
  <c r="CT119" i="14"/>
  <c r="EA636" i="14"/>
  <c r="EB636" i="14" s="1"/>
  <c r="EC635" i="14"/>
  <c r="CO576" i="14"/>
  <c r="CM577" i="14"/>
  <c r="CN577" i="14" s="1"/>
  <c r="CO167" i="14"/>
  <c r="CM168" i="14"/>
  <c r="CN168" i="14" s="1"/>
  <c r="DS467" i="14"/>
  <c r="DQ468" i="14"/>
  <c r="DR468" i="14" s="1"/>
  <c r="DN47" i="14"/>
  <c r="DL48" i="14"/>
  <c r="DM48" i="14" s="1"/>
  <c r="EA384" i="14"/>
  <c r="EB384" i="14" s="1"/>
  <c r="EC383" i="14"/>
  <c r="DL541" i="14"/>
  <c r="DM541" i="14" s="1"/>
  <c r="DN540" i="14"/>
  <c r="DL528" i="14"/>
  <c r="DM528" i="14" s="1"/>
  <c r="DN527" i="14"/>
  <c r="DL648" i="14"/>
  <c r="DM648" i="14" s="1"/>
  <c r="DN647" i="14"/>
  <c r="EC312" i="14"/>
  <c r="EA313" i="14"/>
  <c r="EB313" i="14" s="1"/>
  <c r="DB253" i="14"/>
  <c r="DC253" i="14" s="1"/>
  <c r="DD252" i="14"/>
  <c r="DD636" i="14"/>
  <c r="DB637" i="14"/>
  <c r="DC637" i="14" s="1"/>
  <c r="DS48" i="14"/>
  <c r="DQ49" i="14"/>
  <c r="DR49" i="14" s="1"/>
  <c r="CY83" i="14"/>
  <c r="CW84" i="14"/>
  <c r="CX84" i="14" s="1"/>
  <c r="CJ275" i="14"/>
  <c r="CH276" i="14"/>
  <c r="CI276" i="14" s="1"/>
  <c r="DQ241" i="14"/>
  <c r="DR241" i="14" s="1"/>
  <c r="DS240" i="14"/>
  <c r="CC264" i="14"/>
  <c r="CD264" i="14" s="1"/>
  <c r="DG192" i="14"/>
  <c r="DH192" i="14" s="1"/>
  <c r="CC492" i="14"/>
  <c r="CD492" i="14" s="1"/>
  <c r="CC228" i="14"/>
  <c r="CD228" i="14" s="1"/>
  <c r="CC384" i="14"/>
  <c r="CD384" i="14" s="1"/>
  <c r="DG204" i="14"/>
  <c r="DH204" i="14" s="1"/>
  <c r="CC252" i="14"/>
  <c r="CD252" i="14" s="1"/>
  <c r="DG264" i="14"/>
  <c r="DH264" i="14" s="1"/>
  <c r="EF372" i="14"/>
  <c r="EG372" i="14" s="1"/>
  <c r="EH371" i="14"/>
  <c r="DB204" i="14"/>
  <c r="DC204" i="14" s="1"/>
  <c r="DD203" i="14"/>
  <c r="CY467" i="14"/>
  <c r="CW468" i="14"/>
  <c r="CX468" i="14" s="1"/>
  <c r="CR85" i="14"/>
  <c r="CS85" i="14" s="1"/>
  <c r="CT84" i="14"/>
  <c r="CT252" i="14"/>
  <c r="CR253" i="14"/>
  <c r="CS253" i="14" s="1"/>
  <c r="DN275" i="14"/>
  <c r="DL276" i="14"/>
  <c r="DM276" i="14" s="1"/>
  <c r="CM156" i="14"/>
  <c r="CN156" i="14" s="1"/>
  <c r="CO155" i="14"/>
  <c r="EC360" i="14"/>
  <c r="EA361" i="14"/>
  <c r="EB361" i="14" s="1"/>
  <c r="EF336" i="14"/>
  <c r="EG336" i="14" s="1"/>
  <c r="EH335" i="14"/>
  <c r="DL421" i="14"/>
  <c r="DM421" i="14" s="1"/>
  <c r="DN420" i="14"/>
  <c r="DN444" i="14"/>
  <c r="DL445" i="14"/>
  <c r="DM445" i="14" s="1"/>
  <c r="CY491" i="14"/>
  <c r="CW492" i="14"/>
  <c r="CX492" i="14" s="1"/>
  <c r="DS408" i="14"/>
  <c r="DQ409" i="14"/>
  <c r="DR409" i="14" s="1"/>
  <c r="DD191" i="14"/>
  <c r="DB192" i="14"/>
  <c r="DC192" i="14" s="1"/>
  <c r="CH157" i="14"/>
  <c r="CI157" i="14" s="1"/>
  <c r="CJ156" i="14"/>
  <c r="EF396" i="14"/>
  <c r="EG396" i="14" s="1"/>
  <c r="EH395" i="14"/>
  <c r="CW132" i="14"/>
  <c r="CX132" i="14" s="1"/>
  <c r="CY131" i="14"/>
  <c r="CO612" i="14"/>
  <c r="CM613" i="14"/>
  <c r="CN613" i="14" s="1"/>
  <c r="CJ564" i="14"/>
  <c r="CH565" i="14"/>
  <c r="CI565" i="14" s="1"/>
  <c r="CW349" i="14"/>
  <c r="CX349" i="14" s="1"/>
  <c r="CY348" i="14"/>
  <c r="DD107" i="14"/>
  <c r="DB108" i="14"/>
  <c r="DC108" i="14" s="1"/>
  <c r="CY180" i="14"/>
  <c r="CW181" i="14"/>
  <c r="CX181" i="14" s="1"/>
  <c r="DN576" i="14"/>
  <c r="DL577" i="14"/>
  <c r="DM577" i="14" s="1"/>
  <c r="EC491" i="14"/>
  <c r="EA492" i="14"/>
  <c r="EB492" i="14" s="1"/>
  <c r="DX275" i="14"/>
  <c r="DV276" i="14"/>
  <c r="DW276" i="14" s="1"/>
  <c r="CY635" i="14"/>
  <c r="CW636" i="14"/>
  <c r="CX636" i="14" s="1"/>
  <c r="CH613" i="14"/>
  <c r="CI613" i="14" s="1"/>
  <c r="CJ612" i="14"/>
  <c r="DG672" i="14"/>
  <c r="DH672" i="14" s="1"/>
  <c r="DG420" i="14"/>
  <c r="DH420" i="14" s="1"/>
  <c r="DG432" i="14"/>
  <c r="DH432" i="14" s="1"/>
  <c r="CC528" i="14"/>
  <c r="CD528" i="14" s="1"/>
  <c r="CC372" i="14"/>
  <c r="CD372" i="14" s="1"/>
  <c r="DG576" i="14"/>
  <c r="DH576" i="14" s="1"/>
  <c r="DG360" i="14"/>
  <c r="DH360" i="14" s="1"/>
  <c r="CC504" i="14"/>
  <c r="CD504" i="14" s="1"/>
  <c r="DQ660" i="14"/>
  <c r="DR660" i="14" s="1"/>
  <c r="DS659" i="14"/>
  <c r="EH215" i="14"/>
  <c r="EF216" i="14"/>
  <c r="EG216" i="14" s="1"/>
  <c r="DV264" i="14"/>
  <c r="DW264" i="14" s="1"/>
  <c r="DX263" i="14"/>
  <c r="CT468" i="14"/>
  <c r="CR469" i="14"/>
  <c r="CS469" i="14" s="1"/>
  <c r="DL205" i="14"/>
  <c r="DM205" i="14" s="1"/>
  <c r="DN204" i="14"/>
  <c r="CR457" i="14"/>
  <c r="CS457" i="14" s="1"/>
  <c r="CT456" i="14"/>
  <c r="DD455" i="14"/>
  <c r="DB456" i="14"/>
  <c r="DC456" i="14" s="1"/>
  <c r="CH192" i="14"/>
  <c r="CI192" i="14" s="1"/>
  <c r="CJ191" i="14"/>
  <c r="DB661" i="14"/>
  <c r="DC661" i="14" s="1"/>
  <c r="DD660" i="14"/>
  <c r="EA120" i="14"/>
  <c r="EB120" i="14" s="1"/>
  <c r="EC119" i="14"/>
  <c r="CC168" i="14"/>
  <c r="CD168" i="14" s="1"/>
  <c r="DD491" i="14"/>
  <c r="DB492" i="14"/>
  <c r="DC492" i="14" s="1"/>
  <c r="DS60" i="14"/>
  <c r="DQ61" i="14"/>
  <c r="DR61" i="14" s="1"/>
  <c r="EC419" i="14"/>
  <c r="EA420" i="14"/>
  <c r="EB420" i="14" s="1"/>
  <c r="EA444" i="14"/>
  <c r="EB444" i="14" s="1"/>
  <c r="EC443" i="14"/>
  <c r="EA565" i="14"/>
  <c r="EB565" i="14" s="1"/>
  <c r="EC564" i="14"/>
  <c r="CW97" i="14"/>
  <c r="CX97" i="14" s="1"/>
  <c r="CY96" i="14"/>
  <c r="DS623" i="14"/>
  <c r="DQ624" i="14"/>
  <c r="DR624" i="14" s="1"/>
  <c r="CY156" i="14"/>
  <c r="CW157" i="14"/>
  <c r="CX157" i="14" s="1"/>
  <c r="DB625" i="14"/>
  <c r="DC625" i="14" s="1"/>
  <c r="DD624" i="14"/>
  <c r="DQ612" i="14"/>
  <c r="DR612" i="14" s="1"/>
  <c r="DS611" i="14"/>
  <c r="EH528" i="14"/>
  <c r="EF529" i="14"/>
  <c r="EG529" i="14" s="1"/>
  <c r="CM649" i="14"/>
  <c r="CN649" i="14" s="1"/>
  <c r="CO648" i="14"/>
  <c r="CW564" i="14"/>
  <c r="CX564" i="14" s="1"/>
  <c r="CY563" i="14"/>
  <c r="EH239" i="14"/>
  <c r="EF240" i="14"/>
  <c r="EG240" i="14" s="1"/>
  <c r="DD311" i="14"/>
  <c r="DB312" i="14"/>
  <c r="DC312" i="14" s="1"/>
  <c r="DV108" i="14"/>
  <c r="DW108" i="14" s="1"/>
  <c r="DX107" i="14"/>
  <c r="DN216" i="14"/>
  <c r="DL217" i="14"/>
  <c r="DM217" i="14" s="1"/>
  <c r="CJ395" i="14"/>
  <c r="CH396" i="14"/>
  <c r="CI396" i="14" s="1"/>
  <c r="CY227" i="14"/>
  <c r="CW228" i="14"/>
  <c r="CX228" i="14" s="1"/>
  <c r="CR564" i="14"/>
  <c r="CS564" i="14" s="1"/>
  <c r="CT563" i="14"/>
  <c r="CM288" i="14"/>
  <c r="CN288" i="14" s="1"/>
  <c r="CO287" i="14"/>
  <c r="CH600" i="14"/>
  <c r="CI600" i="14" s="1"/>
  <c r="CJ599" i="14"/>
  <c r="DX323" i="14"/>
  <c r="DV324" i="14"/>
  <c r="DW324" i="14" s="1"/>
  <c r="CW193" i="14"/>
  <c r="CX193" i="14" s="1"/>
  <c r="CY192" i="14"/>
  <c r="DS287" i="14"/>
  <c r="DQ288" i="14"/>
  <c r="DR288" i="14" s="1"/>
  <c r="DS371" i="14"/>
  <c r="DQ372" i="14"/>
  <c r="DR372" i="14" s="1"/>
  <c r="DB672" i="14"/>
  <c r="DC672" i="14" s="1"/>
  <c r="DD671" i="14"/>
  <c r="EH312" i="14"/>
  <c r="EF313" i="14"/>
  <c r="EG313" i="14" s="1"/>
  <c r="DN396" i="14"/>
  <c r="DL397" i="14"/>
  <c r="DM397" i="14" s="1"/>
  <c r="DQ193" i="14"/>
  <c r="DR193" i="14" s="1"/>
  <c r="DS192" i="14"/>
  <c r="DV564" i="14"/>
  <c r="DW564" i="14" s="1"/>
  <c r="DX563" i="14"/>
  <c r="CO539" i="14"/>
  <c r="CM540" i="14"/>
  <c r="CN540" i="14" s="1"/>
  <c r="CM552" i="14"/>
  <c r="CN552" i="14" s="1"/>
  <c r="CO551" i="14"/>
  <c r="CH229" i="14"/>
  <c r="CI229" i="14" s="1"/>
  <c r="CJ228" i="14"/>
  <c r="DL373" i="14"/>
  <c r="DM373" i="14" s="1"/>
  <c r="DN372" i="14"/>
  <c r="DB180" i="14"/>
  <c r="DC180" i="14" s="1"/>
  <c r="DD179" i="14"/>
  <c r="CM480" i="14"/>
  <c r="CN480" i="14" s="1"/>
  <c r="CO479" i="14"/>
  <c r="CO204" i="14"/>
  <c r="CM205" i="14"/>
  <c r="CN205" i="14" s="1"/>
  <c r="DD324" i="14"/>
  <c r="DB325" i="14"/>
  <c r="DC325" i="14" s="1"/>
  <c r="DL589" i="14"/>
  <c r="DM589" i="14" s="1"/>
  <c r="DN588" i="14"/>
  <c r="DD587" i="14"/>
  <c r="DB588" i="14"/>
  <c r="DC588" i="14" s="1"/>
  <c r="DQ672" i="14"/>
  <c r="DR672" i="14" s="1"/>
  <c r="DS671" i="14"/>
  <c r="CT623" i="14"/>
  <c r="CR624" i="14"/>
  <c r="CS624" i="14" s="1"/>
  <c r="CC540" i="14"/>
  <c r="CD540" i="14" s="1"/>
  <c r="CC396" i="14"/>
  <c r="CD396" i="14" s="1"/>
  <c r="DG540" i="14"/>
  <c r="DH540" i="14" s="1"/>
  <c r="DG300" i="14"/>
  <c r="DH300" i="14" s="1"/>
  <c r="CC612" i="14"/>
  <c r="CD612" i="14" s="1"/>
  <c r="CC468" i="14"/>
  <c r="CD468" i="14" s="1"/>
  <c r="DG48" i="14"/>
  <c r="DH48" i="14" s="1"/>
  <c r="CC120" i="14"/>
  <c r="CD120" i="14" s="1"/>
  <c r="DF81" i="14"/>
  <c r="CB81" i="14"/>
  <c r="CV80" i="14"/>
  <c r="CU81" i="14"/>
  <c r="CQ80" i="14"/>
  <c r="CP81" i="14"/>
  <c r="ED81" i="14"/>
  <c r="EE80" i="14"/>
  <c r="CK81" i="14"/>
  <c r="CL80" i="14"/>
  <c r="DO81" i="14"/>
  <c r="DP80" i="14"/>
  <c r="DJ81" i="14"/>
  <c r="DK80" i="14"/>
  <c r="CG80" i="14"/>
  <c r="CF81" i="14"/>
  <c r="DE82" i="14"/>
  <c r="DU80" i="14"/>
  <c r="DT81" i="14"/>
  <c r="DY81" i="14"/>
  <c r="DZ80" i="14"/>
  <c r="CA82" i="14"/>
  <c r="CZ81" i="14"/>
  <c r="DA80" i="14"/>
  <c r="CB43" i="14"/>
  <c r="AW46" i="14"/>
  <c r="BM41" i="14"/>
  <c r="AY46" i="14"/>
  <c r="BK41" i="14"/>
  <c r="AU46" i="14"/>
  <c r="B11" i="43"/>
  <c r="AJ13" i="43"/>
  <c r="CL44" i="14"/>
  <c r="CK45" i="14"/>
  <c r="EE44" i="14"/>
  <c r="ED45" i="14"/>
  <c r="CZ44" i="14"/>
  <c r="DA44" i="14" s="1"/>
  <c r="CF44" i="14"/>
  <c r="CG44" i="14" s="1"/>
  <c r="CU44" i="14"/>
  <c r="CV44" i="14" s="1"/>
  <c r="CA44" i="14"/>
  <c r="CP44" i="14"/>
  <c r="CQ44" i="14" s="1"/>
  <c r="DK44" i="14"/>
  <c r="DJ45" i="14"/>
  <c r="DT45" i="14"/>
  <c r="DU44" i="14"/>
  <c r="DZ44" i="14"/>
  <c r="DY45" i="14"/>
  <c r="DO45" i="14"/>
  <c r="DP44" i="14"/>
  <c r="CE563" i="14" a="1"/>
  <c r="CE659" i="14" a="1"/>
  <c r="CE203" i="14" a="1"/>
  <c r="CE155" i="14" a="1"/>
  <c r="DI491" i="14" a="1"/>
  <c r="CE323" i="14" a="1"/>
  <c r="DI515" i="14" a="1"/>
  <c r="CE515" i="14" a="1"/>
  <c r="CE263" i="14" a="1"/>
  <c r="DI251" i="14" a="1"/>
  <c r="CE419" i="14" a="1"/>
  <c r="CE83" i="14" a="1"/>
  <c r="DI191" i="14" a="1"/>
  <c r="DF82" i="14" a="1"/>
  <c r="CE143" i="14" a="1"/>
  <c r="DI575" i="14" a="1"/>
  <c r="BN40" i="14"/>
  <c r="CE359" i="14" a="1"/>
  <c r="CE623" i="14" a="1"/>
  <c r="DI119" i="14" a="1"/>
  <c r="CE491" i="14" a="1"/>
  <c r="CE299" i="14" a="1"/>
  <c r="DI275" i="14" a="1"/>
  <c r="AZ45" i="14"/>
  <c r="CE395" i="14" a="1"/>
  <c r="DI263" i="14" a="1"/>
  <c r="DI239" i="14" a="1"/>
  <c r="DI335" i="14" a="1"/>
  <c r="CE239" i="14" a="1"/>
  <c r="DI143" i="14" a="1"/>
  <c r="CE167" i="14" a="1"/>
  <c r="CE647" i="14" a="1"/>
  <c r="DI347" i="14" a="1"/>
  <c r="CE107" i="14" a="1"/>
  <c r="DI431" i="14" a="1"/>
  <c r="DI419" i="14" a="1"/>
  <c r="CE635" i="14" a="1"/>
  <c r="CE275" i="14" a="1"/>
  <c r="DI527" i="14" a="1"/>
  <c r="DI359" i="14" a="1"/>
  <c r="DI47" i="14" a="1"/>
  <c r="CE527" i="14" a="1"/>
  <c r="DI107" i="14" a="1"/>
  <c r="CE383" i="14" a="1"/>
  <c r="DI443" i="14" a="1"/>
  <c r="DI623" i="14" a="1"/>
  <c r="CE287" i="14" a="1"/>
  <c r="CE587" i="14" a="1"/>
  <c r="CE503" i="14" a="1"/>
  <c r="CE551" i="14" a="1"/>
  <c r="DI587" i="14" a="1"/>
  <c r="CE251" i="14" a="1"/>
  <c r="CE311" i="14" a="1"/>
  <c r="DI479" i="14" a="1"/>
  <c r="CE335" i="14" a="1"/>
  <c r="DI203" i="14" a="1"/>
  <c r="CE407" i="14" a="1"/>
  <c r="CE95" i="14" a="1"/>
  <c r="DI563" i="14" a="1"/>
  <c r="BL40" i="14"/>
  <c r="DI671" i="14" a="1"/>
  <c r="DI455" i="14" a="1"/>
  <c r="DI395" i="14" a="1"/>
  <c r="CE59" i="14" a="1"/>
  <c r="DI179" i="14" a="1"/>
  <c r="DI95" i="14" a="1"/>
  <c r="DI539" i="14" a="1"/>
  <c r="AX46" i="14"/>
  <c r="CE539" i="14" a="1"/>
  <c r="DI407" i="14" a="1"/>
  <c r="CE611" i="14" a="1"/>
  <c r="CE131" i="14" a="1"/>
  <c r="DI215" i="14" a="1"/>
  <c r="DI659" i="14" a="1"/>
  <c r="CE671" i="14" a="1"/>
  <c r="CE575" i="14" a="1"/>
  <c r="DI551" i="14" a="1"/>
  <c r="CE227" i="14" a="1"/>
  <c r="AV46" i="14"/>
  <c r="DI299" i="14" a="1"/>
  <c r="CE479" i="14" a="1"/>
  <c r="DI59" i="14" a="1"/>
  <c r="CB82" i="14" a="1"/>
  <c r="AZ46" i="14"/>
  <c r="DI311" i="14" a="1"/>
  <c r="DI503" i="14" a="1"/>
  <c r="DI371" i="14" a="1"/>
  <c r="DI155" i="14" a="1"/>
  <c r="CE47" i="14" a="1"/>
  <c r="CE599" i="14" a="1"/>
  <c r="CE371" i="14" a="1"/>
  <c r="CE467" i="14" a="1"/>
  <c r="CE191" i="14" a="1"/>
  <c r="CE215" i="14" a="1"/>
  <c r="CE347" i="14" a="1"/>
  <c r="DI167" i="14" a="1"/>
  <c r="DI227" i="14" a="1"/>
  <c r="AV45" i="14"/>
  <c r="CB44" i="14" a="1"/>
  <c r="DI131" i="14" a="1"/>
  <c r="CE119" i="14" a="1"/>
  <c r="DI647" i="14" a="1"/>
  <c r="CE431" i="14" a="1"/>
  <c r="CE443" i="14" a="1"/>
  <c r="DI611" i="14" a="1"/>
  <c r="DI635" i="14" a="1"/>
  <c r="DI323" i="14" a="1"/>
  <c r="CE179" i="14" a="1"/>
  <c r="AX45" i="14"/>
  <c r="DI599" i="14" a="1"/>
  <c r="DI83" i="14" a="1"/>
  <c r="DI467" i="14" a="1"/>
  <c r="DI287" i="14" a="1"/>
  <c r="CE455" i="14" a="1"/>
  <c r="DI383" i="14" a="1"/>
  <c r="G3" i="40" l="1"/>
  <c r="EH384" i="14"/>
  <c r="EC264" i="14"/>
  <c r="CM637" i="14"/>
  <c r="CN637" i="14" s="1"/>
  <c r="CO637" i="14" s="1"/>
  <c r="EH444" i="14"/>
  <c r="CJ672" i="14"/>
  <c r="DQ217" i="14"/>
  <c r="DR217" i="14" s="1"/>
  <c r="DS217" i="14" s="1"/>
  <c r="CW457" i="14"/>
  <c r="CX457" i="14" s="1"/>
  <c r="CY457" i="14" s="1"/>
  <c r="CY360" i="14"/>
  <c r="CJ528" i="14"/>
  <c r="CT168" i="14"/>
  <c r="EC540" i="14"/>
  <c r="CH169" i="14"/>
  <c r="CI169" i="14" s="1"/>
  <c r="CJ169" i="14" s="1"/>
  <c r="EA157" i="14"/>
  <c r="EB157" i="14" s="1"/>
  <c r="EC157" i="14" s="1"/>
  <c r="CM397" i="14"/>
  <c r="CN397" i="14" s="1"/>
  <c r="CO397" i="14" s="1"/>
  <c r="CO60" i="14"/>
  <c r="DV517" i="14"/>
  <c r="DW517" i="14" s="1"/>
  <c r="DV518" i="14" s="1"/>
  <c r="DW518" i="14" s="1"/>
  <c r="DL301" i="14"/>
  <c r="DM301" i="14" s="1"/>
  <c r="DL302" i="14" s="1"/>
  <c r="DM302" i="14" s="1"/>
  <c r="EH456" i="14"/>
  <c r="EH600" i="14"/>
  <c r="DL517" i="14"/>
  <c r="DM517" i="14" s="1"/>
  <c r="DL518" i="14" s="1"/>
  <c r="DM518" i="14" s="1"/>
  <c r="CY384" i="14"/>
  <c r="EH48" i="14"/>
  <c r="DL85" i="14"/>
  <c r="DM85" i="14" s="1"/>
  <c r="DL86" i="14" s="1"/>
  <c r="DM86" i="14" s="1"/>
  <c r="CH109" i="14"/>
  <c r="CI109" i="14" s="1"/>
  <c r="CH110" i="14" s="1"/>
  <c r="CI110" i="14" s="1"/>
  <c r="CY408" i="14"/>
  <c r="CO588" i="14"/>
  <c r="DS144" i="14"/>
  <c r="CR445" i="14"/>
  <c r="CS445" i="14" s="1"/>
  <c r="CR446" i="14" s="1"/>
  <c r="CS446" i="14" s="1"/>
  <c r="EA181" i="14"/>
  <c r="EB181" i="14" s="1"/>
  <c r="EA182" i="14" s="1"/>
  <c r="EB182" i="14" s="1"/>
  <c r="EH576" i="14"/>
  <c r="CW517" i="14"/>
  <c r="CX517" i="14" s="1"/>
  <c r="CW518" i="14" s="1"/>
  <c r="CX518" i="14" s="1"/>
  <c r="CM241" i="14"/>
  <c r="CN241" i="14" s="1"/>
  <c r="CM242" i="14" s="1"/>
  <c r="CN242" i="14" s="1"/>
  <c r="DQ277" i="14"/>
  <c r="DR277" i="14" s="1"/>
  <c r="DS277" i="14" s="1"/>
  <c r="CW445" i="14"/>
  <c r="CX445" i="14" s="1"/>
  <c r="CY445" i="14" s="1"/>
  <c r="DV313" i="14"/>
  <c r="DW313" i="14" s="1"/>
  <c r="DV314" i="14" s="1"/>
  <c r="DW314" i="14" s="1"/>
  <c r="EH288" i="14"/>
  <c r="CT516" i="14"/>
  <c r="EF145" i="14"/>
  <c r="EG145" i="14" s="1"/>
  <c r="EH145" i="14" s="1"/>
  <c r="EF109" i="14"/>
  <c r="EG109" i="14" s="1"/>
  <c r="EF110" i="14" s="1"/>
  <c r="EG110" i="14" s="1"/>
  <c r="DB337" i="14"/>
  <c r="DC337" i="14" s="1"/>
  <c r="DD337" i="14" s="1"/>
  <c r="CH133" i="14"/>
  <c r="CI133" i="14" s="1"/>
  <c r="CH134" i="14" s="1"/>
  <c r="CI134" i="14" s="1"/>
  <c r="DV121" i="14"/>
  <c r="DW121" i="14" s="1"/>
  <c r="DV122" i="14" s="1"/>
  <c r="DW122" i="14" s="1"/>
  <c r="DV601" i="14"/>
  <c r="DW601" i="14" s="1"/>
  <c r="DV602" i="14" s="1"/>
  <c r="DW602" i="14" s="1"/>
  <c r="CH325" i="14"/>
  <c r="CI325" i="14" s="1"/>
  <c r="CH326" i="14" s="1"/>
  <c r="CI326" i="14" s="1"/>
  <c r="DV481" i="14"/>
  <c r="DW481" i="14" s="1"/>
  <c r="DV482" i="14" s="1"/>
  <c r="DW482" i="14" s="1"/>
  <c r="DN264" i="14"/>
  <c r="CR97" i="14"/>
  <c r="CS97" i="14" s="1"/>
  <c r="CT97" i="14" s="1"/>
  <c r="CO336" i="14"/>
  <c r="DS204" i="14"/>
  <c r="EC60" i="14"/>
  <c r="DV97" i="14"/>
  <c r="DW97" i="14" s="1"/>
  <c r="DV98" i="14" s="1"/>
  <c r="DW98" i="14" s="1"/>
  <c r="DQ169" i="14"/>
  <c r="DR169" i="14" s="1"/>
  <c r="DS169" i="14" s="1"/>
  <c r="EH228" i="14"/>
  <c r="CM601" i="14"/>
  <c r="CN601" i="14" s="1"/>
  <c r="CO601" i="14" s="1"/>
  <c r="CM469" i="14"/>
  <c r="CN469" i="14" s="1"/>
  <c r="CM470" i="14" s="1"/>
  <c r="CN470" i="14" s="1"/>
  <c r="DV217" i="14"/>
  <c r="DW217" i="14" s="1"/>
  <c r="DX217" i="14" s="1"/>
  <c r="DN156" i="14"/>
  <c r="DL109" i="14"/>
  <c r="DM109" i="14" s="1"/>
  <c r="DN109" i="14" s="1"/>
  <c r="DX552" i="14"/>
  <c r="EF517" i="14"/>
  <c r="EG517" i="14" s="1"/>
  <c r="EH517" i="14" s="1"/>
  <c r="CT420" i="14"/>
  <c r="CT360" i="14"/>
  <c r="CR349" i="14"/>
  <c r="CS349" i="14" s="1"/>
  <c r="CR350" i="14" s="1"/>
  <c r="CS350" i="14" s="1"/>
  <c r="CT192" i="14"/>
  <c r="CM301" i="14"/>
  <c r="CN301" i="14" s="1"/>
  <c r="CO301" i="14" s="1"/>
  <c r="CO564" i="14"/>
  <c r="DN660" i="14"/>
  <c r="DV337" i="14"/>
  <c r="DW337" i="14" s="1"/>
  <c r="DV338" i="14" s="1"/>
  <c r="DW338" i="14" s="1"/>
  <c r="DV673" i="14"/>
  <c r="DW673" i="14" s="1"/>
  <c r="DV674" i="14" s="1"/>
  <c r="DW674" i="14" s="1"/>
  <c r="CJ360" i="14"/>
  <c r="CY276" i="14"/>
  <c r="DD612" i="14"/>
  <c r="DB157" i="14"/>
  <c r="DC157" i="14" s="1"/>
  <c r="DB158" i="14" s="1"/>
  <c r="DC158" i="14" s="1"/>
  <c r="DB229" i="14"/>
  <c r="DC229" i="14" s="1"/>
  <c r="DB230" i="14" s="1"/>
  <c r="DC230" i="14" s="1"/>
  <c r="CW253" i="14"/>
  <c r="CX253" i="14" s="1"/>
  <c r="CY253" i="14" s="1"/>
  <c r="CR493" i="14"/>
  <c r="CS493" i="14" s="1"/>
  <c r="CT493" i="14" s="1"/>
  <c r="CJ420" i="14"/>
  <c r="CR373" i="14"/>
  <c r="CS373" i="14" s="1"/>
  <c r="CT373" i="14" s="1"/>
  <c r="EH564" i="14"/>
  <c r="EA661" i="14"/>
  <c r="EB661" i="14" s="1"/>
  <c r="EA662" i="14" s="1"/>
  <c r="EB662" i="14" s="1"/>
  <c r="CR301" i="14"/>
  <c r="CS301" i="14" s="1"/>
  <c r="CT301" i="14" s="1"/>
  <c r="CM673" i="14"/>
  <c r="CN673" i="14" s="1"/>
  <c r="CM674" i="14" s="1"/>
  <c r="CN674" i="14" s="1"/>
  <c r="CH553" i="14"/>
  <c r="CI553" i="14" s="1"/>
  <c r="CJ553" i="14" s="1"/>
  <c r="CH61" i="14"/>
  <c r="CI61" i="14" s="1"/>
  <c r="CJ61" i="14" s="1"/>
  <c r="EH612" i="14"/>
  <c r="DD240" i="14"/>
  <c r="CT588" i="14"/>
  <c r="EF493" i="14"/>
  <c r="EG493" i="14" s="1"/>
  <c r="EF494" i="14" s="1"/>
  <c r="EG494" i="14" s="1"/>
  <c r="CT648" i="14"/>
  <c r="CR337" i="14"/>
  <c r="CS337" i="14" s="1"/>
  <c r="CR338" i="14" s="1"/>
  <c r="CS338" i="14" s="1"/>
  <c r="DQ445" i="14"/>
  <c r="DR445" i="14" s="1"/>
  <c r="DQ446" i="14" s="1"/>
  <c r="DR446" i="14" s="1"/>
  <c r="CT264" i="14"/>
  <c r="DV541" i="14"/>
  <c r="DW541" i="14" s="1"/>
  <c r="DX541" i="14" s="1"/>
  <c r="DS264" i="14"/>
  <c r="DS600" i="14"/>
  <c r="CO180" i="14"/>
  <c r="DV505" i="14"/>
  <c r="DW505" i="14" s="1"/>
  <c r="DV506" i="14" s="1"/>
  <c r="DW506" i="14" s="1"/>
  <c r="CJ492" i="14"/>
  <c r="DD600" i="14"/>
  <c r="CM529" i="14"/>
  <c r="CN529" i="14" s="1"/>
  <c r="CM530" i="14" s="1"/>
  <c r="CN530" i="14" s="1"/>
  <c r="CW337" i="14"/>
  <c r="CX337" i="14" s="1"/>
  <c r="CW338" i="14" s="1"/>
  <c r="CX338" i="14" s="1"/>
  <c r="CY216" i="14"/>
  <c r="CT432" i="14"/>
  <c r="CT144" i="14"/>
  <c r="DL193" i="14"/>
  <c r="DM193" i="14" s="1"/>
  <c r="DL194" i="14" s="1"/>
  <c r="DM194" i="14" s="1"/>
  <c r="DQ529" i="14"/>
  <c r="DR529" i="14" s="1"/>
  <c r="DQ530" i="14" s="1"/>
  <c r="DR530" i="14" s="1"/>
  <c r="EC204" i="14"/>
  <c r="CO360" i="14"/>
  <c r="DV61" i="14"/>
  <c r="DW61" i="14" s="1"/>
  <c r="DX61" i="14" s="1"/>
  <c r="CW109" i="14"/>
  <c r="CX109" i="14" s="1"/>
  <c r="CW110" i="14" s="1"/>
  <c r="CX110" i="14" s="1"/>
  <c r="CH373" i="14"/>
  <c r="CI373" i="14" s="1"/>
  <c r="CJ373" i="14" s="1"/>
  <c r="DN612" i="14"/>
  <c r="CM265" i="14"/>
  <c r="CN265" i="14" s="1"/>
  <c r="CM266" i="14" s="1"/>
  <c r="CN266" i="14" s="1"/>
  <c r="DS420" i="14"/>
  <c r="CM253" i="14"/>
  <c r="CN253" i="14" s="1"/>
  <c r="CO253" i="14" s="1"/>
  <c r="EC408" i="14"/>
  <c r="EA613" i="14"/>
  <c r="EB613" i="14" s="1"/>
  <c r="EA614" i="14" s="1"/>
  <c r="EB614" i="14" s="1"/>
  <c r="DN252" i="14"/>
  <c r="DV445" i="14"/>
  <c r="DW445" i="14" s="1"/>
  <c r="DX445" i="14" s="1"/>
  <c r="CW553" i="14"/>
  <c r="CX553" i="14" s="1"/>
  <c r="CW554" i="14" s="1"/>
  <c r="CX554" i="14" s="1"/>
  <c r="CY264" i="14"/>
  <c r="CR505" i="14"/>
  <c r="CS505" i="14" s="1"/>
  <c r="CT505" i="14" s="1"/>
  <c r="EF649" i="14"/>
  <c r="EG649" i="14" s="1"/>
  <c r="EH649" i="14" s="1"/>
  <c r="CO48" i="14"/>
  <c r="EH552" i="14"/>
  <c r="EA169" i="14"/>
  <c r="EB169" i="14" s="1"/>
  <c r="EC169" i="14" s="1"/>
  <c r="EF205" i="14"/>
  <c r="EG205" i="14" s="1"/>
  <c r="EF206" i="14" s="1"/>
  <c r="EG206" i="14" s="1"/>
  <c r="EC480" i="14"/>
  <c r="DQ157" i="14"/>
  <c r="DR157" i="14" s="1"/>
  <c r="DQ158" i="14" s="1"/>
  <c r="DR158" i="14" s="1"/>
  <c r="CR229" i="14"/>
  <c r="CS229" i="14" s="1"/>
  <c r="CT229" i="14" s="1"/>
  <c r="DI551" i="14"/>
  <c r="DI275" i="14"/>
  <c r="DI119" i="14"/>
  <c r="DI599" i="14"/>
  <c r="DI407" i="14"/>
  <c r="CE659" i="14"/>
  <c r="DI83" i="14"/>
  <c r="CE107" i="14"/>
  <c r="DI239" i="14"/>
  <c r="CE323" i="14"/>
  <c r="DI215" i="14"/>
  <c r="CE467" i="14"/>
  <c r="DI227" i="14"/>
  <c r="CE611" i="14"/>
  <c r="CE479" i="14"/>
  <c r="CE431" i="14"/>
  <c r="CE419" i="14"/>
  <c r="CE635" i="14"/>
  <c r="DI179" i="14"/>
  <c r="CE47" i="14"/>
  <c r="CE671" i="14"/>
  <c r="CE83" i="14"/>
  <c r="DI347" i="14"/>
  <c r="DI359" i="14"/>
  <c r="CE227" i="14"/>
  <c r="CE491" i="14"/>
  <c r="CE563" i="14"/>
  <c r="CE203" i="14"/>
  <c r="CE95" i="14"/>
  <c r="DI515" i="14"/>
  <c r="CE551" i="14"/>
  <c r="CE503" i="14"/>
  <c r="DI167" i="14"/>
  <c r="DI575" i="14"/>
  <c r="DI299" i="14"/>
  <c r="CE167" i="14"/>
  <c r="CE359" i="14"/>
  <c r="CE587" i="14"/>
  <c r="CE647" i="14"/>
  <c r="CE179" i="14"/>
  <c r="CE455" i="14"/>
  <c r="CE299" i="14"/>
  <c r="DI47" i="14"/>
  <c r="CE347" i="14"/>
  <c r="DI287" i="14"/>
  <c r="DI623" i="14"/>
  <c r="DI467" i="14"/>
  <c r="CE311" i="14"/>
  <c r="DI443" i="14"/>
  <c r="CE275" i="14"/>
  <c r="CE287" i="14"/>
  <c r="DI383" i="14"/>
  <c r="DI503" i="14"/>
  <c r="DI335" i="14"/>
  <c r="CE407" i="14"/>
  <c r="DI107" i="14"/>
  <c r="DI611" i="14"/>
  <c r="DI563" i="14"/>
  <c r="CE443" i="14"/>
  <c r="DI251" i="14"/>
  <c r="DI203" i="14"/>
  <c r="CE131" i="14"/>
  <c r="DI539" i="14"/>
  <c r="CE371" i="14"/>
  <c r="DI143" i="14"/>
  <c r="DI59" i="14"/>
  <c r="DI263" i="14"/>
  <c r="CE599" i="14"/>
  <c r="DI395" i="14"/>
  <c r="DI131" i="14"/>
  <c r="DI491" i="14"/>
  <c r="DI671" i="14"/>
  <c r="CE239" i="14"/>
  <c r="CE395" i="14"/>
  <c r="CE527" i="14"/>
  <c r="CE263" i="14"/>
  <c r="DI323" i="14"/>
  <c r="DI587" i="14"/>
  <c r="CE143" i="14"/>
  <c r="DI635" i="14"/>
  <c r="DI455" i="14"/>
  <c r="CE515" i="14"/>
  <c r="CE155" i="14"/>
  <c r="CE191" i="14"/>
  <c r="DI95" i="14"/>
  <c r="DI419" i="14"/>
  <c r="DI311" i="14"/>
  <c r="CE623" i="14"/>
  <c r="CE215" i="14"/>
  <c r="DI479" i="14"/>
  <c r="CE383" i="14"/>
  <c r="DI647" i="14"/>
  <c r="DI191" i="14"/>
  <c r="DI527" i="14"/>
  <c r="CE119" i="14"/>
  <c r="CE539" i="14"/>
  <c r="DI431" i="14"/>
  <c r="CE251" i="14"/>
  <c r="DI155" i="14"/>
  <c r="DI659" i="14"/>
  <c r="CE335" i="14"/>
  <c r="CE59" i="14"/>
  <c r="DI371" i="14"/>
  <c r="CE575" i="14"/>
  <c r="CW242" i="14"/>
  <c r="CX242" i="14" s="1"/>
  <c r="CY241" i="14"/>
  <c r="DL158" i="14"/>
  <c r="DM158" i="14" s="1"/>
  <c r="DN157" i="14"/>
  <c r="DV614" i="14"/>
  <c r="DW614" i="14" s="1"/>
  <c r="DX613" i="14"/>
  <c r="CO97" i="14"/>
  <c r="CM98" i="14"/>
  <c r="CN98" i="14" s="1"/>
  <c r="DG49" i="14"/>
  <c r="DH49" i="14" s="1"/>
  <c r="DB326" i="14"/>
  <c r="DC326" i="14" s="1"/>
  <c r="DD325" i="14"/>
  <c r="DN397" i="14"/>
  <c r="DL398" i="14"/>
  <c r="DM398" i="14" s="1"/>
  <c r="EF241" i="14"/>
  <c r="EG241" i="14" s="1"/>
  <c r="EH240" i="14"/>
  <c r="DQ625" i="14"/>
  <c r="DR625" i="14" s="1"/>
  <c r="DS624" i="14"/>
  <c r="CR362" i="14"/>
  <c r="CS362" i="14" s="1"/>
  <c r="CT361" i="14"/>
  <c r="DG421" i="14"/>
  <c r="DH421" i="14" s="1"/>
  <c r="EC492" i="14"/>
  <c r="EA493" i="14"/>
  <c r="EB493" i="14" s="1"/>
  <c r="CO613" i="14"/>
  <c r="CM614" i="14"/>
  <c r="CN614" i="14" s="1"/>
  <c r="DQ410" i="14"/>
  <c r="DR410" i="14" s="1"/>
  <c r="DS409" i="14"/>
  <c r="DG205" i="14"/>
  <c r="DH205" i="14" s="1"/>
  <c r="DL49" i="14"/>
  <c r="DM49" i="14" s="1"/>
  <c r="DN48" i="14"/>
  <c r="DV157" i="14"/>
  <c r="DW157" i="14" s="1"/>
  <c r="DX156" i="14"/>
  <c r="DV457" i="14"/>
  <c r="DW457" i="14" s="1"/>
  <c r="DX456" i="14"/>
  <c r="CC277" i="14"/>
  <c r="CD277" i="14" s="1"/>
  <c r="DG601" i="14"/>
  <c r="DH601" i="14" s="1"/>
  <c r="DD133" i="14"/>
  <c r="DB134" i="14"/>
  <c r="DC134" i="14" s="1"/>
  <c r="DB421" i="14"/>
  <c r="DC421" i="14" s="1"/>
  <c r="DD420" i="14"/>
  <c r="EF446" i="14"/>
  <c r="EG446" i="14" s="1"/>
  <c r="EH445" i="14"/>
  <c r="DG493" i="14"/>
  <c r="DH493" i="14" s="1"/>
  <c r="CT421" i="14"/>
  <c r="CR422" i="14"/>
  <c r="CS422" i="14" s="1"/>
  <c r="EF98" i="14"/>
  <c r="EG98" i="14" s="1"/>
  <c r="EH97" i="14"/>
  <c r="CC289" i="14"/>
  <c r="CD289" i="14" s="1"/>
  <c r="EA277" i="14"/>
  <c r="EB277" i="14" s="1"/>
  <c r="EC276" i="14"/>
  <c r="CC217" i="14"/>
  <c r="CD217" i="14" s="1"/>
  <c r="DQ146" i="14"/>
  <c r="DR146" i="14" s="1"/>
  <c r="DS145" i="14"/>
  <c r="DQ85" i="14"/>
  <c r="DR85" i="14" s="1"/>
  <c r="DS84" i="14"/>
  <c r="DX372" i="14"/>
  <c r="DV373" i="14"/>
  <c r="DW373" i="14" s="1"/>
  <c r="DL361" i="14"/>
  <c r="DM361" i="14" s="1"/>
  <c r="DN360" i="14"/>
  <c r="DN324" i="14"/>
  <c r="DL325" i="14"/>
  <c r="DM325" i="14" s="1"/>
  <c r="CM590" i="14"/>
  <c r="CN590" i="14" s="1"/>
  <c r="CO589" i="14"/>
  <c r="CW529" i="14"/>
  <c r="CX529" i="14" s="1"/>
  <c r="CY528" i="14"/>
  <c r="CC133" i="14"/>
  <c r="CD133" i="14" s="1"/>
  <c r="CC85" i="14"/>
  <c r="CD85" i="14" s="1"/>
  <c r="CW613" i="14"/>
  <c r="CX613" i="14" s="1"/>
  <c r="CY612" i="14"/>
  <c r="EA625" i="14"/>
  <c r="EB625" i="14" s="1"/>
  <c r="EC624" i="14"/>
  <c r="EA470" i="14"/>
  <c r="EB470" i="14" s="1"/>
  <c r="EC469" i="14"/>
  <c r="DG385" i="14"/>
  <c r="DH385" i="14" s="1"/>
  <c r="DG553" i="14"/>
  <c r="DH553" i="14" s="1"/>
  <c r="DS360" i="14"/>
  <c r="DQ361" i="14"/>
  <c r="DR361" i="14" s="1"/>
  <c r="DG121" i="14"/>
  <c r="DH121" i="14" s="1"/>
  <c r="EH121" i="14"/>
  <c r="EF122" i="14"/>
  <c r="EG122" i="14" s="1"/>
  <c r="CC241" i="14"/>
  <c r="CD241" i="14" s="1"/>
  <c r="DG349" i="14"/>
  <c r="DH349" i="14" s="1"/>
  <c r="EF134" i="14"/>
  <c r="EG134" i="14" s="1"/>
  <c r="EH133" i="14"/>
  <c r="DG169" i="14"/>
  <c r="DH169" i="14" s="1"/>
  <c r="CY265" i="14"/>
  <c r="CW266" i="14"/>
  <c r="CX266" i="14" s="1"/>
  <c r="EA62" i="14"/>
  <c r="EB62" i="14" s="1"/>
  <c r="EC61" i="14"/>
  <c r="CH578" i="14"/>
  <c r="CI578" i="14" s="1"/>
  <c r="CJ577" i="14"/>
  <c r="EF314" i="14"/>
  <c r="EG314" i="14" s="1"/>
  <c r="EH313" i="14"/>
  <c r="CY84" i="14"/>
  <c r="CW85" i="14"/>
  <c r="CX85" i="14" s="1"/>
  <c r="CO168" i="14"/>
  <c r="CM169" i="14"/>
  <c r="CN169" i="14" s="1"/>
  <c r="DV146" i="14"/>
  <c r="DW146" i="14" s="1"/>
  <c r="DX145" i="14"/>
  <c r="EF170" i="14"/>
  <c r="EG170" i="14" s="1"/>
  <c r="EH169" i="14"/>
  <c r="EA206" i="14"/>
  <c r="EB206" i="14" s="1"/>
  <c r="EC205" i="14"/>
  <c r="CJ661" i="14"/>
  <c r="CH662" i="14"/>
  <c r="CI662" i="14" s="1"/>
  <c r="CC481" i="14"/>
  <c r="CD481" i="14" s="1"/>
  <c r="CC433" i="14"/>
  <c r="CD433" i="14" s="1"/>
  <c r="CR217" i="14"/>
  <c r="CS217" i="14" s="1"/>
  <c r="CT216" i="14"/>
  <c r="DV253" i="14"/>
  <c r="DW253" i="14" s="1"/>
  <c r="DX252" i="14"/>
  <c r="CJ625" i="14"/>
  <c r="CH626" i="14"/>
  <c r="CI626" i="14" s="1"/>
  <c r="CC421" i="14"/>
  <c r="CD421" i="14" s="1"/>
  <c r="CC637" i="14"/>
  <c r="CD637" i="14" s="1"/>
  <c r="CH650" i="14"/>
  <c r="CI650" i="14" s="1"/>
  <c r="CJ649" i="14"/>
  <c r="DX493" i="14"/>
  <c r="DV494" i="14"/>
  <c r="DW494" i="14" s="1"/>
  <c r="DG181" i="14"/>
  <c r="DH181" i="14" s="1"/>
  <c r="CW373" i="14"/>
  <c r="CX373" i="14" s="1"/>
  <c r="CY372" i="14"/>
  <c r="CJ144" i="14"/>
  <c r="CH145" i="14"/>
  <c r="CI145" i="14" s="1"/>
  <c r="CW481" i="14"/>
  <c r="CX481" i="14" s="1"/>
  <c r="CY480" i="14"/>
  <c r="CY168" i="14"/>
  <c r="CW169" i="14"/>
  <c r="CX169" i="14" s="1"/>
  <c r="CR577" i="14"/>
  <c r="CS577" i="14" s="1"/>
  <c r="CT576" i="14"/>
  <c r="CY205" i="14"/>
  <c r="CW206" i="14"/>
  <c r="CX206" i="14" s="1"/>
  <c r="DN96" i="14"/>
  <c r="DL97" i="14"/>
  <c r="DM97" i="14" s="1"/>
  <c r="CT600" i="14"/>
  <c r="CR601" i="14"/>
  <c r="CS601" i="14" s="1"/>
  <c r="CR110" i="14"/>
  <c r="CS110" i="14" s="1"/>
  <c r="CT109" i="14"/>
  <c r="CT132" i="14"/>
  <c r="CR133" i="14"/>
  <c r="CS133" i="14" s="1"/>
  <c r="DQ349" i="14"/>
  <c r="DR349" i="14" s="1"/>
  <c r="DS348" i="14"/>
  <c r="EH180" i="14"/>
  <c r="EF181" i="14"/>
  <c r="EG181" i="14" s="1"/>
  <c r="DX661" i="14"/>
  <c r="DV662" i="14"/>
  <c r="DW662" i="14" s="1"/>
  <c r="CM661" i="14"/>
  <c r="CN661" i="14" s="1"/>
  <c r="CO660" i="14"/>
  <c r="DD361" i="14"/>
  <c r="DB362" i="14"/>
  <c r="DC362" i="14" s="1"/>
  <c r="CC49" i="14"/>
  <c r="CD49" i="14" s="1"/>
  <c r="CC673" i="14"/>
  <c r="CD673" i="14" s="1"/>
  <c r="CR637" i="14"/>
  <c r="CS637" i="14" s="1"/>
  <c r="CT636" i="14"/>
  <c r="CM157" i="14"/>
  <c r="CN157" i="14" s="1"/>
  <c r="CO156" i="14"/>
  <c r="CW61" i="14"/>
  <c r="CX61" i="14" s="1"/>
  <c r="CY60" i="14"/>
  <c r="CM50" i="14"/>
  <c r="CN50" i="14" s="1"/>
  <c r="CO49" i="14"/>
  <c r="CM85" i="14"/>
  <c r="CN85" i="14" s="1"/>
  <c r="CO84" i="14"/>
  <c r="CY492" i="14"/>
  <c r="CW493" i="14"/>
  <c r="CX493" i="14" s="1"/>
  <c r="CY97" i="14"/>
  <c r="CW98" i="14"/>
  <c r="CX98" i="14" s="1"/>
  <c r="CT120" i="14"/>
  <c r="CR121" i="14"/>
  <c r="CS121" i="14" s="1"/>
  <c r="CY385" i="14"/>
  <c r="CW386" i="14"/>
  <c r="CX386" i="14" s="1"/>
  <c r="CY649" i="14"/>
  <c r="CW650" i="14"/>
  <c r="CX650" i="14" s="1"/>
  <c r="CJ384" i="14"/>
  <c r="CH385" i="14"/>
  <c r="CI385" i="14" s="1"/>
  <c r="DG229" i="14"/>
  <c r="DH229" i="14" s="1"/>
  <c r="CC613" i="14"/>
  <c r="CD613" i="14" s="1"/>
  <c r="DD492" i="14"/>
  <c r="DB493" i="14"/>
  <c r="DC493" i="14" s="1"/>
  <c r="DL446" i="14"/>
  <c r="DM446" i="14" s="1"/>
  <c r="DN445" i="14"/>
  <c r="CO649" i="14"/>
  <c r="CM650" i="14"/>
  <c r="CN650" i="14" s="1"/>
  <c r="CC661" i="14"/>
  <c r="CD661" i="14" s="1"/>
  <c r="DB397" i="14"/>
  <c r="DC397" i="14" s="1"/>
  <c r="DD396" i="14"/>
  <c r="EA542" i="14"/>
  <c r="EB542" i="14" s="1"/>
  <c r="EC541" i="14"/>
  <c r="CO420" i="14"/>
  <c r="CM421" i="14"/>
  <c r="CN421" i="14" s="1"/>
  <c r="DD601" i="14"/>
  <c r="DB602" i="14"/>
  <c r="DC602" i="14" s="1"/>
  <c r="EH276" i="14"/>
  <c r="EF277" i="14"/>
  <c r="EG277" i="14" s="1"/>
  <c r="DL553" i="14"/>
  <c r="DM553" i="14" s="1"/>
  <c r="DN552" i="14"/>
  <c r="DX240" i="14"/>
  <c r="DV241" i="14"/>
  <c r="DW241" i="14" s="1"/>
  <c r="CO516" i="14"/>
  <c r="CM517" i="14"/>
  <c r="CN517" i="14" s="1"/>
  <c r="EC576" i="14"/>
  <c r="EA577" i="14"/>
  <c r="EB577" i="14" s="1"/>
  <c r="EC144" i="14"/>
  <c r="EA145" i="14"/>
  <c r="EB145" i="14" s="1"/>
  <c r="CM433" i="14"/>
  <c r="CN433" i="14" s="1"/>
  <c r="CO432" i="14"/>
  <c r="DG85" i="14"/>
  <c r="DH85" i="14" s="1"/>
  <c r="CC109" i="14"/>
  <c r="CD109" i="14" s="1"/>
  <c r="DG241" i="14"/>
  <c r="DH241" i="14" s="1"/>
  <c r="CO229" i="14"/>
  <c r="CM230" i="14"/>
  <c r="CN230" i="14" s="1"/>
  <c r="DV434" i="14"/>
  <c r="DW434" i="14" s="1"/>
  <c r="DX433" i="14"/>
  <c r="CR661" i="14"/>
  <c r="CS661" i="14" s="1"/>
  <c r="CT660" i="14"/>
  <c r="CH242" i="14"/>
  <c r="CI242" i="14" s="1"/>
  <c r="CJ241" i="14"/>
  <c r="CW302" i="14"/>
  <c r="CX302" i="14" s="1"/>
  <c r="CY301" i="14"/>
  <c r="EA458" i="14"/>
  <c r="EB458" i="14" s="1"/>
  <c r="EC457" i="14"/>
  <c r="CC325" i="14"/>
  <c r="CD325" i="14" s="1"/>
  <c r="CH97" i="14"/>
  <c r="CI97" i="14" s="1"/>
  <c r="CJ96" i="14"/>
  <c r="EC348" i="14"/>
  <c r="EA349" i="14"/>
  <c r="EB349" i="14" s="1"/>
  <c r="DG217" i="14"/>
  <c r="DH217" i="14" s="1"/>
  <c r="DD553" i="14"/>
  <c r="DB554" i="14"/>
  <c r="DC554" i="14" s="1"/>
  <c r="CJ444" i="14"/>
  <c r="CH445" i="14"/>
  <c r="CI445" i="14" s="1"/>
  <c r="DQ242" i="14"/>
  <c r="DR242" i="14" s="1"/>
  <c r="DS241" i="14"/>
  <c r="DB433" i="14"/>
  <c r="DC433" i="14" s="1"/>
  <c r="DD432" i="14"/>
  <c r="DB529" i="14"/>
  <c r="DC529" i="14" s="1"/>
  <c r="DD528" i="14"/>
  <c r="CT193" i="14"/>
  <c r="CR194" i="14"/>
  <c r="CS194" i="14" s="1"/>
  <c r="DQ206" i="14"/>
  <c r="DR206" i="14" s="1"/>
  <c r="DS205" i="14"/>
  <c r="DQ637" i="14"/>
  <c r="DR637" i="14" s="1"/>
  <c r="DS636" i="14"/>
  <c r="DV325" i="14"/>
  <c r="DW325" i="14" s="1"/>
  <c r="DX324" i="14"/>
  <c r="DG673" i="14"/>
  <c r="DH673" i="14" s="1"/>
  <c r="EA314" i="14"/>
  <c r="EB314" i="14" s="1"/>
  <c r="EC313" i="14"/>
  <c r="EF578" i="14"/>
  <c r="EG578" i="14" s="1"/>
  <c r="EH577" i="14"/>
  <c r="CW505" i="14"/>
  <c r="CX505" i="14" s="1"/>
  <c r="CY504" i="14"/>
  <c r="DV85" i="14"/>
  <c r="DW85" i="14" s="1"/>
  <c r="DX84" i="14"/>
  <c r="DB541" i="14"/>
  <c r="DC541" i="14" s="1"/>
  <c r="DD540" i="14"/>
  <c r="DD168" i="14"/>
  <c r="DB169" i="14"/>
  <c r="DC169" i="14" s="1"/>
  <c r="CM373" i="14"/>
  <c r="CN373" i="14" s="1"/>
  <c r="CO372" i="14"/>
  <c r="CW565" i="14"/>
  <c r="CX565" i="14" s="1"/>
  <c r="CY564" i="14"/>
  <c r="DD204" i="14"/>
  <c r="DB205" i="14"/>
  <c r="DC205" i="14" s="1"/>
  <c r="CJ673" i="14"/>
  <c r="CH674" i="14"/>
  <c r="CI674" i="14" s="1"/>
  <c r="CM446" i="14"/>
  <c r="CN446" i="14" s="1"/>
  <c r="CO445" i="14"/>
  <c r="DL386" i="14"/>
  <c r="DM386" i="14" s="1"/>
  <c r="DN385" i="14"/>
  <c r="DQ673" i="14"/>
  <c r="DR673" i="14" s="1"/>
  <c r="DS672" i="14"/>
  <c r="EH396" i="14"/>
  <c r="EF397" i="14"/>
  <c r="EG397" i="14" s="1"/>
  <c r="DB589" i="14"/>
  <c r="DC589" i="14" s="1"/>
  <c r="DD588" i="14"/>
  <c r="DL218" i="14"/>
  <c r="DM218" i="14" s="1"/>
  <c r="DN217" i="14"/>
  <c r="CC169" i="14"/>
  <c r="CD169" i="14" s="1"/>
  <c r="CY181" i="14"/>
  <c r="CW182" i="14"/>
  <c r="CX182" i="14" s="1"/>
  <c r="DV554" i="14"/>
  <c r="DW554" i="14" s="1"/>
  <c r="DX553" i="14"/>
  <c r="CT253" i="14"/>
  <c r="CR254" i="14"/>
  <c r="CS254" i="14" s="1"/>
  <c r="CM566" i="14"/>
  <c r="CN566" i="14" s="1"/>
  <c r="CO565" i="14"/>
  <c r="CM578" i="14"/>
  <c r="CN578" i="14" s="1"/>
  <c r="CO577" i="14"/>
  <c r="CO625" i="14"/>
  <c r="CM626" i="14"/>
  <c r="CN626" i="14" s="1"/>
  <c r="DX181" i="14"/>
  <c r="DV182" i="14"/>
  <c r="DW182" i="14" s="1"/>
  <c r="CC361" i="14"/>
  <c r="CD361" i="14" s="1"/>
  <c r="CW325" i="14"/>
  <c r="CX325" i="14" s="1"/>
  <c r="CY324" i="14"/>
  <c r="EF253" i="14"/>
  <c r="EG253" i="14" s="1"/>
  <c r="EH252" i="14"/>
  <c r="CO361" i="14"/>
  <c r="CM362" i="14"/>
  <c r="CN362" i="14" s="1"/>
  <c r="DS181" i="14"/>
  <c r="DQ182" i="14"/>
  <c r="DR182" i="14" s="1"/>
  <c r="DD444" i="14"/>
  <c r="DB445" i="14"/>
  <c r="DC445" i="14" s="1"/>
  <c r="DQ109" i="14"/>
  <c r="DR109" i="14" s="1"/>
  <c r="DS108" i="14"/>
  <c r="EC96" i="14"/>
  <c r="EA97" i="14"/>
  <c r="EB97" i="14" s="1"/>
  <c r="DN60" i="14"/>
  <c r="DL61" i="14"/>
  <c r="DM61" i="14" s="1"/>
  <c r="CJ264" i="14"/>
  <c r="CH265" i="14"/>
  <c r="CI265" i="14" s="1"/>
  <c r="CY277" i="14"/>
  <c r="CW278" i="14"/>
  <c r="CX278" i="14" s="1"/>
  <c r="DX576" i="14"/>
  <c r="DV577" i="14"/>
  <c r="DW577" i="14" s="1"/>
  <c r="EC516" i="14"/>
  <c r="EA517" i="14"/>
  <c r="EB517" i="14" s="1"/>
  <c r="CR541" i="14"/>
  <c r="CS541" i="14" s="1"/>
  <c r="CT540" i="14"/>
  <c r="DL482" i="14"/>
  <c r="DM482" i="14" s="1"/>
  <c r="DN481" i="14"/>
  <c r="DN468" i="14"/>
  <c r="DL469" i="14"/>
  <c r="DM469" i="14" s="1"/>
  <c r="EC648" i="14"/>
  <c r="EA649" i="14"/>
  <c r="EB649" i="14" s="1"/>
  <c r="CC589" i="14"/>
  <c r="CD589" i="14" s="1"/>
  <c r="CT409" i="14"/>
  <c r="CR410" i="14"/>
  <c r="CS410" i="14" s="1"/>
  <c r="CO505" i="14"/>
  <c r="CM506" i="14"/>
  <c r="CN506" i="14" s="1"/>
  <c r="CC649" i="14"/>
  <c r="CD649" i="14" s="1"/>
  <c r="DL133" i="14"/>
  <c r="DM133" i="14" s="1"/>
  <c r="DN132" i="14"/>
  <c r="DN636" i="14"/>
  <c r="DL637" i="14"/>
  <c r="DM637" i="14" s="1"/>
  <c r="DL181" i="14"/>
  <c r="DM181" i="14" s="1"/>
  <c r="DN180" i="14"/>
  <c r="CO192" i="14"/>
  <c r="CM193" i="14"/>
  <c r="CN193" i="14" s="1"/>
  <c r="CC181" i="14"/>
  <c r="CD181" i="14" s="1"/>
  <c r="DD301" i="14"/>
  <c r="DB302" i="14"/>
  <c r="DC302" i="14" s="1"/>
  <c r="CC457" i="14"/>
  <c r="CD457" i="14" s="1"/>
  <c r="CC301" i="14"/>
  <c r="CD301" i="14" s="1"/>
  <c r="CR242" i="14"/>
  <c r="CS242" i="14" s="1"/>
  <c r="CT241" i="14"/>
  <c r="CH230" i="14"/>
  <c r="CI230" i="14" s="1"/>
  <c r="CJ229" i="14"/>
  <c r="DQ661" i="14"/>
  <c r="DR661" i="14" s="1"/>
  <c r="DS660" i="14"/>
  <c r="DD241" i="14"/>
  <c r="DB242" i="14"/>
  <c r="DC242" i="14" s="1"/>
  <c r="DL662" i="14"/>
  <c r="DM662" i="14" s="1"/>
  <c r="DN661" i="14"/>
  <c r="CW578" i="14"/>
  <c r="CX578" i="14" s="1"/>
  <c r="CY577" i="14"/>
  <c r="DD456" i="14"/>
  <c r="DB457" i="14"/>
  <c r="DC457" i="14" s="1"/>
  <c r="DS468" i="14"/>
  <c r="DQ469" i="14"/>
  <c r="DR469" i="14" s="1"/>
  <c r="DL266" i="14"/>
  <c r="DM266" i="14" s="1"/>
  <c r="DN265" i="14"/>
  <c r="EA506" i="14"/>
  <c r="EB506" i="14" s="1"/>
  <c r="EC505" i="14"/>
  <c r="DS312" i="14"/>
  <c r="DQ313" i="14"/>
  <c r="DR313" i="14" s="1"/>
  <c r="EA193" i="14"/>
  <c r="EB193" i="14" s="1"/>
  <c r="EC192" i="14"/>
  <c r="CC469" i="14"/>
  <c r="CD469" i="14" s="1"/>
  <c r="CW662" i="14"/>
  <c r="CX662" i="14" s="1"/>
  <c r="CY661" i="14"/>
  <c r="DN336" i="14"/>
  <c r="DL337" i="14"/>
  <c r="DM337" i="14" s="1"/>
  <c r="DD648" i="14"/>
  <c r="DB649" i="14"/>
  <c r="DC649" i="14" s="1"/>
  <c r="CM481" i="14"/>
  <c r="CN481" i="14" s="1"/>
  <c r="CO480" i="14"/>
  <c r="CJ600" i="14"/>
  <c r="CH601" i="14"/>
  <c r="CI601" i="14" s="1"/>
  <c r="EA566" i="14"/>
  <c r="EB566" i="14" s="1"/>
  <c r="EC565" i="14"/>
  <c r="CR458" i="14"/>
  <c r="CS458" i="14" s="1"/>
  <c r="CT457" i="14"/>
  <c r="CR650" i="14"/>
  <c r="CS650" i="14" s="1"/>
  <c r="CT649" i="14"/>
  <c r="DL649" i="14"/>
  <c r="DM649" i="14" s="1"/>
  <c r="DN648" i="14"/>
  <c r="CR613" i="14"/>
  <c r="CS613" i="14" s="1"/>
  <c r="CT612" i="14"/>
  <c r="DG301" i="14"/>
  <c r="DH301" i="14" s="1"/>
  <c r="EF530" i="14"/>
  <c r="EG530" i="14" s="1"/>
  <c r="EH529" i="14"/>
  <c r="DV565" i="14"/>
  <c r="DW565" i="14" s="1"/>
  <c r="DX564" i="14"/>
  <c r="CR146" i="14"/>
  <c r="CS146" i="14" s="1"/>
  <c r="CT145" i="14"/>
  <c r="CO288" i="14"/>
  <c r="CM289" i="14"/>
  <c r="CN289" i="14" s="1"/>
  <c r="EC444" i="14"/>
  <c r="EA445" i="14"/>
  <c r="EB445" i="14" s="1"/>
  <c r="DL206" i="14"/>
  <c r="DM206" i="14" s="1"/>
  <c r="DN205" i="14"/>
  <c r="DG577" i="14"/>
  <c r="DH577" i="14" s="1"/>
  <c r="CJ613" i="14"/>
  <c r="CH614" i="14"/>
  <c r="CI614" i="14" s="1"/>
  <c r="CC493" i="14"/>
  <c r="CD493" i="14" s="1"/>
  <c r="DL529" i="14"/>
  <c r="DM529" i="14" s="1"/>
  <c r="DN528" i="14"/>
  <c r="EA554" i="14"/>
  <c r="EB554" i="14" s="1"/>
  <c r="EC553" i="14"/>
  <c r="DX397" i="14"/>
  <c r="DV398" i="14"/>
  <c r="DW398" i="14" s="1"/>
  <c r="EC409" i="14"/>
  <c r="EA410" i="14"/>
  <c r="EB410" i="14" s="1"/>
  <c r="EH409" i="14"/>
  <c r="EF410" i="14"/>
  <c r="EG410" i="14" s="1"/>
  <c r="CO408" i="14"/>
  <c r="CM409" i="14"/>
  <c r="CN409" i="14" s="1"/>
  <c r="EH192" i="14"/>
  <c r="EF193" i="14"/>
  <c r="EG193" i="14" s="1"/>
  <c r="CC565" i="14"/>
  <c r="CD565" i="14" s="1"/>
  <c r="EC396" i="14"/>
  <c r="EA397" i="14"/>
  <c r="EB397" i="14" s="1"/>
  <c r="CC205" i="14"/>
  <c r="CD205" i="14" s="1"/>
  <c r="CY48" i="14"/>
  <c r="CW49" i="14"/>
  <c r="CX49" i="14" s="1"/>
  <c r="EH457" i="14"/>
  <c r="EF458" i="14"/>
  <c r="EG458" i="14" s="1"/>
  <c r="DX228" i="14"/>
  <c r="DV229" i="14"/>
  <c r="DW229" i="14" s="1"/>
  <c r="DB482" i="14"/>
  <c r="DC482" i="14" s="1"/>
  <c r="DD481" i="14"/>
  <c r="CH433" i="14"/>
  <c r="CI433" i="14" s="1"/>
  <c r="CJ432" i="14"/>
  <c r="CJ84" i="14"/>
  <c r="CH85" i="14"/>
  <c r="CI85" i="14" s="1"/>
  <c r="EH624" i="14"/>
  <c r="EF625" i="14"/>
  <c r="EG625" i="14" s="1"/>
  <c r="DQ325" i="14"/>
  <c r="DR325" i="14" s="1"/>
  <c r="DS324" i="14"/>
  <c r="DL434" i="14"/>
  <c r="DM434" i="14" s="1"/>
  <c r="DN433" i="14"/>
  <c r="CY361" i="14"/>
  <c r="CW362" i="14"/>
  <c r="CX362" i="14" s="1"/>
  <c r="CM109" i="14"/>
  <c r="CN109" i="14" s="1"/>
  <c r="CO108" i="14"/>
  <c r="DS421" i="14"/>
  <c r="DQ422" i="14"/>
  <c r="DR422" i="14" s="1"/>
  <c r="CM182" i="14"/>
  <c r="CN182" i="14" s="1"/>
  <c r="CO181" i="14"/>
  <c r="DD516" i="14"/>
  <c r="DB517" i="14"/>
  <c r="DC517" i="14" s="1"/>
  <c r="CC97" i="14"/>
  <c r="CD97" i="14" s="1"/>
  <c r="DB578" i="14"/>
  <c r="DC578" i="14" s="1"/>
  <c r="DD577" i="14"/>
  <c r="DG517" i="14"/>
  <c r="DH517" i="14" s="1"/>
  <c r="EH289" i="14"/>
  <c r="EF290" i="14"/>
  <c r="EG290" i="14" s="1"/>
  <c r="DL674" i="14"/>
  <c r="DM674" i="14" s="1"/>
  <c r="DN673" i="14"/>
  <c r="CR289" i="14"/>
  <c r="CS289" i="14" s="1"/>
  <c r="CT288" i="14"/>
  <c r="CT433" i="14"/>
  <c r="CR434" i="14"/>
  <c r="CS434" i="14" s="1"/>
  <c r="CM62" i="14"/>
  <c r="CN62" i="14" s="1"/>
  <c r="CO61" i="14"/>
  <c r="CR326" i="14"/>
  <c r="CS326" i="14" s="1"/>
  <c r="CT325" i="14"/>
  <c r="CY217" i="14"/>
  <c r="CW218" i="14"/>
  <c r="CX218" i="14" s="1"/>
  <c r="DG409" i="14"/>
  <c r="DH409" i="14" s="1"/>
  <c r="CR398" i="14"/>
  <c r="CS398" i="14" s="1"/>
  <c r="CT397" i="14"/>
  <c r="DG481" i="14"/>
  <c r="DH481" i="14" s="1"/>
  <c r="CO540" i="14"/>
  <c r="CM541" i="14"/>
  <c r="CN541" i="14" s="1"/>
  <c r="DQ134" i="14"/>
  <c r="DR134" i="14" s="1"/>
  <c r="DS133" i="14"/>
  <c r="CM146" i="14"/>
  <c r="CN146" i="14" s="1"/>
  <c r="CO145" i="14"/>
  <c r="CJ361" i="14"/>
  <c r="CH362" i="14"/>
  <c r="CI362" i="14" s="1"/>
  <c r="DG61" i="14"/>
  <c r="DH61" i="14" s="1"/>
  <c r="CJ480" i="14"/>
  <c r="CH481" i="14"/>
  <c r="CI481" i="14" s="1"/>
  <c r="DX636" i="14"/>
  <c r="DV637" i="14"/>
  <c r="DW637" i="14" s="1"/>
  <c r="CC409" i="14"/>
  <c r="CD409" i="14" s="1"/>
  <c r="DG109" i="14"/>
  <c r="DH109" i="14" s="1"/>
  <c r="DV133" i="14"/>
  <c r="DW133" i="14" s="1"/>
  <c r="DX132" i="14"/>
  <c r="DD144" i="14"/>
  <c r="DB145" i="14"/>
  <c r="DC145" i="14" s="1"/>
  <c r="EA434" i="14"/>
  <c r="EB434" i="14" s="1"/>
  <c r="EC433" i="14"/>
  <c r="CJ49" i="14"/>
  <c r="CH50" i="14"/>
  <c r="CI50" i="14" s="1"/>
  <c r="DG613" i="14"/>
  <c r="DH613" i="14" s="1"/>
  <c r="CT60" i="14"/>
  <c r="CR61" i="14"/>
  <c r="CS61" i="14" s="1"/>
  <c r="DX648" i="14"/>
  <c r="DV649" i="14"/>
  <c r="DW649" i="14" s="1"/>
  <c r="DB218" i="14"/>
  <c r="DC218" i="14" s="1"/>
  <c r="DD217" i="14"/>
  <c r="EH601" i="14"/>
  <c r="EF602" i="14"/>
  <c r="EG602" i="14" s="1"/>
  <c r="CT312" i="14"/>
  <c r="CR313" i="14"/>
  <c r="CS313" i="14" s="1"/>
  <c r="EH588" i="14"/>
  <c r="EF589" i="14"/>
  <c r="EG589" i="14" s="1"/>
  <c r="DG565" i="14"/>
  <c r="DH565" i="14" s="1"/>
  <c r="DB97" i="14"/>
  <c r="DC97" i="14" s="1"/>
  <c r="DD96" i="14"/>
  <c r="EC336" i="14"/>
  <c r="EA337" i="14"/>
  <c r="EB337" i="14" s="1"/>
  <c r="DB49" i="14"/>
  <c r="DC49" i="14" s="1"/>
  <c r="DD48" i="14"/>
  <c r="CC445" i="14"/>
  <c r="CD445" i="14" s="1"/>
  <c r="CH506" i="14"/>
  <c r="CI506" i="14" s="1"/>
  <c r="CJ505" i="14"/>
  <c r="DG253" i="14"/>
  <c r="DH253" i="14" s="1"/>
  <c r="DB254" i="14"/>
  <c r="DC254" i="14" s="1"/>
  <c r="DD253" i="14"/>
  <c r="CM206" i="14"/>
  <c r="CN206" i="14" s="1"/>
  <c r="CO205" i="14"/>
  <c r="CC385" i="14"/>
  <c r="CD385" i="14" s="1"/>
  <c r="CJ336" i="14"/>
  <c r="CH337" i="14"/>
  <c r="CI337" i="14" s="1"/>
  <c r="EF361" i="14"/>
  <c r="EG361" i="14" s="1"/>
  <c r="EH360" i="14"/>
  <c r="DQ194" i="14"/>
  <c r="DR194" i="14" s="1"/>
  <c r="DS193" i="14"/>
  <c r="DS612" i="14"/>
  <c r="DQ613" i="14"/>
  <c r="DR613" i="14" s="1"/>
  <c r="EA121" i="14"/>
  <c r="EB121" i="14" s="1"/>
  <c r="EC120" i="14"/>
  <c r="DL422" i="14"/>
  <c r="DM422" i="14" s="1"/>
  <c r="DN421" i="14"/>
  <c r="EF373" i="14"/>
  <c r="EG373" i="14" s="1"/>
  <c r="EH372" i="14"/>
  <c r="EC636" i="14"/>
  <c r="EA637" i="14"/>
  <c r="EB637" i="14" s="1"/>
  <c r="EC588" i="14"/>
  <c r="EA589" i="14"/>
  <c r="EB589" i="14" s="1"/>
  <c r="CW145" i="14"/>
  <c r="CX145" i="14" s="1"/>
  <c r="CY144" i="14"/>
  <c r="DS505" i="14"/>
  <c r="DQ506" i="14"/>
  <c r="DR506" i="14" s="1"/>
  <c r="EC252" i="14"/>
  <c r="EA253" i="14"/>
  <c r="EB253" i="14" s="1"/>
  <c r="CY120" i="14"/>
  <c r="CW121" i="14"/>
  <c r="CX121" i="14" s="1"/>
  <c r="CR518" i="14"/>
  <c r="CS518" i="14" s="1"/>
  <c r="CT517" i="14"/>
  <c r="DQ481" i="14"/>
  <c r="DR481" i="14" s="1"/>
  <c r="DS480" i="14"/>
  <c r="DL494" i="14"/>
  <c r="DM494" i="14" s="1"/>
  <c r="DN493" i="14"/>
  <c r="CM338" i="14"/>
  <c r="CN338" i="14" s="1"/>
  <c r="CO337" i="14"/>
  <c r="EA241" i="14"/>
  <c r="EB241" i="14" s="1"/>
  <c r="EC240" i="14"/>
  <c r="DX625" i="14"/>
  <c r="DV626" i="14"/>
  <c r="DW626" i="14" s="1"/>
  <c r="CY672" i="14"/>
  <c r="CW673" i="14"/>
  <c r="CX673" i="14" s="1"/>
  <c r="EA229" i="14"/>
  <c r="EB229" i="14" s="1"/>
  <c r="EC228" i="14"/>
  <c r="DG469" i="14"/>
  <c r="DH469" i="14" s="1"/>
  <c r="DQ517" i="14"/>
  <c r="DR517" i="14" s="1"/>
  <c r="DS516" i="14"/>
  <c r="CC313" i="14"/>
  <c r="CD313" i="14" s="1"/>
  <c r="DS541" i="14"/>
  <c r="DQ542" i="14"/>
  <c r="DR542" i="14" s="1"/>
  <c r="DB265" i="14"/>
  <c r="DC265" i="14" s="1"/>
  <c r="DD264" i="14"/>
  <c r="EA530" i="14"/>
  <c r="EB530" i="14" s="1"/>
  <c r="EC529" i="14"/>
  <c r="DS589" i="14"/>
  <c r="DQ590" i="14"/>
  <c r="DR590" i="14" s="1"/>
  <c r="CO216" i="14"/>
  <c r="CM217" i="14"/>
  <c r="CN217" i="14" s="1"/>
  <c r="DG445" i="14"/>
  <c r="DH445" i="14" s="1"/>
  <c r="CM326" i="14"/>
  <c r="CN326" i="14" s="1"/>
  <c r="CO325" i="14"/>
  <c r="CJ493" i="14"/>
  <c r="CH494" i="14"/>
  <c r="CI494" i="14" s="1"/>
  <c r="DD289" i="14"/>
  <c r="DB290" i="14"/>
  <c r="DC290" i="14" s="1"/>
  <c r="DD505" i="14"/>
  <c r="DB506" i="14"/>
  <c r="DC506" i="14" s="1"/>
  <c r="DB121" i="14"/>
  <c r="DC121" i="14" s="1"/>
  <c r="DD120" i="14"/>
  <c r="DD372" i="14"/>
  <c r="DB373" i="14"/>
  <c r="DC373" i="14" s="1"/>
  <c r="CY228" i="14"/>
  <c r="CW229" i="14"/>
  <c r="CX229" i="14" s="1"/>
  <c r="DG289" i="14"/>
  <c r="DH289" i="14" s="1"/>
  <c r="DG625" i="14"/>
  <c r="DH625" i="14" s="1"/>
  <c r="CR182" i="14"/>
  <c r="CS182" i="14" s="1"/>
  <c r="CT181" i="14"/>
  <c r="DV362" i="14"/>
  <c r="DW362" i="14" s="1"/>
  <c r="DX361" i="14"/>
  <c r="CR277" i="14"/>
  <c r="CS277" i="14" s="1"/>
  <c r="CT276" i="14"/>
  <c r="CH289" i="14"/>
  <c r="CI289" i="14" s="1"/>
  <c r="CJ288" i="14"/>
  <c r="DG361" i="14"/>
  <c r="DH361" i="14" s="1"/>
  <c r="DN276" i="14"/>
  <c r="DL277" i="14"/>
  <c r="DM277" i="14" s="1"/>
  <c r="CW637" i="14"/>
  <c r="CX637" i="14" s="1"/>
  <c r="CY636" i="14"/>
  <c r="DS49" i="14"/>
  <c r="DQ50" i="14"/>
  <c r="DR50" i="14" s="1"/>
  <c r="DG145" i="14"/>
  <c r="DH145" i="14" s="1"/>
  <c r="DB181" i="14"/>
  <c r="DC181" i="14" s="1"/>
  <c r="DD180" i="14"/>
  <c r="DD672" i="14"/>
  <c r="DB673" i="14"/>
  <c r="DC673" i="14" s="1"/>
  <c r="DV109" i="14"/>
  <c r="DW109" i="14" s="1"/>
  <c r="DX108" i="14"/>
  <c r="DD613" i="14"/>
  <c r="DB614" i="14"/>
  <c r="DC614" i="14" s="1"/>
  <c r="CJ157" i="14"/>
  <c r="CH158" i="14"/>
  <c r="CI158" i="14" s="1"/>
  <c r="CT85" i="14"/>
  <c r="CR86" i="14"/>
  <c r="CS86" i="14" s="1"/>
  <c r="DG193" i="14"/>
  <c r="DH193" i="14" s="1"/>
  <c r="DL542" i="14"/>
  <c r="DM542" i="14" s="1"/>
  <c r="DN541" i="14"/>
  <c r="EC324" i="14"/>
  <c r="EA325" i="14"/>
  <c r="EB325" i="14" s="1"/>
  <c r="DG529" i="14"/>
  <c r="DH529" i="14" s="1"/>
  <c r="CT589" i="14"/>
  <c r="CR590" i="14"/>
  <c r="CS590" i="14" s="1"/>
  <c r="CH217" i="14"/>
  <c r="CI217" i="14" s="1"/>
  <c r="CJ216" i="14"/>
  <c r="DS433" i="14"/>
  <c r="DQ434" i="14"/>
  <c r="DR434" i="14" s="1"/>
  <c r="CC397" i="14"/>
  <c r="CD397" i="14" s="1"/>
  <c r="EH613" i="14"/>
  <c r="EF614" i="14"/>
  <c r="EG614" i="14" s="1"/>
  <c r="DQ373" i="14"/>
  <c r="DR373" i="14" s="1"/>
  <c r="DS372" i="14"/>
  <c r="DD312" i="14"/>
  <c r="DB313" i="14"/>
  <c r="DC313" i="14" s="1"/>
  <c r="CC529" i="14"/>
  <c r="CD529" i="14" s="1"/>
  <c r="CW469" i="14"/>
  <c r="CX469" i="14" s="1"/>
  <c r="CY468" i="14"/>
  <c r="CC265" i="14"/>
  <c r="CD265" i="14" s="1"/>
  <c r="EH49" i="14"/>
  <c r="EF50" i="14"/>
  <c r="EG50" i="14" s="1"/>
  <c r="EC300" i="14"/>
  <c r="EA301" i="14"/>
  <c r="EB301" i="14" s="1"/>
  <c r="DG325" i="14"/>
  <c r="DH325" i="14" s="1"/>
  <c r="DG589" i="14"/>
  <c r="DH589" i="14" s="1"/>
  <c r="DN600" i="14"/>
  <c r="DL601" i="14"/>
  <c r="DM601" i="14" s="1"/>
  <c r="CY624" i="14"/>
  <c r="CW625" i="14"/>
  <c r="CX625" i="14" s="1"/>
  <c r="DD61" i="14"/>
  <c r="DB62" i="14"/>
  <c r="DC62" i="14" s="1"/>
  <c r="CC145" i="14"/>
  <c r="CD145" i="14" s="1"/>
  <c r="DG637" i="14"/>
  <c r="DH637" i="14" s="1"/>
  <c r="EA86" i="14"/>
  <c r="EB86" i="14" s="1"/>
  <c r="EC85" i="14"/>
  <c r="EA134" i="14"/>
  <c r="EB134" i="14" s="1"/>
  <c r="EC133" i="14"/>
  <c r="DG457" i="14"/>
  <c r="DH457" i="14" s="1"/>
  <c r="EF157" i="14"/>
  <c r="EG157" i="14" s="1"/>
  <c r="EH156" i="14"/>
  <c r="DV422" i="14"/>
  <c r="DW422" i="14" s="1"/>
  <c r="DX421" i="14"/>
  <c r="DV301" i="14"/>
  <c r="DW301" i="14" s="1"/>
  <c r="DX300" i="14"/>
  <c r="DN565" i="14"/>
  <c r="DL566" i="14"/>
  <c r="DM566" i="14" s="1"/>
  <c r="CC517" i="14"/>
  <c r="CD517" i="14" s="1"/>
  <c r="DS253" i="14"/>
  <c r="DQ254" i="14"/>
  <c r="DR254" i="14" s="1"/>
  <c r="CJ348" i="14"/>
  <c r="CH349" i="14"/>
  <c r="CI349" i="14" s="1"/>
  <c r="EF673" i="14"/>
  <c r="EG673" i="14" s="1"/>
  <c r="EH672" i="14"/>
  <c r="EF481" i="14"/>
  <c r="EG481" i="14" s="1"/>
  <c r="EH480" i="14"/>
  <c r="CT528" i="14"/>
  <c r="CR529" i="14"/>
  <c r="CS529" i="14" s="1"/>
  <c r="DQ337" i="14"/>
  <c r="DR337" i="14" s="1"/>
  <c r="DS336" i="14"/>
  <c r="EF266" i="14"/>
  <c r="EG266" i="14" s="1"/>
  <c r="EH265" i="14"/>
  <c r="DV470" i="14"/>
  <c r="DW470" i="14" s="1"/>
  <c r="DX469" i="14"/>
  <c r="CJ516" i="14"/>
  <c r="CH517" i="14"/>
  <c r="CI517" i="14" s="1"/>
  <c r="CC157" i="14"/>
  <c r="CD157" i="14" s="1"/>
  <c r="CC193" i="14"/>
  <c r="CD193" i="14" s="1"/>
  <c r="DG97" i="14"/>
  <c r="DH97" i="14" s="1"/>
  <c r="DV385" i="14"/>
  <c r="DW385" i="14" s="1"/>
  <c r="DX384" i="14"/>
  <c r="DN613" i="14"/>
  <c r="DL614" i="14"/>
  <c r="DM614" i="14" s="1"/>
  <c r="DX205" i="14"/>
  <c r="DV206" i="14"/>
  <c r="DW206" i="14" s="1"/>
  <c r="EA482" i="14"/>
  <c r="EB482" i="14" s="1"/>
  <c r="EC481" i="14"/>
  <c r="CH253" i="14"/>
  <c r="CI253" i="14" s="1"/>
  <c r="CJ252" i="14"/>
  <c r="DG277" i="14"/>
  <c r="DH277" i="14" s="1"/>
  <c r="DB386" i="14"/>
  <c r="DC386" i="14" s="1"/>
  <c r="DD385" i="14"/>
  <c r="DQ62" i="14"/>
  <c r="DR62" i="14" s="1"/>
  <c r="DS61" i="14"/>
  <c r="EF421" i="14"/>
  <c r="EG421" i="14" s="1"/>
  <c r="EH420" i="14"/>
  <c r="CM134" i="14"/>
  <c r="CN134" i="14" s="1"/>
  <c r="CO133" i="14"/>
  <c r="CM553" i="14"/>
  <c r="CN553" i="14" s="1"/>
  <c r="CO552" i="14"/>
  <c r="EC373" i="14"/>
  <c r="EA374" i="14"/>
  <c r="EB374" i="14" s="1"/>
  <c r="CT480" i="14"/>
  <c r="CR481" i="14"/>
  <c r="CS481" i="14" s="1"/>
  <c r="DQ553" i="14"/>
  <c r="DR553" i="14" s="1"/>
  <c r="DS552" i="14"/>
  <c r="CH397" i="14"/>
  <c r="CI397" i="14" s="1"/>
  <c r="CJ396" i="14"/>
  <c r="DB109" i="14"/>
  <c r="DC109" i="14" s="1"/>
  <c r="DD108" i="14"/>
  <c r="EC108" i="14"/>
  <c r="EA109" i="14"/>
  <c r="EB109" i="14" s="1"/>
  <c r="DD625" i="14"/>
  <c r="DB626" i="14"/>
  <c r="DC626" i="14" s="1"/>
  <c r="CJ421" i="14"/>
  <c r="CH422" i="14"/>
  <c r="CI422" i="14" s="1"/>
  <c r="DD661" i="14"/>
  <c r="DB662" i="14"/>
  <c r="DC662" i="14" s="1"/>
  <c r="DX264" i="14"/>
  <c r="DV265" i="14"/>
  <c r="DW265" i="14" s="1"/>
  <c r="CW350" i="14"/>
  <c r="CX350" i="14" s="1"/>
  <c r="CY349" i="14"/>
  <c r="EF337" i="14"/>
  <c r="EG337" i="14" s="1"/>
  <c r="EH336" i="14"/>
  <c r="DG265" i="14"/>
  <c r="DH265" i="14" s="1"/>
  <c r="DS601" i="14"/>
  <c r="DQ602" i="14"/>
  <c r="DR602" i="14" s="1"/>
  <c r="EA385" i="14"/>
  <c r="EB385" i="14" s="1"/>
  <c r="EC384" i="14"/>
  <c r="CO456" i="14"/>
  <c r="CM457" i="14"/>
  <c r="CN457" i="14" s="1"/>
  <c r="CW289" i="14"/>
  <c r="CX289" i="14" s="1"/>
  <c r="CY288" i="14"/>
  <c r="DN456" i="14"/>
  <c r="DL457" i="14"/>
  <c r="DM457" i="14" s="1"/>
  <c r="CT48" i="14"/>
  <c r="CR49" i="14"/>
  <c r="CS49" i="14" s="1"/>
  <c r="EF566" i="14"/>
  <c r="EG566" i="14" s="1"/>
  <c r="EH565" i="14"/>
  <c r="DX528" i="14"/>
  <c r="DV529" i="14"/>
  <c r="DW529" i="14" s="1"/>
  <c r="CH181" i="14"/>
  <c r="CI181" i="14" s="1"/>
  <c r="CJ180" i="14"/>
  <c r="CT169" i="14"/>
  <c r="CR170" i="14"/>
  <c r="CS170" i="14" s="1"/>
  <c r="DX408" i="14"/>
  <c r="DV409" i="14"/>
  <c r="DW409" i="14" s="1"/>
  <c r="DS384" i="14"/>
  <c r="DQ385" i="14"/>
  <c r="DR385" i="14" s="1"/>
  <c r="CH122" i="14"/>
  <c r="CI122" i="14" s="1"/>
  <c r="CJ121" i="14"/>
  <c r="CJ300" i="14"/>
  <c r="CH301" i="14"/>
  <c r="CI301" i="14" s="1"/>
  <c r="DV170" i="14"/>
  <c r="DW170" i="14" s="1"/>
  <c r="DX169" i="14"/>
  <c r="CC601" i="14"/>
  <c r="CD601" i="14" s="1"/>
  <c r="CJ456" i="14"/>
  <c r="CH457" i="14"/>
  <c r="CI457" i="14" s="1"/>
  <c r="DB349" i="14"/>
  <c r="DC349" i="14" s="1"/>
  <c r="DD348" i="14"/>
  <c r="DG397" i="14"/>
  <c r="DH397" i="14" s="1"/>
  <c r="DN168" i="14"/>
  <c r="DL169" i="14"/>
  <c r="DM169" i="14" s="1"/>
  <c r="DG133" i="14"/>
  <c r="DH133" i="14" s="1"/>
  <c r="CJ468" i="14"/>
  <c r="CH469" i="14"/>
  <c r="CI469" i="14" s="1"/>
  <c r="EF326" i="14"/>
  <c r="EG326" i="14" s="1"/>
  <c r="EH325" i="14"/>
  <c r="DS565" i="14"/>
  <c r="DQ566" i="14"/>
  <c r="DR566" i="14" s="1"/>
  <c r="CH637" i="14"/>
  <c r="CI637" i="14" s="1"/>
  <c r="CJ636" i="14"/>
  <c r="EF554" i="14"/>
  <c r="EG554" i="14" s="1"/>
  <c r="EH553" i="14"/>
  <c r="CW602" i="14"/>
  <c r="CX602" i="14" s="1"/>
  <c r="CY601" i="14"/>
  <c r="CY588" i="14"/>
  <c r="CW589" i="14"/>
  <c r="CX589" i="14" s="1"/>
  <c r="CJ408" i="14"/>
  <c r="CH409" i="14"/>
  <c r="CI409" i="14" s="1"/>
  <c r="DL578" i="14"/>
  <c r="DM578" i="14" s="1"/>
  <c r="DN577" i="14"/>
  <c r="DS301" i="14"/>
  <c r="DQ302" i="14"/>
  <c r="DR302" i="14" s="1"/>
  <c r="DS229" i="14"/>
  <c r="DQ230" i="14"/>
  <c r="DR230" i="14" s="1"/>
  <c r="DG337" i="14"/>
  <c r="DH337" i="14" s="1"/>
  <c r="CW133" i="14"/>
  <c r="CX133" i="14" s="1"/>
  <c r="CY132" i="14"/>
  <c r="EH469" i="14"/>
  <c r="EF470" i="14"/>
  <c r="EG470" i="14" s="1"/>
  <c r="CC553" i="14"/>
  <c r="CD553" i="14" s="1"/>
  <c r="DS457" i="14"/>
  <c r="DQ458" i="14"/>
  <c r="DR458" i="14" s="1"/>
  <c r="EH540" i="14"/>
  <c r="EF541" i="14"/>
  <c r="EG541" i="14" s="1"/>
  <c r="CO120" i="14"/>
  <c r="CM121" i="14"/>
  <c r="CN121" i="14" s="1"/>
  <c r="CR470" i="14"/>
  <c r="CS470" i="14" s="1"/>
  <c r="CT469" i="14"/>
  <c r="CC121" i="14"/>
  <c r="CD121" i="14" s="1"/>
  <c r="DS265" i="14"/>
  <c r="DQ266" i="14"/>
  <c r="DR266" i="14" s="1"/>
  <c r="EC420" i="14"/>
  <c r="EA421" i="14"/>
  <c r="EB421" i="14" s="1"/>
  <c r="EH216" i="14"/>
  <c r="EF217" i="14"/>
  <c r="EG217" i="14" s="1"/>
  <c r="CJ565" i="14"/>
  <c r="CH566" i="14"/>
  <c r="CI566" i="14" s="1"/>
  <c r="EC265" i="14"/>
  <c r="EA266" i="14"/>
  <c r="EB266" i="14" s="1"/>
  <c r="EH85" i="14"/>
  <c r="EF86" i="14"/>
  <c r="EG86" i="14" s="1"/>
  <c r="DG157" i="14"/>
  <c r="DH157" i="14" s="1"/>
  <c r="EH349" i="14"/>
  <c r="EF350" i="14"/>
  <c r="EG350" i="14" s="1"/>
  <c r="DB469" i="14"/>
  <c r="DC469" i="14" s="1"/>
  <c r="DD468" i="14"/>
  <c r="DG661" i="14"/>
  <c r="DH661" i="14" s="1"/>
  <c r="DL121" i="14"/>
  <c r="DM121" i="14" s="1"/>
  <c r="DN120" i="14"/>
  <c r="CH205" i="14"/>
  <c r="CI205" i="14" s="1"/>
  <c r="CJ204" i="14"/>
  <c r="DD408" i="14"/>
  <c r="DB409" i="14"/>
  <c r="DC409" i="14" s="1"/>
  <c r="CH313" i="14"/>
  <c r="CI313" i="14" s="1"/>
  <c r="CJ312" i="14"/>
  <c r="DS96" i="14"/>
  <c r="DQ97" i="14"/>
  <c r="DR97" i="14" s="1"/>
  <c r="CC337" i="14"/>
  <c r="CD337" i="14" s="1"/>
  <c r="EA290" i="14"/>
  <c r="EB290" i="14" s="1"/>
  <c r="EC289" i="14"/>
  <c r="EA217" i="14"/>
  <c r="EB217" i="14" s="1"/>
  <c r="EC216" i="14"/>
  <c r="CT552" i="14"/>
  <c r="CR553" i="14"/>
  <c r="CS553" i="14" s="1"/>
  <c r="EF61" i="14"/>
  <c r="EG61" i="14" s="1"/>
  <c r="EH60" i="14"/>
  <c r="CC61" i="14"/>
  <c r="CD61" i="14" s="1"/>
  <c r="CR158" i="14"/>
  <c r="CS158" i="14" s="1"/>
  <c r="CT157" i="14"/>
  <c r="EA673" i="14"/>
  <c r="EB673" i="14" s="1"/>
  <c r="EC672" i="14"/>
  <c r="DX192" i="14"/>
  <c r="DV193" i="14"/>
  <c r="DW193" i="14" s="1"/>
  <c r="DN348" i="14"/>
  <c r="DL349" i="14"/>
  <c r="DM349" i="14" s="1"/>
  <c r="EF638" i="14"/>
  <c r="EG638" i="14" s="1"/>
  <c r="EH637" i="14"/>
  <c r="EF301" i="14"/>
  <c r="EG301" i="14" s="1"/>
  <c r="EH300" i="14"/>
  <c r="CR386" i="14"/>
  <c r="CS386" i="14" s="1"/>
  <c r="CT385" i="14"/>
  <c r="DL626" i="14"/>
  <c r="DM626" i="14" s="1"/>
  <c r="DN625" i="14"/>
  <c r="EF434" i="14"/>
  <c r="EG434" i="14" s="1"/>
  <c r="EH433" i="14"/>
  <c r="CM313" i="14"/>
  <c r="CN313" i="14" s="1"/>
  <c r="CO312" i="14"/>
  <c r="EA602" i="14"/>
  <c r="EB602" i="14" s="1"/>
  <c r="EC601" i="14"/>
  <c r="DN144" i="14"/>
  <c r="DL145" i="14"/>
  <c r="DM145" i="14" s="1"/>
  <c r="CO349" i="14"/>
  <c r="CM350" i="14"/>
  <c r="CN350" i="14" s="1"/>
  <c r="DG373" i="14"/>
  <c r="DH373" i="14" s="1"/>
  <c r="CC577" i="14"/>
  <c r="CD577" i="14" s="1"/>
  <c r="CW313" i="14"/>
  <c r="CX313" i="14" s="1"/>
  <c r="CY312" i="14"/>
  <c r="CO384" i="14"/>
  <c r="CM385" i="14"/>
  <c r="CN385" i="14" s="1"/>
  <c r="DV290" i="14"/>
  <c r="DW290" i="14" s="1"/>
  <c r="DX289" i="14"/>
  <c r="CW194" i="14"/>
  <c r="CX194" i="14" s="1"/>
  <c r="CY193" i="14"/>
  <c r="CJ529" i="14"/>
  <c r="CH530" i="14"/>
  <c r="CI530" i="14" s="1"/>
  <c r="CT673" i="14"/>
  <c r="CR674" i="14"/>
  <c r="CS674" i="14" s="1"/>
  <c r="CW422" i="14"/>
  <c r="CX422" i="14" s="1"/>
  <c r="CY421" i="14"/>
  <c r="CW398" i="14"/>
  <c r="CX398" i="14" s="1"/>
  <c r="CY397" i="14"/>
  <c r="CM493" i="14"/>
  <c r="CN493" i="14" s="1"/>
  <c r="CO492" i="14"/>
  <c r="DB85" i="14"/>
  <c r="DC85" i="14" s="1"/>
  <c r="DD84" i="14"/>
  <c r="DL290" i="14"/>
  <c r="DM290" i="14" s="1"/>
  <c r="DN289" i="14"/>
  <c r="CR625" i="14"/>
  <c r="CS625" i="14" s="1"/>
  <c r="CT624" i="14"/>
  <c r="CC505" i="14"/>
  <c r="CD505" i="14" s="1"/>
  <c r="CH277" i="14"/>
  <c r="CI277" i="14" s="1"/>
  <c r="CJ276" i="14"/>
  <c r="CC349" i="14"/>
  <c r="CD349" i="14" s="1"/>
  <c r="DX49" i="14"/>
  <c r="DV50" i="14"/>
  <c r="DW50" i="14" s="1"/>
  <c r="DG505" i="14"/>
  <c r="DH505" i="14" s="1"/>
  <c r="DG649" i="14"/>
  <c r="DH649" i="14" s="1"/>
  <c r="DD277" i="14"/>
  <c r="DB278" i="14"/>
  <c r="DC278" i="14" s="1"/>
  <c r="CM277" i="14"/>
  <c r="CN277" i="14" s="1"/>
  <c r="CO276" i="14"/>
  <c r="DX588" i="14"/>
  <c r="DV589" i="14"/>
  <c r="DW589" i="14" s="1"/>
  <c r="DN229" i="14"/>
  <c r="DL230" i="14"/>
  <c r="DM230" i="14" s="1"/>
  <c r="CC229" i="14"/>
  <c r="CD229" i="14" s="1"/>
  <c r="DG541" i="14"/>
  <c r="DH541" i="14" s="1"/>
  <c r="CC373" i="14"/>
  <c r="CD373" i="14" s="1"/>
  <c r="DN589" i="14"/>
  <c r="DL590" i="14"/>
  <c r="DM590" i="14" s="1"/>
  <c r="CR565" i="14"/>
  <c r="CS565" i="14" s="1"/>
  <c r="CT564" i="14"/>
  <c r="CC541" i="14"/>
  <c r="CD541" i="14" s="1"/>
  <c r="DQ289" i="14"/>
  <c r="DR289" i="14" s="1"/>
  <c r="DS288" i="14"/>
  <c r="CW158" i="14"/>
  <c r="CX158" i="14" s="1"/>
  <c r="CY157" i="14"/>
  <c r="DG433" i="14"/>
  <c r="DH433" i="14" s="1"/>
  <c r="DX276" i="14"/>
  <c r="DV277" i="14"/>
  <c r="DW277" i="14" s="1"/>
  <c r="DD192" i="14"/>
  <c r="DB193" i="14"/>
  <c r="DC193" i="14" s="1"/>
  <c r="EC361" i="14"/>
  <c r="EA362" i="14"/>
  <c r="EB362" i="14" s="1"/>
  <c r="CC253" i="14"/>
  <c r="CD253" i="14" s="1"/>
  <c r="DB638" i="14"/>
  <c r="DC638" i="14" s="1"/>
  <c r="DD637" i="14"/>
  <c r="DL254" i="14"/>
  <c r="DM254" i="14" s="1"/>
  <c r="DN253" i="14"/>
  <c r="DL374" i="14"/>
  <c r="DM374" i="14" s="1"/>
  <c r="DN373" i="14"/>
  <c r="EH229" i="14"/>
  <c r="EF230" i="14"/>
  <c r="EG230" i="14" s="1"/>
  <c r="CH193" i="14"/>
  <c r="CI193" i="14" s="1"/>
  <c r="CJ192" i="14"/>
  <c r="DV350" i="14"/>
  <c r="DW350" i="14" s="1"/>
  <c r="DX349" i="14"/>
  <c r="CR205" i="14"/>
  <c r="CS205" i="14" s="1"/>
  <c r="CT204" i="14"/>
  <c r="DQ494" i="14"/>
  <c r="DR494" i="14" s="1"/>
  <c r="DS493" i="14"/>
  <c r="DS576" i="14"/>
  <c r="DQ577" i="14"/>
  <c r="DR577" i="14" s="1"/>
  <c r="EC49" i="14"/>
  <c r="EA50" i="14"/>
  <c r="EB50" i="14" s="1"/>
  <c r="CJ540" i="14"/>
  <c r="CH541" i="14"/>
  <c r="CI541" i="14" s="1"/>
  <c r="EH660" i="14"/>
  <c r="EF661" i="14"/>
  <c r="EG661" i="14" s="1"/>
  <c r="EF505" i="14"/>
  <c r="EG505" i="14" s="1"/>
  <c r="EH504" i="14"/>
  <c r="DB565" i="14"/>
  <c r="DC565" i="14" s="1"/>
  <c r="DD564" i="14"/>
  <c r="CH589" i="14"/>
  <c r="CI589" i="14" s="1"/>
  <c r="CJ588" i="14"/>
  <c r="DN408" i="14"/>
  <c r="DL409" i="14"/>
  <c r="DM409" i="14" s="1"/>
  <c r="DS648" i="14"/>
  <c r="DQ649" i="14"/>
  <c r="DR649" i="14" s="1"/>
  <c r="DS120" i="14"/>
  <c r="DQ121" i="14"/>
  <c r="DR121" i="14" s="1"/>
  <c r="CT265" i="14"/>
  <c r="CR266" i="14"/>
  <c r="CS266" i="14" s="1"/>
  <c r="CW434" i="14"/>
  <c r="CX434" i="14" s="1"/>
  <c r="CY433" i="14"/>
  <c r="DN505" i="14"/>
  <c r="DL506" i="14"/>
  <c r="DM506" i="14" s="1"/>
  <c r="EF386" i="14"/>
  <c r="EG386" i="14" s="1"/>
  <c r="EH385" i="14"/>
  <c r="DG313" i="14"/>
  <c r="DH313" i="14" s="1"/>
  <c r="CC625" i="14"/>
  <c r="CD625" i="14" s="1"/>
  <c r="DN240" i="14"/>
  <c r="DL241" i="14"/>
  <c r="DM241" i="14" s="1"/>
  <c r="CY409" i="14"/>
  <c r="CW410" i="14"/>
  <c r="CX410" i="14" s="1"/>
  <c r="CW541" i="14"/>
  <c r="CX541" i="14" s="1"/>
  <c r="CY540" i="14"/>
  <c r="DQ397" i="14"/>
  <c r="DR397" i="14" s="1"/>
  <c r="DS396" i="14"/>
  <c r="DL314" i="14"/>
  <c r="DM314" i="14" s="1"/>
  <c r="DN313" i="14"/>
  <c r="CB82" i="14"/>
  <c r="CC71" i="14" s="1"/>
  <c r="CD71" i="14" s="1"/>
  <c r="DF82" i="14"/>
  <c r="DG71" i="14" s="1"/>
  <c r="DH71" i="14" s="1"/>
  <c r="DO82" i="14"/>
  <c r="DP82" i="14" s="1"/>
  <c r="DP81" i="14"/>
  <c r="CZ82" i="14"/>
  <c r="DA82" i="14" s="1"/>
  <c r="DA81" i="14"/>
  <c r="CK82" i="14"/>
  <c r="CL82" i="14" s="1"/>
  <c r="CL81" i="14"/>
  <c r="ED82" i="14"/>
  <c r="EE82" i="14" s="1"/>
  <c r="EE81" i="14"/>
  <c r="DZ81" i="14"/>
  <c r="DY82" i="14"/>
  <c r="DZ82" i="14" s="1"/>
  <c r="CP82" i="14"/>
  <c r="CQ82" i="14" s="1"/>
  <c r="CQ81" i="14"/>
  <c r="CU82" i="14"/>
  <c r="CV82" i="14" s="1"/>
  <c r="CV81" i="14"/>
  <c r="DJ82" i="14"/>
  <c r="DK82" i="14" s="1"/>
  <c r="DK81" i="14"/>
  <c r="DU81" i="14"/>
  <c r="DT82" i="14"/>
  <c r="DU82" i="14" s="1"/>
  <c r="CG81" i="14"/>
  <c r="CF82" i="14"/>
  <c r="CG82" i="14" s="1"/>
  <c r="CB44" i="14"/>
  <c r="BK42" i="14"/>
  <c r="BM42" i="14"/>
  <c r="E12" i="43"/>
  <c r="B12" i="43"/>
  <c r="AJ14" i="43"/>
  <c r="E13" i="43" s="1"/>
  <c r="CL45" i="14"/>
  <c r="CK46" i="14"/>
  <c r="CL46" i="14" s="1"/>
  <c r="EE45" i="14"/>
  <c r="ED46" i="14"/>
  <c r="EE46" i="14" s="1"/>
  <c r="CZ45" i="14"/>
  <c r="DA45" i="14" s="1"/>
  <c r="CF45" i="14"/>
  <c r="CG45" i="14" s="1"/>
  <c r="CU45" i="14"/>
  <c r="CV45" i="14" s="1"/>
  <c r="CP45" i="14"/>
  <c r="CQ45" i="14" s="1"/>
  <c r="CA45" i="14"/>
  <c r="DY46" i="14"/>
  <c r="DZ46" i="14" s="1"/>
  <c r="DZ45" i="14"/>
  <c r="DO46" i="14"/>
  <c r="DP46" i="14" s="1"/>
  <c r="DP45" i="14"/>
  <c r="DT46" i="14"/>
  <c r="DU46" i="14" s="1"/>
  <c r="DU45" i="14"/>
  <c r="DJ46" i="14"/>
  <c r="DK46" i="14" s="1"/>
  <c r="DK45" i="14"/>
  <c r="CE132" i="14" a="1"/>
  <c r="DI336" i="14" a="1"/>
  <c r="DI420" i="14" a="1"/>
  <c r="DI60" i="14" a="1"/>
  <c r="DI168" i="14" a="1"/>
  <c r="DI120" i="14" a="1"/>
  <c r="CE552" i="14" a="1"/>
  <c r="CE48" i="14" a="1"/>
  <c r="CE660" i="14" a="1"/>
  <c r="CE228" i="14" a="1"/>
  <c r="DI504" i="14" a="1"/>
  <c r="DI540" i="14" a="1"/>
  <c r="CE396" i="14" a="1"/>
  <c r="CE384" i="14" a="1"/>
  <c r="CE60" i="14" a="1"/>
  <c r="DI660" i="14" a="1"/>
  <c r="DI396" i="14" a="1"/>
  <c r="DI228" i="14" a="1"/>
  <c r="DI252" i="14" a="1"/>
  <c r="CE276" i="14" a="1"/>
  <c r="DI276" i="14" a="1"/>
  <c r="BN41" i="14"/>
  <c r="CE84" i="14" a="1"/>
  <c r="DI456" i="14" a="1"/>
  <c r="DI408" i="14" a="1"/>
  <c r="DI156" i="14" a="1"/>
  <c r="DI576" i="14" a="1"/>
  <c r="CE252" i="14" a="1"/>
  <c r="CE336" i="14" a="1"/>
  <c r="CE516" i="14" a="1"/>
  <c r="CE324" i="14" a="1"/>
  <c r="CE216" i="14" a="1"/>
  <c r="DI360" i="14" a="1"/>
  <c r="DI516" i="14" a="1"/>
  <c r="CE636" i="14" a="1"/>
  <c r="DI324" i="14" a="1"/>
  <c r="CE624" i="14" a="1"/>
  <c r="DI132" i="14" a="1"/>
  <c r="CE480" i="14" a="1"/>
  <c r="CE420" i="14" a="1"/>
  <c r="DI48" i="14" a="1"/>
  <c r="DI96" i="14" a="1"/>
  <c r="DI71" i="14" a="1"/>
  <c r="DI348" i="14" a="1"/>
  <c r="CE492" i="14" a="1"/>
  <c r="CE156" i="14" a="1"/>
  <c r="DI612" i="14" a="1"/>
  <c r="CE564" i="14" a="1"/>
  <c r="CE204" i="14" a="1"/>
  <c r="CE312" i="14" a="1"/>
  <c r="DI204" i="14" a="1"/>
  <c r="CE300" i="14" a="1"/>
  <c r="CE192" i="14" a="1"/>
  <c r="CE588" i="14" a="1"/>
  <c r="CE108" i="14" a="1"/>
  <c r="DI672" i="14" a="1"/>
  <c r="CE648" i="14" a="1"/>
  <c r="DI288" i="14" a="1"/>
  <c r="CE240" i="14" a="1"/>
  <c r="DI108" i="14" a="1"/>
  <c r="DI480" i="14" a="1"/>
  <c r="CE540" i="14" a="1"/>
  <c r="CE120" i="14" a="1"/>
  <c r="CE408" i="14" a="1"/>
  <c r="CE168" i="14" a="1"/>
  <c r="DI240" i="14" a="1"/>
  <c r="CE612" i="14" a="1"/>
  <c r="CE348" i="14" a="1"/>
  <c r="CE144" i="14" a="1"/>
  <c r="CE360" i="14" a="1"/>
  <c r="CE432" i="14" a="1"/>
  <c r="DI216" i="14" a="1"/>
  <c r="CE528" i="14" a="1"/>
  <c r="DI384" i="14" a="1"/>
  <c r="CE288" i="14" a="1"/>
  <c r="CE444" i="14" a="1"/>
  <c r="DI468" i="14" a="1"/>
  <c r="CE96" i="14" a="1"/>
  <c r="DI624" i="14" a="1"/>
  <c r="BL41" i="14"/>
  <c r="DI432" i="14" a="1"/>
  <c r="DI144" i="14" a="1"/>
  <c r="CE468" i="14" a="1"/>
  <c r="CE600" i="14" a="1"/>
  <c r="DI552" i="14" a="1"/>
  <c r="DI312" i="14" a="1"/>
  <c r="DI300" i="14" a="1"/>
  <c r="DI372" i="14" a="1"/>
  <c r="CE372" i="14" a="1"/>
  <c r="CE180" i="14" a="1"/>
  <c r="DI588" i="14" a="1"/>
  <c r="CE576" i="14" a="1"/>
  <c r="DI564" i="14" a="1"/>
  <c r="CE71" i="14" a="1"/>
  <c r="CE456" i="14" a="1"/>
  <c r="DI600" i="14" a="1"/>
  <c r="DI192" i="14" a="1"/>
  <c r="DI264" i="14" a="1"/>
  <c r="CB45" i="14" a="1"/>
  <c r="DI492" i="14" a="1"/>
  <c r="DI180" i="14" a="1"/>
  <c r="CE672" i="14" a="1"/>
  <c r="CE504" i="14" a="1"/>
  <c r="DI528" i="14" a="1"/>
  <c r="DI84" i="14" a="1"/>
  <c r="DI648" i="14" a="1"/>
  <c r="CE264" i="14" a="1"/>
  <c r="DI636" i="14" a="1"/>
  <c r="DI444" i="14" a="1"/>
  <c r="G4" i="40" l="1"/>
  <c r="CM638" i="14"/>
  <c r="CN638" i="14" s="1"/>
  <c r="CO638" i="14" s="1"/>
  <c r="CW458" i="14"/>
  <c r="CX458" i="14" s="1"/>
  <c r="CY458" i="14" s="1"/>
  <c r="DQ218" i="14"/>
  <c r="DR218" i="14" s="1"/>
  <c r="DS218" i="14" s="1"/>
  <c r="CH170" i="14"/>
  <c r="CI170" i="14" s="1"/>
  <c r="CH171" i="14" s="1"/>
  <c r="CI171" i="14" s="1"/>
  <c r="EA158" i="14"/>
  <c r="EB158" i="14" s="1"/>
  <c r="EC158" i="14" s="1"/>
  <c r="CM398" i="14"/>
  <c r="CN398" i="14" s="1"/>
  <c r="CM399" i="14" s="1"/>
  <c r="CN399" i="14" s="1"/>
  <c r="DX517" i="14"/>
  <c r="DX121" i="14"/>
  <c r="DN301" i="14"/>
  <c r="DN517" i="14"/>
  <c r="CJ109" i="14"/>
  <c r="DN85" i="14"/>
  <c r="DB338" i="14"/>
  <c r="DC338" i="14" s="1"/>
  <c r="DD338" i="14" s="1"/>
  <c r="CO241" i="14"/>
  <c r="EF146" i="14"/>
  <c r="EG146" i="14" s="1"/>
  <c r="EH146" i="14" s="1"/>
  <c r="CJ133" i="14"/>
  <c r="CY517" i="14"/>
  <c r="CT445" i="14"/>
  <c r="DS157" i="14"/>
  <c r="DQ278" i="14"/>
  <c r="DR278" i="14" s="1"/>
  <c r="DQ279" i="14" s="1"/>
  <c r="DR279" i="14" s="1"/>
  <c r="CW446" i="14"/>
  <c r="CX446" i="14" s="1"/>
  <c r="CY446" i="14" s="1"/>
  <c r="DX481" i="14"/>
  <c r="DX601" i="14"/>
  <c r="DX313" i="14"/>
  <c r="EC181" i="14"/>
  <c r="CM254" i="14"/>
  <c r="CN254" i="14" s="1"/>
  <c r="CO254" i="14" s="1"/>
  <c r="EH109" i="14"/>
  <c r="DQ170" i="14"/>
  <c r="DR170" i="14" s="1"/>
  <c r="DS170" i="14" s="1"/>
  <c r="DS529" i="14"/>
  <c r="CM302" i="14"/>
  <c r="CN302" i="14" s="1"/>
  <c r="CM303" i="14" s="1"/>
  <c r="CN303" i="14" s="1"/>
  <c r="DX97" i="14"/>
  <c r="CJ325" i="14"/>
  <c r="CR98" i="14"/>
  <c r="CS98" i="14" s="1"/>
  <c r="CT98" i="14" s="1"/>
  <c r="DV542" i="14"/>
  <c r="DW542" i="14" s="1"/>
  <c r="DV543" i="14" s="1"/>
  <c r="DW543" i="14" s="1"/>
  <c r="CM602" i="14"/>
  <c r="CN602" i="14" s="1"/>
  <c r="CM603" i="14" s="1"/>
  <c r="CN603" i="14" s="1"/>
  <c r="DX337" i="14"/>
  <c r="DV218" i="14"/>
  <c r="DW218" i="14" s="1"/>
  <c r="DV219" i="14" s="1"/>
  <c r="DW219" i="14" s="1"/>
  <c r="EH493" i="14"/>
  <c r="CO469" i="14"/>
  <c r="CR374" i="14"/>
  <c r="CS374" i="14" s="1"/>
  <c r="CR375" i="14" s="1"/>
  <c r="CS375" i="14" s="1"/>
  <c r="CH62" i="14"/>
  <c r="CI62" i="14" s="1"/>
  <c r="CJ62" i="14" s="1"/>
  <c r="CY553" i="14"/>
  <c r="CW254" i="14"/>
  <c r="CX254" i="14" s="1"/>
  <c r="CY254" i="14" s="1"/>
  <c r="DD157" i="14"/>
  <c r="DL110" i="14"/>
  <c r="DM110" i="14" s="1"/>
  <c r="DL111" i="14" s="1"/>
  <c r="DM111" i="14" s="1"/>
  <c r="DD229" i="14"/>
  <c r="EF518" i="14"/>
  <c r="EG518" i="14" s="1"/>
  <c r="EH518" i="14" s="1"/>
  <c r="CY337" i="14"/>
  <c r="CR230" i="14"/>
  <c r="CS230" i="14" s="1"/>
  <c r="CR231" i="14" s="1"/>
  <c r="CS231" i="14" s="1"/>
  <c r="DN193" i="14"/>
  <c r="CT349" i="14"/>
  <c r="DX673" i="14"/>
  <c r="CH554" i="14"/>
  <c r="CI554" i="14" s="1"/>
  <c r="CH555" i="14" s="1"/>
  <c r="CI555" i="14" s="1"/>
  <c r="CO673" i="14"/>
  <c r="CR302" i="14"/>
  <c r="CS302" i="14" s="1"/>
  <c r="CR303" i="14" s="1"/>
  <c r="CS303" i="14" s="1"/>
  <c r="EC661" i="14"/>
  <c r="CR494" i="14"/>
  <c r="CS494" i="14" s="1"/>
  <c r="CR495" i="14" s="1"/>
  <c r="CS495" i="14" s="1"/>
  <c r="DS445" i="14"/>
  <c r="EH205" i="14"/>
  <c r="EA170" i="14"/>
  <c r="EB170" i="14" s="1"/>
  <c r="EC170" i="14" s="1"/>
  <c r="DX505" i="14"/>
  <c r="CO265" i="14"/>
  <c r="CT337" i="14"/>
  <c r="CO529" i="14"/>
  <c r="EF650" i="14"/>
  <c r="EG650" i="14" s="1"/>
  <c r="EF651" i="14" s="1"/>
  <c r="EG651" i="14" s="1"/>
  <c r="CY109" i="14"/>
  <c r="DV62" i="14"/>
  <c r="DW62" i="14" s="1"/>
  <c r="DV63" i="14" s="1"/>
  <c r="DW63" i="14" s="1"/>
  <c r="CH374" i="14"/>
  <c r="CI374" i="14" s="1"/>
  <c r="CH375" i="14" s="1"/>
  <c r="CI375" i="14" s="1"/>
  <c r="CR506" i="14"/>
  <c r="CS506" i="14" s="1"/>
  <c r="CT506" i="14" s="1"/>
  <c r="EC613" i="14"/>
  <c r="DV446" i="14"/>
  <c r="DW446" i="14" s="1"/>
  <c r="DV447" i="14" s="1"/>
  <c r="DW447" i="14" s="1"/>
  <c r="DI540" i="14"/>
  <c r="DI504" i="14"/>
  <c r="CE444" i="14"/>
  <c r="DI612" i="14"/>
  <c r="DI108" i="14"/>
  <c r="CE564" i="14"/>
  <c r="CE168" i="14"/>
  <c r="DI84" i="14"/>
  <c r="CE636" i="14"/>
  <c r="CE60" i="14"/>
  <c r="DI264" i="14"/>
  <c r="DI96" i="14"/>
  <c r="CE384" i="14"/>
  <c r="CE96" i="14"/>
  <c r="CE180" i="14"/>
  <c r="DI348" i="14"/>
  <c r="CE252" i="14"/>
  <c r="CE348" i="14"/>
  <c r="CE192" i="14"/>
  <c r="CE396" i="14"/>
  <c r="DI144" i="14"/>
  <c r="CE492" i="14"/>
  <c r="DI216" i="14"/>
  <c r="CE420" i="14"/>
  <c r="CE240" i="14"/>
  <c r="CE216" i="14"/>
  <c r="DI204" i="14"/>
  <c r="DI492" i="14"/>
  <c r="DI444" i="14"/>
  <c r="CE588" i="14"/>
  <c r="CE480" i="14"/>
  <c r="DI384" i="14"/>
  <c r="DI396" i="14"/>
  <c r="DI192" i="14"/>
  <c r="CE552" i="14"/>
  <c r="CE156" i="14"/>
  <c r="DI480" i="14"/>
  <c r="CE612" i="14"/>
  <c r="CE312" i="14"/>
  <c r="DI312" i="14"/>
  <c r="DI156" i="14"/>
  <c r="DI588" i="14"/>
  <c r="CE264" i="14"/>
  <c r="CE228" i="14"/>
  <c r="CE408" i="14"/>
  <c r="CE468" i="14"/>
  <c r="DI636" i="14"/>
  <c r="DI324" i="14"/>
  <c r="DI624" i="14"/>
  <c r="DI60" i="14"/>
  <c r="CE204" i="14"/>
  <c r="CE300" i="14"/>
  <c r="DI120" i="14"/>
  <c r="CE84" i="14"/>
  <c r="CE624" i="14"/>
  <c r="CE504" i="14"/>
  <c r="DI252" i="14"/>
  <c r="DI576" i="14"/>
  <c r="DI672" i="14"/>
  <c r="DI228" i="14"/>
  <c r="CE288" i="14"/>
  <c r="DI600" i="14"/>
  <c r="CE144" i="14"/>
  <c r="DI468" i="14"/>
  <c r="DI408" i="14"/>
  <c r="CE456" i="14"/>
  <c r="CE324" i="14"/>
  <c r="DI180" i="14"/>
  <c r="CE276" i="14"/>
  <c r="DI660" i="14"/>
  <c r="DI288" i="14"/>
  <c r="DI300" i="14"/>
  <c r="CE360" i="14"/>
  <c r="DI240" i="14"/>
  <c r="CE660" i="14"/>
  <c r="CE132" i="14"/>
  <c r="DI48" i="14"/>
  <c r="CE48" i="14"/>
  <c r="CE540" i="14"/>
  <c r="CE528" i="14"/>
  <c r="DI564" i="14"/>
  <c r="DI432" i="14"/>
  <c r="CE372" i="14"/>
  <c r="DI648" i="14"/>
  <c r="DI372" i="14"/>
  <c r="CE336" i="14"/>
  <c r="DI336" i="14"/>
  <c r="DI132" i="14"/>
  <c r="DI528" i="14"/>
  <c r="DI360" i="14"/>
  <c r="DI516" i="14"/>
  <c r="CE648" i="14"/>
  <c r="CE672" i="14"/>
  <c r="DI420" i="14"/>
  <c r="DI276" i="14"/>
  <c r="DI456" i="14"/>
  <c r="CE516" i="14"/>
  <c r="CE600" i="14"/>
  <c r="CE576" i="14"/>
  <c r="CE120" i="14"/>
  <c r="CE108" i="14"/>
  <c r="CE432" i="14"/>
  <c r="DI168" i="14"/>
  <c r="DI552" i="14"/>
  <c r="CH290" i="14"/>
  <c r="CI290" i="14" s="1"/>
  <c r="CJ289" i="14"/>
  <c r="CC566" i="14"/>
  <c r="CD566" i="14" s="1"/>
  <c r="DS637" i="14"/>
  <c r="DQ638" i="14"/>
  <c r="DR638" i="14" s="1"/>
  <c r="CR363" i="14"/>
  <c r="CS363" i="14" s="1"/>
  <c r="CT362" i="14"/>
  <c r="CJ422" i="14"/>
  <c r="CH423" i="14"/>
  <c r="CI423" i="14" s="1"/>
  <c r="DL242" i="14"/>
  <c r="DM242" i="14" s="1"/>
  <c r="DN241" i="14"/>
  <c r="CT266" i="14"/>
  <c r="CR267" i="14"/>
  <c r="CS267" i="14" s="1"/>
  <c r="EH661" i="14"/>
  <c r="EF662" i="14"/>
  <c r="EG662" i="14" s="1"/>
  <c r="CO350" i="14"/>
  <c r="CM351" i="14"/>
  <c r="CN351" i="14" s="1"/>
  <c r="DS97" i="14"/>
  <c r="DQ98" i="14"/>
  <c r="DR98" i="14" s="1"/>
  <c r="EH350" i="14"/>
  <c r="EF351" i="14"/>
  <c r="EG351" i="14" s="1"/>
  <c r="EC266" i="14"/>
  <c r="EA267" i="14"/>
  <c r="EB267" i="14" s="1"/>
  <c r="CO121" i="14"/>
  <c r="CM122" i="14"/>
  <c r="CN122" i="14" s="1"/>
  <c r="DQ231" i="14"/>
  <c r="DR231" i="14" s="1"/>
  <c r="DS230" i="14"/>
  <c r="DL170" i="14"/>
  <c r="DM170" i="14" s="1"/>
  <c r="DN169" i="14"/>
  <c r="CJ301" i="14"/>
  <c r="CH302" i="14"/>
  <c r="CI302" i="14" s="1"/>
  <c r="DV530" i="14"/>
  <c r="DW530" i="14" s="1"/>
  <c r="DX529" i="14"/>
  <c r="DQ603" i="14"/>
  <c r="DR603" i="14" s="1"/>
  <c r="DS602" i="14"/>
  <c r="DD662" i="14"/>
  <c r="DB663" i="14"/>
  <c r="DC663" i="14" s="1"/>
  <c r="CH350" i="14"/>
  <c r="CI350" i="14" s="1"/>
  <c r="CJ349" i="14"/>
  <c r="CW626" i="14"/>
  <c r="CX626" i="14" s="1"/>
  <c r="CY625" i="14"/>
  <c r="EF51" i="14"/>
  <c r="EG51" i="14" s="1"/>
  <c r="EH50" i="14"/>
  <c r="EA326" i="14"/>
  <c r="EB326" i="14" s="1"/>
  <c r="EC325" i="14"/>
  <c r="DD673" i="14"/>
  <c r="DB674" i="14"/>
  <c r="DC674" i="14" s="1"/>
  <c r="DB374" i="14"/>
  <c r="DC374" i="14" s="1"/>
  <c r="DD373" i="14"/>
  <c r="CY673" i="14"/>
  <c r="CW674" i="14"/>
  <c r="CX674" i="14" s="1"/>
  <c r="CH338" i="14"/>
  <c r="CI338" i="14" s="1"/>
  <c r="CJ337" i="14"/>
  <c r="CY362" i="14"/>
  <c r="CW363" i="14"/>
  <c r="CX363" i="14" s="1"/>
  <c r="CO289" i="14"/>
  <c r="CM290" i="14"/>
  <c r="CN290" i="14" s="1"/>
  <c r="DN337" i="14"/>
  <c r="DL338" i="14"/>
  <c r="DM338" i="14" s="1"/>
  <c r="DD302" i="14"/>
  <c r="DB303" i="14"/>
  <c r="DC303" i="14" s="1"/>
  <c r="CM507" i="14"/>
  <c r="CN507" i="14" s="1"/>
  <c r="CO506" i="14"/>
  <c r="EA518" i="14"/>
  <c r="EB518" i="14" s="1"/>
  <c r="EC517" i="14"/>
  <c r="DD445" i="14"/>
  <c r="DB446" i="14"/>
  <c r="DC446" i="14" s="1"/>
  <c r="CO626" i="14"/>
  <c r="CM627" i="14"/>
  <c r="CN627" i="14" s="1"/>
  <c r="EH277" i="14"/>
  <c r="EF278" i="14"/>
  <c r="EG278" i="14" s="1"/>
  <c r="CM651" i="14"/>
  <c r="CN651" i="14" s="1"/>
  <c r="CO650" i="14"/>
  <c r="CY386" i="14"/>
  <c r="CW387" i="14"/>
  <c r="CX387" i="14" s="1"/>
  <c r="CC50" i="14"/>
  <c r="CD50" i="14" s="1"/>
  <c r="CR134" i="14"/>
  <c r="CS134" i="14" s="1"/>
  <c r="CT133" i="14"/>
  <c r="CC482" i="14"/>
  <c r="CD482" i="14" s="1"/>
  <c r="DG386" i="14"/>
  <c r="DH386" i="14" s="1"/>
  <c r="DG494" i="14"/>
  <c r="DH494" i="14" s="1"/>
  <c r="CT386" i="14"/>
  <c r="CR387" i="14"/>
  <c r="CS387" i="14" s="1"/>
  <c r="EH373" i="14"/>
  <c r="EF374" i="14"/>
  <c r="EG374" i="14" s="1"/>
  <c r="DX482" i="14"/>
  <c r="DV483" i="14"/>
  <c r="DW483" i="14" s="1"/>
  <c r="CT313" i="14"/>
  <c r="CR314" i="14"/>
  <c r="CS314" i="14" s="1"/>
  <c r="CC182" i="14"/>
  <c r="CD182" i="14" s="1"/>
  <c r="CO493" i="14"/>
  <c r="CM494" i="14"/>
  <c r="CN494" i="14" s="1"/>
  <c r="EH301" i="14"/>
  <c r="EF302" i="14"/>
  <c r="EG302" i="14" s="1"/>
  <c r="CH314" i="14"/>
  <c r="CI314" i="14" s="1"/>
  <c r="CJ313" i="14"/>
  <c r="EF555" i="14"/>
  <c r="EG555" i="14" s="1"/>
  <c r="EH554" i="14"/>
  <c r="DG398" i="14"/>
  <c r="DH398" i="14" s="1"/>
  <c r="CH123" i="14"/>
  <c r="CI123" i="14" s="1"/>
  <c r="CJ122" i="14"/>
  <c r="EF567" i="14"/>
  <c r="EG567" i="14" s="1"/>
  <c r="EH566" i="14"/>
  <c r="DG278" i="14"/>
  <c r="DH278" i="14" s="1"/>
  <c r="CY554" i="14"/>
  <c r="CW555" i="14"/>
  <c r="CX555" i="14" s="1"/>
  <c r="DG458" i="14"/>
  <c r="DH458" i="14" s="1"/>
  <c r="DL543" i="14"/>
  <c r="DM543" i="14" s="1"/>
  <c r="DN542" i="14"/>
  <c r="DB182" i="14"/>
  <c r="DC182" i="14" s="1"/>
  <c r="DD181" i="14"/>
  <c r="CT277" i="14"/>
  <c r="CR278" i="14"/>
  <c r="CS278" i="14" s="1"/>
  <c r="DD121" i="14"/>
  <c r="DB122" i="14"/>
  <c r="DC122" i="14" s="1"/>
  <c r="CM327" i="14"/>
  <c r="CN327" i="14" s="1"/>
  <c r="CO326" i="14"/>
  <c r="DL423" i="14"/>
  <c r="DM423" i="14" s="1"/>
  <c r="DN422" i="14"/>
  <c r="DB50" i="14"/>
  <c r="DC50" i="14" s="1"/>
  <c r="DD49" i="14"/>
  <c r="CC410" i="14"/>
  <c r="CD410" i="14" s="1"/>
  <c r="CO62" i="14"/>
  <c r="CM63" i="14"/>
  <c r="CN63" i="14" s="1"/>
  <c r="DN434" i="14"/>
  <c r="DL435" i="14"/>
  <c r="DM435" i="14" s="1"/>
  <c r="CR147" i="14"/>
  <c r="CS147" i="14" s="1"/>
  <c r="CT146" i="14"/>
  <c r="CT650" i="14"/>
  <c r="CR651" i="14"/>
  <c r="CS651" i="14" s="1"/>
  <c r="CY662" i="14"/>
  <c r="CW663" i="14"/>
  <c r="CX663" i="14" s="1"/>
  <c r="CJ230" i="14"/>
  <c r="CH231" i="14"/>
  <c r="CI231" i="14" s="1"/>
  <c r="CM579" i="14"/>
  <c r="CN579" i="14" s="1"/>
  <c r="CO578" i="14"/>
  <c r="DL219" i="14"/>
  <c r="DM219" i="14" s="1"/>
  <c r="DN218" i="14"/>
  <c r="CW506" i="14"/>
  <c r="CX506" i="14" s="1"/>
  <c r="CY505" i="14"/>
  <c r="DS206" i="14"/>
  <c r="DQ207" i="14"/>
  <c r="DR207" i="14" s="1"/>
  <c r="CH243" i="14"/>
  <c r="CI243" i="14" s="1"/>
  <c r="CJ242" i="14"/>
  <c r="CO433" i="14"/>
  <c r="CM434" i="14"/>
  <c r="CN434" i="14" s="1"/>
  <c r="DL447" i="14"/>
  <c r="DM447" i="14" s="1"/>
  <c r="DN446" i="14"/>
  <c r="CO157" i="14"/>
  <c r="CM158" i="14"/>
  <c r="CN158" i="14" s="1"/>
  <c r="DX338" i="14"/>
  <c r="DV339" i="14"/>
  <c r="DW339" i="14" s="1"/>
  <c r="CR111" i="14"/>
  <c r="CS111" i="14" s="1"/>
  <c r="CT110" i="14"/>
  <c r="CC638" i="14"/>
  <c r="CD638" i="14" s="1"/>
  <c r="CJ578" i="14"/>
  <c r="CH579" i="14"/>
  <c r="CI579" i="14" s="1"/>
  <c r="EA471" i="14"/>
  <c r="EB471" i="14" s="1"/>
  <c r="EC470" i="14"/>
  <c r="EF495" i="14"/>
  <c r="EG495" i="14" s="1"/>
  <c r="EH494" i="14"/>
  <c r="EH446" i="14"/>
  <c r="EF447" i="14"/>
  <c r="EG447" i="14" s="1"/>
  <c r="DL50" i="14"/>
  <c r="DM50" i="14" s="1"/>
  <c r="DN49" i="14"/>
  <c r="DS625" i="14"/>
  <c r="DQ626" i="14"/>
  <c r="DR626" i="14" s="1"/>
  <c r="DX614" i="14"/>
  <c r="DV615" i="14"/>
  <c r="DW615" i="14" s="1"/>
  <c r="CY158" i="14"/>
  <c r="CW159" i="14"/>
  <c r="CX159" i="14" s="1"/>
  <c r="DS146" i="14"/>
  <c r="DQ147" i="14"/>
  <c r="DR147" i="14" s="1"/>
  <c r="CJ566" i="14"/>
  <c r="CH567" i="14"/>
  <c r="CI567" i="14" s="1"/>
  <c r="EF615" i="14"/>
  <c r="EG615" i="14" s="1"/>
  <c r="EH614" i="14"/>
  <c r="CO541" i="14"/>
  <c r="CM542" i="14"/>
  <c r="CN542" i="14" s="1"/>
  <c r="DQ183" i="14"/>
  <c r="DR183" i="14" s="1"/>
  <c r="DS182" i="14"/>
  <c r="EA51" i="14"/>
  <c r="EB51" i="14" s="1"/>
  <c r="EC50" i="14"/>
  <c r="DD409" i="14"/>
  <c r="DB410" i="14"/>
  <c r="DC410" i="14" s="1"/>
  <c r="EF218" i="14"/>
  <c r="EG218" i="14" s="1"/>
  <c r="EH217" i="14"/>
  <c r="DQ459" i="14"/>
  <c r="DR459" i="14" s="1"/>
  <c r="DS458" i="14"/>
  <c r="DQ303" i="14"/>
  <c r="DR303" i="14" s="1"/>
  <c r="DS302" i="14"/>
  <c r="CY110" i="14"/>
  <c r="CW111" i="14"/>
  <c r="CX111" i="14" s="1"/>
  <c r="CR50" i="14"/>
  <c r="CS50" i="14" s="1"/>
  <c r="CT49" i="14"/>
  <c r="DD626" i="14"/>
  <c r="DB627" i="14"/>
  <c r="DC627" i="14" s="1"/>
  <c r="EA375" i="14"/>
  <c r="EB375" i="14" s="1"/>
  <c r="EC374" i="14"/>
  <c r="CC518" i="14"/>
  <c r="CD518" i="14" s="1"/>
  <c r="DL602" i="14"/>
  <c r="DM602" i="14" s="1"/>
  <c r="DN601" i="14"/>
  <c r="DG194" i="14"/>
  <c r="DH194" i="14" s="1"/>
  <c r="DB507" i="14"/>
  <c r="DC507" i="14" s="1"/>
  <c r="DD506" i="14"/>
  <c r="DG446" i="14"/>
  <c r="DH446" i="14" s="1"/>
  <c r="CC314" i="14"/>
  <c r="CD314" i="14" s="1"/>
  <c r="EC253" i="14"/>
  <c r="EA254" i="14"/>
  <c r="EB254" i="14" s="1"/>
  <c r="EA338" i="14"/>
  <c r="EB338" i="14" s="1"/>
  <c r="EC337" i="14"/>
  <c r="EH602" i="14"/>
  <c r="EF603" i="14"/>
  <c r="EG603" i="14" s="1"/>
  <c r="DX637" i="14"/>
  <c r="DV638" i="14"/>
  <c r="DW638" i="14" s="1"/>
  <c r="CT434" i="14"/>
  <c r="CR435" i="14"/>
  <c r="CS435" i="14" s="1"/>
  <c r="DB518" i="14"/>
  <c r="DC518" i="14" s="1"/>
  <c r="DD517" i="14"/>
  <c r="EF459" i="14"/>
  <c r="EG459" i="14" s="1"/>
  <c r="EH458" i="14"/>
  <c r="CM410" i="14"/>
  <c r="CN410" i="14" s="1"/>
  <c r="CO409" i="14"/>
  <c r="CC470" i="14"/>
  <c r="CD470" i="14" s="1"/>
  <c r="DD457" i="14"/>
  <c r="DB458" i="14"/>
  <c r="DC458" i="14" s="1"/>
  <c r="CO193" i="14"/>
  <c r="CM194" i="14"/>
  <c r="CN194" i="14" s="1"/>
  <c r="CC590" i="14"/>
  <c r="CD590" i="14" s="1"/>
  <c r="CW279" i="14"/>
  <c r="CX279" i="14" s="1"/>
  <c r="CY278" i="14"/>
  <c r="CO362" i="14"/>
  <c r="CM363" i="14"/>
  <c r="CN363" i="14" s="1"/>
  <c r="DB206" i="14"/>
  <c r="DC206" i="14" s="1"/>
  <c r="DD205" i="14"/>
  <c r="CR195" i="14"/>
  <c r="CS195" i="14" s="1"/>
  <c r="CT194" i="14"/>
  <c r="EA146" i="14"/>
  <c r="EB146" i="14" s="1"/>
  <c r="EC145" i="14"/>
  <c r="CO421" i="14"/>
  <c r="CM422" i="14"/>
  <c r="CN422" i="14" s="1"/>
  <c r="DB494" i="14"/>
  <c r="DC494" i="14" s="1"/>
  <c r="DD493" i="14"/>
  <c r="CY98" i="14"/>
  <c r="CW99" i="14"/>
  <c r="CX99" i="14" s="1"/>
  <c r="DD362" i="14"/>
  <c r="DB363" i="14"/>
  <c r="DC363" i="14" s="1"/>
  <c r="DG506" i="14"/>
  <c r="DH506" i="14" s="1"/>
  <c r="EF207" i="14"/>
  <c r="EG207" i="14" s="1"/>
  <c r="EH206" i="14"/>
  <c r="DB483" i="14"/>
  <c r="DC483" i="14" s="1"/>
  <c r="DD482" i="14"/>
  <c r="DX85" i="14"/>
  <c r="DV86" i="14"/>
  <c r="DW86" i="14" s="1"/>
  <c r="CJ541" i="14"/>
  <c r="CH542" i="14"/>
  <c r="CI542" i="14" s="1"/>
  <c r="CT410" i="14"/>
  <c r="CR411" i="14"/>
  <c r="CS411" i="14" s="1"/>
  <c r="DQ338" i="14"/>
  <c r="DR338" i="14" s="1"/>
  <c r="DS337" i="14"/>
  <c r="DD230" i="14"/>
  <c r="DB231" i="14"/>
  <c r="DC231" i="14" s="1"/>
  <c r="DQ326" i="14"/>
  <c r="DR326" i="14" s="1"/>
  <c r="DS325" i="14"/>
  <c r="CT458" i="14"/>
  <c r="CR459" i="14"/>
  <c r="CS459" i="14" s="1"/>
  <c r="DB590" i="14"/>
  <c r="DC590" i="14" s="1"/>
  <c r="DD589" i="14"/>
  <c r="EH578" i="14"/>
  <c r="EF579" i="14"/>
  <c r="EG579" i="14" s="1"/>
  <c r="DG218" i="14"/>
  <c r="DH218" i="14" s="1"/>
  <c r="CR662" i="14"/>
  <c r="CS662" i="14" s="1"/>
  <c r="CT661" i="14"/>
  <c r="DV507" i="14"/>
  <c r="DW507" i="14" s="1"/>
  <c r="DX506" i="14"/>
  <c r="CW482" i="14"/>
  <c r="CX482" i="14" s="1"/>
  <c r="CY481" i="14"/>
  <c r="CC422" i="14"/>
  <c r="CD422" i="14" s="1"/>
  <c r="EC206" i="14"/>
  <c r="EA207" i="14"/>
  <c r="EB207" i="14" s="1"/>
  <c r="EC62" i="14"/>
  <c r="EA63" i="14"/>
  <c r="EB63" i="14" s="1"/>
  <c r="CC242" i="14"/>
  <c r="CD242" i="14" s="1"/>
  <c r="EA626" i="14"/>
  <c r="EB626" i="14" s="1"/>
  <c r="EC625" i="14"/>
  <c r="DL362" i="14"/>
  <c r="DM362" i="14" s="1"/>
  <c r="DN361" i="14"/>
  <c r="CC218" i="14"/>
  <c r="CD218" i="14" s="1"/>
  <c r="DB422" i="14"/>
  <c r="DC422" i="14" s="1"/>
  <c r="DD421" i="14"/>
  <c r="DG206" i="14"/>
  <c r="DH206" i="14" s="1"/>
  <c r="EH241" i="14"/>
  <c r="EF242" i="14"/>
  <c r="EG242" i="14" s="1"/>
  <c r="DL159" i="14"/>
  <c r="DM159" i="14" s="1"/>
  <c r="DN158" i="14"/>
  <c r="DD85" i="14"/>
  <c r="DB86" i="14"/>
  <c r="DC86" i="14" s="1"/>
  <c r="CT446" i="14"/>
  <c r="CR447" i="14"/>
  <c r="CS447" i="14" s="1"/>
  <c r="DN529" i="14"/>
  <c r="DL530" i="14"/>
  <c r="DM530" i="14" s="1"/>
  <c r="DG86" i="14"/>
  <c r="DH86" i="14" s="1"/>
  <c r="CR578" i="14"/>
  <c r="CS578" i="14" s="1"/>
  <c r="CT577" i="14"/>
  <c r="DS121" i="14"/>
  <c r="DQ122" i="14"/>
  <c r="DR122" i="14" s="1"/>
  <c r="DQ255" i="14"/>
  <c r="DR255" i="14" s="1"/>
  <c r="DS254" i="14"/>
  <c r="DX626" i="14"/>
  <c r="DV627" i="14"/>
  <c r="DW627" i="14" s="1"/>
  <c r="CC98" i="14"/>
  <c r="CD98" i="14" s="1"/>
  <c r="CR122" i="14"/>
  <c r="CS122" i="14" s="1"/>
  <c r="CT121" i="14"/>
  <c r="DL326" i="14"/>
  <c r="DM326" i="14" s="1"/>
  <c r="DN325" i="14"/>
  <c r="DN230" i="14"/>
  <c r="DL231" i="14"/>
  <c r="DM231" i="14" s="1"/>
  <c r="EC602" i="14"/>
  <c r="EA603" i="14"/>
  <c r="EB603" i="14" s="1"/>
  <c r="EA135" i="14"/>
  <c r="EB135" i="14" s="1"/>
  <c r="EC134" i="14"/>
  <c r="CM567" i="14"/>
  <c r="CN567" i="14" s="1"/>
  <c r="CO566" i="14"/>
  <c r="DG314" i="14"/>
  <c r="DH314" i="14" s="1"/>
  <c r="DN409" i="14"/>
  <c r="DL410" i="14"/>
  <c r="DM410" i="14" s="1"/>
  <c r="EA363" i="14"/>
  <c r="EB363" i="14" s="1"/>
  <c r="EC362" i="14"/>
  <c r="DV590" i="14"/>
  <c r="DW590" i="14" s="1"/>
  <c r="DX589" i="14"/>
  <c r="CO385" i="14"/>
  <c r="CM386" i="14"/>
  <c r="CN386" i="14" s="1"/>
  <c r="CT553" i="14"/>
  <c r="CR554" i="14"/>
  <c r="CS554" i="14" s="1"/>
  <c r="DG158" i="14"/>
  <c r="DH158" i="14" s="1"/>
  <c r="EA422" i="14"/>
  <c r="EB422" i="14" s="1"/>
  <c r="EC421" i="14"/>
  <c r="DQ567" i="14"/>
  <c r="DR567" i="14" s="1"/>
  <c r="DS566" i="14"/>
  <c r="CJ457" i="14"/>
  <c r="CH458" i="14"/>
  <c r="CI458" i="14" s="1"/>
  <c r="DQ386" i="14"/>
  <c r="DR386" i="14" s="1"/>
  <c r="DS385" i="14"/>
  <c r="DN457" i="14"/>
  <c r="DL458" i="14"/>
  <c r="DM458" i="14" s="1"/>
  <c r="EC109" i="14"/>
  <c r="EA110" i="14"/>
  <c r="EB110" i="14" s="1"/>
  <c r="CR530" i="14"/>
  <c r="CS530" i="14" s="1"/>
  <c r="CT529" i="14"/>
  <c r="DN566" i="14"/>
  <c r="DL567" i="14"/>
  <c r="DM567" i="14" s="1"/>
  <c r="DG590" i="14"/>
  <c r="DH590" i="14" s="1"/>
  <c r="CC266" i="14"/>
  <c r="CD266" i="14" s="1"/>
  <c r="DQ435" i="14"/>
  <c r="DR435" i="14" s="1"/>
  <c r="DS434" i="14"/>
  <c r="CT86" i="14"/>
  <c r="CR87" i="14"/>
  <c r="CS87" i="14" s="1"/>
  <c r="DQ51" i="14"/>
  <c r="DR51" i="14" s="1"/>
  <c r="DS50" i="14"/>
  <c r="DB291" i="14"/>
  <c r="DC291" i="14" s="1"/>
  <c r="DD290" i="14"/>
  <c r="DS506" i="14"/>
  <c r="DQ507" i="14"/>
  <c r="DR507" i="14" s="1"/>
  <c r="DS613" i="14"/>
  <c r="DQ614" i="14"/>
  <c r="DR614" i="14" s="1"/>
  <c r="DD145" i="14"/>
  <c r="DB146" i="14"/>
  <c r="DC146" i="14" s="1"/>
  <c r="CH482" i="14"/>
  <c r="CI482" i="14" s="1"/>
  <c r="CJ481" i="14"/>
  <c r="DD158" i="14"/>
  <c r="DB159" i="14"/>
  <c r="DC159" i="14" s="1"/>
  <c r="CY49" i="14"/>
  <c r="CW50" i="14"/>
  <c r="CX50" i="14" s="1"/>
  <c r="EF411" i="14"/>
  <c r="EG411" i="14" s="1"/>
  <c r="EH410" i="14"/>
  <c r="CH615" i="14"/>
  <c r="CI615" i="14" s="1"/>
  <c r="CJ614" i="14"/>
  <c r="EA650" i="14"/>
  <c r="EB650" i="14" s="1"/>
  <c r="EC649" i="14"/>
  <c r="CJ265" i="14"/>
  <c r="CH266" i="14"/>
  <c r="CI266" i="14" s="1"/>
  <c r="CR255" i="14"/>
  <c r="CS255" i="14" s="1"/>
  <c r="CT254" i="14"/>
  <c r="EA350" i="14"/>
  <c r="EB350" i="14" s="1"/>
  <c r="EC349" i="14"/>
  <c r="EC577" i="14"/>
  <c r="EA578" i="14"/>
  <c r="EB578" i="14" s="1"/>
  <c r="CT350" i="14"/>
  <c r="CR351" i="14"/>
  <c r="CS351" i="14" s="1"/>
  <c r="CJ145" i="14"/>
  <c r="CH146" i="14"/>
  <c r="CI146" i="14" s="1"/>
  <c r="CJ626" i="14"/>
  <c r="CH627" i="14"/>
  <c r="CI627" i="14" s="1"/>
  <c r="CY266" i="14"/>
  <c r="CW267" i="14"/>
  <c r="CX267" i="14" s="1"/>
  <c r="EF123" i="14"/>
  <c r="EG123" i="14" s="1"/>
  <c r="EH122" i="14"/>
  <c r="DB135" i="14"/>
  <c r="DC135" i="14" s="1"/>
  <c r="DD134" i="14"/>
  <c r="DL399" i="14"/>
  <c r="DM399" i="14" s="1"/>
  <c r="DN398" i="14"/>
  <c r="DV351" i="14"/>
  <c r="DW351" i="14" s="1"/>
  <c r="DX350" i="14"/>
  <c r="DD386" i="14"/>
  <c r="DB387" i="14"/>
  <c r="DC387" i="14" s="1"/>
  <c r="CC446" i="14"/>
  <c r="CD446" i="14" s="1"/>
  <c r="DV99" i="14"/>
  <c r="DW99" i="14" s="1"/>
  <c r="DX98" i="14"/>
  <c r="CH651" i="14"/>
  <c r="CI651" i="14" s="1"/>
  <c r="CJ650" i="14"/>
  <c r="CM591" i="14"/>
  <c r="CN591" i="14" s="1"/>
  <c r="CO590" i="14"/>
  <c r="CC62" i="14"/>
  <c r="CD62" i="14" s="1"/>
  <c r="DG266" i="14"/>
  <c r="DH266" i="14" s="1"/>
  <c r="DN194" i="14"/>
  <c r="DL195" i="14"/>
  <c r="DM195" i="14" s="1"/>
  <c r="EF194" i="14"/>
  <c r="EG194" i="14" s="1"/>
  <c r="EH193" i="14"/>
  <c r="CC542" i="14"/>
  <c r="CD542" i="14" s="1"/>
  <c r="CC254" i="14"/>
  <c r="CD254" i="14" s="1"/>
  <c r="EH638" i="14"/>
  <c r="EF639" i="14"/>
  <c r="EG639" i="14" s="1"/>
  <c r="CJ637" i="14"/>
  <c r="CH638" i="14"/>
  <c r="CI638" i="14" s="1"/>
  <c r="CC398" i="14"/>
  <c r="CD398" i="14" s="1"/>
  <c r="DN314" i="14"/>
  <c r="DL315" i="14"/>
  <c r="DM315" i="14" s="1"/>
  <c r="CH111" i="14"/>
  <c r="CI111" i="14" s="1"/>
  <c r="CJ110" i="14"/>
  <c r="CJ193" i="14"/>
  <c r="CH194" i="14"/>
  <c r="CI194" i="14" s="1"/>
  <c r="CR566" i="14"/>
  <c r="CS566" i="14" s="1"/>
  <c r="CT565" i="14"/>
  <c r="CJ277" i="14"/>
  <c r="CH278" i="14"/>
  <c r="CI278" i="14" s="1"/>
  <c r="CW423" i="14"/>
  <c r="CX423" i="14" s="1"/>
  <c r="CY422" i="14"/>
  <c r="CO313" i="14"/>
  <c r="CM314" i="14"/>
  <c r="CN314" i="14" s="1"/>
  <c r="DS158" i="14"/>
  <c r="DQ159" i="14"/>
  <c r="DR159" i="14" s="1"/>
  <c r="CJ205" i="14"/>
  <c r="CH206" i="14"/>
  <c r="CI206" i="14" s="1"/>
  <c r="CC554" i="14"/>
  <c r="CD554" i="14" s="1"/>
  <c r="DN578" i="14"/>
  <c r="DL579" i="14"/>
  <c r="DM579" i="14" s="1"/>
  <c r="CM554" i="14"/>
  <c r="CN554" i="14" s="1"/>
  <c r="CO553" i="14"/>
  <c r="EA483" i="14"/>
  <c r="EB483" i="14" s="1"/>
  <c r="EC482" i="14"/>
  <c r="CC158" i="14"/>
  <c r="CD158" i="14" s="1"/>
  <c r="EC86" i="14"/>
  <c r="EA87" i="14"/>
  <c r="EB87" i="14" s="1"/>
  <c r="CR183" i="14"/>
  <c r="CS183" i="14" s="1"/>
  <c r="CT182" i="14"/>
  <c r="DS517" i="14"/>
  <c r="DQ518" i="14"/>
  <c r="DR518" i="14" s="1"/>
  <c r="CO338" i="14"/>
  <c r="CM339" i="14"/>
  <c r="CN339" i="14" s="1"/>
  <c r="DD254" i="14"/>
  <c r="DB255" i="14"/>
  <c r="DC255" i="14" s="1"/>
  <c r="DB98" i="14"/>
  <c r="DC98" i="14" s="1"/>
  <c r="DD97" i="14"/>
  <c r="DG482" i="14"/>
  <c r="DH482" i="14" s="1"/>
  <c r="CT289" i="14"/>
  <c r="CR290" i="14"/>
  <c r="CS290" i="14" s="1"/>
  <c r="EA567" i="14"/>
  <c r="EB567" i="14" s="1"/>
  <c r="EC566" i="14"/>
  <c r="EA194" i="14"/>
  <c r="EB194" i="14" s="1"/>
  <c r="EC193" i="14"/>
  <c r="CH327" i="14"/>
  <c r="CI327" i="14" s="1"/>
  <c r="CJ326" i="14"/>
  <c r="CR243" i="14"/>
  <c r="CS243" i="14" s="1"/>
  <c r="CT242" i="14"/>
  <c r="DL182" i="14"/>
  <c r="DM182" i="14" s="1"/>
  <c r="DN181" i="14"/>
  <c r="EF254" i="14"/>
  <c r="EG254" i="14" s="1"/>
  <c r="EH253" i="14"/>
  <c r="CO674" i="14"/>
  <c r="CM675" i="14"/>
  <c r="CN675" i="14" s="1"/>
  <c r="CW566" i="14"/>
  <c r="CX566" i="14" s="1"/>
  <c r="CY565" i="14"/>
  <c r="EC314" i="14"/>
  <c r="EA315" i="14"/>
  <c r="EB315" i="14" s="1"/>
  <c r="DD529" i="14"/>
  <c r="DB530" i="14"/>
  <c r="DC530" i="14" s="1"/>
  <c r="DX434" i="14"/>
  <c r="DV435" i="14"/>
  <c r="DW435" i="14" s="1"/>
  <c r="EC542" i="14"/>
  <c r="EA543" i="14"/>
  <c r="EB543" i="14" s="1"/>
  <c r="CC614" i="14"/>
  <c r="CD614" i="14" s="1"/>
  <c r="CR638" i="14"/>
  <c r="CS638" i="14" s="1"/>
  <c r="CT637" i="14"/>
  <c r="CM662" i="14"/>
  <c r="CN662" i="14" s="1"/>
  <c r="CO661" i="14"/>
  <c r="EF171" i="14"/>
  <c r="EG171" i="14" s="1"/>
  <c r="EH170" i="14"/>
  <c r="CY613" i="14"/>
  <c r="CW614" i="14"/>
  <c r="CX614" i="14" s="1"/>
  <c r="CR339" i="14"/>
  <c r="CS339" i="14" s="1"/>
  <c r="CT338" i="14"/>
  <c r="EA278" i="14"/>
  <c r="EB278" i="14" s="1"/>
  <c r="EC277" i="14"/>
  <c r="DS410" i="14"/>
  <c r="DQ411" i="14"/>
  <c r="DR411" i="14" s="1"/>
  <c r="CW243" i="14"/>
  <c r="CX243" i="14" s="1"/>
  <c r="CY242" i="14"/>
  <c r="CT158" i="14"/>
  <c r="CR159" i="14"/>
  <c r="CS159" i="14" s="1"/>
  <c r="DX314" i="14"/>
  <c r="DV315" i="14"/>
  <c r="DW315" i="14" s="1"/>
  <c r="DG110" i="14"/>
  <c r="DH110" i="14" s="1"/>
  <c r="CC170" i="14"/>
  <c r="CD170" i="14" s="1"/>
  <c r="DV578" i="14"/>
  <c r="DW578" i="14" s="1"/>
  <c r="DX577" i="14"/>
  <c r="CH663" i="14"/>
  <c r="CI663" i="14" s="1"/>
  <c r="CJ662" i="14"/>
  <c r="DX362" i="14"/>
  <c r="DV363" i="14"/>
  <c r="DW363" i="14" s="1"/>
  <c r="EA435" i="14"/>
  <c r="EB435" i="14" s="1"/>
  <c r="EC434" i="14"/>
  <c r="CC506" i="14"/>
  <c r="CD506" i="14" s="1"/>
  <c r="DL350" i="14"/>
  <c r="DM350" i="14" s="1"/>
  <c r="DN349" i="14"/>
  <c r="EF87" i="14"/>
  <c r="EG87" i="14" s="1"/>
  <c r="EH86" i="14"/>
  <c r="DQ267" i="14"/>
  <c r="DR267" i="14" s="1"/>
  <c r="DS266" i="14"/>
  <c r="EH470" i="14"/>
  <c r="EF471" i="14"/>
  <c r="EG471" i="14" s="1"/>
  <c r="CH410" i="14"/>
  <c r="CI410" i="14" s="1"/>
  <c r="CJ409" i="14"/>
  <c r="DX409" i="14"/>
  <c r="DV410" i="14"/>
  <c r="DW410" i="14" s="1"/>
  <c r="DX206" i="14"/>
  <c r="DV207" i="14"/>
  <c r="DW207" i="14" s="1"/>
  <c r="CJ158" i="14"/>
  <c r="CH159" i="14"/>
  <c r="CI159" i="14" s="1"/>
  <c r="CO217" i="14"/>
  <c r="CM218" i="14"/>
  <c r="CN218" i="14" s="1"/>
  <c r="DG254" i="14"/>
  <c r="DH254" i="14" s="1"/>
  <c r="EF626" i="14"/>
  <c r="EG626" i="14" s="1"/>
  <c r="EH625" i="14"/>
  <c r="EA411" i="14"/>
  <c r="EB411" i="14" s="1"/>
  <c r="EC410" i="14"/>
  <c r="DG578" i="14"/>
  <c r="DH578" i="14" s="1"/>
  <c r="CJ601" i="14"/>
  <c r="CH602" i="14"/>
  <c r="CI602" i="14" s="1"/>
  <c r="DQ314" i="14"/>
  <c r="DR314" i="14" s="1"/>
  <c r="DS313" i="14"/>
  <c r="DL638" i="14"/>
  <c r="DM638" i="14" s="1"/>
  <c r="DN637" i="14"/>
  <c r="DN469" i="14"/>
  <c r="DL470" i="14"/>
  <c r="DM470" i="14" s="1"/>
  <c r="DN61" i="14"/>
  <c r="DL62" i="14"/>
  <c r="DM62" i="14" s="1"/>
  <c r="EF398" i="14"/>
  <c r="EG398" i="14" s="1"/>
  <c r="EH397" i="14"/>
  <c r="DG674" i="14"/>
  <c r="DH674" i="14" s="1"/>
  <c r="CM231" i="14"/>
  <c r="CN231" i="14" s="1"/>
  <c r="CO230" i="14"/>
  <c r="CO517" i="14"/>
  <c r="CM518" i="14"/>
  <c r="CN518" i="14" s="1"/>
  <c r="DG230" i="14"/>
  <c r="DH230" i="14" s="1"/>
  <c r="CY493" i="14"/>
  <c r="CW494" i="14"/>
  <c r="CX494" i="14" s="1"/>
  <c r="DV663" i="14"/>
  <c r="DW663" i="14" s="1"/>
  <c r="DX662" i="14"/>
  <c r="CR602" i="14"/>
  <c r="CS602" i="14" s="1"/>
  <c r="CT601" i="14"/>
  <c r="CC290" i="14"/>
  <c r="CD290" i="14" s="1"/>
  <c r="DG602" i="14"/>
  <c r="DH602" i="14" s="1"/>
  <c r="CO614" i="14"/>
  <c r="CM615" i="14"/>
  <c r="CN615" i="14" s="1"/>
  <c r="DS373" i="14"/>
  <c r="DQ374" i="14"/>
  <c r="DR374" i="14" s="1"/>
  <c r="DQ135" i="14"/>
  <c r="DR135" i="14" s="1"/>
  <c r="DS134" i="14"/>
  <c r="EH110" i="14"/>
  <c r="EF111" i="14"/>
  <c r="EG111" i="14" s="1"/>
  <c r="DG98" i="14"/>
  <c r="DH98" i="14" s="1"/>
  <c r="CC386" i="14"/>
  <c r="CD386" i="14" s="1"/>
  <c r="DQ470" i="14"/>
  <c r="DR470" i="14" s="1"/>
  <c r="DS469" i="14"/>
  <c r="DB603" i="14"/>
  <c r="DC603" i="14" s="1"/>
  <c r="DD602" i="14"/>
  <c r="DG350" i="14"/>
  <c r="DH350" i="14" s="1"/>
  <c r="DD638" i="14"/>
  <c r="DB639" i="14"/>
  <c r="DC639" i="14" s="1"/>
  <c r="DS649" i="14"/>
  <c r="DQ650" i="14"/>
  <c r="DR650" i="14" s="1"/>
  <c r="CC194" i="14"/>
  <c r="CD194" i="14" s="1"/>
  <c r="EC241" i="14"/>
  <c r="EA242" i="14"/>
  <c r="EB242" i="14" s="1"/>
  <c r="CR675" i="14"/>
  <c r="CS675" i="14" s="1"/>
  <c r="CT674" i="14"/>
  <c r="EF327" i="14"/>
  <c r="EG327" i="14" s="1"/>
  <c r="EH326" i="14"/>
  <c r="EA663" i="14"/>
  <c r="EB663" i="14" s="1"/>
  <c r="EC662" i="14"/>
  <c r="CW290" i="14"/>
  <c r="CX290" i="14" s="1"/>
  <c r="CY289" i="14"/>
  <c r="CW351" i="14"/>
  <c r="CX351" i="14" s="1"/>
  <c r="CY350" i="14"/>
  <c r="DB110" i="14"/>
  <c r="DC110" i="14" s="1"/>
  <c r="DD109" i="14"/>
  <c r="CM135" i="14"/>
  <c r="CN135" i="14" s="1"/>
  <c r="CO134" i="14"/>
  <c r="DV603" i="14"/>
  <c r="DW603" i="14" s="1"/>
  <c r="DX602" i="14"/>
  <c r="EH481" i="14"/>
  <c r="EF482" i="14"/>
  <c r="EG482" i="14" s="1"/>
  <c r="DX301" i="14"/>
  <c r="DV302" i="14"/>
  <c r="DW302" i="14" s="1"/>
  <c r="DG638" i="14"/>
  <c r="DH638" i="14" s="1"/>
  <c r="DG326" i="14"/>
  <c r="DH326" i="14" s="1"/>
  <c r="CY469" i="14"/>
  <c r="CW470" i="14"/>
  <c r="CX470" i="14" s="1"/>
  <c r="CH218" i="14"/>
  <c r="CI218" i="14" s="1"/>
  <c r="CJ217" i="14"/>
  <c r="CW638" i="14"/>
  <c r="CX638" i="14" s="1"/>
  <c r="CY637" i="14"/>
  <c r="DG626" i="14"/>
  <c r="DH626" i="14" s="1"/>
  <c r="DN494" i="14"/>
  <c r="DL495" i="14"/>
  <c r="DM495" i="14" s="1"/>
  <c r="CY145" i="14"/>
  <c r="CW146" i="14"/>
  <c r="CX146" i="14" s="1"/>
  <c r="DN86" i="14"/>
  <c r="DL87" i="14"/>
  <c r="DM87" i="14" s="1"/>
  <c r="DD218" i="14"/>
  <c r="DB219" i="14"/>
  <c r="DC219" i="14" s="1"/>
  <c r="DS530" i="14"/>
  <c r="DQ531" i="14"/>
  <c r="DR531" i="14" s="1"/>
  <c r="DG62" i="14"/>
  <c r="DH62" i="14" s="1"/>
  <c r="CR399" i="14"/>
  <c r="CS399" i="14" s="1"/>
  <c r="CT398" i="14"/>
  <c r="DL675" i="14"/>
  <c r="DM675" i="14" s="1"/>
  <c r="DN674" i="14"/>
  <c r="CO182" i="14"/>
  <c r="CM183" i="14"/>
  <c r="CN183" i="14" s="1"/>
  <c r="CC206" i="14"/>
  <c r="CD206" i="14" s="1"/>
  <c r="EH530" i="14"/>
  <c r="EF531" i="14"/>
  <c r="EG531" i="14" s="1"/>
  <c r="CW579" i="14"/>
  <c r="CX579" i="14" s="1"/>
  <c r="CY578" i="14"/>
  <c r="CC302" i="14"/>
  <c r="CD302" i="14" s="1"/>
  <c r="CW326" i="14"/>
  <c r="CX326" i="14" s="1"/>
  <c r="CY325" i="14"/>
  <c r="CO373" i="14"/>
  <c r="CM374" i="14"/>
  <c r="CN374" i="14" s="1"/>
  <c r="DB434" i="14"/>
  <c r="DC434" i="14" s="1"/>
  <c r="DD433" i="14"/>
  <c r="CJ97" i="14"/>
  <c r="CH98" i="14"/>
  <c r="CI98" i="14" s="1"/>
  <c r="DD397" i="14"/>
  <c r="DB398" i="14"/>
  <c r="DC398" i="14" s="1"/>
  <c r="CY373" i="14"/>
  <c r="CW374" i="14"/>
  <c r="CX374" i="14" s="1"/>
  <c r="DX253" i="14"/>
  <c r="DV254" i="14"/>
  <c r="DW254" i="14" s="1"/>
  <c r="DV147" i="14"/>
  <c r="DW147" i="14" s="1"/>
  <c r="DX146" i="14"/>
  <c r="EA183" i="14"/>
  <c r="EB183" i="14" s="1"/>
  <c r="EC182" i="14"/>
  <c r="DG122" i="14"/>
  <c r="DH122" i="14" s="1"/>
  <c r="CC86" i="14"/>
  <c r="CD86" i="14" s="1"/>
  <c r="DS446" i="14"/>
  <c r="DQ447" i="14"/>
  <c r="DR447" i="14" s="1"/>
  <c r="DB327" i="14"/>
  <c r="DC327" i="14" s="1"/>
  <c r="DD326" i="14"/>
  <c r="DN254" i="14"/>
  <c r="DL255" i="14"/>
  <c r="DM255" i="14" s="1"/>
  <c r="DS553" i="14"/>
  <c r="DQ554" i="14"/>
  <c r="DR554" i="14" s="1"/>
  <c r="CO530" i="14"/>
  <c r="CM531" i="14"/>
  <c r="CN531" i="14" s="1"/>
  <c r="EF542" i="14"/>
  <c r="EG542" i="14" s="1"/>
  <c r="EH541" i="14"/>
  <c r="CH675" i="14"/>
  <c r="CI675" i="14" s="1"/>
  <c r="CJ674" i="14"/>
  <c r="DD349" i="14"/>
  <c r="DB350" i="14"/>
  <c r="DC350" i="14" s="1"/>
  <c r="CW339" i="14"/>
  <c r="CX339" i="14" s="1"/>
  <c r="CY338" i="14"/>
  <c r="DS397" i="14"/>
  <c r="DQ398" i="14"/>
  <c r="DR398" i="14" s="1"/>
  <c r="CW314" i="14"/>
  <c r="CX314" i="14" s="1"/>
  <c r="CY313" i="14"/>
  <c r="DN506" i="14"/>
  <c r="DL507" i="14"/>
  <c r="DM507" i="14" s="1"/>
  <c r="CJ134" i="14"/>
  <c r="CH135" i="14"/>
  <c r="CI135" i="14" s="1"/>
  <c r="CT170" i="14"/>
  <c r="CR171" i="14"/>
  <c r="CS171" i="14" s="1"/>
  <c r="CR591" i="14"/>
  <c r="CS591" i="14" s="1"/>
  <c r="CT590" i="14"/>
  <c r="DD614" i="14"/>
  <c r="DB615" i="14"/>
  <c r="DC615" i="14" s="1"/>
  <c r="DN277" i="14"/>
  <c r="DL278" i="14"/>
  <c r="DM278" i="14" s="1"/>
  <c r="DG290" i="14"/>
  <c r="DH290" i="14" s="1"/>
  <c r="CH495" i="14"/>
  <c r="CI495" i="14" s="1"/>
  <c r="CJ494" i="14"/>
  <c r="DQ591" i="14"/>
  <c r="DR591" i="14" s="1"/>
  <c r="DS590" i="14"/>
  <c r="EA590" i="14"/>
  <c r="EB590" i="14" s="1"/>
  <c r="EC589" i="14"/>
  <c r="DG566" i="14"/>
  <c r="DH566" i="14" s="1"/>
  <c r="DX649" i="14"/>
  <c r="DV650" i="14"/>
  <c r="DW650" i="14" s="1"/>
  <c r="CJ362" i="14"/>
  <c r="CH363" i="14"/>
  <c r="CI363" i="14" s="1"/>
  <c r="EH290" i="14"/>
  <c r="EF291" i="14"/>
  <c r="EG291" i="14" s="1"/>
  <c r="DS422" i="14"/>
  <c r="DQ423" i="14"/>
  <c r="DR423" i="14" s="1"/>
  <c r="CH86" i="14"/>
  <c r="CI86" i="14" s="1"/>
  <c r="CJ85" i="14"/>
  <c r="DX122" i="14"/>
  <c r="DV123" i="14"/>
  <c r="DW123" i="14" s="1"/>
  <c r="DX398" i="14"/>
  <c r="DV399" i="14"/>
  <c r="DW399" i="14" s="1"/>
  <c r="DG302" i="14"/>
  <c r="DH302" i="14" s="1"/>
  <c r="EA98" i="14"/>
  <c r="EB98" i="14" s="1"/>
  <c r="EC97" i="14"/>
  <c r="CC362" i="14"/>
  <c r="CD362" i="14" s="1"/>
  <c r="DD169" i="14"/>
  <c r="DB170" i="14"/>
  <c r="DC170" i="14" s="1"/>
  <c r="DG242" i="14"/>
  <c r="DH242" i="14" s="1"/>
  <c r="DX241" i="14"/>
  <c r="DV242" i="14"/>
  <c r="DW242" i="14" s="1"/>
  <c r="CC662" i="14"/>
  <c r="CD662" i="14" s="1"/>
  <c r="CJ385" i="14"/>
  <c r="CH386" i="14"/>
  <c r="CI386" i="14" s="1"/>
  <c r="EH181" i="14"/>
  <c r="EF182" i="14"/>
  <c r="EG182" i="14" s="1"/>
  <c r="DN97" i="14"/>
  <c r="DL98" i="14"/>
  <c r="DM98" i="14" s="1"/>
  <c r="CO169" i="14"/>
  <c r="CM170" i="14"/>
  <c r="CN170" i="14" s="1"/>
  <c r="DQ362" i="14"/>
  <c r="DR362" i="14" s="1"/>
  <c r="DS361" i="14"/>
  <c r="CC134" i="14"/>
  <c r="CD134" i="14" s="1"/>
  <c r="DX373" i="14"/>
  <c r="DV374" i="14"/>
  <c r="DW374" i="14" s="1"/>
  <c r="EA494" i="14"/>
  <c r="EB494" i="14" s="1"/>
  <c r="EC493" i="14"/>
  <c r="DG50" i="14"/>
  <c r="DH50" i="14" s="1"/>
  <c r="DG614" i="14"/>
  <c r="DH614" i="14" s="1"/>
  <c r="DS661" i="14"/>
  <c r="DQ662" i="14"/>
  <c r="DR662" i="14" s="1"/>
  <c r="DN145" i="14"/>
  <c r="DL146" i="14"/>
  <c r="DM146" i="14" s="1"/>
  <c r="CC230" i="14"/>
  <c r="CD230" i="14" s="1"/>
  <c r="CW399" i="14"/>
  <c r="CX399" i="14" s="1"/>
  <c r="CY398" i="14"/>
  <c r="CO206" i="14"/>
  <c r="CM207" i="14"/>
  <c r="CN207" i="14" s="1"/>
  <c r="DV566" i="14"/>
  <c r="DW566" i="14" s="1"/>
  <c r="DX565" i="14"/>
  <c r="DD193" i="14"/>
  <c r="DB194" i="14"/>
  <c r="DC194" i="14" s="1"/>
  <c r="EC217" i="14"/>
  <c r="EA218" i="14"/>
  <c r="EB218" i="14" s="1"/>
  <c r="DX674" i="14"/>
  <c r="DV675" i="14"/>
  <c r="DW675" i="14" s="1"/>
  <c r="DD278" i="14"/>
  <c r="DB279" i="14"/>
  <c r="DC279" i="14" s="1"/>
  <c r="DG662" i="14"/>
  <c r="DH662" i="14" s="1"/>
  <c r="CM458" i="14"/>
  <c r="CN458" i="14" s="1"/>
  <c r="CO457" i="14"/>
  <c r="CY541" i="14"/>
  <c r="CW542" i="14"/>
  <c r="CX542" i="14" s="1"/>
  <c r="EF435" i="14"/>
  <c r="EG435" i="14" s="1"/>
  <c r="EH434" i="14"/>
  <c r="EF422" i="14"/>
  <c r="EG422" i="14" s="1"/>
  <c r="EH421" i="14"/>
  <c r="EC614" i="14"/>
  <c r="EA615" i="14"/>
  <c r="EB615" i="14" s="1"/>
  <c r="DG470" i="14"/>
  <c r="DH470" i="14" s="1"/>
  <c r="DS194" i="14"/>
  <c r="DQ195" i="14"/>
  <c r="DR195" i="14" s="1"/>
  <c r="DG410" i="14"/>
  <c r="DH410" i="14" s="1"/>
  <c r="DN206" i="14"/>
  <c r="DL207" i="14"/>
  <c r="DM207" i="14" s="1"/>
  <c r="CM482" i="14"/>
  <c r="CN482" i="14" s="1"/>
  <c r="CO481" i="14"/>
  <c r="EC506" i="14"/>
  <c r="EA507" i="14"/>
  <c r="EB507" i="14" s="1"/>
  <c r="DN662" i="14"/>
  <c r="DL663" i="14"/>
  <c r="DM663" i="14" s="1"/>
  <c r="CC458" i="14"/>
  <c r="CD458" i="14" s="1"/>
  <c r="DN133" i="14"/>
  <c r="DL134" i="14"/>
  <c r="DM134" i="14" s="1"/>
  <c r="DV555" i="14"/>
  <c r="DW555" i="14" s="1"/>
  <c r="DX554" i="14"/>
  <c r="DS673" i="14"/>
  <c r="DQ674" i="14"/>
  <c r="DR674" i="14" s="1"/>
  <c r="DX325" i="14"/>
  <c r="DV326" i="14"/>
  <c r="DW326" i="14" s="1"/>
  <c r="DS242" i="14"/>
  <c r="DQ243" i="14"/>
  <c r="DR243" i="14" s="1"/>
  <c r="CC326" i="14"/>
  <c r="CD326" i="14" s="1"/>
  <c r="CM86" i="14"/>
  <c r="CN86" i="14" s="1"/>
  <c r="CO85" i="14"/>
  <c r="DG182" i="14"/>
  <c r="DH182" i="14" s="1"/>
  <c r="CR218" i="14"/>
  <c r="CS218" i="14" s="1"/>
  <c r="CT217" i="14"/>
  <c r="EF99" i="14"/>
  <c r="EG99" i="14" s="1"/>
  <c r="EH98" i="14"/>
  <c r="CC278" i="14"/>
  <c r="CD278" i="14" s="1"/>
  <c r="DG542" i="14"/>
  <c r="DH542" i="14" s="1"/>
  <c r="DD265" i="14"/>
  <c r="DB266" i="14"/>
  <c r="DC266" i="14" s="1"/>
  <c r="CT326" i="14"/>
  <c r="CR327" i="14"/>
  <c r="CS327" i="14" s="1"/>
  <c r="CY302" i="14"/>
  <c r="CW303" i="14"/>
  <c r="CX303" i="14" s="1"/>
  <c r="EF135" i="14"/>
  <c r="EG135" i="14" s="1"/>
  <c r="EH134" i="14"/>
  <c r="DX50" i="14"/>
  <c r="DV51" i="14"/>
  <c r="DW51" i="14" s="1"/>
  <c r="CR482" i="14"/>
  <c r="CS482" i="14" s="1"/>
  <c r="CT481" i="14"/>
  <c r="CY121" i="14"/>
  <c r="CW122" i="14"/>
  <c r="CX122" i="14" s="1"/>
  <c r="DX229" i="14"/>
  <c r="DV230" i="14"/>
  <c r="DW230" i="14" s="1"/>
  <c r="DB555" i="14"/>
  <c r="DC555" i="14" s="1"/>
  <c r="DD554" i="14"/>
  <c r="EF62" i="14"/>
  <c r="EG62" i="14" s="1"/>
  <c r="EH61" i="14"/>
  <c r="CH254" i="14"/>
  <c r="CI254" i="14" s="1"/>
  <c r="CJ253" i="14"/>
  <c r="DG146" i="14"/>
  <c r="DH146" i="14" s="1"/>
  <c r="EA122" i="14"/>
  <c r="EB122" i="14" s="1"/>
  <c r="EC121" i="14"/>
  <c r="DS577" i="14"/>
  <c r="DQ578" i="14"/>
  <c r="DR578" i="14" s="1"/>
  <c r="CJ589" i="14"/>
  <c r="CH590" i="14"/>
  <c r="CI590" i="14" s="1"/>
  <c r="DL519" i="14"/>
  <c r="DM519" i="14" s="1"/>
  <c r="DN518" i="14"/>
  <c r="DV278" i="14"/>
  <c r="DW278" i="14" s="1"/>
  <c r="DX277" i="14"/>
  <c r="CH531" i="14"/>
  <c r="CI531" i="14" s="1"/>
  <c r="CJ530" i="14"/>
  <c r="DX193" i="14"/>
  <c r="DV194" i="14"/>
  <c r="DW194" i="14" s="1"/>
  <c r="CC122" i="14"/>
  <c r="CD122" i="14" s="1"/>
  <c r="CH470" i="14"/>
  <c r="CI470" i="14" s="1"/>
  <c r="CJ469" i="14"/>
  <c r="DL615" i="14"/>
  <c r="DM615" i="14" s="1"/>
  <c r="DN614" i="14"/>
  <c r="CH518" i="14"/>
  <c r="CI518" i="14" s="1"/>
  <c r="CJ517" i="14"/>
  <c r="CR626" i="14"/>
  <c r="CS626" i="14" s="1"/>
  <c r="CT625" i="14"/>
  <c r="EC290" i="14"/>
  <c r="EA291" i="14"/>
  <c r="EB291" i="14" s="1"/>
  <c r="CY133" i="14"/>
  <c r="CW134" i="14"/>
  <c r="CX134" i="14" s="1"/>
  <c r="CC602" i="14"/>
  <c r="CD602" i="14" s="1"/>
  <c r="DV423" i="14"/>
  <c r="DW423" i="14" s="1"/>
  <c r="DX422" i="14"/>
  <c r="CC146" i="14"/>
  <c r="CD146" i="14" s="1"/>
  <c r="CC530" i="14"/>
  <c r="CD530" i="14" s="1"/>
  <c r="DQ482" i="14"/>
  <c r="DR482" i="14" s="1"/>
  <c r="DS481" i="14"/>
  <c r="CJ506" i="14"/>
  <c r="CH507" i="14"/>
  <c r="CI507" i="14" s="1"/>
  <c r="DX133" i="14"/>
  <c r="DV134" i="14"/>
  <c r="DW134" i="14" s="1"/>
  <c r="DN482" i="14"/>
  <c r="DL483" i="14"/>
  <c r="DM483" i="14" s="1"/>
  <c r="CW411" i="14"/>
  <c r="CX411" i="14" s="1"/>
  <c r="CY410" i="14"/>
  <c r="DV266" i="14"/>
  <c r="DW266" i="14" s="1"/>
  <c r="DX265" i="14"/>
  <c r="DB63" i="14"/>
  <c r="DC63" i="14" s="1"/>
  <c r="DD62" i="14"/>
  <c r="EA302" i="14"/>
  <c r="EB302" i="14" s="1"/>
  <c r="EC301" i="14"/>
  <c r="DD313" i="14"/>
  <c r="DB314" i="14"/>
  <c r="DC314" i="14" s="1"/>
  <c r="CY229" i="14"/>
  <c r="CW230" i="14"/>
  <c r="CX230" i="14" s="1"/>
  <c r="DN302" i="14"/>
  <c r="DL303" i="14"/>
  <c r="DM303" i="14" s="1"/>
  <c r="EC637" i="14"/>
  <c r="EA638" i="14"/>
  <c r="EB638" i="14" s="1"/>
  <c r="EF590" i="14"/>
  <c r="EG590" i="14" s="1"/>
  <c r="EH589" i="14"/>
  <c r="CR62" i="14"/>
  <c r="CS62" i="14" s="1"/>
  <c r="CT61" i="14"/>
  <c r="CY218" i="14"/>
  <c r="CW219" i="14"/>
  <c r="CX219" i="14" s="1"/>
  <c r="EA398" i="14"/>
  <c r="EB398" i="14" s="1"/>
  <c r="EC397" i="14"/>
  <c r="EA446" i="14"/>
  <c r="EB446" i="14" s="1"/>
  <c r="EC445" i="14"/>
  <c r="DD649" i="14"/>
  <c r="DB650" i="14"/>
  <c r="DC650" i="14" s="1"/>
  <c r="DB243" i="14"/>
  <c r="DC243" i="14" s="1"/>
  <c r="DD242" i="14"/>
  <c r="DV183" i="14"/>
  <c r="DW183" i="14" s="1"/>
  <c r="DX182" i="14"/>
  <c r="CW183" i="14"/>
  <c r="CX183" i="14" s="1"/>
  <c r="CY182" i="14"/>
  <c r="CJ445" i="14"/>
  <c r="CH446" i="14"/>
  <c r="CI446" i="14" s="1"/>
  <c r="CC110" i="14"/>
  <c r="CD110" i="14" s="1"/>
  <c r="CO266" i="14"/>
  <c r="CM267" i="14"/>
  <c r="CN267" i="14" s="1"/>
  <c r="CY650" i="14"/>
  <c r="CW651" i="14"/>
  <c r="CX651" i="14" s="1"/>
  <c r="CW207" i="14"/>
  <c r="CX207" i="14" s="1"/>
  <c r="CY206" i="14"/>
  <c r="DV495" i="14"/>
  <c r="DW495" i="14" s="1"/>
  <c r="DX494" i="14"/>
  <c r="CC434" i="14"/>
  <c r="CD434" i="14" s="1"/>
  <c r="CW86" i="14"/>
  <c r="CX86" i="14" s="1"/>
  <c r="CY85" i="14"/>
  <c r="DG170" i="14"/>
  <c r="DH170" i="14" s="1"/>
  <c r="DG554" i="14"/>
  <c r="DH554" i="14" s="1"/>
  <c r="CR423" i="14"/>
  <c r="CS423" i="14" s="1"/>
  <c r="CT422" i="14"/>
  <c r="CM99" i="14"/>
  <c r="CN99" i="14" s="1"/>
  <c r="CO98" i="14"/>
  <c r="DX290" i="14"/>
  <c r="DV291" i="14"/>
  <c r="DW291" i="14" s="1"/>
  <c r="CW603" i="14"/>
  <c r="CX603" i="14" s="1"/>
  <c r="CY602" i="14"/>
  <c r="EF267" i="14"/>
  <c r="EG267" i="14" s="1"/>
  <c r="EH266" i="14"/>
  <c r="CT518" i="14"/>
  <c r="CR519" i="14"/>
  <c r="CS519" i="14" s="1"/>
  <c r="DB579" i="14"/>
  <c r="DC579" i="14" s="1"/>
  <c r="DD578" i="14"/>
  <c r="DL650" i="14"/>
  <c r="DM650" i="14" s="1"/>
  <c r="DN649" i="14"/>
  <c r="CM447" i="14"/>
  <c r="CN447" i="14" s="1"/>
  <c r="CO446" i="14"/>
  <c r="CW62" i="14"/>
  <c r="CX62" i="14" s="1"/>
  <c r="CY61" i="14"/>
  <c r="EF315" i="14"/>
  <c r="EG315" i="14" s="1"/>
  <c r="EH314" i="14"/>
  <c r="DV158" i="14"/>
  <c r="DW158" i="14" s="1"/>
  <c r="DX157" i="14"/>
  <c r="DS542" i="14"/>
  <c r="DQ543" i="14"/>
  <c r="DR543" i="14" s="1"/>
  <c r="CH51" i="14"/>
  <c r="CI51" i="14" s="1"/>
  <c r="CJ50" i="14"/>
  <c r="CW170" i="14"/>
  <c r="CX170" i="14" s="1"/>
  <c r="CY169" i="14"/>
  <c r="DQ290" i="14"/>
  <c r="DR290" i="14" s="1"/>
  <c r="DS289" i="14"/>
  <c r="CC626" i="14"/>
  <c r="CD626" i="14" s="1"/>
  <c r="CC350" i="14"/>
  <c r="CD350" i="14" s="1"/>
  <c r="EH337" i="14"/>
  <c r="EF338" i="14"/>
  <c r="EG338" i="14" s="1"/>
  <c r="CC494" i="14"/>
  <c r="CD494" i="14" s="1"/>
  <c r="EH230" i="14"/>
  <c r="EF231" i="14"/>
  <c r="EG231" i="14" s="1"/>
  <c r="EF387" i="14"/>
  <c r="EG387" i="14" s="1"/>
  <c r="EH386" i="14"/>
  <c r="CO277" i="14"/>
  <c r="CM278" i="14"/>
  <c r="CN278" i="14" s="1"/>
  <c r="DL122" i="14"/>
  <c r="DM122" i="14" s="1"/>
  <c r="DN121" i="14"/>
  <c r="DN590" i="14"/>
  <c r="DL591" i="14"/>
  <c r="DM591" i="14" s="1"/>
  <c r="CC578" i="14"/>
  <c r="CD578" i="14" s="1"/>
  <c r="CW590" i="14"/>
  <c r="CX590" i="14" s="1"/>
  <c r="CY589" i="14"/>
  <c r="DB566" i="14"/>
  <c r="DC566" i="14" s="1"/>
  <c r="DD565" i="14"/>
  <c r="DS494" i="14"/>
  <c r="DQ495" i="14"/>
  <c r="DR495" i="14" s="1"/>
  <c r="CW435" i="14"/>
  <c r="CX435" i="14" s="1"/>
  <c r="CY434" i="14"/>
  <c r="EF506" i="14"/>
  <c r="EG506" i="14" s="1"/>
  <c r="EH505" i="14"/>
  <c r="CR206" i="14"/>
  <c r="CS206" i="14" s="1"/>
  <c r="CT205" i="14"/>
  <c r="DL375" i="14"/>
  <c r="DM375" i="14" s="1"/>
  <c r="DN374" i="14"/>
  <c r="DG434" i="14"/>
  <c r="DH434" i="14" s="1"/>
  <c r="CC374" i="14"/>
  <c r="CD374" i="14" s="1"/>
  <c r="DG650" i="14"/>
  <c r="DH650" i="14" s="1"/>
  <c r="DL291" i="14"/>
  <c r="DM291" i="14" s="1"/>
  <c r="DN290" i="14"/>
  <c r="CY194" i="14"/>
  <c r="CW195" i="14"/>
  <c r="CX195" i="14" s="1"/>
  <c r="DG374" i="14"/>
  <c r="DH374" i="14" s="1"/>
  <c r="DL627" i="14"/>
  <c r="DM627" i="14" s="1"/>
  <c r="DN626" i="14"/>
  <c r="EA674" i="14"/>
  <c r="EB674" i="14" s="1"/>
  <c r="EC673" i="14"/>
  <c r="CC338" i="14"/>
  <c r="CD338" i="14" s="1"/>
  <c r="DB470" i="14"/>
  <c r="DC470" i="14" s="1"/>
  <c r="DD469" i="14"/>
  <c r="CR471" i="14"/>
  <c r="CS471" i="14" s="1"/>
  <c r="CT470" i="14"/>
  <c r="DG338" i="14"/>
  <c r="DH338" i="14" s="1"/>
  <c r="DX518" i="14"/>
  <c r="DV519" i="14"/>
  <c r="DW519" i="14" s="1"/>
  <c r="DG134" i="14"/>
  <c r="DH134" i="14" s="1"/>
  <c r="DV171" i="14"/>
  <c r="DW171" i="14" s="1"/>
  <c r="DX170" i="14"/>
  <c r="CJ181" i="14"/>
  <c r="CH182" i="14"/>
  <c r="CI182" i="14" s="1"/>
  <c r="EC385" i="14"/>
  <c r="EA386" i="14"/>
  <c r="EB386" i="14" s="1"/>
  <c r="CH398" i="14"/>
  <c r="CI398" i="14" s="1"/>
  <c r="CJ397" i="14"/>
  <c r="DS62" i="14"/>
  <c r="DQ63" i="14"/>
  <c r="DR63" i="14" s="1"/>
  <c r="DX385" i="14"/>
  <c r="DV386" i="14"/>
  <c r="DW386" i="14" s="1"/>
  <c r="DX470" i="14"/>
  <c r="DV471" i="14"/>
  <c r="DW471" i="14" s="1"/>
  <c r="EH673" i="14"/>
  <c r="EF674" i="14"/>
  <c r="EG674" i="14" s="1"/>
  <c r="EH157" i="14"/>
  <c r="EF158" i="14"/>
  <c r="EG158" i="14" s="1"/>
  <c r="DG530" i="14"/>
  <c r="DH530" i="14" s="1"/>
  <c r="DV110" i="14"/>
  <c r="DW110" i="14" s="1"/>
  <c r="DX109" i="14"/>
  <c r="DG362" i="14"/>
  <c r="DH362" i="14" s="1"/>
  <c r="EA531" i="14"/>
  <c r="EB531" i="14" s="1"/>
  <c r="EC530" i="14"/>
  <c r="EA230" i="14"/>
  <c r="EB230" i="14" s="1"/>
  <c r="EC229" i="14"/>
  <c r="EF362" i="14"/>
  <c r="EG362" i="14" s="1"/>
  <c r="EH361" i="14"/>
  <c r="CW519" i="14"/>
  <c r="CX519" i="14" s="1"/>
  <c r="CY518" i="14"/>
  <c r="CO146" i="14"/>
  <c r="CM147" i="14"/>
  <c r="CN147" i="14" s="1"/>
  <c r="DG518" i="14"/>
  <c r="DH518" i="14" s="1"/>
  <c r="CO109" i="14"/>
  <c r="CM110" i="14"/>
  <c r="CN110" i="14" s="1"/>
  <c r="CJ433" i="14"/>
  <c r="CH434" i="14"/>
  <c r="CI434" i="14" s="1"/>
  <c r="EC554" i="14"/>
  <c r="EA555" i="14"/>
  <c r="EB555" i="14" s="1"/>
  <c r="CT613" i="14"/>
  <c r="CR614" i="14"/>
  <c r="CS614" i="14" s="1"/>
  <c r="DL267" i="14"/>
  <c r="DM267" i="14" s="1"/>
  <c r="DN266" i="14"/>
  <c r="CM471" i="14"/>
  <c r="CN471" i="14" s="1"/>
  <c r="CO470" i="14"/>
  <c r="CC650" i="14"/>
  <c r="CD650" i="14" s="1"/>
  <c r="CT541" i="14"/>
  <c r="CR542" i="14"/>
  <c r="CS542" i="14" s="1"/>
  <c r="DQ110" i="14"/>
  <c r="DR110" i="14" s="1"/>
  <c r="DS109" i="14"/>
  <c r="DL387" i="14"/>
  <c r="DM387" i="14" s="1"/>
  <c r="DN386" i="14"/>
  <c r="DB542" i="14"/>
  <c r="DC542" i="14" s="1"/>
  <c r="DD541" i="14"/>
  <c r="CO242" i="14"/>
  <c r="CM243" i="14"/>
  <c r="CN243" i="14" s="1"/>
  <c r="EC458" i="14"/>
  <c r="EA459" i="14"/>
  <c r="EB459" i="14" s="1"/>
  <c r="DN553" i="14"/>
  <c r="DL554" i="14"/>
  <c r="DM554" i="14" s="1"/>
  <c r="CO50" i="14"/>
  <c r="CM51" i="14"/>
  <c r="CN51" i="14" s="1"/>
  <c r="CC674" i="14"/>
  <c r="CD674" i="14" s="1"/>
  <c r="DQ350" i="14"/>
  <c r="DR350" i="14" s="1"/>
  <c r="DS349" i="14"/>
  <c r="CY529" i="14"/>
  <c r="CW530" i="14"/>
  <c r="CX530" i="14" s="1"/>
  <c r="DS85" i="14"/>
  <c r="DQ86" i="14"/>
  <c r="DR86" i="14" s="1"/>
  <c r="DX457" i="14"/>
  <c r="DV458" i="14"/>
  <c r="DW458" i="14" s="1"/>
  <c r="DG422" i="14"/>
  <c r="DH422" i="14" s="1"/>
  <c r="DV71" i="14"/>
  <c r="DW71" i="14" s="1"/>
  <c r="DV72" i="14" s="1"/>
  <c r="DW72" i="14" s="1"/>
  <c r="EA71" i="14"/>
  <c r="EB71" i="14" s="1"/>
  <c r="EA72" i="14" s="1"/>
  <c r="EB72" i="14" s="1"/>
  <c r="DB71" i="14"/>
  <c r="DC71" i="14" s="1"/>
  <c r="DB72" i="14" s="1"/>
  <c r="DC72" i="14" s="1"/>
  <c r="CH71" i="14"/>
  <c r="CI71" i="14" s="1"/>
  <c r="CH72" i="14" s="1"/>
  <c r="CI72" i="14" s="1"/>
  <c r="CR71" i="14"/>
  <c r="CS71" i="14" s="1"/>
  <c r="CT71" i="14" s="1"/>
  <c r="DQ71" i="14"/>
  <c r="DR71" i="14" s="1"/>
  <c r="DS71" i="14" s="1"/>
  <c r="CM71" i="14"/>
  <c r="CN71" i="14" s="1"/>
  <c r="CO71" i="14" s="1"/>
  <c r="DL71" i="14"/>
  <c r="DM71" i="14" s="1"/>
  <c r="DL72" i="14" s="1"/>
  <c r="DM72" i="14" s="1"/>
  <c r="DI71" i="14"/>
  <c r="CE71" i="14"/>
  <c r="EF71" i="14"/>
  <c r="EG71" i="14" s="1"/>
  <c r="DG72" i="14"/>
  <c r="DH72" i="14" s="1"/>
  <c r="CW71" i="14"/>
  <c r="CX71" i="14" s="1"/>
  <c r="CC72" i="14"/>
  <c r="CD72" i="14" s="1"/>
  <c r="CB45" i="14"/>
  <c r="BM43" i="14"/>
  <c r="BK43" i="14"/>
  <c r="CM35" i="14"/>
  <c r="CN35" i="14" s="1"/>
  <c r="CO35" i="14" s="1"/>
  <c r="AJ15" i="43"/>
  <c r="E14" i="43" s="1"/>
  <c r="EF35" i="14"/>
  <c r="EG35" i="14" s="1"/>
  <c r="EH35" i="14" s="1"/>
  <c r="CZ46" i="14"/>
  <c r="DA46" i="14" s="1"/>
  <c r="DB35" i="14" s="1"/>
  <c r="CF46" i="14"/>
  <c r="CG46" i="14" s="1"/>
  <c r="CU46" i="14"/>
  <c r="CV46" i="14" s="1"/>
  <c r="CW35" i="14" s="1"/>
  <c r="CA46" i="14"/>
  <c r="CP46" i="14"/>
  <c r="CQ46" i="14" s="1"/>
  <c r="DQ35" i="14"/>
  <c r="DR35" i="14" s="1"/>
  <c r="DV35" i="14"/>
  <c r="DW35" i="14" s="1"/>
  <c r="DX35" i="14" s="1"/>
  <c r="EA35" i="14"/>
  <c r="EB35" i="14" s="1"/>
  <c r="EC35" i="14" s="1"/>
  <c r="DL35" i="14"/>
  <c r="DM35" i="14" s="1"/>
  <c r="DN35" i="14" s="1"/>
  <c r="CE133" i="14" a="1"/>
  <c r="DI349" i="14" a="1"/>
  <c r="CE397" i="14" a="1"/>
  <c r="CE301" i="14" a="1"/>
  <c r="DI253" i="14" a="1"/>
  <c r="DI289" i="14" a="1"/>
  <c r="DI493" i="14" a="1"/>
  <c r="CE637" i="14" a="1"/>
  <c r="CE661" i="14" a="1"/>
  <c r="CE373" i="14" a="1"/>
  <c r="CE145" i="14" a="1"/>
  <c r="DI565" i="14" a="1"/>
  <c r="CE313" i="14" a="1"/>
  <c r="DI85" i="14" a="1"/>
  <c r="CE85" i="14" a="1"/>
  <c r="CE193" i="14" a="1"/>
  <c r="CE649" i="14" a="1"/>
  <c r="BL42" i="14"/>
  <c r="DI469" i="14" a="1"/>
  <c r="DI181" i="14" a="1"/>
  <c r="DI397" i="14" a="1"/>
  <c r="DI457" i="14" a="1"/>
  <c r="CE121" i="14" a="1"/>
  <c r="CE157" i="14" a="1"/>
  <c r="CE469" i="14" a="1"/>
  <c r="CE481" i="14" a="1"/>
  <c r="DI529" i="14" a="1"/>
  <c r="DI577" i="14" a="1"/>
  <c r="DI217" i="14" a="1"/>
  <c r="CE253" i="14" a="1"/>
  <c r="CE625" i="14" a="1"/>
  <c r="DI133" i="14" a="1"/>
  <c r="DI661" i="14" a="1"/>
  <c r="CE205" i="14" a="1"/>
  <c r="DI72" i="14" a="1"/>
  <c r="CE505" i="14" a="1"/>
  <c r="DI409" i="14" a="1"/>
  <c r="CE361" i="14" a="1"/>
  <c r="CE265" i="14" a="1"/>
  <c r="DI205" i="14" a="1"/>
  <c r="DI625" i="14" a="1"/>
  <c r="CE529" i="14" a="1"/>
  <c r="CE61" i="14" a="1"/>
  <c r="DI337" i="14" a="1"/>
  <c r="DI517" i="14" a="1"/>
  <c r="CE577" i="14" a="1"/>
  <c r="CE325" i="14" a="1"/>
  <c r="DI49" i="14" a="1"/>
  <c r="CE385" i="14" a="1"/>
  <c r="DI265" i="14" a="1"/>
  <c r="CE181" i="14" a="1"/>
  <c r="DI421" i="14" a="1"/>
  <c r="DI505" i="14" a="1"/>
  <c r="DI325" i="14" a="1"/>
  <c r="DI229" i="14" a="1"/>
  <c r="DI97" i="14" a="1"/>
  <c r="DI169" i="14" a="1"/>
  <c r="CE289" i="14" a="1"/>
  <c r="DI589" i="14" a="1"/>
  <c r="DI541" i="14" a="1"/>
  <c r="DI613" i="14" a="1"/>
  <c r="DI313" i="14" a="1"/>
  <c r="DI361" i="14" a="1"/>
  <c r="CE337" i="14" a="1"/>
  <c r="CE457" i="14" a="1"/>
  <c r="CE109" i="14" a="1"/>
  <c r="CE673" i="14" a="1"/>
  <c r="DI637" i="14" a="1"/>
  <c r="CE565" i="14" a="1"/>
  <c r="CE229" i="14" a="1"/>
  <c r="CE277" i="14" a="1"/>
  <c r="CE97" i="14" a="1"/>
  <c r="CE349" i="14" a="1"/>
  <c r="DI145" i="14" a="1"/>
  <c r="CE493" i="14" a="1"/>
  <c r="DI61" i="14" a="1"/>
  <c r="CE589" i="14" a="1"/>
  <c r="CE517" i="14" a="1"/>
  <c r="DI433" i="14" a="1"/>
  <c r="DI481" i="14" a="1"/>
  <c r="CE49" i="14" a="1"/>
  <c r="CE241" i="14" a="1"/>
  <c r="DI241" i="14" a="1"/>
  <c r="DI649" i="14" a="1"/>
  <c r="CE421" i="14" a="1"/>
  <c r="BN42" i="14"/>
  <c r="DI673" i="14" a="1"/>
  <c r="CE553" i="14" a="1"/>
  <c r="DI121" i="14" a="1"/>
  <c r="CE217" i="14" a="1"/>
  <c r="DI553" i="14" a="1"/>
  <c r="CB46" i="14" a="1"/>
  <c r="CE409" i="14" a="1"/>
  <c r="CE613" i="14" a="1"/>
  <c r="DI373" i="14" a="1"/>
  <c r="CE445" i="14" a="1"/>
  <c r="DI277" i="14" a="1"/>
  <c r="DI157" i="14" a="1"/>
  <c r="CE541" i="14" a="1"/>
  <c r="DI301" i="14" a="1"/>
  <c r="DI385" i="14" a="1"/>
  <c r="DI193" i="14" a="1"/>
  <c r="CE169" i="14" a="1"/>
  <c r="DI445" i="14" a="1"/>
  <c r="CE601" i="14" a="1"/>
  <c r="CE433" i="14" a="1"/>
  <c r="DI601" i="14" a="1"/>
  <c r="DI109" i="14" a="1"/>
  <c r="CE72" i="14" a="1"/>
  <c r="CM639" i="14" l="1"/>
  <c r="CN639" i="14" s="1"/>
  <c r="CO639" i="14" s="1"/>
  <c r="CW459" i="14"/>
  <c r="CX459" i="14" s="1"/>
  <c r="CY459" i="14" s="1"/>
  <c r="CJ170" i="14"/>
  <c r="DQ219" i="14"/>
  <c r="DR219" i="14" s="1"/>
  <c r="DS219" i="14" s="1"/>
  <c r="CO398" i="14"/>
  <c r="EA159" i="14"/>
  <c r="EB159" i="14" s="1"/>
  <c r="EC159" i="14" s="1"/>
  <c r="DB339" i="14"/>
  <c r="DC339" i="14" s="1"/>
  <c r="DB340" i="14" s="1"/>
  <c r="DC340" i="14" s="1"/>
  <c r="EF147" i="14"/>
  <c r="EG147" i="14" s="1"/>
  <c r="EH147" i="14" s="1"/>
  <c r="DS278" i="14"/>
  <c r="CM255" i="14"/>
  <c r="CN255" i="14" s="1"/>
  <c r="CO255" i="14" s="1"/>
  <c r="CW447" i="14"/>
  <c r="CX447" i="14" s="1"/>
  <c r="CW448" i="14" s="1"/>
  <c r="CX448" i="14" s="1"/>
  <c r="CO302" i="14"/>
  <c r="DN110" i="14"/>
  <c r="DQ171" i="14"/>
  <c r="DR171" i="14" s="1"/>
  <c r="DQ172" i="14" s="1"/>
  <c r="DR172" i="14" s="1"/>
  <c r="CR99" i="14"/>
  <c r="CS99" i="14" s="1"/>
  <c r="CT99" i="14" s="1"/>
  <c r="CO602" i="14"/>
  <c r="CW255" i="14"/>
  <c r="CX255" i="14" s="1"/>
  <c r="CY255" i="14" s="1"/>
  <c r="DX218" i="14"/>
  <c r="CT302" i="14"/>
  <c r="DX542" i="14"/>
  <c r="CT374" i="14"/>
  <c r="CH63" i="14"/>
  <c r="CI63" i="14" s="1"/>
  <c r="CJ63" i="14" s="1"/>
  <c r="CT494" i="14"/>
  <c r="EF519" i="14"/>
  <c r="EG519" i="14" s="1"/>
  <c r="EF520" i="14" s="1"/>
  <c r="EG520" i="14" s="1"/>
  <c r="EA171" i="14"/>
  <c r="EB171" i="14" s="1"/>
  <c r="EC171" i="14" s="1"/>
  <c r="CT230" i="14"/>
  <c r="CJ554" i="14"/>
  <c r="CJ374" i="14"/>
  <c r="EH650" i="14"/>
  <c r="DX62" i="14"/>
  <c r="DX446" i="14"/>
  <c r="CR507" i="14"/>
  <c r="CS507" i="14" s="1"/>
  <c r="CR508" i="14" s="1"/>
  <c r="CS508" i="14" s="1"/>
  <c r="DI133" i="14"/>
  <c r="DI553" i="14"/>
  <c r="DI661" i="14"/>
  <c r="DI301" i="14"/>
  <c r="DI637" i="14"/>
  <c r="CE673" i="14"/>
  <c r="DI373" i="14"/>
  <c r="CE493" i="14"/>
  <c r="DI169" i="14"/>
  <c r="CE109" i="14"/>
  <c r="CE229" i="14"/>
  <c r="CE133" i="14"/>
  <c r="DI313" i="14"/>
  <c r="CE217" i="14"/>
  <c r="DI193" i="14"/>
  <c r="CE181" i="14"/>
  <c r="DI469" i="14"/>
  <c r="DI505" i="14"/>
  <c r="DI493" i="14"/>
  <c r="CE565" i="14"/>
  <c r="CE325" i="14"/>
  <c r="DI349" i="14"/>
  <c r="DI253" i="14"/>
  <c r="CE553" i="14"/>
  <c r="CE541" i="14"/>
  <c r="DI157" i="14"/>
  <c r="DI565" i="14"/>
  <c r="CE121" i="14"/>
  <c r="CE277" i="14"/>
  <c r="CE301" i="14"/>
  <c r="DI61" i="14"/>
  <c r="CE613" i="14"/>
  <c r="CE469" i="14"/>
  <c r="CE517" i="14"/>
  <c r="DI385" i="14"/>
  <c r="DI85" i="14"/>
  <c r="DI277" i="14"/>
  <c r="CE661" i="14"/>
  <c r="DI337" i="14"/>
  <c r="CE349" i="14"/>
  <c r="DI421" i="14"/>
  <c r="DI517" i="14"/>
  <c r="CE433" i="14"/>
  <c r="DI241" i="14"/>
  <c r="CE445" i="14"/>
  <c r="DI397" i="14"/>
  <c r="CE145" i="14"/>
  <c r="CE505" i="14"/>
  <c r="DI625" i="14"/>
  <c r="CE85" i="14"/>
  <c r="DI601" i="14"/>
  <c r="DI217" i="14"/>
  <c r="CE409" i="14"/>
  <c r="CE481" i="14"/>
  <c r="CE577" i="14"/>
  <c r="DI481" i="14"/>
  <c r="CE241" i="14"/>
  <c r="CE649" i="14"/>
  <c r="DI529" i="14"/>
  <c r="DI145" i="14"/>
  <c r="CE157" i="14"/>
  <c r="DI265" i="14"/>
  <c r="CE313" i="14"/>
  <c r="DI457" i="14"/>
  <c r="CE637" i="14"/>
  <c r="CE457" i="14"/>
  <c r="CE601" i="14"/>
  <c r="DI649" i="14"/>
  <c r="CE625" i="14"/>
  <c r="DI613" i="14"/>
  <c r="CE337" i="14"/>
  <c r="DI49" i="14"/>
  <c r="CE361" i="14"/>
  <c r="CE385" i="14"/>
  <c r="DI577" i="14"/>
  <c r="CE373" i="14"/>
  <c r="DI289" i="14"/>
  <c r="DI121" i="14"/>
  <c r="CE289" i="14"/>
  <c r="DI673" i="14"/>
  <c r="CE169" i="14"/>
  <c r="CE397" i="14"/>
  <c r="CE265" i="14"/>
  <c r="CE253" i="14"/>
  <c r="CE97" i="14"/>
  <c r="DI541" i="14"/>
  <c r="DI229" i="14"/>
  <c r="DI361" i="14"/>
  <c r="DI181" i="14"/>
  <c r="DI409" i="14"/>
  <c r="DI325" i="14"/>
  <c r="CE193" i="14"/>
  <c r="CE61" i="14"/>
  <c r="DI589" i="14"/>
  <c r="CE49" i="14"/>
  <c r="CE421" i="14"/>
  <c r="DI433" i="14"/>
  <c r="CE529" i="14"/>
  <c r="CE205" i="14"/>
  <c r="DI97" i="14"/>
  <c r="DI109" i="14"/>
  <c r="DI205" i="14"/>
  <c r="CE589" i="14"/>
  <c r="DI445" i="14"/>
  <c r="EF172" i="14"/>
  <c r="EG172" i="14" s="1"/>
  <c r="EH171" i="14"/>
  <c r="DB423" i="14"/>
  <c r="DC423" i="14" s="1"/>
  <c r="DD422" i="14"/>
  <c r="DD374" i="14"/>
  <c r="DB375" i="14"/>
  <c r="DC375" i="14" s="1"/>
  <c r="DD266" i="14"/>
  <c r="DB267" i="14"/>
  <c r="DC267" i="14" s="1"/>
  <c r="EA556" i="14"/>
  <c r="EB556" i="14" s="1"/>
  <c r="EC555" i="14"/>
  <c r="DX471" i="14"/>
  <c r="DV472" i="14"/>
  <c r="DW472" i="14" s="1"/>
  <c r="EH231" i="14"/>
  <c r="EF232" i="14"/>
  <c r="EG232" i="14" s="1"/>
  <c r="CM268" i="14"/>
  <c r="CN268" i="14" s="1"/>
  <c r="CO267" i="14"/>
  <c r="DL304" i="14"/>
  <c r="DM304" i="14" s="1"/>
  <c r="DN303" i="14"/>
  <c r="CC147" i="14"/>
  <c r="CD147" i="14" s="1"/>
  <c r="CT327" i="14"/>
  <c r="CR328" i="14"/>
  <c r="CS328" i="14" s="1"/>
  <c r="DN134" i="14"/>
  <c r="DL135" i="14"/>
  <c r="DM135" i="14" s="1"/>
  <c r="DS195" i="14"/>
  <c r="DQ196" i="14"/>
  <c r="DR196" i="14" s="1"/>
  <c r="DV375" i="14"/>
  <c r="DW375" i="14" s="1"/>
  <c r="DX374" i="14"/>
  <c r="CH387" i="14"/>
  <c r="CI387" i="14" s="1"/>
  <c r="CJ386" i="14"/>
  <c r="DV651" i="14"/>
  <c r="DW651" i="14" s="1"/>
  <c r="DX650" i="14"/>
  <c r="DD615" i="14"/>
  <c r="DB616" i="14"/>
  <c r="DC616" i="14" s="1"/>
  <c r="DQ555" i="14"/>
  <c r="DR555" i="14" s="1"/>
  <c r="DS554" i="14"/>
  <c r="CM375" i="14"/>
  <c r="CN375" i="14" s="1"/>
  <c r="CO374" i="14"/>
  <c r="CO183" i="14"/>
  <c r="CM184" i="14"/>
  <c r="CN184" i="14" s="1"/>
  <c r="CY146" i="14"/>
  <c r="CW147" i="14"/>
  <c r="CX147" i="14" s="1"/>
  <c r="DS650" i="14"/>
  <c r="DQ651" i="14"/>
  <c r="DR651" i="14" s="1"/>
  <c r="EH111" i="14"/>
  <c r="EF112" i="14"/>
  <c r="EG112" i="14" s="1"/>
  <c r="DN62" i="14"/>
  <c r="DL63" i="14"/>
  <c r="DM63" i="14" s="1"/>
  <c r="DV208" i="14"/>
  <c r="DW208" i="14" s="1"/>
  <c r="DX207" i="14"/>
  <c r="CC507" i="14"/>
  <c r="CD507" i="14" s="1"/>
  <c r="DV316" i="14"/>
  <c r="DW316" i="14" s="1"/>
  <c r="DX315" i="14"/>
  <c r="EA316" i="14"/>
  <c r="EB316" i="14" s="1"/>
  <c r="EC315" i="14"/>
  <c r="DD255" i="14"/>
  <c r="DB256" i="14"/>
  <c r="DC256" i="14" s="1"/>
  <c r="CJ278" i="14"/>
  <c r="CH279" i="14"/>
  <c r="CI279" i="14" s="1"/>
  <c r="EF640" i="14"/>
  <c r="EG640" i="14" s="1"/>
  <c r="EH639" i="14"/>
  <c r="EC578" i="14"/>
  <c r="EA579" i="14"/>
  <c r="EB579" i="14" s="1"/>
  <c r="CW51" i="14"/>
  <c r="CX51" i="14" s="1"/>
  <c r="CY50" i="14"/>
  <c r="DN567" i="14"/>
  <c r="DL568" i="14"/>
  <c r="DM568" i="14" s="1"/>
  <c r="DN410" i="14"/>
  <c r="DL411" i="14"/>
  <c r="DM411" i="14" s="1"/>
  <c r="DG87" i="14"/>
  <c r="DH87" i="14" s="1"/>
  <c r="CC423" i="14"/>
  <c r="CD423" i="14" s="1"/>
  <c r="CR460" i="14"/>
  <c r="CS460" i="14" s="1"/>
  <c r="CT459" i="14"/>
  <c r="CO422" i="14"/>
  <c r="CM423" i="14"/>
  <c r="CN423" i="14" s="1"/>
  <c r="CM195" i="14"/>
  <c r="CN195" i="14" s="1"/>
  <c r="CO194" i="14"/>
  <c r="CR436" i="14"/>
  <c r="CS436" i="14" s="1"/>
  <c r="CT435" i="14"/>
  <c r="CW112" i="14"/>
  <c r="CX112" i="14" s="1"/>
  <c r="CY111" i="14"/>
  <c r="DX615" i="14"/>
  <c r="DV616" i="14"/>
  <c r="DW616" i="14" s="1"/>
  <c r="CC639" i="14"/>
  <c r="CD639" i="14" s="1"/>
  <c r="DQ208" i="14"/>
  <c r="DR208" i="14" s="1"/>
  <c r="DS207" i="14"/>
  <c r="DG279" i="14"/>
  <c r="DH279" i="14" s="1"/>
  <c r="CM495" i="14"/>
  <c r="CN495" i="14" s="1"/>
  <c r="CO494" i="14"/>
  <c r="CY387" i="14"/>
  <c r="CW388" i="14"/>
  <c r="CX388" i="14" s="1"/>
  <c r="EF352" i="14"/>
  <c r="EG352" i="14" s="1"/>
  <c r="EH351" i="14"/>
  <c r="DN387" i="14"/>
  <c r="DL388" i="14"/>
  <c r="DM388" i="14" s="1"/>
  <c r="DN615" i="14"/>
  <c r="DL616" i="14"/>
  <c r="DM616" i="14" s="1"/>
  <c r="DV148" i="14"/>
  <c r="DW148" i="14" s="1"/>
  <c r="DX147" i="14"/>
  <c r="DB484" i="14"/>
  <c r="DC484" i="14" s="1"/>
  <c r="DD483" i="14"/>
  <c r="DG375" i="14"/>
  <c r="DH375" i="14" s="1"/>
  <c r="CC183" i="14"/>
  <c r="CD183" i="14" s="1"/>
  <c r="DD303" i="14"/>
  <c r="DB304" i="14"/>
  <c r="DC304" i="14" s="1"/>
  <c r="DS110" i="14"/>
  <c r="DQ111" i="14"/>
  <c r="DR111" i="14" s="1"/>
  <c r="EC531" i="14"/>
  <c r="EA532" i="14"/>
  <c r="EB532" i="14" s="1"/>
  <c r="CR207" i="14"/>
  <c r="CS207" i="14" s="1"/>
  <c r="CT206" i="14"/>
  <c r="CY590" i="14"/>
  <c r="CW591" i="14"/>
  <c r="CX591" i="14" s="1"/>
  <c r="EA399" i="14"/>
  <c r="EB399" i="14" s="1"/>
  <c r="EC398" i="14"/>
  <c r="DN111" i="14"/>
  <c r="DL112" i="14"/>
  <c r="DM112" i="14" s="1"/>
  <c r="CW412" i="14"/>
  <c r="CX412" i="14" s="1"/>
  <c r="CY411" i="14"/>
  <c r="DV424" i="14"/>
  <c r="DW424" i="14" s="1"/>
  <c r="DX423" i="14"/>
  <c r="CO86" i="14"/>
  <c r="CM87" i="14"/>
  <c r="CN87" i="14" s="1"/>
  <c r="CC459" i="14"/>
  <c r="CD459" i="14" s="1"/>
  <c r="DG471" i="14"/>
  <c r="DH471" i="14" s="1"/>
  <c r="CC663" i="14"/>
  <c r="CD663" i="14" s="1"/>
  <c r="DG567" i="14"/>
  <c r="DH567" i="14" s="1"/>
  <c r="CT591" i="14"/>
  <c r="CR592" i="14"/>
  <c r="CS592" i="14" s="1"/>
  <c r="DN675" i="14"/>
  <c r="DL676" i="14"/>
  <c r="DM676" i="14" s="1"/>
  <c r="EA664" i="14"/>
  <c r="EB664" i="14" s="1"/>
  <c r="EC663" i="14"/>
  <c r="DS135" i="14"/>
  <c r="DQ136" i="14"/>
  <c r="DR136" i="14" s="1"/>
  <c r="EC435" i="14"/>
  <c r="EA436" i="14"/>
  <c r="EB436" i="14" s="1"/>
  <c r="CO662" i="14"/>
  <c r="CM663" i="14"/>
  <c r="CN663" i="14" s="1"/>
  <c r="CY566" i="14"/>
  <c r="CW567" i="14"/>
  <c r="CX567" i="14" s="1"/>
  <c r="EA568" i="14"/>
  <c r="EB568" i="14" s="1"/>
  <c r="EC567" i="14"/>
  <c r="CT566" i="14"/>
  <c r="CR567" i="14"/>
  <c r="CS567" i="14" s="1"/>
  <c r="CC255" i="14"/>
  <c r="CD255" i="14" s="1"/>
  <c r="CH652" i="14"/>
  <c r="CI652" i="14" s="1"/>
  <c r="CJ651" i="14"/>
  <c r="EH123" i="14"/>
  <c r="EF124" i="14"/>
  <c r="EG124" i="14" s="1"/>
  <c r="EA351" i="14"/>
  <c r="EB351" i="14" s="1"/>
  <c r="EC350" i="14"/>
  <c r="DD291" i="14"/>
  <c r="DB292" i="14"/>
  <c r="DC292" i="14" s="1"/>
  <c r="CT530" i="14"/>
  <c r="CR531" i="14"/>
  <c r="CS531" i="14" s="1"/>
  <c r="EA423" i="14"/>
  <c r="EB423" i="14" s="1"/>
  <c r="EC422" i="14"/>
  <c r="CC99" i="14"/>
  <c r="CD99" i="14" s="1"/>
  <c r="CY482" i="14"/>
  <c r="CW483" i="14"/>
  <c r="CX483" i="14" s="1"/>
  <c r="DQ327" i="14"/>
  <c r="DR327" i="14" s="1"/>
  <c r="DS326" i="14"/>
  <c r="EH207" i="14"/>
  <c r="EF208" i="14"/>
  <c r="EG208" i="14" s="1"/>
  <c r="EC146" i="14"/>
  <c r="EA147" i="14"/>
  <c r="EB147" i="14" s="1"/>
  <c r="DS303" i="14"/>
  <c r="DQ304" i="14"/>
  <c r="DR304" i="14" s="1"/>
  <c r="DQ184" i="14"/>
  <c r="DR184" i="14" s="1"/>
  <c r="DS183" i="14"/>
  <c r="CR112" i="14"/>
  <c r="CS112" i="14" s="1"/>
  <c r="CT111" i="14"/>
  <c r="CY506" i="14"/>
  <c r="CW507" i="14"/>
  <c r="CX507" i="14" s="1"/>
  <c r="EH567" i="14"/>
  <c r="EF568" i="14"/>
  <c r="EG568" i="14" s="1"/>
  <c r="CM652" i="14"/>
  <c r="CN652" i="14" s="1"/>
  <c r="CO651" i="14"/>
  <c r="DX530" i="14"/>
  <c r="DV531" i="14"/>
  <c r="DW531" i="14" s="1"/>
  <c r="CJ171" i="14"/>
  <c r="CH172" i="14"/>
  <c r="CI172" i="14" s="1"/>
  <c r="CR364" i="14"/>
  <c r="CS364" i="14" s="1"/>
  <c r="CT363" i="14"/>
  <c r="CR160" i="14"/>
  <c r="CS160" i="14" s="1"/>
  <c r="CT159" i="14"/>
  <c r="DB675" i="14"/>
  <c r="DC675" i="14" s="1"/>
  <c r="DD674" i="14"/>
  <c r="DS374" i="14"/>
  <c r="DQ375" i="14"/>
  <c r="DR375" i="14" s="1"/>
  <c r="CM543" i="14"/>
  <c r="CN543" i="14" s="1"/>
  <c r="CO542" i="14"/>
  <c r="DX339" i="14"/>
  <c r="DV340" i="14"/>
  <c r="DW340" i="14" s="1"/>
  <c r="DL436" i="14"/>
  <c r="DM436" i="14" s="1"/>
  <c r="DN435" i="14"/>
  <c r="CM352" i="14"/>
  <c r="CN352" i="14" s="1"/>
  <c r="CO351" i="14"/>
  <c r="DG135" i="14"/>
  <c r="DH135" i="14" s="1"/>
  <c r="DG639" i="14"/>
  <c r="DH639" i="14" s="1"/>
  <c r="DB136" i="14"/>
  <c r="DC136" i="14" s="1"/>
  <c r="DD135" i="14"/>
  <c r="CC111" i="14"/>
  <c r="CD111" i="14" s="1"/>
  <c r="DB280" i="14"/>
  <c r="DC280" i="14" s="1"/>
  <c r="DD279" i="14"/>
  <c r="DX302" i="14"/>
  <c r="DV303" i="14"/>
  <c r="DW303" i="14" s="1"/>
  <c r="CM340" i="14"/>
  <c r="CN340" i="14" s="1"/>
  <c r="CO339" i="14"/>
  <c r="CC219" i="14"/>
  <c r="CD219" i="14" s="1"/>
  <c r="CW196" i="14"/>
  <c r="CX196" i="14" s="1"/>
  <c r="CY195" i="14"/>
  <c r="DS578" i="14"/>
  <c r="DQ579" i="14"/>
  <c r="DR579" i="14" s="1"/>
  <c r="DX363" i="14"/>
  <c r="DV364" i="14"/>
  <c r="DW364" i="14" s="1"/>
  <c r="CR279" i="14"/>
  <c r="CS279" i="14" s="1"/>
  <c r="CT278" i="14"/>
  <c r="CW87" i="14"/>
  <c r="CX87" i="14" s="1"/>
  <c r="CY86" i="14"/>
  <c r="CC603" i="14"/>
  <c r="CD603" i="14" s="1"/>
  <c r="CJ470" i="14"/>
  <c r="CH471" i="14"/>
  <c r="CI471" i="14" s="1"/>
  <c r="DG543" i="14"/>
  <c r="DH543" i="14" s="1"/>
  <c r="DQ363" i="14"/>
  <c r="DR363" i="14" s="1"/>
  <c r="DS362" i="14"/>
  <c r="EC590" i="14"/>
  <c r="EA591" i="14"/>
  <c r="EB591" i="14" s="1"/>
  <c r="DB328" i="14"/>
  <c r="DC328" i="14" s="1"/>
  <c r="DD327" i="14"/>
  <c r="CW327" i="14"/>
  <c r="CX327" i="14" s="1"/>
  <c r="CY326" i="14"/>
  <c r="CR400" i="14"/>
  <c r="CS400" i="14" s="1"/>
  <c r="CT399" i="14"/>
  <c r="DG627" i="14"/>
  <c r="DH627" i="14" s="1"/>
  <c r="EF328" i="14"/>
  <c r="EG328" i="14" s="1"/>
  <c r="EH327" i="14"/>
  <c r="DG231" i="14"/>
  <c r="DH231" i="14" s="1"/>
  <c r="DN638" i="14"/>
  <c r="DL639" i="14"/>
  <c r="DM639" i="14" s="1"/>
  <c r="CJ410" i="14"/>
  <c r="CH411" i="14"/>
  <c r="CI411" i="14" s="1"/>
  <c r="CY243" i="14"/>
  <c r="CW244" i="14"/>
  <c r="CX244" i="14" s="1"/>
  <c r="CR639" i="14"/>
  <c r="CS639" i="14" s="1"/>
  <c r="CT638" i="14"/>
  <c r="DV544" i="14"/>
  <c r="DW544" i="14" s="1"/>
  <c r="DX543" i="14"/>
  <c r="DX99" i="14"/>
  <c r="DV100" i="14"/>
  <c r="DW100" i="14" s="1"/>
  <c r="CR256" i="14"/>
  <c r="CS256" i="14" s="1"/>
  <c r="CT255" i="14"/>
  <c r="CH556" i="14"/>
  <c r="CI556" i="14" s="1"/>
  <c r="CJ555" i="14"/>
  <c r="DQ52" i="14"/>
  <c r="DR52" i="14" s="1"/>
  <c r="DS51" i="14"/>
  <c r="CO567" i="14"/>
  <c r="CM568" i="14"/>
  <c r="CN568" i="14" s="1"/>
  <c r="DN362" i="14"/>
  <c r="DL363" i="14"/>
  <c r="DM363" i="14" s="1"/>
  <c r="DX507" i="14"/>
  <c r="DV508" i="14"/>
  <c r="DW508" i="14" s="1"/>
  <c r="DG507" i="14"/>
  <c r="DH507" i="14" s="1"/>
  <c r="CT195" i="14"/>
  <c r="CR196" i="14"/>
  <c r="CS196" i="14" s="1"/>
  <c r="DN602" i="14"/>
  <c r="DL603" i="14"/>
  <c r="DM603" i="14" s="1"/>
  <c r="DS459" i="14"/>
  <c r="DQ460" i="14"/>
  <c r="DR460" i="14" s="1"/>
  <c r="DN50" i="14"/>
  <c r="DL51" i="14"/>
  <c r="DM51" i="14" s="1"/>
  <c r="DL220" i="14"/>
  <c r="DM220" i="14" s="1"/>
  <c r="DN219" i="14"/>
  <c r="CJ123" i="14"/>
  <c r="CH124" i="14"/>
  <c r="CI124" i="14" s="1"/>
  <c r="DG495" i="14"/>
  <c r="DH495" i="14" s="1"/>
  <c r="EC326" i="14"/>
  <c r="EA327" i="14"/>
  <c r="EB327" i="14" s="1"/>
  <c r="CC567" i="14"/>
  <c r="CD567" i="14" s="1"/>
  <c r="CM304" i="14"/>
  <c r="CN304" i="14" s="1"/>
  <c r="CO303" i="14"/>
  <c r="DQ568" i="14"/>
  <c r="DR568" i="14" s="1"/>
  <c r="DS567" i="14"/>
  <c r="DV520" i="14"/>
  <c r="DW520" i="14" s="1"/>
  <c r="DX519" i="14"/>
  <c r="DV411" i="14"/>
  <c r="DW411" i="14" s="1"/>
  <c r="DX410" i="14"/>
  <c r="DG315" i="14"/>
  <c r="DH315" i="14" s="1"/>
  <c r="DQ639" i="14"/>
  <c r="DR639" i="14" s="1"/>
  <c r="DS638" i="14"/>
  <c r="CW123" i="14"/>
  <c r="CX123" i="14" s="1"/>
  <c r="CY122" i="14"/>
  <c r="CW375" i="14"/>
  <c r="CX375" i="14" s="1"/>
  <c r="CY374" i="14"/>
  <c r="CM676" i="14"/>
  <c r="CN676" i="14" s="1"/>
  <c r="CO675" i="14"/>
  <c r="EA111" i="14"/>
  <c r="EB111" i="14" s="1"/>
  <c r="EC110" i="14"/>
  <c r="DD458" i="14"/>
  <c r="DB459" i="14"/>
  <c r="DC459" i="14" s="1"/>
  <c r="DL339" i="14"/>
  <c r="DM339" i="14" s="1"/>
  <c r="DN338" i="14"/>
  <c r="DG339" i="14"/>
  <c r="DH339" i="14" s="1"/>
  <c r="DG423" i="14"/>
  <c r="DH423" i="14" s="1"/>
  <c r="DD314" i="14"/>
  <c r="DB315" i="14"/>
  <c r="DC315" i="14" s="1"/>
  <c r="DS662" i="14"/>
  <c r="DQ663" i="14"/>
  <c r="DR663" i="14" s="1"/>
  <c r="CH136" i="14"/>
  <c r="CI136" i="14" s="1"/>
  <c r="CJ135" i="14"/>
  <c r="DQ448" i="14"/>
  <c r="DR448" i="14" s="1"/>
  <c r="DS447" i="14"/>
  <c r="CO603" i="14"/>
  <c r="CM604" i="14"/>
  <c r="CN604" i="14" s="1"/>
  <c r="CM616" i="14"/>
  <c r="CN616" i="14" s="1"/>
  <c r="CO615" i="14"/>
  <c r="CO518" i="14"/>
  <c r="CM519" i="14"/>
  <c r="CN519" i="14" s="1"/>
  <c r="EH471" i="14"/>
  <c r="EF472" i="14"/>
  <c r="EG472" i="14" s="1"/>
  <c r="DS411" i="14"/>
  <c r="DQ412" i="14"/>
  <c r="DR412" i="14" s="1"/>
  <c r="CT290" i="14"/>
  <c r="CR291" i="14"/>
  <c r="CS291" i="14" s="1"/>
  <c r="CH207" i="14"/>
  <c r="CI207" i="14" s="1"/>
  <c r="CJ206" i="14"/>
  <c r="CC447" i="14"/>
  <c r="CD447" i="14" s="1"/>
  <c r="CH628" i="14"/>
  <c r="CI628" i="14" s="1"/>
  <c r="CJ627" i="14"/>
  <c r="CH267" i="14"/>
  <c r="CI267" i="14" s="1"/>
  <c r="CJ266" i="14"/>
  <c r="CR88" i="14"/>
  <c r="CS88" i="14" s="1"/>
  <c r="CT87" i="14"/>
  <c r="CT554" i="14"/>
  <c r="CR555" i="14"/>
  <c r="CS555" i="14" s="1"/>
  <c r="DB87" i="14"/>
  <c r="DC87" i="14" s="1"/>
  <c r="DD86" i="14"/>
  <c r="DB364" i="14"/>
  <c r="DC364" i="14" s="1"/>
  <c r="DD363" i="14"/>
  <c r="EH447" i="14"/>
  <c r="EF448" i="14"/>
  <c r="EG448" i="14" s="1"/>
  <c r="CO158" i="14"/>
  <c r="CM159" i="14"/>
  <c r="CN159" i="14" s="1"/>
  <c r="CO63" i="14"/>
  <c r="CM64" i="14"/>
  <c r="CN64" i="14" s="1"/>
  <c r="DG399" i="14"/>
  <c r="DH399" i="14" s="1"/>
  <c r="CR496" i="14"/>
  <c r="CS496" i="14" s="1"/>
  <c r="CT495" i="14"/>
  <c r="CO290" i="14"/>
  <c r="CM291" i="14"/>
  <c r="CN291" i="14" s="1"/>
  <c r="EF663" i="14"/>
  <c r="EG663" i="14" s="1"/>
  <c r="EH662" i="14"/>
  <c r="CH52" i="14"/>
  <c r="CI52" i="14" s="1"/>
  <c r="CJ51" i="14"/>
  <c r="DN519" i="14"/>
  <c r="DL520" i="14"/>
  <c r="DM520" i="14" s="1"/>
  <c r="CY399" i="14"/>
  <c r="CW400" i="14"/>
  <c r="CX400" i="14" s="1"/>
  <c r="DX663" i="14"/>
  <c r="DV664" i="14"/>
  <c r="DW664" i="14" s="1"/>
  <c r="EC194" i="14"/>
  <c r="EA195" i="14"/>
  <c r="EB195" i="14" s="1"/>
  <c r="EC51" i="14"/>
  <c r="EA52" i="14"/>
  <c r="EB52" i="14" s="1"/>
  <c r="CC675" i="14"/>
  <c r="CD675" i="14" s="1"/>
  <c r="CC495" i="14"/>
  <c r="CD495" i="14" s="1"/>
  <c r="DL496" i="14"/>
  <c r="DM496" i="14" s="1"/>
  <c r="DN495" i="14"/>
  <c r="CY494" i="14"/>
  <c r="CW495" i="14"/>
  <c r="CX495" i="14" s="1"/>
  <c r="DV220" i="14"/>
  <c r="DW220" i="14" s="1"/>
  <c r="DX219" i="14"/>
  <c r="CT542" i="14"/>
  <c r="CR543" i="14"/>
  <c r="CS543" i="14" s="1"/>
  <c r="CW231" i="14"/>
  <c r="CX231" i="14" s="1"/>
  <c r="CY230" i="14"/>
  <c r="EA616" i="14"/>
  <c r="EB616" i="14" s="1"/>
  <c r="EC615" i="14"/>
  <c r="CR172" i="14"/>
  <c r="CS172" i="14" s="1"/>
  <c r="CT171" i="14"/>
  <c r="DG255" i="14"/>
  <c r="DH255" i="14" s="1"/>
  <c r="CC543" i="14"/>
  <c r="CD543" i="14" s="1"/>
  <c r="EH267" i="14"/>
  <c r="EF268" i="14"/>
  <c r="EG268" i="14" s="1"/>
  <c r="CC435" i="14"/>
  <c r="CD435" i="14" s="1"/>
  <c r="CY134" i="14"/>
  <c r="CW135" i="14"/>
  <c r="CX135" i="14" s="1"/>
  <c r="EC507" i="14"/>
  <c r="EA508" i="14"/>
  <c r="EB508" i="14" s="1"/>
  <c r="EC218" i="14"/>
  <c r="EA219" i="14"/>
  <c r="EB219" i="14" s="1"/>
  <c r="DX71" i="14"/>
  <c r="CC651" i="14"/>
  <c r="CD651" i="14" s="1"/>
  <c r="DX110" i="14"/>
  <c r="DV111" i="14"/>
  <c r="DW111" i="14" s="1"/>
  <c r="CH399" i="14"/>
  <c r="CI399" i="14" s="1"/>
  <c r="CJ398" i="14"/>
  <c r="CR472" i="14"/>
  <c r="CS472" i="14" s="1"/>
  <c r="CT471" i="14"/>
  <c r="DL292" i="14"/>
  <c r="DM292" i="14" s="1"/>
  <c r="DN291" i="14"/>
  <c r="CW436" i="14"/>
  <c r="CX436" i="14" s="1"/>
  <c r="CY435" i="14"/>
  <c r="CC351" i="14"/>
  <c r="CD351" i="14" s="1"/>
  <c r="EH315" i="14"/>
  <c r="EF316" i="14"/>
  <c r="EG316" i="14" s="1"/>
  <c r="CW604" i="14"/>
  <c r="CX604" i="14" s="1"/>
  <c r="CY603" i="14"/>
  <c r="CW184" i="14"/>
  <c r="CX184" i="14" s="1"/>
  <c r="CY183" i="14"/>
  <c r="CT62" i="14"/>
  <c r="CR63" i="14"/>
  <c r="CS63" i="14" s="1"/>
  <c r="CC123" i="14"/>
  <c r="CD123" i="14" s="1"/>
  <c r="EA123" i="14"/>
  <c r="EB123" i="14" s="1"/>
  <c r="EC122" i="14"/>
  <c r="CR483" i="14"/>
  <c r="CS483" i="14" s="1"/>
  <c r="CT482" i="14"/>
  <c r="CC279" i="14"/>
  <c r="CD279" i="14" s="1"/>
  <c r="EF423" i="14"/>
  <c r="EG423" i="14" s="1"/>
  <c r="EH422" i="14"/>
  <c r="DX63" i="14"/>
  <c r="DV64" i="14"/>
  <c r="DW64" i="14" s="1"/>
  <c r="CH87" i="14"/>
  <c r="CI87" i="14" s="1"/>
  <c r="CJ86" i="14"/>
  <c r="DQ592" i="14"/>
  <c r="DR592" i="14" s="1"/>
  <c r="DS591" i="14"/>
  <c r="CJ675" i="14"/>
  <c r="CH676" i="14"/>
  <c r="CI676" i="14" s="1"/>
  <c r="CC303" i="14"/>
  <c r="CD303" i="14" s="1"/>
  <c r="DG63" i="14"/>
  <c r="DH63" i="14" s="1"/>
  <c r="CW639" i="14"/>
  <c r="CX639" i="14" s="1"/>
  <c r="CY638" i="14"/>
  <c r="DV604" i="14"/>
  <c r="DW604" i="14" s="1"/>
  <c r="DX603" i="14"/>
  <c r="DD603" i="14"/>
  <c r="DB604" i="14"/>
  <c r="DC604" i="14" s="1"/>
  <c r="DS314" i="14"/>
  <c r="DQ315" i="14"/>
  <c r="DR315" i="14" s="1"/>
  <c r="CJ375" i="14"/>
  <c r="CH376" i="14"/>
  <c r="CI376" i="14" s="1"/>
  <c r="CH664" i="14"/>
  <c r="CI664" i="14" s="1"/>
  <c r="CJ663" i="14"/>
  <c r="CC615" i="14"/>
  <c r="CD615" i="14" s="1"/>
  <c r="EH254" i="14"/>
  <c r="EF255" i="14"/>
  <c r="EG255" i="14" s="1"/>
  <c r="CT183" i="14"/>
  <c r="CR184" i="14"/>
  <c r="CS184" i="14" s="1"/>
  <c r="CH112" i="14"/>
  <c r="CI112" i="14" s="1"/>
  <c r="CJ111" i="14"/>
  <c r="EH194" i="14"/>
  <c r="EF195" i="14"/>
  <c r="EG195" i="14" s="1"/>
  <c r="CJ482" i="14"/>
  <c r="CH483" i="14"/>
  <c r="CI483" i="14" s="1"/>
  <c r="CT375" i="14"/>
  <c r="CR376" i="14"/>
  <c r="CS376" i="14" s="1"/>
  <c r="EC135" i="14"/>
  <c r="EA136" i="14"/>
  <c r="EB136" i="14" s="1"/>
  <c r="DQ256" i="14"/>
  <c r="DR256" i="14" s="1"/>
  <c r="DS255" i="14"/>
  <c r="EA627" i="14"/>
  <c r="EB627" i="14" s="1"/>
  <c r="EC626" i="14"/>
  <c r="CT662" i="14"/>
  <c r="CR663" i="14"/>
  <c r="CS663" i="14" s="1"/>
  <c r="DQ339" i="14"/>
  <c r="DR339" i="14" s="1"/>
  <c r="DS338" i="14"/>
  <c r="DB207" i="14"/>
  <c r="DC207" i="14" s="1"/>
  <c r="DD206" i="14"/>
  <c r="CC471" i="14"/>
  <c r="CD471" i="14" s="1"/>
  <c r="EA339" i="14"/>
  <c r="EB339" i="14" s="1"/>
  <c r="EC338" i="14"/>
  <c r="CC519" i="14"/>
  <c r="CD519" i="14" s="1"/>
  <c r="EH218" i="14"/>
  <c r="EF219" i="14"/>
  <c r="EG219" i="14" s="1"/>
  <c r="EF616" i="14"/>
  <c r="EG616" i="14" s="1"/>
  <c r="EH615" i="14"/>
  <c r="CM580" i="14"/>
  <c r="CN580" i="14" s="1"/>
  <c r="CO579" i="14"/>
  <c r="DD182" i="14"/>
  <c r="DB183" i="14"/>
  <c r="DC183" i="14" s="1"/>
  <c r="DG387" i="14"/>
  <c r="DH387" i="14" s="1"/>
  <c r="EH51" i="14"/>
  <c r="EF52" i="14"/>
  <c r="EG52" i="14" s="1"/>
  <c r="DL171" i="14"/>
  <c r="DM171" i="14" s="1"/>
  <c r="DN170" i="14"/>
  <c r="CH291" i="14"/>
  <c r="CI291" i="14" s="1"/>
  <c r="CJ290" i="14"/>
  <c r="DG555" i="14"/>
  <c r="DH555" i="14" s="1"/>
  <c r="CO554" i="14"/>
  <c r="CM555" i="14"/>
  <c r="CN555" i="14" s="1"/>
  <c r="CT122" i="14"/>
  <c r="CR123" i="14"/>
  <c r="CS123" i="14" s="1"/>
  <c r="CO327" i="14"/>
  <c r="CM328" i="14"/>
  <c r="CN328" i="14" s="1"/>
  <c r="CC231" i="14"/>
  <c r="CD231" i="14" s="1"/>
  <c r="DV255" i="14"/>
  <c r="DW255" i="14" s="1"/>
  <c r="DX254" i="14"/>
  <c r="DB160" i="14"/>
  <c r="DC160" i="14" s="1"/>
  <c r="DD159" i="14"/>
  <c r="DG195" i="14"/>
  <c r="DH195" i="14" s="1"/>
  <c r="DB123" i="14"/>
  <c r="DC123" i="14" s="1"/>
  <c r="DD122" i="14"/>
  <c r="DS63" i="14"/>
  <c r="DQ64" i="14"/>
  <c r="DR64" i="14" s="1"/>
  <c r="CJ446" i="14"/>
  <c r="CH447" i="14"/>
  <c r="CI447" i="14" s="1"/>
  <c r="CC327" i="14"/>
  <c r="CD327" i="14" s="1"/>
  <c r="DV243" i="14"/>
  <c r="DW243" i="14" s="1"/>
  <c r="DX242" i="14"/>
  <c r="CW268" i="14"/>
  <c r="CX268" i="14" s="1"/>
  <c r="CY267" i="14"/>
  <c r="DL555" i="14"/>
  <c r="DM555" i="14" s="1"/>
  <c r="DN554" i="14"/>
  <c r="DX134" i="14"/>
  <c r="DV135" i="14"/>
  <c r="DW135" i="14" s="1"/>
  <c r="DQ244" i="14"/>
  <c r="DR244" i="14" s="1"/>
  <c r="DS243" i="14"/>
  <c r="DG243" i="14"/>
  <c r="DH243" i="14" s="1"/>
  <c r="DV459" i="14"/>
  <c r="DW459" i="14" s="1"/>
  <c r="DX458" i="14"/>
  <c r="EC459" i="14"/>
  <c r="EA460" i="14"/>
  <c r="EB460" i="14" s="1"/>
  <c r="CM148" i="14"/>
  <c r="CN148" i="14" s="1"/>
  <c r="CO147" i="14"/>
  <c r="DG531" i="14"/>
  <c r="DH531" i="14" s="1"/>
  <c r="EA387" i="14"/>
  <c r="EB387" i="14" s="1"/>
  <c r="EC386" i="14"/>
  <c r="DG651" i="14"/>
  <c r="DH651" i="14" s="1"/>
  <c r="DQ496" i="14"/>
  <c r="DR496" i="14" s="1"/>
  <c r="DS495" i="14"/>
  <c r="CC627" i="14"/>
  <c r="CD627" i="14" s="1"/>
  <c r="DX291" i="14"/>
  <c r="DV292" i="14"/>
  <c r="DW292" i="14" s="1"/>
  <c r="CH508" i="14"/>
  <c r="CI508" i="14" s="1"/>
  <c r="CJ507" i="14"/>
  <c r="EC291" i="14"/>
  <c r="EA292" i="14"/>
  <c r="EB292" i="14" s="1"/>
  <c r="DX194" i="14"/>
  <c r="DV195" i="14"/>
  <c r="DW195" i="14" s="1"/>
  <c r="DG147" i="14"/>
  <c r="DH147" i="14" s="1"/>
  <c r="DX51" i="14"/>
  <c r="DV52" i="14"/>
  <c r="DW52" i="14" s="1"/>
  <c r="DX326" i="14"/>
  <c r="DV327" i="14"/>
  <c r="DW327" i="14" s="1"/>
  <c r="DB195" i="14"/>
  <c r="DC195" i="14" s="1"/>
  <c r="DD194" i="14"/>
  <c r="DG615" i="14"/>
  <c r="DH615" i="14" s="1"/>
  <c r="CO170" i="14"/>
  <c r="CM171" i="14"/>
  <c r="CN171" i="14" s="1"/>
  <c r="DB171" i="14"/>
  <c r="DC171" i="14" s="1"/>
  <c r="DD170" i="14"/>
  <c r="DQ424" i="14"/>
  <c r="DR424" i="14" s="1"/>
  <c r="DS423" i="14"/>
  <c r="DN507" i="14"/>
  <c r="DL508" i="14"/>
  <c r="DM508" i="14" s="1"/>
  <c r="DB399" i="14"/>
  <c r="DC399" i="14" s="1"/>
  <c r="DD398" i="14"/>
  <c r="DS531" i="14"/>
  <c r="DQ532" i="14"/>
  <c r="DR532" i="14" s="1"/>
  <c r="CH603" i="14"/>
  <c r="CI603" i="14" s="1"/>
  <c r="CJ602" i="14"/>
  <c r="CO218" i="14"/>
  <c r="CM219" i="14"/>
  <c r="CN219" i="14" s="1"/>
  <c r="EC543" i="14"/>
  <c r="EA544" i="14"/>
  <c r="EB544" i="14" s="1"/>
  <c r="DG483" i="14"/>
  <c r="DH483" i="14" s="1"/>
  <c r="EA88" i="14"/>
  <c r="EB88" i="14" s="1"/>
  <c r="EC87" i="14"/>
  <c r="DS159" i="14"/>
  <c r="DQ160" i="14"/>
  <c r="DR160" i="14" s="1"/>
  <c r="DN315" i="14"/>
  <c r="DL316" i="14"/>
  <c r="DM316" i="14" s="1"/>
  <c r="DN195" i="14"/>
  <c r="DL196" i="14"/>
  <c r="DM196" i="14" s="1"/>
  <c r="DB388" i="14"/>
  <c r="DC388" i="14" s="1"/>
  <c r="DD387" i="14"/>
  <c r="CH147" i="14"/>
  <c r="CI147" i="14" s="1"/>
  <c r="CJ146" i="14"/>
  <c r="DD146" i="14"/>
  <c r="DB147" i="14"/>
  <c r="DC147" i="14" s="1"/>
  <c r="DN458" i="14"/>
  <c r="DL459" i="14"/>
  <c r="DM459" i="14" s="1"/>
  <c r="CM387" i="14"/>
  <c r="CN387" i="14" s="1"/>
  <c r="CO386" i="14"/>
  <c r="EA604" i="14"/>
  <c r="EB604" i="14" s="1"/>
  <c r="EC603" i="14"/>
  <c r="CC243" i="14"/>
  <c r="CD243" i="14" s="1"/>
  <c r="CR412" i="14"/>
  <c r="CS412" i="14" s="1"/>
  <c r="CT411" i="14"/>
  <c r="CO363" i="14"/>
  <c r="CM364" i="14"/>
  <c r="CN364" i="14" s="1"/>
  <c r="EC254" i="14"/>
  <c r="EA255" i="14"/>
  <c r="EB255" i="14" s="1"/>
  <c r="CH568" i="14"/>
  <c r="CI568" i="14" s="1"/>
  <c r="CJ567" i="14"/>
  <c r="CJ231" i="14"/>
  <c r="CH232" i="14"/>
  <c r="CI232" i="14" s="1"/>
  <c r="DX483" i="14"/>
  <c r="DV484" i="14"/>
  <c r="DW484" i="14" s="1"/>
  <c r="CO627" i="14"/>
  <c r="CM628" i="14"/>
  <c r="CN628" i="14" s="1"/>
  <c r="CY363" i="14"/>
  <c r="CW364" i="14"/>
  <c r="CX364" i="14" s="1"/>
  <c r="CR268" i="14"/>
  <c r="CS268" i="14" s="1"/>
  <c r="CT267" i="14"/>
  <c r="DG303" i="14"/>
  <c r="DH303" i="14" s="1"/>
  <c r="CM508" i="14"/>
  <c r="CN508" i="14" s="1"/>
  <c r="CO507" i="14"/>
  <c r="DB351" i="14"/>
  <c r="DC351" i="14" s="1"/>
  <c r="DD350" i="14"/>
  <c r="CR388" i="14"/>
  <c r="CS388" i="14" s="1"/>
  <c r="CT387" i="14"/>
  <c r="DN663" i="14"/>
  <c r="DL664" i="14"/>
  <c r="DM664" i="14" s="1"/>
  <c r="DG159" i="14"/>
  <c r="DH159" i="14" s="1"/>
  <c r="EH603" i="14"/>
  <c r="EF604" i="14"/>
  <c r="EG604" i="14" s="1"/>
  <c r="CJ302" i="14"/>
  <c r="CH303" i="14"/>
  <c r="CI303" i="14" s="1"/>
  <c r="DV496" i="14"/>
  <c r="DW496" i="14" s="1"/>
  <c r="DX495" i="14"/>
  <c r="EH542" i="14"/>
  <c r="EF543" i="14"/>
  <c r="EG543" i="14" s="1"/>
  <c r="CY579" i="14"/>
  <c r="CW580" i="14"/>
  <c r="CX580" i="14" s="1"/>
  <c r="CJ218" i="14"/>
  <c r="CH219" i="14"/>
  <c r="CI219" i="14" s="1"/>
  <c r="DS470" i="14"/>
  <c r="DQ471" i="14"/>
  <c r="DR471" i="14" s="1"/>
  <c r="CO231" i="14"/>
  <c r="CM232" i="14"/>
  <c r="CN232" i="14" s="1"/>
  <c r="DS267" i="14"/>
  <c r="DQ268" i="14"/>
  <c r="DR268" i="14" s="1"/>
  <c r="DX578" i="14"/>
  <c r="DV579" i="14"/>
  <c r="DW579" i="14" s="1"/>
  <c r="EA279" i="14"/>
  <c r="EB279" i="14" s="1"/>
  <c r="EC278" i="14"/>
  <c r="DL183" i="14"/>
  <c r="DM183" i="14" s="1"/>
  <c r="DN182" i="14"/>
  <c r="EC650" i="14"/>
  <c r="EA651" i="14"/>
  <c r="EB651" i="14" s="1"/>
  <c r="DS435" i="14"/>
  <c r="DQ436" i="14"/>
  <c r="DR436" i="14" s="1"/>
  <c r="DL160" i="14"/>
  <c r="DM160" i="14" s="1"/>
  <c r="DN159" i="14"/>
  <c r="DG219" i="14"/>
  <c r="DH219" i="14" s="1"/>
  <c r="CO410" i="14"/>
  <c r="CM411" i="14"/>
  <c r="CN411" i="14" s="1"/>
  <c r="EA376" i="14"/>
  <c r="EB376" i="14" s="1"/>
  <c r="EC375" i="14"/>
  <c r="CT231" i="14"/>
  <c r="CR232" i="14"/>
  <c r="CS232" i="14" s="1"/>
  <c r="EH495" i="14"/>
  <c r="EF496" i="14"/>
  <c r="EG496" i="14" s="1"/>
  <c r="DL448" i="14"/>
  <c r="DM448" i="14" s="1"/>
  <c r="DN447" i="14"/>
  <c r="CC411" i="14"/>
  <c r="CD411" i="14" s="1"/>
  <c r="DN543" i="14"/>
  <c r="DL544" i="14"/>
  <c r="DM544" i="14" s="1"/>
  <c r="EF556" i="14"/>
  <c r="EG556" i="14" s="1"/>
  <c r="EH555" i="14"/>
  <c r="CC483" i="14"/>
  <c r="CD483" i="14" s="1"/>
  <c r="CW627" i="14"/>
  <c r="CX627" i="14" s="1"/>
  <c r="CY626" i="14"/>
  <c r="DQ232" i="14"/>
  <c r="DR232" i="14" s="1"/>
  <c r="DS231" i="14"/>
  <c r="DS350" i="14"/>
  <c r="DQ351" i="14"/>
  <c r="DR351" i="14" s="1"/>
  <c r="EC446" i="14"/>
  <c r="EA447" i="14"/>
  <c r="EB447" i="14" s="1"/>
  <c r="DG171" i="14"/>
  <c r="DH171" i="14" s="1"/>
  <c r="CC135" i="14"/>
  <c r="CD135" i="14" s="1"/>
  <c r="DN530" i="14"/>
  <c r="DL531" i="14"/>
  <c r="DM531" i="14" s="1"/>
  <c r="DQ627" i="14"/>
  <c r="DR627" i="14" s="1"/>
  <c r="DS626" i="14"/>
  <c r="DV676" i="14"/>
  <c r="DW676" i="14" s="1"/>
  <c r="DX675" i="14"/>
  <c r="CH195" i="14"/>
  <c r="CI195" i="14" s="1"/>
  <c r="CJ194" i="14"/>
  <c r="CR448" i="14"/>
  <c r="CS448" i="14" s="1"/>
  <c r="CT447" i="14"/>
  <c r="CR315" i="14"/>
  <c r="CS315" i="14" s="1"/>
  <c r="CT314" i="14"/>
  <c r="DX158" i="14"/>
  <c r="DV159" i="14"/>
  <c r="DW159" i="14" s="1"/>
  <c r="DN591" i="14"/>
  <c r="DL592" i="14"/>
  <c r="DM592" i="14" s="1"/>
  <c r="DN122" i="14"/>
  <c r="DL123" i="14"/>
  <c r="DM123" i="14" s="1"/>
  <c r="EH590" i="14"/>
  <c r="EF591" i="14"/>
  <c r="EG591" i="14" s="1"/>
  <c r="CO482" i="14"/>
  <c r="CM483" i="14"/>
  <c r="CN483" i="14" s="1"/>
  <c r="CC87" i="14"/>
  <c r="CD87" i="14" s="1"/>
  <c r="DG603" i="14"/>
  <c r="DH603" i="14" s="1"/>
  <c r="CH183" i="14"/>
  <c r="CI183" i="14" s="1"/>
  <c r="CJ182" i="14"/>
  <c r="DN207" i="14"/>
  <c r="DL208" i="14"/>
  <c r="DM208" i="14" s="1"/>
  <c r="DN98" i="14"/>
  <c r="DL99" i="14"/>
  <c r="DM99" i="14" s="1"/>
  <c r="DG291" i="14"/>
  <c r="DH291" i="14" s="1"/>
  <c r="DG123" i="14"/>
  <c r="DH123" i="14" s="1"/>
  <c r="DB220" i="14"/>
  <c r="DC220" i="14" s="1"/>
  <c r="DD219" i="14"/>
  <c r="DG675" i="14"/>
  <c r="DH675" i="14" s="1"/>
  <c r="CC171" i="14"/>
  <c r="CD171" i="14" s="1"/>
  <c r="DV436" i="14"/>
  <c r="DW436" i="14" s="1"/>
  <c r="DX435" i="14"/>
  <c r="CM315" i="14"/>
  <c r="CN315" i="14" s="1"/>
  <c r="CO314" i="14"/>
  <c r="CC399" i="14"/>
  <c r="CD399" i="14" s="1"/>
  <c r="CT351" i="14"/>
  <c r="CR352" i="14"/>
  <c r="CS352" i="14" s="1"/>
  <c r="CC267" i="14"/>
  <c r="CD267" i="14" s="1"/>
  <c r="DN231" i="14"/>
  <c r="DL232" i="14"/>
  <c r="DM232" i="14" s="1"/>
  <c r="DQ123" i="14"/>
  <c r="DR123" i="14" s="1"/>
  <c r="DS122" i="14"/>
  <c r="EF243" i="14"/>
  <c r="EG243" i="14" s="1"/>
  <c r="EH242" i="14"/>
  <c r="EA64" i="14"/>
  <c r="EB64" i="14" s="1"/>
  <c r="EC63" i="14"/>
  <c r="EF580" i="14"/>
  <c r="EG580" i="14" s="1"/>
  <c r="EH579" i="14"/>
  <c r="CJ542" i="14"/>
  <c r="CH543" i="14"/>
  <c r="CI543" i="14" s="1"/>
  <c r="CY99" i="14"/>
  <c r="CW100" i="14"/>
  <c r="CX100" i="14" s="1"/>
  <c r="DB628" i="14"/>
  <c r="DC628" i="14" s="1"/>
  <c r="DD627" i="14"/>
  <c r="DB411" i="14"/>
  <c r="DC411" i="14" s="1"/>
  <c r="DD410" i="14"/>
  <c r="DQ148" i="14"/>
  <c r="DR148" i="14" s="1"/>
  <c r="DS147" i="14"/>
  <c r="CM435" i="14"/>
  <c r="CN435" i="14" s="1"/>
  <c r="CO434" i="14"/>
  <c r="CY663" i="14"/>
  <c r="CW664" i="14"/>
  <c r="CX664" i="14" s="1"/>
  <c r="DS279" i="14"/>
  <c r="DQ280" i="14"/>
  <c r="DR280" i="14" s="1"/>
  <c r="DB447" i="14"/>
  <c r="DC447" i="14" s="1"/>
  <c r="DD446" i="14"/>
  <c r="CO122" i="14"/>
  <c r="CM123" i="14"/>
  <c r="CN123" i="14" s="1"/>
  <c r="DN627" i="14"/>
  <c r="DL628" i="14"/>
  <c r="DM628" i="14" s="1"/>
  <c r="DG663" i="14"/>
  <c r="DH663" i="14" s="1"/>
  <c r="CY339" i="14"/>
  <c r="CW340" i="14"/>
  <c r="CX340" i="14" s="1"/>
  <c r="CH435" i="14"/>
  <c r="CI435" i="14" s="1"/>
  <c r="CJ434" i="14"/>
  <c r="CR520" i="14"/>
  <c r="CS520" i="14" s="1"/>
  <c r="CT519" i="14"/>
  <c r="CH591" i="14"/>
  <c r="CI591" i="14" s="1"/>
  <c r="CJ590" i="14"/>
  <c r="DN255" i="14"/>
  <c r="DL256" i="14"/>
  <c r="DM256" i="14" s="1"/>
  <c r="DB640" i="14"/>
  <c r="DC640" i="14" s="1"/>
  <c r="DD639" i="14"/>
  <c r="CM111" i="14"/>
  <c r="CN111" i="14" s="1"/>
  <c r="CO110" i="14"/>
  <c r="EF339" i="14"/>
  <c r="EG339" i="14" s="1"/>
  <c r="EH338" i="14"/>
  <c r="DL147" i="14"/>
  <c r="DM147" i="14" s="1"/>
  <c r="DN146" i="14"/>
  <c r="EF483" i="14"/>
  <c r="EG483" i="14" s="1"/>
  <c r="EH482" i="14"/>
  <c r="DB232" i="14"/>
  <c r="DC232" i="14" s="1"/>
  <c r="DD231" i="14"/>
  <c r="CC579" i="14"/>
  <c r="CD579" i="14" s="1"/>
  <c r="DG519" i="14"/>
  <c r="DH519" i="14" s="1"/>
  <c r="CM472" i="14"/>
  <c r="CN472" i="14" s="1"/>
  <c r="CO471" i="14"/>
  <c r="EF100" i="14"/>
  <c r="EG100" i="14" s="1"/>
  <c r="EH99" i="14"/>
  <c r="EH435" i="14"/>
  <c r="EF436" i="14"/>
  <c r="EG436" i="14" s="1"/>
  <c r="CH496" i="14"/>
  <c r="CI496" i="14" s="1"/>
  <c r="CJ495" i="14"/>
  <c r="CR676" i="14"/>
  <c r="CS676" i="14" s="1"/>
  <c r="CT675" i="14"/>
  <c r="DS86" i="14"/>
  <c r="DQ87" i="14"/>
  <c r="DR87" i="14" s="1"/>
  <c r="EH158" i="14"/>
  <c r="EF159" i="14"/>
  <c r="EG159" i="14" s="1"/>
  <c r="CM279" i="14"/>
  <c r="CN279" i="14" s="1"/>
  <c r="CO278" i="14"/>
  <c r="DS674" i="14"/>
  <c r="DQ675" i="14"/>
  <c r="DR675" i="14" s="1"/>
  <c r="CW543" i="14"/>
  <c r="CX543" i="14" s="1"/>
  <c r="CY542" i="14"/>
  <c r="EH291" i="14"/>
  <c r="EF292" i="14"/>
  <c r="EG292" i="14" s="1"/>
  <c r="CJ98" i="14"/>
  <c r="CH99" i="14"/>
  <c r="CI99" i="14" s="1"/>
  <c r="EH531" i="14"/>
  <c r="EF532" i="14"/>
  <c r="EG532" i="14" s="1"/>
  <c r="CY470" i="14"/>
  <c r="CW471" i="14"/>
  <c r="CX471" i="14" s="1"/>
  <c r="EC242" i="14"/>
  <c r="EA243" i="14"/>
  <c r="EB243" i="14" s="1"/>
  <c r="CC291" i="14"/>
  <c r="CD291" i="14" s="1"/>
  <c r="DS614" i="14"/>
  <c r="DQ615" i="14"/>
  <c r="DR615" i="14" s="1"/>
  <c r="DN267" i="14"/>
  <c r="DL268" i="14"/>
  <c r="DM268" i="14" s="1"/>
  <c r="CW520" i="14"/>
  <c r="CX520" i="14" s="1"/>
  <c r="CY519" i="14"/>
  <c r="CC339" i="14"/>
  <c r="CD339" i="14" s="1"/>
  <c r="DB567" i="14"/>
  <c r="DC567" i="14" s="1"/>
  <c r="DD566" i="14"/>
  <c r="DQ291" i="14"/>
  <c r="DR291" i="14" s="1"/>
  <c r="DS290" i="14"/>
  <c r="CM448" i="14"/>
  <c r="CN448" i="14" s="1"/>
  <c r="CO447" i="14"/>
  <c r="CM100" i="14"/>
  <c r="CN100" i="14" s="1"/>
  <c r="CO99" i="14"/>
  <c r="CW208" i="14"/>
  <c r="CX208" i="14" s="1"/>
  <c r="CY207" i="14"/>
  <c r="DD243" i="14"/>
  <c r="DB244" i="14"/>
  <c r="DC244" i="14" s="1"/>
  <c r="CR304" i="14"/>
  <c r="CS304" i="14" s="1"/>
  <c r="CT303" i="14"/>
  <c r="DB64" i="14"/>
  <c r="DC64" i="14" s="1"/>
  <c r="DD63" i="14"/>
  <c r="DS482" i="14"/>
  <c r="DQ483" i="14"/>
  <c r="DR483" i="14" s="1"/>
  <c r="CT626" i="14"/>
  <c r="CR627" i="14"/>
  <c r="CS627" i="14" s="1"/>
  <c r="CH532" i="14"/>
  <c r="CI532" i="14" s="1"/>
  <c r="CJ531" i="14"/>
  <c r="CH255" i="14"/>
  <c r="CI255" i="14" s="1"/>
  <c r="CJ254" i="14"/>
  <c r="EH135" i="14"/>
  <c r="EF136" i="14"/>
  <c r="EG136" i="14" s="1"/>
  <c r="CT218" i="14"/>
  <c r="CR219" i="14"/>
  <c r="CS219" i="14" s="1"/>
  <c r="DV567" i="14"/>
  <c r="DW567" i="14" s="1"/>
  <c r="DX566" i="14"/>
  <c r="DG51" i="14"/>
  <c r="DH51" i="14" s="1"/>
  <c r="CC363" i="14"/>
  <c r="CD363" i="14" s="1"/>
  <c r="CW315" i="14"/>
  <c r="CX315" i="14" s="1"/>
  <c r="CY314" i="14"/>
  <c r="DX447" i="14"/>
  <c r="DV448" i="14"/>
  <c r="DW448" i="14" s="1"/>
  <c r="DB111" i="14"/>
  <c r="DC111" i="14" s="1"/>
  <c r="DD110" i="14"/>
  <c r="CC387" i="14"/>
  <c r="CD387" i="14" s="1"/>
  <c r="DG579" i="14"/>
  <c r="DH579" i="14" s="1"/>
  <c r="EH87" i="14"/>
  <c r="EF88" i="14"/>
  <c r="EG88" i="14" s="1"/>
  <c r="CT339" i="14"/>
  <c r="CR340" i="14"/>
  <c r="CS340" i="14" s="1"/>
  <c r="CR244" i="14"/>
  <c r="CS244" i="14" s="1"/>
  <c r="CT243" i="14"/>
  <c r="CC159" i="14"/>
  <c r="CD159" i="14" s="1"/>
  <c r="DG267" i="14"/>
  <c r="DH267" i="14" s="1"/>
  <c r="DX351" i="14"/>
  <c r="DV352" i="14"/>
  <c r="DW352" i="14" s="1"/>
  <c r="CH616" i="14"/>
  <c r="CI616" i="14" s="1"/>
  <c r="CJ615" i="14"/>
  <c r="DS386" i="14"/>
  <c r="DQ387" i="14"/>
  <c r="DR387" i="14" s="1"/>
  <c r="DV591" i="14"/>
  <c r="DW591" i="14" s="1"/>
  <c r="DX590" i="14"/>
  <c r="CY279" i="14"/>
  <c r="CW280" i="14"/>
  <c r="CX280" i="14" s="1"/>
  <c r="EF460" i="14"/>
  <c r="EG460" i="14" s="1"/>
  <c r="EH459" i="14"/>
  <c r="CC315" i="14"/>
  <c r="CD315" i="14" s="1"/>
  <c r="EA472" i="14"/>
  <c r="EB472" i="14" s="1"/>
  <c r="EC471" i="14"/>
  <c r="DB51" i="14"/>
  <c r="DC51" i="14" s="1"/>
  <c r="DD50" i="14"/>
  <c r="DG459" i="14"/>
  <c r="DH459" i="14" s="1"/>
  <c r="CJ314" i="14"/>
  <c r="CH315" i="14"/>
  <c r="CI315" i="14" s="1"/>
  <c r="CR135" i="14"/>
  <c r="CS135" i="14" s="1"/>
  <c r="CT134" i="14"/>
  <c r="CJ338" i="14"/>
  <c r="CH339" i="14"/>
  <c r="CI339" i="14" s="1"/>
  <c r="CH351" i="14"/>
  <c r="CI351" i="14" s="1"/>
  <c r="CJ350" i="14"/>
  <c r="DL243" i="14"/>
  <c r="DM243" i="14" s="1"/>
  <c r="DN242" i="14"/>
  <c r="EC230" i="14"/>
  <c r="EA231" i="14"/>
  <c r="EB231" i="14" s="1"/>
  <c r="DB580" i="14"/>
  <c r="DC580" i="14" s="1"/>
  <c r="DD579" i="14"/>
  <c r="DD555" i="14"/>
  <c r="DB556" i="14"/>
  <c r="DC556" i="14" s="1"/>
  <c r="EH626" i="14"/>
  <c r="EF627" i="14"/>
  <c r="EG627" i="14" s="1"/>
  <c r="DD507" i="14"/>
  <c r="DB508" i="14"/>
  <c r="DC508" i="14" s="1"/>
  <c r="CT147" i="14"/>
  <c r="CR148" i="14"/>
  <c r="CS148" i="14" s="1"/>
  <c r="DS543" i="14"/>
  <c r="DQ544" i="14"/>
  <c r="DR544" i="14" s="1"/>
  <c r="DX230" i="14"/>
  <c r="DV231" i="14"/>
  <c r="DW231" i="14" s="1"/>
  <c r="DX399" i="14"/>
  <c r="DV400" i="14"/>
  <c r="DW400" i="14" s="1"/>
  <c r="DL471" i="14"/>
  <c r="DM471" i="14" s="1"/>
  <c r="DN470" i="14"/>
  <c r="DV639" i="14"/>
  <c r="DW639" i="14" s="1"/>
  <c r="DX638" i="14"/>
  <c r="DG363" i="14"/>
  <c r="DH363" i="14" s="1"/>
  <c r="DN483" i="14"/>
  <c r="DL484" i="14"/>
  <c r="DM484" i="14" s="1"/>
  <c r="DV124" i="14"/>
  <c r="DW124" i="14" s="1"/>
  <c r="DX123" i="14"/>
  <c r="CC555" i="14"/>
  <c r="CD555" i="14" s="1"/>
  <c r="DX627" i="14"/>
  <c r="DV628" i="14"/>
  <c r="DW628" i="14" s="1"/>
  <c r="EH278" i="14"/>
  <c r="EF279" i="14"/>
  <c r="EG279" i="14" s="1"/>
  <c r="EF507" i="14"/>
  <c r="EG507" i="14" s="1"/>
  <c r="EH506" i="14"/>
  <c r="DB471" i="14"/>
  <c r="DC471" i="14" s="1"/>
  <c r="DD470" i="14"/>
  <c r="CY62" i="14"/>
  <c r="CW63" i="14"/>
  <c r="CX63" i="14" s="1"/>
  <c r="DV184" i="14"/>
  <c r="DW184" i="14" s="1"/>
  <c r="DX183" i="14"/>
  <c r="EA303" i="14"/>
  <c r="EB303" i="14" s="1"/>
  <c r="EC302" i="14"/>
  <c r="CM136" i="14"/>
  <c r="CN136" i="14" s="1"/>
  <c r="CO135" i="14"/>
  <c r="CM244" i="14"/>
  <c r="CN244" i="14" s="1"/>
  <c r="CO243" i="14"/>
  <c r="CC375" i="14"/>
  <c r="CD375" i="14" s="1"/>
  <c r="CY530" i="14"/>
  <c r="CW531" i="14"/>
  <c r="CX531" i="14" s="1"/>
  <c r="CR615" i="14"/>
  <c r="CS615" i="14" s="1"/>
  <c r="CT614" i="14"/>
  <c r="EH674" i="14"/>
  <c r="EF675" i="14"/>
  <c r="EG675" i="14" s="1"/>
  <c r="DG435" i="14"/>
  <c r="DH435" i="14" s="1"/>
  <c r="EF652" i="14"/>
  <c r="EG652" i="14" s="1"/>
  <c r="EH651" i="14"/>
  <c r="CY651" i="14"/>
  <c r="CW652" i="14"/>
  <c r="CX652" i="14" s="1"/>
  <c r="DB651" i="14"/>
  <c r="DC651" i="14" s="1"/>
  <c r="DD650" i="14"/>
  <c r="EC638" i="14"/>
  <c r="EA639" i="14"/>
  <c r="EB639" i="14" s="1"/>
  <c r="CC531" i="14"/>
  <c r="CD531" i="14" s="1"/>
  <c r="CW304" i="14"/>
  <c r="CX304" i="14" s="1"/>
  <c r="CY303" i="14"/>
  <c r="CM208" i="14"/>
  <c r="CN208" i="14" s="1"/>
  <c r="CO207" i="14"/>
  <c r="EH182" i="14"/>
  <c r="EF183" i="14"/>
  <c r="EG183" i="14" s="1"/>
  <c r="CJ363" i="14"/>
  <c r="CH364" i="14"/>
  <c r="CI364" i="14" s="1"/>
  <c r="DN278" i="14"/>
  <c r="DL279" i="14"/>
  <c r="DM279" i="14" s="1"/>
  <c r="DS398" i="14"/>
  <c r="DQ399" i="14"/>
  <c r="DR399" i="14" s="1"/>
  <c r="CO531" i="14"/>
  <c r="CM532" i="14"/>
  <c r="CN532" i="14" s="1"/>
  <c r="CC207" i="14"/>
  <c r="CD207" i="14" s="1"/>
  <c r="DL88" i="14"/>
  <c r="DM88" i="14" s="1"/>
  <c r="DN87" i="14"/>
  <c r="DG99" i="14"/>
  <c r="DH99" i="14" s="1"/>
  <c r="CH160" i="14"/>
  <c r="CI160" i="14" s="1"/>
  <c r="CJ159" i="14"/>
  <c r="DG111" i="14"/>
  <c r="DH111" i="14" s="1"/>
  <c r="CY614" i="14"/>
  <c r="CW615" i="14"/>
  <c r="CX615" i="14" s="1"/>
  <c r="DD530" i="14"/>
  <c r="DB531" i="14"/>
  <c r="DC531" i="14" s="1"/>
  <c r="CH639" i="14"/>
  <c r="CI639" i="14" s="1"/>
  <c r="CJ638" i="14"/>
  <c r="DS507" i="14"/>
  <c r="DQ508" i="14"/>
  <c r="DR508" i="14" s="1"/>
  <c r="CH459" i="14"/>
  <c r="CI459" i="14" s="1"/>
  <c r="CJ458" i="14"/>
  <c r="DG207" i="14"/>
  <c r="DH207" i="14" s="1"/>
  <c r="EA208" i="14"/>
  <c r="EB208" i="14" s="1"/>
  <c r="EC207" i="14"/>
  <c r="DV87" i="14"/>
  <c r="DW87" i="14" s="1"/>
  <c r="DX86" i="14"/>
  <c r="CC591" i="14"/>
  <c r="CD591" i="14" s="1"/>
  <c r="DG447" i="14"/>
  <c r="DH447" i="14" s="1"/>
  <c r="CW160" i="14"/>
  <c r="CX160" i="14" s="1"/>
  <c r="CY159" i="14"/>
  <c r="CJ579" i="14"/>
  <c r="CH580" i="14"/>
  <c r="CI580" i="14" s="1"/>
  <c r="CT651" i="14"/>
  <c r="CR652" i="14"/>
  <c r="CS652" i="14" s="1"/>
  <c r="CW556" i="14"/>
  <c r="CX556" i="14" s="1"/>
  <c r="CY555" i="14"/>
  <c r="EF303" i="14"/>
  <c r="EG303" i="14" s="1"/>
  <c r="EH302" i="14"/>
  <c r="EF375" i="14"/>
  <c r="EG375" i="14" s="1"/>
  <c r="EH374" i="14"/>
  <c r="CY674" i="14"/>
  <c r="CW675" i="14"/>
  <c r="CX675" i="14" s="1"/>
  <c r="DD663" i="14"/>
  <c r="DB664" i="14"/>
  <c r="DC664" i="14" s="1"/>
  <c r="EC267" i="14"/>
  <c r="EA268" i="14"/>
  <c r="EB268" i="14" s="1"/>
  <c r="CH424" i="14"/>
  <c r="CI424" i="14" s="1"/>
  <c r="CJ423" i="14"/>
  <c r="DL376" i="14"/>
  <c r="DM376" i="14" s="1"/>
  <c r="DN375" i="14"/>
  <c r="CW291" i="14"/>
  <c r="CX291" i="14" s="1"/>
  <c r="CY290" i="14"/>
  <c r="CO591" i="14"/>
  <c r="CM592" i="14"/>
  <c r="CN592" i="14" s="1"/>
  <c r="DS603" i="14"/>
  <c r="DQ604" i="14"/>
  <c r="DR604" i="14" s="1"/>
  <c r="DX386" i="14"/>
  <c r="DV387" i="14"/>
  <c r="DW387" i="14" s="1"/>
  <c r="DL580" i="14"/>
  <c r="DM580" i="14" s="1"/>
  <c r="DN579" i="14"/>
  <c r="DS98" i="14"/>
  <c r="DQ99" i="14"/>
  <c r="DR99" i="14" s="1"/>
  <c r="CM52" i="14"/>
  <c r="CN52" i="14" s="1"/>
  <c r="CO51" i="14"/>
  <c r="CY219" i="14"/>
  <c r="CW220" i="14"/>
  <c r="CX220" i="14" s="1"/>
  <c r="DG351" i="14"/>
  <c r="DH351" i="14" s="1"/>
  <c r="DQ519" i="14"/>
  <c r="DR519" i="14" s="1"/>
  <c r="DS518" i="14"/>
  <c r="DB543" i="14"/>
  <c r="DC543" i="14" s="1"/>
  <c r="DD542" i="14"/>
  <c r="EF363" i="14"/>
  <c r="EG363" i="14" s="1"/>
  <c r="EH362" i="14"/>
  <c r="DV172" i="14"/>
  <c r="DW172" i="14" s="1"/>
  <c r="DX171" i="14"/>
  <c r="EC674" i="14"/>
  <c r="EA675" i="14"/>
  <c r="EB675" i="14" s="1"/>
  <c r="EF388" i="14"/>
  <c r="EG388" i="14" s="1"/>
  <c r="EH387" i="14"/>
  <c r="CY170" i="14"/>
  <c r="CW171" i="14"/>
  <c r="CX171" i="14" s="1"/>
  <c r="DL651" i="14"/>
  <c r="DM651" i="14" s="1"/>
  <c r="DN650" i="14"/>
  <c r="CT423" i="14"/>
  <c r="CR424" i="14"/>
  <c r="CS424" i="14" s="1"/>
  <c r="DX266" i="14"/>
  <c r="DV267" i="14"/>
  <c r="DW267" i="14" s="1"/>
  <c r="CJ518" i="14"/>
  <c r="CH519" i="14"/>
  <c r="CI519" i="14" s="1"/>
  <c r="DV279" i="14"/>
  <c r="DW279" i="14" s="1"/>
  <c r="DX278" i="14"/>
  <c r="EF63" i="14"/>
  <c r="EG63" i="14" s="1"/>
  <c r="EH62" i="14"/>
  <c r="DG183" i="14"/>
  <c r="DH183" i="14" s="1"/>
  <c r="DX555" i="14"/>
  <c r="DV556" i="14"/>
  <c r="DW556" i="14" s="1"/>
  <c r="DG411" i="14"/>
  <c r="DH411" i="14" s="1"/>
  <c r="CO458" i="14"/>
  <c r="CM459" i="14"/>
  <c r="CN459" i="14" s="1"/>
  <c r="EC494" i="14"/>
  <c r="EA495" i="14"/>
  <c r="EB495" i="14" s="1"/>
  <c r="EA99" i="14"/>
  <c r="EB99" i="14" s="1"/>
  <c r="EC98" i="14"/>
  <c r="EC183" i="14"/>
  <c r="EA184" i="14"/>
  <c r="EB184" i="14" s="1"/>
  <c r="DB435" i="14"/>
  <c r="DC435" i="14" s="1"/>
  <c r="DD434" i="14"/>
  <c r="DG327" i="14"/>
  <c r="DH327" i="14" s="1"/>
  <c r="CW352" i="14"/>
  <c r="CX352" i="14" s="1"/>
  <c r="CY351" i="14"/>
  <c r="CC195" i="14"/>
  <c r="CD195" i="14" s="1"/>
  <c r="CT602" i="14"/>
  <c r="CR603" i="14"/>
  <c r="CS603" i="14" s="1"/>
  <c r="EF399" i="14"/>
  <c r="EG399" i="14" s="1"/>
  <c r="EH398" i="14"/>
  <c r="EC411" i="14"/>
  <c r="EA412" i="14"/>
  <c r="EB412" i="14" s="1"/>
  <c r="DL351" i="14"/>
  <c r="DM351" i="14" s="1"/>
  <c r="DN350" i="14"/>
  <c r="CJ327" i="14"/>
  <c r="CH328" i="14"/>
  <c r="CI328" i="14" s="1"/>
  <c r="DD98" i="14"/>
  <c r="DB99" i="14"/>
  <c r="DC99" i="14" s="1"/>
  <c r="EC483" i="14"/>
  <c r="EA484" i="14"/>
  <c r="EB484" i="14" s="1"/>
  <c r="CW424" i="14"/>
  <c r="CX424" i="14" s="1"/>
  <c r="CY423" i="14"/>
  <c r="CC63" i="14"/>
  <c r="CD63" i="14" s="1"/>
  <c r="DL400" i="14"/>
  <c r="DM400" i="14" s="1"/>
  <c r="DN399" i="14"/>
  <c r="CO399" i="14"/>
  <c r="CM400" i="14"/>
  <c r="CN400" i="14" s="1"/>
  <c r="EH411" i="14"/>
  <c r="EF412" i="14"/>
  <c r="EG412" i="14" s="1"/>
  <c r="DG591" i="14"/>
  <c r="DH591" i="14" s="1"/>
  <c r="EA364" i="14"/>
  <c r="EB364" i="14" s="1"/>
  <c r="EC363" i="14"/>
  <c r="DL327" i="14"/>
  <c r="DM327" i="14" s="1"/>
  <c r="DN326" i="14"/>
  <c r="CT578" i="14"/>
  <c r="CR579" i="14"/>
  <c r="CS579" i="14" s="1"/>
  <c r="DD590" i="14"/>
  <c r="DB591" i="14"/>
  <c r="DC591" i="14" s="1"/>
  <c r="DB495" i="14"/>
  <c r="DC495" i="14" s="1"/>
  <c r="DD494" i="14"/>
  <c r="DB519" i="14"/>
  <c r="DC519" i="14" s="1"/>
  <c r="DD518" i="14"/>
  <c r="CR51" i="14"/>
  <c r="CS51" i="14" s="1"/>
  <c r="CT50" i="14"/>
  <c r="CJ243" i="14"/>
  <c r="CH244" i="14"/>
  <c r="CI244" i="14" s="1"/>
  <c r="DN423" i="14"/>
  <c r="DL424" i="14"/>
  <c r="DM424" i="14" s="1"/>
  <c r="CC51" i="14"/>
  <c r="CD51" i="14" s="1"/>
  <c r="EA519" i="14"/>
  <c r="EB519" i="14" s="1"/>
  <c r="EC518" i="14"/>
  <c r="EC71" i="14"/>
  <c r="CR72" i="14"/>
  <c r="CS72" i="14" s="1"/>
  <c r="CR73" i="14" s="1"/>
  <c r="CS73" i="14" s="1"/>
  <c r="CM72" i="14"/>
  <c r="CN72" i="14" s="1"/>
  <c r="CM73" i="14" s="1"/>
  <c r="CN73" i="14" s="1"/>
  <c r="DD71" i="14"/>
  <c r="CJ71" i="14"/>
  <c r="DN71" i="14"/>
  <c r="DQ72" i="14"/>
  <c r="DR72" i="14" s="1"/>
  <c r="DQ73" i="14" s="1"/>
  <c r="DR73" i="14" s="1"/>
  <c r="CE72" i="14"/>
  <c r="DI72" i="14"/>
  <c r="DD72" i="14"/>
  <c r="DB73" i="14"/>
  <c r="DC73" i="14" s="1"/>
  <c r="DV73" i="14"/>
  <c r="DW73" i="14" s="1"/>
  <c r="DX72" i="14"/>
  <c r="EF72" i="14"/>
  <c r="EG72" i="14" s="1"/>
  <c r="EH71" i="14"/>
  <c r="CW72" i="14"/>
  <c r="CX72" i="14" s="1"/>
  <c r="CY71" i="14"/>
  <c r="CC73" i="14"/>
  <c r="CD73" i="14" s="1"/>
  <c r="EA73" i="14"/>
  <c r="EB73" i="14" s="1"/>
  <c r="EC72" i="14"/>
  <c r="CH73" i="14"/>
  <c r="CI73" i="14" s="1"/>
  <c r="CJ72" i="14"/>
  <c r="DG73" i="14"/>
  <c r="DH73" i="14" s="1"/>
  <c r="DL73" i="14"/>
  <c r="DM73" i="14" s="1"/>
  <c r="DN72" i="14"/>
  <c r="CB46" i="14"/>
  <c r="CC35" i="14" s="1"/>
  <c r="CD35" i="14" s="1"/>
  <c r="BK44" i="14"/>
  <c r="BM44" i="14"/>
  <c r="DQ36" i="14"/>
  <c r="DR36" i="14" s="1"/>
  <c r="DS36" i="14" s="1"/>
  <c r="DS35" i="14"/>
  <c r="CM36" i="14"/>
  <c r="CN36" i="14" s="1"/>
  <c r="CO36" i="14" s="1"/>
  <c r="AJ16" i="43"/>
  <c r="E15" i="43" s="1"/>
  <c r="EF36" i="14"/>
  <c r="EG36" i="14" s="1"/>
  <c r="EH36" i="14" s="1"/>
  <c r="DC35" i="14"/>
  <c r="DD35" i="14" s="1"/>
  <c r="CH35" i="14"/>
  <c r="CI35" i="14" s="1"/>
  <c r="CJ35" i="14" s="1"/>
  <c r="CX35" i="14"/>
  <c r="CR35" i="14"/>
  <c r="CS35" i="14" s="1"/>
  <c r="CT35" i="14" s="1"/>
  <c r="DV36" i="14"/>
  <c r="DW36" i="14" s="1"/>
  <c r="DX36" i="14" s="1"/>
  <c r="EA36" i="14"/>
  <c r="EB36" i="14" s="1"/>
  <c r="EC36" i="14" s="1"/>
  <c r="DL36" i="14"/>
  <c r="DM36" i="14" s="1"/>
  <c r="DN36" i="14" s="1"/>
  <c r="CE470" i="14" a="1"/>
  <c r="DI494" i="14" a="1"/>
  <c r="CE326" i="14" a="1"/>
  <c r="CE194" i="14" a="1"/>
  <c r="DI170" i="14" a="1"/>
  <c r="DI146" i="14" a="1"/>
  <c r="DI470" i="14" a="1"/>
  <c r="DI254" i="14" a="1"/>
  <c r="DI578" i="14" a="1"/>
  <c r="CE158" i="14" a="1"/>
  <c r="DI674" i="14" a="1"/>
  <c r="CE362" i="14" a="1"/>
  <c r="DI626" i="14" a="1"/>
  <c r="CE278" i="14" a="1"/>
  <c r="CE458" i="14" a="1"/>
  <c r="CE542" i="14" a="1"/>
  <c r="DI518" i="14" a="1"/>
  <c r="DI650" i="14" a="1"/>
  <c r="CE170" i="14" a="1"/>
  <c r="CE494" i="14" a="1"/>
  <c r="DI158" i="14" a="1"/>
  <c r="DI290" i="14" a="1"/>
  <c r="CE614" i="14" a="1"/>
  <c r="DI86" i="14" a="1"/>
  <c r="CE446" i="14" a="1"/>
  <c r="DI434" i="14" a="1"/>
  <c r="DI386" i="14" a="1"/>
  <c r="CE422" i="14" a="1"/>
  <c r="CE98" i="14" a="1"/>
  <c r="DI506" i="14" a="1"/>
  <c r="CE50" i="14" a="1"/>
  <c r="DI662" i="14" a="1"/>
  <c r="CE110" i="14" a="1"/>
  <c r="CE242" i="14" a="1"/>
  <c r="DI398" i="14" a="1"/>
  <c r="CE590" i="14" a="1"/>
  <c r="DI542" i="14" a="1"/>
  <c r="DI446" i="14" a="1"/>
  <c r="DI422" i="14" a="1"/>
  <c r="DI266" i="14" a="1"/>
  <c r="CE518" i="14" a="1"/>
  <c r="DI122" i="14" a="1"/>
  <c r="DI614" i="14" a="1"/>
  <c r="CE566" i="14" a="1"/>
  <c r="CE410" i="14" a="1"/>
  <c r="CE530" i="14" a="1"/>
  <c r="CE662" i="14" a="1"/>
  <c r="DI182" i="14" a="1"/>
  <c r="CE374" i="14" a="1"/>
  <c r="DI590" i="14" a="1"/>
  <c r="DI482" i="14" a="1"/>
  <c r="CE482" i="14" a="1"/>
  <c r="CE86" i="14" a="1"/>
  <c r="DI242" i="14" a="1"/>
  <c r="CE338" i="14" a="1"/>
  <c r="CE554" i="14" a="1"/>
  <c r="DI194" i="14" a="1"/>
  <c r="DI326" i="14" a="1"/>
  <c r="DI110" i="14" a="1"/>
  <c r="DI98" i="14" a="1"/>
  <c r="CE218" i="14" a="1"/>
  <c r="DI62" i="14" a="1"/>
  <c r="DI134" i="14" a="1"/>
  <c r="CE230" i="14" a="1"/>
  <c r="CE638" i="14" a="1"/>
  <c r="DI338" i="14" a="1"/>
  <c r="CE398" i="14" a="1"/>
  <c r="DI218" i="14" a="1"/>
  <c r="CE290" i="14" a="1"/>
  <c r="CE134" i="14" a="1"/>
  <c r="DI314" i="14" a="1"/>
  <c r="DI362" i="14" a="1"/>
  <c r="DI302" i="14" a="1"/>
  <c r="CE266" i="14" a="1"/>
  <c r="CE254" i="14" a="1"/>
  <c r="DI230" i="14" a="1"/>
  <c r="CE434" i="14" a="1"/>
  <c r="CE650" i="14" a="1"/>
  <c r="DI638" i="14" a="1"/>
  <c r="CE182" i="14" a="1"/>
  <c r="CE122" i="14" a="1"/>
  <c r="CE578" i="14" a="1"/>
  <c r="CE506" i="14" a="1"/>
  <c r="CE302" i="14" a="1"/>
  <c r="BN43" i="14"/>
  <c r="CE62" i="14" a="1"/>
  <c r="CE314" i="14" a="1"/>
  <c r="BL43" i="14"/>
  <c r="DI554" i="14" a="1"/>
  <c r="DI602" i="14" a="1"/>
  <c r="DI350" i="14" a="1"/>
  <c r="DI278" i="14" a="1"/>
  <c r="DI374" i="14" a="1"/>
  <c r="CE35" i="14" a="1"/>
  <c r="CE206" i="14" a="1"/>
  <c r="DI530" i="14" a="1"/>
  <c r="CE386" i="14" a="1"/>
  <c r="DI50" i="14" a="1"/>
  <c r="DI410" i="14" a="1"/>
  <c r="DI566" i="14" a="1"/>
  <c r="CE350" i="14" a="1"/>
  <c r="CE73" i="14" a="1"/>
  <c r="DI206" i="14" a="1"/>
  <c r="DI458" i="14" a="1"/>
  <c r="CE602" i="14" a="1"/>
  <c r="CE674" i="14" a="1"/>
  <c r="CE146" i="14" a="1"/>
  <c r="CE626" i="14" a="1"/>
  <c r="DI73" i="14" a="1"/>
  <c r="CM640" i="14" l="1"/>
  <c r="CN640" i="14" s="1"/>
  <c r="CM641" i="14" s="1"/>
  <c r="CN641" i="14" s="1"/>
  <c r="CW460" i="14"/>
  <c r="CX460" i="14" s="1"/>
  <c r="CW461" i="14" s="1"/>
  <c r="CX461" i="14" s="1"/>
  <c r="DQ220" i="14"/>
  <c r="DR220" i="14" s="1"/>
  <c r="DQ221" i="14" s="1"/>
  <c r="DR221" i="14" s="1"/>
  <c r="EA160" i="14"/>
  <c r="EB160" i="14" s="1"/>
  <c r="EA161" i="14" s="1"/>
  <c r="EB161" i="14" s="1"/>
  <c r="EF148" i="14"/>
  <c r="EG148" i="14" s="1"/>
  <c r="EF149" i="14" s="1"/>
  <c r="EG149" i="14" s="1"/>
  <c r="DD339" i="14"/>
  <c r="CW256" i="14"/>
  <c r="CX256" i="14" s="1"/>
  <c r="CY256" i="14" s="1"/>
  <c r="CR100" i="14"/>
  <c r="CS100" i="14" s="1"/>
  <c r="CR101" i="14" s="1"/>
  <c r="CS101" i="14" s="1"/>
  <c r="DS171" i="14"/>
  <c r="CY447" i="14"/>
  <c r="CM256" i="14"/>
  <c r="CN256" i="14" s="1"/>
  <c r="CM257" i="14" s="1"/>
  <c r="CN257" i="14" s="1"/>
  <c r="EH519" i="14"/>
  <c r="CH64" i="14"/>
  <c r="CI64" i="14" s="1"/>
  <c r="CH65" i="14" s="1"/>
  <c r="CI65" i="14" s="1"/>
  <c r="EA172" i="14"/>
  <c r="EB172" i="14" s="1"/>
  <c r="EC172" i="14" s="1"/>
  <c r="CT507" i="14"/>
  <c r="CO72" i="14"/>
  <c r="CE218" i="14"/>
  <c r="DI590" i="14"/>
  <c r="DI410" i="14"/>
  <c r="CE374" i="14"/>
  <c r="CE266" i="14"/>
  <c r="DI170" i="14"/>
  <c r="DI218" i="14"/>
  <c r="CE626" i="14"/>
  <c r="CE98" i="14"/>
  <c r="DI206" i="14"/>
  <c r="CE410" i="14"/>
  <c r="CE230" i="14"/>
  <c r="CE518" i="14"/>
  <c r="CE602" i="14"/>
  <c r="CE638" i="14"/>
  <c r="CE146" i="14"/>
  <c r="DI182" i="14"/>
  <c r="DI350" i="14"/>
  <c r="DI98" i="14"/>
  <c r="DI158" i="14"/>
  <c r="DI482" i="14"/>
  <c r="DI650" i="14"/>
  <c r="DI386" i="14"/>
  <c r="CE614" i="14"/>
  <c r="CE422" i="14"/>
  <c r="CE398" i="14"/>
  <c r="DI122" i="14"/>
  <c r="DI146" i="14"/>
  <c r="CE542" i="14"/>
  <c r="DI398" i="14"/>
  <c r="DI434" i="14"/>
  <c r="DI458" i="14"/>
  <c r="CE362" i="14"/>
  <c r="DI290" i="14"/>
  <c r="CE470" i="14"/>
  <c r="DI62" i="14"/>
  <c r="DI86" i="14"/>
  <c r="CE254" i="14"/>
  <c r="CE554" i="14"/>
  <c r="CE290" i="14"/>
  <c r="DI422" i="14"/>
  <c r="DI50" i="14"/>
  <c r="DI662" i="14"/>
  <c r="CE242" i="14"/>
  <c r="CE302" i="14"/>
  <c r="CE350" i="14"/>
  <c r="DI254" i="14"/>
  <c r="CE182" i="14"/>
  <c r="CE86" i="14"/>
  <c r="CE566" i="14"/>
  <c r="CE50" i="14"/>
  <c r="CE62" i="14"/>
  <c r="DI446" i="14"/>
  <c r="CE206" i="14"/>
  <c r="DI530" i="14"/>
  <c r="DI194" i="14"/>
  <c r="DI338" i="14"/>
  <c r="DI230" i="14"/>
  <c r="CE110" i="14"/>
  <c r="CE662" i="14"/>
  <c r="DI242" i="14"/>
  <c r="CE530" i="14"/>
  <c r="DI518" i="14"/>
  <c r="DI554" i="14"/>
  <c r="DI374" i="14"/>
  <c r="DI326" i="14"/>
  <c r="CE278" i="14"/>
  <c r="DI578" i="14"/>
  <c r="CE482" i="14"/>
  <c r="DI614" i="14"/>
  <c r="DI494" i="14"/>
  <c r="DI506" i="14"/>
  <c r="CE506" i="14"/>
  <c r="DI134" i="14"/>
  <c r="CE590" i="14"/>
  <c r="CE494" i="14"/>
  <c r="CE446" i="14"/>
  <c r="DI314" i="14"/>
  <c r="DI470" i="14"/>
  <c r="CE434" i="14"/>
  <c r="CE194" i="14"/>
  <c r="DI266" i="14"/>
  <c r="CE170" i="14"/>
  <c r="CE134" i="14"/>
  <c r="CE314" i="14"/>
  <c r="CE338" i="14"/>
  <c r="CE122" i="14"/>
  <c r="DI542" i="14"/>
  <c r="DI638" i="14"/>
  <c r="CE458" i="14"/>
  <c r="DI278" i="14"/>
  <c r="CE650" i="14"/>
  <c r="DI566" i="14"/>
  <c r="DI362" i="14"/>
  <c r="CE386" i="14"/>
  <c r="CE578" i="14"/>
  <c r="DI110" i="14"/>
  <c r="CE158" i="14"/>
  <c r="DI674" i="14"/>
  <c r="DI602" i="14"/>
  <c r="DI302" i="14"/>
  <c r="CE326" i="14"/>
  <c r="CE674" i="14"/>
  <c r="DI626" i="14"/>
  <c r="EF293" i="14"/>
  <c r="EG293" i="14" s="1"/>
  <c r="EH292" i="14"/>
  <c r="CT51" i="14"/>
  <c r="CR52" i="14"/>
  <c r="CS52" i="14" s="1"/>
  <c r="CY352" i="14"/>
  <c r="CW353" i="14"/>
  <c r="CX353" i="14" s="1"/>
  <c r="DB544" i="14"/>
  <c r="DC544" i="14" s="1"/>
  <c r="DD543" i="14"/>
  <c r="CY448" i="14"/>
  <c r="CW449" i="14"/>
  <c r="CX449" i="14" s="1"/>
  <c r="CJ424" i="14"/>
  <c r="CH425" i="14"/>
  <c r="CI425" i="14" s="1"/>
  <c r="EC208" i="14"/>
  <c r="EA209" i="14"/>
  <c r="EB209" i="14" s="1"/>
  <c r="DG112" i="14"/>
  <c r="DH112" i="14" s="1"/>
  <c r="DB652" i="14"/>
  <c r="DC652" i="14" s="1"/>
  <c r="DD651" i="14"/>
  <c r="EH507" i="14"/>
  <c r="EF508" i="14"/>
  <c r="EG508" i="14" s="1"/>
  <c r="DX639" i="14"/>
  <c r="DV640" i="14"/>
  <c r="DW640" i="14" s="1"/>
  <c r="EF461" i="14"/>
  <c r="EG461" i="14" s="1"/>
  <c r="EH460" i="14"/>
  <c r="CC160" i="14"/>
  <c r="CD160" i="14" s="1"/>
  <c r="DB112" i="14"/>
  <c r="DC112" i="14" s="1"/>
  <c r="DD111" i="14"/>
  <c r="CW521" i="14"/>
  <c r="CX521" i="14" s="1"/>
  <c r="CY520" i="14"/>
  <c r="CR677" i="14"/>
  <c r="CS677" i="14" s="1"/>
  <c r="CT676" i="14"/>
  <c r="DD232" i="14"/>
  <c r="DB233" i="14"/>
  <c r="DC233" i="14" s="1"/>
  <c r="CJ591" i="14"/>
  <c r="CH592" i="14"/>
  <c r="CI592" i="14" s="1"/>
  <c r="DD447" i="14"/>
  <c r="DB448" i="14"/>
  <c r="DC448" i="14" s="1"/>
  <c r="DG676" i="14"/>
  <c r="DH676" i="14" s="1"/>
  <c r="DG604" i="14"/>
  <c r="DH604" i="14" s="1"/>
  <c r="CT315" i="14"/>
  <c r="CR316" i="14"/>
  <c r="CS316" i="14" s="1"/>
  <c r="DG304" i="14"/>
  <c r="DH304" i="14" s="1"/>
  <c r="CM388" i="14"/>
  <c r="CN388" i="14" s="1"/>
  <c r="CO387" i="14"/>
  <c r="DD399" i="14"/>
  <c r="DB400" i="14"/>
  <c r="DC400" i="14" s="1"/>
  <c r="DV460" i="14"/>
  <c r="DW460" i="14" s="1"/>
  <c r="DX459" i="14"/>
  <c r="CC328" i="14"/>
  <c r="CD328" i="14" s="1"/>
  <c r="DV256" i="14"/>
  <c r="DW256" i="14" s="1"/>
  <c r="DX255" i="14"/>
  <c r="DN171" i="14"/>
  <c r="DL172" i="14"/>
  <c r="DM172" i="14" s="1"/>
  <c r="EC627" i="14"/>
  <c r="EA628" i="14"/>
  <c r="EB628" i="14" s="1"/>
  <c r="CJ87" i="14"/>
  <c r="CH88" i="14"/>
  <c r="CI88" i="14" s="1"/>
  <c r="CR473" i="14"/>
  <c r="CS473" i="14" s="1"/>
  <c r="CT472" i="14"/>
  <c r="CC436" i="14"/>
  <c r="CD436" i="14" s="1"/>
  <c r="CR544" i="14"/>
  <c r="CS544" i="14" s="1"/>
  <c r="CT543" i="14"/>
  <c r="EA53" i="14"/>
  <c r="EB53" i="14" s="1"/>
  <c r="EC52" i="14"/>
  <c r="CO291" i="14"/>
  <c r="CM292" i="14"/>
  <c r="CN292" i="14" s="1"/>
  <c r="CT291" i="14"/>
  <c r="CR292" i="14"/>
  <c r="CS292" i="14" s="1"/>
  <c r="DN363" i="14"/>
  <c r="DL364" i="14"/>
  <c r="DM364" i="14" s="1"/>
  <c r="CH472" i="14"/>
  <c r="CI472" i="14" s="1"/>
  <c r="CJ471" i="14"/>
  <c r="CC220" i="14"/>
  <c r="CD220" i="14" s="1"/>
  <c r="DG136" i="14"/>
  <c r="DH136" i="14" s="1"/>
  <c r="CC256" i="14"/>
  <c r="CD256" i="14" s="1"/>
  <c r="CO87" i="14"/>
  <c r="CM88" i="14"/>
  <c r="CN88" i="14" s="1"/>
  <c r="EC532" i="14"/>
  <c r="EA533" i="14"/>
  <c r="EB533" i="14" s="1"/>
  <c r="DN616" i="14"/>
  <c r="DL617" i="14"/>
  <c r="DM617" i="14" s="1"/>
  <c r="DL64" i="14"/>
  <c r="DM64" i="14" s="1"/>
  <c r="DN63" i="14"/>
  <c r="DB617" i="14"/>
  <c r="DC617" i="14" s="1"/>
  <c r="DD616" i="14"/>
  <c r="CT328" i="14"/>
  <c r="CR329" i="14"/>
  <c r="CS329" i="14" s="1"/>
  <c r="DD267" i="14"/>
  <c r="DB268" i="14"/>
  <c r="DC268" i="14" s="1"/>
  <c r="DX52" i="14"/>
  <c r="DV53" i="14"/>
  <c r="DW53" i="14" s="1"/>
  <c r="DD519" i="14"/>
  <c r="DB520" i="14"/>
  <c r="DC520" i="14" s="1"/>
  <c r="DG328" i="14"/>
  <c r="DH328" i="14" s="1"/>
  <c r="DL652" i="14"/>
  <c r="DM652" i="14" s="1"/>
  <c r="DN651" i="14"/>
  <c r="DS519" i="14"/>
  <c r="DQ520" i="14"/>
  <c r="DR520" i="14" s="1"/>
  <c r="CH161" i="14"/>
  <c r="CI161" i="14" s="1"/>
  <c r="CJ160" i="14"/>
  <c r="CO244" i="14"/>
  <c r="CM245" i="14"/>
  <c r="CN245" i="14" s="1"/>
  <c r="DN471" i="14"/>
  <c r="DL472" i="14"/>
  <c r="DM472" i="14" s="1"/>
  <c r="CT135" i="14"/>
  <c r="CR136" i="14"/>
  <c r="CS136" i="14" s="1"/>
  <c r="CR245" i="14"/>
  <c r="CS245" i="14" s="1"/>
  <c r="CT244" i="14"/>
  <c r="CH256" i="14"/>
  <c r="CI256" i="14" s="1"/>
  <c r="CJ255" i="14"/>
  <c r="CY208" i="14"/>
  <c r="CW209" i="14"/>
  <c r="CX209" i="14" s="1"/>
  <c r="CH497" i="14"/>
  <c r="CI497" i="14" s="1"/>
  <c r="CJ496" i="14"/>
  <c r="EH483" i="14"/>
  <c r="EF484" i="14"/>
  <c r="EG484" i="14" s="1"/>
  <c r="CT520" i="14"/>
  <c r="CR521" i="14"/>
  <c r="CS521" i="14" s="1"/>
  <c r="DB221" i="14"/>
  <c r="DC221" i="14" s="1"/>
  <c r="DD220" i="14"/>
  <c r="CC88" i="14"/>
  <c r="CD88" i="14" s="1"/>
  <c r="CR449" i="14"/>
  <c r="CS449" i="14" s="1"/>
  <c r="CT448" i="14"/>
  <c r="DN160" i="14"/>
  <c r="DL161" i="14"/>
  <c r="DM161" i="14" s="1"/>
  <c r="CT268" i="14"/>
  <c r="CR269" i="14"/>
  <c r="CS269" i="14" s="1"/>
  <c r="EC88" i="14"/>
  <c r="EA89" i="14"/>
  <c r="EB89" i="14" s="1"/>
  <c r="DS496" i="14"/>
  <c r="DQ497" i="14"/>
  <c r="DR497" i="14" s="1"/>
  <c r="DG244" i="14"/>
  <c r="DH244" i="14" s="1"/>
  <c r="DS256" i="14"/>
  <c r="DQ257" i="14"/>
  <c r="DR257" i="14" s="1"/>
  <c r="DV605" i="14"/>
  <c r="DW605" i="14" s="1"/>
  <c r="DX604" i="14"/>
  <c r="CW185" i="14"/>
  <c r="CX185" i="14" s="1"/>
  <c r="CY184" i="14"/>
  <c r="CH400" i="14"/>
  <c r="CI400" i="14" s="1"/>
  <c r="CJ399" i="14"/>
  <c r="EH268" i="14"/>
  <c r="EF269" i="14"/>
  <c r="EG269" i="14" s="1"/>
  <c r="EC195" i="14"/>
  <c r="EA196" i="14"/>
  <c r="EB196" i="14" s="1"/>
  <c r="CR556" i="14"/>
  <c r="CS556" i="14" s="1"/>
  <c r="CT555" i="14"/>
  <c r="DQ413" i="14"/>
  <c r="DR413" i="14" s="1"/>
  <c r="DS412" i="14"/>
  <c r="DQ664" i="14"/>
  <c r="DR664" i="14" s="1"/>
  <c r="DS663" i="14"/>
  <c r="DN51" i="14"/>
  <c r="DL52" i="14"/>
  <c r="DM52" i="14" s="1"/>
  <c r="CM569" i="14"/>
  <c r="CN569" i="14" s="1"/>
  <c r="CO568" i="14"/>
  <c r="CW245" i="14"/>
  <c r="CX245" i="14" s="1"/>
  <c r="CY244" i="14"/>
  <c r="CT567" i="14"/>
  <c r="CR568" i="14"/>
  <c r="CS568" i="14" s="1"/>
  <c r="DL677" i="14"/>
  <c r="DM677" i="14" s="1"/>
  <c r="DN676" i="14"/>
  <c r="DQ112" i="14"/>
  <c r="DR112" i="14" s="1"/>
  <c r="DS111" i="14"/>
  <c r="DL389" i="14"/>
  <c r="DM389" i="14" s="1"/>
  <c r="DN388" i="14"/>
  <c r="CC424" i="14"/>
  <c r="CD424" i="14" s="1"/>
  <c r="CJ279" i="14"/>
  <c r="CH280" i="14"/>
  <c r="CI280" i="14" s="1"/>
  <c r="EF113" i="14"/>
  <c r="EG113" i="14" s="1"/>
  <c r="EH112" i="14"/>
  <c r="DB376" i="14"/>
  <c r="DC376" i="14" s="1"/>
  <c r="DD375" i="14"/>
  <c r="DG208" i="14"/>
  <c r="DH208" i="14" s="1"/>
  <c r="DL509" i="14"/>
  <c r="DM509" i="14" s="1"/>
  <c r="DN508" i="14"/>
  <c r="CO400" i="14"/>
  <c r="CM401" i="14"/>
  <c r="CN401" i="14" s="1"/>
  <c r="CY171" i="14"/>
  <c r="CW172" i="14"/>
  <c r="CX172" i="14" s="1"/>
  <c r="DX387" i="14"/>
  <c r="DV388" i="14"/>
  <c r="DW388" i="14" s="1"/>
  <c r="DD664" i="14"/>
  <c r="DB665" i="14"/>
  <c r="DC665" i="14" s="1"/>
  <c r="EF184" i="14"/>
  <c r="EG184" i="14" s="1"/>
  <c r="EH183" i="14"/>
  <c r="DV629" i="14"/>
  <c r="DW629" i="14" s="1"/>
  <c r="DX628" i="14"/>
  <c r="DV401" i="14"/>
  <c r="DW401" i="14" s="1"/>
  <c r="DX400" i="14"/>
  <c r="DD556" i="14"/>
  <c r="DB557" i="14"/>
  <c r="DC557" i="14" s="1"/>
  <c r="CH316" i="14"/>
  <c r="CI316" i="14" s="1"/>
  <c r="CJ315" i="14"/>
  <c r="CR341" i="14"/>
  <c r="CS341" i="14" s="1"/>
  <c r="CT340" i="14"/>
  <c r="DQ616" i="14"/>
  <c r="DR616" i="14" s="1"/>
  <c r="DS615" i="14"/>
  <c r="EH436" i="14"/>
  <c r="EF437" i="14"/>
  <c r="EG437" i="14" s="1"/>
  <c r="CW665" i="14"/>
  <c r="CX665" i="14" s="1"/>
  <c r="CY664" i="14"/>
  <c r="CC400" i="14"/>
  <c r="CD400" i="14" s="1"/>
  <c r="DG124" i="14"/>
  <c r="DH124" i="14" s="1"/>
  <c r="CM484" i="14"/>
  <c r="CN484" i="14" s="1"/>
  <c r="CO483" i="14"/>
  <c r="DQ352" i="14"/>
  <c r="DR352" i="14" s="1"/>
  <c r="DS351" i="14"/>
  <c r="DS436" i="14"/>
  <c r="DQ437" i="14"/>
  <c r="DR437" i="14" s="1"/>
  <c r="DS471" i="14"/>
  <c r="DQ472" i="14"/>
  <c r="DR472" i="14" s="1"/>
  <c r="CW365" i="14"/>
  <c r="CX365" i="14" s="1"/>
  <c r="CY364" i="14"/>
  <c r="DD147" i="14"/>
  <c r="DB148" i="14"/>
  <c r="DC148" i="14" s="1"/>
  <c r="DG148" i="14"/>
  <c r="DH148" i="14" s="1"/>
  <c r="DS64" i="14"/>
  <c r="DQ65" i="14"/>
  <c r="DR65" i="14" s="1"/>
  <c r="CM329" i="14"/>
  <c r="CN329" i="14" s="1"/>
  <c r="CO328" i="14"/>
  <c r="EA137" i="14"/>
  <c r="EB137" i="14" s="1"/>
  <c r="EC136" i="14"/>
  <c r="DX111" i="14"/>
  <c r="DV112" i="14"/>
  <c r="DW112" i="14" s="1"/>
  <c r="DV221" i="14"/>
  <c r="DW221" i="14" s="1"/>
  <c r="DX220" i="14"/>
  <c r="CT496" i="14"/>
  <c r="CR497" i="14"/>
  <c r="CS497" i="14" s="1"/>
  <c r="CM677" i="14"/>
  <c r="CN677" i="14" s="1"/>
  <c r="CO676" i="14"/>
  <c r="DQ569" i="14"/>
  <c r="DR569" i="14" s="1"/>
  <c r="DS568" i="14"/>
  <c r="CW328" i="14"/>
  <c r="CX328" i="14" s="1"/>
  <c r="CY327" i="14"/>
  <c r="CC604" i="14"/>
  <c r="CD604" i="14" s="1"/>
  <c r="CM341" i="14"/>
  <c r="CN341" i="14" s="1"/>
  <c r="CO340" i="14"/>
  <c r="CO352" i="14"/>
  <c r="CM353" i="14"/>
  <c r="CN353" i="14" s="1"/>
  <c r="CT364" i="14"/>
  <c r="CR365" i="14"/>
  <c r="CS365" i="14" s="1"/>
  <c r="DS184" i="14"/>
  <c r="DQ185" i="14"/>
  <c r="DR185" i="14" s="1"/>
  <c r="EC423" i="14"/>
  <c r="EA424" i="14"/>
  <c r="EB424" i="14" s="1"/>
  <c r="DX424" i="14"/>
  <c r="DV425" i="14"/>
  <c r="DW425" i="14" s="1"/>
  <c r="CC640" i="14"/>
  <c r="CD640" i="14" s="1"/>
  <c r="DX651" i="14"/>
  <c r="DV652" i="14"/>
  <c r="DW652" i="14" s="1"/>
  <c r="CC148" i="14"/>
  <c r="CD148" i="14" s="1"/>
  <c r="CJ580" i="14"/>
  <c r="CH581" i="14"/>
  <c r="CI581" i="14" s="1"/>
  <c r="DN268" i="14"/>
  <c r="DL269" i="14"/>
  <c r="DM269" i="14" s="1"/>
  <c r="CM365" i="14"/>
  <c r="CN365" i="14" s="1"/>
  <c r="CO364" i="14"/>
  <c r="DX64" i="14"/>
  <c r="DV65" i="14"/>
  <c r="DW65" i="14" s="1"/>
  <c r="CT639" i="14"/>
  <c r="CR640" i="14"/>
  <c r="CS640" i="14" s="1"/>
  <c r="DD495" i="14"/>
  <c r="DB496" i="14"/>
  <c r="DC496" i="14" s="1"/>
  <c r="DL352" i="14"/>
  <c r="DM352" i="14" s="1"/>
  <c r="DN351" i="14"/>
  <c r="DD435" i="14"/>
  <c r="DB436" i="14"/>
  <c r="DC436" i="14" s="1"/>
  <c r="DG184" i="14"/>
  <c r="DH184" i="14" s="1"/>
  <c r="DG352" i="14"/>
  <c r="DH352" i="14" s="1"/>
  <c r="CY160" i="14"/>
  <c r="CW161" i="14"/>
  <c r="CX161" i="14" s="1"/>
  <c r="CH460" i="14"/>
  <c r="CI460" i="14" s="1"/>
  <c r="CJ459" i="14"/>
  <c r="DG100" i="14"/>
  <c r="DH100" i="14" s="1"/>
  <c r="EF653" i="14"/>
  <c r="EG653" i="14" s="1"/>
  <c r="EH652" i="14"/>
  <c r="CO136" i="14"/>
  <c r="CM137" i="14"/>
  <c r="CN137" i="14" s="1"/>
  <c r="DV592" i="14"/>
  <c r="DW592" i="14" s="1"/>
  <c r="DX591" i="14"/>
  <c r="CY315" i="14"/>
  <c r="CW316" i="14"/>
  <c r="CX316" i="14" s="1"/>
  <c r="CH533" i="14"/>
  <c r="CI533" i="14" s="1"/>
  <c r="CJ532" i="14"/>
  <c r="CM101" i="14"/>
  <c r="CN101" i="14" s="1"/>
  <c r="CO100" i="14"/>
  <c r="CY543" i="14"/>
  <c r="CW544" i="14"/>
  <c r="CX544" i="14" s="1"/>
  <c r="DL148" i="14"/>
  <c r="DM148" i="14" s="1"/>
  <c r="DN147" i="14"/>
  <c r="CJ435" i="14"/>
  <c r="CH436" i="14"/>
  <c r="CI436" i="14" s="1"/>
  <c r="EF581" i="14"/>
  <c r="EG581" i="14" s="1"/>
  <c r="EH580" i="14"/>
  <c r="CH196" i="14"/>
  <c r="CI196" i="14" s="1"/>
  <c r="CJ195" i="14"/>
  <c r="DL449" i="14"/>
  <c r="DM449" i="14" s="1"/>
  <c r="DN448" i="14"/>
  <c r="DG160" i="14"/>
  <c r="DH160" i="14" s="1"/>
  <c r="CT508" i="14"/>
  <c r="CR509" i="14"/>
  <c r="CS509" i="14" s="1"/>
  <c r="DG484" i="14"/>
  <c r="DH484" i="14" s="1"/>
  <c r="DQ425" i="14"/>
  <c r="DR425" i="14" s="1"/>
  <c r="DS424" i="14"/>
  <c r="DG652" i="14"/>
  <c r="DH652" i="14" s="1"/>
  <c r="DQ245" i="14"/>
  <c r="DR245" i="14" s="1"/>
  <c r="DS244" i="14"/>
  <c r="DG388" i="14"/>
  <c r="DH388" i="14" s="1"/>
  <c r="EC339" i="14"/>
  <c r="EA340" i="14"/>
  <c r="EB340" i="14" s="1"/>
  <c r="CC616" i="14"/>
  <c r="CD616" i="14" s="1"/>
  <c r="CW640" i="14"/>
  <c r="CX640" i="14" s="1"/>
  <c r="CY639" i="14"/>
  <c r="EF424" i="14"/>
  <c r="EG424" i="14" s="1"/>
  <c r="EH423" i="14"/>
  <c r="CY604" i="14"/>
  <c r="CW605" i="14"/>
  <c r="CX605" i="14" s="1"/>
  <c r="DQ173" i="14"/>
  <c r="DR173" i="14" s="1"/>
  <c r="DS172" i="14"/>
  <c r="DV665" i="14"/>
  <c r="DW665" i="14" s="1"/>
  <c r="DX664" i="14"/>
  <c r="EF473" i="14"/>
  <c r="EG473" i="14" s="1"/>
  <c r="EH472" i="14"/>
  <c r="DD315" i="14"/>
  <c r="DB316" i="14"/>
  <c r="DC316" i="14" s="1"/>
  <c r="DQ461" i="14"/>
  <c r="DR461" i="14" s="1"/>
  <c r="DS460" i="14"/>
  <c r="CJ411" i="14"/>
  <c r="CH412" i="14"/>
  <c r="CI412" i="14" s="1"/>
  <c r="DV304" i="14"/>
  <c r="DW304" i="14" s="1"/>
  <c r="DX303" i="14"/>
  <c r="CH173" i="14"/>
  <c r="CI173" i="14" s="1"/>
  <c r="CJ172" i="14"/>
  <c r="DS304" i="14"/>
  <c r="DQ305" i="14"/>
  <c r="DR305" i="14" s="1"/>
  <c r="CR532" i="14"/>
  <c r="CS532" i="14" s="1"/>
  <c r="CT531" i="14"/>
  <c r="CR593" i="14"/>
  <c r="CS593" i="14" s="1"/>
  <c r="CT592" i="14"/>
  <c r="DB305" i="14"/>
  <c r="DC305" i="14" s="1"/>
  <c r="DD304" i="14"/>
  <c r="DX616" i="14"/>
  <c r="DV617" i="14"/>
  <c r="DW617" i="14" s="1"/>
  <c r="DG88" i="14"/>
  <c r="DH88" i="14" s="1"/>
  <c r="DB257" i="14"/>
  <c r="DC257" i="14" s="1"/>
  <c r="DD256" i="14"/>
  <c r="DS651" i="14"/>
  <c r="DQ652" i="14"/>
  <c r="DR652" i="14" s="1"/>
  <c r="CO232" i="14"/>
  <c r="CM233" i="14"/>
  <c r="CN233" i="14" s="1"/>
  <c r="EF256" i="14"/>
  <c r="EG256" i="14" s="1"/>
  <c r="EH255" i="14"/>
  <c r="EA413" i="14"/>
  <c r="EB413" i="14" s="1"/>
  <c r="EC412" i="14"/>
  <c r="DX231" i="14"/>
  <c r="DV232" i="14"/>
  <c r="DW232" i="14" s="1"/>
  <c r="DS387" i="14"/>
  <c r="DQ388" i="14"/>
  <c r="DR388" i="14" s="1"/>
  <c r="EH88" i="14"/>
  <c r="EF89" i="14"/>
  <c r="EG89" i="14" s="1"/>
  <c r="CT627" i="14"/>
  <c r="CR628" i="14"/>
  <c r="CS628" i="14" s="1"/>
  <c r="CC292" i="14"/>
  <c r="CD292" i="14" s="1"/>
  <c r="DS675" i="14"/>
  <c r="DQ676" i="14"/>
  <c r="DR676" i="14" s="1"/>
  <c r="CW341" i="14"/>
  <c r="CX341" i="14" s="1"/>
  <c r="CY340" i="14"/>
  <c r="EH591" i="14"/>
  <c r="EF592" i="14"/>
  <c r="EG592" i="14" s="1"/>
  <c r="EF497" i="14"/>
  <c r="EG497" i="14" s="1"/>
  <c r="EH496" i="14"/>
  <c r="EA652" i="14"/>
  <c r="EB652" i="14" s="1"/>
  <c r="EC651" i="14"/>
  <c r="CH220" i="14"/>
  <c r="CI220" i="14" s="1"/>
  <c r="CJ219" i="14"/>
  <c r="DN664" i="14"/>
  <c r="DL665" i="14"/>
  <c r="DM665" i="14" s="1"/>
  <c r="CM629" i="14"/>
  <c r="CN629" i="14" s="1"/>
  <c r="CO628" i="14"/>
  <c r="EC544" i="14"/>
  <c r="EA545" i="14"/>
  <c r="EB545" i="14" s="1"/>
  <c r="DX195" i="14"/>
  <c r="DV196" i="14"/>
  <c r="DW196" i="14" s="1"/>
  <c r="DX135" i="14"/>
  <c r="DV136" i="14"/>
  <c r="DW136" i="14" s="1"/>
  <c r="CR124" i="14"/>
  <c r="CS124" i="14" s="1"/>
  <c r="CT123" i="14"/>
  <c r="CR377" i="14"/>
  <c r="CS377" i="14" s="1"/>
  <c r="CT376" i="14"/>
  <c r="CC280" i="14"/>
  <c r="CD280" i="14" s="1"/>
  <c r="EF317" i="14"/>
  <c r="EG317" i="14" s="1"/>
  <c r="EH316" i="14"/>
  <c r="CC652" i="14"/>
  <c r="CD652" i="14" s="1"/>
  <c r="CC544" i="14"/>
  <c r="CD544" i="14" s="1"/>
  <c r="DG400" i="14"/>
  <c r="DH400" i="14" s="1"/>
  <c r="CR89" i="14"/>
  <c r="CS89" i="14" s="1"/>
  <c r="CT88" i="14"/>
  <c r="CW376" i="14"/>
  <c r="CX376" i="14" s="1"/>
  <c r="CY375" i="14"/>
  <c r="CM305" i="14"/>
  <c r="CN305" i="14" s="1"/>
  <c r="CO304" i="14"/>
  <c r="DQ53" i="14"/>
  <c r="DR53" i="14" s="1"/>
  <c r="DS52" i="14"/>
  <c r="DD328" i="14"/>
  <c r="DB329" i="14"/>
  <c r="DC329" i="14" s="1"/>
  <c r="CW88" i="14"/>
  <c r="CX88" i="14" s="1"/>
  <c r="CY87" i="14"/>
  <c r="DN436" i="14"/>
  <c r="DL437" i="14"/>
  <c r="DM437" i="14" s="1"/>
  <c r="EC568" i="14"/>
  <c r="EA569" i="14"/>
  <c r="EB569" i="14" s="1"/>
  <c r="CY412" i="14"/>
  <c r="CW413" i="14"/>
  <c r="CX413" i="14" s="1"/>
  <c r="EH352" i="14"/>
  <c r="EF353" i="14"/>
  <c r="EG353" i="14" s="1"/>
  <c r="CH388" i="14"/>
  <c r="CI388" i="14" s="1"/>
  <c r="CJ387" i="14"/>
  <c r="DN304" i="14"/>
  <c r="DL305" i="14"/>
  <c r="DM305" i="14" s="1"/>
  <c r="DB424" i="14"/>
  <c r="DC424" i="14" s="1"/>
  <c r="DD423" i="14"/>
  <c r="EF413" i="14"/>
  <c r="EG413" i="14" s="1"/>
  <c r="EH412" i="14"/>
  <c r="EF280" i="14"/>
  <c r="EG280" i="14" s="1"/>
  <c r="EH279" i="14"/>
  <c r="DX448" i="14"/>
  <c r="DV449" i="14"/>
  <c r="DW449" i="14" s="1"/>
  <c r="CH544" i="14"/>
  <c r="CI544" i="14" s="1"/>
  <c r="CJ543" i="14"/>
  <c r="EF605" i="14"/>
  <c r="EG605" i="14" s="1"/>
  <c r="EH604" i="14"/>
  <c r="CH448" i="14"/>
  <c r="CI448" i="14" s="1"/>
  <c r="CJ447" i="14"/>
  <c r="EC111" i="14"/>
  <c r="EA112" i="14"/>
  <c r="EB112" i="14" s="1"/>
  <c r="CT160" i="14"/>
  <c r="CR161" i="14"/>
  <c r="CS161" i="14" s="1"/>
  <c r="CY220" i="14"/>
  <c r="CW221" i="14"/>
  <c r="CX221" i="14" s="1"/>
  <c r="CC556" i="14"/>
  <c r="CD556" i="14" s="1"/>
  <c r="CO208" i="14"/>
  <c r="CM209" i="14"/>
  <c r="CN209" i="14" s="1"/>
  <c r="EC64" i="14"/>
  <c r="EA65" i="14"/>
  <c r="EB65" i="14" s="1"/>
  <c r="DS232" i="14"/>
  <c r="DQ233" i="14"/>
  <c r="DR233" i="14" s="1"/>
  <c r="CH148" i="14"/>
  <c r="CI148" i="14" s="1"/>
  <c r="CJ147" i="14"/>
  <c r="DD123" i="14"/>
  <c r="DB124" i="14"/>
  <c r="DC124" i="14" s="1"/>
  <c r="DG64" i="14"/>
  <c r="DH64" i="14" s="1"/>
  <c r="DG256" i="14"/>
  <c r="DH256" i="14" s="1"/>
  <c r="DL604" i="14"/>
  <c r="DM604" i="14" s="1"/>
  <c r="DN603" i="14"/>
  <c r="DL640" i="14"/>
  <c r="DM640" i="14" s="1"/>
  <c r="DN639" i="14"/>
  <c r="DV341" i="14"/>
  <c r="DW341" i="14" s="1"/>
  <c r="DX340" i="14"/>
  <c r="EC147" i="14"/>
  <c r="EA148" i="14"/>
  <c r="EB148" i="14" s="1"/>
  <c r="CW389" i="14"/>
  <c r="CX389" i="14" s="1"/>
  <c r="CY388" i="14"/>
  <c r="CC52" i="14"/>
  <c r="CD52" i="14" s="1"/>
  <c r="CT579" i="14"/>
  <c r="CR580" i="14"/>
  <c r="CS580" i="14" s="1"/>
  <c r="CC64" i="14"/>
  <c r="CD64" i="14" s="1"/>
  <c r="EC675" i="14"/>
  <c r="EA676" i="14"/>
  <c r="EB676" i="14" s="1"/>
  <c r="CM593" i="14"/>
  <c r="CN593" i="14" s="1"/>
  <c r="CO592" i="14"/>
  <c r="DG448" i="14"/>
  <c r="DH448" i="14" s="1"/>
  <c r="CC208" i="14"/>
  <c r="CD208" i="14" s="1"/>
  <c r="EF676" i="14"/>
  <c r="EG676" i="14" s="1"/>
  <c r="EH675" i="14"/>
  <c r="DS544" i="14"/>
  <c r="DQ545" i="14"/>
  <c r="DR545" i="14" s="1"/>
  <c r="EA232" i="14"/>
  <c r="EB232" i="14" s="1"/>
  <c r="EC231" i="14"/>
  <c r="DQ484" i="14"/>
  <c r="DR484" i="14" s="1"/>
  <c r="DS483" i="14"/>
  <c r="EC243" i="14"/>
  <c r="EA244" i="14"/>
  <c r="EB244" i="14" s="1"/>
  <c r="DN99" i="14"/>
  <c r="DL100" i="14"/>
  <c r="DM100" i="14" s="1"/>
  <c r="DL124" i="14"/>
  <c r="DM124" i="14" s="1"/>
  <c r="DN123" i="14"/>
  <c r="CR233" i="14"/>
  <c r="CS233" i="14" s="1"/>
  <c r="CT232" i="14"/>
  <c r="CY580" i="14"/>
  <c r="CW581" i="14"/>
  <c r="CX581" i="14" s="1"/>
  <c r="DX484" i="14"/>
  <c r="DV485" i="14"/>
  <c r="DW485" i="14" s="1"/>
  <c r="CM220" i="14"/>
  <c r="CN220" i="14" s="1"/>
  <c r="CO219" i="14"/>
  <c r="CM172" i="14"/>
  <c r="CN172" i="14" s="1"/>
  <c r="CO171" i="14"/>
  <c r="EA293" i="14"/>
  <c r="EB293" i="14" s="1"/>
  <c r="EC292" i="14"/>
  <c r="DG532" i="14"/>
  <c r="DH532" i="14" s="1"/>
  <c r="DG196" i="14"/>
  <c r="DH196" i="14" s="1"/>
  <c r="CO555" i="14"/>
  <c r="CM556" i="14"/>
  <c r="CN556" i="14" s="1"/>
  <c r="DB184" i="14"/>
  <c r="DC184" i="14" s="1"/>
  <c r="DD183" i="14"/>
  <c r="CH484" i="14"/>
  <c r="CI484" i="14" s="1"/>
  <c r="CJ483" i="14"/>
  <c r="CH377" i="14"/>
  <c r="CI377" i="14" s="1"/>
  <c r="CJ376" i="14"/>
  <c r="CJ267" i="14"/>
  <c r="CH268" i="14"/>
  <c r="CI268" i="14" s="1"/>
  <c r="DG424" i="14"/>
  <c r="DH424" i="14" s="1"/>
  <c r="CW124" i="14"/>
  <c r="CX124" i="14" s="1"/>
  <c r="CY123" i="14"/>
  <c r="CC568" i="14"/>
  <c r="CD568" i="14" s="1"/>
  <c r="CJ556" i="14"/>
  <c r="CH557" i="14"/>
  <c r="CI557" i="14" s="1"/>
  <c r="CR280" i="14"/>
  <c r="CS280" i="14" s="1"/>
  <c r="CT279" i="14"/>
  <c r="DB281" i="14"/>
  <c r="DC281" i="14" s="1"/>
  <c r="DD280" i="14"/>
  <c r="DG568" i="14"/>
  <c r="DH568" i="14" s="1"/>
  <c r="CY112" i="14"/>
  <c r="CW113" i="14"/>
  <c r="CX113" i="14" s="1"/>
  <c r="EA317" i="14"/>
  <c r="EB317" i="14" s="1"/>
  <c r="EC316" i="14"/>
  <c r="DV376" i="14"/>
  <c r="DW376" i="14" s="1"/>
  <c r="DX375" i="14"/>
  <c r="CO268" i="14"/>
  <c r="CM269" i="14"/>
  <c r="CN269" i="14" s="1"/>
  <c r="EH172" i="14"/>
  <c r="EF173" i="14"/>
  <c r="EG173" i="14" s="1"/>
  <c r="CH365" i="14"/>
  <c r="CI365" i="14" s="1"/>
  <c r="CJ364" i="14"/>
  <c r="CW281" i="14"/>
  <c r="CX281" i="14" s="1"/>
  <c r="CY280" i="14"/>
  <c r="DN459" i="14"/>
  <c r="DL460" i="14"/>
  <c r="DM460" i="14" s="1"/>
  <c r="CC520" i="14"/>
  <c r="CD520" i="14" s="1"/>
  <c r="DB88" i="14"/>
  <c r="DC88" i="14" s="1"/>
  <c r="DD87" i="14"/>
  <c r="CT400" i="14"/>
  <c r="CR401" i="14"/>
  <c r="CS401" i="14" s="1"/>
  <c r="EC664" i="14"/>
  <c r="EA665" i="14"/>
  <c r="EB665" i="14" s="1"/>
  <c r="CT460" i="14"/>
  <c r="CR461" i="14"/>
  <c r="CS461" i="14" s="1"/>
  <c r="EH63" i="14"/>
  <c r="EF64" i="14"/>
  <c r="EG64" i="14" s="1"/>
  <c r="EC303" i="14"/>
  <c r="EA304" i="14"/>
  <c r="EB304" i="14" s="1"/>
  <c r="DG292" i="14"/>
  <c r="DH292" i="14" s="1"/>
  <c r="CT412" i="14"/>
  <c r="CR413" i="14"/>
  <c r="CS413" i="14" s="1"/>
  <c r="EA388" i="14"/>
  <c r="EB388" i="14" s="1"/>
  <c r="EC387" i="14"/>
  <c r="CY400" i="14"/>
  <c r="CW401" i="14"/>
  <c r="CX401" i="14" s="1"/>
  <c r="DV532" i="14"/>
  <c r="DW532" i="14" s="1"/>
  <c r="DX531" i="14"/>
  <c r="CC184" i="14"/>
  <c r="CD184" i="14" s="1"/>
  <c r="DN411" i="14"/>
  <c r="DL412" i="14"/>
  <c r="DM412" i="14" s="1"/>
  <c r="CY147" i="14"/>
  <c r="CW148" i="14"/>
  <c r="CX148" i="14" s="1"/>
  <c r="EF400" i="14"/>
  <c r="EG400" i="14" s="1"/>
  <c r="EH399" i="14"/>
  <c r="EC99" i="14"/>
  <c r="EA100" i="14"/>
  <c r="EB100" i="14" s="1"/>
  <c r="DX279" i="14"/>
  <c r="DV280" i="14"/>
  <c r="DW280" i="14" s="1"/>
  <c r="CM53" i="14"/>
  <c r="CN53" i="14" s="1"/>
  <c r="CO52" i="14"/>
  <c r="EH375" i="14"/>
  <c r="EF376" i="14"/>
  <c r="EG376" i="14" s="1"/>
  <c r="CJ639" i="14"/>
  <c r="CH640" i="14"/>
  <c r="CI640" i="14" s="1"/>
  <c r="CW305" i="14"/>
  <c r="CX305" i="14" s="1"/>
  <c r="CY304" i="14"/>
  <c r="DX184" i="14"/>
  <c r="DV185" i="14"/>
  <c r="DW185" i="14" s="1"/>
  <c r="DX124" i="14"/>
  <c r="DV125" i="14"/>
  <c r="DW125" i="14" s="1"/>
  <c r="DB52" i="14"/>
  <c r="DC52" i="14" s="1"/>
  <c r="DD51" i="14"/>
  <c r="CH617" i="14"/>
  <c r="CI617" i="14" s="1"/>
  <c r="CJ616" i="14"/>
  <c r="EH520" i="14"/>
  <c r="EF521" i="14"/>
  <c r="EG521" i="14" s="1"/>
  <c r="DG52" i="14"/>
  <c r="DH52" i="14" s="1"/>
  <c r="DS291" i="14"/>
  <c r="DQ292" i="14"/>
  <c r="DR292" i="14" s="1"/>
  <c r="CM280" i="14"/>
  <c r="CN280" i="14" s="1"/>
  <c r="CO279" i="14"/>
  <c r="CM473" i="14"/>
  <c r="CN473" i="14" s="1"/>
  <c r="CO472" i="14"/>
  <c r="CM112" i="14"/>
  <c r="CN112" i="14" s="1"/>
  <c r="CO111" i="14"/>
  <c r="DG664" i="14"/>
  <c r="DH664" i="14" s="1"/>
  <c r="DQ149" i="14"/>
  <c r="DR149" i="14" s="1"/>
  <c r="DS148" i="14"/>
  <c r="EH243" i="14"/>
  <c r="EF244" i="14"/>
  <c r="EG244" i="14" s="1"/>
  <c r="DS627" i="14"/>
  <c r="DQ628" i="14"/>
  <c r="DR628" i="14" s="1"/>
  <c r="CY627" i="14"/>
  <c r="CW628" i="14"/>
  <c r="CX628" i="14" s="1"/>
  <c r="DL184" i="14"/>
  <c r="DM184" i="14" s="1"/>
  <c r="DN183" i="14"/>
  <c r="CR389" i="14"/>
  <c r="CS389" i="14" s="1"/>
  <c r="CT388" i="14"/>
  <c r="CC244" i="14"/>
  <c r="CD244" i="14" s="1"/>
  <c r="DD388" i="14"/>
  <c r="DB389" i="14"/>
  <c r="DC389" i="14" s="1"/>
  <c r="DN555" i="14"/>
  <c r="DL556" i="14"/>
  <c r="DM556" i="14" s="1"/>
  <c r="DD207" i="14"/>
  <c r="DB208" i="14"/>
  <c r="DC208" i="14" s="1"/>
  <c r="CC304" i="14"/>
  <c r="CD304" i="14" s="1"/>
  <c r="CR484" i="14"/>
  <c r="CS484" i="14" s="1"/>
  <c r="CT483" i="14"/>
  <c r="CC352" i="14"/>
  <c r="CD352" i="14" s="1"/>
  <c r="EA220" i="14"/>
  <c r="EB220" i="14" s="1"/>
  <c r="EC219" i="14"/>
  <c r="DL521" i="14"/>
  <c r="DM521" i="14" s="1"/>
  <c r="DN520" i="14"/>
  <c r="CM160" i="14"/>
  <c r="CN160" i="14" s="1"/>
  <c r="CO159" i="14"/>
  <c r="EA328" i="14"/>
  <c r="EB328" i="14" s="1"/>
  <c r="EC327" i="14"/>
  <c r="CR197" i="14"/>
  <c r="CS197" i="14" s="1"/>
  <c r="CT196" i="14"/>
  <c r="EA592" i="14"/>
  <c r="EB592" i="14" s="1"/>
  <c r="EC591" i="14"/>
  <c r="DX364" i="14"/>
  <c r="DV365" i="14"/>
  <c r="DW365" i="14" s="1"/>
  <c r="EF209" i="14"/>
  <c r="EG209" i="14" s="1"/>
  <c r="EH208" i="14"/>
  <c r="CO663" i="14"/>
  <c r="CM664" i="14"/>
  <c r="CN664" i="14" s="1"/>
  <c r="DG376" i="14"/>
  <c r="DH376" i="14" s="1"/>
  <c r="DN568" i="14"/>
  <c r="DL569" i="14"/>
  <c r="DM569" i="14" s="1"/>
  <c r="CM185" i="14"/>
  <c r="CN185" i="14" s="1"/>
  <c r="CO184" i="14"/>
  <c r="DQ197" i="14"/>
  <c r="DR197" i="14" s="1"/>
  <c r="DS196" i="14"/>
  <c r="EF233" i="14"/>
  <c r="EG233" i="14" s="1"/>
  <c r="EH232" i="14"/>
  <c r="CJ328" i="14"/>
  <c r="CH329" i="14"/>
  <c r="CI329" i="14" s="1"/>
  <c r="CC412" i="14"/>
  <c r="CD412" i="14" s="1"/>
  <c r="EA185" i="14"/>
  <c r="EB185" i="14" s="1"/>
  <c r="EC184" i="14"/>
  <c r="DS508" i="14"/>
  <c r="DQ509" i="14"/>
  <c r="DR509" i="14" s="1"/>
  <c r="DG436" i="14"/>
  <c r="DH436" i="14" s="1"/>
  <c r="EH339" i="14"/>
  <c r="EF340" i="14"/>
  <c r="EG340" i="14" s="1"/>
  <c r="CO64" i="14"/>
  <c r="CM65" i="14"/>
  <c r="CN65" i="14" s="1"/>
  <c r="CR604" i="14"/>
  <c r="CS604" i="14" s="1"/>
  <c r="CT603" i="14"/>
  <c r="CC592" i="14"/>
  <c r="CD592" i="14" s="1"/>
  <c r="DX352" i="14"/>
  <c r="DV353" i="14"/>
  <c r="DW353" i="14" s="1"/>
  <c r="DG580" i="14"/>
  <c r="DH580" i="14" s="1"/>
  <c r="CY471" i="14"/>
  <c r="CW472" i="14"/>
  <c r="CX472" i="14" s="1"/>
  <c r="EF160" i="14"/>
  <c r="EG160" i="14" s="1"/>
  <c r="EH159" i="14"/>
  <c r="DN628" i="14"/>
  <c r="DL629" i="14"/>
  <c r="DM629" i="14" s="1"/>
  <c r="DN208" i="14"/>
  <c r="DL209" i="14"/>
  <c r="DM209" i="14" s="1"/>
  <c r="DL593" i="14"/>
  <c r="DM593" i="14" s="1"/>
  <c r="DN592" i="14"/>
  <c r="DL532" i="14"/>
  <c r="DM532" i="14" s="1"/>
  <c r="DN531" i="14"/>
  <c r="CC484" i="14"/>
  <c r="CD484" i="14" s="1"/>
  <c r="EH543" i="14"/>
  <c r="EF544" i="14"/>
  <c r="EG544" i="14" s="1"/>
  <c r="CJ232" i="14"/>
  <c r="CH233" i="14"/>
  <c r="CI233" i="14" s="1"/>
  <c r="DL197" i="14"/>
  <c r="DM197" i="14" s="1"/>
  <c r="DN196" i="14"/>
  <c r="DG616" i="14"/>
  <c r="DH616" i="14" s="1"/>
  <c r="EH195" i="14"/>
  <c r="EF196" i="14"/>
  <c r="EG196" i="14" s="1"/>
  <c r="DQ316" i="14"/>
  <c r="DR316" i="14" s="1"/>
  <c r="DS315" i="14"/>
  <c r="CJ676" i="14"/>
  <c r="CH677" i="14"/>
  <c r="CI677" i="14" s="1"/>
  <c r="CT172" i="14"/>
  <c r="CR173" i="14"/>
  <c r="CS173" i="14" s="1"/>
  <c r="DL497" i="14"/>
  <c r="DM497" i="14" s="1"/>
  <c r="DN496" i="14"/>
  <c r="CJ628" i="14"/>
  <c r="CH629" i="14"/>
  <c r="CI629" i="14" s="1"/>
  <c r="CO616" i="14"/>
  <c r="CM617" i="14"/>
  <c r="CN617" i="14" s="1"/>
  <c r="DG340" i="14"/>
  <c r="DH340" i="14" s="1"/>
  <c r="DQ640" i="14"/>
  <c r="DR640" i="14" s="1"/>
  <c r="DS639" i="14"/>
  <c r="CT256" i="14"/>
  <c r="CR257" i="14"/>
  <c r="CS257" i="14" s="1"/>
  <c r="DG232" i="14"/>
  <c r="DH232" i="14" s="1"/>
  <c r="CC112" i="14"/>
  <c r="CD112" i="14" s="1"/>
  <c r="CO543" i="14"/>
  <c r="CM544" i="14"/>
  <c r="CN544" i="14" s="1"/>
  <c r="CM653" i="14"/>
  <c r="CN653" i="14" s="1"/>
  <c r="CO652" i="14"/>
  <c r="EA352" i="14"/>
  <c r="EB352" i="14" s="1"/>
  <c r="EC351" i="14"/>
  <c r="CC664" i="14"/>
  <c r="CD664" i="14" s="1"/>
  <c r="EA400" i="14"/>
  <c r="EB400" i="14" s="1"/>
  <c r="EC399" i="14"/>
  <c r="CR437" i="14"/>
  <c r="CS437" i="14" s="1"/>
  <c r="CT436" i="14"/>
  <c r="DV317" i="14"/>
  <c r="DW317" i="14" s="1"/>
  <c r="DX316" i="14"/>
  <c r="EF628" i="14"/>
  <c r="EG628" i="14" s="1"/>
  <c r="EH627" i="14"/>
  <c r="EA448" i="14"/>
  <c r="EB448" i="14" s="1"/>
  <c r="EC447" i="14"/>
  <c r="EF53" i="14"/>
  <c r="EG53" i="14" s="1"/>
  <c r="EH52" i="14"/>
  <c r="CH137" i="14"/>
  <c r="CI137" i="14" s="1"/>
  <c r="CJ136" i="14"/>
  <c r="DL401" i="14"/>
  <c r="DM401" i="14" s="1"/>
  <c r="DN400" i="14"/>
  <c r="CC364" i="14"/>
  <c r="CD364" i="14" s="1"/>
  <c r="CO315" i="14"/>
  <c r="CM316" i="14"/>
  <c r="CN316" i="14" s="1"/>
  <c r="DL113" i="14"/>
  <c r="DM113" i="14" s="1"/>
  <c r="DN112" i="14"/>
  <c r="CM533" i="14"/>
  <c r="CN533" i="14" s="1"/>
  <c r="CO532" i="14"/>
  <c r="DN327" i="14"/>
  <c r="DL328" i="14"/>
  <c r="DM328" i="14" s="1"/>
  <c r="CC532" i="14"/>
  <c r="CD532" i="14" s="1"/>
  <c r="EC472" i="14"/>
  <c r="EA473" i="14"/>
  <c r="EB473" i="14" s="1"/>
  <c r="DB65" i="14"/>
  <c r="DC65" i="14" s="1"/>
  <c r="DD64" i="14"/>
  <c r="DD567" i="14"/>
  <c r="DB568" i="14"/>
  <c r="DC568" i="14" s="1"/>
  <c r="DG520" i="14"/>
  <c r="DH520" i="14" s="1"/>
  <c r="DD640" i="14"/>
  <c r="DB641" i="14"/>
  <c r="DC641" i="14" s="1"/>
  <c r="DD411" i="14"/>
  <c r="DB412" i="14"/>
  <c r="DC412" i="14" s="1"/>
  <c r="DQ124" i="14"/>
  <c r="DR124" i="14" s="1"/>
  <c r="DS123" i="14"/>
  <c r="DV437" i="14"/>
  <c r="DW437" i="14" s="1"/>
  <c r="DX436" i="14"/>
  <c r="EA377" i="14"/>
  <c r="EB377" i="14" s="1"/>
  <c r="EC376" i="14"/>
  <c r="EC279" i="14"/>
  <c r="EA280" i="14"/>
  <c r="EB280" i="14" s="1"/>
  <c r="DD351" i="14"/>
  <c r="DB352" i="14"/>
  <c r="DC352" i="14" s="1"/>
  <c r="CJ603" i="14"/>
  <c r="CH604" i="14"/>
  <c r="CI604" i="14" s="1"/>
  <c r="CH509" i="14"/>
  <c r="CI509" i="14" s="1"/>
  <c r="CJ508" i="14"/>
  <c r="CM149" i="14"/>
  <c r="CN149" i="14" s="1"/>
  <c r="CO148" i="14"/>
  <c r="CW269" i="14"/>
  <c r="CX269" i="14" s="1"/>
  <c r="CY268" i="14"/>
  <c r="DD160" i="14"/>
  <c r="DB161" i="14"/>
  <c r="DC161" i="14" s="1"/>
  <c r="DG556" i="14"/>
  <c r="DH556" i="14" s="1"/>
  <c r="CM581" i="14"/>
  <c r="CN581" i="14" s="1"/>
  <c r="CO580" i="14"/>
  <c r="DS339" i="14"/>
  <c r="DQ340" i="14"/>
  <c r="DR340" i="14" s="1"/>
  <c r="EC123" i="14"/>
  <c r="EA124" i="14"/>
  <c r="EB124" i="14" s="1"/>
  <c r="CW437" i="14"/>
  <c r="CX437" i="14" s="1"/>
  <c r="CY436" i="14"/>
  <c r="EA509" i="14"/>
  <c r="EB509" i="14" s="1"/>
  <c r="EC508" i="14"/>
  <c r="CC496" i="14"/>
  <c r="CD496" i="14" s="1"/>
  <c r="EF449" i="14"/>
  <c r="EG449" i="14" s="1"/>
  <c r="EH448" i="14"/>
  <c r="CC448" i="14"/>
  <c r="CD448" i="14" s="1"/>
  <c r="CM605" i="14"/>
  <c r="CN605" i="14" s="1"/>
  <c r="CO604" i="14"/>
  <c r="DG316" i="14"/>
  <c r="DH316" i="14" s="1"/>
  <c r="DV101" i="14"/>
  <c r="DW101" i="14" s="1"/>
  <c r="DX100" i="14"/>
  <c r="DQ580" i="14"/>
  <c r="DR580" i="14" s="1"/>
  <c r="DS579" i="14"/>
  <c r="DS375" i="14"/>
  <c r="DQ376" i="14"/>
  <c r="DR376" i="14" s="1"/>
  <c r="EF569" i="14"/>
  <c r="EG569" i="14" s="1"/>
  <c r="EH568" i="14"/>
  <c r="EH124" i="14"/>
  <c r="EF125" i="14"/>
  <c r="EG125" i="14" s="1"/>
  <c r="EA437" i="14"/>
  <c r="EB437" i="14" s="1"/>
  <c r="EC436" i="14"/>
  <c r="DG472" i="14"/>
  <c r="DH472" i="14" s="1"/>
  <c r="CY591" i="14"/>
  <c r="CW592" i="14"/>
  <c r="CX592" i="14" s="1"/>
  <c r="DN135" i="14"/>
  <c r="DL136" i="14"/>
  <c r="DM136" i="14" s="1"/>
  <c r="DX472" i="14"/>
  <c r="DV473" i="14"/>
  <c r="DW473" i="14" s="1"/>
  <c r="DV557" i="14"/>
  <c r="DW557" i="14" s="1"/>
  <c r="DX556" i="14"/>
  <c r="DG460" i="14"/>
  <c r="DH460" i="14" s="1"/>
  <c r="CM436" i="14"/>
  <c r="CN436" i="14" s="1"/>
  <c r="CO435" i="14"/>
  <c r="CC472" i="14"/>
  <c r="CD472" i="14" s="1"/>
  <c r="DB293" i="14"/>
  <c r="DC293" i="14" s="1"/>
  <c r="DD292" i="14"/>
  <c r="DL425" i="14"/>
  <c r="DM425" i="14" s="1"/>
  <c r="DN424" i="14"/>
  <c r="EA496" i="14"/>
  <c r="EB496" i="14" s="1"/>
  <c r="EC495" i="14"/>
  <c r="CY63" i="14"/>
  <c r="CW64" i="14"/>
  <c r="CX64" i="14" s="1"/>
  <c r="CW292" i="14"/>
  <c r="CX292" i="14" s="1"/>
  <c r="CY291" i="14"/>
  <c r="CR616" i="14"/>
  <c r="CS616" i="14" s="1"/>
  <c r="CT615" i="14"/>
  <c r="CH245" i="14"/>
  <c r="CI245" i="14" s="1"/>
  <c r="CJ244" i="14"/>
  <c r="DQ400" i="14"/>
  <c r="DR400" i="14" s="1"/>
  <c r="DS399" i="14"/>
  <c r="CC316" i="14"/>
  <c r="CD316" i="14" s="1"/>
  <c r="EH532" i="14"/>
  <c r="EF533" i="14"/>
  <c r="EG533" i="14" s="1"/>
  <c r="CM124" i="14"/>
  <c r="CN124" i="14" s="1"/>
  <c r="CO123" i="14"/>
  <c r="DX579" i="14"/>
  <c r="DV580" i="14"/>
  <c r="DW580" i="14" s="1"/>
  <c r="DQ533" i="14"/>
  <c r="DR533" i="14" s="1"/>
  <c r="DS532" i="14"/>
  <c r="DV293" i="14"/>
  <c r="DW293" i="14" s="1"/>
  <c r="DX292" i="14"/>
  <c r="EC460" i="14"/>
  <c r="EA461" i="14"/>
  <c r="EB461" i="14" s="1"/>
  <c r="CR664" i="14"/>
  <c r="CS664" i="14" s="1"/>
  <c r="CT663" i="14"/>
  <c r="DB605" i="14"/>
  <c r="DC605" i="14" s="1"/>
  <c r="DD604" i="14"/>
  <c r="CC124" i="14"/>
  <c r="CD124" i="14" s="1"/>
  <c r="EA617" i="14"/>
  <c r="EB617" i="14" s="1"/>
  <c r="EC616" i="14"/>
  <c r="CJ52" i="14"/>
  <c r="CH53" i="14"/>
  <c r="CI53" i="14" s="1"/>
  <c r="DN339" i="14"/>
  <c r="DL340" i="14"/>
  <c r="DM340" i="14" s="1"/>
  <c r="DG496" i="14"/>
  <c r="DH496" i="14" s="1"/>
  <c r="DG508" i="14"/>
  <c r="DH508" i="14" s="1"/>
  <c r="EH328" i="14"/>
  <c r="EF329" i="14"/>
  <c r="EG329" i="14" s="1"/>
  <c r="DS363" i="14"/>
  <c r="DQ364" i="14"/>
  <c r="DR364" i="14" s="1"/>
  <c r="DD136" i="14"/>
  <c r="DB137" i="14"/>
  <c r="DC137" i="14" s="1"/>
  <c r="DQ328" i="14"/>
  <c r="DR328" i="14" s="1"/>
  <c r="DS327" i="14"/>
  <c r="DD484" i="14"/>
  <c r="DB485" i="14"/>
  <c r="DC485" i="14" s="1"/>
  <c r="CO495" i="14"/>
  <c r="CM496" i="14"/>
  <c r="CN496" i="14" s="1"/>
  <c r="CO195" i="14"/>
  <c r="CM196" i="14"/>
  <c r="CN196" i="14" s="1"/>
  <c r="CY51" i="14"/>
  <c r="CW52" i="14"/>
  <c r="CX52" i="14" s="1"/>
  <c r="CC508" i="14"/>
  <c r="CD508" i="14" s="1"/>
  <c r="CM376" i="14"/>
  <c r="CN376" i="14" s="1"/>
  <c r="CO375" i="14"/>
  <c r="CW653" i="14"/>
  <c r="CX653" i="14" s="1"/>
  <c r="CY652" i="14"/>
  <c r="DS280" i="14"/>
  <c r="DQ281" i="14"/>
  <c r="DR281" i="14" s="1"/>
  <c r="DL221" i="14"/>
  <c r="DM221" i="14" s="1"/>
  <c r="DN220" i="14"/>
  <c r="CC100" i="14"/>
  <c r="CD100" i="14" s="1"/>
  <c r="DS208" i="14"/>
  <c r="DQ209" i="14"/>
  <c r="DR209" i="14" s="1"/>
  <c r="DS604" i="14"/>
  <c r="DQ605" i="14"/>
  <c r="DR605" i="14" s="1"/>
  <c r="EC519" i="14"/>
  <c r="EA520" i="14"/>
  <c r="EB520" i="14" s="1"/>
  <c r="DN88" i="14"/>
  <c r="DL89" i="14"/>
  <c r="DM89" i="14" s="1"/>
  <c r="CM449" i="14"/>
  <c r="CN449" i="14" s="1"/>
  <c r="CO448" i="14"/>
  <c r="DX676" i="14"/>
  <c r="DV677" i="14"/>
  <c r="DW677" i="14" s="1"/>
  <c r="CW496" i="14"/>
  <c r="CX496" i="14" s="1"/>
  <c r="CY495" i="14"/>
  <c r="CW568" i="14"/>
  <c r="CX568" i="14" s="1"/>
  <c r="CY567" i="14"/>
  <c r="DS99" i="14"/>
  <c r="DQ100" i="14"/>
  <c r="DR100" i="14" s="1"/>
  <c r="DD531" i="14"/>
  <c r="DB532" i="14"/>
  <c r="DC532" i="14" s="1"/>
  <c r="DL485" i="14"/>
  <c r="DM485" i="14" s="1"/>
  <c r="DN484" i="14"/>
  <c r="CY424" i="14"/>
  <c r="CW425" i="14"/>
  <c r="CX425" i="14" s="1"/>
  <c r="EF304" i="14"/>
  <c r="EG304" i="14" s="1"/>
  <c r="EH303" i="14"/>
  <c r="DN243" i="14"/>
  <c r="DL244" i="14"/>
  <c r="DM244" i="14" s="1"/>
  <c r="DV568" i="14"/>
  <c r="DW568" i="14" s="1"/>
  <c r="DX567" i="14"/>
  <c r="EA485" i="14"/>
  <c r="EB485" i="14" s="1"/>
  <c r="EC484" i="14"/>
  <c r="DV268" i="14"/>
  <c r="DW268" i="14" s="1"/>
  <c r="DX267" i="14"/>
  <c r="CW616" i="14"/>
  <c r="CX616" i="14" s="1"/>
  <c r="CY615" i="14"/>
  <c r="CY531" i="14"/>
  <c r="CW532" i="14"/>
  <c r="CX532" i="14" s="1"/>
  <c r="DD508" i="14"/>
  <c r="DB509" i="14"/>
  <c r="DC509" i="14" s="1"/>
  <c r="CT219" i="14"/>
  <c r="CR220" i="14"/>
  <c r="CS220" i="14" s="1"/>
  <c r="DQ88" i="14"/>
  <c r="DR88" i="14" s="1"/>
  <c r="DS87" i="14"/>
  <c r="DL257" i="14"/>
  <c r="DM257" i="14" s="1"/>
  <c r="DN256" i="14"/>
  <c r="DN232" i="14"/>
  <c r="DL233" i="14"/>
  <c r="DM233" i="14" s="1"/>
  <c r="DX159" i="14"/>
  <c r="DV160" i="14"/>
  <c r="DW160" i="14" s="1"/>
  <c r="CM412" i="14"/>
  <c r="CN412" i="14" s="1"/>
  <c r="CO411" i="14"/>
  <c r="DN316" i="14"/>
  <c r="DL317" i="14"/>
  <c r="DM317" i="14" s="1"/>
  <c r="EA365" i="14"/>
  <c r="EB365" i="14" s="1"/>
  <c r="EC364" i="14"/>
  <c r="CC196" i="14"/>
  <c r="CD196" i="14" s="1"/>
  <c r="EH363" i="14"/>
  <c r="EF364" i="14"/>
  <c r="EG364" i="14" s="1"/>
  <c r="DL581" i="14"/>
  <c r="DM581" i="14" s="1"/>
  <c r="DN580" i="14"/>
  <c r="DL377" i="14"/>
  <c r="DM377" i="14" s="1"/>
  <c r="DN376" i="14"/>
  <c r="CY556" i="14"/>
  <c r="CW557" i="14"/>
  <c r="CX557" i="14" s="1"/>
  <c r="DV88" i="14"/>
  <c r="DW88" i="14" s="1"/>
  <c r="DX87" i="14"/>
  <c r="DB472" i="14"/>
  <c r="DC472" i="14" s="1"/>
  <c r="DD471" i="14"/>
  <c r="DG364" i="14"/>
  <c r="DH364" i="14" s="1"/>
  <c r="CH352" i="14"/>
  <c r="CI352" i="14" s="1"/>
  <c r="CJ351" i="14"/>
  <c r="DG268" i="14"/>
  <c r="DH268" i="14" s="1"/>
  <c r="CC388" i="14"/>
  <c r="CD388" i="14" s="1"/>
  <c r="CR305" i="14"/>
  <c r="CS305" i="14" s="1"/>
  <c r="CT304" i="14"/>
  <c r="CC580" i="14"/>
  <c r="CD580" i="14" s="1"/>
  <c r="DD628" i="14"/>
  <c r="DB629" i="14"/>
  <c r="DC629" i="14" s="1"/>
  <c r="CC172" i="14"/>
  <c r="CD172" i="14" s="1"/>
  <c r="CH184" i="14"/>
  <c r="CI184" i="14" s="1"/>
  <c r="CJ183" i="14"/>
  <c r="CC136" i="14"/>
  <c r="CD136" i="14" s="1"/>
  <c r="EH556" i="14"/>
  <c r="EF557" i="14"/>
  <c r="EG557" i="14" s="1"/>
  <c r="DX496" i="14"/>
  <c r="DV497" i="14"/>
  <c r="DW497" i="14" s="1"/>
  <c r="CO508" i="14"/>
  <c r="CM509" i="14"/>
  <c r="CN509" i="14" s="1"/>
  <c r="CH569" i="14"/>
  <c r="CI569" i="14" s="1"/>
  <c r="CJ568" i="14"/>
  <c r="EA605" i="14"/>
  <c r="EB605" i="14" s="1"/>
  <c r="EC604" i="14"/>
  <c r="DD195" i="14"/>
  <c r="DB196" i="14"/>
  <c r="DC196" i="14" s="1"/>
  <c r="DX243" i="14"/>
  <c r="DV244" i="14"/>
  <c r="DW244" i="14" s="1"/>
  <c r="CJ291" i="14"/>
  <c r="CH292" i="14"/>
  <c r="CI292" i="14" s="1"/>
  <c r="EF617" i="14"/>
  <c r="EG617" i="14" s="1"/>
  <c r="EH616" i="14"/>
  <c r="CJ112" i="14"/>
  <c r="CH113" i="14"/>
  <c r="CI113" i="14" s="1"/>
  <c r="DQ593" i="14"/>
  <c r="DR593" i="14" s="1"/>
  <c r="DS592" i="14"/>
  <c r="DN292" i="14"/>
  <c r="DL293" i="14"/>
  <c r="DM293" i="14" s="1"/>
  <c r="CY135" i="14"/>
  <c r="CW136" i="14"/>
  <c r="CX136" i="14" s="1"/>
  <c r="CC676" i="14"/>
  <c r="CD676" i="14" s="1"/>
  <c r="DB460" i="14"/>
  <c r="DC460" i="14" s="1"/>
  <c r="DD459" i="14"/>
  <c r="CJ124" i="14"/>
  <c r="CH125" i="14"/>
  <c r="CI125" i="14" s="1"/>
  <c r="DV509" i="14"/>
  <c r="DW509" i="14" s="1"/>
  <c r="DX508" i="14"/>
  <c r="DG628" i="14"/>
  <c r="DH628" i="14" s="1"/>
  <c r="CW508" i="14"/>
  <c r="CX508" i="14" s="1"/>
  <c r="CY507" i="14"/>
  <c r="CY483" i="14"/>
  <c r="CW484" i="14"/>
  <c r="CX484" i="14" s="1"/>
  <c r="DS136" i="14"/>
  <c r="DQ137" i="14"/>
  <c r="DR137" i="14" s="1"/>
  <c r="CO423" i="14"/>
  <c r="CM424" i="14"/>
  <c r="CN424" i="14" s="1"/>
  <c r="EA580" i="14"/>
  <c r="EB580" i="14" s="1"/>
  <c r="EC579" i="14"/>
  <c r="EC268" i="14"/>
  <c r="EA269" i="14"/>
  <c r="EB269" i="14" s="1"/>
  <c r="CT352" i="14"/>
  <c r="CR353" i="14"/>
  <c r="CS353" i="14" s="1"/>
  <c r="CC232" i="14"/>
  <c r="CD232" i="14" s="1"/>
  <c r="DX520" i="14"/>
  <c r="DV521" i="14"/>
  <c r="DW521" i="14" s="1"/>
  <c r="CR113" i="14"/>
  <c r="CS113" i="14" s="1"/>
  <c r="CT112" i="14"/>
  <c r="EF641" i="14"/>
  <c r="EG641" i="14" s="1"/>
  <c r="EH640" i="14"/>
  <c r="DD591" i="14"/>
  <c r="DB592" i="14"/>
  <c r="DC592" i="14" s="1"/>
  <c r="CW676" i="14"/>
  <c r="CX676" i="14" s="1"/>
  <c r="CY675" i="14"/>
  <c r="EF389" i="14"/>
  <c r="EG389" i="14" s="1"/>
  <c r="EH388" i="14"/>
  <c r="DB581" i="14"/>
  <c r="DC581" i="14" s="1"/>
  <c r="DD580" i="14"/>
  <c r="EH100" i="14"/>
  <c r="EF101" i="14"/>
  <c r="EG101" i="14" s="1"/>
  <c r="DB172" i="14"/>
  <c r="DC172" i="14" s="1"/>
  <c r="DD171" i="14"/>
  <c r="CH665" i="14"/>
  <c r="CI665" i="14" s="1"/>
  <c r="CJ664" i="14"/>
  <c r="CO519" i="14"/>
  <c r="CM520" i="14"/>
  <c r="CN520" i="14" s="1"/>
  <c r="CJ519" i="14"/>
  <c r="CH520" i="14"/>
  <c r="CI520" i="14" s="1"/>
  <c r="CT148" i="14"/>
  <c r="CR149" i="14"/>
  <c r="CS149" i="14" s="1"/>
  <c r="DX172" i="14"/>
  <c r="DV173" i="14"/>
  <c r="DW173" i="14" s="1"/>
  <c r="CM460" i="14"/>
  <c r="CN460" i="14" s="1"/>
  <c r="CO459" i="14"/>
  <c r="EA640" i="14"/>
  <c r="EB640" i="14" s="1"/>
  <c r="EC639" i="14"/>
  <c r="CC340" i="14"/>
  <c r="CD340" i="14" s="1"/>
  <c r="DG592" i="14"/>
  <c r="DH592" i="14" s="1"/>
  <c r="DD99" i="14"/>
  <c r="DB100" i="14"/>
  <c r="DC100" i="14" s="1"/>
  <c r="DG412" i="14"/>
  <c r="DH412" i="14" s="1"/>
  <c r="CR425" i="14"/>
  <c r="CS425" i="14" s="1"/>
  <c r="CT424" i="14"/>
  <c r="CR653" i="14"/>
  <c r="CS653" i="14" s="1"/>
  <c r="CT652" i="14"/>
  <c r="DN279" i="14"/>
  <c r="DL280" i="14"/>
  <c r="DM280" i="14" s="1"/>
  <c r="CC376" i="14"/>
  <c r="CD376" i="14" s="1"/>
  <c r="DB341" i="14"/>
  <c r="DC341" i="14" s="1"/>
  <c r="DD340" i="14"/>
  <c r="CJ339" i="14"/>
  <c r="CH340" i="14"/>
  <c r="CI340" i="14" s="1"/>
  <c r="EF137" i="14"/>
  <c r="EG137" i="14" s="1"/>
  <c r="EH136" i="14"/>
  <c r="DB245" i="14"/>
  <c r="DC245" i="14" s="1"/>
  <c r="DD244" i="14"/>
  <c r="CH100" i="14"/>
  <c r="CI100" i="14" s="1"/>
  <c r="CJ99" i="14"/>
  <c r="CW101" i="14"/>
  <c r="CX101" i="14" s="1"/>
  <c r="CY100" i="14"/>
  <c r="CC268" i="14"/>
  <c r="CD268" i="14" s="1"/>
  <c r="DG172" i="14"/>
  <c r="DH172" i="14" s="1"/>
  <c r="DL545" i="14"/>
  <c r="DM545" i="14" s="1"/>
  <c r="DN544" i="14"/>
  <c r="DG220" i="14"/>
  <c r="DH220" i="14" s="1"/>
  <c r="DQ269" i="14"/>
  <c r="DR269" i="14" s="1"/>
  <c r="DS268" i="14"/>
  <c r="CH304" i="14"/>
  <c r="CI304" i="14" s="1"/>
  <c r="CJ303" i="14"/>
  <c r="EC255" i="14"/>
  <c r="EA256" i="14"/>
  <c r="EB256" i="14" s="1"/>
  <c r="DS160" i="14"/>
  <c r="DQ161" i="14"/>
  <c r="DR161" i="14" s="1"/>
  <c r="DX327" i="14"/>
  <c r="DV328" i="14"/>
  <c r="DW328" i="14" s="1"/>
  <c r="CC628" i="14"/>
  <c r="CD628" i="14" s="1"/>
  <c r="EF220" i="14"/>
  <c r="EG220" i="14" s="1"/>
  <c r="EH219" i="14"/>
  <c r="CT184" i="14"/>
  <c r="CR185" i="14"/>
  <c r="CS185" i="14" s="1"/>
  <c r="CT63" i="14"/>
  <c r="CR64" i="14"/>
  <c r="CS64" i="14" s="1"/>
  <c r="CW232" i="14"/>
  <c r="CX232" i="14" s="1"/>
  <c r="CY231" i="14"/>
  <c r="EH663" i="14"/>
  <c r="EF664" i="14"/>
  <c r="EG664" i="14" s="1"/>
  <c r="DB365" i="14"/>
  <c r="DC365" i="14" s="1"/>
  <c r="DD364" i="14"/>
  <c r="CH208" i="14"/>
  <c r="CI208" i="14" s="1"/>
  <c r="CJ207" i="14"/>
  <c r="DQ449" i="14"/>
  <c r="DR449" i="14" s="1"/>
  <c r="DS448" i="14"/>
  <c r="DV412" i="14"/>
  <c r="DW412" i="14" s="1"/>
  <c r="DX411" i="14"/>
  <c r="DX544" i="14"/>
  <c r="DV545" i="14"/>
  <c r="DW545" i="14" s="1"/>
  <c r="DG544" i="14"/>
  <c r="DH544" i="14" s="1"/>
  <c r="CW197" i="14"/>
  <c r="CX197" i="14" s="1"/>
  <c r="CY196" i="14"/>
  <c r="DG640" i="14"/>
  <c r="DH640" i="14" s="1"/>
  <c r="DD675" i="14"/>
  <c r="DB676" i="14"/>
  <c r="DC676" i="14" s="1"/>
  <c r="CH653" i="14"/>
  <c r="CI653" i="14" s="1"/>
  <c r="CJ652" i="14"/>
  <c r="CC460" i="14"/>
  <c r="CD460" i="14" s="1"/>
  <c r="CT207" i="14"/>
  <c r="CR208" i="14"/>
  <c r="CS208" i="14" s="1"/>
  <c r="DX148" i="14"/>
  <c r="DV149" i="14"/>
  <c r="DW149" i="14" s="1"/>
  <c r="DG280" i="14"/>
  <c r="DH280" i="14" s="1"/>
  <c r="DX208" i="14"/>
  <c r="DV209" i="14"/>
  <c r="DW209" i="14" s="1"/>
  <c r="DQ556" i="14"/>
  <c r="DR556" i="14" s="1"/>
  <c r="DS555" i="14"/>
  <c r="EC556" i="14"/>
  <c r="EA557" i="14"/>
  <c r="EB557" i="14" s="1"/>
  <c r="CT72" i="14"/>
  <c r="DS72" i="14"/>
  <c r="DI73" i="14"/>
  <c r="CE73" i="14"/>
  <c r="CR74" i="14"/>
  <c r="CS74" i="14" s="1"/>
  <c r="CT73" i="14"/>
  <c r="DL74" i="14"/>
  <c r="DM74" i="14" s="1"/>
  <c r="DN73" i="14"/>
  <c r="EF73" i="14"/>
  <c r="EG73" i="14" s="1"/>
  <c r="EH72" i="14"/>
  <c r="DG74" i="14"/>
  <c r="DH74" i="14" s="1"/>
  <c r="CO73" i="14"/>
  <c r="CM74" i="14"/>
  <c r="CN74" i="14" s="1"/>
  <c r="CJ73" i="14"/>
  <c r="CH74" i="14"/>
  <c r="CI74" i="14" s="1"/>
  <c r="DV74" i="14"/>
  <c r="DW74" i="14" s="1"/>
  <c r="DX73" i="14"/>
  <c r="EA74" i="14"/>
  <c r="EB74" i="14" s="1"/>
  <c r="EC73" i="14"/>
  <c r="DB74" i="14"/>
  <c r="DC74" i="14" s="1"/>
  <c r="DD73" i="14"/>
  <c r="DQ74" i="14"/>
  <c r="DR74" i="14" s="1"/>
  <c r="DS73" i="14"/>
  <c r="CY72" i="14"/>
  <c r="CW73" i="14"/>
  <c r="CX73" i="14" s="1"/>
  <c r="CC74" i="14"/>
  <c r="CD74" i="14" s="1"/>
  <c r="CE35" i="14"/>
  <c r="BM45" i="14"/>
  <c r="BK45" i="14"/>
  <c r="DQ37" i="14"/>
  <c r="DR37" i="14" s="1"/>
  <c r="DS37" i="14" s="1"/>
  <c r="CW36" i="14"/>
  <c r="CY35" i="14"/>
  <c r="CM37" i="14"/>
  <c r="CN37" i="14" s="1"/>
  <c r="CO37" i="14" s="1"/>
  <c r="AJ17" i="43"/>
  <c r="E16" i="43" s="1"/>
  <c r="EF37" i="14"/>
  <c r="EG37" i="14" s="1"/>
  <c r="EH37" i="14" s="1"/>
  <c r="DB36" i="14"/>
  <c r="DC36" i="14" s="1"/>
  <c r="CH36" i="14"/>
  <c r="CI36" i="14" s="1"/>
  <c r="CJ36" i="14" s="1"/>
  <c r="CC36" i="14"/>
  <c r="CD36" i="14" s="1"/>
  <c r="CR36" i="14"/>
  <c r="CS36" i="14" s="1"/>
  <c r="CT36" i="14" s="1"/>
  <c r="DV37" i="14"/>
  <c r="DW37" i="14" s="1"/>
  <c r="EA37" i="14"/>
  <c r="EB37" i="14" s="1"/>
  <c r="EC37" i="14" s="1"/>
  <c r="DL37" i="14"/>
  <c r="DM37" i="14" s="1"/>
  <c r="DN37" i="14" s="1"/>
  <c r="DI99" i="14" a="1"/>
  <c r="CE99" i="14" a="1"/>
  <c r="DI411" i="14" a="1"/>
  <c r="DI519" i="14" a="1"/>
  <c r="CE651" i="14" a="1"/>
  <c r="CE639" i="14" a="1"/>
  <c r="DI651" i="14" a="1"/>
  <c r="CE447" i="14" a="1"/>
  <c r="DI315" i="14" a="1"/>
  <c r="CE555" i="14" a="1"/>
  <c r="CE74" i="14" a="1"/>
  <c r="CE327" i="14" a="1"/>
  <c r="DI615" i="14" a="1"/>
  <c r="CE375" i="14" a="1"/>
  <c r="CE675" i="14" a="1"/>
  <c r="DI255" i="14" a="1"/>
  <c r="DI279" i="14" a="1"/>
  <c r="DI87" i="14" a="1"/>
  <c r="CE339" i="14" a="1"/>
  <c r="CE459" i="14" a="1"/>
  <c r="CE291" i="14" a="1"/>
  <c r="DI663" i="14" a="1"/>
  <c r="CE471" i="14" a="1"/>
  <c r="CE423" i="14" a="1"/>
  <c r="DI675" i="14" a="1"/>
  <c r="CE207" i="14" a="1"/>
  <c r="DI123" i="14" a="1"/>
  <c r="DI303" i="14" a="1"/>
  <c r="CE315" i="14" a="1"/>
  <c r="CE231" i="14" a="1"/>
  <c r="DI327" i="14" a="1"/>
  <c r="CE615" i="14" a="1"/>
  <c r="CE567" i="14" a="1"/>
  <c r="CE399" i="14" a="1"/>
  <c r="DI219" i="14" a="1"/>
  <c r="CE267" i="14" a="1"/>
  <c r="DI51" i="14" a="1"/>
  <c r="CE387" i="14" a="1"/>
  <c r="CE303" i="14" a="1"/>
  <c r="DI639" i="14" a="1"/>
  <c r="DI63" i="14" a="1"/>
  <c r="CE63" i="14" a="1"/>
  <c r="DI423" i="14" a="1"/>
  <c r="DI171" i="14" a="1"/>
  <c r="CE627" i="14" a="1"/>
  <c r="CE255" i="14" a="1"/>
  <c r="BL44" i="14"/>
  <c r="CE183" i="14" a="1"/>
  <c r="CE483" i="14" a="1"/>
  <c r="CE195" i="14" a="1"/>
  <c r="CE135" i="14" a="1"/>
  <c r="DI531" i="14" a="1"/>
  <c r="DI111" i="14" a="1"/>
  <c r="CE87" i="14" a="1"/>
  <c r="DI135" i="14" a="1"/>
  <c r="CE123" i="14" a="1"/>
  <c r="CE435" i="14" a="1"/>
  <c r="DI147" i="14" a="1"/>
  <c r="DI183" i="14" a="1"/>
  <c r="DI507" i="14" a="1"/>
  <c r="DI267" i="14" a="1"/>
  <c r="DI243" i="14" a="1"/>
  <c r="CE603" i="14" a="1"/>
  <c r="DI603" i="14" a="1"/>
  <c r="DI387" i="14" a="1"/>
  <c r="DI291" i="14" a="1"/>
  <c r="CE279" i="14" a="1"/>
  <c r="CE51" i="14" a="1"/>
  <c r="DI435" i="14" a="1"/>
  <c r="CE591" i="14" a="1"/>
  <c r="DI591" i="14" a="1"/>
  <c r="CE531" i="14" a="1"/>
  <c r="DI351" i="14" a="1"/>
  <c r="CE411" i="14" a="1"/>
  <c r="DI207" i="14" a="1"/>
  <c r="BN44" i="14"/>
  <c r="DI459" i="14" a="1"/>
  <c r="CE495" i="14" a="1"/>
  <c r="DI495" i="14" a="1"/>
  <c r="DI231" i="14" a="1"/>
  <c r="CE351" i="14" a="1"/>
  <c r="DI543" i="14" a="1"/>
  <c r="CE219" i="14" a="1"/>
  <c r="DI195" i="14" a="1"/>
  <c r="CE243" i="14" a="1"/>
  <c r="DI483" i="14" a="1"/>
  <c r="CE543" i="14" a="1"/>
  <c r="CE579" i="14" a="1"/>
  <c r="DI339" i="14" a="1"/>
  <c r="CE363" i="14" a="1"/>
  <c r="DI363" i="14" a="1"/>
  <c r="CE171" i="14" a="1"/>
  <c r="DI375" i="14" a="1"/>
  <c r="DI399" i="14" a="1"/>
  <c r="CE507" i="14" a="1"/>
  <c r="CE519" i="14" a="1"/>
  <c r="DI159" i="14" a="1"/>
  <c r="DI579" i="14" a="1"/>
  <c r="DI471" i="14" a="1"/>
  <c r="CE111" i="14" a="1"/>
  <c r="DI627" i="14" a="1"/>
  <c r="DI447" i="14" a="1"/>
  <c r="CE147" i="14" a="1"/>
  <c r="CE159" i="14" a="1"/>
  <c r="CE663" i="14" a="1"/>
  <c r="DI567" i="14" a="1"/>
  <c r="DI555" i="14" a="1"/>
  <c r="CE36" i="14" a="1"/>
  <c r="DI74" i="14" a="1"/>
  <c r="DS220" i="14" l="1"/>
  <c r="CO640" i="14"/>
  <c r="EC160" i="14"/>
  <c r="EH148" i="14"/>
  <c r="CY460" i="14"/>
  <c r="CW257" i="14"/>
  <c r="CX257" i="14" s="1"/>
  <c r="CW258" i="14" s="1"/>
  <c r="CX258" i="14" s="1"/>
  <c r="CT100" i="14"/>
  <c r="CO256" i="14"/>
  <c r="CJ64" i="14"/>
  <c r="EA173" i="14"/>
  <c r="EB173" i="14" s="1"/>
  <c r="EC173" i="14" s="1"/>
  <c r="DI591" i="14"/>
  <c r="CE531" i="14"/>
  <c r="CE663" i="14"/>
  <c r="CE483" i="14"/>
  <c r="DI579" i="14"/>
  <c r="CE303" i="14"/>
  <c r="DI327" i="14"/>
  <c r="CE279" i="14"/>
  <c r="DI483" i="14"/>
  <c r="DI315" i="14"/>
  <c r="CE135" i="14"/>
  <c r="DI615" i="14"/>
  <c r="CE591" i="14"/>
  <c r="DI375" i="14"/>
  <c r="CE567" i="14"/>
  <c r="DI255" i="14"/>
  <c r="CE555" i="14"/>
  <c r="CE615" i="14"/>
  <c r="DI99" i="14"/>
  <c r="DI303" i="14"/>
  <c r="DI543" i="14"/>
  <c r="CE387" i="14"/>
  <c r="CE147" i="14"/>
  <c r="DI243" i="14"/>
  <c r="CE291" i="14"/>
  <c r="CE63" i="14"/>
  <c r="CE675" i="14"/>
  <c r="DI267" i="14"/>
  <c r="CE459" i="14"/>
  <c r="CE123" i="14"/>
  <c r="DI459" i="14"/>
  <c r="DI51" i="14"/>
  <c r="DI291" i="14"/>
  <c r="DI195" i="14"/>
  <c r="CE51" i="14"/>
  <c r="DI63" i="14"/>
  <c r="DI159" i="14"/>
  <c r="CE639" i="14"/>
  <c r="CE603" i="14"/>
  <c r="DI111" i="14"/>
  <c r="CE375" i="14"/>
  <c r="CE471" i="14"/>
  <c r="CE339" i="14"/>
  <c r="CE411" i="14"/>
  <c r="CE507" i="14"/>
  <c r="CE447" i="14"/>
  <c r="DI519" i="14"/>
  <c r="CE519" i="14"/>
  <c r="CE399" i="14"/>
  <c r="CE267" i="14"/>
  <c r="DI339" i="14"/>
  <c r="CE171" i="14"/>
  <c r="DI363" i="14"/>
  <c r="CE195" i="14"/>
  <c r="DI555" i="14"/>
  <c r="CE111" i="14"/>
  <c r="CE243" i="14"/>
  <c r="CE183" i="14"/>
  <c r="DI423" i="14"/>
  <c r="DI531" i="14"/>
  <c r="CE207" i="14"/>
  <c r="DI399" i="14"/>
  <c r="DI603" i="14"/>
  <c r="DI207" i="14"/>
  <c r="DI387" i="14"/>
  <c r="CE255" i="14"/>
  <c r="DI411" i="14"/>
  <c r="CE99" i="14"/>
  <c r="DI507" i="14"/>
  <c r="DI231" i="14"/>
  <c r="CE351" i="14"/>
  <c r="DI663" i="14"/>
  <c r="DI567" i="14"/>
  <c r="DI447" i="14"/>
  <c r="CE543" i="14"/>
  <c r="DI351" i="14"/>
  <c r="CE423" i="14"/>
  <c r="DI135" i="14"/>
  <c r="CE327" i="14"/>
  <c r="DI675" i="14"/>
  <c r="CE159" i="14"/>
  <c r="DI627" i="14"/>
  <c r="CE495" i="14"/>
  <c r="CE363" i="14"/>
  <c r="DI279" i="14"/>
  <c r="DI471" i="14"/>
  <c r="CE627" i="14"/>
  <c r="CE579" i="14"/>
  <c r="CE315" i="14"/>
  <c r="DI435" i="14"/>
  <c r="CE651" i="14"/>
  <c r="DI87" i="14"/>
  <c r="DI651" i="14"/>
  <c r="DI147" i="14"/>
  <c r="DI123" i="14"/>
  <c r="CE435" i="14"/>
  <c r="DI171" i="14"/>
  <c r="CE87" i="14"/>
  <c r="CE231" i="14"/>
  <c r="DI219" i="14"/>
  <c r="DI639" i="14"/>
  <c r="DI495" i="14"/>
  <c r="DI183" i="14"/>
  <c r="CE219" i="14"/>
  <c r="CR198" i="14"/>
  <c r="CS198" i="14" s="1"/>
  <c r="CT197" i="14"/>
  <c r="DQ54" i="14"/>
  <c r="DR54" i="14" s="1"/>
  <c r="DS53" i="14"/>
  <c r="DV150" i="14"/>
  <c r="DW150" i="14" s="1"/>
  <c r="DX149" i="14"/>
  <c r="CH558" i="14"/>
  <c r="CI558" i="14" s="1"/>
  <c r="CJ557" i="14"/>
  <c r="CH89" i="14"/>
  <c r="CI89" i="14" s="1"/>
  <c r="CJ88" i="14"/>
  <c r="DG281" i="14"/>
  <c r="DH281" i="14" s="1"/>
  <c r="EH664" i="14"/>
  <c r="EF665" i="14"/>
  <c r="EG665" i="14" s="1"/>
  <c r="DX328" i="14"/>
  <c r="DV329" i="14"/>
  <c r="DW329" i="14" s="1"/>
  <c r="DG173" i="14"/>
  <c r="DH173" i="14" s="1"/>
  <c r="CM521" i="14"/>
  <c r="CN521" i="14" s="1"/>
  <c r="CO520" i="14"/>
  <c r="DB593" i="14"/>
  <c r="DC593" i="14" s="1"/>
  <c r="DD592" i="14"/>
  <c r="CH126" i="14"/>
  <c r="CI126" i="14" s="1"/>
  <c r="CJ125" i="14"/>
  <c r="DV498" i="14"/>
  <c r="DW498" i="14" s="1"/>
  <c r="DX497" i="14"/>
  <c r="CW558" i="14"/>
  <c r="CX558" i="14" s="1"/>
  <c r="CY557" i="14"/>
  <c r="CY532" i="14"/>
  <c r="CW533" i="14"/>
  <c r="CX533" i="14" s="1"/>
  <c r="CY425" i="14"/>
  <c r="CW426" i="14"/>
  <c r="CX426" i="14" s="1"/>
  <c r="DQ282" i="14"/>
  <c r="DR282" i="14" s="1"/>
  <c r="DS281" i="14"/>
  <c r="DB486" i="14"/>
  <c r="DC486" i="14" s="1"/>
  <c r="DD485" i="14"/>
  <c r="DN340" i="14"/>
  <c r="DL341" i="14"/>
  <c r="DM341" i="14" s="1"/>
  <c r="EA462" i="14"/>
  <c r="EB462" i="14" s="1"/>
  <c r="EC461" i="14"/>
  <c r="CY592" i="14"/>
  <c r="CW593" i="14"/>
  <c r="CX593" i="14" s="1"/>
  <c r="DS509" i="14"/>
  <c r="DQ510" i="14"/>
  <c r="DR510" i="14" s="1"/>
  <c r="DL570" i="14"/>
  <c r="DM570" i="14" s="1"/>
  <c r="DN569" i="14"/>
  <c r="CY628" i="14"/>
  <c r="CW629" i="14"/>
  <c r="CX629" i="14" s="1"/>
  <c r="DX125" i="14"/>
  <c r="DV126" i="14"/>
  <c r="DW126" i="14" s="1"/>
  <c r="EA101" i="14"/>
  <c r="EB101" i="14" s="1"/>
  <c r="EC100" i="14"/>
  <c r="CW402" i="14"/>
  <c r="CX402" i="14" s="1"/>
  <c r="CY401" i="14"/>
  <c r="EA666" i="14"/>
  <c r="EB666" i="14" s="1"/>
  <c r="EC665" i="14"/>
  <c r="EF174" i="14"/>
  <c r="EG174" i="14" s="1"/>
  <c r="EH173" i="14"/>
  <c r="EA677" i="14"/>
  <c r="EB677" i="14" s="1"/>
  <c r="EC676" i="14"/>
  <c r="EA66" i="14"/>
  <c r="EB66" i="14" s="1"/>
  <c r="EC65" i="14"/>
  <c r="EC545" i="14"/>
  <c r="EA546" i="14"/>
  <c r="EB546" i="14" s="1"/>
  <c r="DV618" i="14"/>
  <c r="DW618" i="14" s="1"/>
  <c r="DX617" i="14"/>
  <c r="CJ412" i="14"/>
  <c r="CH413" i="14"/>
  <c r="CI413" i="14" s="1"/>
  <c r="CH437" i="14"/>
  <c r="CI437" i="14" s="1"/>
  <c r="CJ436" i="14"/>
  <c r="CM138" i="14"/>
  <c r="CN138" i="14" s="1"/>
  <c r="CO137" i="14"/>
  <c r="DB437" i="14"/>
  <c r="DC437" i="14" s="1"/>
  <c r="DD436" i="14"/>
  <c r="CH582" i="14"/>
  <c r="CI582" i="14" s="1"/>
  <c r="CJ581" i="14"/>
  <c r="CR366" i="14"/>
  <c r="CS366" i="14" s="1"/>
  <c r="CT365" i="14"/>
  <c r="CT497" i="14"/>
  <c r="CR498" i="14"/>
  <c r="CS498" i="14" s="1"/>
  <c r="DD148" i="14"/>
  <c r="DB149" i="14"/>
  <c r="DC149" i="14" s="1"/>
  <c r="CC401" i="14"/>
  <c r="CD401" i="14" s="1"/>
  <c r="DS257" i="14"/>
  <c r="DQ258" i="14"/>
  <c r="DR258" i="14" s="1"/>
  <c r="CC89" i="14"/>
  <c r="CD89" i="14" s="1"/>
  <c r="DD400" i="14"/>
  <c r="DB401" i="14"/>
  <c r="DC401" i="14" s="1"/>
  <c r="CH593" i="14"/>
  <c r="CI593" i="14" s="1"/>
  <c r="CJ592" i="14"/>
  <c r="DX640" i="14"/>
  <c r="DV641" i="14"/>
  <c r="DW641" i="14" s="1"/>
  <c r="DD293" i="14"/>
  <c r="DB294" i="14"/>
  <c r="DC294" i="14" s="1"/>
  <c r="CJ292" i="14"/>
  <c r="CH293" i="14"/>
  <c r="CI293" i="14" s="1"/>
  <c r="DV186" i="14"/>
  <c r="DW186" i="14" s="1"/>
  <c r="DX185" i="14"/>
  <c r="EH353" i="14"/>
  <c r="EF354" i="14"/>
  <c r="EG354" i="14" s="1"/>
  <c r="DG485" i="14"/>
  <c r="DH485" i="14" s="1"/>
  <c r="CW354" i="14"/>
  <c r="CX354" i="14" s="1"/>
  <c r="CY353" i="14"/>
  <c r="CH666" i="14"/>
  <c r="CI666" i="14" s="1"/>
  <c r="CJ665" i="14"/>
  <c r="DN377" i="14"/>
  <c r="DL378" i="14"/>
  <c r="DM378" i="14" s="1"/>
  <c r="CW617" i="14"/>
  <c r="CX617" i="14" s="1"/>
  <c r="CY616" i="14"/>
  <c r="DL486" i="14"/>
  <c r="DM486" i="14" s="1"/>
  <c r="DN485" i="14"/>
  <c r="CW654" i="14"/>
  <c r="CX654" i="14" s="1"/>
  <c r="CY653" i="14"/>
  <c r="DQ329" i="14"/>
  <c r="DR329" i="14" s="1"/>
  <c r="DS328" i="14"/>
  <c r="DX293" i="14"/>
  <c r="DV294" i="14"/>
  <c r="DW294" i="14" s="1"/>
  <c r="CH246" i="14"/>
  <c r="CI246" i="14" s="1"/>
  <c r="CJ245" i="14"/>
  <c r="CC473" i="14"/>
  <c r="CD473" i="14" s="1"/>
  <c r="DG473" i="14"/>
  <c r="DH473" i="14" s="1"/>
  <c r="DG317" i="14"/>
  <c r="DH317" i="14" s="1"/>
  <c r="CH510" i="14"/>
  <c r="CI510" i="14" s="1"/>
  <c r="CJ509" i="14"/>
  <c r="EH53" i="14"/>
  <c r="EF54" i="14"/>
  <c r="EG54" i="14" s="1"/>
  <c r="EC352" i="14"/>
  <c r="EA353" i="14"/>
  <c r="EB353" i="14" s="1"/>
  <c r="DG341" i="14"/>
  <c r="DH341" i="14" s="1"/>
  <c r="DN532" i="14"/>
  <c r="DL533" i="14"/>
  <c r="DM533" i="14" s="1"/>
  <c r="EA186" i="14"/>
  <c r="EB186" i="14" s="1"/>
  <c r="EC185" i="14"/>
  <c r="CY461" i="14"/>
  <c r="CW462" i="14"/>
  <c r="CX462" i="14" s="1"/>
  <c r="EA329" i="14"/>
  <c r="EB329" i="14" s="1"/>
  <c r="EC328" i="14"/>
  <c r="CM281" i="14"/>
  <c r="CN281" i="14" s="1"/>
  <c r="CO280" i="14"/>
  <c r="EF401" i="14"/>
  <c r="EG401" i="14" s="1"/>
  <c r="EH400" i="14"/>
  <c r="EA389" i="14"/>
  <c r="EB389" i="14" s="1"/>
  <c r="EC388" i="14"/>
  <c r="DD184" i="14"/>
  <c r="DB185" i="14"/>
  <c r="DC185" i="14" s="1"/>
  <c r="EC232" i="14"/>
  <c r="EA233" i="14"/>
  <c r="EB233" i="14" s="1"/>
  <c r="CC65" i="14"/>
  <c r="CD65" i="14" s="1"/>
  <c r="DL605" i="14"/>
  <c r="DM605" i="14" s="1"/>
  <c r="DN604" i="14"/>
  <c r="CJ544" i="14"/>
  <c r="CH545" i="14"/>
  <c r="CI545" i="14" s="1"/>
  <c r="CM306" i="14"/>
  <c r="CN306" i="14" s="1"/>
  <c r="CO305" i="14"/>
  <c r="CM630" i="14"/>
  <c r="CN630" i="14" s="1"/>
  <c r="CO629" i="14"/>
  <c r="EC413" i="14"/>
  <c r="EA414" i="14"/>
  <c r="EB414" i="14" s="1"/>
  <c r="DB306" i="14"/>
  <c r="DC306" i="14" s="1"/>
  <c r="DD305" i="14"/>
  <c r="DS461" i="14"/>
  <c r="DQ462" i="14"/>
  <c r="DR462" i="14" s="1"/>
  <c r="CY640" i="14"/>
  <c r="CW641" i="14"/>
  <c r="CX641" i="14" s="1"/>
  <c r="DL149" i="14"/>
  <c r="DM149" i="14" s="1"/>
  <c r="DN148" i="14"/>
  <c r="EF654" i="14"/>
  <c r="EG654" i="14" s="1"/>
  <c r="EH653" i="14"/>
  <c r="DL353" i="14"/>
  <c r="DM353" i="14" s="1"/>
  <c r="DN352" i="14"/>
  <c r="CC149" i="14"/>
  <c r="CD149" i="14" s="1"/>
  <c r="DV222" i="14"/>
  <c r="DW222" i="14" s="1"/>
  <c r="DX221" i="14"/>
  <c r="CY365" i="14"/>
  <c r="CW366" i="14"/>
  <c r="CX366" i="14" s="1"/>
  <c r="CY665" i="14"/>
  <c r="CW666" i="14"/>
  <c r="CX666" i="14" s="1"/>
  <c r="DV630" i="14"/>
  <c r="DW630" i="14" s="1"/>
  <c r="DX629" i="14"/>
  <c r="DG209" i="14"/>
  <c r="DH209" i="14" s="1"/>
  <c r="DL678" i="14"/>
  <c r="DM678" i="14" s="1"/>
  <c r="DN677" i="14"/>
  <c r="CR557" i="14"/>
  <c r="CS557" i="14" s="1"/>
  <c r="CT556" i="14"/>
  <c r="DG245" i="14"/>
  <c r="DH245" i="14" s="1"/>
  <c r="DB222" i="14"/>
  <c r="DC222" i="14" s="1"/>
  <c r="DD221" i="14"/>
  <c r="DG329" i="14"/>
  <c r="DH329" i="14" s="1"/>
  <c r="CO388" i="14"/>
  <c r="CM389" i="14"/>
  <c r="CN389" i="14" s="1"/>
  <c r="DD341" i="14"/>
  <c r="DB342" i="14"/>
  <c r="DC342" i="14" s="1"/>
  <c r="CC485" i="14"/>
  <c r="CD485" i="14" s="1"/>
  <c r="CO220" i="14"/>
  <c r="CM221" i="14"/>
  <c r="CN221" i="14" s="1"/>
  <c r="DQ426" i="14"/>
  <c r="DR426" i="14" s="1"/>
  <c r="DS425" i="14"/>
  <c r="DX160" i="14"/>
  <c r="DV161" i="14"/>
  <c r="DW161" i="14" s="1"/>
  <c r="DB209" i="14"/>
  <c r="DC209" i="14" s="1"/>
  <c r="DD208" i="14"/>
  <c r="CR137" i="14"/>
  <c r="CS137" i="14" s="1"/>
  <c r="CT136" i="14"/>
  <c r="DN364" i="14"/>
  <c r="DL365" i="14"/>
  <c r="DM365" i="14" s="1"/>
  <c r="CC269" i="14"/>
  <c r="CD269" i="14" s="1"/>
  <c r="DG269" i="14"/>
  <c r="DH269" i="14" s="1"/>
  <c r="DL234" i="14"/>
  <c r="DM234" i="14" s="1"/>
  <c r="DN233" i="14"/>
  <c r="DB533" i="14"/>
  <c r="DC533" i="14" s="1"/>
  <c r="DD532" i="14"/>
  <c r="EA521" i="14"/>
  <c r="EB521" i="14" s="1"/>
  <c r="EC520" i="14"/>
  <c r="DB138" i="14"/>
  <c r="DC138" i="14" s="1"/>
  <c r="DD137" i="14"/>
  <c r="DQ341" i="14"/>
  <c r="DR341" i="14" s="1"/>
  <c r="DS340" i="14"/>
  <c r="CH605" i="14"/>
  <c r="CI605" i="14" s="1"/>
  <c r="CJ604" i="14"/>
  <c r="DB642" i="14"/>
  <c r="DC642" i="14" s="1"/>
  <c r="DD641" i="14"/>
  <c r="CO617" i="14"/>
  <c r="CM618" i="14"/>
  <c r="CN618" i="14" s="1"/>
  <c r="CC413" i="14"/>
  <c r="CD413" i="14" s="1"/>
  <c r="DL557" i="14"/>
  <c r="DM557" i="14" s="1"/>
  <c r="DN556" i="14"/>
  <c r="DS292" i="14"/>
  <c r="DQ293" i="14"/>
  <c r="DR293" i="14" s="1"/>
  <c r="CY148" i="14"/>
  <c r="CW149" i="14"/>
  <c r="CX149" i="14" s="1"/>
  <c r="CR414" i="14"/>
  <c r="CS414" i="14" s="1"/>
  <c r="CT413" i="14"/>
  <c r="CM557" i="14"/>
  <c r="CN557" i="14" s="1"/>
  <c r="CO556" i="14"/>
  <c r="CY581" i="14"/>
  <c r="CW582" i="14"/>
  <c r="CX582" i="14" s="1"/>
  <c r="DS545" i="14"/>
  <c r="DQ546" i="14"/>
  <c r="DR546" i="14" s="1"/>
  <c r="CT580" i="14"/>
  <c r="CR581" i="14"/>
  <c r="CS581" i="14" s="1"/>
  <c r="DV450" i="14"/>
  <c r="DW450" i="14" s="1"/>
  <c r="DX449" i="14"/>
  <c r="CY413" i="14"/>
  <c r="CW414" i="14"/>
  <c r="CX414" i="14" s="1"/>
  <c r="DL666" i="14"/>
  <c r="DM666" i="14" s="1"/>
  <c r="DN665" i="14"/>
  <c r="CC293" i="14"/>
  <c r="CD293" i="14" s="1"/>
  <c r="DD316" i="14"/>
  <c r="DB317" i="14"/>
  <c r="DC317" i="14" s="1"/>
  <c r="CT509" i="14"/>
  <c r="CR510" i="14"/>
  <c r="CS510" i="14" s="1"/>
  <c r="CW545" i="14"/>
  <c r="CX545" i="14" s="1"/>
  <c r="CY544" i="14"/>
  <c r="DD496" i="14"/>
  <c r="DB497" i="14"/>
  <c r="DC497" i="14" s="1"/>
  <c r="DV653" i="14"/>
  <c r="DW653" i="14" s="1"/>
  <c r="DX652" i="14"/>
  <c r="DV113" i="14"/>
  <c r="DW113" i="14" s="1"/>
  <c r="DX112" i="14"/>
  <c r="DQ473" i="14"/>
  <c r="DR473" i="14" s="1"/>
  <c r="DS472" i="14"/>
  <c r="EF438" i="14"/>
  <c r="EG438" i="14" s="1"/>
  <c r="EH437" i="14"/>
  <c r="CR569" i="14"/>
  <c r="CS569" i="14" s="1"/>
  <c r="CT568" i="14"/>
  <c r="EC196" i="14"/>
  <c r="EA197" i="14"/>
  <c r="EB197" i="14" s="1"/>
  <c r="DQ498" i="14"/>
  <c r="DR498" i="14" s="1"/>
  <c r="DS497" i="14"/>
  <c r="CT521" i="14"/>
  <c r="CR522" i="14"/>
  <c r="CS522" i="14" s="1"/>
  <c r="DN472" i="14"/>
  <c r="DL473" i="14"/>
  <c r="DM473" i="14" s="1"/>
  <c r="DD520" i="14"/>
  <c r="DB521" i="14"/>
  <c r="DC521" i="14" s="1"/>
  <c r="EA534" i="14"/>
  <c r="EB534" i="14" s="1"/>
  <c r="EC533" i="14"/>
  <c r="CT292" i="14"/>
  <c r="CR293" i="14"/>
  <c r="CS293" i="14" s="1"/>
  <c r="EA629" i="14"/>
  <c r="EB629" i="14" s="1"/>
  <c r="EC628" i="14"/>
  <c r="CR53" i="14"/>
  <c r="CS53" i="14" s="1"/>
  <c r="CT52" i="14"/>
  <c r="CR306" i="14"/>
  <c r="CS306" i="14" s="1"/>
  <c r="CT305" i="14"/>
  <c r="CC533" i="14"/>
  <c r="CD533" i="14" s="1"/>
  <c r="EF318" i="14"/>
  <c r="EG318" i="14" s="1"/>
  <c r="EH317" i="14"/>
  <c r="DQ629" i="14"/>
  <c r="DR629" i="14" s="1"/>
  <c r="DS628" i="14"/>
  <c r="DN617" i="14"/>
  <c r="DL618" i="14"/>
  <c r="DM618" i="14" s="1"/>
  <c r="EF509" i="14"/>
  <c r="EG509" i="14" s="1"/>
  <c r="EH508" i="14"/>
  <c r="CC389" i="14"/>
  <c r="CD389" i="14" s="1"/>
  <c r="DX545" i="14"/>
  <c r="DV546" i="14"/>
  <c r="DW546" i="14" s="1"/>
  <c r="EC640" i="14"/>
  <c r="EA641" i="14"/>
  <c r="EB641" i="14" s="1"/>
  <c r="CC677" i="14"/>
  <c r="CD677" i="14" s="1"/>
  <c r="CO376" i="14"/>
  <c r="CM377" i="14"/>
  <c r="CN377" i="14" s="1"/>
  <c r="DQ534" i="14"/>
  <c r="DR534" i="14" s="1"/>
  <c r="DS533" i="14"/>
  <c r="EA438" i="14"/>
  <c r="EB438" i="14" s="1"/>
  <c r="EC437" i="14"/>
  <c r="EA449" i="14"/>
  <c r="EB449" i="14" s="1"/>
  <c r="EC448" i="14"/>
  <c r="CM654" i="14"/>
  <c r="CN654" i="14" s="1"/>
  <c r="CO653" i="14"/>
  <c r="DG617" i="14"/>
  <c r="DH617" i="14" s="1"/>
  <c r="CC593" i="14"/>
  <c r="CD593" i="14" s="1"/>
  <c r="DG377" i="14"/>
  <c r="DH377" i="14" s="1"/>
  <c r="CO160" i="14"/>
  <c r="CM161" i="14"/>
  <c r="CN161" i="14" s="1"/>
  <c r="CY305" i="14"/>
  <c r="CW306" i="14"/>
  <c r="CX306" i="14" s="1"/>
  <c r="DB89" i="14"/>
  <c r="DC89" i="14" s="1"/>
  <c r="DD88" i="14"/>
  <c r="DV377" i="14"/>
  <c r="DW377" i="14" s="1"/>
  <c r="DX376" i="14"/>
  <c r="CC569" i="14"/>
  <c r="CD569" i="14" s="1"/>
  <c r="DG257" i="14"/>
  <c r="DH257" i="14" s="1"/>
  <c r="CC557" i="14"/>
  <c r="CD557" i="14" s="1"/>
  <c r="CY376" i="14"/>
  <c r="CW377" i="14"/>
  <c r="CX377" i="14" s="1"/>
  <c r="CT377" i="14"/>
  <c r="CR378" i="14"/>
  <c r="CS378" i="14" s="1"/>
  <c r="EF257" i="14"/>
  <c r="EG257" i="14" s="1"/>
  <c r="EH256" i="14"/>
  <c r="CT593" i="14"/>
  <c r="CR594" i="14"/>
  <c r="CS594" i="14" s="1"/>
  <c r="CC617" i="14"/>
  <c r="CD617" i="14" s="1"/>
  <c r="DG101" i="14"/>
  <c r="DH101" i="14" s="1"/>
  <c r="CO341" i="14"/>
  <c r="CM342" i="14"/>
  <c r="CN342" i="14" s="1"/>
  <c r="EH184" i="14"/>
  <c r="EF185" i="14"/>
  <c r="EG185" i="14" s="1"/>
  <c r="DB377" i="14"/>
  <c r="DC377" i="14" s="1"/>
  <c r="DD376" i="14"/>
  <c r="DG305" i="14"/>
  <c r="DH305" i="14" s="1"/>
  <c r="CT677" i="14"/>
  <c r="CR678" i="14"/>
  <c r="CS678" i="14" s="1"/>
  <c r="DD652" i="14"/>
  <c r="DB653" i="14"/>
  <c r="DC653" i="14" s="1"/>
  <c r="CH138" i="14"/>
  <c r="CI138" i="14" s="1"/>
  <c r="CJ137" i="14"/>
  <c r="CJ388" i="14"/>
  <c r="CH389" i="14"/>
  <c r="CI389" i="14" s="1"/>
  <c r="DN652" i="14"/>
  <c r="DL653" i="14"/>
  <c r="DM653" i="14" s="1"/>
  <c r="EA125" i="14"/>
  <c r="EB125" i="14" s="1"/>
  <c r="EC124" i="14"/>
  <c r="EC256" i="14"/>
  <c r="EA257" i="14"/>
  <c r="EB257" i="14" s="1"/>
  <c r="CW102" i="14"/>
  <c r="CX102" i="14" s="1"/>
  <c r="CY101" i="14"/>
  <c r="DB173" i="14"/>
  <c r="DC173" i="14" s="1"/>
  <c r="DD172" i="14"/>
  <c r="CC137" i="14"/>
  <c r="CD137" i="14" s="1"/>
  <c r="DX268" i="14"/>
  <c r="DV269" i="14"/>
  <c r="DW269" i="14" s="1"/>
  <c r="CT616" i="14"/>
  <c r="CR617" i="14"/>
  <c r="CS617" i="14" s="1"/>
  <c r="CO605" i="14"/>
  <c r="CM606" i="14"/>
  <c r="CN606" i="14" s="1"/>
  <c r="DN593" i="14"/>
  <c r="DL594" i="14"/>
  <c r="DM594" i="14" s="1"/>
  <c r="EC557" i="14"/>
  <c r="EA558" i="14"/>
  <c r="EB558" i="14" s="1"/>
  <c r="DS221" i="14"/>
  <c r="DQ222" i="14"/>
  <c r="DR222" i="14" s="1"/>
  <c r="EF102" i="14"/>
  <c r="EG102" i="14" s="1"/>
  <c r="EH101" i="14"/>
  <c r="DX521" i="14"/>
  <c r="DV522" i="14"/>
  <c r="DW522" i="14" s="1"/>
  <c r="CW485" i="14"/>
  <c r="CX485" i="14" s="1"/>
  <c r="CY484" i="14"/>
  <c r="CW137" i="14"/>
  <c r="CX137" i="14" s="1"/>
  <c r="CY136" i="14"/>
  <c r="DD196" i="14"/>
  <c r="DB197" i="14"/>
  <c r="DC197" i="14" s="1"/>
  <c r="EF365" i="14"/>
  <c r="EG365" i="14" s="1"/>
  <c r="EH364" i="14"/>
  <c r="DS100" i="14"/>
  <c r="DQ101" i="14"/>
  <c r="DR101" i="14" s="1"/>
  <c r="DS605" i="14"/>
  <c r="DQ606" i="14"/>
  <c r="DR606" i="14" s="1"/>
  <c r="CC509" i="14"/>
  <c r="CD509" i="14" s="1"/>
  <c r="DQ365" i="14"/>
  <c r="DR365" i="14" s="1"/>
  <c r="DS364" i="14"/>
  <c r="DX580" i="14"/>
  <c r="DV581" i="14"/>
  <c r="DW581" i="14" s="1"/>
  <c r="EF126" i="14"/>
  <c r="EG126" i="14" s="1"/>
  <c r="EH125" i="14"/>
  <c r="CC449" i="14"/>
  <c r="CD449" i="14" s="1"/>
  <c r="DB353" i="14"/>
  <c r="DC353" i="14" s="1"/>
  <c r="DD352" i="14"/>
  <c r="DG521" i="14"/>
  <c r="DH521" i="14" s="1"/>
  <c r="CM545" i="14"/>
  <c r="CN545" i="14" s="1"/>
  <c r="CO544" i="14"/>
  <c r="CH630" i="14"/>
  <c r="CI630" i="14" s="1"/>
  <c r="CJ629" i="14"/>
  <c r="DN209" i="14"/>
  <c r="DL210" i="14"/>
  <c r="DM210" i="14" s="1"/>
  <c r="CH330" i="14"/>
  <c r="CI330" i="14" s="1"/>
  <c r="CJ329" i="14"/>
  <c r="CO664" i="14"/>
  <c r="CM665" i="14"/>
  <c r="CN665" i="14" s="1"/>
  <c r="DD389" i="14"/>
  <c r="DB390" i="14"/>
  <c r="DC390" i="14" s="1"/>
  <c r="EF245" i="14"/>
  <c r="EG245" i="14" s="1"/>
  <c r="EH244" i="14"/>
  <c r="CJ640" i="14"/>
  <c r="CH641" i="14"/>
  <c r="CI641" i="14" s="1"/>
  <c r="DN412" i="14"/>
  <c r="DL413" i="14"/>
  <c r="DM413" i="14" s="1"/>
  <c r="CC521" i="14"/>
  <c r="CD521" i="14" s="1"/>
  <c r="CW222" i="14"/>
  <c r="CX222" i="14" s="1"/>
  <c r="CY221" i="14"/>
  <c r="EC569" i="14"/>
  <c r="EA570" i="14"/>
  <c r="EB570" i="14" s="1"/>
  <c r="CR629" i="14"/>
  <c r="CS629" i="14" s="1"/>
  <c r="CT628" i="14"/>
  <c r="CO233" i="14"/>
  <c r="CM234" i="14"/>
  <c r="CN234" i="14" s="1"/>
  <c r="EC340" i="14"/>
  <c r="EA341" i="14"/>
  <c r="EB341" i="14" s="1"/>
  <c r="CT640" i="14"/>
  <c r="CR641" i="14"/>
  <c r="CS641" i="14" s="1"/>
  <c r="DS437" i="14"/>
  <c r="DQ438" i="14"/>
  <c r="DR438" i="14" s="1"/>
  <c r="DD665" i="14"/>
  <c r="DB666" i="14"/>
  <c r="DC666" i="14" s="1"/>
  <c r="EF270" i="14"/>
  <c r="EG270" i="14" s="1"/>
  <c r="EH269" i="14"/>
  <c r="EC89" i="14"/>
  <c r="EA90" i="14"/>
  <c r="EB90" i="14" s="1"/>
  <c r="EH484" i="14"/>
  <c r="EF485" i="14"/>
  <c r="EG485" i="14" s="1"/>
  <c r="CM246" i="14"/>
  <c r="CN246" i="14" s="1"/>
  <c r="CO245" i="14"/>
  <c r="DV54" i="14"/>
  <c r="DW54" i="14" s="1"/>
  <c r="DX53" i="14"/>
  <c r="CO88" i="14"/>
  <c r="CM89" i="14"/>
  <c r="CN89" i="14" s="1"/>
  <c r="CO292" i="14"/>
  <c r="CM293" i="14"/>
  <c r="CN293" i="14" s="1"/>
  <c r="DN172" i="14"/>
  <c r="DL173" i="14"/>
  <c r="DM173" i="14" s="1"/>
  <c r="CT316" i="14"/>
  <c r="CR317" i="14"/>
  <c r="CS317" i="14" s="1"/>
  <c r="CY197" i="14"/>
  <c r="CW198" i="14"/>
  <c r="CX198" i="14" s="1"/>
  <c r="EC580" i="14"/>
  <c r="EA581" i="14"/>
  <c r="EB581" i="14" s="1"/>
  <c r="DX101" i="14"/>
  <c r="DV102" i="14"/>
  <c r="DW102" i="14" s="1"/>
  <c r="DQ641" i="14"/>
  <c r="DR641" i="14" s="1"/>
  <c r="DS640" i="14"/>
  <c r="CT280" i="14"/>
  <c r="CR281" i="14"/>
  <c r="CS281" i="14" s="1"/>
  <c r="CY341" i="14"/>
  <c r="CW342" i="14"/>
  <c r="CX342" i="14" s="1"/>
  <c r="DS112" i="14"/>
  <c r="DQ113" i="14"/>
  <c r="DR113" i="14" s="1"/>
  <c r="DN64" i="14"/>
  <c r="DL65" i="14"/>
  <c r="DM65" i="14" s="1"/>
  <c r="EF558" i="14"/>
  <c r="EG558" i="14" s="1"/>
  <c r="EH557" i="14"/>
  <c r="DX353" i="14"/>
  <c r="DV354" i="14"/>
  <c r="DW354" i="14" s="1"/>
  <c r="DG545" i="14"/>
  <c r="DH545" i="14" s="1"/>
  <c r="DV245" i="14"/>
  <c r="DW245" i="14" s="1"/>
  <c r="DX244" i="14"/>
  <c r="CR114" i="14"/>
  <c r="CS114" i="14" s="1"/>
  <c r="CT113" i="14"/>
  <c r="DN581" i="14"/>
  <c r="DL582" i="14"/>
  <c r="DM582" i="14" s="1"/>
  <c r="EA618" i="14"/>
  <c r="EB618" i="14" s="1"/>
  <c r="EC617" i="14"/>
  <c r="CM437" i="14"/>
  <c r="CN437" i="14" s="1"/>
  <c r="CO436" i="14"/>
  <c r="CO533" i="14"/>
  <c r="CM534" i="14"/>
  <c r="CN534" i="14" s="1"/>
  <c r="CC461" i="14"/>
  <c r="CD461" i="14" s="1"/>
  <c r="DX412" i="14"/>
  <c r="DV413" i="14"/>
  <c r="DW413" i="14" s="1"/>
  <c r="CH305" i="14"/>
  <c r="CI305" i="14" s="1"/>
  <c r="CJ304" i="14"/>
  <c r="CJ100" i="14"/>
  <c r="CH101" i="14"/>
  <c r="CI101" i="14" s="1"/>
  <c r="CR654" i="14"/>
  <c r="CS654" i="14" s="1"/>
  <c r="CT653" i="14"/>
  <c r="CO460" i="14"/>
  <c r="CM461" i="14"/>
  <c r="CN461" i="14" s="1"/>
  <c r="CJ184" i="14"/>
  <c r="CH185" i="14"/>
  <c r="CI185" i="14" s="1"/>
  <c r="CH353" i="14"/>
  <c r="CI353" i="14" s="1"/>
  <c r="CJ352" i="14"/>
  <c r="DN257" i="14"/>
  <c r="DL258" i="14"/>
  <c r="DM258" i="14" s="1"/>
  <c r="EC485" i="14"/>
  <c r="EA486" i="14"/>
  <c r="EB486" i="14" s="1"/>
  <c r="CC125" i="14"/>
  <c r="CD125" i="14" s="1"/>
  <c r="CW293" i="14"/>
  <c r="CX293" i="14" s="1"/>
  <c r="CY292" i="14"/>
  <c r="DG461" i="14"/>
  <c r="DH461" i="14" s="1"/>
  <c r="CM582" i="14"/>
  <c r="CN582" i="14" s="1"/>
  <c r="CO581" i="14"/>
  <c r="DN113" i="14"/>
  <c r="DL114" i="14"/>
  <c r="DM114" i="14" s="1"/>
  <c r="EF629" i="14"/>
  <c r="EG629" i="14" s="1"/>
  <c r="EH628" i="14"/>
  <c r="DN197" i="14"/>
  <c r="DL198" i="14"/>
  <c r="DM198" i="14" s="1"/>
  <c r="CT604" i="14"/>
  <c r="CR605" i="14"/>
  <c r="CS605" i="14" s="1"/>
  <c r="DL522" i="14"/>
  <c r="DM522" i="14" s="1"/>
  <c r="DN521" i="14"/>
  <c r="DG53" i="14"/>
  <c r="DH53" i="14" s="1"/>
  <c r="DG293" i="14"/>
  <c r="DH293" i="14" s="1"/>
  <c r="EA318" i="14"/>
  <c r="EB318" i="14" s="1"/>
  <c r="EC317" i="14"/>
  <c r="CY124" i="14"/>
  <c r="CW125" i="14"/>
  <c r="CX125" i="14" s="1"/>
  <c r="DG197" i="14"/>
  <c r="DH197" i="14" s="1"/>
  <c r="CR234" i="14"/>
  <c r="CS234" i="14" s="1"/>
  <c r="CT233" i="14"/>
  <c r="EH676" i="14"/>
  <c r="EF677" i="14"/>
  <c r="EG677" i="14" s="1"/>
  <c r="CC53" i="14"/>
  <c r="CD53" i="14" s="1"/>
  <c r="DG65" i="14"/>
  <c r="DH65" i="14" s="1"/>
  <c r="EF281" i="14"/>
  <c r="EG281" i="14" s="1"/>
  <c r="EH280" i="14"/>
  <c r="CR90" i="14"/>
  <c r="CS90" i="14" s="1"/>
  <c r="CT89" i="14"/>
  <c r="CM642" i="14"/>
  <c r="CN642" i="14" s="1"/>
  <c r="CO641" i="14"/>
  <c r="CJ220" i="14"/>
  <c r="CH221" i="14"/>
  <c r="CI221" i="14" s="1"/>
  <c r="CR533" i="14"/>
  <c r="CS533" i="14" s="1"/>
  <c r="CT532" i="14"/>
  <c r="EH473" i="14"/>
  <c r="EF474" i="14"/>
  <c r="EG474" i="14" s="1"/>
  <c r="DG161" i="14"/>
  <c r="DH161" i="14" s="1"/>
  <c r="CO101" i="14"/>
  <c r="CM102" i="14"/>
  <c r="CN102" i="14" s="1"/>
  <c r="CJ460" i="14"/>
  <c r="CH461" i="14"/>
  <c r="CI461" i="14" s="1"/>
  <c r="CC641" i="14"/>
  <c r="CD641" i="14" s="1"/>
  <c r="CC605" i="14"/>
  <c r="CD605" i="14" s="1"/>
  <c r="EA138" i="14"/>
  <c r="EB138" i="14" s="1"/>
  <c r="EC137" i="14"/>
  <c r="DQ617" i="14"/>
  <c r="DR617" i="14" s="1"/>
  <c r="DS616" i="14"/>
  <c r="EF114" i="14"/>
  <c r="EG114" i="14" s="1"/>
  <c r="EH113" i="14"/>
  <c r="CY245" i="14"/>
  <c r="CW246" i="14"/>
  <c r="CX246" i="14" s="1"/>
  <c r="CY521" i="14"/>
  <c r="CW522" i="14"/>
  <c r="CX522" i="14" s="1"/>
  <c r="DG113" i="14"/>
  <c r="DH113" i="14" s="1"/>
  <c r="EF294" i="14"/>
  <c r="EG294" i="14" s="1"/>
  <c r="EH293" i="14"/>
  <c r="DG593" i="14"/>
  <c r="DH593" i="14" s="1"/>
  <c r="DS400" i="14"/>
  <c r="DQ401" i="14"/>
  <c r="DR401" i="14" s="1"/>
  <c r="CC305" i="14"/>
  <c r="CD305" i="14" s="1"/>
  <c r="DN640" i="14"/>
  <c r="DL641" i="14"/>
  <c r="DM641" i="14" s="1"/>
  <c r="EF425" i="14"/>
  <c r="EG425" i="14" s="1"/>
  <c r="EH424" i="14"/>
  <c r="DL90" i="14"/>
  <c r="DM90" i="14" s="1"/>
  <c r="DN89" i="14"/>
  <c r="EH641" i="14"/>
  <c r="EF642" i="14"/>
  <c r="EG642" i="14" s="1"/>
  <c r="DQ138" i="14"/>
  <c r="DR138" i="14" s="1"/>
  <c r="DS137" i="14"/>
  <c r="EH149" i="14"/>
  <c r="EF150" i="14"/>
  <c r="EG150" i="14" s="1"/>
  <c r="CR186" i="14"/>
  <c r="CS186" i="14" s="1"/>
  <c r="CT185" i="14"/>
  <c r="DX173" i="14"/>
  <c r="DV174" i="14"/>
  <c r="DW174" i="14" s="1"/>
  <c r="CC233" i="14"/>
  <c r="CD233" i="14" s="1"/>
  <c r="DL294" i="14"/>
  <c r="DM294" i="14" s="1"/>
  <c r="DN293" i="14"/>
  <c r="DS209" i="14"/>
  <c r="DQ210" i="14"/>
  <c r="DR210" i="14" s="1"/>
  <c r="CW53" i="14"/>
  <c r="CX53" i="14" s="1"/>
  <c r="CY52" i="14"/>
  <c r="EH329" i="14"/>
  <c r="EF330" i="14"/>
  <c r="EG330" i="14" s="1"/>
  <c r="CW65" i="14"/>
  <c r="CX65" i="14" s="1"/>
  <c r="CY64" i="14"/>
  <c r="EC280" i="14"/>
  <c r="EA281" i="14"/>
  <c r="EB281" i="14" s="1"/>
  <c r="DD568" i="14"/>
  <c r="DB569" i="14"/>
  <c r="DC569" i="14" s="1"/>
  <c r="CO316" i="14"/>
  <c r="CM317" i="14"/>
  <c r="CN317" i="14" s="1"/>
  <c r="DN629" i="14"/>
  <c r="DL630" i="14"/>
  <c r="DM630" i="14" s="1"/>
  <c r="CM66" i="14"/>
  <c r="CN66" i="14" s="1"/>
  <c r="CO65" i="14"/>
  <c r="EF522" i="14"/>
  <c r="EG522" i="14" s="1"/>
  <c r="EH521" i="14"/>
  <c r="EH376" i="14"/>
  <c r="EF377" i="14"/>
  <c r="EG377" i="14" s="1"/>
  <c r="EA305" i="14"/>
  <c r="EB305" i="14" s="1"/>
  <c r="EC304" i="14"/>
  <c r="DN460" i="14"/>
  <c r="DL461" i="14"/>
  <c r="DM461" i="14" s="1"/>
  <c r="CW114" i="14"/>
  <c r="CX114" i="14" s="1"/>
  <c r="CY113" i="14"/>
  <c r="DB125" i="14"/>
  <c r="DC125" i="14" s="1"/>
  <c r="DD124" i="14"/>
  <c r="CT161" i="14"/>
  <c r="CR162" i="14"/>
  <c r="CS162" i="14" s="1"/>
  <c r="DL438" i="14"/>
  <c r="DM438" i="14" s="1"/>
  <c r="DN437" i="14"/>
  <c r="EH89" i="14"/>
  <c r="EF90" i="14"/>
  <c r="EG90" i="14" s="1"/>
  <c r="DQ653" i="14"/>
  <c r="DR653" i="14" s="1"/>
  <c r="DS652" i="14"/>
  <c r="DQ306" i="14"/>
  <c r="DR306" i="14" s="1"/>
  <c r="DS305" i="14"/>
  <c r="DG389" i="14"/>
  <c r="DH389" i="14" s="1"/>
  <c r="CW162" i="14"/>
  <c r="CX162" i="14" s="1"/>
  <c r="CY161" i="14"/>
  <c r="DX65" i="14"/>
  <c r="DV66" i="14"/>
  <c r="DW66" i="14" s="1"/>
  <c r="DX425" i="14"/>
  <c r="DV426" i="14"/>
  <c r="DW426" i="14" s="1"/>
  <c r="DV389" i="14"/>
  <c r="DW389" i="14" s="1"/>
  <c r="DX388" i="14"/>
  <c r="CH281" i="14"/>
  <c r="CI281" i="14" s="1"/>
  <c r="CJ280" i="14"/>
  <c r="CT269" i="14"/>
  <c r="CR270" i="14"/>
  <c r="CS270" i="14" s="1"/>
  <c r="DB269" i="14"/>
  <c r="DC269" i="14" s="1"/>
  <c r="DD268" i="14"/>
  <c r="CC257" i="14"/>
  <c r="CD257" i="14" s="1"/>
  <c r="EC209" i="14"/>
  <c r="EA210" i="14"/>
  <c r="EB210" i="14" s="1"/>
  <c r="EF618" i="14"/>
  <c r="EG618" i="14" s="1"/>
  <c r="EH617" i="14"/>
  <c r="CO149" i="14"/>
  <c r="CM150" i="14"/>
  <c r="CN150" i="14" s="1"/>
  <c r="CH485" i="14"/>
  <c r="CI485" i="14" s="1"/>
  <c r="CJ484" i="14"/>
  <c r="CR474" i="14"/>
  <c r="CS474" i="14" s="1"/>
  <c r="CT473" i="14"/>
  <c r="EF197" i="14"/>
  <c r="EG197" i="14" s="1"/>
  <c r="EH196" i="14"/>
  <c r="CR402" i="14"/>
  <c r="CS402" i="14" s="1"/>
  <c r="CT401" i="14"/>
  <c r="CM354" i="14"/>
  <c r="CN354" i="14" s="1"/>
  <c r="CO353" i="14"/>
  <c r="CH654" i="14"/>
  <c r="CI654" i="14" s="1"/>
  <c r="CJ653" i="14"/>
  <c r="DS88" i="14"/>
  <c r="DQ89" i="14"/>
  <c r="DR89" i="14" s="1"/>
  <c r="CY568" i="14"/>
  <c r="CW569" i="14"/>
  <c r="CX569" i="14" s="1"/>
  <c r="DB606" i="14"/>
  <c r="DC606" i="14" s="1"/>
  <c r="DD605" i="14"/>
  <c r="DX557" i="14"/>
  <c r="DV558" i="14"/>
  <c r="DW558" i="14" s="1"/>
  <c r="EH569" i="14"/>
  <c r="EF570" i="14"/>
  <c r="EG570" i="14" s="1"/>
  <c r="EF450" i="14"/>
  <c r="EG450" i="14" s="1"/>
  <c r="EH449" i="14"/>
  <c r="DG557" i="14"/>
  <c r="DH557" i="14" s="1"/>
  <c r="DX317" i="14"/>
  <c r="DV318" i="14"/>
  <c r="DW318" i="14" s="1"/>
  <c r="CC113" i="14"/>
  <c r="CD113" i="14" s="1"/>
  <c r="DN497" i="14"/>
  <c r="DL498" i="14"/>
  <c r="DM498" i="14" s="1"/>
  <c r="CR102" i="14"/>
  <c r="CS102" i="14" s="1"/>
  <c r="CT101" i="14"/>
  <c r="EF234" i="14"/>
  <c r="EG234" i="14" s="1"/>
  <c r="EH233" i="14"/>
  <c r="EF210" i="14"/>
  <c r="EG210" i="14" s="1"/>
  <c r="EH209" i="14"/>
  <c r="EC220" i="14"/>
  <c r="EA221" i="14"/>
  <c r="EB221" i="14" s="1"/>
  <c r="CC245" i="14"/>
  <c r="CD245" i="14" s="1"/>
  <c r="DS149" i="14"/>
  <c r="DQ150" i="14"/>
  <c r="DR150" i="14" s="1"/>
  <c r="CC185" i="14"/>
  <c r="CD185" i="14" s="1"/>
  <c r="DG425" i="14"/>
  <c r="DH425" i="14" s="1"/>
  <c r="DG533" i="14"/>
  <c r="DH533" i="14" s="1"/>
  <c r="DL125" i="14"/>
  <c r="DM125" i="14" s="1"/>
  <c r="DN124" i="14"/>
  <c r="CC209" i="14"/>
  <c r="CD209" i="14" s="1"/>
  <c r="CW390" i="14"/>
  <c r="CX390" i="14" s="1"/>
  <c r="CY389" i="14"/>
  <c r="EF414" i="14"/>
  <c r="EG414" i="14" s="1"/>
  <c r="EH413" i="14"/>
  <c r="DG401" i="14"/>
  <c r="DH401" i="14" s="1"/>
  <c r="CT124" i="14"/>
  <c r="CR125" i="14"/>
  <c r="CS125" i="14" s="1"/>
  <c r="EC652" i="14"/>
  <c r="EA653" i="14"/>
  <c r="EB653" i="14" s="1"/>
  <c r="DX665" i="14"/>
  <c r="DV666" i="14"/>
  <c r="DW666" i="14" s="1"/>
  <c r="DN449" i="14"/>
  <c r="DL450" i="14"/>
  <c r="DM450" i="14" s="1"/>
  <c r="CJ533" i="14"/>
  <c r="CH534" i="14"/>
  <c r="CI534" i="14" s="1"/>
  <c r="CW329" i="14"/>
  <c r="CX329" i="14" s="1"/>
  <c r="CY328" i="14"/>
  <c r="CO329" i="14"/>
  <c r="CM330" i="14"/>
  <c r="CN330" i="14" s="1"/>
  <c r="DS352" i="14"/>
  <c r="DQ353" i="14"/>
  <c r="DR353" i="14" s="1"/>
  <c r="CR342" i="14"/>
  <c r="CS342" i="14" s="1"/>
  <c r="CT341" i="14"/>
  <c r="CM570" i="14"/>
  <c r="CN570" i="14" s="1"/>
  <c r="CO569" i="14"/>
  <c r="CH401" i="14"/>
  <c r="CI401" i="14" s="1"/>
  <c r="CJ400" i="14"/>
  <c r="CJ497" i="14"/>
  <c r="CH498" i="14"/>
  <c r="CI498" i="14" s="1"/>
  <c r="CJ161" i="14"/>
  <c r="CH162" i="14"/>
  <c r="CI162" i="14" s="1"/>
  <c r="EA54" i="14"/>
  <c r="EB54" i="14" s="1"/>
  <c r="EC53" i="14"/>
  <c r="DV257" i="14"/>
  <c r="DW257" i="14" s="1"/>
  <c r="DX256" i="14"/>
  <c r="DG605" i="14"/>
  <c r="DH605" i="14" s="1"/>
  <c r="DB113" i="14"/>
  <c r="DC113" i="14" s="1"/>
  <c r="DD112" i="14"/>
  <c r="DS124" i="14"/>
  <c r="DQ125" i="14"/>
  <c r="DR125" i="14" s="1"/>
  <c r="CO473" i="14"/>
  <c r="CM474" i="14"/>
  <c r="CN474" i="14" s="1"/>
  <c r="DB545" i="14"/>
  <c r="DC545" i="14" s="1"/>
  <c r="DD544" i="14"/>
  <c r="CO209" i="14"/>
  <c r="CM210" i="14"/>
  <c r="CN210" i="14" s="1"/>
  <c r="DB234" i="14"/>
  <c r="DC234" i="14" s="1"/>
  <c r="DD233" i="14"/>
  <c r="DB461" i="14"/>
  <c r="DC461" i="14" s="1"/>
  <c r="DD460" i="14"/>
  <c r="DN280" i="14"/>
  <c r="DL281" i="14"/>
  <c r="DM281" i="14" s="1"/>
  <c r="DD245" i="14"/>
  <c r="DB246" i="14"/>
  <c r="DC246" i="14" s="1"/>
  <c r="CW509" i="14"/>
  <c r="CX509" i="14" s="1"/>
  <c r="CY508" i="14"/>
  <c r="CC197" i="14"/>
  <c r="CD197" i="14" s="1"/>
  <c r="DG629" i="14"/>
  <c r="DH629" i="14" s="1"/>
  <c r="DB630" i="14"/>
  <c r="DC630" i="14" s="1"/>
  <c r="DD629" i="14"/>
  <c r="CR221" i="14"/>
  <c r="CS221" i="14" s="1"/>
  <c r="CT220" i="14"/>
  <c r="DL245" i="14"/>
  <c r="DM245" i="14" s="1"/>
  <c r="DN244" i="14"/>
  <c r="CO196" i="14"/>
  <c r="CM197" i="14"/>
  <c r="CN197" i="14" s="1"/>
  <c r="EH533" i="14"/>
  <c r="EF534" i="14"/>
  <c r="EG534" i="14" s="1"/>
  <c r="DX473" i="14"/>
  <c r="DV474" i="14"/>
  <c r="DW474" i="14" s="1"/>
  <c r="DS376" i="14"/>
  <c r="DQ377" i="14"/>
  <c r="DR377" i="14" s="1"/>
  <c r="CC497" i="14"/>
  <c r="CD497" i="14" s="1"/>
  <c r="DD161" i="14"/>
  <c r="DB162" i="14"/>
  <c r="DC162" i="14" s="1"/>
  <c r="CC365" i="14"/>
  <c r="CD365" i="14" s="1"/>
  <c r="CR174" i="14"/>
  <c r="CS174" i="14" s="1"/>
  <c r="CT173" i="14"/>
  <c r="CH234" i="14"/>
  <c r="CI234" i="14" s="1"/>
  <c r="CJ233" i="14"/>
  <c r="EH340" i="14"/>
  <c r="EF341" i="14"/>
  <c r="EG341" i="14" s="1"/>
  <c r="DV366" i="14"/>
  <c r="DW366" i="14" s="1"/>
  <c r="DX365" i="14"/>
  <c r="EH64" i="14"/>
  <c r="EF65" i="14"/>
  <c r="EG65" i="14" s="1"/>
  <c r="CH269" i="14"/>
  <c r="CI269" i="14" s="1"/>
  <c r="CJ268" i="14"/>
  <c r="DN100" i="14"/>
  <c r="DL101" i="14"/>
  <c r="DM101" i="14" s="1"/>
  <c r="EC148" i="14"/>
  <c r="EA149" i="14"/>
  <c r="EB149" i="14" s="1"/>
  <c r="EC112" i="14"/>
  <c r="EA113" i="14"/>
  <c r="EB113" i="14" s="1"/>
  <c r="DX136" i="14"/>
  <c r="DV137" i="14"/>
  <c r="DW137" i="14" s="1"/>
  <c r="DQ389" i="14"/>
  <c r="DR389" i="14" s="1"/>
  <c r="DS388" i="14"/>
  <c r="CY316" i="14"/>
  <c r="CW317" i="14"/>
  <c r="CX317" i="14" s="1"/>
  <c r="EC424" i="14"/>
  <c r="EA425" i="14"/>
  <c r="EB425" i="14" s="1"/>
  <c r="DS65" i="14"/>
  <c r="DQ66" i="14"/>
  <c r="DR66" i="14" s="1"/>
  <c r="CW173" i="14"/>
  <c r="CX173" i="14" s="1"/>
  <c r="CY172" i="14"/>
  <c r="DL53" i="14"/>
  <c r="DM53" i="14" s="1"/>
  <c r="DN52" i="14"/>
  <c r="DN161" i="14"/>
  <c r="DL162" i="14"/>
  <c r="DM162" i="14" s="1"/>
  <c r="CW210" i="14"/>
  <c r="CX210" i="14" s="1"/>
  <c r="CY209" i="14"/>
  <c r="CJ65" i="14"/>
  <c r="CH66" i="14"/>
  <c r="CI66" i="14" s="1"/>
  <c r="CR330" i="14"/>
  <c r="CS330" i="14" s="1"/>
  <c r="CT329" i="14"/>
  <c r="CH426" i="14"/>
  <c r="CI426" i="14" s="1"/>
  <c r="CJ425" i="14"/>
  <c r="CO412" i="14"/>
  <c r="CM413" i="14"/>
  <c r="CN413" i="14" s="1"/>
  <c r="CC665" i="14"/>
  <c r="CD665" i="14" s="1"/>
  <c r="CO257" i="14"/>
  <c r="CM258" i="14"/>
  <c r="CN258" i="14" s="1"/>
  <c r="DX401" i="14"/>
  <c r="DV402" i="14"/>
  <c r="DW402" i="14" s="1"/>
  <c r="CM425" i="14"/>
  <c r="CN425" i="14" s="1"/>
  <c r="CO424" i="14"/>
  <c r="DD412" i="14"/>
  <c r="DB413" i="14"/>
  <c r="DC413" i="14" s="1"/>
  <c r="CC281" i="14"/>
  <c r="CD281" i="14" s="1"/>
  <c r="CC377" i="14"/>
  <c r="CD377" i="14" s="1"/>
  <c r="DQ450" i="14"/>
  <c r="DR450" i="14" s="1"/>
  <c r="DS449" i="14"/>
  <c r="DG365" i="14"/>
  <c r="DH365" i="14" s="1"/>
  <c r="CO124" i="14"/>
  <c r="CM125" i="14"/>
  <c r="CN125" i="14" s="1"/>
  <c r="CR150" i="14"/>
  <c r="CS150" i="14" s="1"/>
  <c r="CT149" i="14"/>
  <c r="CJ208" i="14"/>
  <c r="CH209" i="14"/>
  <c r="CI209" i="14" s="1"/>
  <c r="EH137" i="14"/>
  <c r="EF138" i="14"/>
  <c r="EG138" i="14" s="1"/>
  <c r="EH389" i="14"/>
  <c r="EF390" i="14"/>
  <c r="EG390" i="14" s="1"/>
  <c r="CW497" i="14"/>
  <c r="CX497" i="14" s="1"/>
  <c r="CY496" i="14"/>
  <c r="CT664" i="14"/>
  <c r="CR665" i="14"/>
  <c r="CS665" i="14" s="1"/>
  <c r="EC496" i="14"/>
  <c r="EA497" i="14"/>
  <c r="EB497" i="14" s="1"/>
  <c r="EA378" i="14"/>
  <c r="EB378" i="14" s="1"/>
  <c r="EC377" i="14"/>
  <c r="DD65" i="14"/>
  <c r="DB66" i="14"/>
  <c r="DC66" i="14" s="1"/>
  <c r="CT437" i="14"/>
  <c r="CR438" i="14"/>
  <c r="CS438" i="14" s="1"/>
  <c r="DG233" i="14"/>
  <c r="DH233" i="14" s="1"/>
  <c r="EH160" i="14"/>
  <c r="EF161" i="14"/>
  <c r="EG161" i="14" s="1"/>
  <c r="DQ198" i="14"/>
  <c r="DR198" i="14" s="1"/>
  <c r="DS197" i="14"/>
  <c r="CC353" i="14"/>
  <c r="CD353" i="14" s="1"/>
  <c r="CR390" i="14"/>
  <c r="CS390" i="14" s="1"/>
  <c r="CT389" i="14"/>
  <c r="DG665" i="14"/>
  <c r="DH665" i="14" s="1"/>
  <c r="CH618" i="14"/>
  <c r="CI618" i="14" s="1"/>
  <c r="CJ617" i="14"/>
  <c r="CO53" i="14"/>
  <c r="CM54" i="14"/>
  <c r="CN54" i="14" s="1"/>
  <c r="DV533" i="14"/>
  <c r="DW533" i="14" s="1"/>
  <c r="DX532" i="14"/>
  <c r="CY281" i="14"/>
  <c r="CW282" i="14"/>
  <c r="CX282" i="14" s="1"/>
  <c r="DG569" i="14"/>
  <c r="DH569" i="14" s="1"/>
  <c r="EA294" i="14"/>
  <c r="EB294" i="14" s="1"/>
  <c r="EC293" i="14"/>
  <c r="DG449" i="14"/>
  <c r="DH449" i="14" s="1"/>
  <c r="CH149" i="14"/>
  <c r="CI149" i="14" s="1"/>
  <c r="CJ148" i="14"/>
  <c r="DB425" i="14"/>
  <c r="DC425" i="14" s="1"/>
  <c r="DD424" i="14"/>
  <c r="CY88" i="14"/>
  <c r="CW89" i="14"/>
  <c r="CX89" i="14" s="1"/>
  <c r="CC545" i="14"/>
  <c r="CD545" i="14" s="1"/>
  <c r="EF498" i="14"/>
  <c r="EG498" i="14" s="1"/>
  <c r="EH497" i="14"/>
  <c r="DB258" i="14"/>
  <c r="DC258" i="14" s="1"/>
  <c r="DD257" i="14"/>
  <c r="CJ173" i="14"/>
  <c r="CH174" i="14"/>
  <c r="CI174" i="14" s="1"/>
  <c r="DQ174" i="14"/>
  <c r="DR174" i="14" s="1"/>
  <c r="DS173" i="14"/>
  <c r="DS245" i="14"/>
  <c r="DQ246" i="14"/>
  <c r="DR246" i="14" s="1"/>
  <c r="CJ196" i="14"/>
  <c r="CH197" i="14"/>
  <c r="CI197" i="14" s="1"/>
  <c r="DG353" i="14"/>
  <c r="DH353" i="14" s="1"/>
  <c r="CO365" i="14"/>
  <c r="CM366" i="14"/>
  <c r="CN366" i="14" s="1"/>
  <c r="DQ570" i="14"/>
  <c r="DR570" i="14" s="1"/>
  <c r="DS569" i="14"/>
  <c r="CO484" i="14"/>
  <c r="CM485" i="14"/>
  <c r="CN485" i="14" s="1"/>
  <c r="CJ316" i="14"/>
  <c r="CH317" i="14"/>
  <c r="CI317" i="14" s="1"/>
  <c r="CC425" i="14"/>
  <c r="CD425" i="14" s="1"/>
  <c r="CW186" i="14"/>
  <c r="CX186" i="14" s="1"/>
  <c r="CY185" i="14"/>
  <c r="DG137" i="14"/>
  <c r="DH137" i="14" s="1"/>
  <c r="CT544" i="14"/>
  <c r="CR545" i="14"/>
  <c r="CS545" i="14" s="1"/>
  <c r="CC329" i="14"/>
  <c r="CD329" i="14" s="1"/>
  <c r="DG677" i="14"/>
  <c r="DH677" i="14" s="1"/>
  <c r="CC161" i="14"/>
  <c r="CD161" i="14" s="1"/>
  <c r="CM450" i="14"/>
  <c r="CN450" i="14" s="1"/>
  <c r="CO449" i="14"/>
  <c r="CW438" i="14"/>
  <c r="CX438" i="14" s="1"/>
  <c r="CY437" i="14"/>
  <c r="DG581" i="14"/>
  <c r="DH581" i="14" s="1"/>
  <c r="EF606" i="14"/>
  <c r="EG606" i="14" s="1"/>
  <c r="EH605" i="14"/>
  <c r="DQ414" i="14"/>
  <c r="DR414" i="14" s="1"/>
  <c r="DS413" i="14"/>
  <c r="CT245" i="14"/>
  <c r="CR246" i="14"/>
  <c r="CS246" i="14" s="1"/>
  <c r="DS161" i="14"/>
  <c r="DQ162" i="14"/>
  <c r="DR162" i="14" s="1"/>
  <c r="CJ53" i="14"/>
  <c r="CH54" i="14"/>
  <c r="CI54" i="14" s="1"/>
  <c r="DX485" i="14"/>
  <c r="DV486" i="14"/>
  <c r="DW486" i="14" s="1"/>
  <c r="DQ677" i="14"/>
  <c r="DR677" i="14" s="1"/>
  <c r="DS676" i="14"/>
  <c r="CR209" i="14"/>
  <c r="CS209" i="14" s="1"/>
  <c r="CT208" i="14"/>
  <c r="DS269" i="14"/>
  <c r="DQ270" i="14"/>
  <c r="DR270" i="14" s="1"/>
  <c r="DD581" i="14"/>
  <c r="DB582" i="14"/>
  <c r="DC582" i="14" s="1"/>
  <c r="EC605" i="14"/>
  <c r="EA606" i="14"/>
  <c r="EB606" i="14" s="1"/>
  <c r="DV569" i="14"/>
  <c r="DW569" i="14" s="1"/>
  <c r="DX568" i="14"/>
  <c r="CR354" i="14"/>
  <c r="CS354" i="14" s="1"/>
  <c r="CT353" i="14"/>
  <c r="EF221" i="14"/>
  <c r="EG221" i="14" s="1"/>
  <c r="EH220" i="14"/>
  <c r="DG413" i="14"/>
  <c r="DH413" i="14" s="1"/>
  <c r="DS593" i="14"/>
  <c r="DQ594" i="14"/>
  <c r="DR594" i="14" s="1"/>
  <c r="CH570" i="14"/>
  <c r="CI570" i="14" s="1"/>
  <c r="CJ569" i="14"/>
  <c r="DD472" i="14"/>
  <c r="DB473" i="14"/>
  <c r="DC473" i="14" s="1"/>
  <c r="EC365" i="14"/>
  <c r="EA366" i="14"/>
  <c r="EB366" i="14" s="1"/>
  <c r="CC101" i="14"/>
  <c r="CD101" i="14" s="1"/>
  <c r="DG509" i="14"/>
  <c r="DH509" i="14" s="1"/>
  <c r="DX209" i="14"/>
  <c r="DV210" i="14"/>
  <c r="DW210" i="14" s="1"/>
  <c r="DG641" i="14"/>
  <c r="DH641" i="14" s="1"/>
  <c r="CJ340" i="14"/>
  <c r="CH341" i="14"/>
  <c r="CI341" i="14" s="1"/>
  <c r="DD100" i="14"/>
  <c r="DB101" i="14"/>
  <c r="DC101" i="14" s="1"/>
  <c r="CJ520" i="14"/>
  <c r="CH521" i="14"/>
  <c r="CI521" i="14" s="1"/>
  <c r="EA270" i="14"/>
  <c r="EB270" i="14" s="1"/>
  <c r="EC269" i="14"/>
  <c r="CJ113" i="14"/>
  <c r="CH114" i="14"/>
  <c r="CI114" i="14" s="1"/>
  <c r="CO509" i="14"/>
  <c r="CM510" i="14"/>
  <c r="CN510" i="14" s="1"/>
  <c r="DL318" i="14"/>
  <c r="DM318" i="14" s="1"/>
  <c r="DN317" i="14"/>
  <c r="DD509" i="14"/>
  <c r="DB510" i="14"/>
  <c r="DC510" i="14" s="1"/>
  <c r="DX677" i="14"/>
  <c r="DV678" i="14"/>
  <c r="DW678" i="14" s="1"/>
  <c r="CM497" i="14"/>
  <c r="CN497" i="14" s="1"/>
  <c r="CO496" i="14"/>
  <c r="DG497" i="14"/>
  <c r="DH497" i="14" s="1"/>
  <c r="DL137" i="14"/>
  <c r="DM137" i="14" s="1"/>
  <c r="DN136" i="14"/>
  <c r="EC473" i="14"/>
  <c r="EA474" i="14"/>
  <c r="EB474" i="14" s="1"/>
  <c r="CR258" i="14"/>
  <c r="CS258" i="14" s="1"/>
  <c r="CT257" i="14"/>
  <c r="CJ677" i="14"/>
  <c r="CH678" i="14"/>
  <c r="CI678" i="14" s="1"/>
  <c r="EH544" i="14"/>
  <c r="EF545" i="14"/>
  <c r="EG545" i="14" s="1"/>
  <c r="CY472" i="14"/>
  <c r="CW473" i="14"/>
  <c r="CX473" i="14" s="1"/>
  <c r="DX280" i="14"/>
  <c r="DV281" i="14"/>
  <c r="DW281" i="14" s="1"/>
  <c r="CR462" i="14"/>
  <c r="CS462" i="14" s="1"/>
  <c r="CT461" i="14"/>
  <c r="EC244" i="14"/>
  <c r="EA245" i="14"/>
  <c r="EB245" i="14" s="1"/>
  <c r="DQ234" i="14"/>
  <c r="DR234" i="14" s="1"/>
  <c r="DS233" i="14"/>
  <c r="DL306" i="14"/>
  <c r="DM306" i="14" s="1"/>
  <c r="DN305" i="14"/>
  <c r="DB330" i="14"/>
  <c r="DC330" i="14" s="1"/>
  <c r="DD329" i="14"/>
  <c r="DV197" i="14"/>
  <c r="DW197" i="14" s="1"/>
  <c r="DX196" i="14"/>
  <c r="EF593" i="14"/>
  <c r="EG593" i="14" s="1"/>
  <c r="EH592" i="14"/>
  <c r="DX232" i="14"/>
  <c r="DV233" i="14"/>
  <c r="DW233" i="14" s="1"/>
  <c r="CW606" i="14"/>
  <c r="CX606" i="14" s="1"/>
  <c r="CY605" i="14"/>
  <c r="DG185" i="14"/>
  <c r="DH185" i="14" s="1"/>
  <c r="DL270" i="14"/>
  <c r="DM270" i="14" s="1"/>
  <c r="DN269" i="14"/>
  <c r="DS185" i="14"/>
  <c r="DQ186" i="14"/>
  <c r="DR186" i="14" s="1"/>
  <c r="DB558" i="14"/>
  <c r="DC558" i="14" s="1"/>
  <c r="DD557" i="14"/>
  <c r="CM402" i="14"/>
  <c r="CN402" i="14" s="1"/>
  <c r="CO401" i="14"/>
  <c r="DQ521" i="14"/>
  <c r="DR521" i="14" s="1"/>
  <c r="DS520" i="14"/>
  <c r="CC221" i="14"/>
  <c r="CD221" i="14" s="1"/>
  <c r="DB449" i="14"/>
  <c r="DC449" i="14" s="1"/>
  <c r="DD448" i="14"/>
  <c r="CW450" i="14"/>
  <c r="CX450" i="14" s="1"/>
  <c r="CY449" i="14"/>
  <c r="DS316" i="14"/>
  <c r="DQ317" i="14"/>
  <c r="DR317" i="14" s="1"/>
  <c r="DQ485" i="14"/>
  <c r="DR485" i="14" s="1"/>
  <c r="DS484" i="14"/>
  <c r="DN509" i="14"/>
  <c r="DL510" i="14"/>
  <c r="DM510" i="14" s="1"/>
  <c r="CH473" i="14"/>
  <c r="CI473" i="14" s="1"/>
  <c r="CJ472" i="14"/>
  <c r="CC341" i="14"/>
  <c r="CD341" i="14" s="1"/>
  <c r="DN328" i="14"/>
  <c r="DL329" i="14"/>
  <c r="DM329" i="14" s="1"/>
  <c r="CM270" i="14"/>
  <c r="CN270" i="14" s="1"/>
  <c r="CO269" i="14"/>
  <c r="CY232" i="14"/>
  <c r="CW233" i="14"/>
  <c r="CX233" i="14" s="1"/>
  <c r="CR65" i="14"/>
  <c r="CS65" i="14" s="1"/>
  <c r="CT64" i="14"/>
  <c r="CT425" i="14"/>
  <c r="CR426" i="14"/>
  <c r="CS426" i="14" s="1"/>
  <c r="CC173" i="14"/>
  <c r="CD173" i="14" s="1"/>
  <c r="DD676" i="14"/>
  <c r="DB677" i="14"/>
  <c r="DC677" i="14" s="1"/>
  <c r="DS556" i="14"/>
  <c r="DQ557" i="14"/>
  <c r="DR557" i="14" s="1"/>
  <c r="DG221" i="14"/>
  <c r="DH221" i="14" s="1"/>
  <c r="DD365" i="14"/>
  <c r="DB366" i="14"/>
  <c r="DC366" i="14" s="1"/>
  <c r="CC629" i="14"/>
  <c r="CD629" i="14" s="1"/>
  <c r="DL546" i="14"/>
  <c r="DM546" i="14" s="1"/>
  <c r="DN545" i="14"/>
  <c r="CY676" i="14"/>
  <c r="CW677" i="14"/>
  <c r="CX677" i="14" s="1"/>
  <c r="DX509" i="14"/>
  <c r="DV510" i="14"/>
  <c r="DW510" i="14" s="1"/>
  <c r="CC581" i="14"/>
  <c r="CD581" i="14" s="1"/>
  <c r="DV89" i="14"/>
  <c r="DW89" i="14" s="1"/>
  <c r="DX88" i="14"/>
  <c r="EF305" i="14"/>
  <c r="EG305" i="14" s="1"/>
  <c r="EH304" i="14"/>
  <c r="DL222" i="14"/>
  <c r="DM222" i="14" s="1"/>
  <c r="DN221" i="14"/>
  <c r="EA162" i="14"/>
  <c r="EB162" i="14" s="1"/>
  <c r="EC161" i="14"/>
  <c r="CC317" i="14"/>
  <c r="CD317" i="14" s="1"/>
  <c r="DL426" i="14"/>
  <c r="DM426" i="14" s="1"/>
  <c r="DN425" i="14"/>
  <c r="DS580" i="14"/>
  <c r="DQ581" i="14"/>
  <c r="DR581" i="14" s="1"/>
  <c r="EC509" i="14"/>
  <c r="EA510" i="14"/>
  <c r="EB510" i="14" s="1"/>
  <c r="CW270" i="14"/>
  <c r="CX270" i="14" s="1"/>
  <c r="CY269" i="14"/>
  <c r="DV438" i="14"/>
  <c r="DW438" i="14" s="1"/>
  <c r="DX437" i="14"/>
  <c r="DN401" i="14"/>
  <c r="DL402" i="14"/>
  <c r="DM402" i="14" s="1"/>
  <c r="EA401" i="14"/>
  <c r="EB401" i="14" s="1"/>
  <c r="EC400" i="14"/>
  <c r="DG437" i="14"/>
  <c r="DH437" i="14" s="1"/>
  <c r="CO185" i="14"/>
  <c r="CM186" i="14"/>
  <c r="CN186" i="14" s="1"/>
  <c r="EA593" i="14"/>
  <c r="EB593" i="14" s="1"/>
  <c r="EC592" i="14"/>
  <c r="CR485" i="14"/>
  <c r="CS485" i="14" s="1"/>
  <c r="CT484" i="14"/>
  <c r="DL185" i="14"/>
  <c r="DM185" i="14" s="1"/>
  <c r="DN184" i="14"/>
  <c r="CO112" i="14"/>
  <c r="CM113" i="14"/>
  <c r="CN113" i="14" s="1"/>
  <c r="DD52" i="14"/>
  <c r="DB53" i="14"/>
  <c r="DC53" i="14" s="1"/>
  <c r="CH366" i="14"/>
  <c r="CI366" i="14" s="1"/>
  <c r="CJ365" i="14"/>
  <c r="DD281" i="14"/>
  <c r="DB282" i="14"/>
  <c r="DC282" i="14" s="1"/>
  <c r="CJ377" i="14"/>
  <c r="CH378" i="14"/>
  <c r="CI378" i="14" s="1"/>
  <c r="CM173" i="14"/>
  <c r="CN173" i="14" s="1"/>
  <c r="CO172" i="14"/>
  <c r="CO593" i="14"/>
  <c r="CM594" i="14"/>
  <c r="CN594" i="14" s="1"/>
  <c r="DV342" i="14"/>
  <c r="DW342" i="14" s="1"/>
  <c r="DX341" i="14"/>
  <c r="CJ448" i="14"/>
  <c r="CH449" i="14"/>
  <c r="CI449" i="14" s="1"/>
  <c r="CC653" i="14"/>
  <c r="CD653" i="14" s="1"/>
  <c r="DG89" i="14"/>
  <c r="DH89" i="14" s="1"/>
  <c r="DX304" i="14"/>
  <c r="DV305" i="14"/>
  <c r="DW305" i="14" s="1"/>
  <c r="DG653" i="14"/>
  <c r="DH653" i="14" s="1"/>
  <c r="EF582" i="14"/>
  <c r="EG582" i="14" s="1"/>
  <c r="EH581" i="14"/>
  <c r="DX592" i="14"/>
  <c r="DV593" i="14"/>
  <c r="DW593" i="14" s="1"/>
  <c r="CM678" i="14"/>
  <c r="CN678" i="14" s="1"/>
  <c r="CO677" i="14"/>
  <c r="DG149" i="14"/>
  <c r="DH149" i="14" s="1"/>
  <c r="DG125" i="14"/>
  <c r="DH125" i="14" s="1"/>
  <c r="DN389" i="14"/>
  <c r="DL390" i="14"/>
  <c r="DM390" i="14" s="1"/>
  <c r="DS664" i="14"/>
  <c r="DQ665" i="14"/>
  <c r="DR665" i="14" s="1"/>
  <c r="DX605" i="14"/>
  <c r="DV606" i="14"/>
  <c r="DW606" i="14" s="1"/>
  <c r="CT449" i="14"/>
  <c r="CR450" i="14"/>
  <c r="CS450" i="14" s="1"/>
  <c r="CH257" i="14"/>
  <c r="CI257" i="14" s="1"/>
  <c r="CJ256" i="14"/>
  <c r="DD617" i="14"/>
  <c r="DB618" i="14"/>
  <c r="DC618" i="14" s="1"/>
  <c r="CC437" i="14"/>
  <c r="CD437" i="14" s="1"/>
  <c r="DX460" i="14"/>
  <c r="DV461" i="14"/>
  <c r="DW461" i="14" s="1"/>
  <c r="EH461" i="14"/>
  <c r="EF462" i="14"/>
  <c r="EG462" i="14" s="1"/>
  <c r="DI74" i="14"/>
  <c r="CE74" i="14"/>
  <c r="CM75" i="14"/>
  <c r="CN75" i="14" s="1"/>
  <c r="CO74" i="14"/>
  <c r="CW74" i="14"/>
  <c r="CX74" i="14" s="1"/>
  <c r="CY73" i="14"/>
  <c r="DG75" i="14"/>
  <c r="DH75" i="14" s="1"/>
  <c r="DV75" i="14"/>
  <c r="DW75" i="14" s="1"/>
  <c r="DX74" i="14"/>
  <c r="EH73" i="14"/>
  <c r="EF74" i="14"/>
  <c r="EG74" i="14" s="1"/>
  <c r="CJ74" i="14"/>
  <c r="CH75" i="14"/>
  <c r="CI75" i="14" s="1"/>
  <c r="CC75" i="14"/>
  <c r="CD75" i="14" s="1"/>
  <c r="DS74" i="14"/>
  <c r="DQ75" i="14"/>
  <c r="DR75" i="14" s="1"/>
  <c r="DN74" i="14"/>
  <c r="DL75" i="14"/>
  <c r="DM75" i="14" s="1"/>
  <c r="DD74" i="14"/>
  <c r="DB75" i="14"/>
  <c r="DC75" i="14" s="1"/>
  <c r="CT74" i="14"/>
  <c r="CR75" i="14"/>
  <c r="CS75" i="14" s="1"/>
  <c r="EC74" i="14"/>
  <c r="EA75" i="14"/>
  <c r="EB75" i="14" s="1"/>
  <c r="CE36" i="14"/>
  <c r="BK46" i="14"/>
  <c r="BM46" i="14"/>
  <c r="DQ38" i="14"/>
  <c r="DR38" i="14" s="1"/>
  <c r="DS38" i="14" s="1"/>
  <c r="DV38" i="14"/>
  <c r="DW38" i="14" s="1"/>
  <c r="DX38" i="14" s="1"/>
  <c r="DX37" i="14"/>
  <c r="DB37" i="14"/>
  <c r="DC37" i="14" s="1"/>
  <c r="DD36" i="14"/>
  <c r="CH37" i="14"/>
  <c r="CI37" i="14" s="1"/>
  <c r="CJ37" i="14" s="1"/>
  <c r="CM38" i="14"/>
  <c r="CN38" i="14" s="1"/>
  <c r="AJ18" i="43"/>
  <c r="E17" i="43" s="1"/>
  <c r="EF38" i="14"/>
  <c r="EG38" i="14" s="1"/>
  <c r="EH38" i="14" s="1"/>
  <c r="CX36" i="14"/>
  <c r="CY36" i="14" s="1"/>
  <c r="CC37" i="14"/>
  <c r="CD37" i="14" s="1"/>
  <c r="CR37" i="14"/>
  <c r="CS37" i="14" s="1"/>
  <c r="CT37" i="14" s="1"/>
  <c r="EA38" i="14"/>
  <c r="EB38" i="14" s="1"/>
  <c r="EC38" i="14" s="1"/>
  <c r="DL38" i="14"/>
  <c r="DM38" i="14" s="1"/>
  <c r="DN38" i="14" s="1"/>
  <c r="CE364" i="14" a="1"/>
  <c r="DI496" i="14" a="1"/>
  <c r="DI172" i="14" a="1"/>
  <c r="DI340" i="14" a="1"/>
  <c r="CE340" i="14" a="1"/>
  <c r="DI388" i="14" a="1"/>
  <c r="DI472" i="14" a="1"/>
  <c r="CE556" i="14" a="1"/>
  <c r="CE532" i="14" a="1"/>
  <c r="CE268" i="14" a="1"/>
  <c r="DI352" i="14" a="1"/>
  <c r="DI100" i="14" a="1"/>
  <c r="CE220" i="14" a="1"/>
  <c r="DI148" i="14" a="1"/>
  <c r="CE568" i="14" a="1"/>
  <c r="CE580" i="14" a="1"/>
  <c r="DI640" i="14" a="1"/>
  <c r="DI280" i="14" a="1"/>
  <c r="CE244" i="14" a="1"/>
  <c r="DI75" i="14" a="1"/>
  <c r="DI136" i="14" a="1"/>
  <c r="DI604" i="14" a="1"/>
  <c r="CE400" i="14" a="1"/>
  <c r="CE544" i="14" a="1"/>
  <c r="DI568" i="14" a="1"/>
  <c r="CE388" i="14" a="1"/>
  <c r="DI532" i="14" a="1"/>
  <c r="DI664" i="14" a="1"/>
  <c r="CE112" i="14" a="1"/>
  <c r="CE232" i="14" a="1"/>
  <c r="CE628" i="14" a="1"/>
  <c r="CE37" i="14" a="1"/>
  <c r="CE436" i="14" a="1"/>
  <c r="DI544" i="14" a="1"/>
  <c r="CE484" i="14" a="1"/>
  <c r="DI52" i="14" a="1"/>
  <c r="DI412" i="14" a="1"/>
  <c r="CE292" i="14" a="1"/>
  <c r="DI580" i="14" a="1"/>
  <c r="CE100" i="14" a="1"/>
  <c r="CE184" i="14" a="1"/>
  <c r="DI208" i="14" a="1"/>
  <c r="CE352" i="14" a="1"/>
  <c r="CE124" i="14" a="1"/>
  <c r="DI400" i="14" a="1"/>
  <c r="CE160" i="14" a="1"/>
  <c r="CE592" i="14" a="1"/>
  <c r="CE376" i="14" a="1"/>
  <c r="CE280" i="14" a="1"/>
  <c r="DI256" i="14" a="1"/>
  <c r="CE472" i="14" a="1"/>
  <c r="DI676" i="14" a="1"/>
  <c r="BL45" i="14"/>
  <c r="DI592" i="14" a="1"/>
  <c r="CE508" i="14" a="1"/>
  <c r="CE136" i="14" a="1"/>
  <c r="DI424" i="14" a="1"/>
  <c r="CE328" i="14" a="1"/>
  <c r="DI160" i="14" a="1"/>
  <c r="CE652" i="14" a="1"/>
  <c r="DI448" i="14" a="1"/>
  <c r="CE496" i="14" a="1"/>
  <c r="CE208" i="14" a="1"/>
  <c r="DI292" i="14" a="1"/>
  <c r="CE640" i="14" a="1"/>
  <c r="CE460" i="14" a="1"/>
  <c r="CE88" i="14" a="1"/>
  <c r="DI88" i="14" a="1"/>
  <c r="DI64" i="14" a="1"/>
  <c r="DI220" i="14" a="1"/>
  <c r="DI376" i="14" a="1"/>
  <c r="DI616" i="14" a="1"/>
  <c r="CE256" i="14" a="1"/>
  <c r="DI556" i="14" a="1"/>
  <c r="CE424" i="14" a="1"/>
  <c r="DI196" i="14" a="1"/>
  <c r="DI268" i="14" a="1"/>
  <c r="CE676" i="14" a="1"/>
  <c r="DI232" i="14" a="1"/>
  <c r="DI460" i="14" a="1"/>
  <c r="CE604" i="14" a="1"/>
  <c r="DI112" i="14" a="1"/>
  <c r="DI508" i="14" a="1"/>
  <c r="BN45" i="14"/>
  <c r="CE316" i="14" a="1"/>
  <c r="DI328" i="14" a="1"/>
  <c r="DI364" i="14" a="1"/>
  <c r="DI184" i="14" a="1"/>
  <c r="DI484" i="14" a="1"/>
  <c r="DI304" i="14" a="1"/>
  <c r="DI652" i="14" a="1"/>
  <c r="DI244" i="14" a="1"/>
  <c r="CE664" i="14" a="1"/>
  <c r="CE172" i="14" a="1"/>
  <c r="DI124" i="14" a="1"/>
  <c r="CE196" i="14" a="1"/>
  <c r="CE64" i="14" a="1"/>
  <c r="CE616" i="14" a="1"/>
  <c r="CE448" i="14" a="1"/>
  <c r="DI436" i="14" a="1"/>
  <c r="CE304" i="14" a="1"/>
  <c r="DI520" i="14" a="1"/>
  <c r="CE520" i="14" a="1"/>
  <c r="CE52" i="14" a="1"/>
  <c r="DI628" i="14" a="1"/>
  <c r="CE148" i="14" a="1"/>
  <c r="CE412" i="14" a="1"/>
  <c r="DI316" i="14" a="1"/>
  <c r="CE75" i="14" a="1"/>
  <c r="BL46" i="14"/>
  <c r="BN46" i="14"/>
  <c r="CY257" i="14" l="1"/>
  <c r="EA174" i="14"/>
  <c r="EB174" i="14" s="1"/>
  <c r="EA175" i="14" s="1"/>
  <c r="EB175" i="14" s="1"/>
  <c r="CE316" i="14"/>
  <c r="CE196" i="14"/>
  <c r="DI436" i="14"/>
  <c r="CE340" i="14"/>
  <c r="DI400" i="14"/>
  <c r="CE184" i="14"/>
  <c r="DI208" i="14"/>
  <c r="CE220" i="14"/>
  <c r="DI580" i="14"/>
  <c r="DI352" i="14"/>
  <c r="CE544" i="14"/>
  <c r="DI484" i="14"/>
  <c r="CE520" i="14"/>
  <c r="CE100" i="14"/>
  <c r="DI64" i="14"/>
  <c r="CE88" i="14"/>
  <c r="DI172" i="14"/>
  <c r="DI136" i="14"/>
  <c r="DI508" i="14"/>
  <c r="DI328" i="14"/>
  <c r="CE628" i="14"/>
  <c r="CE376" i="14"/>
  <c r="DI556" i="14"/>
  <c r="CE52" i="14"/>
  <c r="DI52" i="14"/>
  <c r="CE556" i="14"/>
  <c r="CE412" i="14"/>
  <c r="CE64" i="14"/>
  <c r="DI316" i="14"/>
  <c r="DI544" i="14"/>
  <c r="CE244" i="14"/>
  <c r="DI160" i="14"/>
  <c r="DI652" i="14"/>
  <c r="CE424" i="14"/>
  <c r="DI232" i="14"/>
  <c r="CE208" i="14"/>
  <c r="DI460" i="14"/>
  <c r="CE508" i="14"/>
  <c r="DI364" i="14"/>
  <c r="CE388" i="14"/>
  <c r="CE160" i="14"/>
  <c r="CE280" i="14"/>
  <c r="DI592" i="14"/>
  <c r="DI376" i="14"/>
  <c r="CE112" i="14"/>
  <c r="CE364" i="14"/>
  <c r="DI520" i="14"/>
  <c r="CE136" i="14"/>
  <c r="DI100" i="14"/>
  <c r="DI256" i="14"/>
  <c r="DI244" i="14"/>
  <c r="DI472" i="14"/>
  <c r="CE400" i="14"/>
  <c r="DI304" i="14"/>
  <c r="CE664" i="14"/>
  <c r="DI88" i="14"/>
  <c r="DI604" i="14"/>
  <c r="DI532" i="14"/>
  <c r="CE604" i="14"/>
  <c r="CE124" i="14"/>
  <c r="CE616" i="14"/>
  <c r="CE568" i="14"/>
  <c r="CE676" i="14"/>
  <c r="CE148" i="14"/>
  <c r="CE472" i="14"/>
  <c r="DI280" i="14"/>
  <c r="CE352" i="14"/>
  <c r="CE460" i="14"/>
  <c r="CE436" i="14"/>
  <c r="DI220" i="14"/>
  <c r="DI448" i="14"/>
  <c r="CE292" i="14"/>
  <c r="DI268" i="14"/>
  <c r="DI412" i="14"/>
  <c r="DI568" i="14"/>
  <c r="CE232" i="14"/>
  <c r="CE172" i="14"/>
  <c r="CE304" i="14"/>
  <c r="DI124" i="14"/>
  <c r="DI676" i="14"/>
  <c r="DI664" i="14"/>
  <c r="CE256" i="14"/>
  <c r="CE592" i="14"/>
  <c r="CE496" i="14"/>
  <c r="DI424" i="14"/>
  <c r="CE640" i="14"/>
  <c r="DI616" i="14"/>
  <c r="CE532" i="14"/>
  <c r="CE484" i="14"/>
  <c r="DI628" i="14"/>
  <c r="DI496" i="14"/>
  <c r="DI292" i="14"/>
  <c r="DI148" i="14"/>
  <c r="CE652" i="14"/>
  <c r="CE580" i="14"/>
  <c r="DI184" i="14"/>
  <c r="DI640" i="14"/>
  <c r="CE328" i="14"/>
  <c r="DI388" i="14"/>
  <c r="DI112" i="14"/>
  <c r="DI196" i="14"/>
  <c r="CE448" i="14"/>
  <c r="CE268" i="14"/>
  <c r="DI340" i="14"/>
  <c r="CC342" i="14"/>
  <c r="CD342" i="14" s="1"/>
  <c r="DQ307" i="14"/>
  <c r="DR307" i="14" s="1"/>
  <c r="DS306" i="14"/>
  <c r="CJ449" i="14"/>
  <c r="CH450" i="14"/>
  <c r="CI450" i="14" s="1"/>
  <c r="DX510" i="14"/>
  <c r="DV511" i="14"/>
  <c r="DW511" i="14" s="1"/>
  <c r="DD677" i="14"/>
  <c r="DB678" i="14"/>
  <c r="DC678" i="14" s="1"/>
  <c r="CC222" i="14"/>
  <c r="CD222" i="14" s="1"/>
  <c r="EA246" i="14"/>
  <c r="EB246" i="14" s="1"/>
  <c r="EC245" i="14"/>
  <c r="EC474" i="14"/>
  <c r="EA475" i="14"/>
  <c r="EB475" i="14" s="1"/>
  <c r="CO510" i="14"/>
  <c r="CM511" i="14"/>
  <c r="CN511" i="14" s="1"/>
  <c r="DV211" i="14"/>
  <c r="DW211" i="14" s="1"/>
  <c r="DX210" i="14"/>
  <c r="DG414" i="14"/>
  <c r="DH414" i="14" s="1"/>
  <c r="CT545" i="14"/>
  <c r="CR546" i="14"/>
  <c r="CS546" i="14" s="1"/>
  <c r="CO366" i="14"/>
  <c r="CM367" i="14"/>
  <c r="CN367" i="14" s="1"/>
  <c r="DG570" i="14"/>
  <c r="DH570" i="14" s="1"/>
  <c r="CC354" i="14"/>
  <c r="CD354" i="14" s="1"/>
  <c r="EA498" i="14"/>
  <c r="EB498" i="14" s="1"/>
  <c r="EC497" i="14"/>
  <c r="CM126" i="14"/>
  <c r="CN126" i="14" s="1"/>
  <c r="CO125" i="14"/>
  <c r="DX402" i="14"/>
  <c r="DV403" i="14"/>
  <c r="DW403" i="14" s="1"/>
  <c r="DQ378" i="14"/>
  <c r="DR378" i="14" s="1"/>
  <c r="DS377" i="14"/>
  <c r="DG630" i="14"/>
  <c r="DH630" i="14" s="1"/>
  <c r="CO210" i="14"/>
  <c r="CM211" i="14"/>
  <c r="CN211" i="14" s="1"/>
  <c r="CO330" i="14"/>
  <c r="CM331" i="14"/>
  <c r="CN331" i="14" s="1"/>
  <c r="DL499" i="14"/>
  <c r="DM499" i="14" s="1"/>
  <c r="DN498" i="14"/>
  <c r="CR271" i="14"/>
  <c r="CS271" i="14" s="1"/>
  <c r="CT270" i="14"/>
  <c r="DN461" i="14"/>
  <c r="DL462" i="14"/>
  <c r="DM462" i="14" s="1"/>
  <c r="DB570" i="14"/>
  <c r="DC570" i="14" s="1"/>
  <c r="DD569" i="14"/>
  <c r="CC234" i="14"/>
  <c r="CD234" i="14" s="1"/>
  <c r="CY522" i="14"/>
  <c r="CW523" i="14"/>
  <c r="CX523" i="14" s="1"/>
  <c r="CJ461" i="14"/>
  <c r="CH462" i="14"/>
  <c r="CI462" i="14" s="1"/>
  <c r="CW126" i="14"/>
  <c r="CX126" i="14" s="1"/>
  <c r="CY125" i="14"/>
  <c r="DL259" i="14"/>
  <c r="DM259" i="14" s="1"/>
  <c r="DN258" i="14"/>
  <c r="DV414" i="14"/>
  <c r="DW414" i="14" s="1"/>
  <c r="DX413" i="14"/>
  <c r="CR282" i="14"/>
  <c r="CS282" i="14" s="1"/>
  <c r="CT281" i="14"/>
  <c r="CO293" i="14"/>
  <c r="CM294" i="14"/>
  <c r="CN294" i="14" s="1"/>
  <c r="DD666" i="14"/>
  <c r="DB667" i="14"/>
  <c r="DC667" i="14" s="1"/>
  <c r="DD197" i="14"/>
  <c r="DB198" i="14"/>
  <c r="DC198" i="14" s="1"/>
  <c r="DL595" i="14"/>
  <c r="DM595" i="14" s="1"/>
  <c r="DN594" i="14"/>
  <c r="EC257" i="14"/>
  <c r="EA258" i="14"/>
  <c r="EB258" i="14" s="1"/>
  <c r="DG306" i="14"/>
  <c r="DH306" i="14" s="1"/>
  <c r="DX546" i="14"/>
  <c r="DV547" i="14"/>
  <c r="DW547" i="14" s="1"/>
  <c r="CR523" i="14"/>
  <c r="CS523" i="14" s="1"/>
  <c r="CT522" i="14"/>
  <c r="CW415" i="14"/>
  <c r="CX415" i="14" s="1"/>
  <c r="CY414" i="14"/>
  <c r="CW150" i="14"/>
  <c r="CX150" i="14" s="1"/>
  <c r="CY149" i="14"/>
  <c r="DN365" i="14"/>
  <c r="DL366" i="14"/>
  <c r="DM366" i="14" s="1"/>
  <c r="DB343" i="14"/>
  <c r="DC343" i="14" s="1"/>
  <c r="DD342" i="14"/>
  <c r="EC353" i="14"/>
  <c r="EA354" i="14"/>
  <c r="EB354" i="14" s="1"/>
  <c r="DX294" i="14"/>
  <c r="DV295" i="14"/>
  <c r="DW295" i="14" s="1"/>
  <c r="EA547" i="14"/>
  <c r="EB547" i="14" s="1"/>
  <c r="EC546" i="14"/>
  <c r="DV127" i="14"/>
  <c r="DW127" i="14" s="1"/>
  <c r="DX126" i="14"/>
  <c r="CW211" i="14"/>
  <c r="CX211" i="14" s="1"/>
  <c r="CY210" i="14"/>
  <c r="CW223" i="14"/>
  <c r="CX223" i="14" s="1"/>
  <c r="CY222" i="14"/>
  <c r="CY677" i="14"/>
  <c r="CW678" i="14"/>
  <c r="CX678" i="14" s="1"/>
  <c r="CW283" i="14"/>
  <c r="CX283" i="14" s="1"/>
  <c r="CY282" i="14"/>
  <c r="CW247" i="14"/>
  <c r="CX247" i="14" s="1"/>
  <c r="CY246" i="14"/>
  <c r="DV582" i="14"/>
  <c r="DW582" i="14" s="1"/>
  <c r="DX581" i="14"/>
  <c r="DG486" i="14"/>
  <c r="DH486" i="14" s="1"/>
  <c r="DX342" i="14"/>
  <c r="DV343" i="14"/>
  <c r="DW343" i="14" s="1"/>
  <c r="EA402" i="14"/>
  <c r="EB402" i="14" s="1"/>
  <c r="EC401" i="14"/>
  <c r="CC318" i="14"/>
  <c r="CD318" i="14" s="1"/>
  <c r="CC174" i="14"/>
  <c r="CD174" i="14" s="1"/>
  <c r="CH474" i="14"/>
  <c r="CI474" i="14" s="1"/>
  <c r="CJ473" i="14"/>
  <c r="DQ522" i="14"/>
  <c r="DR522" i="14" s="1"/>
  <c r="DS521" i="14"/>
  <c r="CT462" i="14"/>
  <c r="CR463" i="14"/>
  <c r="CS463" i="14" s="1"/>
  <c r="DL138" i="14"/>
  <c r="DM138" i="14" s="1"/>
  <c r="DN137" i="14"/>
  <c r="DG510" i="14"/>
  <c r="DH510" i="14" s="1"/>
  <c r="EF222" i="14"/>
  <c r="EG222" i="14" s="1"/>
  <c r="EH221" i="14"/>
  <c r="DQ678" i="14"/>
  <c r="DR678" i="14" s="1"/>
  <c r="DS677" i="14"/>
  <c r="DG138" i="14"/>
  <c r="DH138" i="14" s="1"/>
  <c r="DQ199" i="14"/>
  <c r="DR199" i="14" s="1"/>
  <c r="DS198" i="14"/>
  <c r="DG366" i="14"/>
  <c r="DH366" i="14" s="1"/>
  <c r="CC198" i="14"/>
  <c r="CD198" i="14" s="1"/>
  <c r="DB546" i="14"/>
  <c r="DC546" i="14" s="1"/>
  <c r="DD545" i="14"/>
  <c r="CW330" i="14"/>
  <c r="CX330" i="14" s="1"/>
  <c r="CY329" i="14"/>
  <c r="EH414" i="14"/>
  <c r="EF415" i="14"/>
  <c r="EG415" i="14" s="1"/>
  <c r="CC114" i="14"/>
  <c r="CD114" i="14" s="1"/>
  <c r="CH486" i="14"/>
  <c r="CI486" i="14" s="1"/>
  <c r="CJ485" i="14"/>
  <c r="CJ281" i="14"/>
  <c r="CH282" i="14"/>
  <c r="CI282" i="14" s="1"/>
  <c r="DQ654" i="14"/>
  <c r="DR654" i="14" s="1"/>
  <c r="DS653" i="14"/>
  <c r="EC305" i="14"/>
  <c r="EA306" i="14"/>
  <c r="EB306" i="14" s="1"/>
  <c r="EF282" i="14"/>
  <c r="EG282" i="14" s="1"/>
  <c r="EH281" i="14"/>
  <c r="EA319" i="14"/>
  <c r="EB319" i="14" s="1"/>
  <c r="EC318" i="14"/>
  <c r="CJ353" i="14"/>
  <c r="CH354" i="14"/>
  <c r="CI354" i="14" s="1"/>
  <c r="CC462" i="14"/>
  <c r="CD462" i="14" s="1"/>
  <c r="DG546" i="14"/>
  <c r="DH546" i="14" s="1"/>
  <c r="DS641" i="14"/>
  <c r="DQ642" i="14"/>
  <c r="DR642" i="14" s="1"/>
  <c r="CC522" i="14"/>
  <c r="CD522" i="14" s="1"/>
  <c r="CY137" i="14"/>
  <c r="CW138" i="14"/>
  <c r="CX138" i="14" s="1"/>
  <c r="EC125" i="14"/>
  <c r="EA126" i="14"/>
  <c r="EB126" i="14" s="1"/>
  <c r="DB378" i="14"/>
  <c r="DC378" i="14" s="1"/>
  <c r="DD377" i="14"/>
  <c r="EC449" i="14"/>
  <c r="EA450" i="14"/>
  <c r="EB450" i="14" s="1"/>
  <c r="CC390" i="14"/>
  <c r="CD390" i="14" s="1"/>
  <c r="CT53" i="14"/>
  <c r="CR54" i="14"/>
  <c r="CS54" i="14" s="1"/>
  <c r="DQ499" i="14"/>
  <c r="DR499" i="14" s="1"/>
  <c r="DS498" i="14"/>
  <c r="DV451" i="14"/>
  <c r="DW451" i="14" s="1"/>
  <c r="DX450" i="14"/>
  <c r="DD138" i="14"/>
  <c r="DB139" i="14"/>
  <c r="DC139" i="14" s="1"/>
  <c r="CR138" i="14"/>
  <c r="CS138" i="14" s="1"/>
  <c r="CT137" i="14"/>
  <c r="DX630" i="14"/>
  <c r="DV631" i="14"/>
  <c r="DW631" i="14" s="1"/>
  <c r="DL150" i="14"/>
  <c r="DM150" i="14" s="1"/>
  <c r="DN149" i="14"/>
  <c r="CM282" i="14"/>
  <c r="CN282" i="14" s="1"/>
  <c r="CO281" i="14"/>
  <c r="DQ330" i="14"/>
  <c r="DR330" i="14" s="1"/>
  <c r="DS329" i="14"/>
  <c r="CJ582" i="14"/>
  <c r="CH583" i="14"/>
  <c r="CI583" i="14" s="1"/>
  <c r="EC66" i="14"/>
  <c r="EA67" i="14"/>
  <c r="EB67" i="14" s="1"/>
  <c r="DS282" i="14"/>
  <c r="DQ283" i="14"/>
  <c r="DR283" i="14" s="1"/>
  <c r="CM522" i="14"/>
  <c r="CN522" i="14" s="1"/>
  <c r="CO521" i="14"/>
  <c r="DV151" i="14"/>
  <c r="DW151" i="14" s="1"/>
  <c r="DX150" i="14"/>
  <c r="EF127" i="14"/>
  <c r="EG127" i="14" s="1"/>
  <c r="EH126" i="14"/>
  <c r="DG210" i="14"/>
  <c r="DH210" i="14" s="1"/>
  <c r="DN162" i="14"/>
  <c r="DL163" i="14"/>
  <c r="DM163" i="14" s="1"/>
  <c r="EC281" i="14"/>
  <c r="EA282" i="14"/>
  <c r="EB282" i="14" s="1"/>
  <c r="CT426" i="14"/>
  <c r="CR427" i="14"/>
  <c r="CS427" i="14" s="1"/>
  <c r="DL511" i="14"/>
  <c r="DM511" i="14" s="1"/>
  <c r="DN510" i="14"/>
  <c r="DV282" i="14"/>
  <c r="DW282" i="14" s="1"/>
  <c r="DX281" i="14"/>
  <c r="DG498" i="14"/>
  <c r="DH498" i="14" s="1"/>
  <c r="DX486" i="14"/>
  <c r="DV487" i="14"/>
  <c r="DW487" i="14" s="1"/>
  <c r="CH198" i="14"/>
  <c r="CI198" i="14" s="1"/>
  <c r="CJ197" i="14"/>
  <c r="CY89" i="14"/>
  <c r="CW90" i="14"/>
  <c r="CX90" i="14" s="1"/>
  <c r="EH161" i="14"/>
  <c r="EF162" i="14"/>
  <c r="EG162" i="14" s="1"/>
  <c r="CC666" i="14"/>
  <c r="CD666" i="14" s="1"/>
  <c r="EC113" i="14"/>
  <c r="EA114" i="14"/>
  <c r="EB114" i="14" s="1"/>
  <c r="EF535" i="14"/>
  <c r="EG535" i="14" s="1"/>
  <c r="EH534" i="14"/>
  <c r="CO474" i="14"/>
  <c r="CM475" i="14"/>
  <c r="CN475" i="14" s="1"/>
  <c r="CH499" i="14"/>
  <c r="CI499" i="14" s="1"/>
  <c r="CJ498" i="14"/>
  <c r="CH535" i="14"/>
  <c r="CI535" i="14" s="1"/>
  <c r="CJ534" i="14"/>
  <c r="CC246" i="14"/>
  <c r="CD246" i="14" s="1"/>
  <c r="DX318" i="14"/>
  <c r="DV319" i="14"/>
  <c r="DW319" i="14" s="1"/>
  <c r="DS89" i="14"/>
  <c r="DQ90" i="14"/>
  <c r="DR90" i="14" s="1"/>
  <c r="CM151" i="14"/>
  <c r="CN151" i="14" s="1"/>
  <c r="CO150" i="14"/>
  <c r="EH90" i="14"/>
  <c r="EF91" i="14"/>
  <c r="EG91" i="14" s="1"/>
  <c r="EF378" i="14"/>
  <c r="EG378" i="14" s="1"/>
  <c r="EH377" i="14"/>
  <c r="CC306" i="14"/>
  <c r="CD306" i="14" s="1"/>
  <c r="DG162" i="14"/>
  <c r="DH162" i="14" s="1"/>
  <c r="DG294" i="14"/>
  <c r="DH294" i="14" s="1"/>
  <c r="CH186" i="14"/>
  <c r="CI186" i="14" s="1"/>
  <c r="CJ185" i="14"/>
  <c r="CM535" i="14"/>
  <c r="CN535" i="14" s="1"/>
  <c r="CO534" i="14"/>
  <c r="DV355" i="14"/>
  <c r="DW355" i="14" s="1"/>
  <c r="DX354" i="14"/>
  <c r="DV103" i="14"/>
  <c r="DW103" i="14" s="1"/>
  <c r="DX102" i="14"/>
  <c r="CT641" i="14"/>
  <c r="CR642" i="14"/>
  <c r="CS642" i="14" s="1"/>
  <c r="DN413" i="14"/>
  <c r="DL414" i="14"/>
  <c r="DM414" i="14" s="1"/>
  <c r="CT617" i="14"/>
  <c r="CR618" i="14"/>
  <c r="CS618" i="14" s="1"/>
  <c r="DN653" i="14"/>
  <c r="DL654" i="14"/>
  <c r="DM654" i="14" s="1"/>
  <c r="EF186" i="14"/>
  <c r="EG186" i="14" s="1"/>
  <c r="EH185" i="14"/>
  <c r="CW378" i="14"/>
  <c r="CX378" i="14" s="1"/>
  <c r="CY377" i="14"/>
  <c r="EA198" i="14"/>
  <c r="EB198" i="14" s="1"/>
  <c r="EC197" i="14"/>
  <c r="CR582" i="14"/>
  <c r="CS582" i="14" s="1"/>
  <c r="CT581" i="14"/>
  <c r="DG330" i="14"/>
  <c r="DH330" i="14" s="1"/>
  <c r="CY666" i="14"/>
  <c r="CW667" i="14"/>
  <c r="CX667" i="14" s="1"/>
  <c r="CY641" i="14"/>
  <c r="CW642" i="14"/>
  <c r="CX642" i="14" s="1"/>
  <c r="EH354" i="14"/>
  <c r="EF355" i="14"/>
  <c r="EG355" i="14" s="1"/>
  <c r="CW427" i="14"/>
  <c r="CX427" i="14" s="1"/>
  <c r="CY426" i="14"/>
  <c r="CO654" i="14"/>
  <c r="CM655" i="14"/>
  <c r="CN655" i="14" s="1"/>
  <c r="CY306" i="14"/>
  <c r="CW307" i="14"/>
  <c r="CX307" i="14" s="1"/>
  <c r="DG438" i="14"/>
  <c r="DH438" i="14" s="1"/>
  <c r="DX366" i="14"/>
  <c r="DV367" i="14"/>
  <c r="DW367" i="14" s="1"/>
  <c r="CC186" i="14"/>
  <c r="CD186" i="14" s="1"/>
  <c r="EH425" i="14"/>
  <c r="EF426" i="14"/>
  <c r="EG426" i="14" s="1"/>
  <c r="CT306" i="14"/>
  <c r="CR307" i="14"/>
  <c r="CS307" i="14" s="1"/>
  <c r="EF655" i="14"/>
  <c r="EG655" i="14" s="1"/>
  <c r="EH654" i="14"/>
  <c r="CY354" i="14"/>
  <c r="CW355" i="14"/>
  <c r="CX355" i="14" s="1"/>
  <c r="DV594" i="14"/>
  <c r="DW594" i="14" s="1"/>
  <c r="DX593" i="14"/>
  <c r="CR666" i="14"/>
  <c r="CS666" i="14" s="1"/>
  <c r="CT665" i="14"/>
  <c r="CY569" i="14"/>
  <c r="CW570" i="14"/>
  <c r="CX570" i="14" s="1"/>
  <c r="CO102" i="14"/>
  <c r="CM103" i="14"/>
  <c r="CN103" i="14" s="1"/>
  <c r="CM90" i="14"/>
  <c r="CN90" i="14" s="1"/>
  <c r="CO89" i="14"/>
  <c r="CW630" i="14"/>
  <c r="CX630" i="14" s="1"/>
  <c r="CY629" i="14"/>
  <c r="CM595" i="14"/>
  <c r="CN595" i="14" s="1"/>
  <c r="CO594" i="14"/>
  <c r="EF583" i="14"/>
  <c r="EG583" i="14" s="1"/>
  <c r="EH582" i="14"/>
  <c r="EH593" i="14"/>
  <c r="EF594" i="14"/>
  <c r="EG594" i="14" s="1"/>
  <c r="DV390" i="14"/>
  <c r="DW390" i="14" s="1"/>
  <c r="DX389" i="14"/>
  <c r="DG66" i="14"/>
  <c r="DH66" i="14" s="1"/>
  <c r="DS365" i="14"/>
  <c r="DQ366" i="14"/>
  <c r="DR366" i="14" s="1"/>
  <c r="EA439" i="14"/>
  <c r="EB439" i="14" s="1"/>
  <c r="EC438" i="14"/>
  <c r="CW546" i="14"/>
  <c r="CX546" i="14" s="1"/>
  <c r="CY545" i="14"/>
  <c r="DL558" i="14"/>
  <c r="DM558" i="14" s="1"/>
  <c r="DN557" i="14"/>
  <c r="DN605" i="14"/>
  <c r="DL606" i="14"/>
  <c r="DM606" i="14" s="1"/>
  <c r="EA330" i="14"/>
  <c r="EB330" i="14" s="1"/>
  <c r="EC329" i="14"/>
  <c r="DD437" i="14"/>
  <c r="DB438" i="14"/>
  <c r="DC438" i="14" s="1"/>
  <c r="DG174" i="14"/>
  <c r="DH174" i="14" s="1"/>
  <c r="DQ55" i="14"/>
  <c r="DR55" i="14" s="1"/>
  <c r="DS54" i="14"/>
  <c r="DQ666" i="14"/>
  <c r="DR666" i="14" s="1"/>
  <c r="DS665" i="14"/>
  <c r="CY473" i="14"/>
  <c r="CW474" i="14"/>
  <c r="CX474" i="14" s="1"/>
  <c r="CJ521" i="14"/>
  <c r="CH522" i="14"/>
  <c r="CI522" i="14" s="1"/>
  <c r="EC366" i="14"/>
  <c r="EA367" i="14"/>
  <c r="EB367" i="14" s="1"/>
  <c r="CJ54" i="14"/>
  <c r="CH55" i="14"/>
  <c r="CI55" i="14" s="1"/>
  <c r="CC426" i="14"/>
  <c r="CD426" i="14" s="1"/>
  <c r="DQ247" i="14"/>
  <c r="DR247" i="14" s="1"/>
  <c r="DS246" i="14"/>
  <c r="CO54" i="14"/>
  <c r="CM55" i="14"/>
  <c r="CN55" i="14" s="1"/>
  <c r="DG234" i="14"/>
  <c r="DH234" i="14" s="1"/>
  <c r="EH390" i="14"/>
  <c r="EF391" i="14"/>
  <c r="EG391" i="14" s="1"/>
  <c r="CM414" i="14"/>
  <c r="CN414" i="14" s="1"/>
  <c r="CO413" i="14"/>
  <c r="EC149" i="14"/>
  <c r="EA150" i="14"/>
  <c r="EB150" i="14" s="1"/>
  <c r="CM198" i="14"/>
  <c r="CN198" i="14" s="1"/>
  <c r="CO197" i="14"/>
  <c r="DD246" i="14"/>
  <c r="DB247" i="14"/>
  <c r="DC247" i="14" s="1"/>
  <c r="DS125" i="14"/>
  <c r="DQ126" i="14"/>
  <c r="DR126" i="14" s="1"/>
  <c r="DN450" i="14"/>
  <c r="DL451" i="14"/>
  <c r="DM451" i="14" s="1"/>
  <c r="CC210" i="14"/>
  <c r="CD210" i="14" s="1"/>
  <c r="EC221" i="14"/>
  <c r="EA222" i="14"/>
  <c r="EB222" i="14" s="1"/>
  <c r="DV427" i="14"/>
  <c r="DW427" i="14" s="1"/>
  <c r="DX426" i="14"/>
  <c r="EH330" i="14"/>
  <c r="EF331" i="14"/>
  <c r="EG331" i="14" s="1"/>
  <c r="EH150" i="14"/>
  <c r="EF151" i="14"/>
  <c r="EG151" i="14" s="1"/>
  <c r="DQ402" i="14"/>
  <c r="DR402" i="14" s="1"/>
  <c r="DS401" i="14"/>
  <c r="EF475" i="14"/>
  <c r="EG475" i="14" s="1"/>
  <c r="EH474" i="14"/>
  <c r="DG462" i="14"/>
  <c r="DH462" i="14" s="1"/>
  <c r="CM462" i="14"/>
  <c r="CN462" i="14" s="1"/>
  <c r="CO461" i="14"/>
  <c r="EA582" i="14"/>
  <c r="EB582" i="14" s="1"/>
  <c r="EC581" i="14"/>
  <c r="EA342" i="14"/>
  <c r="EB342" i="14" s="1"/>
  <c r="EC341" i="14"/>
  <c r="CH642" i="14"/>
  <c r="CI642" i="14" s="1"/>
  <c r="CJ641" i="14"/>
  <c r="CC510" i="14"/>
  <c r="CD510" i="14" s="1"/>
  <c r="DV523" i="14"/>
  <c r="DW523" i="14" s="1"/>
  <c r="DX522" i="14"/>
  <c r="DX269" i="14"/>
  <c r="DV270" i="14"/>
  <c r="DW270" i="14" s="1"/>
  <c r="CH390" i="14"/>
  <c r="CI390" i="14" s="1"/>
  <c r="CJ389" i="14"/>
  <c r="CM343" i="14"/>
  <c r="CN343" i="14" s="1"/>
  <c r="CO342" i="14"/>
  <c r="CM162" i="14"/>
  <c r="CN162" i="14" s="1"/>
  <c r="CO161" i="14"/>
  <c r="DL619" i="14"/>
  <c r="DM619" i="14" s="1"/>
  <c r="DN618" i="14"/>
  <c r="CT293" i="14"/>
  <c r="CR294" i="14"/>
  <c r="CS294" i="14" s="1"/>
  <c r="CT510" i="14"/>
  <c r="CR511" i="14"/>
  <c r="CS511" i="14" s="1"/>
  <c r="DQ547" i="14"/>
  <c r="DR547" i="14" s="1"/>
  <c r="DS546" i="14"/>
  <c r="DV162" i="14"/>
  <c r="DW162" i="14" s="1"/>
  <c r="DX161" i="14"/>
  <c r="CY366" i="14"/>
  <c r="CW367" i="14"/>
  <c r="CX367" i="14" s="1"/>
  <c r="DS462" i="14"/>
  <c r="DQ463" i="14"/>
  <c r="DR463" i="14" s="1"/>
  <c r="CY462" i="14"/>
  <c r="CW463" i="14"/>
  <c r="CX463" i="14" s="1"/>
  <c r="DQ259" i="14"/>
  <c r="DR259" i="14" s="1"/>
  <c r="DS258" i="14"/>
  <c r="DS510" i="14"/>
  <c r="DQ511" i="14"/>
  <c r="DR511" i="14" s="1"/>
  <c r="CW534" i="14"/>
  <c r="CX534" i="14" s="1"/>
  <c r="CY533" i="14"/>
  <c r="DV330" i="14"/>
  <c r="DW330" i="14" s="1"/>
  <c r="DX329" i="14"/>
  <c r="CY606" i="14"/>
  <c r="CW607" i="14"/>
  <c r="CX607" i="14" s="1"/>
  <c r="DV246" i="14"/>
  <c r="DW246" i="14" s="1"/>
  <c r="DX245" i="14"/>
  <c r="CJ330" i="14"/>
  <c r="CH331" i="14"/>
  <c r="CI331" i="14" s="1"/>
  <c r="CT366" i="14"/>
  <c r="CR367" i="14"/>
  <c r="CS367" i="14" s="1"/>
  <c r="CT450" i="14"/>
  <c r="CR451" i="14"/>
  <c r="CS451" i="14" s="1"/>
  <c r="DX233" i="14"/>
  <c r="DV234" i="14"/>
  <c r="DW234" i="14" s="1"/>
  <c r="CC546" i="14"/>
  <c r="CD546" i="14" s="1"/>
  <c r="EH341" i="14"/>
  <c r="EF342" i="14"/>
  <c r="EG342" i="14" s="1"/>
  <c r="CM607" i="14"/>
  <c r="CN607" i="14" s="1"/>
  <c r="CO606" i="14"/>
  <c r="CJ545" i="14"/>
  <c r="CH546" i="14"/>
  <c r="CI546" i="14" s="1"/>
  <c r="DL403" i="14"/>
  <c r="DM403" i="14" s="1"/>
  <c r="DN402" i="14"/>
  <c r="EA163" i="14"/>
  <c r="EB163" i="14" s="1"/>
  <c r="EC162" i="14"/>
  <c r="CC102" i="14"/>
  <c r="CD102" i="14" s="1"/>
  <c r="DN53" i="14"/>
  <c r="DL54" i="14"/>
  <c r="DM54" i="14" s="1"/>
  <c r="EF510" i="14"/>
  <c r="EG510" i="14" s="1"/>
  <c r="EH509" i="14"/>
  <c r="EA522" i="14"/>
  <c r="EB522" i="14" s="1"/>
  <c r="EC521" i="14"/>
  <c r="CJ510" i="14"/>
  <c r="CH511" i="14"/>
  <c r="CI511" i="14" s="1"/>
  <c r="EC677" i="14"/>
  <c r="EA678" i="14"/>
  <c r="EB678" i="14" s="1"/>
  <c r="EH462" i="14"/>
  <c r="EF463" i="14"/>
  <c r="EG463" i="14" s="1"/>
  <c r="DG654" i="14"/>
  <c r="DH654" i="14" s="1"/>
  <c r="CM174" i="14"/>
  <c r="CN174" i="14" s="1"/>
  <c r="CO173" i="14"/>
  <c r="DL186" i="14"/>
  <c r="DM186" i="14" s="1"/>
  <c r="DN185" i="14"/>
  <c r="DV439" i="14"/>
  <c r="DW439" i="14" s="1"/>
  <c r="DX438" i="14"/>
  <c r="DN222" i="14"/>
  <c r="DL223" i="14"/>
  <c r="DM223" i="14" s="1"/>
  <c r="CC630" i="14"/>
  <c r="CD630" i="14" s="1"/>
  <c r="CR66" i="14"/>
  <c r="CS66" i="14" s="1"/>
  <c r="CT65" i="14"/>
  <c r="DQ486" i="14"/>
  <c r="DR486" i="14" s="1"/>
  <c r="DS485" i="14"/>
  <c r="DD558" i="14"/>
  <c r="DB559" i="14"/>
  <c r="DC559" i="14" s="1"/>
  <c r="DV198" i="14"/>
  <c r="DW198" i="14" s="1"/>
  <c r="DX197" i="14"/>
  <c r="CO497" i="14"/>
  <c r="CM498" i="14"/>
  <c r="CN498" i="14" s="1"/>
  <c r="DX569" i="14"/>
  <c r="DV570" i="14"/>
  <c r="DW570" i="14" s="1"/>
  <c r="CO450" i="14"/>
  <c r="CM451" i="14"/>
  <c r="CN451" i="14" s="1"/>
  <c r="DB426" i="14"/>
  <c r="DC426" i="14" s="1"/>
  <c r="DD425" i="14"/>
  <c r="CC378" i="14"/>
  <c r="CD378" i="14" s="1"/>
  <c r="CW174" i="14"/>
  <c r="CX174" i="14" s="1"/>
  <c r="CY173" i="14"/>
  <c r="CT174" i="14"/>
  <c r="CR175" i="14"/>
  <c r="CS175" i="14" s="1"/>
  <c r="CH402" i="14"/>
  <c r="CI402" i="14" s="1"/>
  <c r="CJ401" i="14"/>
  <c r="DG558" i="14"/>
  <c r="DH558" i="14" s="1"/>
  <c r="CH655" i="14"/>
  <c r="CI655" i="14" s="1"/>
  <c r="CJ654" i="14"/>
  <c r="EF619" i="14"/>
  <c r="EG619" i="14" s="1"/>
  <c r="EH618" i="14"/>
  <c r="DL439" i="14"/>
  <c r="DM439" i="14" s="1"/>
  <c r="DN438" i="14"/>
  <c r="EH522" i="14"/>
  <c r="EF523" i="14"/>
  <c r="EG523" i="14" s="1"/>
  <c r="DQ618" i="14"/>
  <c r="DR618" i="14" s="1"/>
  <c r="DS617" i="14"/>
  <c r="CC54" i="14"/>
  <c r="CD54" i="14" s="1"/>
  <c r="DG54" i="14"/>
  <c r="DH54" i="14" s="1"/>
  <c r="CM438" i="14"/>
  <c r="CN438" i="14" s="1"/>
  <c r="CO437" i="14"/>
  <c r="EH558" i="14"/>
  <c r="EF559" i="14"/>
  <c r="EG559" i="14" s="1"/>
  <c r="CM247" i="14"/>
  <c r="CN247" i="14" s="1"/>
  <c r="CO246" i="14"/>
  <c r="CO545" i="14"/>
  <c r="CM546" i="14"/>
  <c r="CN546" i="14" s="1"/>
  <c r="CC558" i="14"/>
  <c r="CD558" i="14" s="1"/>
  <c r="DQ535" i="14"/>
  <c r="DR535" i="14" s="1"/>
  <c r="DS534" i="14"/>
  <c r="CR570" i="14"/>
  <c r="CS570" i="14" s="1"/>
  <c r="CT569" i="14"/>
  <c r="CC414" i="14"/>
  <c r="CD414" i="14" s="1"/>
  <c r="DB534" i="14"/>
  <c r="DC534" i="14" s="1"/>
  <c r="DD533" i="14"/>
  <c r="DD222" i="14"/>
  <c r="DB223" i="14"/>
  <c r="DC223" i="14" s="1"/>
  <c r="CC66" i="14"/>
  <c r="CD66" i="14" s="1"/>
  <c r="DG318" i="14"/>
  <c r="DH318" i="14" s="1"/>
  <c r="DL487" i="14"/>
  <c r="DM487" i="14" s="1"/>
  <c r="DN486" i="14"/>
  <c r="DV187" i="14"/>
  <c r="DW187" i="14" s="1"/>
  <c r="DX186" i="14"/>
  <c r="CM139" i="14"/>
  <c r="CN139" i="14" s="1"/>
  <c r="CO138" i="14"/>
  <c r="EH174" i="14"/>
  <c r="EF175" i="14"/>
  <c r="EG175" i="14" s="1"/>
  <c r="CR199" i="14"/>
  <c r="CS199" i="14" s="1"/>
  <c r="CT198" i="14"/>
  <c r="EA55" i="14"/>
  <c r="EB55" i="14" s="1"/>
  <c r="EC54" i="14"/>
  <c r="CT90" i="14"/>
  <c r="CR91" i="14"/>
  <c r="CS91" i="14" s="1"/>
  <c r="DD89" i="14"/>
  <c r="DB90" i="14"/>
  <c r="DC90" i="14" s="1"/>
  <c r="DB594" i="14"/>
  <c r="DC594" i="14" s="1"/>
  <c r="DD593" i="14"/>
  <c r="CJ114" i="14"/>
  <c r="CH115" i="14"/>
  <c r="CI115" i="14" s="1"/>
  <c r="CY497" i="14"/>
  <c r="CW498" i="14"/>
  <c r="CX498" i="14" s="1"/>
  <c r="CW655" i="14"/>
  <c r="CX655" i="14" s="1"/>
  <c r="CY654" i="14"/>
  <c r="DB102" i="14"/>
  <c r="DC102" i="14" s="1"/>
  <c r="DD101" i="14"/>
  <c r="DS162" i="14"/>
  <c r="DQ163" i="14"/>
  <c r="DR163" i="14" s="1"/>
  <c r="CJ317" i="14"/>
  <c r="CH318" i="14"/>
  <c r="CI318" i="14" s="1"/>
  <c r="CT438" i="14"/>
  <c r="CR439" i="14"/>
  <c r="CS439" i="14" s="1"/>
  <c r="EH138" i="14"/>
  <c r="EF139" i="14"/>
  <c r="EG139" i="14" s="1"/>
  <c r="DS66" i="14"/>
  <c r="DQ67" i="14"/>
  <c r="DR67" i="14" s="1"/>
  <c r="DL102" i="14"/>
  <c r="DM102" i="14" s="1"/>
  <c r="DN101" i="14"/>
  <c r="CC366" i="14"/>
  <c r="CD366" i="14" s="1"/>
  <c r="DL282" i="14"/>
  <c r="DM282" i="14" s="1"/>
  <c r="DN281" i="14"/>
  <c r="DX666" i="14"/>
  <c r="DV667" i="14"/>
  <c r="DW667" i="14" s="1"/>
  <c r="EA211" i="14"/>
  <c r="EB211" i="14" s="1"/>
  <c r="EC210" i="14"/>
  <c r="DV67" i="14"/>
  <c r="DW67" i="14" s="1"/>
  <c r="DX66" i="14"/>
  <c r="CR163" i="14"/>
  <c r="CS163" i="14" s="1"/>
  <c r="CT162" i="14"/>
  <c r="EH677" i="14"/>
  <c r="EF678" i="14"/>
  <c r="EG678" i="14" s="1"/>
  <c r="DL66" i="14"/>
  <c r="DM66" i="14" s="1"/>
  <c r="DN65" i="14"/>
  <c r="CY198" i="14"/>
  <c r="CW199" i="14"/>
  <c r="CX199" i="14" s="1"/>
  <c r="EH485" i="14"/>
  <c r="EF486" i="14"/>
  <c r="EG486" i="14" s="1"/>
  <c r="CM235" i="14"/>
  <c r="CN235" i="14" s="1"/>
  <c r="CO234" i="14"/>
  <c r="DG522" i="14"/>
  <c r="DH522" i="14" s="1"/>
  <c r="DQ607" i="14"/>
  <c r="DR607" i="14" s="1"/>
  <c r="DS606" i="14"/>
  <c r="CC138" i="14"/>
  <c r="CD138" i="14" s="1"/>
  <c r="DG102" i="14"/>
  <c r="DH102" i="14" s="1"/>
  <c r="DG258" i="14"/>
  <c r="DH258" i="14" s="1"/>
  <c r="CM378" i="14"/>
  <c r="CN378" i="14" s="1"/>
  <c r="CO377" i="14"/>
  <c r="DD317" i="14"/>
  <c r="DB318" i="14"/>
  <c r="DC318" i="14" s="1"/>
  <c r="CY582" i="14"/>
  <c r="CW583" i="14"/>
  <c r="CX583" i="14" s="1"/>
  <c r="CM619" i="14"/>
  <c r="CN619" i="14" s="1"/>
  <c r="CO618" i="14"/>
  <c r="DG246" i="14"/>
  <c r="DH246" i="14" s="1"/>
  <c r="EC233" i="14"/>
  <c r="EA234" i="14"/>
  <c r="EB234" i="14" s="1"/>
  <c r="DG474" i="14"/>
  <c r="DH474" i="14" s="1"/>
  <c r="CH294" i="14"/>
  <c r="CI294" i="14" s="1"/>
  <c r="CJ293" i="14"/>
  <c r="CC402" i="14"/>
  <c r="CD402" i="14" s="1"/>
  <c r="CY593" i="14"/>
  <c r="CW594" i="14"/>
  <c r="CX594" i="14" s="1"/>
  <c r="EH665" i="14"/>
  <c r="EF666" i="14"/>
  <c r="EG666" i="14" s="1"/>
  <c r="DL427" i="14"/>
  <c r="DM427" i="14" s="1"/>
  <c r="DN426" i="14"/>
  <c r="EH498" i="14"/>
  <c r="EF499" i="14"/>
  <c r="EG499" i="14" s="1"/>
  <c r="DS341" i="14"/>
  <c r="DQ342" i="14"/>
  <c r="DR342" i="14" s="1"/>
  <c r="CO258" i="14"/>
  <c r="CM259" i="14"/>
  <c r="CN259" i="14" s="1"/>
  <c r="CO389" i="14"/>
  <c r="CM390" i="14"/>
  <c r="CN390" i="14" s="1"/>
  <c r="DV607" i="14"/>
  <c r="DW607" i="14" s="1"/>
  <c r="DX606" i="14"/>
  <c r="DL547" i="14"/>
  <c r="DM547" i="14" s="1"/>
  <c r="DN546" i="14"/>
  <c r="CW439" i="14"/>
  <c r="CX439" i="14" s="1"/>
  <c r="CY438" i="14"/>
  <c r="CH235" i="14"/>
  <c r="CI235" i="14" s="1"/>
  <c r="CJ234" i="14"/>
  <c r="EF115" i="14"/>
  <c r="EG115" i="14" s="1"/>
  <c r="EH114" i="14"/>
  <c r="DB210" i="14"/>
  <c r="DC210" i="14" s="1"/>
  <c r="DD209" i="14"/>
  <c r="CH379" i="14"/>
  <c r="CI379" i="14" s="1"/>
  <c r="CJ378" i="14"/>
  <c r="DS317" i="14"/>
  <c r="DQ318" i="14"/>
  <c r="DR318" i="14" s="1"/>
  <c r="DV679" i="14"/>
  <c r="DW679" i="14" s="1"/>
  <c r="DX678" i="14"/>
  <c r="DD330" i="14"/>
  <c r="DB331" i="14"/>
  <c r="DC331" i="14" s="1"/>
  <c r="CC162" i="14"/>
  <c r="CD162" i="14" s="1"/>
  <c r="DQ175" i="14"/>
  <c r="DR175" i="14" s="1"/>
  <c r="DS174" i="14"/>
  <c r="CH150" i="14"/>
  <c r="CI150" i="14" s="1"/>
  <c r="CJ149" i="14"/>
  <c r="CJ618" i="14"/>
  <c r="CH619" i="14"/>
  <c r="CI619" i="14" s="1"/>
  <c r="CC282" i="14"/>
  <c r="CD282" i="14" s="1"/>
  <c r="CH427" i="14"/>
  <c r="CI427" i="14" s="1"/>
  <c r="CJ426" i="14"/>
  <c r="DL246" i="14"/>
  <c r="DM246" i="14" s="1"/>
  <c r="DN245" i="14"/>
  <c r="DB114" i="14"/>
  <c r="DC114" i="14" s="1"/>
  <c r="DD113" i="14"/>
  <c r="CO570" i="14"/>
  <c r="CM571" i="14"/>
  <c r="CN571" i="14" s="1"/>
  <c r="DL126" i="14"/>
  <c r="DM126" i="14" s="1"/>
  <c r="DN125" i="14"/>
  <c r="EH210" i="14"/>
  <c r="EF211" i="14"/>
  <c r="EG211" i="14" s="1"/>
  <c r="EH450" i="14"/>
  <c r="EF451" i="14"/>
  <c r="EG451" i="14" s="1"/>
  <c r="CO354" i="14"/>
  <c r="CM355" i="14"/>
  <c r="CN355" i="14" s="1"/>
  <c r="CM67" i="14"/>
  <c r="CN67" i="14" s="1"/>
  <c r="CO66" i="14"/>
  <c r="CW54" i="14"/>
  <c r="CX54" i="14" s="1"/>
  <c r="CY53" i="14"/>
  <c r="DQ139" i="14"/>
  <c r="DR139" i="14" s="1"/>
  <c r="DS138" i="14"/>
  <c r="DG594" i="14"/>
  <c r="DH594" i="14" s="1"/>
  <c r="EC138" i="14"/>
  <c r="EA139" i="14"/>
  <c r="EB139" i="14" s="1"/>
  <c r="CT533" i="14"/>
  <c r="CR534" i="14"/>
  <c r="CS534" i="14" s="1"/>
  <c r="DN522" i="14"/>
  <c r="DL523" i="14"/>
  <c r="DM523" i="14" s="1"/>
  <c r="CW294" i="14"/>
  <c r="CX294" i="14" s="1"/>
  <c r="CY293" i="14"/>
  <c r="CR655" i="14"/>
  <c r="CS655" i="14" s="1"/>
  <c r="CT654" i="14"/>
  <c r="EA619" i="14"/>
  <c r="EB619" i="14" s="1"/>
  <c r="EC618" i="14"/>
  <c r="EH245" i="14"/>
  <c r="EF246" i="14"/>
  <c r="EG246" i="14" s="1"/>
  <c r="EF103" i="14"/>
  <c r="EG103" i="14" s="1"/>
  <c r="EH102" i="14"/>
  <c r="CH139" i="14"/>
  <c r="CI139" i="14" s="1"/>
  <c r="CJ138" i="14"/>
  <c r="DG378" i="14"/>
  <c r="DH378" i="14" s="1"/>
  <c r="DS629" i="14"/>
  <c r="DQ630" i="14"/>
  <c r="DR630" i="14" s="1"/>
  <c r="EC534" i="14"/>
  <c r="EA535" i="14"/>
  <c r="EB535" i="14" s="1"/>
  <c r="EH438" i="14"/>
  <c r="EF439" i="14"/>
  <c r="EG439" i="14" s="1"/>
  <c r="DN234" i="14"/>
  <c r="DL235" i="14"/>
  <c r="DM235" i="14" s="1"/>
  <c r="DQ427" i="14"/>
  <c r="DR427" i="14" s="1"/>
  <c r="DS426" i="14"/>
  <c r="DV223" i="14"/>
  <c r="DW223" i="14" s="1"/>
  <c r="DX222" i="14"/>
  <c r="DB307" i="14"/>
  <c r="DC307" i="14" s="1"/>
  <c r="DD306" i="14"/>
  <c r="EA187" i="14"/>
  <c r="EB187" i="14" s="1"/>
  <c r="EC186" i="14"/>
  <c r="CY617" i="14"/>
  <c r="CW618" i="14"/>
  <c r="CX618" i="14" s="1"/>
  <c r="CH438" i="14"/>
  <c r="CI438" i="14" s="1"/>
  <c r="CJ437" i="14"/>
  <c r="EC666" i="14"/>
  <c r="EA667" i="14"/>
  <c r="EB667" i="14" s="1"/>
  <c r="CW559" i="14"/>
  <c r="CX559" i="14" s="1"/>
  <c r="CY558" i="14"/>
  <c r="CR210" i="14"/>
  <c r="CS210" i="14" s="1"/>
  <c r="CT209" i="14"/>
  <c r="DG402" i="14"/>
  <c r="DH402" i="14" s="1"/>
  <c r="EF630" i="14"/>
  <c r="EG630" i="14" s="1"/>
  <c r="EH629" i="14"/>
  <c r="CJ558" i="14"/>
  <c r="CH559" i="14"/>
  <c r="CI559" i="14" s="1"/>
  <c r="CT354" i="14"/>
  <c r="CR355" i="14"/>
  <c r="CS355" i="14" s="1"/>
  <c r="DD366" i="14"/>
  <c r="DB367" i="14"/>
  <c r="DC367" i="14" s="1"/>
  <c r="DD473" i="14"/>
  <c r="DB474" i="14"/>
  <c r="DC474" i="14" s="1"/>
  <c r="EH305" i="14"/>
  <c r="EF306" i="14"/>
  <c r="EG306" i="14" s="1"/>
  <c r="CH342" i="14"/>
  <c r="CI342" i="14" s="1"/>
  <c r="CJ341" i="14"/>
  <c r="CM486" i="14"/>
  <c r="CN486" i="14" s="1"/>
  <c r="CO485" i="14"/>
  <c r="DG450" i="14"/>
  <c r="DH450" i="14" s="1"/>
  <c r="DB414" i="14"/>
  <c r="DC414" i="14" s="1"/>
  <c r="DD413" i="14"/>
  <c r="EC425" i="14"/>
  <c r="EA426" i="14"/>
  <c r="EB426" i="14" s="1"/>
  <c r="DD162" i="14"/>
  <c r="DB163" i="14"/>
  <c r="DC163" i="14" s="1"/>
  <c r="EC653" i="14"/>
  <c r="EA654" i="14"/>
  <c r="EB654" i="14" s="1"/>
  <c r="EF571" i="14"/>
  <c r="EG571" i="14" s="1"/>
  <c r="EH570" i="14"/>
  <c r="CC258" i="14"/>
  <c r="CD258" i="14" s="1"/>
  <c r="DL631" i="14"/>
  <c r="DM631" i="14" s="1"/>
  <c r="DN630" i="14"/>
  <c r="DS210" i="14"/>
  <c r="DQ211" i="14"/>
  <c r="DR211" i="14" s="1"/>
  <c r="EH642" i="14"/>
  <c r="EF643" i="14"/>
  <c r="EG643" i="14" s="1"/>
  <c r="CJ221" i="14"/>
  <c r="CH222" i="14"/>
  <c r="CI222" i="14" s="1"/>
  <c r="CR606" i="14"/>
  <c r="CS606" i="14" s="1"/>
  <c r="CT605" i="14"/>
  <c r="CH102" i="14"/>
  <c r="CI102" i="14" s="1"/>
  <c r="CJ101" i="14"/>
  <c r="DN582" i="14"/>
  <c r="DL583" i="14"/>
  <c r="DM583" i="14" s="1"/>
  <c r="DS113" i="14"/>
  <c r="DQ114" i="14"/>
  <c r="DR114" i="14" s="1"/>
  <c r="CR318" i="14"/>
  <c r="CS318" i="14" s="1"/>
  <c r="CT317" i="14"/>
  <c r="EA91" i="14"/>
  <c r="EB91" i="14" s="1"/>
  <c r="EC90" i="14"/>
  <c r="DD390" i="14"/>
  <c r="DB391" i="14"/>
  <c r="DC391" i="14" s="1"/>
  <c r="DS101" i="14"/>
  <c r="DQ102" i="14"/>
  <c r="DR102" i="14" s="1"/>
  <c r="DS222" i="14"/>
  <c r="DQ223" i="14"/>
  <c r="DR223" i="14" s="1"/>
  <c r="DB654" i="14"/>
  <c r="DC654" i="14" s="1"/>
  <c r="DD653" i="14"/>
  <c r="CC594" i="14"/>
  <c r="CD594" i="14" s="1"/>
  <c r="DB522" i="14"/>
  <c r="DC522" i="14" s="1"/>
  <c r="DD521" i="14"/>
  <c r="CC294" i="14"/>
  <c r="CD294" i="14" s="1"/>
  <c r="DG270" i="14"/>
  <c r="DH270" i="14" s="1"/>
  <c r="CM222" i="14"/>
  <c r="CN222" i="14" s="1"/>
  <c r="CO221" i="14"/>
  <c r="EA415" i="14"/>
  <c r="EB415" i="14" s="1"/>
  <c r="EC414" i="14"/>
  <c r="DD185" i="14"/>
  <c r="DB186" i="14"/>
  <c r="DC186" i="14" s="1"/>
  <c r="DL534" i="14"/>
  <c r="DM534" i="14" s="1"/>
  <c r="DN533" i="14"/>
  <c r="DN378" i="14"/>
  <c r="DL379" i="14"/>
  <c r="DM379" i="14" s="1"/>
  <c r="DB295" i="14"/>
  <c r="DC295" i="14" s="1"/>
  <c r="DD294" i="14"/>
  <c r="DB150" i="14"/>
  <c r="DC150" i="14" s="1"/>
  <c r="DD149" i="14"/>
  <c r="CJ413" i="14"/>
  <c r="CH414" i="14"/>
  <c r="CI414" i="14" s="1"/>
  <c r="CH258" i="14"/>
  <c r="CI258" i="14" s="1"/>
  <c r="CJ257" i="14"/>
  <c r="DV475" i="14"/>
  <c r="DW475" i="14" s="1"/>
  <c r="DX474" i="14"/>
  <c r="DL642" i="14"/>
  <c r="DM642" i="14" s="1"/>
  <c r="DN641" i="14"/>
  <c r="CR379" i="14"/>
  <c r="CS379" i="14" s="1"/>
  <c r="CT378" i="14"/>
  <c r="CO402" i="14"/>
  <c r="CM403" i="14"/>
  <c r="CN403" i="14" s="1"/>
  <c r="CT186" i="14"/>
  <c r="CR187" i="14"/>
  <c r="CS187" i="14" s="1"/>
  <c r="CJ630" i="14"/>
  <c r="CH631" i="14"/>
  <c r="CI631" i="14" s="1"/>
  <c r="CC90" i="14"/>
  <c r="CD90" i="14" s="1"/>
  <c r="DX305" i="14"/>
  <c r="DV306" i="14"/>
  <c r="DW306" i="14" s="1"/>
  <c r="CW234" i="14"/>
  <c r="CX234" i="14" s="1"/>
  <c r="CY233" i="14"/>
  <c r="EC606" i="14"/>
  <c r="EA607" i="14"/>
  <c r="EB607" i="14" s="1"/>
  <c r="CY270" i="14"/>
  <c r="CW271" i="14"/>
  <c r="CX271" i="14" s="1"/>
  <c r="DG222" i="14"/>
  <c r="DH222" i="14" s="1"/>
  <c r="DB583" i="14"/>
  <c r="DC583" i="14" s="1"/>
  <c r="DD582" i="14"/>
  <c r="DD66" i="14"/>
  <c r="DB67" i="14"/>
  <c r="DC67" i="14" s="1"/>
  <c r="CC438" i="14"/>
  <c r="CD438" i="14" s="1"/>
  <c r="EA594" i="14"/>
  <c r="EB594" i="14" s="1"/>
  <c r="EC593" i="14"/>
  <c r="DN270" i="14"/>
  <c r="DL271" i="14"/>
  <c r="DM271" i="14" s="1"/>
  <c r="CR331" i="14"/>
  <c r="CS331" i="14" s="1"/>
  <c r="CT330" i="14"/>
  <c r="DB462" i="14"/>
  <c r="DC462" i="14" s="1"/>
  <c r="DD461" i="14"/>
  <c r="DD125" i="14"/>
  <c r="DB126" i="14"/>
  <c r="DC126" i="14" s="1"/>
  <c r="CT629" i="14"/>
  <c r="CR630" i="14"/>
  <c r="CS630" i="14" s="1"/>
  <c r="DD353" i="14"/>
  <c r="DB354" i="14"/>
  <c r="DC354" i="14" s="1"/>
  <c r="DB174" i="14"/>
  <c r="DC174" i="14" s="1"/>
  <c r="DD173" i="14"/>
  <c r="CC618" i="14"/>
  <c r="CD618" i="14" s="1"/>
  <c r="CC570" i="14"/>
  <c r="CD570" i="14" s="1"/>
  <c r="CC678" i="14"/>
  <c r="CD678" i="14" s="1"/>
  <c r="EF319" i="14"/>
  <c r="EG319" i="14" s="1"/>
  <c r="EH318" i="14"/>
  <c r="DS473" i="14"/>
  <c r="DQ474" i="14"/>
  <c r="DR474" i="14" s="1"/>
  <c r="CM558" i="14"/>
  <c r="CN558" i="14" s="1"/>
  <c r="CO557" i="14"/>
  <c r="DB643" i="14"/>
  <c r="DC643" i="14" s="1"/>
  <c r="DD642" i="14"/>
  <c r="CT557" i="14"/>
  <c r="CR558" i="14"/>
  <c r="CS558" i="14" s="1"/>
  <c r="CC150" i="14"/>
  <c r="CD150" i="14" s="1"/>
  <c r="CC474" i="14"/>
  <c r="CD474" i="14" s="1"/>
  <c r="CY402" i="14"/>
  <c r="CW403" i="14"/>
  <c r="CX403" i="14" s="1"/>
  <c r="EA463" i="14"/>
  <c r="EB463" i="14" s="1"/>
  <c r="EC462" i="14"/>
  <c r="DV499" i="14"/>
  <c r="DW499" i="14" s="1"/>
  <c r="DX498" i="14"/>
  <c r="DG282" i="14"/>
  <c r="DH282" i="14" s="1"/>
  <c r="CM679" i="14"/>
  <c r="CN679" i="14" s="1"/>
  <c r="CO678" i="14"/>
  <c r="DB607" i="14"/>
  <c r="DC607" i="14" s="1"/>
  <c r="DD606" i="14"/>
  <c r="DX653" i="14"/>
  <c r="DV654" i="14"/>
  <c r="DW654" i="14" s="1"/>
  <c r="CO306" i="14"/>
  <c r="CM307" i="14"/>
  <c r="CN307" i="14" s="1"/>
  <c r="DD486" i="14"/>
  <c r="DB487" i="14"/>
  <c r="DC487" i="14" s="1"/>
  <c r="DG582" i="14"/>
  <c r="DH582" i="14" s="1"/>
  <c r="CJ162" i="14"/>
  <c r="CH163" i="14"/>
  <c r="CI163" i="14" s="1"/>
  <c r="DQ439" i="14"/>
  <c r="DR439" i="14" s="1"/>
  <c r="DS438" i="14"/>
  <c r="DB498" i="14"/>
  <c r="DC498" i="14" s="1"/>
  <c r="DD497" i="14"/>
  <c r="DD401" i="14"/>
  <c r="DB402" i="14"/>
  <c r="DC402" i="14" s="1"/>
  <c r="EA271" i="14"/>
  <c r="EB271" i="14" s="1"/>
  <c r="EC270" i="14"/>
  <c r="DV534" i="14"/>
  <c r="DW534" i="14" s="1"/>
  <c r="DX533" i="14"/>
  <c r="CW391" i="14"/>
  <c r="CX391" i="14" s="1"/>
  <c r="CY390" i="14"/>
  <c r="CM583" i="14"/>
  <c r="CN583" i="14" s="1"/>
  <c r="CO582" i="14"/>
  <c r="EC629" i="14"/>
  <c r="EA630" i="14"/>
  <c r="EB630" i="14" s="1"/>
  <c r="DV462" i="14"/>
  <c r="DW462" i="14" s="1"/>
  <c r="DX461" i="14"/>
  <c r="DS186" i="14"/>
  <c r="DQ187" i="14"/>
  <c r="DR187" i="14" s="1"/>
  <c r="EH545" i="14"/>
  <c r="EF546" i="14"/>
  <c r="EG546" i="14" s="1"/>
  <c r="EA511" i="14"/>
  <c r="EB511" i="14" s="1"/>
  <c r="EC510" i="14"/>
  <c r="CH679" i="14"/>
  <c r="CI679" i="14" s="1"/>
  <c r="CJ678" i="14"/>
  <c r="DG678" i="14"/>
  <c r="DH678" i="14" s="1"/>
  <c r="CH175" i="14"/>
  <c r="CI175" i="14" s="1"/>
  <c r="CJ174" i="14"/>
  <c r="CH210" i="14"/>
  <c r="CI210" i="14" s="1"/>
  <c r="CJ209" i="14"/>
  <c r="DG90" i="14"/>
  <c r="DH90" i="14" s="1"/>
  <c r="DV90" i="14"/>
  <c r="DW90" i="14" s="1"/>
  <c r="DX89" i="14"/>
  <c r="CY450" i="14"/>
  <c r="CW451" i="14"/>
  <c r="CX451" i="14" s="1"/>
  <c r="DL307" i="14"/>
  <c r="DM307" i="14" s="1"/>
  <c r="DN306" i="14"/>
  <c r="CH571" i="14"/>
  <c r="CI571" i="14" s="1"/>
  <c r="CJ570" i="14"/>
  <c r="CJ269" i="14"/>
  <c r="CH270" i="14"/>
  <c r="CI270" i="14" s="1"/>
  <c r="CR222" i="14"/>
  <c r="CS222" i="14" s="1"/>
  <c r="CT221" i="14"/>
  <c r="DG606" i="14"/>
  <c r="DH606" i="14" s="1"/>
  <c r="CR343" i="14"/>
  <c r="CS343" i="14" s="1"/>
  <c r="CT342" i="14"/>
  <c r="DG534" i="14"/>
  <c r="DH534" i="14" s="1"/>
  <c r="EF235" i="14"/>
  <c r="EG235" i="14" s="1"/>
  <c r="EH234" i="14"/>
  <c r="CT402" i="14"/>
  <c r="CR403" i="14"/>
  <c r="CS403" i="14" s="1"/>
  <c r="CW163" i="14"/>
  <c r="CX163" i="14" s="1"/>
  <c r="CY162" i="14"/>
  <c r="EF295" i="14"/>
  <c r="EG295" i="14" s="1"/>
  <c r="EH294" i="14"/>
  <c r="CC606" i="14"/>
  <c r="CD606" i="14" s="1"/>
  <c r="CR235" i="14"/>
  <c r="CS235" i="14" s="1"/>
  <c r="CT234" i="14"/>
  <c r="CC126" i="14"/>
  <c r="CD126" i="14" s="1"/>
  <c r="DB619" i="14"/>
  <c r="DC619" i="14" s="1"/>
  <c r="DD618" i="14"/>
  <c r="DG150" i="14"/>
  <c r="DH150" i="14" s="1"/>
  <c r="CC654" i="14"/>
  <c r="CD654" i="14" s="1"/>
  <c r="CO186" i="14"/>
  <c r="CM187" i="14"/>
  <c r="CN187" i="14" s="1"/>
  <c r="DS581" i="14"/>
  <c r="DQ582" i="14"/>
  <c r="DR582" i="14" s="1"/>
  <c r="CC582" i="14"/>
  <c r="CD582" i="14" s="1"/>
  <c r="DQ558" i="14"/>
  <c r="DR558" i="14" s="1"/>
  <c r="DS557" i="14"/>
  <c r="DN329" i="14"/>
  <c r="DL330" i="14"/>
  <c r="DM330" i="14" s="1"/>
  <c r="DG186" i="14"/>
  <c r="DH186" i="14" s="1"/>
  <c r="DG642" i="14"/>
  <c r="DH642" i="14" s="1"/>
  <c r="DS594" i="14"/>
  <c r="DQ595" i="14"/>
  <c r="DR595" i="14" s="1"/>
  <c r="DQ271" i="14"/>
  <c r="DR271" i="14" s="1"/>
  <c r="DS270" i="14"/>
  <c r="CC330" i="14"/>
  <c r="CD330" i="14" s="1"/>
  <c r="CJ66" i="14"/>
  <c r="CH67" i="14"/>
  <c r="CI67" i="14" s="1"/>
  <c r="CW318" i="14"/>
  <c r="CX318" i="14" s="1"/>
  <c r="CY317" i="14"/>
  <c r="EF66" i="14"/>
  <c r="EG66" i="14" s="1"/>
  <c r="EH65" i="14"/>
  <c r="DS353" i="14"/>
  <c r="DQ354" i="14"/>
  <c r="DR354" i="14" s="1"/>
  <c r="CR126" i="14"/>
  <c r="CS126" i="14" s="1"/>
  <c r="CT125" i="14"/>
  <c r="DX558" i="14"/>
  <c r="DV559" i="14"/>
  <c r="DW559" i="14" s="1"/>
  <c r="DG390" i="14"/>
  <c r="DH390" i="14" s="1"/>
  <c r="CM318" i="14"/>
  <c r="CN318" i="14" s="1"/>
  <c r="CO317" i="14"/>
  <c r="DG114" i="14"/>
  <c r="DH114" i="14" s="1"/>
  <c r="DG198" i="14"/>
  <c r="DH198" i="14" s="1"/>
  <c r="DL199" i="14"/>
  <c r="DM199" i="14" s="1"/>
  <c r="DN198" i="14"/>
  <c r="EC486" i="14"/>
  <c r="EA487" i="14"/>
  <c r="EB487" i="14" s="1"/>
  <c r="CW343" i="14"/>
  <c r="CX343" i="14" s="1"/>
  <c r="CY342" i="14"/>
  <c r="DN173" i="14"/>
  <c r="DL174" i="14"/>
  <c r="DM174" i="14" s="1"/>
  <c r="EC570" i="14"/>
  <c r="EA571" i="14"/>
  <c r="EB571" i="14" s="1"/>
  <c r="CM666" i="14"/>
  <c r="CN666" i="14" s="1"/>
  <c r="CO665" i="14"/>
  <c r="CC450" i="14"/>
  <c r="CD450" i="14" s="1"/>
  <c r="EA559" i="14"/>
  <c r="EB559" i="14" s="1"/>
  <c r="EC558" i="14"/>
  <c r="CR679" i="14"/>
  <c r="CS679" i="14" s="1"/>
  <c r="CT678" i="14"/>
  <c r="CT594" i="14"/>
  <c r="CR595" i="14"/>
  <c r="CS595" i="14" s="1"/>
  <c r="EA642" i="14"/>
  <c r="EB642" i="14" s="1"/>
  <c r="EC641" i="14"/>
  <c r="DL474" i="14"/>
  <c r="DM474" i="14" s="1"/>
  <c r="DN473" i="14"/>
  <c r="CC270" i="14"/>
  <c r="CD270" i="14" s="1"/>
  <c r="DG342" i="14"/>
  <c r="DH342" i="14" s="1"/>
  <c r="DV642" i="14"/>
  <c r="DW642" i="14" s="1"/>
  <c r="DX641" i="14"/>
  <c r="CR499" i="14"/>
  <c r="CS499" i="14" s="1"/>
  <c r="CT498" i="14"/>
  <c r="DL342" i="14"/>
  <c r="DM342" i="14" s="1"/>
  <c r="DN341" i="14"/>
  <c r="EF607" i="14"/>
  <c r="EG607" i="14" s="1"/>
  <c r="EH606" i="14"/>
  <c r="DS389" i="14"/>
  <c r="DQ390" i="14"/>
  <c r="DR390" i="14" s="1"/>
  <c r="CT474" i="14"/>
  <c r="CR475" i="14"/>
  <c r="CS475" i="14" s="1"/>
  <c r="EH257" i="14"/>
  <c r="EF258" i="14"/>
  <c r="EG258" i="14" s="1"/>
  <c r="EF402" i="14"/>
  <c r="EG402" i="14" s="1"/>
  <c r="EH401" i="14"/>
  <c r="CH594" i="14"/>
  <c r="CI594" i="14" s="1"/>
  <c r="CJ593" i="14"/>
  <c r="DD53" i="14"/>
  <c r="DB54" i="14"/>
  <c r="DC54" i="14" s="1"/>
  <c r="DG354" i="14"/>
  <c r="DH354" i="14" s="1"/>
  <c r="DV138" i="14"/>
  <c r="DW138" i="14" s="1"/>
  <c r="DX137" i="14"/>
  <c r="DS150" i="14"/>
  <c r="DQ151" i="14"/>
  <c r="DR151" i="14" s="1"/>
  <c r="DX174" i="14"/>
  <c r="DV175" i="14"/>
  <c r="DW175" i="14" s="1"/>
  <c r="DL115" i="14"/>
  <c r="DM115" i="14" s="1"/>
  <c r="DN114" i="14"/>
  <c r="DN210" i="14"/>
  <c r="DL211" i="14"/>
  <c r="DM211" i="14" s="1"/>
  <c r="DQ294" i="14"/>
  <c r="DR294" i="14" s="1"/>
  <c r="DS293" i="14"/>
  <c r="EH54" i="14"/>
  <c r="EF55" i="14"/>
  <c r="EG55" i="14" s="1"/>
  <c r="CM114" i="14"/>
  <c r="CN114" i="14" s="1"/>
  <c r="CO113" i="14"/>
  <c r="CW187" i="14"/>
  <c r="CX187" i="14" s="1"/>
  <c r="CY186" i="14"/>
  <c r="DS450" i="14"/>
  <c r="DQ451" i="14"/>
  <c r="DR451" i="14" s="1"/>
  <c r="CY509" i="14"/>
  <c r="CW510" i="14"/>
  <c r="CX510" i="14" s="1"/>
  <c r="CW66" i="14"/>
  <c r="CX66" i="14" s="1"/>
  <c r="CY65" i="14"/>
  <c r="DV55" i="14"/>
  <c r="DW55" i="14" s="1"/>
  <c r="DX54" i="14"/>
  <c r="CY485" i="14"/>
  <c r="CW486" i="14"/>
  <c r="CX486" i="14" s="1"/>
  <c r="CY258" i="14"/>
  <c r="CW259" i="14"/>
  <c r="CX259" i="14" s="1"/>
  <c r="DL571" i="14"/>
  <c r="DM571" i="14" s="1"/>
  <c r="DN570" i="14"/>
  <c r="DN390" i="14"/>
  <c r="DL391" i="14"/>
  <c r="DM391" i="14" s="1"/>
  <c r="CR486" i="14"/>
  <c r="CS486" i="14" s="1"/>
  <c r="CT485" i="14"/>
  <c r="DB283" i="14"/>
  <c r="DC283" i="14" s="1"/>
  <c r="DD282" i="14"/>
  <c r="DB511" i="14"/>
  <c r="DC511" i="14" s="1"/>
  <c r="DD510" i="14"/>
  <c r="CR247" i="14"/>
  <c r="CS247" i="14" s="1"/>
  <c r="CT246" i="14"/>
  <c r="DG666" i="14"/>
  <c r="DH666" i="14" s="1"/>
  <c r="DG126" i="14"/>
  <c r="DH126" i="14" s="1"/>
  <c r="CO270" i="14"/>
  <c r="CM271" i="14"/>
  <c r="CN271" i="14" s="1"/>
  <c r="CJ366" i="14"/>
  <c r="CH367" i="14"/>
  <c r="CI367" i="14" s="1"/>
  <c r="DD449" i="14"/>
  <c r="DB450" i="14"/>
  <c r="DC450" i="14" s="1"/>
  <c r="DQ235" i="14"/>
  <c r="DR235" i="14" s="1"/>
  <c r="DS234" i="14"/>
  <c r="CT258" i="14"/>
  <c r="CR259" i="14"/>
  <c r="CS259" i="14" s="1"/>
  <c r="DL319" i="14"/>
  <c r="DM319" i="14" s="1"/>
  <c r="DN318" i="14"/>
  <c r="DQ415" i="14"/>
  <c r="DR415" i="14" s="1"/>
  <c r="DS414" i="14"/>
  <c r="DQ571" i="14"/>
  <c r="DR571" i="14" s="1"/>
  <c r="DS570" i="14"/>
  <c r="DD258" i="14"/>
  <c r="DB259" i="14"/>
  <c r="DC259" i="14" s="1"/>
  <c r="EA295" i="14"/>
  <c r="EB295" i="14" s="1"/>
  <c r="EC294" i="14"/>
  <c r="CR391" i="14"/>
  <c r="CS391" i="14" s="1"/>
  <c r="CT390" i="14"/>
  <c r="EA379" i="14"/>
  <c r="EB379" i="14" s="1"/>
  <c r="EC378" i="14"/>
  <c r="CT150" i="14"/>
  <c r="CR151" i="14"/>
  <c r="CS151" i="14" s="1"/>
  <c r="CO425" i="14"/>
  <c r="CM426" i="14"/>
  <c r="CN426" i="14" s="1"/>
  <c r="CC498" i="14"/>
  <c r="CD498" i="14" s="1"/>
  <c r="DD630" i="14"/>
  <c r="DB631" i="14"/>
  <c r="DC631" i="14" s="1"/>
  <c r="DB235" i="14"/>
  <c r="DC235" i="14" s="1"/>
  <c r="DD234" i="14"/>
  <c r="DV258" i="14"/>
  <c r="DW258" i="14" s="1"/>
  <c r="DX257" i="14"/>
  <c r="DG426" i="14"/>
  <c r="DH426" i="14" s="1"/>
  <c r="CT102" i="14"/>
  <c r="CR103" i="14"/>
  <c r="CS103" i="14" s="1"/>
  <c r="EF198" i="14"/>
  <c r="EG198" i="14" s="1"/>
  <c r="EH197" i="14"/>
  <c r="DB270" i="14"/>
  <c r="DC270" i="14" s="1"/>
  <c r="DD269" i="14"/>
  <c r="CW115" i="14"/>
  <c r="CX115" i="14" s="1"/>
  <c r="CY114" i="14"/>
  <c r="DL295" i="14"/>
  <c r="DM295" i="14" s="1"/>
  <c r="DN294" i="14"/>
  <c r="DL91" i="14"/>
  <c r="DM91" i="14" s="1"/>
  <c r="DN90" i="14"/>
  <c r="CC642" i="14"/>
  <c r="CD642" i="14" s="1"/>
  <c r="CO642" i="14"/>
  <c r="CM643" i="14"/>
  <c r="CN643" i="14" s="1"/>
  <c r="CH306" i="14"/>
  <c r="CI306" i="14" s="1"/>
  <c r="CJ305" i="14"/>
  <c r="CR115" i="14"/>
  <c r="CS115" i="14" s="1"/>
  <c r="CT114" i="14"/>
  <c r="EF271" i="14"/>
  <c r="EG271" i="14" s="1"/>
  <c r="EH270" i="14"/>
  <c r="EF366" i="14"/>
  <c r="EG366" i="14" s="1"/>
  <c r="EH365" i="14"/>
  <c r="CY102" i="14"/>
  <c r="CW103" i="14"/>
  <c r="CX103" i="14" s="1"/>
  <c r="DV378" i="14"/>
  <c r="DW378" i="14" s="1"/>
  <c r="DX377" i="14"/>
  <c r="DG618" i="14"/>
  <c r="DH618" i="14" s="1"/>
  <c r="CC534" i="14"/>
  <c r="CD534" i="14" s="1"/>
  <c r="DV114" i="14"/>
  <c r="DW114" i="14" s="1"/>
  <c r="DX113" i="14"/>
  <c r="DN666" i="14"/>
  <c r="DL667" i="14"/>
  <c r="DM667" i="14" s="1"/>
  <c r="CR415" i="14"/>
  <c r="CS415" i="14" s="1"/>
  <c r="CT414" i="14"/>
  <c r="CH606" i="14"/>
  <c r="CI606" i="14" s="1"/>
  <c r="CJ605" i="14"/>
  <c r="CC486" i="14"/>
  <c r="CD486" i="14" s="1"/>
  <c r="DN678" i="14"/>
  <c r="DL679" i="14"/>
  <c r="DM679" i="14" s="1"/>
  <c r="DN353" i="14"/>
  <c r="DL354" i="14"/>
  <c r="DM354" i="14" s="1"/>
  <c r="CO630" i="14"/>
  <c r="CM631" i="14"/>
  <c r="CN631" i="14" s="1"/>
  <c r="EC389" i="14"/>
  <c r="EA390" i="14"/>
  <c r="EB390" i="14" s="1"/>
  <c r="CJ246" i="14"/>
  <c r="CH247" i="14"/>
  <c r="CI247" i="14" s="1"/>
  <c r="CJ666" i="14"/>
  <c r="CH667" i="14"/>
  <c r="CI667" i="14" s="1"/>
  <c r="DV619" i="14"/>
  <c r="DW619" i="14" s="1"/>
  <c r="DX618" i="14"/>
  <c r="EA102" i="14"/>
  <c r="EB102" i="14" s="1"/>
  <c r="EC101" i="14"/>
  <c r="CH127" i="14"/>
  <c r="CI127" i="14" s="1"/>
  <c r="CJ126" i="14"/>
  <c r="CH90" i="14"/>
  <c r="CI90" i="14" s="1"/>
  <c r="CJ89" i="14"/>
  <c r="CE75" i="14"/>
  <c r="DI75" i="14"/>
  <c r="CC76" i="14"/>
  <c r="CD76" i="14" s="1"/>
  <c r="CJ75" i="14"/>
  <c r="CH76" i="14"/>
  <c r="CI76" i="14" s="1"/>
  <c r="EC75" i="14"/>
  <c r="EA76" i="14"/>
  <c r="EB76" i="14" s="1"/>
  <c r="EF75" i="14"/>
  <c r="EG75" i="14" s="1"/>
  <c r="EH74" i="14"/>
  <c r="DB76" i="14"/>
  <c r="DC76" i="14" s="1"/>
  <c r="DD75" i="14"/>
  <c r="DV76" i="14"/>
  <c r="DW76" i="14" s="1"/>
  <c r="DX75" i="14"/>
  <c r="DG76" i="14"/>
  <c r="DH76" i="14" s="1"/>
  <c r="DN75" i="14"/>
  <c r="DL76" i="14"/>
  <c r="DM76" i="14" s="1"/>
  <c r="CW75" i="14"/>
  <c r="CX75" i="14" s="1"/>
  <c r="CY74" i="14"/>
  <c r="DS75" i="14"/>
  <c r="DQ76" i="14"/>
  <c r="DR76" i="14" s="1"/>
  <c r="CO75" i="14"/>
  <c r="CM76" i="14"/>
  <c r="CN76" i="14" s="1"/>
  <c r="CR76" i="14"/>
  <c r="CS76" i="14" s="1"/>
  <c r="CT75" i="14"/>
  <c r="CE37" i="14"/>
  <c r="DV39" i="14"/>
  <c r="DW39" i="14" s="1"/>
  <c r="DX39" i="14" s="1"/>
  <c r="DQ39" i="14"/>
  <c r="DR39" i="14" s="1"/>
  <c r="DS39" i="14" s="1"/>
  <c r="DB38" i="14"/>
  <c r="DC38" i="14" s="1"/>
  <c r="DD37" i="14"/>
  <c r="CM39" i="14"/>
  <c r="CN39" i="14" s="1"/>
  <c r="CO39" i="14" s="1"/>
  <c r="CO38" i="14"/>
  <c r="CH38" i="14"/>
  <c r="CI38" i="14" s="1"/>
  <c r="CJ38" i="14" s="1"/>
  <c r="AJ19" i="43"/>
  <c r="E18" i="43" s="1"/>
  <c r="EF39" i="14"/>
  <c r="EG39" i="14" s="1"/>
  <c r="EH39" i="14" s="1"/>
  <c r="CW37" i="14"/>
  <c r="CX37" i="14" s="1"/>
  <c r="CY37" i="14" s="1"/>
  <c r="CC38" i="14"/>
  <c r="CD38" i="14" s="1"/>
  <c r="CR38" i="14"/>
  <c r="CS38" i="14" s="1"/>
  <c r="CT38" i="14" s="1"/>
  <c r="EA39" i="14"/>
  <c r="EB39" i="14" s="1"/>
  <c r="DL39" i="14"/>
  <c r="DM39" i="14" s="1"/>
  <c r="DN39" i="14" s="1"/>
  <c r="CE293" i="14" a="1"/>
  <c r="DI677" i="14" a="1"/>
  <c r="CE377" i="14" a="1"/>
  <c r="CE233" i="14" a="1"/>
  <c r="DI377" i="14" a="1"/>
  <c r="CE365" i="14" a="1"/>
  <c r="DI581" i="14" a="1"/>
  <c r="CE269" i="14" a="1"/>
  <c r="DI221" i="14" a="1"/>
  <c r="CE569" i="14" a="1"/>
  <c r="DI653" i="14" a="1"/>
  <c r="DI521" i="14" a="1"/>
  <c r="DI617" i="14" a="1"/>
  <c r="DI65" i="14" a="1"/>
  <c r="DI473" i="14" a="1"/>
  <c r="CE76" i="14" a="1"/>
  <c r="DI281" i="14" a="1"/>
  <c r="DI257" i="14" a="1"/>
  <c r="DI629" i="14" a="1"/>
  <c r="CE353" i="14" a="1"/>
  <c r="CE389" i="14" a="1"/>
  <c r="CE473" i="14" a="1"/>
  <c r="DI569" i="14" a="1"/>
  <c r="DI353" i="14" a="1"/>
  <c r="CE437" i="14" a="1"/>
  <c r="CE533" i="14" a="1"/>
  <c r="CE245" i="14" a="1"/>
  <c r="DI125" i="14" a="1"/>
  <c r="CE185" i="14" a="1"/>
  <c r="CE113" i="14" a="1"/>
  <c r="DI533" i="14" a="1"/>
  <c r="CE173" i="14" a="1"/>
  <c r="DI197" i="14" a="1"/>
  <c r="CE161" i="14" a="1"/>
  <c r="CE677" i="14" a="1"/>
  <c r="CE197" i="14" a="1"/>
  <c r="DI641" i="14" a="1"/>
  <c r="CE653" i="14" a="1"/>
  <c r="DI101" i="14" a="1"/>
  <c r="CE617" i="14" a="1"/>
  <c r="DI485" i="14" a="1"/>
  <c r="DI137" i="14" a="1"/>
  <c r="CE317" i="14" a="1"/>
  <c r="CE401" i="14" a="1"/>
  <c r="CE641" i="14" a="1"/>
  <c r="CE545" i="14" a="1"/>
  <c r="DI329" i="14" a="1"/>
  <c r="DI557" i="14" a="1"/>
  <c r="DI593" i="14" a="1"/>
  <c r="DI245" i="14" a="1"/>
  <c r="CE521" i="14" a="1"/>
  <c r="DI449" i="14" a="1"/>
  <c r="DI341" i="14" a="1"/>
  <c r="CE257" i="14" a="1"/>
  <c r="CE329" i="14" a="1"/>
  <c r="CE665" i="14" a="1"/>
  <c r="DI665" i="14" a="1"/>
  <c r="CE629" i="14" a="1"/>
  <c r="CE509" i="14" a="1"/>
  <c r="CE281" i="14" a="1"/>
  <c r="CE557" i="14" a="1"/>
  <c r="CE593" i="14" a="1"/>
  <c r="CE425" i="14" a="1"/>
  <c r="DI509" i="14" a="1"/>
  <c r="DI545" i="14" a="1"/>
  <c r="DI389" i="14" a="1"/>
  <c r="DI185" i="14" a="1"/>
  <c r="CE149" i="14" a="1"/>
  <c r="CE485" i="14" a="1"/>
  <c r="DI413" i="14" a="1"/>
  <c r="DI233" i="14" a="1"/>
  <c r="CE449" i="14" a="1"/>
  <c r="CE461" i="14" a="1"/>
  <c r="DI293" i="14" a="1"/>
  <c r="DI113" i="14" a="1"/>
  <c r="CE341" i="14" a="1"/>
  <c r="DI53" i="14" a="1"/>
  <c r="CE101" i="14" a="1"/>
  <c r="CE413" i="14" a="1"/>
  <c r="DI89" i="14" a="1"/>
  <c r="DI437" i="14" a="1"/>
  <c r="DI497" i="14" a="1"/>
  <c r="CE137" i="14" a="1"/>
  <c r="CE221" i="14" a="1"/>
  <c r="DI401" i="14" a="1"/>
  <c r="DI305" i="14" a="1"/>
  <c r="CE605" i="14" a="1"/>
  <c r="DI161" i="14" a="1"/>
  <c r="DI317" i="14" a="1"/>
  <c r="CE497" i="14" a="1"/>
  <c r="DI365" i="14" a="1"/>
  <c r="CE305" i="14" a="1"/>
  <c r="DI269" i="14" a="1"/>
  <c r="CE53" i="14" a="1"/>
  <c r="CE89" i="14" a="1"/>
  <c r="DI605" i="14" a="1"/>
  <c r="CE125" i="14" a="1"/>
  <c r="DI173" i="14" a="1"/>
  <c r="DI209" i="14" a="1"/>
  <c r="DI149" i="14" a="1"/>
  <c r="CE209" i="14" a="1"/>
  <c r="DI461" i="14" a="1"/>
  <c r="CE581" i="14" a="1"/>
  <c r="CE65" i="14" a="1"/>
  <c r="DI425" i="14" a="1"/>
  <c r="DI76" i="14" a="1"/>
  <c r="CE38" i="14" a="1"/>
  <c r="EC174" i="14" l="1"/>
  <c r="CE293" i="14"/>
  <c r="DI269" i="14"/>
  <c r="DI53" i="14"/>
  <c r="DI221" i="14"/>
  <c r="DI257" i="14"/>
  <c r="CE557" i="14"/>
  <c r="DI497" i="14"/>
  <c r="CE197" i="14"/>
  <c r="DI89" i="14"/>
  <c r="CE677" i="14"/>
  <c r="CE149" i="14"/>
  <c r="CE53" i="14"/>
  <c r="CE521" i="14"/>
  <c r="DI509" i="14"/>
  <c r="CE653" i="14"/>
  <c r="CE497" i="14"/>
  <c r="CE449" i="14"/>
  <c r="DI185" i="14"/>
  <c r="CE593" i="14"/>
  <c r="DI449" i="14"/>
  <c r="DI101" i="14"/>
  <c r="CE365" i="14"/>
  <c r="CE185" i="14"/>
  <c r="CE389" i="14"/>
  <c r="DI545" i="14"/>
  <c r="DI365" i="14"/>
  <c r="DI569" i="14"/>
  <c r="DI605" i="14"/>
  <c r="CE473" i="14"/>
  <c r="CE401" i="14"/>
  <c r="CE317" i="14"/>
  <c r="DI593" i="14"/>
  <c r="CE569" i="14"/>
  <c r="DI65" i="14"/>
  <c r="DI341" i="14"/>
  <c r="DI197" i="14"/>
  <c r="DI149" i="14"/>
  <c r="DI677" i="14"/>
  <c r="DI281" i="14"/>
  <c r="CE161" i="14"/>
  <c r="CE65" i="14"/>
  <c r="CE545" i="14"/>
  <c r="DI485" i="14"/>
  <c r="CE341" i="14"/>
  <c r="DI113" i="14"/>
  <c r="CE257" i="14"/>
  <c r="DI653" i="14"/>
  <c r="DI461" i="14"/>
  <c r="CE209" i="14"/>
  <c r="DI293" i="14"/>
  <c r="CE665" i="14"/>
  <c r="CE461" i="14"/>
  <c r="CE221" i="14"/>
  <c r="DI209" i="14"/>
  <c r="DI473" i="14"/>
  <c r="CE269" i="14"/>
  <c r="DI581" i="14"/>
  <c r="CE437" i="14"/>
  <c r="DI245" i="14"/>
  <c r="CE137" i="14"/>
  <c r="CE377" i="14"/>
  <c r="CE101" i="14"/>
  <c r="CE233" i="14"/>
  <c r="DI629" i="14"/>
  <c r="CE89" i="14"/>
  <c r="DI377" i="14"/>
  <c r="DI233" i="14"/>
  <c r="DI437" i="14"/>
  <c r="CE245" i="14"/>
  <c r="CE113" i="14"/>
  <c r="DI173" i="14"/>
  <c r="CE425" i="14"/>
  <c r="DI641" i="14"/>
  <c r="CE353" i="14"/>
  <c r="CE533" i="14"/>
  <c r="DI665" i="14"/>
  <c r="DI617" i="14"/>
  <c r="CE125" i="14"/>
  <c r="DI533" i="14"/>
  <c r="DI401" i="14"/>
  <c r="DI329" i="14"/>
  <c r="DI161" i="14"/>
  <c r="DI137" i="14"/>
  <c r="CE605" i="14"/>
  <c r="DI557" i="14"/>
  <c r="CE617" i="14"/>
  <c r="DI317" i="14"/>
  <c r="DI125" i="14"/>
  <c r="CE641" i="14"/>
  <c r="DI425" i="14"/>
  <c r="CE329" i="14"/>
  <c r="CE581" i="14"/>
  <c r="CE281" i="14"/>
  <c r="CE413" i="14"/>
  <c r="CE629" i="14"/>
  <c r="CE173" i="14"/>
  <c r="DI413" i="14"/>
  <c r="CE485" i="14"/>
  <c r="DI353" i="14"/>
  <c r="DI389" i="14"/>
  <c r="DI521" i="14"/>
  <c r="CE509" i="14"/>
  <c r="CE305" i="14"/>
  <c r="DI305" i="14"/>
  <c r="DS427" i="14"/>
  <c r="DQ428" i="14"/>
  <c r="DR428" i="14" s="1"/>
  <c r="CT570" i="14"/>
  <c r="CR571" i="14"/>
  <c r="CS571" i="14" s="1"/>
  <c r="CY630" i="14"/>
  <c r="CW631" i="14"/>
  <c r="CX631" i="14" s="1"/>
  <c r="DV212" i="14"/>
  <c r="DW212" i="14" s="1"/>
  <c r="DX211" i="14"/>
  <c r="CH248" i="14"/>
  <c r="CI248" i="14" s="1"/>
  <c r="CJ247" i="14"/>
  <c r="DS595" i="14"/>
  <c r="DQ596" i="14"/>
  <c r="DR596" i="14" s="1"/>
  <c r="CJ318" i="14"/>
  <c r="CH319" i="14"/>
  <c r="CI319" i="14" s="1"/>
  <c r="DQ367" i="14"/>
  <c r="DR367" i="14" s="1"/>
  <c r="DS366" i="14"/>
  <c r="CY223" i="14"/>
  <c r="CW224" i="14"/>
  <c r="CX224" i="14" s="1"/>
  <c r="CH668" i="14"/>
  <c r="CI668" i="14" s="1"/>
  <c r="CJ667" i="14"/>
  <c r="CY103" i="14"/>
  <c r="CW104" i="14"/>
  <c r="CX104" i="14" s="1"/>
  <c r="DB55" i="14"/>
  <c r="DC55" i="14" s="1"/>
  <c r="DD54" i="14"/>
  <c r="CT595" i="14"/>
  <c r="CR596" i="14"/>
  <c r="CS596" i="14" s="1"/>
  <c r="DV560" i="14"/>
  <c r="DW560" i="14" s="1"/>
  <c r="DX559" i="14"/>
  <c r="DQ583" i="14"/>
  <c r="DR583" i="14" s="1"/>
  <c r="DS582" i="14"/>
  <c r="CC607" i="14"/>
  <c r="CD607" i="14" s="1"/>
  <c r="DG607" i="14"/>
  <c r="DH607" i="14" s="1"/>
  <c r="DG91" i="14"/>
  <c r="DH91" i="14" s="1"/>
  <c r="DQ188" i="14"/>
  <c r="DR188" i="14" s="1"/>
  <c r="DS187" i="14"/>
  <c r="DD402" i="14"/>
  <c r="DB403" i="14"/>
  <c r="DC403" i="14" s="1"/>
  <c r="DV655" i="14"/>
  <c r="DW655" i="14" s="1"/>
  <c r="DX654" i="14"/>
  <c r="CC475" i="14"/>
  <c r="CD475" i="14" s="1"/>
  <c r="CC679" i="14"/>
  <c r="CD679" i="14" s="1"/>
  <c r="DG223" i="14"/>
  <c r="DH223" i="14" s="1"/>
  <c r="CT187" i="14"/>
  <c r="CR188" i="14"/>
  <c r="CS188" i="14" s="1"/>
  <c r="DD391" i="14"/>
  <c r="DB392" i="14"/>
  <c r="DC392" i="14" s="1"/>
  <c r="CJ222" i="14"/>
  <c r="CH223" i="14"/>
  <c r="CI223" i="14" s="1"/>
  <c r="DB164" i="14"/>
  <c r="DC164" i="14" s="1"/>
  <c r="DD163" i="14"/>
  <c r="DB475" i="14"/>
  <c r="DC475" i="14" s="1"/>
  <c r="DD474" i="14"/>
  <c r="EC139" i="14"/>
  <c r="EA140" i="14"/>
  <c r="EB140" i="14" s="1"/>
  <c r="EF212" i="14"/>
  <c r="EG212" i="14" s="1"/>
  <c r="EH211" i="14"/>
  <c r="CJ619" i="14"/>
  <c r="CH620" i="14"/>
  <c r="CI620" i="14" s="1"/>
  <c r="CO390" i="14"/>
  <c r="CM391" i="14"/>
  <c r="CN391" i="14" s="1"/>
  <c r="CC403" i="14"/>
  <c r="CD403" i="14" s="1"/>
  <c r="DD318" i="14"/>
  <c r="DB319" i="14"/>
  <c r="DC319" i="14" s="1"/>
  <c r="CR440" i="14"/>
  <c r="CS440" i="14" s="1"/>
  <c r="CT439" i="14"/>
  <c r="DG559" i="14"/>
  <c r="DH559" i="14" s="1"/>
  <c r="DV571" i="14"/>
  <c r="DW571" i="14" s="1"/>
  <c r="DX570" i="14"/>
  <c r="DL224" i="14"/>
  <c r="DM224" i="14" s="1"/>
  <c r="DN223" i="14"/>
  <c r="CJ511" i="14"/>
  <c r="CH512" i="14"/>
  <c r="CI512" i="14" s="1"/>
  <c r="CJ546" i="14"/>
  <c r="CH547" i="14"/>
  <c r="CI547" i="14" s="1"/>
  <c r="CJ331" i="14"/>
  <c r="CH332" i="14"/>
  <c r="CI332" i="14" s="1"/>
  <c r="CY463" i="14"/>
  <c r="CW464" i="14"/>
  <c r="CX464" i="14" s="1"/>
  <c r="EF152" i="14"/>
  <c r="EG152" i="14" s="1"/>
  <c r="EH151" i="14"/>
  <c r="DB248" i="14"/>
  <c r="DC248" i="14" s="1"/>
  <c r="DD247" i="14"/>
  <c r="CO655" i="14"/>
  <c r="CM656" i="14"/>
  <c r="CN656" i="14" s="1"/>
  <c r="DL164" i="14"/>
  <c r="DM164" i="14" s="1"/>
  <c r="DN163" i="14"/>
  <c r="CH584" i="14"/>
  <c r="CI584" i="14" s="1"/>
  <c r="CJ583" i="14"/>
  <c r="CY138" i="14"/>
  <c r="CW139" i="14"/>
  <c r="CX139" i="14" s="1"/>
  <c r="CC319" i="14"/>
  <c r="CD319" i="14" s="1"/>
  <c r="CW679" i="14"/>
  <c r="CX679" i="14" s="1"/>
  <c r="CY678" i="14"/>
  <c r="EA259" i="14"/>
  <c r="EB259" i="14" s="1"/>
  <c r="EC258" i="14"/>
  <c r="EC175" i="14"/>
  <c r="EA176" i="14"/>
  <c r="EB176" i="14" s="1"/>
  <c r="DL92" i="14"/>
  <c r="DM92" i="14" s="1"/>
  <c r="DN91" i="14"/>
  <c r="DS271" i="14"/>
  <c r="DQ272" i="14"/>
  <c r="DR272" i="14" s="1"/>
  <c r="DS55" i="14"/>
  <c r="DQ56" i="14"/>
  <c r="DR56" i="14" s="1"/>
  <c r="DV452" i="14"/>
  <c r="DW452" i="14" s="1"/>
  <c r="DX451" i="14"/>
  <c r="EF247" i="14"/>
  <c r="EG247" i="14" s="1"/>
  <c r="EH246" i="14"/>
  <c r="CC427" i="14"/>
  <c r="CD427" i="14" s="1"/>
  <c r="DG211" i="14"/>
  <c r="DH211" i="14" s="1"/>
  <c r="CW67" i="14"/>
  <c r="CX67" i="14" s="1"/>
  <c r="CY66" i="14"/>
  <c r="DB608" i="14"/>
  <c r="DC608" i="14" s="1"/>
  <c r="DD607" i="14"/>
  <c r="CC55" i="14"/>
  <c r="CD55" i="14" s="1"/>
  <c r="CO198" i="14"/>
  <c r="CM199" i="14"/>
  <c r="CN199" i="14" s="1"/>
  <c r="DB260" i="14"/>
  <c r="DC260" i="14" s="1"/>
  <c r="DD259" i="14"/>
  <c r="CH271" i="14"/>
  <c r="CI271" i="14" s="1"/>
  <c r="CJ270" i="14"/>
  <c r="DS211" i="14"/>
  <c r="DQ212" i="14"/>
  <c r="DR212" i="14" s="1"/>
  <c r="DG259" i="14"/>
  <c r="DH259" i="14" s="1"/>
  <c r="DB439" i="14"/>
  <c r="DC439" i="14" s="1"/>
  <c r="DD438" i="14"/>
  <c r="DG499" i="14"/>
  <c r="DH499" i="14" s="1"/>
  <c r="CJ462" i="14"/>
  <c r="CH463" i="14"/>
  <c r="CI463" i="14" s="1"/>
  <c r="DV643" i="14"/>
  <c r="DW643" i="14" s="1"/>
  <c r="DX642" i="14"/>
  <c r="CY163" i="14"/>
  <c r="CW164" i="14"/>
  <c r="CX164" i="14" s="1"/>
  <c r="DQ440" i="14"/>
  <c r="DR440" i="14" s="1"/>
  <c r="DS439" i="14"/>
  <c r="CM680" i="14"/>
  <c r="CN680" i="14" s="1"/>
  <c r="CO679" i="14"/>
  <c r="CC619" i="14"/>
  <c r="CD619" i="14" s="1"/>
  <c r="CR380" i="14"/>
  <c r="CS380" i="14" s="1"/>
  <c r="CT379" i="14"/>
  <c r="DB523" i="14"/>
  <c r="DC523" i="14" s="1"/>
  <c r="DD522" i="14"/>
  <c r="CR319" i="14"/>
  <c r="CS319" i="14" s="1"/>
  <c r="CT318" i="14"/>
  <c r="DD414" i="14"/>
  <c r="DB415" i="14"/>
  <c r="DC415" i="14" s="1"/>
  <c r="CJ438" i="14"/>
  <c r="CH439" i="14"/>
  <c r="CI439" i="14" s="1"/>
  <c r="EC619" i="14"/>
  <c r="EA620" i="14"/>
  <c r="EB620" i="14" s="1"/>
  <c r="DQ140" i="14"/>
  <c r="DR140" i="14" s="1"/>
  <c r="DS139" i="14"/>
  <c r="DS175" i="14"/>
  <c r="DQ176" i="14"/>
  <c r="DR176" i="14" s="1"/>
  <c r="EF116" i="14"/>
  <c r="EG116" i="14" s="1"/>
  <c r="EH115" i="14"/>
  <c r="DG475" i="14"/>
  <c r="DH475" i="14" s="1"/>
  <c r="DN282" i="14"/>
  <c r="DL283" i="14"/>
  <c r="DM283" i="14" s="1"/>
  <c r="DG319" i="14"/>
  <c r="DH319" i="14" s="1"/>
  <c r="DS618" i="14"/>
  <c r="DQ619" i="14"/>
  <c r="DR619" i="14" s="1"/>
  <c r="DX198" i="14"/>
  <c r="DV199" i="14"/>
  <c r="DW199" i="14" s="1"/>
  <c r="DL187" i="14"/>
  <c r="DM187" i="14" s="1"/>
  <c r="DN186" i="14"/>
  <c r="EF511" i="14"/>
  <c r="EG511" i="14" s="1"/>
  <c r="EH510" i="14"/>
  <c r="CO343" i="14"/>
  <c r="CM344" i="14"/>
  <c r="CN344" i="14" s="1"/>
  <c r="EC582" i="14"/>
  <c r="EA583" i="14"/>
  <c r="EB583" i="14" s="1"/>
  <c r="DV428" i="14"/>
  <c r="DW428" i="14" s="1"/>
  <c r="DX427" i="14"/>
  <c r="DG67" i="14"/>
  <c r="DH67" i="14" s="1"/>
  <c r="EF187" i="14"/>
  <c r="EG187" i="14" s="1"/>
  <c r="EH186" i="14"/>
  <c r="CO535" i="14"/>
  <c r="CM536" i="14"/>
  <c r="CN536" i="14" s="1"/>
  <c r="CO151" i="14"/>
  <c r="CM152" i="14"/>
  <c r="CN152" i="14" s="1"/>
  <c r="EH535" i="14"/>
  <c r="EF536" i="14"/>
  <c r="EG536" i="14" s="1"/>
  <c r="EF128" i="14"/>
  <c r="EG128" i="14" s="1"/>
  <c r="EH127" i="14"/>
  <c r="CM283" i="14"/>
  <c r="CN283" i="14" s="1"/>
  <c r="CO282" i="14"/>
  <c r="DS654" i="14"/>
  <c r="DQ655" i="14"/>
  <c r="DR655" i="14" s="1"/>
  <c r="DN138" i="14"/>
  <c r="DL139" i="14"/>
  <c r="DM139" i="14" s="1"/>
  <c r="CY211" i="14"/>
  <c r="CW212" i="14"/>
  <c r="CX212" i="14" s="1"/>
  <c r="CY150" i="14"/>
  <c r="CW151" i="14"/>
  <c r="CX151" i="14" s="1"/>
  <c r="CC355" i="14"/>
  <c r="CD355" i="14" s="1"/>
  <c r="DS307" i="14"/>
  <c r="DQ308" i="14"/>
  <c r="DR308" i="14" s="1"/>
  <c r="DD511" i="14"/>
  <c r="DB512" i="14"/>
  <c r="DC512" i="14" s="1"/>
  <c r="CH380" i="14"/>
  <c r="CI380" i="14" s="1"/>
  <c r="CJ379" i="14"/>
  <c r="DX103" i="14"/>
  <c r="DV104" i="14"/>
  <c r="DW104" i="14" s="1"/>
  <c r="CY330" i="14"/>
  <c r="CW331" i="14"/>
  <c r="CX331" i="14" s="1"/>
  <c r="DN259" i="14"/>
  <c r="DL260" i="14"/>
  <c r="DM260" i="14" s="1"/>
  <c r="EA488" i="14"/>
  <c r="EB488" i="14" s="1"/>
  <c r="EC487" i="14"/>
  <c r="EH643" i="14"/>
  <c r="EF644" i="14"/>
  <c r="EG644" i="14" s="1"/>
  <c r="EF487" i="14"/>
  <c r="EG487" i="14" s="1"/>
  <c r="EH486" i="14"/>
  <c r="CT307" i="14"/>
  <c r="CR308" i="14"/>
  <c r="CS308" i="14" s="1"/>
  <c r="CM476" i="14"/>
  <c r="CN476" i="14" s="1"/>
  <c r="CO475" i="14"/>
  <c r="DB284" i="14"/>
  <c r="DC284" i="14" s="1"/>
  <c r="DD283" i="14"/>
  <c r="DX462" i="14"/>
  <c r="DV463" i="14"/>
  <c r="DW463" i="14" s="1"/>
  <c r="CC295" i="14"/>
  <c r="CD295" i="14" s="1"/>
  <c r="DG595" i="14"/>
  <c r="DH595" i="14" s="1"/>
  <c r="DX439" i="14"/>
  <c r="DV440" i="14"/>
  <c r="DW440" i="14" s="1"/>
  <c r="EA343" i="14"/>
  <c r="EB343" i="14" s="1"/>
  <c r="EC342" i="14"/>
  <c r="CW379" i="14"/>
  <c r="CX379" i="14" s="1"/>
  <c r="CY378" i="14"/>
  <c r="DQ500" i="14"/>
  <c r="DR500" i="14" s="1"/>
  <c r="DS499" i="14"/>
  <c r="CY126" i="14"/>
  <c r="CW127" i="14"/>
  <c r="CX127" i="14" s="1"/>
  <c r="CY510" i="14"/>
  <c r="CW511" i="14"/>
  <c r="CX511" i="14" s="1"/>
  <c r="CR559" i="14"/>
  <c r="CS559" i="14" s="1"/>
  <c r="CT558" i="14"/>
  <c r="CY199" i="14"/>
  <c r="CW200" i="14"/>
  <c r="CX200" i="14" s="1"/>
  <c r="CT175" i="14"/>
  <c r="CR176" i="14"/>
  <c r="CS176" i="14" s="1"/>
  <c r="CM104" i="14"/>
  <c r="CN104" i="14" s="1"/>
  <c r="CO103" i="14"/>
  <c r="DD198" i="14"/>
  <c r="DB199" i="14"/>
  <c r="DC199" i="14" s="1"/>
  <c r="CW116" i="14"/>
  <c r="CX116" i="14" s="1"/>
  <c r="CY115" i="14"/>
  <c r="DN115" i="14"/>
  <c r="DL116" i="14"/>
  <c r="DM116" i="14" s="1"/>
  <c r="EA560" i="14"/>
  <c r="EB560" i="14" s="1"/>
  <c r="EC559" i="14"/>
  <c r="DG643" i="14"/>
  <c r="DH643" i="14" s="1"/>
  <c r="CJ175" i="14"/>
  <c r="CH176" i="14"/>
  <c r="CI176" i="14" s="1"/>
  <c r="CM632" i="14"/>
  <c r="CN632" i="14" s="1"/>
  <c r="CO631" i="14"/>
  <c r="CO271" i="14"/>
  <c r="CM272" i="14"/>
  <c r="CN272" i="14" s="1"/>
  <c r="DL392" i="14"/>
  <c r="DM392" i="14" s="1"/>
  <c r="DN391" i="14"/>
  <c r="DQ452" i="14"/>
  <c r="DR452" i="14" s="1"/>
  <c r="DS451" i="14"/>
  <c r="DV176" i="14"/>
  <c r="DW176" i="14" s="1"/>
  <c r="DX175" i="14"/>
  <c r="EF259" i="14"/>
  <c r="EG259" i="14" s="1"/>
  <c r="EH258" i="14"/>
  <c r="DG343" i="14"/>
  <c r="DH343" i="14" s="1"/>
  <c r="DG199" i="14"/>
  <c r="DH199" i="14" s="1"/>
  <c r="DG151" i="14"/>
  <c r="DH151" i="14" s="1"/>
  <c r="CT403" i="14"/>
  <c r="CR404" i="14"/>
  <c r="CS404" i="14" s="1"/>
  <c r="DG679" i="14"/>
  <c r="DH679" i="14" s="1"/>
  <c r="CJ163" i="14"/>
  <c r="CH164" i="14"/>
  <c r="CI164" i="14" s="1"/>
  <c r="DG283" i="14"/>
  <c r="DH283" i="14" s="1"/>
  <c r="DS114" i="14"/>
  <c r="DQ115" i="14"/>
  <c r="DR115" i="14" s="1"/>
  <c r="CH560" i="14"/>
  <c r="CI560" i="14" s="1"/>
  <c r="CJ559" i="14"/>
  <c r="CY618" i="14"/>
  <c r="CW619" i="14"/>
  <c r="CX619" i="14" s="1"/>
  <c r="EC535" i="14"/>
  <c r="EA536" i="14"/>
  <c r="EB536" i="14" s="1"/>
  <c r="CC163" i="14"/>
  <c r="CD163" i="14" s="1"/>
  <c r="EF500" i="14"/>
  <c r="EG500" i="14" s="1"/>
  <c r="EH499" i="14"/>
  <c r="EC234" i="14"/>
  <c r="EA235" i="14"/>
  <c r="EB235" i="14" s="1"/>
  <c r="CC67" i="14"/>
  <c r="CD67" i="14" s="1"/>
  <c r="CM547" i="14"/>
  <c r="CN547" i="14" s="1"/>
  <c r="CO546" i="14"/>
  <c r="EF524" i="14"/>
  <c r="EG524" i="14" s="1"/>
  <c r="EH523" i="14"/>
  <c r="DD559" i="14"/>
  <c r="DB560" i="14"/>
  <c r="DC560" i="14" s="1"/>
  <c r="DN54" i="14"/>
  <c r="DL55" i="14"/>
  <c r="DM55" i="14" s="1"/>
  <c r="CC547" i="14"/>
  <c r="CD547" i="14" s="1"/>
  <c r="EC222" i="14"/>
  <c r="EA223" i="14"/>
  <c r="EB223" i="14" s="1"/>
  <c r="EC367" i="14"/>
  <c r="EA368" i="14"/>
  <c r="EB368" i="14" s="1"/>
  <c r="CY570" i="14"/>
  <c r="CW571" i="14"/>
  <c r="CX571" i="14" s="1"/>
  <c r="CW643" i="14"/>
  <c r="CX643" i="14" s="1"/>
  <c r="CY642" i="14"/>
  <c r="DN654" i="14"/>
  <c r="DL655" i="14"/>
  <c r="DM655" i="14" s="1"/>
  <c r="DS90" i="14"/>
  <c r="DQ91" i="14"/>
  <c r="DR91" i="14" s="1"/>
  <c r="EC114" i="14"/>
  <c r="EA115" i="14"/>
  <c r="EB115" i="14" s="1"/>
  <c r="CH283" i="14"/>
  <c r="CI283" i="14" s="1"/>
  <c r="CJ282" i="14"/>
  <c r="CR464" i="14"/>
  <c r="CS464" i="14" s="1"/>
  <c r="CT463" i="14"/>
  <c r="DG487" i="14"/>
  <c r="DH487" i="14" s="1"/>
  <c r="DD667" i="14"/>
  <c r="DB668" i="14"/>
  <c r="DC668" i="14" s="1"/>
  <c r="CY523" i="14"/>
  <c r="CW524" i="14"/>
  <c r="CX524" i="14" s="1"/>
  <c r="CO211" i="14"/>
  <c r="CM212" i="14"/>
  <c r="CN212" i="14" s="1"/>
  <c r="CC343" i="14"/>
  <c r="CD343" i="14" s="1"/>
  <c r="CJ606" i="14"/>
  <c r="CH607" i="14"/>
  <c r="CI607" i="14" s="1"/>
  <c r="DV56" i="14"/>
  <c r="DW56" i="14" s="1"/>
  <c r="DX55" i="14"/>
  <c r="EF104" i="14"/>
  <c r="EG104" i="14" s="1"/>
  <c r="EH103" i="14"/>
  <c r="DX187" i="14"/>
  <c r="DV188" i="14"/>
  <c r="DW188" i="14" s="1"/>
  <c r="DS247" i="14"/>
  <c r="DQ248" i="14"/>
  <c r="DR248" i="14" s="1"/>
  <c r="CJ499" i="14"/>
  <c r="CH500" i="14"/>
  <c r="CI500" i="14" s="1"/>
  <c r="CO187" i="14"/>
  <c r="CM188" i="14"/>
  <c r="CN188" i="14" s="1"/>
  <c r="CC571" i="14"/>
  <c r="CD571" i="14" s="1"/>
  <c r="EA427" i="14"/>
  <c r="EB427" i="14" s="1"/>
  <c r="EC426" i="14"/>
  <c r="CO498" i="14"/>
  <c r="CM499" i="14"/>
  <c r="CN499" i="14" s="1"/>
  <c r="DG511" i="14"/>
  <c r="DH511" i="14" s="1"/>
  <c r="DL367" i="14"/>
  <c r="DM367" i="14" s="1"/>
  <c r="DN366" i="14"/>
  <c r="CH451" i="14"/>
  <c r="CI451" i="14" s="1"/>
  <c r="CJ450" i="14"/>
  <c r="DL296" i="14"/>
  <c r="DM296" i="14" s="1"/>
  <c r="DN295" i="14"/>
  <c r="CT679" i="14"/>
  <c r="CR680" i="14"/>
  <c r="CS680" i="14" s="1"/>
  <c r="CH211" i="14"/>
  <c r="CI211" i="14" s="1"/>
  <c r="CJ210" i="14"/>
  <c r="EA92" i="14"/>
  <c r="EB92" i="14" s="1"/>
  <c r="EC91" i="14"/>
  <c r="DL127" i="14"/>
  <c r="DM127" i="14" s="1"/>
  <c r="DN126" i="14"/>
  <c r="CJ402" i="14"/>
  <c r="CH403" i="14"/>
  <c r="CI403" i="14" s="1"/>
  <c r="CM163" i="14"/>
  <c r="CN163" i="14" s="1"/>
  <c r="CO162" i="14"/>
  <c r="CM91" i="14"/>
  <c r="CN91" i="14" s="1"/>
  <c r="CO90" i="14"/>
  <c r="DL500" i="14"/>
  <c r="DM500" i="14" s="1"/>
  <c r="DN499" i="14"/>
  <c r="CJ367" i="14"/>
  <c r="CH368" i="14"/>
  <c r="CI368" i="14" s="1"/>
  <c r="EA608" i="14"/>
  <c r="EB608" i="14" s="1"/>
  <c r="EC607" i="14"/>
  <c r="DS342" i="14"/>
  <c r="DQ343" i="14"/>
  <c r="DR343" i="14" s="1"/>
  <c r="CC559" i="14"/>
  <c r="CD559" i="14" s="1"/>
  <c r="EF343" i="14"/>
  <c r="EG343" i="14" s="1"/>
  <c r="EH342" i="14"/>
  <c r="EF272" i="14"/>
  <c r="EG272" i="14" s="1"/>
  <c r="EH271" i="14"/>
  <c r="CR487" i="14"/>
  <c r="CS487" i="14" s="1"/>
  <c r="CT486" i="14"/>
  <c r="EF403" i="14"/>
  <c r="EG403" i="14" s="1"/>
  <c r="EH402" i="14"/>
  <c r="DN199" i="14"/>
  <c r="DL200" i="14"/>
  <c r="DM200" i="14" s="1"/>
  <c r="CC655" i="14"/>
  <c r="CD655" i="14" s="1"/>
  <c r="CJ90" i="14"/>
  <c r="CH91" i="14"/>
  <c r="CI91" i="14" s="1"/>
  <c r="DX114" i="14"/>
  <c r="DV115" i="14"/>
  <c r="DW115" i="14" s="1"/>
  <c r="CR116" i="14"/>
  <c r="CS116" i="14" s="1"/>
  <c r="CT115" i="14"/>
  <c r="DD270" i="14"/>
  <c r="DB271" i="14"/>
  <c r="DC271" i="14" s="1"/>
  <c r="CC499" i="14"/>
  <c r="CD499" i="14" s="1"/>
  <c r="DQ572" i="14"/>
  <c r="DR572" i="14" s="1"/>
  <c r="DS571" i="14"/>
  <c r="CC451" i="14"/>
  <c r="CD451" i="14" s="1"/>
  <c r="EH66" i="14"/>
  <c r="EF67" i="14"/>
  <c r="EG67" i="14" s="1"/>
  <c r="DG187" i="14"/>
  <c r="DH187" i="14" s="1"/>
  <c r="CH572" i="14"/>
  <c r="CI572" i="14" s="1"/>
  <c r="CJ571" i="14"/>
  <c r="CO583" i="14"/>
  <c r="CM584" i="14"/>
  <c r="CN584" i="14" s="1"/>
  <c r="DD643" i="14"/>
  <c r="DB644" i="14"/>
  <c r="DC644" i="14" s="1"/>
  <c r="DB175" i="14"/>
  <c r="DC175" i="14" s="1"/>
  <c r="DD174" i="14"/>
  <c r="EC594" i="14"/>
  <c r="EA595" i="14"/>
  <c r="EB595" i="14" s="1"/>
  <c r="CY234" i="14"/>
  <c r="CW235" i="14"/>
  <c r="CX235" i="14" s="1"/>
  <c r="DN642" i="14"/>
  <c r="DL643" i="14"/>
  <c r="DM643" i="14" s="1"/>
  <c r="DN534" i="14"/>
  <c r="DL535" i="14"/>
  <c r="DM535" i="14" s="1"/>
  <c r="CC595" i="14"/>
  <c r="CD595" i="14" s="1"/>
  <c r="DN631" i="14"/>
  <c r="DL632" i="14"/>
  <c r="DM632" i="14" s="1"/>
  <c r="DG451" i="14"/>
  <c r="DH451" i="14" s="1"/>
  <c r="CR656" i="14"/>
  <c r="CS656" i="14" s="1"/>
  <c r="CT655" i="14"/>
  <c r="CW55" i="14"/>
  <c r="CX55" i="14" s="1"/>
  <c r="CY54" i="14"/>
  <c r="DB115" i="14"/>
  <c r="DC115" i="14" s="1"/>
  <c r="DD114" i="14"/>
  <c r="CJ235" i="14"/>
  <c r="CH236" i="14"/>
  <c r="CI236" i="14" s="1"/>
  <c r="DG103" i="14"/>
  <c r="DH103" i="14" s="1"/>
  <c r="DN66" i="14"/>
  <c r="DL67" i="14"/>
  <c r="DM67" i="14" s="1"/>
  <c r="CC367" i="14"/>
  <c r="CD367" i="14" s="1"/>
  <c r="DB103" i="14"/>
  <c r="DC103" i="14" s="1"/>
  <c r="DD102" i="14"/>
  <c r="EA56" i="14"/>
  <c r="EB56" i="14" s="1"/>
  <c r="EC55" i="14"/>
  <c r="CY174" i="14"/>
  <c r="CW175" i="14"/>
  <c r="CX175" i="14" s="1"/>
  <c r="CM175" i="14"/>
  <c r="CN175" i="14" s="1"/>
  <c r="CO174" i="14"/>
  <c r="DX330" i="14"/>
  <c r="DV331" i="14"/>
  <c r="DW331" i="14" s="1"/>
  <c r="DV163" i="14"/>
  <c r="DW163" i="14" s="1"/>
  <c r="DX162" i="14"/>
  <c r="CH391" i="14"/>
  <c r="CI391" i="14" s="1"/>
  <c r="CJ390" i="14"/>
  <c r="CM463" i="14"/>
  <c r="CN463" i="14" s="1"/>
  <c r="CO462" i="14"/>
  <c r="CO414" i="14"/>
  <c r="CM415" i="14"/>
  <c r="CN415" i="14" s="1"/>
  <c r="EC330" i="14"/>
  <c r="EA331" i="14"/>
  <c r="EB331" i="14" s="1"/>
  <c r="DV391" i="14"/>
  <c r="DW391" i="14" s="1"/>
  <c r="DX390" i="14"/>
  <c r="CC187" i="14"/>
  <c r="CD187" i="14" s="1"/>
  <c r="CJ186" i="14"/>
  <c r="CH187" i="14"/>
  <c r="CI187" i="14" s="1"/>
  <c r="DX282" i="14"/>
  <c r="DV283" i="14"/>
  <c r="DW283" i="14" s="1"/>
  <c r="DX151" i="14"/>
  <c r="DV152" i="14"/>
  <c r="DW152" i="14" s="1"/>
  <c r="DN150" i="14"/>
  <c r="DL151" i="14"/>
  <c r="DM151" i="14" s="1"/>
  <c r="CC391" i="14"/>
  <c r="CD391" i="14" s="1"/>
  <c r="DG547" i="14"/>
  <c r="DH547" i="14" s="1"/>
  <c r="DG367" i="14"/>
  <c r="DH367" i="14" s="1"/>
  <c r="DV128" i="14"/>
  <c r="DW128" i="14" s="1"/>
  <c r="DX127" i="14"/>
  <c r="CY415" i="14"/>
  <c r="CW416" i="14"/>
  <c r="CX416" i="14" s="1"/>
  <c r="DG571" i="14"/>
  <c r="DH571" i="14" s="1"/>
  <c r="EA247" i="14"/>
  <c r="EB247" i="14" s="1"/>
  <c r="EC246" i="14"/>
  <c r="CY559" i="14"/>
  <c r="CW560" i="14"/>
  <c r="CX560" i="14" s="1"/>
  <c r="DD594" i="14"/>
  <c r="DB595" i="14"/>
  <c r="DC595" i="14" s="1"/>
  <c r="CJ198" i="14"/>
  <c r="CH199" i="14"/>
  <c r="CI199" i="14" s="1"/>
  <c r="DV668" i="14"/>
  <c r="DW668" i="14" s="1"/>
  <c r="DX667" i="14"/>
  <c r="CM512" i="14"/>
  <c r="CN512" i="14" s="1"/>
  <c r="CO511" i="14"/>
  <c r="DB499" i="14"/>
  <c r="DC499" i="14" s="1"/>
  <c r="DD498" i="14"/>
  <c r="CM379" i="14"/>
  <c r="CN379" i="14" s="1"/>
  <c r="CO378" i="14"/>
  <c r="CO607" i="14"/>
  <c r="CM608" i="14"/>
  <c r="CN608" i="14" s="1"/>
  <c r="CY427" i="14"/>
  <c r="CW428" i="14"/>
  <c r="CX428" i="14" s="1"/>
  <c r="EC390" i="14"/>
  <c r="EA391" i="14"/>
  <c r="EB391" i="14" s="1"/>
  <c r="DQ355" i="14"/>
  <c r="DR355" i="14" s="1"/>
  <c r="DS354" i="14"/>
  <c r="EH426" i="14"/>
  <c r="EF427" i="14"/>
  <c r="EG427" i="14" s="1"/>
  <c r="CT54" i="14"/>
  <c r="CR55" i="14"/>
  <c r="CS55" i="14" s="1"/>
  <c r="CO331" i="14"/>
  <c r="CM332" i="14"/>
  <c r="CN332" i="14" s="1"/>
  <c r="CO426" i="14"/>
  <c r="CM427" i="14"/>
  <c r="CN427" i="14" s="1"/>
  <c r="CC271" i="14"/>
  <c r="CD271" i="14" s="1"/>
  <c r="DG583" i="14"/>
  <c r="DH583" i="14" s="1"/>
  <c r="DD354" i="14"/>
  <c r="DB355" i="14"/>
  <c r="DC355" i="14" s="1"/>
  <c r="CC439" i="14"/>
  <c r="CD439" i="14" s="1"/>
  <c r="DX306" i="14"/>
  <c r="DV307" i="14"/>
  <c r="DW307" i="14" s="1"/>
  <c r="DD186" i="14"/>
  <c r="DB187" i="14"/>
  <c r="DC187" i="14" s="1"/>
  <c r="DL584" i="14"/>
  <c r="DM584" i="14" s="1"/>
  <c r="DN583" i="14"/>
  <c r="DQ631" i="14"/>
  <c r="DR631" i="14" s="1"/>
  <c r="DS630" i="14"/>
  <c r="DB332" i="14"/>
  <c r="DC332" i="14" s="1"/>
  <c r="DD331" i="14"/>
  <c r="DG247" i="14"/>
  <c r="DH247" i="14" s="1"/>
  <c r="CC139" i="14"/>
  <c r="CD139" i="14" s="1"/>
  <c r="EH678" i="14"/>
  <c r="EF679" i="14"/>
  <c r="EG679" i="14" s="1"/>
  <c r="DD223" i="14"/>
  <c r="DB224" i="14"/>
  <c r="DC224" i="14" s="1"/>
  <c r="CC379" i="14"/>
  <c r="CD379" i="14" s="1"/>
  <c r="CC103" i="14"/>
  <c r="CD103" i="14" s="1"/>
  <c r="DV235" i="14"/>
  <c r="DW235" i="14" s="1"/>
  <c r="DX234" i="14"/>
  <c r="DX270" i="14"/>
  <c r="DV271" i="14"/>
  <c r="DW271" i="14" s="1"/>
  <c r="EH391" i="14"/>
  <c r="EF392" i="14"/>
  <c r="EG392" i="14" s="1"/>
  <c r="CH523" i="14"/>
  <c r="CI523" i="14" s="1"/>
  <c r="CJ522" i="14"/>
  <c r="DN606" i="14"/>
  <c r="DL607" i="14"/>
  <c r="DM607" i="14" s="1"/>
  <c r="EH594" i="14"/>
  <c r="EF595" i="14"/>
  <c r="EG595" i="14" s="1"/>
  <c r="DV368" i="14"/>
  <c r="DW368" i="14" s="1"/>
  <c r="DX367" i="14"/>
  <c r="CW668" i="14"/>
  <c r="CX668" i="14" s="1"/>
  <c r="CY667" i="14"/>
  <c r="CT618" i="14"/>
  <c r="CR619" i="14"/>
  <c r="CS619" i="14" s="1"/>
  <c r="DX319" i="14"/>
  <c r="DV320" i="14"/>
  <c r="DW320" i="14" s="1"/>
  <c r="DV632" i="14"/>
  <c r="DW632" i="14" s="1"/>
  <c r="DX631" i="14"/>
  <c r="EC450" i="14"/>
  <c r="EA451" i="14"/>
  <c r="EB451" i="14" s="1"/>
  <c r="CO294" i="14"/>
  <c r="CM295" i="14"/>
  <c r="CN295" i="14" s="1"/>
  <c r="CC235" i="14"/>
  <c r="CD235" i="14" s="1"/>
  <c r="DG631" i="14"/>
  <c r="DH631" i="14" s="1"/>
  <c r="CM368" i="14"/>
  <c r="CN368" i="14" s="1"/>
  <c r="CO367" i="14"/>
  <c r="DL343" i="14"/>
  <c r="DM343" i="14" s="1"/>
  <c r="DN342" i="14"/>
  <c r="EC198" i="14"/>
  <c r="EA199" i="14"/>
  <c r="EB199" i="14" s="1"/>
  <c r="EF223" i="14"/>
  <c r="EG223" i="14" s="1"/>
  <c r="EH222" i="14"/>
  <c r="DN211" i="14"/>
  <c r="DL212" i="14"/>
  <c r="DM212" i="14" s="1"/>
  <c r="EF367" i="14"/>
  <c r="EG367" i="14" s="1"/>
  <c r="EH366" i="14"/>
  <c r="CT126" i="14"/>
  <c r="CR127" i="14"/>
  <c r="CS127" i="14" s="1"/>
  <c r="CJ150" i="14"/>
  <c r="CH151" i="14"/>
  <c r="CI151" i="14" s="1"/>
  <c r="DS535" i="14"/>
  <c r="DQ536" i="14"/>
  <c r="DR536" i="14" s="1"/>
  <c r="DN271" i="14"/>
  <c r="DL272" i="14"/>
  <c r="DM272" i="14" s="1"/>
  <c r="DX343" i="14"/>
  <c r="DV344" i="14"/>
  <c r="DW344" i="14" s="1"/>
  <c r="CJ127" i="14"/>
  <c r="CH128" i="14"/>
  <c r="CI128" i="14" s="1"/>
  <c r="EF199" i="14"/>
  <c r="EG199" i="14" s="1"/>
  <c r="EH198" i="14"/>
  <c r="DL572" i="14"/>
  <c r="DM572" i="14" s="1"/>
  <c r="DN571" i="14"/>
  <c r="CO666" i="14"/>
  <c r="CM667" i="14"/>
  <c r="CN667" i="14" s="1"/>
  <c r="DG115" i="14"/>
  <c r="DH115" i="14" s="1"/>
  <c r="CW319" i="14"/>
  <c r="CX319" i="14" s="1"/>
  <c r="CY318" i="14"/>
  <c r="DD619" i="14"/>
  <c r="DB620" i="14"/>
  <c r="DC620" i="14" s="1"/>
  <c r="EF236" i="14"/>
  <c r="EG236" i="14" s="1"/>
  <c r="EH235" i="14"/>
  <c r="DN307" i="14"/>
  <c r="DL308" i="14"/>
  <c r="DM308" i="14" s="1"/>
  <c r="CJ679" i="14"/>
  <c r="CH680" i="14"/>
  <c r="CI680" i="14" s="1"/>
  <c r="CY391" i="14"/>
  <c r="CW392" i="14"/>
  <c r="CX392" i="14" s="1"/>
  <c r="DX499" i="14"/>
  <c r="DV500" i="14"/>
  <c r="DW500" i="14" s="1"/>
  <c r="CO558" i="14"/>
  <c r="CM559" i="14"/>
  <c r="CN559" i="14" s="1"/>
  <c r="DX475" i="14"/>
  <c r="DV476" i="14"/>
  <c r="DW476" i="14" s="1"/>
  <c r="DD654" i="14"/>
  <c r="DB655" i="14"/>
  <c r="DC655" i="14" s="1"/>
  <c r="CC259" i="14"/>
  <c r="CD259" i="14" s="1"/>
  <c r="CM487" i="14"/>
  <c r="CN487" i="14" s="1"/>
  <c r="CO486" i="14"/>
  <c r="EH630" i="14"/>
  <c r="EF631" i="14"/>
  <c r="EG631" i="14" s="1"/>
  <c r="EA188" i="14"/>
  <c r="EB188" i="14" s="1"/>
  <c r="EC187" i="14"/>
  <c r="CY294" i="14"/>
  <c r="CW295" i="14"/>
  <c r="CX295" i="14" s="1"/>
  <c r="CO67" i="14"/>
  <c r="CM68" i="14"/>
  <c r="CN68" i="14" s="1"/>
  <c r="DN246" i="14"/>
  <c r="DL247" i="14"/>
  <c r="DM247" i="14" s="1"/>
  <c r="CW440" i="14"/>
  <c r="CX440" i="14" s="1"/>
  <c r="CY439" i="14"/>
  <c r="DL428" i="14"/>
  <c r="DM428" i="14" s="1"/>
  <c r="DN427" i="14"/>
  <c r="DN102" i="14"/>
  <c r="DL103" i="14"/>
  <c r="DM103" i="14" s="1"/>
  <c r="CW656" i="14"/>
  <c r="CX656" i="14" s="1"/>
  <c r="CY655" i="14"/>
  <c r="CT199" i="14"/>
  <c r="CR200" i="14"/>
  <c r="CS200" i="14" s="1"/>
  <c r="CO247" i="14"/>
  <c r="CM248" i="14"/>
  <c r="CN248" i="14" s="1"/>
  <c r="DL440" i="14"/>
  <c r="DM440" i="14" s="1"/>
  <c r="DN439" i="14"/>
  <c r="DQ487" i="14"/>
  <c r="DR487" i="14" s="1"/>
  <c r="DS486" i="14"/>
  <c r="DG655" i="14"/>
  <c r="DH655" i="14" s="1"/>
  <c r="CY534" i="14"/>
  <c r="CW535" i="14"/>
  <c r="CX535" i="14" s="1"/>
  <c r="DQ548" i="14"/>
  <c r="DR548" i="14" s="1"/>
  <c r="DS547" i="14"/>
  <c r="DG463" i="14"/>
  <c r="DH463" i="14" s="1"/>
  <c r="CC211" i="14"/>
  <c r="CD211" i="14" s="1"/>
  <c r="CT666" i="14"/>
  <c r="CR667" i="14"/>
  <c r="CS667" i="14" s="1"/>
  <c r="DG295" i="14"/>
  <c r="DH295" i="14" s="1"/>
  <c r="CC667" i="14"/>
  <c r="CD667" i="14" s="1"/>
  <c r="DN511" i="14"/>
  <c r="DL512" i="14"/>
  <c r="DM512" i="14" s="1"/>
  <c r="CO522" i="14"/>
  <c r="CM523" i="14"/>
  <c r="CN523" i="14" s="1"/>
  <c r="CC463" i="14"/>
  <c r="CD463" i="14" s="1"/>
  <c r="CJ486" i="14"/>
  <c r="CH487" i="14"/>
  <c r="CI487" i="14" s="1"/>
  <c r="DQ200" i="14"/>
  <c r="DR200" i="14" s="1"/>
  <c r="DS199" i="14"/>
  <c r="DQ523" i="14"/>
  <c r="DR523" i="14" s="1"/>
  <c r="DS522" i="14"/>
  <c r="DV583" i="14"/>
  <c r="DW583" i="14" s="1"/>
  <c r="DX582" i="14"/>
  <c r="EC547" i="14"/>
  <c r="EA548" i="14"/>
  <c r="EB548" i="14" s="1"/>
  <c r="CT523" i="14"/>
  <c r="CR524" i="14"/>
  <c r="CS524" i="14" s="1"/>
  <c r="CC223" i="14"/>
  <c r="CD223" i="14" s="1"/>
  <c r="DQ236" i="14"/>
  <c r="DR236" i="14" s="1"/>
  <c r="DS235" i="14"/>
  <c r="EA440" i="14"/>
  <c r="EB440" i="14" s="1"/>
  <c r="EC439" i="14"/>
  <c r="CO403" i="14"/>
  <c r="CM404" i="14"/>
  <c r="CN404" i="14" s="1"/>
  <c r="EA307" i="14"/>
  <c r="EB307" i="14" s="1"/>
  <c r="EC306" i="14"/>
  <c r="DD235" i="14"/>
  <c r="DB236" i="14"/>
  <c r="DC236" i="14" s="1"/>
  <c r="DD295" i="14"/>
  <c r="DB296" i="14"/>
  <c r="DC296" i="14" s="1"/>
  <c r="EA523" i="14"/>
  <c r="EB523" i="14" s="1"/>
  <c r="EC522" i="14"/>
  <c r="DS330" i="14"/>
  <c r="DQ331" i="14"/>
  <c r="DR331" i="14" s="1"/>
  <c r="EC630" i="14"/>
  <c r="EA631" i="14"/>
  <c r="EB631" i="14" s="1"/>
  <c r="CT355" i="14"/>
  <c r="CR356" i="14"/>
  <c r="CS356" i="14" s="1"/>
  <c r="CW368" i="14"/>
  <c r="CX368" i="14" s="1"/>
  <c r="CY367" i="14"/>
  <c r="EH355" i="14"/>
  <c r="EF356" i="14"/>
  <c r="EG356" i="14" s="1"/>
  <c r="EC475" i="14"/>
  <c r="EA476" i="14"/>
  <c r="EB476" i="14" s="1"/>
  <c r="DS415" i="14"/>
  <c r="DQ416" i="14"/>
  <c r="DR416" i="14" s="1"/>
  <c r="CR152" i="14"/>
  <c r="CS152" i="14" s="1"/>
  <c r="CT151" i="14"/>
  <c r="CY259" i="14"/>
  <c r="CW260" i="14"/>
  <c r="CX260" i="14" s="1"/>
  <c r="CJ67" i="14"/>
  <c r="CH68" i="14"/>
  <c r="CI68" i="14" s="1"/>
  <c r="DG535" i="14"/>
  <c r="DH535" i="14" s="1"/>
  <c r="CR631" i="14"/>
  <c r="CS631" i="14" s="1"/>
  <c r="CT630" i="14"/>
  <c r="DQ224" i="14"/>
  <c r="DR224" i="14" s="1"/>
  <c r="DS223" i="14"/>
  <c r="DG403" i="14"/>
  <c r="DH403" i="14" s="1"/>
  <c r="DL524" i="14"/>
  <c r="DM524" i="14" s="1"/>
  <c r="DN523" i="14"/>
  <c r="CO355" i="14"/>
  <c r="CM356" i="14"/>
  <c r="CN356" i="14" s="1"/>
  <c r="EH666" i="14"/>
  <c r="EF667" i="14"/>
  <c r="EG667" i="14" s="1"/>
  <c r="DQ68" i="14"/>
  <c r="DR68" i="14" s="1"/>
  <c r="DS67" i="14"/>
  <c r="CW499" i="14"/>
  <c r="CX499" i="14" s="1"/>
  <c r="CY498" i="14"/>
  <c r="EH175" i="14"/>
  <c r="EF176" i="14"/>
  <c r="EG176" i="14" s="1"/>
  <c r="EH559" i="14"/>
  <c r="EF560" i="14"/>
  <c r="EG560" i="14" s="1"/>
  <c r="EH463" i="14"/>
  <c r="EF464" i="14"/>
  <c r="EG464" i="14" s="1"/>
  <c r="CT451" i="14"/>
  <c r="CR452" i="14"/>
  <c r="CS452" i="14" s="1"/>
  <c r="DQ512" i="14"/>
  <c r="DR512" i="14" s="1"/>
  <c r="DS511" i="14"/>
  <c r="CR512" i="14"/>
  <c r="CS512" i="14" s="1"/>
  <c r="CT511" i="14"/>
  <c r="DN451" i="14"/>
  <c r="DL452" i="14"/>
  <c r="DM452" i="14" s="1"/>
  <c r="CY474" i="14"/>
  <c r="CW475" i="14"/>
  <c r="CX475" i="14" s="1"/>
  <c r="DG331" i="14"/>
  <c r="DH331" i="14" s="1"/>
  <c r="DL415" i="14"/>
  <c r="DM415" i="14" s="1"/>
  <c r="DN414" i="14"/>
  <c r="DG163" i="14"/>
  <c r="DH163" i="14" s="1"/>
  <c r="EF163" i="14"/>
  <c r="EG163" i="14" s="1"/>
  <c r="EH162" i="14"/>
  <c r="CT427" i="14"/>
  <c r="CR428" i="14"/>
  <c r="CS428" i="14" s="1"/>
  <c r="DS283" i="14"/>
  <c r="DQ284" i="14"/>
  <c r="DR284" i="14" s="1"/>
  <c r="CJ354" i="14"/>
  <c r="CH355" i="14"/>
  <c r="CI355" i="14" s="1"/>
  <c r="DG139" i="14"/>
  <c r="DH139" i="14" s="1"/>
  <c r="DV296" i="14"/>
  <c r="DW296" i="14" s="1"/>
  <c r="DX295" i="14"/>
  <c r="DV548" i="14"/>
  <c r="DW548" i="14" s="1"/>
  <c r="DX547" i="14"/>
  <c r="CT546" i="14"/>
  <c r="CR547" i="14"/>
  <c r="CS547" i="14" s="1"/>
  <c r="DB679" i="14"/>
  <c r="DC679" i="14" s="1"/>
  <c r="DD678" i="14"/>
  <c r="CT391" i="14"/>
  <c r="CR392" i="14"/>
  <c r="CS392" i="14" s="1"/>
  <c r="CY343" i="14"/>
  <c r="CW344" i="14"/>
  <c r="CX344" i="14" s="1"/>
  <c r="DG271" i="14"/>
  <c r="DH271" i="14" s="1"/>
  <c r="DG55" i="14"/>
  <c r="DH55" i="14" s="1"/>
  <c r="DL620" i="14"/>
  <c r="DM620" i="14" s="1"/>
  <c r="DN619" i="14"/>
  <c r="EF656" i="14"/>
  <c r="EG656" i="14" s="1"/>
  <c r="EH655" i="14"/>
  <c r="DB344" i="14"/>
  <c r="DC344" i="14" s="1"/>
  <c r="DD343" i="14"/>
  <c r="CR272" i="14"/>
  <c r="CS272" i="14" s="1"/>
  <c r="CT271" i="14"/>
  <c r="CY271" i="14"/>
  <c r="CW272" i="14"/>
  <c r="CX272" i="14" s="1"/>
  <c r="EA668" i="14"/>
  <c r="EB668" i="14" s="1"/>
  <c r="EC667" i="14"/>
  <c r="DB91" i="14"/>
  <c r="DC91" i="14" s="1"/>
  <c r="DD90" i="14"/>
  <c r="DS463" i="14"/>
  <c r="DQ464" i="14"/>
  <c r="DR464" i="14" s="1"/>
  <c r="CR416" i="14"/>
  <c r="CS416" i="14" s="1"/>
  <c r="CT415" i="14"/>
  <c r="CR500" i="14"/>
  <c r="CS500" i="14" s="1"/>
  <c r="CT499" i="14"/>
  <c r="CC151" i="14"/>
  <c r="CD151" i="14" s="1"/>
  <c r="CH295" i="14"/>
  <c r="CI295" i="14" s="1"/>
  <c r="CJ294" i="14"/>
  <c r="DN487" i="14"/>
  <c r="DL488" i="14"/>
  <c r="DM488" i="14" s="1"/>
  <c r="DX246" i="14"/>
  <c r="DV247" i="14"/>
  <c r="DW247" i="14" s="1"/>
  <c r="DD546" i="14"/>
  <c r="DB547" i="14"/>
  <c r="DC547" i="14" s="1"/>
  <c r="DL596" i="14"/>
  <c r="DM596" i="14" s="1"/>
  <c r="DN595" i="14"/>
  <c r="DD631" i="14"/>
  <c r="DB632" i="14"/>
  <c r="DC632" i="14" s="1"/>
  <c r="DN379" i="14"/>
  <c r="DL380" i="14"/>
  <c r="DM380" i="14" s="1"/>
  <c r="EH439" i="14"/>
  <c r="EF440" i="14"/>
  <c r="EG440" i="14" s="1"/>
  <c r="CR92" i="14"/>
  <c r="CS92" i="14" s="1"/>
  <c r="CT91" i="14"/>
  <c r="CW608" i="14"/>
  <c r="CX608" i="14" s="1"/>
  <c r="CY607" i="14"/>
  <c r="CJ55" i="14"/>
  <c r="CH56" i="14"/>
  <c r="CI56" i="14" s="1"/>
  <c r="DS642" i="14"/>
  <c r="DQ643" i="14"/>
  <c r="DR643" i="14" s="1"/>
  <c r="CT475" i="14"/>
  <c r="CR476" i="14"/>
  <c r="CS476" i="14" s="1"/>
  <c r="CH307" i="14"/>
  <c r="CI307" i="14" s="1"/>
  <c r="CJ306" i="14"/>
  <c r="DG127" i="14"/>
  <c r="DH127" i="14" s="1"/>
  <c r="CY187" i="14"/>
  <c r="CW188" i="14"/>
  <c r="CX188" i="14" s="1"/>
  <c r="DN679" i="14"/>
  <c r="DL680" i="14"/>
  <c r="DM680" i="14" s="1"/>
  <c r="CT103" i="14"/>
  <c r="CR104" i="14"/>
  <c r="CS104" i="14" s="1"/>
  <c r="DQ391" i="14"/>
  <c r="DR391" i="14" s="1"/>
  <c r="DS390" i="14"/>
  <c r="EC571" i="14"/>
  <c r="EA572" i="14"/>
  <c r="EB572" i="14" s="1"/>
  <c r="CC127" i="14"/>
  <c r="CD127" i="14" s="1"/>
  <c r="CY451" i="14"/>
  <c r="CW452" i="14"/>
  <c r="CX452" i="14" s="1"/>
  <c r="DD487" i="14"/>
  <c r="DB488" i="14"/>
  <c r="DC488" i="14" s="1"/>
  <c r="DS474" i="14"/>
  <c r="DQ475" i="14"/>
  <c r="DR475" i="14" s="1"/>
  <c r="DD67" i="14"/>
  <c r="DB68" i="14"/>
  <c r="DC68" i="14" s="1"/>
  <c r="EA103" i="14"/>
  <c r="EB103" i="14" s="1"/>
  <c r="EC102" i="14"/>
  <c r="DL320" i="14"/>
  <c r="DM320" i="14" s="1"/>
  <c r="DN319" i="14"/>
  <c r="DG667" i="14"/>
  <c r="DH667" i="14" s="1"/>
  <c r="CM115" i="14"/>
  <c r="CN115" i="14" s="1"/>
  <c r="CO114" i="14"/>
  <c r="DX138" i="14"/>
  <c r="DV139" i="14"/>
  <c r="DW139" i="14" s="1"/>
  <c r="DN474" i="14"/>
  <c r="DL475" i="14"/>
  <c r="DM475" i="14" s="1"/>
  <c r="CO318" i="14"/>
  <c r="CM319" i="14"/>
  <c r="CN319" i="14" s="1"/>
  <c r="DS558" i="14"/>
  <c r="DQ559" i="14"/>
  <c r="DR559" i="14" s="1"/>
  <c r="EC511" i="14"/>
  <c r="EA512" i="14"/>
  <c r="EB512" i="14" s="1"/>
  <c r="DV535" i="14"/>
  <c r="DW535" i="14" s="1"/>
  <c r="DX534" i="14"/>
  <c r="EC463" i="14"/>
  <c r="EA464" i="14"/>
  <c r="EB464" i="14" s="1"/>
  <c r="CC91" i="14"/>
  <c r="CD91" i="14" s="1"/>
  <c r="CH259" i="14"/>
  <c r="CI259" i="14" s="1"/>
  <c r="CJ258" i="14"/>
  <c r="EC415" i="14"/>
  <c r="EA416" i="14"/>
  <c r="EB416" i="14" s="1"/>
  <c r="CH103" i="14"/>
  <c r="CI103" i="14" s="1"/>
  <c r="CJ102" i="14"/>
  <c r="EH571" i="14"/>
  <c r="EF572" i="14"/>
  <c r="EG572" i="14" s="1"/>
  <c r="CH343" i="14"/>
  <c r="CI343" i="14" s="1"/>
  <c r="CJ342" i="14"/>
  <c r="DB308" i="14"/>
  <c r="DC308" i="14" s="1"/>
  <c r="DD307" i="14"/>
  <c r="DG379" i="14"/>
  <c r="DH379" i="14" s="1"/>
  <c r="CJ427" i="14"/>
  <c r="CH428" i="14"/>
  <c r="CI428" i="14" s="1"/>
  <c r="DX679" i="14"/>
  <c r="DV680" i="14"/>
  <c r="DW680" i="14" s="1"/>
  <c r="DN547" i="14"/>
  <c r="DL548" i="14"/>
  <c r="DM548" i="14" s="1"/>
  <c r="CO619" i="14"/>
  <c r="CM620" i="14"/>
  <c r="CN620" i="14" s="1"/>
  <c r="DS607" i="14"/>
  <c r="DQ608" i="14"/>
  <c r="DR608" i="14" s="1"/>
  <c r="CR164" i="14"/>
  <c r="CS164" i="14" s="1"/>
  <c r="CT163" i="14"/>
  <c r="DD534" i="14"/>
  <c r="DB535" i="14"/>
  <c r="DC535" i="14" s="1"/>
  <c r="EH619" i="14"/>
  <c r="EF620" i="14"/>
  <c r="EG620" i="14" s="1"/>
  <c r="DB427" i="14"/>
  <c r="DC427" i="14" s="1"/>
  <c r="DD426" i="14"/>
  <c r="CR67" i="14"/>
  <c r="CS67" i="14" s="1"/>
  <c r="CT66" i="14"/>
  <c r="EA164" i="14"/>
  <c r="EB164" i="14" s="1"/>
  <c r="EC163" i="14"/>
  <c r="DV524" i="14"/>
  <c r="DW524" i="14" s="1"/>
  <c r="DX523" i="14"/>
  <c r="EF476" i="14"/>
  <c r="EG476" i="14" s="1"/>
  <c r="EH475" i="14"/>
  <c r="DG235" i="14"/>
  <c r="DH235" i="14" s="1"/>
  <c r="DN558" i="14"/>
  <c r="DL559" i="14"/>
  <c r="DM559" i="14" s="1"/>
  <c r="EH583" i="14"/>
  <c r="EF584" i="14"/>
  <c r="EG584" i="14" s="1"/>
  <c r="DX594" i="14"/>
  <c r="DV595" i="14"/>
  <c r="DW595" i="14" s="1"/>
  <c r="DG439" i="14"/>
  <c r="DH439" i="14" s="1"/>
  <c r="CC247" i="14"/>
  <c r="CD247" i="14" s="1"/>
  <c r="CT138" i="14"/>
  <c r="CR139" i="14"/>
  <c r="CS139" i="14" s="1"/>
  <c r="DB379" i="14"/>
  <c r="DC379" i="14" s="1"/>
  <c r="DD378" i="14"/>
  <c r="CC115" i="14"/>
  <c r="CD115" i="14" s="1"/>
  <c r="CH475" i="14"/>
  <c r="CI475" i="14" s="1"/>
  <c r="CJ474" i="14"/>
  <c r="CW248" i="14"/>
  <c r="CX248" i="14" s="1"/>
  <c r="CY247" i="14"/>
  <c r="CT282" i="14"/>
  <c r="CR283" i="14"/>
  <c r="CS283" i="14" s="1"/>
  <c r="DB571" i="14"/>
  <c r="DC571" i="14" s="1"/>
  <c r="DD570" i="14"/>
  <c r="DQ379" i="14"/>
  <c r="DR379" i="14" s="1"/>
  <c r="DS378" i="14"/>
  <c r="DX258" i="14"/>
  <c r="DV259" i="14"/>
  <c r="DW259" i="14" s="1"/>
  <c r="DD462" i="14"/>
  <c r="DB463" i="14"/>
  <c r="DC463" i="14" s="1"/>
  <c r="EC211" i="14"/>
  <c r="EA212" i="14"/>
  <c r="EB212" i="14" s="1"/>
  <c r="CJ642" i="14"/>
  <c r="CH643" i="14"/>
  <c r="CI643" i="14" s="1"/>
  <c r="EF283" i="14"/>
  <c r="EG283" i="14" s="1"/>
  <c r="EH282" i="14"/>
  <c r="CM127" i="14"/>
  <c r="CN127" i="14" s="1"/>
  <c r="CO126" i="14"/>
  <c r="DB451" i="14"/>
  <c r="DC451" i="14" s="1"/>
  <c r="DD450" i="14"/>
  <c r="DB368" i="14"/>
  <c r="DC368" i="14" s="1"/>
  <c r="DD367" i="14"/>
  <c r="CM260" i="14"/>
  <c r="CN260" i="14" s="1"/>
  <c r="CO259" i="14"/>
  <c r="EH91" i="14"/>
  <c r="EF92" i="14"/>
  <c r="EG92" i="14" s="1"/>
  <c r="CJ594" i="14"/>
  <c r="CH595" i="14"/>
  <c r="CI595" i="14" s="1"/>
  <c r="EF296" i="14"/>
  <c r="EG296" i="14" s="1"/>
  <c r="EH295" i="14"/>
  <c r="CT331" i="14"/>
  <c r="CR332" i="14"/>
  <c r="CS332" i="14" s="1"/>
  <c r="DB211" i="14"/>
  <c r="DC211" i="14" s="1"/>
  <c r="DD210" i="14"/>
  <c r="DX355" i="14"/>
  <c r="DV356" i="14"/>
  <c r="DW356" i="14" s="1"/>
  <c r="CC523" i="14"/>
  <c r="CD523" i="14" s="1"/>
  <c r="EA403" i="14"/>
  <c r="EB403" i="14" s="1"/>
  <c r="EC402" i="14"/>
  <c r="EC498" i="14"/>
  <c r="EA499" i="14"/>
  <c r="EB499" i="14" s="1"/>
  <c r="CM572" i="14"/>
  <c r="CN572" i="14" s="1"/>
  <c r="CO571" i="14"/>
  <c r="DS163" i="14"/>
  <c r="DQ164" i="14"/>
  <c r="DR164" i="14" s="1"/>
  <c r="EA151" i="14"/>
  <c r="EB151" i="14" s="1"/>
  <c r="EC150" i="14"/>
  <c r="DL355" i="14"/>
  <c r="DM355" i="14" s="1"/>
  <c r="DN354" i="14"/>
  <c r="DS151" i="14"/>
  <c r="DQ152" i="14"/>
  <c r="DR152" i="14" s="1"/>
  <c r="DL331" i="14"/>
  <c r="DM331" i="14" s="1"/>
  <c r="DN330" i="14"/>
  <c r="CC535" i="14"/>
  <c r="CD535" i="14" s="1"/>
  <c r="DG619" i="14"/>
  <c r="DH619" i="14" s="1"/>
  <c r="CM644" i="14"/>
  <c r="CN644" i="14" s="1"/>
  <c r="CO643" i="14"/>
  <c r="CC487" i="14"/>
  <c r="CD487" i="14" s="1"/>
  <c r="CT259" i="14"/>
  <c r="CR260" i="14"/>
  <c r="CS260" i="14" s="1"/>
  <c r="CY486" i="14"/>
  <c r="CW487" i="14"/>
  <c r="CX487" i="14" s="1"/>
  <c r="EH55" i="14"/>
  <c r="EF56" i="14"/>
  <c r="EG56" i="14" s="1"/>
  <c r="DG355" i="14"/>
  <c r="DH355" i="14" s="1"/>
  <c r="DL175" i="14"/>
  <c r="DM175" i="14" s="1"/>
  <c r="DN174" i="14"/>
  <c r="DG391" i="14"/>
  <c r="DH391" i="14" s="1"/>
  <c r="EH546" i="14"/>
  <c r="EF547" i="14"/>
  <c r="EG547" i="14" s="1"/>
  <c r="CM308" i="14"/>
  <c r="CN308" i="14" s="1"/>
  <c r="CO307" i="14"/>
  <c r="CY403" i="14"/>
  <c r="CW404" i="14"/>
  <c r="CX404" i="14" s="1"/>
  <c r="DD126" i="14"/>
  <c r="DB127" i="14"/>
  <c r="DC127" i="14" s="1"/>
  <c r="CH632" i="14"/>
  <c r="CI632" i="14" s="1"/>
  <c r="CJ631" i="14"/>
  <c r="CJ414" i="14"/>
  <c r="CH415" i="14"/>
  <c r="CI415" i="14" s="1"/>
  <c r="DS102" i="14"/>
  <c r="DQ103" i="14"/>
  <c r="DR103" i="14" s="1"/>
  <c r="EA655" i="14"/>
  <c r="EB655" i="14" s="1"/>
  <c r="EC654" i="14"/>
  <c r="EF307" i="14"/>
  <c r="EG307" i="14" s="1"/>
  <c r="EH306" i="14"/>
  <c r="CR535" i="14"/>
  <c r="CS535" i="14" s="1"/>
  <c r="CT534" i="14"/>
  <c r="EH451" i="14"/>
  <c r="EF452" i="14"/>
  <c r="EG452" i="14" s="1"/>
  <c r="DQ319" i="14"/>
  <c r="DR319" i="14" s="1"/>
  <c r="DS318" i="14"/>
  <c r="CY594" i="14"/>
  <c r="CW595" i="14"/>
  <c r="CX595" i="14" s="1"/>
  <c r="CY583" i="14"/>
  <c r="CW584" i="14"/>
  <c r="CX584" i="14" s="1"/>
  <c r="DG523" i="14"/>
  <c r="DH523" i="14" s="1"/>
  <c r="EF140" i="14"/>
  <c r="EG140" i="14" s="1"/>
  <c r="EH139" i="14"/>
  <c r="CJ115" i="14"/>
  <c r="CH116" i="14"/>
  <c r="CI116" i="14" s="1"/>
  <c r="CM452" i="14"/>
  <c r="CN452" i="14" s="1"/>
  <c r="CO451" i="14"/>
  <c r="EA679" i="14"/>
  <c r="EB679" i="14" s="1"/>
  <c r="EC678" i="14"/>
  <c r="CT367" i="14"/>
  <c r="CR368" i="14"/>
  <c r="CS368" i="14" s="1"/>
  <c r="CT294" i="14"/>
  <c r="CR295" i="14"/>
  <c r="CS295" i="14" s="1"/>
  <c r="CC511" i="14"/>
  <c r="CD511" i="14" s="1"/>
  <c r="DQ127" i="14"/>
  <c r="DR127" i="14" s="1"/>
  <c r="DS126" i="14"/>
  <c r="CO55" i="14"/>
  <c r="CM56" i="14"/>
  <c r="CN56" i="14" s="1"/>
  <c r="CY355" i="14"/>
  <c r="CW356" i="14"/>
  <c r="CX356" i="14" s="1"/>
  <c r="CY307" i="14"/>
  <c r="CW308" i="14"/>
  <c r="CX308" i="14" s="1"/>
  <c r="CR643" i="14"/>
  <c r="CS643" i="14" s="1"/>
  <c r="CT642" i="14"/>
  <c r="CC307" i="14"/>
  <c r="CD307" i="14" s="1"/>
  <c r="CW91" i="14"/>
  <c r="CX91" i="14" s="1"/>
  <c r="CY90" i="14"/>
  <c r="EA283" i="14"/>
  <c r="EB283" i="14" s="1"/>
  <c r="EC282" i="14"/>
  <c r="EA68" i="14"/>
  <c r="EB68" i="14" s="1"/>
  <c r="EC67" i="14"/>
  <c r="DB140" i="14"/>
  <c r="DC140" i="14" s="1"/>
  <c r="DD139" i="14"/>
  <c r="EC126" i="14"/>
  <c r="EA127" i="14"/>
  <c r="EB127" i="14" s="1"/>
  <c r="EH415" i="14"/>
  <c r="EF416" i="14"/>
  <c r="EG416" i="14" s="1"/>
  <c r="EA355" i="14"/>
  <c r="EB355" i="14" s="1"/>
  <c r="EC354" i="14"/>
  <c r="DG307" i="14"/>
  <c r="DH307" i="14" s="1"/>
  <c r="DL463" i="14"/>
  <c r="DM463" i="14" s="1"/>
  <c r="DN462" i="14"/>
  <c r="DV404" i="14"/>
  <c r="DW404" i="14" s="1"/>
  <c r="DX403" i="14"/>
  <c r="DX511" i="14"/>
  <c r="DV512" i="14"/>
  <c r="DW512" i="14" s="1"/>
  <c r="DQ295" i="14"/>
  <c r="DR295" i="14" s="1"/>
  <c r="DS294" i="14"/>
  <c r="DB151" i="14"/>
  <c r="DC151" i="14" s="1"/>
  <c r="DD150" i="14"/>
  <c r="CO235" i="14"/>
  <c r="CM236" i="14"/>
  <c r="CN236" i="14" s="1"/>
  <c r="EH378" i="14"/>
  <c r="EF379" i="14"/>
  <c r="EG379" i="14" s="1"/>
  <c r="DN235" i="14"/>
  <c r="DL236" i="14"/>
  <c r="DM236" i="14" s="1"/>
  <c r="EH331" i="14"/>
  <c r="EF332" i="14"/>
  <c r="EG332" i="14" s="1"/>
  <c r="DV488" i="14"/>
  <c r="DW488" i="14" s="1"/>
  <c r="DX487" i="14"/>
  <c r="EC295" i="14"/>
  <c r="EA296" i="14"/>
  <c r="EB296" i="14" s="1"/>
  <c r="CT222" i="14"/>
  <c r="CR223" i="14"/>
  <c r="CS223" i="14" s="1"/>
  <c r="DG175" i="14"/>
  <c r="DH175" i="14" s="1"/>
  <c r="DN667" i="14"/>
  <c r="DL668" i="14"/>
  <c r="DM668" i="14" s="1"/>
  <c r="CC199" i="14"/>
  <c r="CD199" i="14" s="1"/>
  <c r="DX619" i="14"/>
  <c r="DV620" i="14"/>
  <c r="DW620" i="14" s="1"/>
  <c r="DV379" i="14"/>
  <c r="DW379" i="14" s="1"/>
  <c r="DX378" i="14"/>
  <c r="CC643" i="14"/>
  <c r="CD643" i="14" s="1"/>
  <c r="DG427" i="14"/>
  <c r="DH427" i="14" s="1"/>
  <c r="EA380" i="14"/>
  <c r="EB380" i="14" s="1"/>
  <c r="EC379" i="14"/>
  <c r="CR248" i="14"/>
  <c r="CS248" i="14" s="1"/>
  <c r="CT247" i="14"/>
  <c r="EH607" i="14"/>
  <c r="EF608" i="14"/>
  <c r="EG608" i="14" s="1"/>
  <c r="EC642" i="14"/>
  <c r="EA643" i="14"/>
  <c r="EB643" i="14" s="1"/>
  <c r="CC331" i="14"/>
  <c r="CD331" i="14" s="1"/>
  <c r="CC583" i="14"/>
  <c r="CD583" i="14" s="1"/>
  <c r="CR236" i="14"/>
  <c r="CS236" i="14" s="1"/>
  <c r="CT235" i="14"/>
  <c r="CT343" i="14"/>
  <c r="CR344" i="14"/>
  <c r="CS344" i="14" s="1"/>
  <c r="DV91" i="14"/>
  <c r="DW91" i="14" s="1"/>
  <c r="DX90" i="14"/>
  <c r="EC271" i="14"/>
  <c r="EA272" i="14"/>
  <c r="EB272" i="14" s="1"/>
  <c r="EF320" i="14"/>
  <c r="EG320" i="14" s="1"/>
  <c r="EH319" i="14"/>
  <c r="DD583" i="14"/>
  <c r="DB584" i="14"/>
  <c r="DC584" i="14" s="1"/>
  <c r="CO222" i="14"/>
  <c r="CM223" i="14"/>
  <c r="CN223" i="14" s="1"/>
  <c r="CT606" i="14"/>
  <c r="CR607" i="14"/>
  <c r="CS607" i="14" s="1"/>
  <c r="CR211" i="14"/>
  <c r="CS211" i="14" s="1"/>
  <c r="CT210" i="14"/>
  <c r="DX223" i="14"/>
  <c r="DV224" i="14"/>
  <c r="DW224" i="14" s="1"/>
  <c r="CH140" i="14"/>
  <c r="CI140" i="14" s="1"/>
  <c r="CJ139" i="14"/>
  <c r="CC283" i="14"/>
  <c r="CD283" i="14" s="1"/>
  <c r="DX607" i="14"/>
  <c r="DV608" i="14"/>
  <c r="DW608" i="14" s="1"/>
  <c r="DV68" i="14"/>
  <c r="DW68" i="14" s="1"/>
  <c r="DX67" i="14"/>
  <c r="CO139" i="14"/>
  <c r="CM140" i="14"/>
  <c r="CN140" i="14" s="1"/>
  <c r="CC415" i="14"/>
  <c r="CD415" i="14" s="1"/>
  <c r="CM439" i="14"/>
  <c r="CN439" i="14" s="1"/>
  <c r="CO438" i="14"/>
  <c r="CH656" i="14"/>
  <c r="CI656" i="14" s="1"/>
  <c r="CJ655" i="14"/>
  <c r="CC631" i="14"/>
  <c r="CD631" i="14" s="1"/>
  <c r="DN403" i="14"/>
  <c r="DL404" i="14"/>
  <c r="DM404" i="14" s="1"/>
  <c r="DQ260" i="14"/>
  <c r="DR260" i="14" s="1"/>
  <c r="DS259" i="14"/>
  <c r="DQ403" i="14"/>
  <c r="DR403" i="14" s="1"/>
  <c r="DS402" i="14"/>
  <c r="DS666" i="14"/>
  <c r="DQ667" i="14"/>
  <c r="DR667" i="14" s="1"/>
  <c r="CY546" i="14"/>
  <c r="CW547" i="14"/>
  <c r="CX547" i="14" s="1"/>
  <c r="CM596" i="14"/>
  <c r="CN596" i="14" s="1"/>
  <c r="CO595" i="14"/>
  <c r="CT582" i="14"/>
  <c r="CR583" i="14"/>
  <c r="CS583" i="14" s="1"/>
  <c r="CH536" i="14"/>
  <c r="CI536" i="14" s="1"/>
  <c r="CJ535" i="14"/>
  <c r="EC319" i="14"/>
  <c r="EA320" i="14"/>
  <c r="EB320" i="14" s="1"/>
  <c r="DS678" i="14"/>
  <c r="DQ679" i="14"/>
  <c r="DR679" i="14" s="1"/>
  <c r="CC175" i="14"/>
  <c r="CD175" i="14" s="1"/>
  <c r="CY283" i="14"/>
  <c r="CW284" i="14"/>
  <c r="CX284" i="14" s="1"/>
  <c r="DX414" i="14"/>
  <c r="DV415" i="14"/>
  <c r="DW415" i="14" s="1"/>
  <c r="DG415" i="14"/>
  <c r="DH415" i="14" s="1"/>
  <c r="CE76" i="14"/>
  <c r="DI76" i="14"/>
  <c r="CJ76" i="14"/>
  <c r="CH77" i="14"/>
  <c r="CI77" i="14" s="1"/>
  <c r="CC77" i="14"/>
  <c r="CD77" i="14" s="1"/>
  <c r="CR77" i="14"/>
  <c r="CS77" i="14" s="1"/>
  <c r="CT76" i="14"/>
  <c r="DX76" i="14"/>
  <c r="DV77" i="14"/>
  <c r="DW77" i="14" s="1"/>
  <c r="CM77" i="14"/>
  <c r="CN77" i="14" s="1"/>
  <c r="CO76" i="14"/>
  <c r="EF76" i="14"/>
  <c r="EG76" i="14" s="1"/>
  <c r="EH75" i="14"/>
  <c r="EA77" i="14"/>
  <c r="EB77" i="14" s="1"/>
  <c r="EC76" i="14"/>
  <c r="DD76" i="14"/>
  <c r="DB77" i="14"/>
  <c r="DC77" i="14" s="1"/>
  <c r="DQ77" i="14"/>
  <c r="DR77" i="14" s="1"/>
  <c r="DS76" i="14"/>
  <c r="DL77" i="14"/>
  <c r="DM77" i="14" s="1"/>
  <c r="DN76" i="14"/>
  <c r="CY75" i="14"/>
  <c r="CW76" i="14"/>
  <c r="CX76" i="14" s="1"/>
  <c r="DG77" i="14"/>
  <c r="DH77" i="14" s="1"/>
  <c r="CE38" i="14"/>
  <c r="DV40" i="14"/>
  <c r="DW40" i="14" s="1"/>
  <c r="DX40" i="14" s="1"/>
  <c r="DQ40" i="14"/>
  <c r="DR40" i="14" s="1"/>
  <c r="DS40" i="14" s="1"/>
  <c r="EA40" i="14"/>
  <c r="EB40" i="14" s="1"/>
  <c r="EC40" i="14" s="1"/>
  <c r="EC39" i="14"/>
  <c r="DB39" i="14"/>
  <c r="DC39" i="14" s="1"/>
  <c r="DD38" i="14"/>
  <c r="CM40" i="14"/>
  <c r="CN40" i="14" s="1"/>
  <c r="CO40" i="14" s="1"/>
  <c r="CH39" i="14"/>
  <c r="CI39" i="14" s="1"/>
  <c r="CJ39" i="14" s="1"/>
  <c r="AJ20" i="43"/>
  <c r="E19" i="43" s="1"/>
  <c r="EF40" i="14"/>
  <c r="EG40" i="14" s="1"/>
  <c r="EH40" i="14" s="1"/>
  <c r="CW38" i="14"/>
  <c r="CX38" i="14" s="1"/>
  <c r="CY38" i="14" s="1"/>
  <c r="CC39" i="14"/>
  <c r="CD39" i="14" s="1"/>
  <c r="CR39" i="14"/>
  <c r="CS39" i="14" s="1"/>
  <c r="CT39" i="14" s="1"/>
  <c r="DL40" i="14"/>
  <c r="DM40" i="14" s="1"/>
  <c r="DN40" i="14" s="1"/>
  <c r="CE210" i="14" a="1"/>
  <c r="DI258" i="14" a="1"/>
  <c r="DI150" i="14" a="1"/>
  <c r="DI462" i="14" a="1"/>
  <c r="CE414" i="14" a="1"/>
  <c r="DI678" i="14" a="1"/>
  <c r="DI222" i="14" a="1"/>
  <c r="CE498" i="14" a="1"/>
  <c r="DI414" i="14" a="1"/>
  <c r="DI582" i="14" a="1"/>
  <c r="CE90" i="14" a="1"/>
  <c r="DI138" i="14" a="1"/>
  <c r="DI402" i="14" a="1"/>
  <c r="CE342" i="14" a="1"/>
  <c r="DI546" i="14" a="1"/>
  <c r="CE534" i="14" a="1"/>
  <c r="CE594" i="14" a="1"/>
  <c r="CE150" i="14" a="1"/>
  <c r="CE198" i="14" a="1"/>
  <c r="CE462" i="14" a="1"/>
  <c r="DI282" i="14" a="1"/>
  <c r="CE102" i="14" a="1"/>
  <c r="DI426" i="14" a="1"/>
  <c r="CE77" i="14" a="1"/>
  <c r="CE546" i="14" a="1"/>
  <c r="DI498" i="14" a="1"/>
  <c r="CE438" i="14" a="1"/>
  <c r="DI522" i="14" a="1"/>
  <c r="DI354" i="14" a="1"/>
  <c r="DI366" i="14" a="1"/>
  <c r="CE666" i="14" a="1"/>
  <c r="CE282" i="14" a="1"/>
  <c r="DI570" i="14" a="1"/>
  <c r="CE474" i="14" a="1"/>
  <c r="DI534" i="14" a="1"/>
  <c r="CE426" i="14" a="1"/>
  <c r="CE366" i="14" a="1"/>
  <c r="CE114" i="14" a="1"/>
  <c r="DI126" i="14" a="1"/>
  <c r="CE582" i="14" a="1"/>
  <c r="DI438" i="14" a="1"/>
  <c r="CE678" i="14" a="1"/>
  <c r="DI174" i="14" a="1"/>
  <c r="DI198" i="14" a="1"/>
  <c r="CE402" i="14" a="1"/>
  <c r="CE606" i="14" a="1"/>
  <c r="CE222" i="14" a="1"/>
  <c r="CE162" i="14" a="1"/>
  <c r="DI54" i="14" a="1"/>
  <c r="CE378" i="14" a="1"/>
  <c r="DI378" i="14" a="1"/>
  <c r="DI306" i="14" a="1"/>
  <c r="CE270" i="14" a="1"/>
  <c r="DI102" i="14" a="1"/>
  <c r="CE618" i="14" a="1"/>
  <c r="DI162" i="14" a="1"/>
  <c r="DI330" i="14" a="1"/>
  <c r="CE258" i="14" a="1"/>
  <c r="DI618" i="14" a="1"/>
  <c r="DI246" i="14" a="1"/>
  <c r="CE390" i="14" a="1"/>
  <c r="DI66" i="14" a="1"/>
  <c r="CE642" i="14" a="1"/>
  <c r="CE66" i="14" a="1"/>
  <c r="CE54" i="14" a="1"/>
  <c r="DI558" i="14" a="1"/>
  <c r="CE186" i="14" a="1"/>
  <c r="CE558" i="14" a="1"/>
  <c r="CE330" i="14" a="1"/>
  <c r="DI654" i="14" a="1"/>
  <c r="CE570" i="14" a="1"/>
  <c r="CE522" i="14" a="1"/>
  <c r="DI294" i="14" a="1"/>
  <c r="CE510" i="14" a="1"/>
  <c r="DI390" i="14" a="1"/>
  <c r="DI342" i="14" a="1"/>
  <c r="DI318" i="14" a="1"/>
  <c r="DI486" i="14" a="1"/>
  <c r="CE354" i="14" a="1"/>
  <c r="DI630" i="14" a="1"/>
  <c r="CE138" i="14" a="1"/>
  <c r="DI90" i="14" a="1"/>
  <c r="CE450" i="14" a="1"/>
  <c r="CE126" i="14" a="1"/>
  <c r="DI666" i="14" a="1"/>
  <c r="CE306" i="14" a="1"/>
  <c r="CE318" i="14" a="1"/>
  <c r="DI606" i="14" a="1"/>
  <c r="CE174" i="14" a="1"/>
  <c r="CE630" i="14" a="1"/>
  <c r="DI450" i="14" a="1"/>
  <c r="CE486" i="14" a="1"/>
  <c r="DI270" i="14" a="1"/>
  <c r="CE654" i="14" a="1"/>
  <c r="CE234" i="14" a="1"/>
  <c r="DI114" i="14" a="1"/>
  <c r="DI186" i="14" a="1"/>
  <c r="DI474" i="14" a="1"/>
  <c r="DI510" i="14" a="1"/>
  <c r="CE246" i="14" a="1"/>
  <c r="DI594" i="14" a="1"/>
  <c r="CE294" i="14" a="1"/>
  <c r="DI642" i="14" a="1"/>
  <c r="DI234" i="14" a="1"/>
  <c r="DI210" i="14" a="1"/>
  <c r="DI77" i="14" a="1"/>
  <c r="CE39" i="14" a="1"/>
  <c r="DI618" i="14" l="1"/>
  <c r="DI534" i="14"/>
  <c r="CE666" i="14"/>
  <c r="DI582" i="14"/>
  <c r="CE186" i="14"/>
  <c r="DI102" i="14"/>
  <c r="CE570" i="14"/>
  <c r="DI438" i="14"/>
  <c r="CE234" i="14"/>
  <c r="CE378" i="14"/>
  <c r="DI186" i="14"/>
  <c r="CE294" i="14"/>
  <c r="CE678" i="14"/>
  <c r="CE390" i="14"/>
  <c r="CE162" i="14"/>
  <c r="DI678" i="14"/>
  <c r="CE354" i="14"/>
  <c r="DI474" i="14"/>
  <c r="DI558" i="14"/>
  <c r="CE606" i="14"/>
  <c r="DI642" i="14"/>
  <c r="CE426" i="14"/>
  <c r="CE102" i="14"/>
  <c r="CE282" i="14"/>
  <c r="DI54" i="14"/>
  <c r="CE210" i="14"/>
  <c r="CE318" i="14"/>
  <c r="CE474" i="14"/>
  <c r="DI318" i="14"/>
  <c r="CE642" i="14"/>
  <c r="CE114" i="14"/>
  <c r="DI414" i="14"/>
  <c r="CE630" i="14"/>
  <c r="CE522" i="14"/>
  <c r="CE558" i="14"/>
  <c r="CE342" i="14"/>
  <c r="DI594" i="14"/>
  <c r="CE330" i="14"/>
  <c r="CE198" i="14"/>
  <c r="DI234" i="14"/>
  <c r="DI378" i="14"/>
  <c r="DI270" i="14"/>
  <c r="DI138" i="14"/>
  <c r="DI330" i="14"/>
  <c r="CE222" i="14"/>
  <c r="DI462" i="14"/>
  <c r="DI510" i="14"/>
  <c r="DI150" i="14"/>
  <c r="DI498" i="14"/>
  <c r="CE54" i="14"/>
  <c r="DI426" i="14"/>
  <c r="DI222" i="14"/>
  <c r="CE462" i="14"/>
  <c r="DI570" i="14"/>
  <c r="CE450" i="14"/>
  <c r="CE654" i="14"/>
  <c r="CE594" i="14"/>
  <c r="DI282" i="14"/>
  <c r="CE258" i="14"/>
  <c r="DI546" i="14"/>
  <c r="DI294" i="14"/>
  <c r="DI606" i="14"/>
  <c r="DI162" i="14"/>
  <c r="DI306" i="14"/>
  <c r="DI522" i="14"/>
  <c r="CE138" i="14"/>
  <c r="CE438" i="14"/>
  <c r="DI486" i="14"/>
  <c r="CE618" i="14"/>
  <c r="DI366" i="14"/>
  <c r="CE534" i="14"/>
  <c r="CE270" i="14"/>
  <c r="CE510" i="14"/>
  <c r="CE486" i="14"/>
  <c r="DI126" i="14"/>
  <c r="DI114" i="14"/>
  <c r="CE366" i="14"/>
  <c r="DI450" i="14"/>
  <c r="DI198" i="14"/>
  <c r="CE402" i="14"/>
  <c r="DI630" i="14"/>
  <c r="DI354" i="14"/>
  <c r="CE246" i="14"/>
  <c r="DI666" i="14"/>
  <c r="CE126" i="14"/>
  <c r="DI246" i="14"/>
  <c r="DI66" i="14"/>
  <c r="DI258" i="14"/>
  <c r="DI654" i="14"/>
  <c r="DI210" i="14"/>
  <c r="DI90" i="14"/>
  <c r="CE582" i="14"/>
  <c r="CE546" i="14"/>
  <c r="CE90" i="14"/>
  <c r="DI402" i="14"/>
  <c r="CE174" i="14"/>
  <c r="DI390" i="14"/>
  <c r="CE414" i="14"/>
  <c r="DI174" i="14"/>
  <c r="CE306" i="14"/>
  <c r="CE150" i="14"/>
  <c r="CE498" i="14"/>
  <c r="CE66" i="14"/>
  <c r="DI342" i="14"/>
  <c r="DN175" i="14"/>
  <c r="DL176" i="14"/>
  <c r="DM176" i="14" s="1"/>
  <c r="CR501" i="14"/>
  <c r="CS501" i="14" s="1"/>
  <c r="CT500" i="14"/>
  <c r="CR488" i="14"/>
  <c r="CS488" i="14" s="1"/>
  <c r="CT487" i="14"/>
  <c r="CM284" i="14"/>
  <c r="CN284" i="14" s="1"/>
  <c r="CO283" i="14"/>
  <c r="DG608" i="14"/>
  <c r="DH608" i="14" s="1"/>
  <c r="DQ680" i="14"/>
  <c r="DR680" i="14" s="1"/>
  <c r="DS679" i="14"/>
  <c r="CM141" i="14"/>
  <c r="CN141" i="14" s="1"/>
  <c r="CO140" i="14"/>
  <c r="CR608" i="14"/>
  <c r="CS608" i="14" s="1"/>
  <c r="CT607" i="14"/>
  <c r="DG428" i="14"/>
  <c r="DH428" i="14" s="1"/>
  <c r="CR224" i="14"/>
  <c r="CS224" i="14" s="1"/>
  <c r="CT223" i="14"/>
  <c r="EH416" i="14"/>
  <c r="EF417" i="14"/>
  <c r="EG417" i="14" s="1"/>
  <c r="CT368" i="14"/>
  <c r="CR369" i="14"/>
  <c r="CS369" i="14" s="1"/>
  <c r="CW596" i="14"/>
  <c r="CX596" i="14" s="1"/>
  <c r="CY595" i="14"/>
  <c r="CJ415" i="14"/>
  <c r="CH416" i="14"/>
  <c r="CI416" i="14" s="1"/>
  <c r="CT283" i="14"/>
  <c r="CR284" i="14"/>
  <c r="CS284" i="14" s="1"/>
  <c r="DG440" i="14"/>
  <c r="DH440" i="14" s="1"/>
  <c r="CO620" i="14"/>
  <c r="CM621" i="14"/>
  <c r="CN621" i="14" s="1"/>
  <c r="EF573" i="14"/>
  <c r="EG573" i="14" s="1"/>
  <c r="EH572" i="14"/>
  <c r="EC512" i="14"/>
  <c r="EA513" i="14"/>
  <c r="EB513" i="14" s="1"/>
  <c r="EA573" i="14"/>
  <c r="EB573" i="14" s="1"/>
  <c r="EC572" i="14"/>
  <c r="CT476" i="14"/>
  <c r="CR477" i="14"/>
  <c r="CS477" i="14" s="1"/>
  <c r="DB633" i="14"/>
  <c r="DC633" i="14" s="1"/>
  <c r="DD632" i="14"/>
  <c r="CR429" i="14"/>
  <c r="CS429" i="14" s="1"/>
  <c r="CT428" i="14"/>
  <c r="DG656" i="14"/>
  <c r="DH656" i="14" s="1"/>
  <c r="CJ680" i="14"/>
  <c r="CH681" i="14"/>
  <c r="CI681" i="14" s="1"/>
  <c r="CR128" i="14"/>
  <c r="CS128" i="14" s="1"/>
  <c r="CT127" i="14"/>
  <c r="DG632" i="14"/>
  <c r="DH632" i="14" s="1"/>
  <c r="EA392" i="14"/>
  <c r="EB392" i="14" s="1"/>
  <c r="EC391" i="14"/>
  <c r="CJ199" i="14"/>
  <c r="CH200" i="14"/>
  <c r="CI200" i="14" s="1"/>
  <c r="DG368" i="14"/>
  <c r="DH368" i="14" s="1"/>
  <c r="DX331" i="14"/>
  <c r="DV332" i="14"/>
  <c r="DW332" i="14" s="1"/>
  <c r="CC596" i="14"/>
  <c r="CD596" i="14" s="1"/>
  <c r="CM585" i="14"/>
  <c r="CN585" i="14" s="1"/>
  <c r="CO584" i="14"/>
  <c r="DB272" i="14"/>
  <c r="DC272" i="14" s="1"/>
  <c r="DD271" i="14"/>
  <c r="CT680" i="14"/>
  <c r="CR681" i="14"/>
  <c r="CS681" i="14" s="1"/>
  <c r="CJ607" i="14"/>
  <c r="CH608" i="14"/>
  <c r="CI608" i="14" s="1"/>
  <c r="EA224" i="14"/>
  <c r="EB224" i="14" s="1"/>
  <c r="EC223" i="14"/>
  <c r="EC235" i="14"/>
  <c r="EA236" i="14"/>
  <c r="EB236" i="14" s="1"/>
  <c r="DG284" i="14"/>
  <c r="DH284" i="14" s="1"/>
  <c r="DG644" i="14"/>
  <c r="DH644" i="14" s="1"/>
  <c r="CY200" i="14"/>
  <c r="CW201" i="14"/>
  <c r="CX201" i="14" s="1"/>
  <c r="DX440" i="14"/>
  <c r="DV441" i="14"/>
  <c r="DW441" i="14" s="1"/>
  <c r="DB513" i="14"/>
  <c r="DC513" i="14" s="1"/>
  <c r="DD512" i="14"/>
  <c r="DG320" i="14"/>
  <c r="DH320" i="14" s="1"/>
  <c r="CH440" i="14"/>
  <c r="CI440" i="14" s="1"/>
  <c r="CJ439" i="14"/>
  <c r="DS212" i="14"/>
  <c r="DQ213" i="14"/>
  <c r="DR213" i="14" s="1"/>
  <c r="DG212" i="14"/>
  <c r="DH212" i="14" s="1"/>
  <c r="EA177" i="14"/>
  <c r="EB177" i="14" s="1"/>
  <c r="EC176" i="14"/>
  <c r="CM657" i="14"/>
  <c r="CN657" i="14" s="1"/>
  <c r="CO656" i="14"/>
  <c r="CJ620" i="14"/>
  <c r="CH621" i="14"/>
  <c r="CI621" i="14" s="1"/>
  <c r="CR189" i="14"/>
  <c r="CS189" i="14" s="1"/>
  <c r="CT188" i="14"/>
  <c r="DG92" i="14"/>
  <c r="DH92" i="14" s="1"/>
  <c r="CY104" i="14"/>
  <c r="CW105" i="14"/>
  <c r="CX105" i="14" s="1"/>
  <c r="CR644" i="14"/>
  <c r="CS644" i="14" s="1"/>
  <c r="CT643" i="14"/>
  <c r="DG584" i="14"/>
  <c r="DH584" i="14" s="1"/>
  <c r="DV213" i="14"/>
  <c r="DW213" i="14" s="1"/>
  <c r="DX212" i="14"/>
  <c r="EA297" i="14"/>
  <c r="EB297" i="14" s="1"/>
  <c r="EC296" i="14"/>
  <c r="DN548" i="14"/>
  <c r="DL549" i="14"/>
  <c r="DM549" i="14" s="1"/>
  <c r="CR357" i="14"/>
  <c r="CS357" i="14" s="1"/>
  <c r="CT356" i="14"/>
  <c r="CY428" i="14"/>
  <c r="CW429" i="14"/>
  <c r="CX429" i="14" s="1"/>
  <c r="CJ164" i="14"/>
  <c r="CH165" i="14"/>
  <c r="CI165" i="14" s="1"/>
  <c r="CH633" i="14"/>
  <c r="CI633" i="14" s="1"/>
  <c r="CJ632" i="14"/>
  <c r="EC103" i="14"/>
  <c r="EA104" i="14"/>
  <c r="EB104" i="14" s="1"/>
  <c r="EF273" i="14"/>
  <c r="EG273" i="14" s="1"/>
  <c r="EH272" i="14"/>
  <c r="DB249" i="14"/>
  <c r="DC249" i="14" s="1"/>
  <c r="DD248" i="14"/>
  <c r="CT104" i="14"/>
  <c r="CR105" i="14"/>
  <c r="CS105" i="14" s="1"/>
  <c r="CM357" i="14"/>
  <c r="CN357" i="14" s="1"/>
  <c r="CO356" i="14"/>
  <c r="CT667" i="14"/>
  <c r="CR668" i="14"/>
  <c r="CS668" i="14" s="1"/>
  <c r="DL248" i="14"/>
  <c r="DM248" i="14" s="1"/>
  <c r="DN247" i="14"/>
  <c r="DD655" i="14"/>
  <c r="DB656" i="14"/>
  <c r="DC656" i="14" s="1"/>
  <c r="CJ128" i="14"/>
  <c r="CH129" i="14"/>
  <c r="CI129" i="14" s="1"/>
  <c r="DN212" i="14"/>
  <c r="DL213" i="14"/>
  <c r="DM213" i="14" s="1"/>
  <c r="CM296" i="14"/>
  <c r="CN296" i="14" s="1"/>
  <c r="CO295" i="14"/>
  <c r="EF596" i="14"/>
  <c r="EG596" i="14" s="1"/>
  <c r="EH595" i="14"/>
  <c r="CO427" i="14"/>
  <c r="CM428" i="14"/>
  <c r="CN428" i="14" s="1"/>
  <c r="CM609" i="14"/>
  <c r="CN609" i="14" s="1"/>
  <c r="CO608" i="14"/>
  <c r="CW561" i="14"/>
  <c r="CX561" i="14" s="1"/>
  <c r="CY560" i="14"/>
  <c r="CC392" i="14"/>
  <c r="CD392" i="14" s="1"/>
  <c r="EA332" i="14"/>
  <c r="EB332" i="14" s="1"/>
  <c r="EC331" i="14"/>
  <c r="CY175" i="14"/>
  <c r="CW176" i="14"/>
  <c r="CX176" i="14" s="1"/>
  <c r="DL644" i="14"/>
  <c r="DM644" i="14" s="1"/>
  <c r="DN643" i="14"/>
  <c r="DX115" i="14"/>
  <c r="DV116" i="14"/>
  <c r="DW116" i="14" s="1"/>
  <c r="CJ500" i="14"/>
  <c r="CH501" i="14"/>
  <c r="CI501" i="14" s="1"/>
  <c r="CO212" i="14"/>
  <c r="CM213" i="14"/>
  <c r="CN213" i="14" s="1"/>
  <c r="DS91" i="14"/>
  <c r="DQ92" i="14"/>
  <c r="DR92" i="14" s="1"/>
  <c r="DN55" i="14"/>
  <c r="DL56" i="14"/>
  <c r="DM56" i="14" s="1"/>
  <c r="CC164" i="14"/>
  <c r="CD164" i="14" s="1"/>
  <c r="DG680" i="14"/>
  <c r="DH680" i="14" s="1"/>
  <c r="DL117" i="14"/>
  <c r="DM117" i="14" s="1"/>
  <c r="DN116" i="14"/>
  <c r="CW512" i="14"/>
  <c r="CX512" i="14" s="1"/>
  <c r="CY511" i="14"/>
  <c r="CC356" i="14"/>
  <c r="CD356" i="14" s="1"/>
  <c r="EH536" i="14"/>
  <c r="EF537" i="14"/>
  <c r="EG537" i="14" s="1"/>
  <c r="CO344" i="14"/>
  <c r="CM345" i="14"/>
  <c r="CN345" i="14" s="1"/>
  <c r="DG476" i="14"/>
  <c r="DH476" i="14" s="1"/>
  <c r="DG560" i="14"/>
  <c r="DH560" i="14" s="1"/>
  <c r="EC140" i="14"/>
  <c r="EA141" i="14"/>
  <c r="EB141" i="14" s="1"/>
  <c r="CC608" i="14"/>
  <c r="CD608" i="14" s="1"/>
  <c r="CW225" i="14"/>
  <c r="CX225" i="14" s="1"/>
  <c r="CY224" i="14"/>
  <c r="CR572" i="14"/>
  <c r="CS572" i="14" s="1"/>
  <c r="CT571" i="14"/>
  <c r="CO487" i="14"/>
  <c r="CM488" i="14"/>
  <c r="CN488" i="14" s="1"/>
  <c r="EF488" i="14"/>
  <c r="EG488" i="14" s="1"/>
  <c r="EH487" i="14"/>
  <c r="CW309" i="14"/>
  <c r="CX309" i="14" s="1"/>
  <c r="CY308" i="14"/>
  <c r="DL309" i="14"/>
  <c r="DM309" i="14" s="1"/>
  <c r="DN308" i="14"/>
  <c r="CJ236" i="14"/>
  <c r="CH237" i="14"/>
  <c r="CI237" i="14" s="1"/>
  <c r="CC548" i="14"/>
  <c r="CD548" i="14" s="1"/>
  <c r="EA584" i="14"/>
  <c r="EB584" i="14" s="1"/>
  <c r="EC583" i="14"/>
  <c r="DS295" i="14"/>
  <c r="DQ296" i="14"/>
  <c r="DR296" i="14" s="1"/>
  <c r="DS631" i="14"/>
  <c r="DQ632" i="14"/>
  <c r="DR632" i="14" s="1"/>
  <c r="DL297" i="14"/>
  <c r="DM297" i="14" s="1"/>
  <c r="DN296" i="14"/>
  <c r="EF129" i="14"/>
  <c r="EG129" i="14" s="1"/>
  <c r="EH128" i="14"/>
  <c r="EF213" i="14"/>
  <c r="EG213" i="14" s="1"/>
  <c r="EH212" i="14"/>
  <c r="EA213" i="14"/>
  <c r="EB213" i="14" s="1"/>
  <c r="EC212" i="14"/>
  <c r="DQ465" i="14"/>
  <c r="DR465" i="14" s="1"/>
  <c r="DS464" i="14"/>
  <c r="DX379" i="14"/>
  <c r="DV380" i="14"/>
  <c r="DW380" i="14" s="1"/>
  <c r="DB428" i="14"/>
  <c r="DC428" i="14" s="1"/>
  <c r="DD427" i="14"/>
  <c r="DL621" i="14"/>
  <c r="DM621" i="14" s="1"/>
  <c r="DN620" i="14"/>
  <c r="DV549" i="14"/>
  <c r="DW549" i="14" s="1"/>
  <c r="DX548" i="14"/>
  <c r="EA441" i="14"/>
  <c r="EB441" i="14" s="1"/>
  <c r="EC440" i="14"/>
  <c r="DS200" i="14"/>
  <c r="DQ201" i="14"/>
  <c r="DR201" i="14" s="1"/>
  <c r="DL441" i="14"/>
  <c r="DM441" i="14" s="1"/>
  <c r="DN440" i="14"/>
  <c r="EF237" i="14"/>
  <c r="EG237" i="14" s="1"/>
  <c r="EH236" i="14"/>
  <c r="CC380" i="14"/>
  <c r="CD380" i="14" s="1"/>
  <c r="DN584" i="14"/>
  <c r="DL585" i="14"/>
  <c r="DM585" i="14" s="1"/>
  <c r="DB116" i="14"/>
  <c r="DC116" i="14" s="1"/>
  <c r="DD115" i="14"/>
  <c r="DG188" i="14"/>
  <c r="DH188" i="14" s="1"/>
  <c r="EH343" i="14"/>
  <c r="EF344" i="14"/>
  <c r="EG344" i="14" s="1"/>
  <c r="CO163" i="14"/>
  <c r="CM164" i="14"/>
  <c r="CN164" i="14" s="1"/>
  <c r="CJ451" i="14"/>
  <c r="CH452" i="14"/>
  <c r="CI452" i="14" s="1"/>
  <c r="DQ453" i="14"/>
  <c r="DR453" i="14" s="1"/>
  <c r="DS452" i="14"/>
  <c r="CC296" i="14"/>
  <c r="CD296" i="14" s="1"/>
  <c r="EC488" i="14"/>
  <c r="EA489" i="14"/>
  <c r="EB489" i="14" s="1"/>
  <c r="CT319" i="14"/>
  <c r="CR320" i="14"/>
  <c r="CS320" i="14" s="1"/>
  <c r="DV644" i="14"/>
  <c r="DW644" i="14" s="1"/>
  <c r="DX643" i="14"/>
  <c r="DD260" i="14"/>
  <c r="DB261" i="14"/>
  <c r="DC261" i="14" s="1"/>
  <c r="EH247" i="14"/>
  <c r="EF248" i="14"/>
  <c r="EG248" i="14" s="1"/>
  <c r="CY679" i="14"/>
  <c r="CW680" i="14"/>
  <c r="CX680" i="14" s="1"/>
  <c r="EF153" i="14"/>
  <c r="EG153" i="14" s="1"/>
  <c r="EH152" i="14"/>
  <c r="CC680" i="14"/>
  <c r="CD680" i="14" s="1"/>
  <c r="DQ404" i="14"/>
  <c r="DR404" i="14" s="1"/>
  <c r="DS403" i="14"/>
  <c r="EF284" i="14"/>
  <c r="EG284" i="14" s="1"/>
  <c r="EH283" i="14"/>
  <c r="DD344" i="14"/>
  <c r="DB345" i="14"/>
  <c r="DC345" i="14" s="1"/>
  <c r="CC668" i="14"/>
  <c r="CD668" i="14" s="1"/>
  <c r="CC188" i="14"/>
  <c r="CD188" i="14" s="1"/>
  <c r="CC572" i="14"/>
  <c r="CD572" i="14" s="1"/>
  <c r="DS440" i="14"/>
  <c r="DQ441" i="14"/>
  <c r="DR441" i="14" s="1"/>
  <c r="DL225" i="14"/>
  <c r="DM225" i="14" s="1"/>
  <c r="DN224" i="14"/>
  <c r="EC127" i="14"/>
  <c r="EA128" i="14"/>
  <c r="EB128" i="14" s="1"/>
  <c r="CJ595" i="14"/>
  <c r="CH596" i="14"/>
  <c r="CI596" i="14" s="1"/>
  <c r="DQ560" i="14"/>
  <c r="DR560" i="14" s="1"/>
  <c r="DS559" i="14"/>
  <c r="EF668" i="14"/>
  <c r="EG668" i="14" s="1"/>
  <c r="EH667" i="14"/>
  <c r="DN283" i="14"/>
  <c r="DL284" i="14"/>
  <c r="DM284" i="14" s="1"/>
  <c r="DG224" i="14"/>
  <c r="DH224" i="14" s="1"/>
  <c r="EC679" i="14"/>
  <c r="EA680" i="14"/>
  <c r="EB680" i="14" s="1"/>
  <c r="DS391" i="14"/>
  <c r="DQ392" i="14"/>
  <c r="DR392" i="14" s="1"/>
  <c r="CO175" i="14"/>
  <c r="CM176" i="14"/>
  <c r="CN176" i="14" s="1"/>
  <c r="CT559" i="14"/>
  <c r="CR560" i="14"/>
  <c r="CS560" i="14" s="1"/>
  <c r="CC428" i="14"/>
  <c r="CD428" i="14" s="1"/>
  <c r="DX608" i="14"/>
  <c r="DV609" i="14"/>
  <c r="DW609" i="14" s="1"/>
  <c r="EH452" i="14"/>
  <c r="EF453" i="14"/>
  <c r="EG453" i="14" s="1"/>
  <c r="EF585" i="14"/>
  <c r="EG585" i="14" s="1"/>
  <c r="EH584" i="14"/>
  <c r="CO319" i="14"/>
  <c r="CM320" i="14"/>
  <c r="CN320" i="14" s="1"/>
  <c r="CW261" i="14"/>
  <c r="CX261" i="14" s="1"/>
  <c r="CY260" i="14"/>
  <c r="CH537" i="14"/>
  <c r="CI537" i="14" s="1"/>
  <c r="CJ536" i="14"/>
  <c r="CO452" i="14"/>
  <c r="CM453" i="14"/>
  <c r="CN453" i="14" s="1"/>
  <c r="DN331" i="14"/>
  <c r="DL332" i="14"/>
  <c r="DM332" i="14" s="1"/>
  <c r="CJ475" i="14"/>
  <c r="CH476" i="14"/>
  <c r="CI476" i="14" s="1"/>
  <c r="DG416" i="14"/>
  <c r="DH416" i="14" s="1"/>
  <c r="CR584" i="14"/>
  <c r="CS584" i="14" s="1"/>
  <c r="CT583" i="14"/>
  <c r="EC643" i="14"/>
  <c r="EA644" i="14"/>
  <c r="EB644" i="14" s="1"/>
  <c r="EH332" i="14"/>
  <c r="EF333" i="14"/>
  <c r="EG333" i="14" s="1"/>
  <c r="CJ116" i="14"/>
  <c r="CH117" i="14"/>
  <c r="CI117" i="14" s="1"/>
  <c r="CY404" i="14"/>
  <c r="CW405" i="14"/>
  <c r="CX405" i="14" s="1"/>
  <c r="DS152" i="14"/>
  <c r="DQ153" i="14"/>
  <c r="DR153" i="14" s="1"/>
  <c r="DN559" i="14"/>
  <c r="DL560" i="14"/>
  <c r="DM560" i="14" s="1"/>
  <c r="CJ428" i="14"/>
  <c r="CH429" i="14"/>
  <c r="CI429" i="14" s="1"/>
  <c r="DL476" i="14"/>
  <c r="DM476" i="14" s="1"/>
  <c r="DN475" i="14"/>
  <c r="DL681" i="14"/>
  <c r="DM681" i="14" s="1"/>
  <c r="DN680" i="14"/>
  <c r="DV248" i="14"/>
  <c r="DW248" i="14" s="1"/>
  <c r="DX247" i="14"/>
  <c r="EH464" i="14"/>
  <c r="EF465" i="14"/>
  <c r="EG465" i="14" s="1"/>
  <c r="DS331" i="14"/>
  <c r="DQ332" i="14"/>
  <c r="DR332" i="14" s="1"/>
  <c r="CJ487" i="14"/>
  <c r="CH488" i="14"/>
  <c r="CI488" i="14" s="1"/>
  <c r="CO248" i="14"/>
  <c r="CM249" i="14"/>
  <c r="CN249" i="14" s="1"/>
  <c r="CM69" i="14"/>
  <c r="CN69" i="14" s="1"/>
  <c r="CO68" i="14"/>
  <c r="DX476" i="14"/>
  <c r="DV477" i="14"/>
  <c r="DW477" i="14" s="1"/>
  <c r="DB621" i="14"/>
  <c r="DC621" i="14" s="1"/>
  <c r="DD620" i="14"/>
  <c r="DV345" i="14"/>
  <c r="DW345" i="14" s="1"/>
  <c r="DX344" i="14"/>
  <c r="EC451" i="14"/>
  <c r="EA452" i="14"/>
  <c r="EB452" i="14" s="1"/>
  <c r="DL608" i="14"/>
  <c r="DM608" i="14" s="1"/>
  <c r="DN607" i="14"/>
  <c r="DB225" i="14"/>
  <c r="DC225" i="14" s="1"/>
  <c r="DD224" i="14"/>
  <c r="DD187" i="14"/>
  <c r="DB188" i="14"/>
  <c r="DC188" i="14" s="1"/>
  <c r="CM333" i="14"/>
  <c r="CN333" i="14" s="1"/>
  <c r="CO332" i="14"/>
  <c r="DN151" i="14"/>
  <c r="DL152" i="14"/>
  <c r="DM152" i="14" s="1"/>
  <c r="CO415" i="14"/>
  <c r="CM416" i="14"/>
  <c r="CN416" i="14" s="1"/>
  <c r="CY235" i="14"/>
  <c r="CW236" i="14"/>
  <c r="CX236" i="14" s="1"/>
  <c r="EF68" i="14"/>
  <c r="EG68" i="14" s="1"/>
  <c r="EH67" i="14"/>
  <c r="CH92" i="14"/>
  <c r="CI92" i="14" s="1"/>
  <c r="CJ91" i="14"/>
  <c r="CC560" i="14"/>
  <c r="CD560" i="14" s="1"/>
  <c r="CH404" i="14"/>
  <c r="CI404" i="14" s="1"/>
  <c r="CJ403" i="14"/>
  <c r="DS248" i="14"/>
  <c r="DQ249" i="14"/>
  <c r="DR249" i="14" s="1"/>
  <c r="CY524" i="14"/>
  <c r="CW525" i="14"/>
  <c r="CX525" i="14" s="1"/>
  <c r="DN655" i="14"/>
  <c r="DL656" i="14"/>
  <c r="DM656" i="14" s="1"/>
  <c r="DD560" i="14"/>
  <c r="DB561" i="14"/>
  <c r="DC561" i="14" s="1"/>
  <c r="EC536" i="14"/>
  <c r="EA537" i="14"/>
  <c r="EB537" i="14" s="1"/>
  <c r="CT404" i="14"/>
  <c r="CR405" i="14"/>
  <c r="CS405" i="14" s="1"/>
  <c r="CY127" i="14"/>
  <c r="CW128" i="14"/>
  <c r="CX128" i="14" s="1"/>
  <c r="DV464" i="14"/>
  <c r="DW464" i="14" s="1"/>
  <c r="DX463" i="14"/>
  <c r="DL261" i="14"/>
  <c r="DM261" i="14" s="1"/>
  <c r="DN260" i="14"/>
  <c r="CY151" i="14"/>
  <c r="CW152" i="14"/>
  <c r="CX152" i="14" s="1"/>
  <c r="CM153" i="14"/>
  <c r="CN153" i="14" s="1"/>
  <c r="CO152" i="14"/>
  <c r="CH464" i="14"/>
  <c r="CI464" i="14" s="1"/>
  <c r="CJ463" i="14"/>
  <c r="CO199" i="14"/>
  <c r="CM200" i="14"/>
  <c r="CN200" i="14" s="1"/>
  <c r="CW465" i="14"/>
  <c r="CX465" i="14" s="1"/>
  <c r="CY464" i="14"/>
  <c r="DQ429" i="14"/>
  <c r="DR429" i="14" s="1"/>
  <c r="DS428" i="14"/>
  <c r="EC307" i="14"/>
  <c r="EA308" i="14"/>
  <c r="EB308" i="14" s="1"/>
  <c r="CY668" i="14"/>
  <c r="CW669" i="14"/>
  <c r="CX669" i="14" s="1"/>
  <c r="DG104" i="14"/>
  <c r="DH104" i="14" s="1"/>
  <c r="CO404" i="14"/>
  <c r="CM405" i="14"/>
  <c r="CN405" i="14" s="1"/>
  <c r="CY164" i="14"/>
  <c r="CW165" i="14"/>
  <c r="CX165" i="14" s="1"/>
  <c r="CC644" i="14"/>
  <c r="CD644" i="14" s="1"/>
  <c r="CC536" i="14"/>
  <c r="CD536" i="14" s="1"/>
  <c r="CH104" i="14"/>
  <c r="CI104" i="14" s="1"/>
  <c r="CJ103" i="14"/>
  <c r="EF164" i="14"/>
  <c r="EG164" i="14" s="1"/>
  <c r="EH163" i="14"/>
  <c r="DQ488" i="14"/>
  <c r="DR488" i="14" s="1"/>
  <c r="DS487" i="14"/>
  <c r="CC272" i="14"/>
  <c r="CD272" i="14" s="1"/>
  <c r="CT116" i="14"/>
  <c r="CR117" i="14"/>
  <c r="CS117" i="14" s="1"/>
  <c r="CC332" i="14"/>
  <c r="CD332" i="14" s="1"/>
  <c r="DV489" i="14"/>
  <c r="DW489" i="14" s="1"/>
  <c r="DX488" i="14"/>
  <c r="CC632" i="14"/>
  <c r="CD632" i="14" s="1"/>
  <c r="DX620" i="14"/>
  <c r="DV621" i="14"/>
  <c r="DW621" i="14" s="1"/>
  <c r="CO56" i="14"/>
  <c r="CM57" i="14"/>
  <c r="CN57" i="14" s="1"/>
  <c r="CY487" i="14"/>
  <c r="CW488" i="14"/>
  <c r="CX488" i="14" s="1"/>
  <c r="CC524" i="14"/>
  <c r="CD524" i="14" s="1"/>
  <c r="DD463" i="14"/>
  <c r="DB464" i="14"/>
  <c r="DC464" i="14" s="1"/>
  <c r="EH620" i="14"/>
  <c r="EF621" i="14"/>
  <c r="EG621" i="14" s="1"/>
  <c r="DQ476" i="14"/>
  <c r="DR476" i="14" s="1"/>
  <c r="DS475" i="14"/>
  <c r="CC284" i="14"/>
  <c r="CD284" i="14" s="1"/>
  <c r="EF321" i="14"/>
  <c r="EG321" i="14" s="1"/>
  <c r="EH320" i="14"/>
  <c r="DV405" i="14"/>
  <c r="DW405" i="14" s="1"/>
  <c r="DX404" i="14"/>
  <c r="EA69" i="14"/>
  <c r="EB69" i="14" s="1"/>
  <c r="EC68" i="14"/>
  <c r="CT535" i="14"/>
  <c r="CR536" i="14"/>
  <c r="CS536" i="14" s="1"/>
  <c r="CO260" i="14"/>
  <c r="CM261" i="14"/>
  <c r="CN261" i="14" s="1"/>
  <c r="CC116" i="14"/>
  <c r="CD116" i="14" s="1"/>
  <c r="CH260" i="14"/>
  <c r="CI260" i="14" s="1"/>
  <c r="CJ259" i="14"/>
  <c r="CY608" i="14"/>
  <c r="CW609" i="14"/>
  <c r="CX609" i="14" s="1"/>
  <c r="DD91" i="14"/>
  <c r="DB92" i="14"/>
  <c r="DC92" i="14" s="1"/>
  <c r="DG56" i="14"/>
  <c r="DH56" i="14" s="1"/>
  <c r="DX296" i="14"/>
  <c r="DV297" i="14"/>
  <c r="DW297" i="14" s="1"/>
  <c r="DN415" i="14"/>
  <c r="DL416" i="14"/>
  <c r="DM416" i="14" s="1"/>
  <c r="DN524" i="14"/>
  <c r="DL525" i="14"/>
  <c r="DM525" i="14" s="1"/>
  <c r="CT152" i="14"/>
  <c r="CR153" i="14"/>
  <c r="CS153" i="14" s="1"/>
  <c r="DQ237" i="14"/>
  <c r="DR237" i="14" s="1"/>
  <c r="DS236" i="14"/>
  <c r="CC212" i="14"/>
  <c r="CD212" i="14" s="1"/>
  <c r="EH223" i="14"/>
  <c r="EF224" i="14"/>
  <c r="EG224" i="14" s="1"/>
  <c r="CO379" i="14"/>
  <c r="CM380" i="14"/>
  <c r="CN380" i="14" s="1"/>
  <c r="EA248" i="14"/>
  <c r="EB248" i="14" s="1"/>
  <c r="EC247" i="14"/>
  <c r="EC56" i="14"/>
  <c r="EA57" i="14"/>
  <c r="EB57" i="14" s="1"/>
  <c r="CY55" i="14"/>
  <c r="CW56" i="14"/>
  <c r="CX56" i="14" s="1"/>
  <c r="DL368" i="14"/>
  <c r="DM368" i="14" s="1"/>
  <c r="DN367" i="14"/>
  <c r="DN392" i="14"/>
  <c r="DL393" i="14"/>
  <c r="DM393" i="14" s="1"/>
  <c r="CW117" i="14"/>
  <c r="CX117" i="14" s="1"/>
  <c r="CY116" i="14"/>
  <c r="EF512" i="14"/>
  <c r="EG512" i="14" s="1"/>
  <c r="EH511" i="14"/>
  <c r="EH116" i="14"/>
  <c r="EF117" i="14"/>
  <c r="EG117" i="14" s="1"/>
  <c r="DD523" i="14"/>
  <c r="DB524" i="14"/>
  <c r="DC524" i="14" s="1"/>
  <c r="DV453" i="14"/>
  <c r="DW453" i="14" s="1"/>
  <c r="DX452" i="14"/>
  <c r="CC320" i="14"/>
  <c r="CD320" i="14" s="1"/>
  <c r="CR441" i="14"/>
  <c r="CS441" i="14" s="1"/>
  <c r="CT440" i="14"/>
  <c r="DB476" i="14"/>
  <c r="DC476" i="14" s="1"/>
  <c r="DD475" i="14"/>
  <c r="CC476" i="14"/>
  <c r="CD476" i="14" s="1"/>
  <c r="DQ584" i="14"/>
  <c r="DR584" i="14" s="1"/>
  <c r="DS583" i="14"/>
  <c r="DQ368" i="14"/>
  <c r="DR368" i="14" s="1"/>
  <c r="DS367" i="14"/>
  <c r="DB152" i="14"/>
  <c r="DC152" i="14" s="1"/>
  <c r="DD151" i="14"/>
  <c r="EF297" i="14"/>
  <c r="EG297" i="14" s="1"/>
  <c r="EH296" i="14"/>
  <c r="DL321" i="14"/>
  <c r="DM321" i="14" s="1"/>
  <c r="DN320" i="14"/>
  <c r="DS68" i="14"/>
  <c r="DQ69" i="14"/>
  <c r="DR69" i="14" s="1"/>
  <c r="DL573" i="14"/>
  <c r="DM573" i="14" s="1"/>
  <c r="DN572" i="14"/>
  <c r="DV429" i="14"/>
  <c r="DW429" i="14" s="1"/>
  <c r="DX428" i="14"/>
  <c r="EC320" i="14"/>
  <c r="EA321" i="14"/>
  <c r="EB321" i="14" s="1"/>
  <c r="EA500" i="14"/>
  <c r="EB500" i="14" s="1"/>
  <c r="EC499" i="14"/>
  <c r="CC104" i="14"/>
  <c r="CD104" i="14" s="1"/>
  <c r="DG596" i="14"/>
  <c r="DH596" i="14" s="1"/>
  <c r="DB416" i="14"/>
  <c r="DC416" i="14" s="1"/>
  <c r="DD415" i="14"/>
  <c r="CW249" i="14"/>
  <c r="CX249" i="14" s="1"/>
  <c r="CY248" i="14"/>
  <c r="CR417" i="14"/>
  <c r="CS417" i="14" s="1"/>
  <c r="CT416" i="14"/>
  <c r="DQ524" i="14"/>
  <c r="DR524" i="14" s="1"/>
  <c r="DS523" i="14"/>
  <c r="EF368" i="14"/>
  <c r="EG368" i="14" s="1"/>
  <c r="EH367" i="14"/>
  <c r="EC259" i="14"/>
  <c r="EA260" i="14"/>
  <c r="EB260" i="14" s="1"/>
  <c r="DN404" i="14"/>
  <c r="DL405" i="14"/>
  <c r="DM405" i="14" s="1"/>
  <c r="CW357" i="14"/>
  <c r="CX357" i="14" s="1"/>
  <c r="CY356" i="14"/>
  <c r="EC416" i="14"/>
  <c r="EA417" i="14"/>
  <c r="EB417" i="14" s="1"/>
  <c r="EA632" i="14"/>
  <c r="EB632" i="14" s="1"/>
  <c r="EC631" i="14"/>
  <c r="DD140" i="14"/>
  <c r="DB141" i="14"/>
  <c r="DC141" i="14" s="1"/>
  <c r="EA404" i="14"/>
  <c r="EB404" i="14" s="1"/>
  <c r="EC403" i="14"/>
  <c r="DG164" i="14"/>
  <c r="DH164" i="14" s="1"/>
  <c r="DV416" i="14"/>
  <c r="DW416" i="14" s="1"/>
  <c r="DX415" i="14"/>
  <c r="EC272" i="14"/>
  <c r="EA273" i="14"/>
  <c r="EB273" i="14" s="1"/>
  <c r="EF609" i="14"/>
  <c r="EG609" i="14" s="1"/>
  <c r="EH608" i="14"/>
  <c r="DN236" i="14"/>
  <c r="DL237" i="14"/>
  <c r="DM237" i="14" s="1"/>
  <c r="CR261" i="14"/>
  <c r="CS261" i="14" s="1"/>
  <c r="CT260" i="14"/>
  <c r="DX356" i="14"/>
  <c r="DV357" i="14"/>
  <c r="DW357" i="14" s="1"/>
  <c r="DV260" i="14"/>
  <c r="DW260" i="14" s="1"/>
  <c r="DX259" i="14"/>
  <c r="DD535" i="14"/>
  <c r="DB536" i="14"/>
  <c r="DC536" i="14" s="1"/>
  <c r="CC92" i="14"/>
  <c r="CD92" i="14" s="1"/>
  <c r="DV140" i="14"/>
  <c r="DW140" i="14" s="1"/>
  <c r="DX139" i="14"/>
  <c r="DB489" i="14"/>
  <c r="DC489" i="14" s="1"/>
  <c r="DD488" i="14"/>
  <c r="CW189" i="14"/>
  <c r="CX189" i="14" s="1"/>
  <c r="CY188" i="14"/>
  <c r="DN488" i="14"/>
  <c r="DL489" i="14"/>
  <c r="DM489" i="14" s="1"/>
  <c r="EH560" i="14"/>
  <c r="EF561" i="14"/>
  <c r="EG561" i="14" s="1"/>
  <c r="DG404" i="14"/>
  <c r="DH404" i="14" s="1"/>
  <c r="DS416" i="14"/>
  <c r="DQ417" i="14"/>
  <c r="DR417" i="14" s="1"/>
  <c r="CC464" i="14"/>
  <c r="CD464" i="14" s="1"/>
  <c r="CR201" i="14"/>
  <c r="CS201" i="14" s="1"/>
  <c r="CT200" i="14"/>
  <c r="CY295" i="14"/>
  <c r="CW296" i="14"/>
  <c r="CX296" i="14" s="1"/>
  <c r="CO559" i="14"/>
  <c r="CM560" i="14"/>
  <c r="CN560" i="14" s="1"/>
  <c r="DL273" i="14"/>
  <c r="DM273" i="14" s="1"/>
  <c r="DN272" i="14"/>
  <c r="EA200" i="14"/>
  <c r="EB200" i="14" s="1"/>
  <c r="EC199" i="14"/>
  <c r="EH679" i="14"/>
  <c r="EF680" i="14"/>
  <c r="EG680" i="14" s="1"/>
  <c r="DV308" i="14"/>
  <c r="DW308" i="14" s="1"/>
  <c r="DX307" i="14"/>
  <c r="CT55" i="14"/>
  <c r="CR56" i="14"/>
  <c r="CS56" i="14" s="1"/>
  <c r="DG572" i="14"/>
  <c r="DH572" i="14" s="1"/>
  <c r="DV153" i="14"/>
  <c r="DW153" i="14" s="1"/>
  <c r="DX152" i="14"/>
  <c r="EC595" i="14"/>
  <c r="EA596" i="14"/>
  <c r="EB596" i="14" s="1"/>
  <c r="CC452" i="14"/>
  <c r="CD452" i="14" s="1"/>
  <c r="CC656" i="14"/>
  <c r="CD656" i="14" s="1"/>
  <c r="DQ344" i="14"/>
  <c r="DR344" i="14" s="1"/>
  <c r="DS343" i="14"/>
  <c r="DV189" i="14"/>
  <c r="DW189" i="14" s="1"/>
  <c r="DX188" i="14"/>
  <c r="DD668" i="14"/>
  <c r="DB669" i="14"/>
  <c r="DC669" i="14" s="1"/>
  <c r="CW620" i="14"/>
  <c r="CX620" i="14" s="1"/>
  <c r="CY619" i="14"/>
  <c r="CO272" i="14"/>
  <c r="CM273" i="14"/>
  <c r="CN273" i="14" s="1"/>
  <c r="DD199" i="14"/>
  <c r="DB200" i="14"/>
  <c r="DC200" i="14" s="1"/>
  <c r="CY331" i="14"/>
  <c r="CW332" i="14"/>
  <c r="CX332" i="14" s="1"/>
  <c r="CY212" i="14"/>
  <c r="CW213" i="14"/>
  <c r="CX213" i="14" s="1"/>
  <c r="CO536" i="14"/>
  <c r="CM537" i="14"/>
  <c r="CN537" i="14" s="1"/>
  <c r="DQ177" i="14"/>
  <c r="DR177" i="14" s="1"/>
  <c r="DS176" i="14"/>
  <c r="DS56" i="14"/>
  <c r="DQ57" i="14"/>
  <c r="DR57" i="14" s="1"/>
  <c r="CY139" i="14"/>
  <c r="CW140" i="14"/>
  <c r="CX140" i="14" s="1"/>
  <c r="CJ332" i="14"/>
  <c r="CH333" i="14"/>
  <c r="CI333" i="14" s="1"/>
  <c r="DD319" i="14"/>
  <c r="DB320" i="14"/>
  <c r="DC320" i="14" s="1"/>
  <c r="CJ319" i="14"/>
  <c r="CH320" i="14"/>
  <c r="CI320" i="14" s="1"/>
  <c r="DV584" i="14"/>
  <c r="DW584" i="14" s="1"/>
  <c r="DX583" i="14"/>
  <c r="DG356" i="14"/>
  <c r="DH356" i="14" s="1"/>
  <c r="DS319" i="14"/>
  <c r="DQ320" i="14"/>
  <c r="DR320" i="14" s="1"/>
  <c r="CC260" i="14"/>
  <c r="CD260" i="14" s="1"/>
  <c r="DV177" i="14"/>
  <c r="DW177" i="14" s="1"/>
  <c r="DX176" i="14"/>
  <c r="CH272" i="14"/>
  <c r="CI272" i="14" s="1"/>
  <c r="CJ271" i="14"/>
  <c r="DD127" i="14"/>
  <c r="DB128" i="14"/>
  <c r="DC128" i="14" s="1"/>
  <c r="CJ56" i="14"/>
  <c r="CH57" i="14"/>
  <c r="CI57" i="14" s="1"/>
  <c r="DL464" i="14"/>
  <c r="DM464" i="14" s="1"/>
  <c r="DN463" i="14"/>
  <c r="DN355" i="14"/>
  <c r="DL356" i="14"/>
  <c r="DM356" i="14" s="1"/>
  <c r="DG236" i="14"/>
  <c r="DH236" i="14" s="1"/>
  <c r="DG140" i="14"/>
  <c r="DH140" i="14" s="1"/>
  <c r="DG332" i="14"/>
  <c r="DH332" i="14" s="1"/>
  <c r="EC523" i="14"/>
  <c r="EA524" i="14"/>
  <c r="EB524" i="14" s="1"/>
  <c r="CC224" i="14"/>
  <c r="CD224" i="14" s="1"/>
  <c r="DG464" i="14"/>
  <c r="DH464" i="14" s="1"/>
  <c r="CY319" i="14"/>
  <c r="CW320" i="14"/>
  <c r="CX320" i="14" s="1"/>
  <c r="DV633" i="14"/>
  <c r="DW633" i="14" s="1"/>
  <c r="DX632" i="14"/>
  <c r="CJ523" i="14"/>
  <c r="CH524" i="14"/>
  <c r="CI524" i="14" s="1"/>
  <c r="DB500" i="14"/>
  <c r="DC500" i="14" s="1"/>
  <c r="DD499" i="14"/>
  <c r="CO463" i="14"/>
  <c r="CM464" i="14"/>
  <c r="CN464" i="14" s="1"/>
  <c r="DD103" i="14"/>
  <c r="DB104" i="14"/>
  <c r="DC104" i="14" s="1"/>
  <c r="CR657" i="14"/>
  <c r="CS657" i="14" s="1"/>
  <c r="CT656" i="14"/>
  <c r="DN127" i="14"/>
  <c r="DL128" i="14"/>
  <c r="DM128" i="14" s="1"/>
  <c r="DG512" i="14"/>
  <c r="DH512" i="14" s="1"/>
  <c r="CY643" i="14"/>
  <c r="CW644" i="14"/>
  <c r="CX644" i="14" s="1"/>
  <c r="EF525" i="14"/>
  <c r="EG525" i="14" s="1"/>
  <c r="EH524" i="14"/>
  <c r="DG152" i="14"/>
  <c r="DH152" i="14" s="1"/>
  <c r="DQ501" i="14"/>
  <c r="DR501" i="14" s="1"/>
  <c r="DS500" i="14"/>
  <c r="DD284" i="14"/>
  <c r="DB285" i="14"/>
  <c r="DC285" i="14" s="1"/>
  <c r="DN187" i="14"/>
  <c r="DL188" i="14"/>
  <c r="DM188" i="14" s="1"/>
  <c r="CT380" i="14"/>
  <c r="CR381" i="14"/>
  <c r="CS381" i="14" s="1"/>
  <c r="DG500" i="14"/>
  <c r="DH500" i="14" s="1"/>
  <c r="CC56" i="14"/>
  <c r="CD56" i="14" s="1"/>
  <c r="DB165" i="14"/>
  <c r="DC165" i="14" s="1"/>
  <c r="DD164" i="14"/>
  <c r="DX655" i="14"/>
  <c r="DV656" i="14"/>
  <c r="DW656" i="14" s="1"/>
  <c r="DX560" i="14"/>
  <c r="DV561" i="14"/>
  <c r="DW561" i="14" s="1"/>
  <c r="DG536" i="14"/>
  <c r="DH536" i="14" s="1"/>
  <c r="DX235" i="14"/>
  <c r="DV236" i="14"/>
  <c r="DW236" i="14" s="1"/>
  <c r="CO223" i="14"/>
  <c r="CM224" i="14"/>
  <c r="CN224" i="14" s="1"/>
  <c r="DV596" i="14"/>
  <c r="DW596" i="14" s="1"/>
  <c r="DX595" i="14"/>
  <c r="CY631" i="14"/>
  <c r="CW632" i="14"/>
  <c r="CX632" i="14" s="1"/>
  <c r="DQ261" i="14"/>
  <c r="DR261" i="14" s="1"/>
  <c r="DS260" i="14"/>
  <c r="EH656" i="14"/>
  <c r="EF657" i="14"/>
  <c r="EG657" i="14" s="1"/>
  <c r="CC344" i="14"/>
  <c r="CD344" i="14" s="1"/>
  <c r="DV572" i="14"/>
  <c r="DW572" i="14" s="1"/>
  <c r="DX571" i="14"/>
  <c r="DV681" i="14"/>
  <c r="DW681" i="14" s="1"/>
  <c r="DX680" i="14"/>
  <c r="CJ140" i="14"/>
  <c r="CH141" i="14"/>
  <c r="CI141" i="14" s="1"/>
  <c r="CO308" i="14"/>
  <c r="CM309" i="14"/>
  <c r="CN309" i="14" s="1"/>
  <c r="DG272" i="14"/>
  <c r="DH272" i="14" s="1"/>
  <c r="DN668" i="14"/>
  <c r="DL669" i="14"/>
  <c r="DM669" i="14" s="1"/>
  <c r="EF380" i="14"/>
  <c r="EG380" i="14" s="1"/>
  <c r="EH379" i="14"/>
  <c r="CC512" i="14"/>
  <c r="CD512" i="14" s="1"/>
  <c r="EF548" i="14"/>
  <c r="EG548" i="14" s="1"/>
  <c r="EH547" i="14"/>
  <c r="CC488" i="14"/>
  <c r="CD488" i="14" s="1"/>
  <c r="CR140" i="14"/>
  <c r="CS140" i="14" s="1"/>
  <c r="CT139" i="14"/>
  <c r="EC464" i="14"/>
  <c r="EA465" i="14"/>
  <c r="EB465" i="14" s="1"/>
  <c r="CY452" i="14"/>
  <c r="CW453" i="14"/>
  <c r="CX453" i="14" s="1"/>
  <c r="DG128" i="14"/>
  <c r="DH128" i="14" s="1"/>
  <c r="EF441" i="14"/>
  <c r="EG441" i="14" s="1"/>
  <c r="EH440" i="14"/>
  <c r="CY272" i="14"/>
  <c r="CW273" i="14"/>
  <c r="CX273" i="14" s="1"/>
  <c r="CW345" i="14"/>
  <c r="CX345" i="14" s="1"/>
  <c r="CY344" i="14"/>
  <c r="CJ355" i="14"/>
  <c r="CH356" i="14"/>
  <c r="CI356" i="14" s="1"/>
  <c r="CY475" i="14"/>
  <c r="CW476" i="14"/>
  <c r="CX476" i="14" s="1"/>
  <c r="EH176" i="14"/>
  <c r="EF177" i="14"/>
  <c r="EG177" i="14" s="1"/>
  <c r="EA477" i="14"/>
  <c r="EB477" i="14" s="1"/>
  <c r="EC476" i="14"/>
  <c r="DD296" i="14"/>
  <c r="DB297" i="14"/>
  <c r="DC297" i="14" s="1"/>
  <c r="CT524" i="14"/>
  <c r="CR525" i="14"/>
  <c r="CS525" i="14" s="1"/>
  <c r="CO523" i="14"/>
  <c r="CM524" i="14"/>
  <c r="CN524" i="14" s="1"/>
  <c r="DX500" i="14"/>
  <c r="DV501" i="14"/>
  <c r="DW501" i="14" s="1"/>
  <c r="DG116" i="14"/>
  <c r="DH116" i="14" s="1"/>
  <c r="DQ537" i="14"/>
  <c r="DR537" i="14" s="1"/>
  <c r="DS536" i="14"/>
  <c r="DX320" i="14"/>
  <c r="DV321" i="14"/>
  <c r="DW321" i="14" s="1"/>
  <c r="EH392" i="14"/>
  <c r="EF393" i="14"/>
  <c r="EG393" i="14" s="1"/>
  <c r="EH427" i="14"/>
  <c r="EF428" i="14"/>
  <c r="EG428" i="14" s="1"/>
  <c r="CW417" i="14"/>
  <c r="CX417" i="14" s="1"/>
  <c r="CY416" i="14"/>
  <c r="DV284" i="14"/>
  <c r="DW284" i="14" s="1"/>
  <c r="DX283" i="14"/>
  <c r="CC368" i="14"/>
  <c r="CD368" i="14" s="1"/>
  <c r="DG452" i="14"/>
  <c r="DH452" i="14" s="1"/>
  <c r="DN200" i="14"/>
  <c r="DL201" i="14"/>
  <c r="DM201" i="14" s="1"/>
  <c r="CM500" i="14"/>
  <c r="CN500" i="14" s="1"/>
  <c r="CO499" i="14"/>
  <c r="CY571" i="14"/>
  <c r="CW572" i="14"/>
  <c r="CX572" i="14" s="1"/>
  <c r="DG200" i="14"/>
  <c r="DH200" i="14" s="1"/>
  <c r="DV105" i="14"/>
  <c r="DW105" i="14" s="1"/>
  <c r="DX104" i="14"/>
  <c r="DL140" i="14"/>
  <c r="DM140" i="14" s="1"/>
  <c r="DN139" i="14"/>
  <c r="DV200" i="14"/>
  <c r="DW200" i="14" s="1"/>
  <c r="DX199" i="14"/>
  <c r="DQ273" i="14"/>
  <c r="DR273" i="14" s="1"/>
  <c r="DS272" i="14"/>
  <c r="CH548" i="14"/>
  <c r="CI548" i="14" s="1"/>
  <c r="CJ547" i="14"/>
  <c r="CC404" i="14"/>
  <c r="CD404" i="14" s="1"/>
  <c r="CH224" i="14"/>
  <c r="CI224" i="14" s="1"/>
  <c r="CJ223" i="14"/>
  <c r="DB404" i="14"/>
  <c r="DC404" i="14" s="1"/>
  <c r="DD403" i="14"/>
  <c r="CT596" i="14"/>
  <c r="CR597" i="14"/>
  <c r="CS597" i="14" s="1"/>
  <c r="DS596" i="14"/>
  <c r="DQ597" i="14"/>
  <c r="DR597" i="14" s="1"/>
  <c r="CO572" i="14"/>
  <c r="CM573" i="14"/>
  <c r="CN573" i="14" s="1"/>
  <c r="DB680" i="14"/>
  <c r="DC680" i="14" s="1"/>
  <c r="DD679" i="14"/>
  <c r="DL429" i="14"/>
  <c r="DM429" i="14" s="1"/>
  <c r="DN428" i="14"/>
  <c r="EF260" i="14"/>
  <c r="EG260" i="14" s="1"/>
  <c r="EH259" i="14"/>
  <c r="DS643" i="14"/>
  <c r="DQ644" i="14"/>
  <c r="DR644" i="14" s="1"/>
  <c r="DG296" i="14"/>
  <c r="DH296" i="14" s="1"/>
  <c r="CO188" i="14"/>
  <c r="CM189" i="14"/>
  <c r="CN189" i="14" s="1"/>
  <c r="DQ309" i="14"/>
  <c r="DR309" i="14" s="1"/>
  <c r="DS308" i="14"/>
  <c r="CT67" i="14"/>
  <c r="CR68" i="14"/>
  <c r="CS68" i="14" s="1"/>
  <c r="DX368" i="14"/>
  <c r="DV369" i="14"/>
  <c r="DW369" i="14" s="1"/>
  <c r="CJ572" i="14"/>
  <c r="CH573" i="14"/>
  <c r="CI573" i="14" s="1"/>
  <c r="EC560" i="14"/>
  <c r="EA561" i="14"/>
  <c r="EB561" i="14" s="1"/>
  <c r="CT452" i="14"/>
  <c r="CR453" i="14"/>
  <c r="CS453" i="14" s="1"/>
  <c r="CH657" i="14"/>
  <c r="CI657" i="14" s="1"/>
  <c r="CJ656" i="14"/>
  <c r="CC200" i="14"/>
  <c r="CD200" i="14" s="1"/>
  <c r="EH140" i="14"/>
  <c r="EF141" i="14"/>
  <c r="EG141" i="14" s="1"/>
  <c r="DB369" i="14"/>
  <c r="DC369" i="14" s="1"/>
  <c r="DD368" i="14"/>
  <c r="DV225" i="14"/>
  <c r="DW225" i="14" s="1"/>
  <c r="DX224" i="14"/>
  <c r="CR249" i="14"/>
  <c r="CS249" i="14" s="1"/>
  <c r="CT248" i="14"/>
  <c r="DG308" i="14"/>
  <c r="DH308" i="14" s="1"/>
  <c r="CY91" i="14"/>
  <c r="CW92" i="14"/>
  <c r="CX92" i="14" s="1"/>
  <c r="DG524" i="14"/>
  <c r="DH524" i="14" s="1"/>
  <c r="EC655" i="14"/>
  <c r="EA656" i="14"/>
  <c r="EB656" i="14" s="1"/>
  <c r="EC151" i="14"/>
  <c r="EA152" i="14"/>
  <c r="EB152" i="14" s="1"/>
  <c r="DD211" i="14"/>
  <c r="DB212" i="14"/>
  <c r="DC212" i="14" s="1"/>
  <c r="DD451" i="14"/>
  <c r="DB452" i="14"/>
  <c r="DC452" i="14" s="1"/>
  <c r="DQ380" i="14"/>
  <c r="DR380" i="14" s="1"/>
  <c r="DS379" i="14"/>
  <c r="EF477" i="14"/>
  <c r="EG477" i="14" s="1"/>
  <c r="EH476" i="14"/>
  <c r="CT164" i="14"/>
  <c r="CR165" i="14"/>
  <c r="CS165" i="14" s="1"/>
  <c r="DD308" i="14"/>
  <c r="DB309" i="14"/>
  <c r="DC309" i="14" s="1"/>
  <c r="CM116" i="14"/>
  <c r="CN116" i="14" s="1"/>
  <c r="CO115" i="14"/>
  <c r="CJ295" i="14"/>
  <c r="CH296" i="14"/>
  <c r="CI296" i="14" s="1"/>
  <c r="DS224" i="14"/>
  <c r="DQ225" i="14"/>
  <c r="DR225" i="14" s="1"/>
  <c r="DQ549" i="14"/>
  <c r="DR549" i="14" s="1"/>
  <c r="DS548" i="14"/>
  <c r="CY656" i="14"/>
  <c r="CW657" i="14"/>
  <c r="CX657" i="14" s="1"/>
  <c r="EA189" i="14"/>
  <c r="EB189" i="14" s="1"/>
  <c r="EC188" i="14"/>
  <c r="DL344" i="14"/>
  <c r="DM344" i="14" s="1"/>
  <c r="DN343" i="14"/>
  <c r="CC140" i="14"/>
  <c r="CD140" i="14" s="1"/>
  <c r="CC440" i="14"/>
  <c r="CD440" i="14" s="1"/>
  <c r="CO512" i="14"/>
  <c r="CM513" i="14"/>
  <c r="CN513" i="14" s="1"/>
  <c r="CH392" i="14"/>
  <c r="CI392" i="14" s="1"/>
  <c r="CJ391" i="14"/>
  <c r="DB176" i="14"/>
  <c r="DC176" i="14" s="1"/>
  <c r="DD175" i="14"/>
  <c r="DS572" i="14"/>
  <c r="DQ573" i="14"/>
  <c r="DR573" i="14" s="1"/>
  <c r="EA609" i="14"/>
  <c r="EB609" i="14" s="1"/>
  <c r="EC608" i="14"/>
  <c r="EC92" i="14"/>
  <c r="EA93" i="14"/>
  <c r="EB93" i="14" s="1"/>
  <c r="EF105" i="14"/>
  <c r="EG105" i="14" s="1"/>
  <c r="EH104" i="14"/>
  <c r="DG488" i="14"/>
  <c r="DH488" i="14" s="1"/>
  <c r="CM548" i="14"/>
  <c r="CN548" i="14" s="1"/>
  <c r="CO547" i="14"/>
  <c r="CH561" i="14"/>
  <c r="CI561" i="14" s="1"/>
  <c r="CJ560" i="14"/>
  <c r="CM633" i="14"/>
  <c r="CN633" i="14" s="1"/>
  <c r="CO632" i="14"/>
  <c r="CO104" i="14"/>
  <c r="CM105" i="14"/>
  <c r="CN105" i="14" s="1"/>
  <c r="CY379" i="14"/>
  <c r="CW380" i="14"/>
  <c r="CX380" i="14" s="1"/>
  <c r="CO476" i="14"/>
  <c r="CM477" i="14"/>
  <c r="CN477" i="14" s="1"/>
  <c r="EF188" i="14"/>
  <c r="EG188" i="14" s="1"/>
  <c r="EH187" i="14"/>
  <c r="DS140" i="14"/>
  <c r="DQ141" i="14"/>
  <c r="DR141" i="14" s="1"/>
  <c r="CC620" i="14"/>
  <c r="CD620" i="14" s="1"/>
  <c r="DD439" i="14"/>
  <c r="DB440" i="14"/>
  <c r="DC440" i="14" s="1"/>
  <c r="DB609" i="14"/>
  <c r="DC609" i="14" s="1"/>
  <c r="DD608" i="14"/>
  <c r="CJ584" i="14"/>
  <c r="CH585" i="14"/>
  <c r="CI585" i="14" s="1"/>
  <c r="CY368" i="14"/>
  <c r="CW369" i="14"/>
  <c r="CX369" i="14" s="1"/>
  <c r="DN500" i="14"/>
  <c r="DL501" i="14"/>
  <c r="DM501" i="14" s="1"/>
  <c r="CJ643" i="14"/>
  <c r="CH644" i="14"/>
  <c r="CI644" i="14" s="1"/>
  <c r="CT547" i="14"/>
  <c r="CR548" i="14"/>
  <c r="CS548" i="14" s="1"/>
  <c r="DD595" i="14"/>
  <c r="DB596" i="14"/>
  <c r="DC596" i="14" s="1"/>
  <c r="CC584" i="14"/>
  <c r="CD584" i="14" s="1"/>
  <c r="DL597" i="14"/>
  <c r="DM597" i="14" s="1"/>
  <c r="DN596" i="14"/>
  <c r="CW441" i="14"/>
  <c r="CX441" i="14" s="1"/>
  <c r="CY440" i="14"/>
  <c r="DX391" i="14"/>
  <c r="DV392" i="14"/>
  <c r="DW392" i="14" s="1"/>
  <c r="EH500" i="14"/>
  <c r="EF501" i="14"/>
  <c r="EG501" i="14" s="1"/>
  <c r="CJ668" i="14"/>
  <c r="CH669" i="14"/>
  <c r="CI669" i="14" s="1"/>
  <c r="DX512" i="14"/>
  <c r="DV513" i="14"/>
  <c r="DW513" i="14" s="1"/>
  <c r="EF93" i="14"/>
  <c r="EG93" i="14" s="1"/>
  <c r="EH92" i="14"/>
  <c r="DB548" i="14"/>
  <c r="DC548" i="14" s="1"/>
  <c r="DD547" i="14"/>
  <c r="EA284" i="14"/>
  <c r="EB284" i="14" s="1"/>
  <c r="EC283" i="14"/>
  <c r="CY284" i="14"/>
  <c r="CW285" i="14"/>
  <c r="CX285" i="14" s="1"/>
  <c r="DV92" i="14"/>
  <c r="DW92" i="14" s="1"/>
  <c r="DX91" i="14"/>
  <c r="DS667" i="14"/>
  <c r="DQ668" i="14"/>
  <c r="DR668" i="14" s="1"/>
  <c r="CT344" i="14"/>
  <c r="CR345" i="14"/>
  <c r="CS345" i="14" s="1"/>
  <c r="CM237" i="14"/>
  <c r="CN237" i="14" s="1"/>
  <c r="CO236" i="14"/>
  <c r="CC308" i="14"/>
  <c r="CD308" i="14" s="1"/>
  <c r="DS103" i="14"/>
  <c r="DQ104" i="14"/>
  <c r="DR104" i="14" s="1"/>
  <c r="DQ165" i="14"/>
  <c r="DR165" i="14" s="1"/>
  <c r="DS164" i="14"/>
  <c r="CT332" i="14"/>
  <c r="CR333" i="14"/>
  <c r="CS333" i="14" s="1"/>
  <c r="DQ609" i="14"/>
  <c r="DR609" i="14" s="1"/>
  <c r="DS608" i="14"/>
  <c r="DN380" i="14"/>
  <c r="DL381" i="14"/>
  <c r="DM381" i="14" s="1"/>
  <c r="CC152" i="14"/>
  <c r="CD152" i="14" s="1"/>
  <c r="CT392" i="14"/>
  <c r="CR393" i="14"/>
  <c r="CS393" i="14" s="1"/>
  <c r="DS284" i="14"/>
  <c r="DQ285" i="14"/>
  <c r="DR285" i="14" s="1"/>
  <c r="DL453" i="14"/>
  <c r="DM453" i="14" s="1"/>
  <c r="DN452" i="14"/>
  <c r="EH356" i="14"/>
  <c r="EF357" i="14"/>
  <c r="EG357" i="14" s="1"/>
  <c r="DD236" i="14"/>
  <c r="DB237" i="14"/>
  <c r="DC237" i="14" s="1"/>
  <c r="EA549" i="14"/>
  <c r="EB549" i="14" s="1"/>
  <c r="EC548" i="14"/>
  <c r="DL513" i="14"/>
  <c r="DM513" i="14" s="1"/>
  <c r="DN512" i="14"/>
  <c r="CY535" i="14"/>
  <c r="CW536" i="14"/>
  <c r="CX536" i="14" s="1"/>
  <c r="DN103" i="14"/>
  <c r="DL104" i="14"/>
  <c r="DM104" i="14" s="1"/>
  <c r="EF632" i="14"/>
  <c r="EG632" i="14" s="1"/>
  <c r="EH631" i="14"/>
  <c r="CW393" i="14"/>
  <c r="CX393" i="14" s="1"/>
  <c r="CY392" i="14"/>
  <c r="CM668" i="14"/>
  <c r="CN668" i="14" s="1"/>
  <c r="CO667" i="14"/>
  <c r="CH152" i="14"/>
  <c r="CI152" i="14" s="1"/>
  <c r="CJ151" i="14"/>
  <c r="CR620" i="14"/>
  <c r="CS620" i="14" s="1"/>
  <c r="CT619" i="14"/>
  <c r="DX271" i="14"/>
  <c r="DV272" i="14"/>
  <c r="DW272" i="14" s="1"/>
  <c r="DD355" i="14"/>
  <c r="DB356" i="14"/>
  <c r="DC356" i="14" s="1"/>
  <c r="CJ187" i="14"/>
  <c r="CH188" i="14"/>
  <c r="CI188" i="14" s="1"/>
  <c r="DN67" i="14"/>
  <c r="DL68" i="14"/>
  <c r="DM68" i="14" s="1"/>
  <c r="DL633" i="14"/>
  <c r="DM633" i="14" s="1"/>
  <c r="DN632" i="14"/>
  <c r="DB645" i="14"/>
  <c r="DC645" i="14" s="1"/>
  <c r="DD644" i="14"/>
  <c r="CC500" i="14"/>
  <c r="CD500" i="14" s="1"/>
  <c r="CH369" i="14"/>
  <c r="CI369" i="14" s="1"/>
  <c r="CJ368" i="14"/>
  <c r="EA369" i="14"/>
  <c r="EB369" i="14" s="1"/>
  <c r="EC368" i="14"/>
  <c r="CC68" i="14"/>
  <c r="CD68" i="14" s="1"/>
  <c r="DQ116" i="14"/>
  <c r="DR116" i="14" s="1"/>
  <c r="DS115" i="14"/>
  <c r="DG344" i="14"/>
  <c r="DH344" i="14" s="1"/>
  <c r="CH177" i="14"/>
  <c r="CI177" i="14" s="1"/>
  <c r="CJ176" i="14"/>
  <c r="CT176" i="14"/>
  <c r="CR177" i="14"/>
  <c r="CS177" i="14" s="1"/>
  <c r="CR309" i="14"/>
  <c r="CS309" i="14" s="1"/>
  <c r="CT308" i="14"/>
  <c r="DQ656" i="14"/>
  <c r="DR656" i="14" s="1"/>
  <c r="DS655" i="14"/>
  <c r="DQ620" i="14"/>
  <c r="DR620" i="14" s="1"/>
  <c r="DS619" i="14"/>
  <c r="EA621" i="14"/>
  <c r="EB621" i="14" s="1"/>
  <c r="EC620" i="14"/>
  <c r="CH513" i="14"/>
  <c r="CI513" i="14" s="1"/>
  <c r="CJ512" i="14"/>
  <c r="CM392" i="14"/>
  <c r="CN392" i="14" s="1"/>
  <c r="CO391" i="14"/>
  <c r="DB393" i="14"/>
  <c r="DC393" i="14" s="1"/>
  <c r="DD392" i="14"/>
  <c r="CT236" i="14"/>
  <c r="CR237" i="14"/>
  <c r="CS237" i="14" s="1"/>
  <c r="DG620" i="14"/>
  <c r="DH620" i="14" s="1"/>
  <c r="EC164" i="14"/>
  <c r="EA165" i="14"/>
  <c r="EB165" i="14" s="1"/>
  <c r="CR513" i="14"/>
  <c r="CS513" i="14" s="1"/>
  <c r="CT512" i="14"/>
  <c r="DB333" i="14"/>
  <c r="DC333" i="14" s="1"/>
  <c r="DD332" i="14"/>
  <c r="CH284" i="14"/>
  <c r="CI284" i="14" s="1"/>
  <c r="CJ283" i="14"/>
  <c r="CJ68" i="14"/>
  <c r="CH69" i="14"/>
  <c r="CI69" i="14" s="1"/>
  <c r="CC236" i="14"/>
  <c r="CD236" i="14" s="1"/>
  <c r="DN535" i="14"/>
  <c r="DL536" i="14"/>
  <c r="DM536" i="14" s="1"/>
  <c r="EA116" i="14"/>
  <c r="EB116" i="14" s="1"/>
  <c r="EC115" i="14"/>
  <c r="EH644" i="14"/>
  <c r="EF645" i="14"/>
  <c r="EG645" i="14" s="1"/>
  <c r="DV69" i="14"/>
  <c r="DW69" i="14" s="1"/>
  <c r="DX68" i="14"/>
  <c r="DQ513" i="14"/>
  <c r="DR513" i="14" s="1"/>
  <c r="DS512" i="14"/>
  <c r="EF200" i="14"/>
  <c r="EG200" i="14" s="1"/>
  <c r="EH199" i="14"/>
  <c r="DG548" i="14"/>
  <c r="DH548" i="14" s="1"/>
  <c r="CM92" i="14"/>
  <c r="CN92" i="14" s="1"/>
  <c r="CO91" i="14"/>
  <c r="DB585" i="14"/>
  <c r="DC585" i="14" s="1"/>
  <c r="DD584" i="14"/>
  <c r="EF57" i="14"/>
  <c r="EG57" i="14" s="1"/>
  <c r="EH56" i="14"/>
  <c r="DD68" i="14"/>
  <c r="DB69" i="14"/>
  <c r="DC69" i="14" s="1"/>
  <c r="CM597" i="14"/>
  <c r="CN597" i="14" s="1"/>
  <c r="CO596" i="14"/>
  <c r="DS127" i="14"/>
  <c r="DQ128" i="14"/>
  <c r="DR128" i="14" s="1"/>
  <c r="EH307" i="14"/>
  <c r="EF308" i="14"/>
  <c r="EG308" i="14" s="1"/>
  <c r="DB380" i="14"/>
  <c r="DC380" i="14" s="1"/>
  <c r="DD379" i="14"/>
  <c r="DG380" i="14"/>
  <c r="DH380" i="14" s="1"/>
  <c r="CT92" i="14"/>
  <c r="CR93" i="14"/>
  <c r="CS93" i="14" s="1"/>
  <c r="EC668" i="14"/>
  <c r="EA669" i="14"/>
  <c r="EB669" i="14" s="1"/>
  <c r="CY547" i="14"/>
  <c r="CW548" i="14"/>
  <c r="CX548" i="14" s="1"/>
  <c r="CM440" i="14"/>
  <c r="CN440" i="14" s="1"/>
  <c r="CO439" i="14"/>
  <c r="CC416" i="14"/>
  <c r="CD416" i="14" s="1"/>
  <c r="DG176" i="14"/>
  <c r="DH176" i="14" s="1"/>
  <c r="CR296" i="14"/>
  <c r="CS296" i="14" s="1"/>
  <c r="CT295" i="14"/>
  <c r="CW585" i="14"/>
  <c r="CX585" i="14" s="1"/>
  <c r="CY584" i="14"/>
  <c r="CC176" i="14"/>
  <c r="CD176" i="14" s="1"/>
  <c r="CR212" i="14"/>
  <c r="CS212" i="14" s="1"/>
  <c r="CT211" i="14"/>
  <c r="EC380" i="14"/>
  <c r="EA381" i="14"/>
  <c r="EB381" i="14" s="1"/>
  <c r="EC355" i="14"/>
  <c r="EA356" i="14"/>
  <c r="EB356" i="14" s="1"/>
  <c r="DG392" i="14"/>
  <c r="DH392" i="14" s="1"/>
  <c r="CM645" i="14"/>
  <c r="CN645" i="14" s="1"/>
  <c r="CO644" i="14"/>
  <c r="CO127" i="14"/>
  <c r="CM128" i="14"/>
  <c r="CN128" i="14" s="1"/>
  <c r="DB572" i="14"/>
  <c r="DC572" i="14" s="1"/>
  <c r="DD571" i="14"/>
  <c r="CC248" i="14"/>
  <c r="CD248" i="14" s="1"/>
  <c r="DV525" i="14"/>
  <c r="DW525" i="14" s="1"/>
  <c r="DX524" i="14"/>
  <c r="CH344" i="14"/>
  <c r="CI344" i="14" s="1"/>
  <c r="CJ343" i="14"/>
  <c r="DX535" i="14"/>
  <c r="DV536" i="14"/>
  <c r="DW536" i="14" s="1"/>
  <c r="DG668" i="14"/>
  <c r="DH668" i="14" s="1"/>
  <c r="CC128" i="14"/>
  <c r="CD128" i="14" s="1"/>
  <c r="CH308" i="14"/>
  <c r="CI308" i="14" s="1"/>
  <c r="CJ307" i="14"/>
  <c r="CT272" i="14"/>
  <c r="CR273" i="14"/>
  <c r="CS273" i="14" s="1"/>
  <c r="CW500" i="14"/>
  <c r="CX500" i="14" s="1"/>
  <c r="CY499" i="14"/>
  <c r="CT631" i="14"/>
  <c r="CR632" i="14"/>
  <c r="CS632" i="14" s="1"/>
  <c r="CM369" i="14"/>
  <c r="CN369" i="14" s="1"/>
  <c r="CO368" i="14"/>
  <c r="DG248" i="14"/>
  <c r="DH248" i="14" s="1"/>
  <c r="DQ356" i="14"/>
  <c r="DR356" i="14" s="1"/>
  <c r="DS355" i="14"/>
  <c r="DX668" i="14"/>
  <c r="DV669" i="14"/>
  <c r="DW669" i="14" s="1"/>
  <c r="DX128" i="14"/>
  <c r="DV129" i="14"/>
  <c r="DW129" i="14" s="1"/>
  <c r="DX163" i="14"/>
  <c r="DV164" i="14"/>
  <c r="DW164" i="14" s="1"/>
  <c r="EH403" i="14"/>
  <c r="EF404" i="14"/>
  <c r="EG404" i="14" s="1"/>
  <c r="CH212" i="14"/>
  <c r="CI212" i="14" s="1"/>
  <c r="CJ211" i="14"/>
  <c r="EC427" i="14"/>
  <c r="EA428" i="14"/>
  <c r="EB428" i="14" s="1"/>
  <c r="DX56" i="14"/>
  <c r="DV57" i="14"/>
  <c r="DW57" i="14" s="1"/>
  <c r="CT464" i="14"/>
  <c r="CR465" i="14"/>
  <c r="CS465" i="14" s="1"/>
  <c r="EA344" i="14"/>
  <c r="EB344" i="14" s="1"/>
  <c r="EC343" i="14"/>
  <c r="CH381" i="14"/>
  <c r="CI381" i="14" s="1"/>
  <c r="CJ380" i="14"/>
  <c r="DG68" i="14"/>
  <c r="DH68" i="14" s="1"/>
  <c r="CO680" i="14"/>
  <c r="CM681" i="14"/>
  <c r="CN681" i="14" s="1"/>
  <c r="DG260" i="14"/>
  <c r="DH260" i="14" s="1"/>
  <c r="CY67" i="14"/>
  <c r="CW68" i="14"/>
  <c r="CX68" i="14" s="1"/>
  <c r="DN92" i="14"/>
  <c r="DL93" i="14"/>
  <c r="DM93" i="14" s="1"/>
  <c r="DN164" i="14"/>
  <c r="DL165" i="14"/>
  <c r="DM165" i="14" s="1"/>
  <c r="DQ189" i="14"/>
  <c r="DR189" i="14" s="1"/>
  <c r="DS188" i="14"/>
  <c r="DB56" i="14"/>
  <c r="DC56" i="14" s="1"/>
  <c r="DD55" i="14"/>
  <c r="CH249" i="14"/>
  <c r="CI249" i="14" s="1"/>
  <c r="CJ248" i="14"/>
  <c r="CE77" i="14"/>
  <c r="DI77" i="14"/>
  <c r="EH76" i="14"/>
  <c r="EF77" i="14"/>
  <c r="EG77" i="14" s="1"/>
  <c r="CJ77" i="14"/>
  <c r="CH78" i="14"/>
  <c r="CI78" i="14" s="1"/>
  <c r="DB78" i="14"/>
  <c r="DC78" i="14" s="1"/>
  <c r="DD77" i="14"/>
  <c r="CM78" i="14"/>
  <c r="CN78" i="14" s="1"/>
  <c r="CO77" i="14"/>
  <c r="DX77" i="14"/>
  <c r="DV78" i="14"/>
  <c r="DW78" i="14" s="1"/>
  <c r="DN77" i="14"/>
  <c r="DL78" i="14"/>
  <c r="DM78" i="14" s="1"/>
  <c r="CY76" i="14"/>
  <c r="CW77" i="14"/>
  <c r="CX77" i="14" s="1"/>
  <c r="DQ78" i="14"/>
  <c r="DR78" i="14" s="1"/>
  <c r="DS77" i="14"/>
  <c r="CR78" i="14"/>
  <c r="CS78" i="14" s="1"/>
  <c r="CT77" i="14"/>
  <c r="CC78" i="14"/>
  <c r="CD78" i="14" s="1"/>
  <c r="DG78" i="14"/>
  <c r="DH78" i="14" s="1"/>
  <c r="EA78" i="14"/>
  <c r="EB78" i="14" s="1"/>
  <c r="EC77" i="14"/>
  <c r="CE39" i="14"/>
  <c r="DV41" i="14"/>
  <c r="DW41" i="14" s="1"/>
  <c r="DX41" i="14" s="1"/>
  <c r="DQ41" i="14"/>
  <c r="DR41" i="14" s="1"/>
  <c r="DS41" i="14" s="1"/>
  <c r="EA41" i="14"/>
  <c r="EB41" i="14" s="1"/>
  <c r="EC41" i="14" s="1"/>
  <c r="CM41" i="14"/>
  <c r="CN41" i="14" s="1"/>
  <c r="CO41" i="14" s="1"/>
  <c r="DB40" i="14"/>
  <c r="DC40" i="14" s="1"/>
  <c r="DD39" i="14"/>
  <c r="CH40" i="14"/>
  <c r="CI40" i="14" s="1"/>
  <c r="CJ40" i="14" s="1"/>
  <c r="AJ21" i="43"/>
  <c r="E20" i="43" s="1"/>
  <c r="EF41" i="14"/>
  <c r="EG41" i="14" s="1"/>
  <c r="EH41" i="14" s="1"/>
  <c r="CW39" i="14"/>
  <c r="CX39" i="14" s="1"/>
  <c r="CY39" i="14" s="1"/>
  <c r="CC40" i="14"/>
  <c r="CD40" i="14" s="1"/>
  <c r="CR40" i="14"/>
  <c r="CS40" i="14" s="1"/>
  <c r="CT40" i="14" s="1"/>
  <c r="DL41" i="14"/>
  <c r="DM41" i="14" s="1"/>
  <c r="DN41" i="14" s="1"/>
  <c r="CE271" i="14" a="1"/>
  <c r="DI127" i="14" a="1"/>
  <c r="CE679" i="14" a="1"/>
  <c r="CE199" i="14" a="1"/>
  <c r="CE283" i="14" a="1"/>
  <c r="DI115" i="14" a="1"/>
  <c r="CE487" i="14" a="1"/>
  <c r="CE655" i="14" a="1"/>
  <c r="CE439" i="14" a="1"/>
  <c r="CE643" i="14" a="1"/>
  <c r="CE235" i="14" a="1"/>
  <c r="CE475" i="14" a="1"/>
  <c r="CE511" i="14" a="1"/>
  <c r="DI78" i="14" a="1"/>
  <c r="DI163" i="14" a="1"/>
  <c r="DI175" i="14" a="1"/>
  <c r="DI475" i="14" a="1"/>
  <c r="CE319" i="14" a="1"/>
  <c r="DI583" i="14" a="1"/>
  <c r="DI187" i="14" a="1"/>
  <c r="CE223" i="14" a="1"/>
  <c r="CE631" i="14" a="1"/>
  <c r="CE211" i="14" a="1"/>
  <c r="CE115" i="14" a="1"/>
  <c r="CE547" i="14" a="1"/>
  <c r="CE355" i="14" a="1"/>
  <c r="DI259" i="14" a="1"/>
  <c r="CE91" i="14" a="1"/>
  <c r="CE415" i="14" a="1"/>
  <c r="DI463" i="14" a="1"/>
  <c r="CE583" i="14" a="1"/>
  <c r="CE40" i="14" a="1"/>
  <c r="CE67" i="14" a="1"/>
  <c r="CE499" i="14" a="1"/>
  <c r="DI283" i="14" a="1"/>
  <c r="DI451" i="14" a="1"/>
  <c r="DI55" i="14" a="1"/>
  <c r="DI595" i="14" a="1"/>
  <c r="CE463" i="14" a="1"/>
  <c r="DI511" i="14" a="1"/>
  <c r="DI295" i="14" a="1"/>
  <c r="CE307" i="14" a="1"/>
  <c r="CE139" i="14" a="1"/>
  <c r="CE607" i="14" a="1"/>
  <c r="DI439" i="14" a="1"/>
  <c r="DI499" i="14" a="1"/>
  <c r="DI103" i="14" a="1"/>
  <c r="CE427" i="14" a="1"/>
  <c r="DI343" i="14" a="1"/>
  <c r="DI427" i="14" a="1"/>
  <c r="CE78" i="14" a="1"/>
  <c r="CE295" i="14" a="1"/>
  <c r="DI91" i="14" a="1"/>
  <c r="CE343" i="14" a="1"/>
  <c r="DI535" i="14" a="1"/>
  <c r="DI223" i="14" a="1"/>
  <c r="DI199" i="14" a="1"/>
  <c r="CE175" i="14" a="1"/>
  <c r="DI391" i="14" a="1"/>
  <c r="DI619" i="14" a="1"/>
  <c r="DI331" i="14" a="1"/>
  <c r="DI655" i="14" a="1"/>
  <c r="CE331" i="14" a="1"/>
  <c r="CE127" i="14" a="1"/>
  <c r="DI415" i="14" a="1"/>
  <c r="CE391" i="14" a="1"/>
  <c r="DI631" i="14" a="1"/>
  <c r="CE451" i="14" a="1"/>
  <c r="DI547" i="14" a="1"/>
  <c r="CE667" i="14" a="1"/>
  <c r="CE259" i="14" a="1"/>
  <c r="DI247" i="14" a="1"/>
  <c r="CE535" i="14" a="1"/>
  <c r="CE559" i="14" a="1"/>
  <c r="DI355" i="14" a="1"/>
  <c r="DI319" i="14" a="1"/>
  <c r="DI211" i="14" a="1"/>
  <c r="DI571" i="14" a="1"/>
  <c r="DI487" i="14" a="1"/>
  <c r="DI235" i="14" a="1"/>
  <c r="CE187" i="14" a="1"/>
  <c r="DI379" i="14" a="1"/>
  <c r="CE571" i="14" a="1"/>
  <c r="DI643" i="14" a="1"/>
  <c r="DI667" i="14" a="1"/>
  <c r="CE403" i="14" a="1"/>
  <c r="CE163" i="14" a="1"/>
  <c r="DI679" i="14" a="1"/>
  <c r="DI307" i="14" a="1"/>
  <c r="DI67" i="14" a="1"/>
  <c r="DI271" i="14" a="1"/>
  <c r="DI523" i="14" a="1"/>
  <c r="CE151" i="14" a="1"/>
  <c r="CE367" i="14" a="1"/>
  <c r="DI607" i="14" a="1"/>
  <c r="DI403" i="14" a="1"/>
  <c r="CE55" i="14" a="1"/>
  <c r="DI559" i="14" a="1"/>
  <c r="CE247" i="14" a="1"/>
  <c r="CE523" i="14" a="1"/>
  <c r="DI151" i="14" a="1"/>
  <c r="CE379" i="14" a="1"/>
  <c r="DI367" i="14" a="1"/>
  <c r="CE103" i="14" a="1"/>
  <c r="DI139" i="14" a="1"/>
  <c r="CE595" i="14" a="1"/>
  <c r="CE619" i="14" a="1"/>
  <c r="DI343" i="14" l="1"/>
  <c r="DI451" i="14"/>
  <c r="DI355" i="14"/>
  <c r="CE631" i="14"/>
  <c r="CE571" i="14"/>
  <c r="CE295" i="14"/>
  <c r="DI559" i="14"/>
  <c r="DI679" i="14"/>
  <c r="DI283" i="14"/>
  <c r="DI295" i="14"/>
  <c r="DI115" i="14"/>
  <c r="CE427" i="14"/>
  <c r="CE187" i="14"/>
  <c r="CE163" i="14"/>
  <c r="DI655" i="14"/>
  <c r="CE331" i="14"/>
  <c r="CE643" i="14"/>
  <c r="CE667" i="14"/>
  <c r="DI319" i="14"/>
  <c r="DI439" i="14"/>
  <c r="DI427" i="14"/>
  <c r="CE115" i="14"/>
  <c r="DI91" i="14"/>
  <c r="DI379" i="14"/>
  <c r="CE67" i="14"/>
  <c r="DI487" i="14"/>
  <c r="DI151" i="14"/>
  <c r="CE463" i="14"/>
  <c r="CE475" i="14"/>
  <c r="DI367" i="14"/>
  <c r="DI391" i="14"/>
  <c r="CE487" i="14"/>
  <c r="CE55" i="14"/>
  <c r="DI331" i="14"/>
  <c r="CE91" i="14"/>
  <c r="DI55" i="14"/>
  <c r="CE523" i="14"/>
  <c r="CE559" i="14"/>
  <c r="CE391" i="14"/>
  <c r="CE223" i="14"/>
  <c r="CE535" i="14"/>
  <c r="DI175" i="14"/>
  <c r="DI619" i="14"/>
  <c r="CE439" i="14"/>
  <c r="DI199" i="14"/>
  <c r="CE655" i="14"/>
  <c r="CE175" i="14"/>
  <c r="DI475" i="14"/>
  <c r="DI667" i="14"/>
  <c r="DI259" i="14"/>
  <c r="DI67" i="14"/>
  <c r="CE307" i="14"/>
  <c r="CE139" i="14"/>
  <c r="CE403" i="14"/>
  <c r="CE451" i="14"/>
  <c r="DI403" i="14"/>
  <c r="CE271" i="14"/>
  <c r="CE355" i="14"/>
  <c r="DI307" i="14"/>
  <c r="CE379" i="14"/>
  <c r="CE127" i="14"/>
  <c r="CE235" i="14"/>
  <c r="DI499" i="14"/>
  <c r="DI139" i="14"/>
  <c r="DI595" i="14"/>
  <c r="CE211" i="14"/>
  <c r="CE547" i="14"/>
  <c r="CE595" i="14"/>
  <c r="DI547" i="14"/>
  <c r="CE511" i="14"/>
  <c r="DI235" i="14"/>
  <c r="CE259" i="14"/>
  <c r="DI163" i="14"/>
  <c r="CE103" i="14"/>
  <c r="CE319" i="14"/>
  <c r="DI103" i="14"/>
  <c r="DI187" i="14"/>
  <c r="CE607" i="14"/>
  <c r="CE415" i="14"/>
  <c r="DI511" i="14"/>
  <c r="DI415" i="14"/>
  <c r="DI583" i="14"/>
  <c r="DI631" i="14"/>
  <c r="DI271" i="14"/>
  <c r="CE499" i="14"/>
  <c r="CE583" i="14"/>
  <c r="CE283" i="14"/>
  <c r="DI223" i="14"/>
  <c r="DI211" i="14"/>
  <c r="CE619" i="14"/>
  <c r="DI463" i="14"/>
  <c r="DI571" i="14"/>
  <c r="CE367" i="14"/>
  <c r="DI247" i="14"/>
  <c r="CE151" i="14"/>
  <c r="CE247" i="14"/>
  <c r="DI523" i="14"/>
  <c r="CE199" i="14"/>
  <c r="DI127" i="14"/>
  <c r="CE343" i="14"/>
  <c r="DI535" i="14"/>
  <c r="CE679" i="14"/>
  <c r="DI643" i="14"/>
  <c r="DI607" i="14"/>
  <c r="DG345" i="14"/>
  <c r="DH345" i="14" s="1"/>
  <c r="DX200" i="14"/>
  <c r="DV201" i="14"/>
  <c r="DW201" i="14" s="1"/>
  <c r="CW190" i="14"/>
  <c r="CX190" i="14" s="1"/>
  <c r="CY190" i="14" s="1"/>
  <c r="CY189" i="14"/>
  <c r="CW69" i="14"/>
  <c r="CX69" i="14" s="1"/>
  <c r="CY68" i="14"/>
  <c r="DG297" i="14"/>
  <c r="DH297" i="14" s="1"/>
  <c r="DL94" i="14"/>
  <c r="DM94" i="14" s="1"/>
  <c r="DN94" i="14" s="1"/>
  <c r="DN93" i="14"/>
  <c r="CT465" i="14"/>
  <c r="CR466" i="14"/>
  <c r="CS466" i="14" s="1"/>
  <c r="CT466" i="14" s="1"/>
  <c r="DX669" i="14"/>
  <c r="DV670" i="14"/>
  <c r="DW670" i="14" s="1"/>
  <c r="DX670" i="14" s="1"/>
  <c r="CC177" i="14"/>
  <c r="CD177" i="14" s="1"/>
  <c r="EA670" i="14"/>
  <c r="EB670" i="14" s="1"/>
  <c r="EC670" i="14" s="1"/>
  <c r="EC669" i="14"/>
  <c r="DD69" i="14"/>
  <c r="DB70" i="14"/>
  <c r="DC70" i="14" s="1"/>
  <c r="DD70" i="14" s="1"/>
  <c r="DD237" i="14"/>
  <c r="DB238" i="14"/>
  <c r="DC238" i="14" s="1"/>
  <c r="DD238" i="14" s="1"/>
  <c r="DS668" i="14"/>
  <c r="DQ669" i="14"/>
  <c r="DR669" i="14" s="1"/>
  <c r="CJ669" i="14"/>
  <c r="CH670" i="14"/>
  <c r="CI670" i="14" s="1"/>
  <c r="CJ670" i="14" s="1"/>
  <c r="CR549" i="14"/>
  <c r="CS549" i="14" s="1"/>
  <c r="CT548" i="14"/>
  <c r="CC621" i="14"/>
  <c r="CD621" i="14" s="1"/>
  <c r="CW658" i="14"/>
  <c r="CX658" i="14" s="1"/>
  <c r="CY658" i="14" s="1"/>
  <c r="CY657" i="14"/>
  <c r="CW93" i="14"/>
  <c r="CX93" i="14" s="1"/>
  <c r="CY92" i="14"/>
  <c r="CO189" i="14"/>
  <c r="CM190" i="14"/>
  <c r="CN190" i="14" s="1"/>
  <c r="CO190" i="14" s="1"/>
  <c r="DS597" i="14"/>
  <c r="DQ598" i="14"/>
  <c r="DR598" i="14" s="1"/>
  <c r="DS598" i="14" s="1"/>
  <c r="EF178" i="14"/>
  <c r="EG178" i="14" s="1"/>
  <c r="EH178" i="14" s="1"/>
  <c r="EH177" i="14"/>
  <c r="CW454" i="14"/>
  <c r="CX454" i="14" s="1"/>
  <c r="CY454" i="14" s="1"/>
  <c r="CY453" i="14"/>
  <c r="DL670" i="14"/>
  <c r="DM670" i="14" s="1"/>
  <c r="DN670" i="14" s="1"/>
  <c r="DN669" i="14"/>
  <c r="EF658" i="14"/>
  <c r="EG658" i="14" s="1"/>
  <c r="EH658" i="14" s="1"/>
  <c r="EH657" i="14"/>
  <c r="DX561" i="14"/>
  <c r="DV562" i="14"/>
  <c r="DW562" i="14" s="1"/>
  <c r="DX562" i="14" s="1"/>
  <c r="DD285" i="14"/>
  <c r="DB286" i="14"/>
  <c r="DC286" i="14" s="1"/>
  <c r="DD286" i="14" s="1"/>
  <c r="DG465" i="14"/>
  <c r="DH465" i="14" s="1"/>
  <c r="DB670" i="14"/>
  <c r="DC670" i="14" s="1"/>
  <c r="DD670" i="14" s="1"/>
  <c r="DD669" i="14"/>
  <c r="DG573" i="14"/>
  <c r="DH573" i="14" s="1"/>
  <c r="CY296" i="14"/>
  <c r="CW297" i="14"/>
  <c r="CX297" i="14" s="1"/>
  <c r="DD141" i="14"/>
  <c r="DB142" i="14"/>
  <c r="DC142" i="14" s="1"/>
  <c r="DD142" i="14" s="1"/>
  <c r="EC321" i="14"/>
  <c r="EA322" i="14"/>
  <c r="EB322" i="14" s="1"/>
  <c r="EC322" i="14" s="1"/>
  <c r="DD524" i="14"/>
  <c r="DB525" i="14"/>
  <c r="DC525" i="14" s="1"/>
  <c r="EC57" i="14"/>
  <c r="EA58" i="14"/>
  <c r="EB58" i="14" s="1"/>
  <c r="EC58" i="14" s="1"/>
  <c r="DN525" i="14"/>
  <c r="DL526" i="14"/>
  <c r="DM526" i="14" s="1"/>
  <c r="DN526" i="14" s="1"/>
  <c r="CC117" i="14"/>
  <c r="CD117" i="14" s="1"/>
  <c r="EA309" i="14"/>
  <c r="EB309" i="14" s="1"/>
  <c r="EC308" i="14"/>
  <c r="CY525" i="14"/>
  <c r="CW526" i="14"/>
  <c r="CX526" i="14" s="1"/>
  <c r="CY526" i="14" s="1"/>
  <c r="CM417" i="14"/>
  <c r="CN417" i="14" s="1"/>
  <c r="CO416" i="14"/>
  <c r="EH465" i="14"/>
  <c r="EF466" i="14"/>
  <c r="EG466" i="14" s="1"/>
  <c r="EH466" i="14" s="1"/>
  <c r="CY405" i="14"/>
  <c r="CW406" i="14"/>
  <c r="CX406" i="14" s="1"/>
  <c r="CY406" i="14" s="1"/>
  <c r="DL333" i="14"/>
  <c r="DM333" i="14" s="1"/>
  <c r="DN332" i="14"/>
  <c r="DV610" i="14"/>
  <c r="DW610" i="14" s="1"/>
  <c r="DX610" i="14" s="1"/>
  <c r="DX609" i="14"/>
  <c r="DL285" i="14"/>
  <c r="DM285" i="14" s="1"/>
  <c r="DN284" i="14"/>
  <c r="DL586" i="14"/>
  <c r="DM586" i="14" s="1"/>
  <c r="DN586" i="14" s="1"/>
  <c r="DN585" i="14"/>
  <c r="CW430" i="14"/>
  <c r="CX430" i="14" s="1"/>
  <c r="CY430" i="14" s="1"/>
  <c r="CY429" i="14"/>
  <c r="CY105" i="14"/>
  <c r="CW106" i="14"/>
  <c r="CX106" i="14" s="1"/>
  <c r="CY106" i="14" s="1"/>
  <c r="DQ214" i="14"/>
  <c r="DR214" i="14" s="1"/>
  <c r="DS214" i="14" s="1"/>
  <c r="DS213" i="14"/>
  <c r="CC597" i="14"/>
  <c r="CD597" i="14" s="1"/>
  <c r="CJ681" i="14"/>
  <c r="CH682" i="14"/>
  <c r="CI682" i="14" s="1"/>
  <c r="CJ682" i="14" s="1"/>
  <c r="EH417" i="14"/>
  <c r="EF418" i="14"/>
  <c r="EG418" i="14" s="1"/>
  <c r="EH418" i="14" s="1"/>
  <c r="DQ525" i="14"/>
  <c r="DR525" i="14" s="1"/>
  <c r="DS524" i="14"/>
  <c r="DX345" i="14"/>
  <c r="DV346" i="14"/>
  <c r="DW346" i="14" s="1"/>
  <c r="DX346" i="14" s="1"/>
  <c r="CW310" i="14"/>
  <c r="CX310" i="14" s="1"/>
  <c r="CY310" i="14" s="1"/>
  <c r="CY309" i="14"/>
  <c r="EH645" i="14"/>
  <c r="EF646" i="14"/>
  <c r="EG646" i="14" s="1"/>
  <c r="EH646" i="14" s="1"/>
  <c r="DB105" i="14"/>
  <c r="DC105" i="14" s="1"/>
  <c r="DD104" i="14"/>
  <c r="CM622" i="14"/>
  <c r="CN622" i="14" s="1"/>
  <c r="CO622" i="14" s="1"/>
  <c r="CO621" i="14"/>
  <c r="DS116" i="14"/>
  <c r="DQ117" i="14"/>
  <c r="DR117" i="14" s="1"/>
  <c r="DX92" i="14"/>
  <c r="DV93" i="14"/>
  <c r="DW93" i="14" s="1"/>
  <c r="CO548" i="14"/>
  <c r="CM549" i="14"/>
  <c r="CN549" i="14" s="1"/>
  <c r="CH393" i="14"/>
  <c r="CI393" i="14" s="1"/>
  <c r="CJ392" i="14"/>
  <c r="DQ550" i="14"/>
  <c r="DR550" i="14" s="1"/>
  <c r="DS550" i="14" s="1"/>
  <c r="DS549" i="14"/>
  <c r="DQ381" i="14"/>
  <c r="DR381" i="14" s="1"/>
  <c r="DS380" i="14"/>
  <c r="DG309" i="14"/>
  <c r="DH309" i="14" s="1"/>
  <c r="DN140" i="14"/>
  <c r="DL141" i="14"/>
  <c r="DM141" i="14" s="1"/>
  <c r="CC369" i="14"/>
  <c r="CD369" i="14" s="1"/>
  <c r="DG273" i="14"/>
  <c r="DH273" i="14" s="1"/>
  <c r="DQ262" i="14"/>
  <c r="DR262" i="14" s="1"/>
  <c r="DS262" i="14" s="1"/>
  <c r="DS261" i="14"/>
  <c r="DS501" i="14"/>
  <c r="DQ502" i="14"/>
  <c r="DR502" i="14" s="1"/>
  <c r="DS502" i="14" s="1"/>
  <c r="CC225" i="14"/>
  <c r="CD225" i="14" s="1"/>
  <c r="DV585" i="14"/>
  <c r="DW585" i="14" s="1"/>
  <c r="DX584" i="14"/>
  <c r="DV190" i="14"/>
  <c r="DW190" i="14" s="1"/>
  <c r="DX190" i="14" s="1"/>
  <c r="DX189" i="14"/>
  <c r="CR202" i="14"/>
  <c r="CS202" i="14" s="1"/>
  <c r="CT202" i="14" s="1"/>
  <c r="CT201" i="14"/>
  <c r="DB490" i="14"/>
  <c r="DC490" i="14" s="1"/>
  <c r="DD490" i="14" s="1"/>
  <c r="DD489" i="14"/>
  <c r="EA633" i="14"/>
  <c r="EB633" i="14" s="1"/>
  <c r="EC632" i="14"/>
  <c r="CT417" i="14"/>
  <c r="CR418" i="14"/>
  <c r="CS418" i="14" s="1"/>
  <c r="CT418" i="14" s="1"/>
  <c r="DV430" i="14"/>
  <c r="DW430" i="14" s="1"/>
  <c r="DX430" i="14" s="1"/>
  <c r="DX429" i="14"/>
  <c r="DQ585" i="14"/>
  <c r="DR585" i="14" s="1"/>
  <c r="DS584" i="14"/>
  <c r="EA249" i="14"/>
  <c r="EB249" i="14" s="1"/>
  <c r="EC248" i="14"/>
  <c r="DX489" i="14"/>
  <c r="DV490" i="14"/>
  <c r="DW490" i="14" s="1"/>
  <c r="DX490" i="14" s="1"/>
  <c r="CC537" i="14"/>
  <c r="CD537" i="14" s="1"/>
  <c r="DQ430" i="14"/>
  <c r="DR430" i="14" s="1"/>
  <c r="DS430" i="14" s="1"/>
  <c r="DS429" i="14"/>
  <c r="DV465" i="14"/>
  <c r="DW465" i="14" s="1"/>
  <c r="DX464" i="14"/>
  <c r="DB622" i="14"/>
  <c r="DC622" i="14" s="1"/>
  <c r="DD622" i="14" s="1"/>
  <c r="DD621" i="14"/>
  <c r="DX248" i="14"/>
  <c r="DV249" i="14"/>
  <c r="DW249" i="14" s="1"/>
  <c r="EH668" i="14"/>
  <c r="EF669" i="14"/>
  <c r="EG669" i="14" s="1"/>
  <c r="DS453" i="14"/>
  <c r="DQ454" i="14"/>
  <c r="DR454" i="14" s="1"/>
  <c r="DS454" i="14" s="1"/>
  <c r="CC381" i="14"/>
  <c r="CD381" i="14" s="1"/>
  <c r="DD428" i="14"/>
  <c r="DB429" i="14"/>
  <c r="DC429" i="14" s="1"/>
  <c r="EH488" i="14"/>
  <c r="EF489" i="14"/>
  <c r="EG489" i="14" s="1"/>
  <c r="DG477" i="14"/>
  <c r="DH477" i="14" s="1"/>
  <c r="CM297" i="14"/>
  <c r="CN297" i="14" s="1"/>
  <c r="CO296" i="14"/>
  <c r="CR358" i="14"/>
  <c r="CS358" i="14" s="1"/>
  <c r="CT358" i="14" s="1"/>
  <c r="CT357" i="14"/>
  <c r="DG93" i="14"/>
  <c r="DH93" i="14" s="1"/>
  <c r="CJ440" i="14"/>
  <c r="CH441" i="14"/>
  <c r="CI441" i="14" s="1"/>
  <c r="CT224" i="14"/>
  <c r="CR225" i="14"/>
  <c r="CS225" i="14" s="1"/>
  <c r="CR489" i="14"/>
  <c r="CS489" i="14" s="1"/>
  <c r="CT488" i="14"/>
  <c r="CJ308" i="14"/>
  <c r="CH309" i="14"/>
  <c r="CI309" i="14" s="1"/>
  <c r="CM285" i="14"/>
  <c r="CN285" i="14" s="1"/>
  <c r="CO284" i="14"/>
  <c r="CO128" i="14"/>
  <c r="CM129" i="14"/>
  <c r="CN129" i="14" s="1"/>
  <c r="DX656" i="14"/>
  <c r="DV657" i="14"/>
  <c r="DW657" i="14" s="1"/>
  <c r="CW177" i="14"/>
  <c r="CX177" i="14" s="1"/>
  <c r="CY176" i="14"/>
  <c r="EA429" i="14"/>
  <c r="EB429" i="14" s="1"/>
  <c r="EC428" i="14"/>
  <c r="CC69" i="14"/>
  <c r="CD69" i="14" s="1"/>
  <c r="CY285" i="14"/>
  <c r="CW286" i="14"/>
  <c r="CX286" i="14" s="1"/>
  <c r="CY286" i="14" s="1"/>
  <c r="DX392" i="14"/>
  <c r="DV393" i="14"/>
  <c r="DW393" i="14" s="1"/>
  <c r="DL502" i="14"/>
  <c r="DM502" i="14" s="1"/>
  <c r="DN502" i="14" s="1"/>
  <c r="DN501" i="14"/>
  <c r="DG489" i="14"/>
  <c r="DH489" i="14" s="1"/>
  <c r="CO513" i="14"/>
  <c r="CM514" i="14"/>
  <c r="CN514" i="14" s="1"/>
  <c r="CO514" i="14" s="1"/>
  <c r="DQ226" i="14"/>
  <c r="DR226" i="14" s="1"/>
  <c r="DS226" i="14" s="1"/>
  <c r="DS225" i="14"/>
  <c r="DD452" i="14"/>
  <c r="DB453" i="14"/>
  <c r="DC453" i="14" s="1"/>
  <c r="EC561" i="14"/>
  <c r="EA562" i="14"/>
  <c r="EB562" i="14" s="1"/>
  <c r="EC562" i="14" s="1"/>
  <c r="DQ645" i="14"/>
  <c r="DR645" i="14" s="1"/>
  <c r="DS644" i="14"/>
  <c r="DV502" i="14"/>
  <c r="DW502" i="14" s="1"/>
  <c r="DX502" i="14" s="1"/>
  <c r="DX501" i="14"/>
  <c r="CJ356" i="14"/>
  <c r="CH357" i="14"/>
  <c r="CI357" i="14" s="1"/>
  <c r="CM310" i="14"/>
  <c r="CN310" i="14" s="1"/>
  <c r="CO310" i="14" s="1"/>
  <c r="CO309" i="14"/>
  <c r="CW633" i="14"/>
  <c r="CX633" i="14" s="1"/>
  <c r="CY632" i="14"/>
  <c r="DG153" i="14"/>
  <c r="DH153" i="14" s="1"/>
  <c r="CO464" i="14"/>
  <c r="CM465" i="14"/>
  <c r="CN465" i="14" s="1"/>
  <c r="EA525" i="14"/>
  <c r="EB525" i="14" s="1"/>
  <c r="EC524" i="14"/>
  <c r="DB129" i="14"/>
  <c r="DC129" i="14" s="1"/>
  <c r="DD128" i="14"/>
  <c r="CJ320" i="14"/>
  <c r="CH321" i="14"/>
  <c r="CI321" i="14" s="1"/>
  <c r="CW214" i="14"/>
  <c r="CX214" i="14" s="1"/>
  <c r="CY214" i="14" s="1"/>
  <c r="CY213" i="14"/>
  <c r="CC465" i="14"/>
  <c r="CD465" i="14" s="1"/>
  <c r="EC417" i="14"/>
  <c r="EA418" i="14"/>
  <c r="EB418" i="14" s="1"/>
  <c r="EC418" i="14" s="1"/>
  <c r="CC477" i="14"/>
  <c r="CD477" i="14" s="1"/>
  <c r="CO380" i="14"/>
  <c r="CM381" i="14"/>
  <c r="CN381" i="14" s="1"/>
  <c r="DV298" i="14"/>
  <c r="DW298" i="14" s="1"/>
  <c r="DX298" i="14" s="1"/>
  <c r="DX297" i="14"/>
  <c r="CT536" i="14"/>
  <c r="CR537" i="14"/>
  <c r="CS537" i="14" s="1"/>
  <c r="DD464" i="14"/>
  <c r="DB465" i="14"/>
  <c r="DC465" i="14" s="1"/>
  <c r="CY128" i="14"/>
  <c r="CW129" i="14"/>
  <c r="CX129" i="14" s="1"/>
  <c r="DV478" i="14"/>
  <c r="DW478" i="14" s="1"/>
  <c r="DX478" i="14" s="1"/>
  <c r="DX477" i="14"/>
  <c r="EF334" i="14"/>
  <c r="EG334" i="14" s="1"/>
  <c r="EH334" i="14" s="1"/>
  <c r="EH333" i="14"/>
  <c r="CT560" i="14"/>
  <c r="CR561" i="14"/>
  <c r="CS561" i="14" s="1"/>
  <c r="EF249" i="14"/>
  <c r="EG249" i="14" s="1"/>
  <c r="EH248" i="14"/>
  <c r="CH453" i="14"/>
  <c r="CI453" i="14" s="1"/>
  <c r="CJ452" i="14"/>
  <c r="DV381" i="14"/>
  <c r="DW381" i="14" s="1"/>
  <c r="DX380" i="14"/>
  <c r="DQ297" i="14"/>
  <c r="DR297" i="14" s="1"/>
  <c r="DS296" i="14"/>
  <c r="CO488" i="14"/>
  <c r="CM489" i="14"/>
  <c r="CN489" i="14" s="1"/>
  <c r="CO345" i="14"/>
  <c r="CM346" i="14"/>
  <c r="CN346" i="14" s="1"/>
  <c r="CO346" i="14" s="1"/>
  <c r="DL57" i="14"/>
  <c r="DM57" i="14" s="1"/>
  <c r="DN56" i="14"/>
  <c r="DN213" i="14"/>
  <c r="DL214" i="14"/>
  <c r="DM214" i="14" s="1"/>
  <c r="DN214" i="14" s="1"/>
  <c r="DN549" i="14"/>
  <c r="DL550" i="14"/>
  <c r="DM550" i="14" s="1"/>
  <c r="DN550" i="14" s="1"/>
  <c r="DG369" i="14"/>
  <c r="DH369" i="14" s="1"/>
  <c r="DD333" i="14"/>
  <c r="DB334" i="14"/>
  <c r="DC334" i="14" s="1"/>
  <c r="DD334" i="14" s="1"/>
  <c r="DS177" i="14"/>
  <c r="DQ178" i="14"/>
  <c r="DR178" i="14" s="1"/>
  <c r="DS178" i="14" s="1"/>
  <c r="EF154" i="14"/>
  <c r="EG154" i="14" s="1"/>
  <c r="EH154" i="14" s="1"/>
  <c r="EH153" i="14"/>
  <c r="CT453" i="14"/>
  <c r="CR454" i="14"/>
  <c r="CS454" i="14" s="1"/>
  <c r="CT454" i="14" s="1"/>
  <c r="CM538" i="14"/>
  <c r="CN538" i="14" s="1"/>
  <c r="CO538" i="14" s="1"/>
  <c r="CO537" i="14"/>
  <c r="EF622" i="14"/>
  <c r="EG622" i="14" s="1"/>
  <c r="EH622" i="14" s="1"/>
  <c r="EH621" i="14"/>
  <c r="CC429" i="14"/>
  <c r="CD429" i="14" s="1"/>
  <c r="CC165" i="14"/>
  <c r="CD165" i="14" s="1"/>
  <c r="DS356" i="14"/>
  <c r="DQ357" i="14"/>
  <c r="DR357" i="14" s="1"/>
  <c r="CO645" i="14"/>
  <c r="CM646" i="14"/>
  <c r="CN646" i="14" s="1"/>
  <c r="CO646" i="14" s="1"/>
  <c r="EH632" i="14"/>
  <c r="EF633" i="14"/>
  <c r="EG633" i="14" s="1"/>
  <c r="DN453" i="14"/>
  <c r="DL454" i="14"/>
  <c r="DM454" i="14" s="1"/>
  <c r="DN454" i="14" s="1"/>
  <c r="DS165" i="14"/>
  <c r="DQ166" i="14"/>
  <c r="DR166" i="14" s="1"/>
  <c r="DS166" i="14" s="1"/>
  <c r="EH188" i="14"/>
  <c r="EF189" i="14"/>
  <c r="EG189" i="14" s="1"/>
  <c r="CR250" i="14"/>
  <c r="CS250" i="14" s="1"/>
  <c r="CT250" i="14" s="1"/>
  <c r="CT249" i="14"/>
  <c r="DB405" i="14"/>
  <c r="DC405" i="14" s="1"/>
  <c r="DD404" i="14"/>
  <c r="DX105" i="14"/>
  <c r="DV106" i="14"/>
  <c r="DW106" i="14" s="1"/>
  <c r="DX106" i="14" s="1"/>
  <c r="DV285" i="14"/>
  <c r="DW285" i="14" s="1"/>
  <c r="DX284" i="14"/>
  <c r="CT140" i="14"/>
  <c r="CR141" i="14"/>
  <c r="CS141" i="14" s="1"/>
  <c r="DD165" i="14"/>
  <c r="DB166" i="14"/>
  <c r="DC166" i="14" s="1"/>
  <c r="DD166" i="14" s="1"/>
  <c r="DS344" i="14"/>
  <c r="DQ345" i="14"/>
  <c r="DR345" i="14" s="1"/>
  <c r="DX308" i="14"/>
  <c r="DV309" i="14"/>
  <c r="DW309" i="14" s="1"/>
  <c r="DX140" i="14"/>
  <c r="DV141" i="14"/>
  <c r="DW141" i="14" s="1"/>
  <c r="EH609" i="14"/>
  <c r="EF610" i="14"/>
  <c r="EG610" i="14" s="1"/>
  <c r="EH610" i="14" s="1"/>
  <c r="CY249" i="14"/>
  <c r="CW250" i="14"/>
  <c r="CX250" i="14" s="1"/>
  <c r="CY250" i="14" s="1"/>
  <c r="DL574" i="14"/>
  <c r="DM574" i="14" s="1"/>
  <c r="DN574" i="14" s="1"/>
  <c r="DN573" i="14"/>
  <c r="EF513" i="14"/>
  <c r="EG513" i="14" s="1"/>
  <c r="EH512" i="14"/>
  <c r="CC333" i="14"/>
  <c r="CD333" i="14" s="1"/>
  <c r="CC645" i="14"/>
  <c r="CD645" i="14" s="1"/>
  <c r="CW466" i="14"/>
  <c r="CX466" i="14" s="1"/>
  <c r="CY466" i="14" s="1"/>
  <c r="CY465" i="14"/>
  <c r="CH405" i="14"/>
  <c r="CI405" i="14" s="1"/>
  <c r="CJ404" i="14"/>
  <c r="CO333" i="14"/>
  <c r="CM334" i="14"/>
  <c r="CN334" i="14" s="1"/>
  <c r="CO334" i="14" s="1"/>
  <c r="DL682" i="14"/>
  <c r="DM682" i="14" s="1"/>
  <c r="DN682" i="14" s="1"/>
  <c r="DN681" i="14"/>
  <c r="CJ537" i="14"/>
  <c r="CH538" i="14"/>
  <c r="CI538" i="14" s="1"/>
  <c r="CJ538" i="14" s="1"/>
  <c r="DQ561" i="14"/>
  <c r="DR561" i="14" s="1"/>
  <c r="DS560" i="14"/>
  <c r="CC669" i="14"/>
  <c r="CD669" i="14" s="1"/>
  <c r="EF238" i="14"/>
  <c r="EG238" i="14" s="1"/>
  <c r="EH238" i="14" s="1"/>
  <c r="EH237" i="14"/>
  <c r="EC332" i="14"/>
  <c r="EA333" i="14"/>
  <c r="EB333" i="14" s="1"/>
  <c r="DB250" i="14"/>
  <c r="DC250" i="14" s="1"/>
  <c r="DD250" i="14" s="1"/>
  <c r="DD249" i="14"/>
  <c r="CR190" i="14"/>
  <c r="CS190" i="14" s="1"/>
  <c r="CT190" i="14" s="1"/>
  <c r="CT189" i="14"/>
  <c r="DG321" i="14"/>
  <c r="DH321" i="14" s="1"/>
  <c r="EA225" i="14"/>
  <c r="EB225" i="14" s="1"/>
  <c r="EC224" i="14"/>
  <c r="CR430" i="14"/>
  <c r="CS430" i="14" s="1"/>
  <c r="CT430" i="14" s="1"/>
  <c r="CT429" i="14"/>
  <c r="DG441" i="14"/>
  <c r="DH441" i="14" s="1"/>
  <c r="DG429" i="14"/>
  <c r="DH429" i="14" s="1"/>
  <c r="CR502" i="14"/>
  <c r="CS502" i="14" s="1"/>
  <c r="CT502" i="14" s="1"/>
  <c r="CT501" i="14"/>
  <c r="EF478" i="14"/>
  <c r="EG478" i="14" s="1"/>
  <c r="EH478" i="14" s="1"/>
  <c r="EH477" i="14"/>
  <c r="DG357" i="14"/>
  <c r="DH357" i="14" s="1"/>
  <c r="DQ477" i="14"/>
  <c r="DR477" i="14" s="1"/>
  <c r="DS476" i="14"/>
  <c r="CC573" i="14"/>
  <c r="CD573" i="14" s="1"/>
  <c r="EH573" i="14"/>
  <c r="EF574" i="14"/>
  <c r="EG574" i="14" s="1"/>
  <c r="EH574" i="14" s="1"/>
  <c r="CJ644" i="14"/>
  <c r="CH645" i="14"/>
  <c r="CI645" i="14" s="1"/>
  <c r="DG657" i="14"/>
  <c r="DH657" i="14" s="1"/>
  <c r="CT513" i="14"/>
  <c r="CR514" i="14"/>
  <c r="CS514" i="14" s="1"/>
  <c r="CT514" i="14" s="1"/>
  <c r="DG261" i="14"/>
  <c r="DH261" i="14" s="1"/>
  <c r="DG669" i="14"/>
  <c r="DH669" i="14" s="1"/>
  <c r="DQ105" i="14"/>
  <c r="DR105" i="14" s="1"/>
  <c r="DS104" i="14"/>
  <c r="CO477" i="14"/>
  <c r="CM478" i="14"/>
  <c r="CN478" i="14" s="1"/>
  <c r="CO478" i="14" s="1"/>
  <c r="CC441" i="14"/>
  <c r="CD441" i="14" s="1"/>
  <c r="DD212" i="14"/>
  <c r="DB213" i="14"/>
  <c r="DC213" i="14" s="1"/>
  <c r="CJ573" i="14"/>
  <c r="CH574" i="14"/>
  <c r="CI574" i="14" s="1"/>
  <c r="CJ574" i="14" s="1"/>
  <c r="DG201" i="14"/>
  <c r="DH201" i="14" s="1"/>
  <c r="CO524" i="14"/>
  <c r="CM525" i="14"/>
  <c r="CN525" i="14" s="1"/>
  <c r="CH142" i="14"/>
  <c r="CI142" i="14" s="1"/>
  <c r="CJ142" i="14" s="1"/>
  <c r="CJ141" i="14"/>
  <c r="DD320" i="14"/>
  <c r="DB321" i="14"/>
  <c r="DC321" i="14" s="1"/>
  <c r="CW333" i="14"/>
  <c r="CX333" i="14" s="1"/>
  <c r="CY332" i="14"/>
  <c r="CC657" i="14"/>
  <c r="CD657" i="14" s="1"/>
  <c r="EH680" i="14"/>
  <c r="EF681" i="14"/>
  <c r="EG681" i="14" s="1"/>
  <c r="DS417" i="14"/>
  <c r="DQ418" i="14"/>
  <c r="DR418" i="14" s="1"/>
  <c r="DS418" i="14" s="1"/>
  <c r="EC273" i="14"/>
  <c r="EA274" i="14"/>
  <c r="EB274" i="14" s="1"/>
  <c r="EC274" i="14" s="1"/>
  <c r="DS69" i="14"/>
  <c r="DQ70" i="14"/>
  <c r="DR70" i="14" s="1"/>
  <c r="DS70" i="14" s="1"/>
  <c r="EH224" i="14"/>
  <c r="EF225" i="14"/>
  <c r="EG225" i="14" s="1"/>
  <c r="CR118" i="14"/>
  <c r="CS118" i="14" s="1"/>
  <c r="CT118" i="14" s="1"/>
  <c r="CT117" i="14"/>
  <c r="CW166" i="14"/>
  <c r="CX166" i="14" s="1"/>
  <c r="CY166" i="14" s="1"/>
  <c r="CY165" i="14"/>
  <c r="CM201" i="14"/>
  <c r="CN201" i="14" s="1"/>
  <c r="CO200" i="14"/>
  <c r="CT405" i="14"/>
  <c r="CR406" i="14"/>
  <c r="CS406" i="14" s="1"/>
  <c r="CT406" i="14" s="1"/>
  <c r="DD188" i="14"/>
  <c r="DB189" i="14"/>
  <c r="DC189" i="14" s="1"/>
  <c r="EA645" i="14"/>
  <c r="EB645" i="14" s="1"/>
  <c r="EC644" i="14"/>
  <c r="CO176" i="14"/>
  <c r="CM177" i="14"/>
  <c r="CN177" i="14" s="1"/>
  <c r="CH597" i="14"/>
  <c r="CI597" i="14" s="1"/>
  <c r="CJ596" i="14"/>
  <c r="DD345" i="14"/>
  <c r="DB346" i="14"/>
  <c r="DC346" i="14" s="1"/>
  <c r="DD346" i="14" s="1"/>
  <c r="DD261" i="14"/>
  <c r="DB262" i="14"/>
  <c r="DC262" i="14" s="1"/>
  <c r="DD262" i="14" s="1"/>
  <c r="CM165" i="14"/>
  <c r="CN165" i="14" s="1"/>
  <c r="CO164" i="14"/>
  <c r="EH537" i="14"/>
  <c r="EF538" i="14"/>
  <c r="EG538" i="14" s="1"/>
  <c r="EH538" i="14" s="1"/>
  <c r="DQ93" i="14"/>
  <c r="DR93" i="14" s="1"/>
  <c r="DS92" i="14"/>
  <c r="CH130" i="14"/>
  <c r="CI130" i="14" s="1"/>
  <c r="CJ130" i="14" s="1"/>
  <c r="CJ129" i="14"/>
  <c r="CJ621" i="14"/>
  <c r="CH622" i="14"/>
  <c r="CI622" i="14" s="1"/>
  <c r="CJ622" i="14" s="1"/>
  <c r="CJ608" i="14"/>
  <c r="CH609" i="14"/>
  <c r="CI609" i="14" s="1"/>
  <c r="CH201" i="14"/>
  <c r="CI201" i="14" s="1"/>
  <c r="CJ200" i="14"/>
  <c r="CT284" i="14"/>
  <c r="CR285" i="14"/>
  <c r="CS285" i="14" s="1"/>
  <c r="DN176" i="14"/>
  <c r="DL177" i="14"/>
  <c r="DM177" i="14" s="1"/>
  <c r="DB573" i="14"/>
  <c r="DC573" i="14" s="1"/>
  <c r="DD572" i="14"/>
  <c r="DN633" i="14"/>
  <c r="DL634" i="14"/>
  <c r="DM634" i="14" s="1"/>
  <c r="DN634" i="14" s="1"/>
  <c r="DD176" i="14"/>
  <c r="DB177" i="14"/>
  <c r="DC177" i="14" s="1"/>
  <c r="CH105" i="14"/>
  <c r="CI105" i="14" s="1"/>
  <c r="CJ104" i="14"/>
  <c r="CM358" i="14"/>
  <c r="CN358" i="14" s="1"/>
  <c r="CO358" i="14" s="1"/>
  <c r="CO357" i="14"/>
  <c r="CR94" i="14"/>
  <c r="CS94" i="14" s="1"/>
  <c r="CT94" i="14" s="1"/>
  <c r="CT93" i="14"/>
  <c r="EA466" i="14"/>
  <c r="EB466" i="14" s="1"/>
  <c r="EC466" i="14" s="1"/>
  <c r="EC465" i="14"/>
  <c r="DN416" i="14"/>
  <c r="DL417" i="14"/>
  <c r="DM417" i="14" s="1"/>
  <c r="CW681" i="14"/>
  <c r="CX681" i="14" s="1"/>
  <c r="CY680" i="14"/>
  <c r="CR106" i="14"/>
  <c r="CS106" i="14" s="1"/>
  <c r="CT106" i="14" s="1"/>
  <c r="CT105" i="14"/>
  <c r="CY585" i="14"/>
  <c r="CW586" i="14"/>
  <c r="CX586" i="14" s="1"/>
  <c r="CY586" i="14" s="1"/>
  <c r="DG249" i="14"/>
  <c r="DH249" i="14" s="1"/>
  <c r="DG621" i="14"/>
  <c r="DH621" i="14" s="1"/>
  <c r="DB357" i="14"/>
  <c r="DC357" i="14" s="1"/>
  <c r="DD356" i="14"/>
  <c r="DL105" i="14"/>
  <c r="DM105" i="14" s="1"/>
  <c r="DN104" i="14"/>
  <c r="CH297" i="14"/>
  <c r="CI297" i="14" s="1"/>
  <c r="CJ296" i="14"/>
  <c r="CJ249" i="14"/>
  <c r="CH250" i="14"/>
  <c r="CI250" i="14" s="1"/>
  <c r="CJ250" i="14" s="1"/>
  <c r="CH213" i="14"/>
  <c r="CI213" i="14" s="1"/>
  <c r="CJ212" i="14"/>
  <c r="CO369" i="14"/>
  <c r="CM370" i="14"/>
  <c r="CN370" i="14" s="1"/>
  <c r="CO370" i="14" s="1"/>
  <c r="DG393" i="14"/>
  <c r="DH393" i="14" s="1"/>
  <c r="DD380" i="14"/>
  <c r="DB381" i="14"/>
  <c r="DC381" i="14" s="1"/>
  <c r="CM93" i="14"/>
  <c r="CN93" i="14" s="1"/>
  <c r="CO92" i="14"/>
  <c r="DQ657" i="14"/>
  <c r="DR657" i="14" s="1"/>
  <c r="DS656" i="14"/>
  <c r="EA370" i="14"/>
  <c r="EB370" i="14" s="1"/>
  <c r="EC370" i="14" s="1"/>
  <c r="EC369" i="14"/>
  <c r="EC284" i="14"/>
  <c r="EA285" i="14"/>
  <c r="EB285" i="14" s="1"/>
  <c r="CY441" i="14"/>
  <c r="CW442" i="14"/>
  <c r="CX442" i="14" s="1"/>
  <c r="CY442" i="14" s="1"/>
  <c r="EF106" i="14"/>
  <c r="EG106" i="14" s="1"/>
  <c r="EH106" i="14" s="1"/>
  <c r="EH105" i="14"/>
  <c r="DX225" i="14"/>
  <c r="DV226" i="14"/>
  <c r="DW226" i="14" s="1"/>
  <c r="DX226" i="14" s="1"/>
  <c r="EF261" i="14"/>
  <c r="EG261" i="14" s="1"/>
  <c r="EH260" i="14"/>
  <c r="CH225" i="14"/>
  <c r="CI225" i="14" s="1"/>
  <c r="CJ224" i="14"/>
  <c r="CY417" i="14"/>
  <c r="CW418" i="14"/>
  <c r="CX418" i="14" s="1"/>
  <c r="CY418" i="14" s="1"/>
  <c r="CY345" i="14"/>
  <c r="CW346" i="14"/>
  <c r="CX346" i="14" s="1"/>
  <c r="CY346" i="14" s="1"/>
  <c r="CC489" i="14"/>
  <c r="CD489" i="14" s="1"/>
  <c r="DV597" i="14"/>
  <c r="DW597" i="14" s="1"/>
  <c r="DX596" i="14"/>
  <c r="CC57" i="14"/>
  <c r="CD57" i="14" s="1"/>
  <c r="EF526" i="14"/>
  <c r="EG526" i="14" s="1"/>
  <c r="EH526" i="14" s="1"/>
  <c r="EH525" i="14"/>
  <c r="DD500" i="14"/>
  <c r="DB501" i="14"/>
  <c r="DC501" i="14" s="1"/>
  <c r="DG333" i="14"/>
  <c r="DH333" i="14" s="1"/>
  <c r="CH273" i="14"/>
  <c r="CI273" i="14" s="1"/>
  <c r="CJ272" i="14"/>
  <c r="CC93" i="14"/>
  <c r="CD93" i="14" s="1"/>
  <c r="CW358" i="14"/>
  <c r="CX358" i="14" s="1"/>
  <c r="CY358" i="14" s="1"/>
  <c r="CY357" i="14"/>
  <c r="DD416" i="14"/>
  <c r="DB417" i="14"/>
  <c r="DC417" i="14" s="1"/>
  <c r="DB477" i="14"/>
  <c r="DC477" i="14" s="1"/>
  <c r="DD476" i="14"/>
  <c r="CW118" i="14"/>
  <c r="CX118" i="14" s="1"/>
  <c r="CY118" i="14" s="1"/>
  <c r="CY117" i="14"/>
  <c r="DG57" i="14"/>
  <c r="DH57" i="14" s="1"/>
  <c r="EA70" i="14"/>
  <c r="EB70" i="14" s="1"/>
  <c r="EC70" i="14" s="1"/>
  <c r="EC69" i="14"/>
  <c r="CC525" i="14"/>
  <c r="CD525" i="14" s="1"/>
  <c r="CC561" i="14"/>
  <c r="CD561" i="14" s="1"/>
  <c r="CM70" i="14"/>
  <c r="CN70" i="14" s="1"/>
  <c r="CO70" i="14" s="1"/>
  <c r="CO69" i="14"/>
  <c r="DN476" i="14"/>
  <c r="DL477" i="14"/>
  <c r="DM477" i="14" s="1"/>
  <c r="CW262" i="14"/>
  <c r="CX262" i="14" s="1"/>
  <c r="CY262" i="14" s="1"/>
  <c r="CY261" i="14"/>
  <c r="DL442" i="14"/>
  <c r="DM442" i="14" s="1"/>
  <c r="DN442" i="14" s="1"/>
  <c r="DN441" i="14"/>
  <c r="DS465" i="14"/>
  <c r="DQ466" i="14"/>
  <c r="DR466" i="14" s="1"/>
  <c r="DS466" i="14" s="1"/>
  <c r="EA585" i="14"/>
  <c r="EB585" i="14" s="1"/>
  <c r="EC584" i="14"/>
  <c r="CT572" i="14"/>
  <c r="CR573" i="14"/>
  <c r="CS573" i="14" s="1"/>
  <c r="CC393" i="14"/>
  <c r="CD393" i="14" s="1"/>
  <c r="EH273" i="14"/>
  <c r="EF274" i="14"/>
  <c r="EG274" i="14" s="1"/>
  <c r="EH274" i="14" s="1"/>
  <c r="EA298" i="14"/>
  <c r="EB298" i="14" s="1"/>
  <c r="EC298" i="14" s="1"/>
  <c r="EC297" i="14"/>
  <c r="DD513" i="14"/>
  <c r="DB514" i="14"/>
  <c r="DC514" i="14" s="1"/>
  <c r="DD514" i="14" s="1"/>
  <c r="DD633" i="14"/>
  <c r="DB634" i="14"/>
  <c r="DC634" i="14" s="1"/>
  <c r="DD634" i="14" s="1"/>
  <c r="CR609" i="14"/>
  <c r="CS609" i="14" s="1"/>
  <c r="CT608" i="14"/>
  <c r="DN464" i="14"/>
  <c r="DL465" i="14"/>
  <c r="DM465" i="14" s="1"/>
  <c r="DS368" i="14"/>
  <c r="DQ369" i="14"/>
  <c r="DR369" i="14" s="1"/>
  <c r="CC297" i="14"/>
  <c r="CD297" i="14" s="1"/>
  <c r="DL645" i="14"/>
  <c r="DM645" i="14" s="1"/>
  <c r="DN644" i="14"/>
  <c r="DG285" i="14"/>
  <c r="DH285" i="14" s="1"/>
  <c r="CC129" i="14"/>
  <c r="CD129" i="14" s="1"/>
  <c r="EH501" i="14"/>
  <c r="EF502" i="14"/>
  <c r="EG502" i="14" s="1"/>
  <c r="EH502" i="14" s="1"/>
  <c r="CR598" i="14"/>
  <c r="CS598" i="14" s="1"/>
  <c r="CT598" i="14" s="1"/>
  <c r="CT597" i="14"/>
  <c r="CR57" i="14"/>
  <c r="CS57" i="14" s="1"/>
  <c r="CT56" i="14"/>
  <c r="CO453" i="14"/>
  <c r="CM454" i="14"/>
  <c r="CN454" i="14" s="1"/>
  <c r="CO454" i="14" s="1"/>
  <c r="CW394" i="14"/>
  <c r="CX394" i="14" s="1"/>
  <c r="CY394" i="14" s="1"/>
  <c r="CY393" i="14"/>
  <c r="CH189" i="14"/>
  <c r="CI189" i="14" s="1"/>
  <c r="CJ188" i="14"/>
  <c r="DQ621" i="14"/>
  <c r="DR621" i="14" s="1"/>
  <c r="DS620" i="14"/>
  <c r="DN536" i="14"/>
  <c r="DL537" i="14"/>
  <c r="DM537" i="14" s="1"/>
  <c r="DS285" i="14"/>
  <c r="DQ286" i="14"/>
  <c r="DR286" i="14" s="1"/>
  <c r="DS286" i="14" s="1"/>
  <c r="CY369" i="14"/>
  <c r="CW370" i="14"/>
  <c r="CX370" i="14" s="1"/>
  <c r="CY370" i="14" s="1"/>
  <c r="EH404" i="14"/>
  <c r="EF405" i="14"/>
  <c r="EG405" i="14" s="1"/>
  <c r="CT632" i="14"/>
  <c r="CR633" i="14"/>
  <c r="CS633" i="14" s="1"/>
  <c r="EA357" i="14"/>
  <c r="EB357" i="14" s="1"/>
  <c r="EC356" i="14"/>
  <c r="CC417" i="14"/>
  <c r="CD417" i="14" s="1"/>
  <c r="EF309" i="14"/>
  <c r="EG309" i="14" s="1"/>
  <c r="EH308" i="14"/>
  <c r="DG549" i="14"/>
  <c r="DH549" i="14" s="1"/>
  <c r="CC237" i="14"/>
  <c r="CD237" i="14" s="1"/>
  <c r="CT237" i="14"/>
  <c r="CR238" i="14"/>
  <c r="CS238" i="14" s="1"/>
  <c r="CT238" i="14" s="1"/>
  <c r="DX272" i="14"/>
  <c r="DV273" i="14"/>
  <c r="DW273" i="14" s="1"/>
  <c r="CW537" i="14"/>
  <c r="CX537" i="14" s="1"/>
  <c r="CY536" i="14"/>
  <c r="CT393" i="14"/>
  <c r="CR394" i="14"/>
  <c r="CS394" i="14" s="1"/>
  <c r="CT394" i="14" s="1"/>
  <c r="CH586" i="14"/>
  <c r="CI586" i="14" s="1"/>
  <c r="CJ586" i="14" s="1"/>
  <c r="CJ585" i="14"/>
  <c r="CY380" i="14"/>
  <c r="CW381" i="14"/>
  <c r="CX381" i="14" s="1"/>
  <c r="EA94" i="14"/>
  <c r="EB94" i="14" s="1"/>
  <c r="EC94" i="14" s="1"/>
  <c r="EC93" i="14"/>
  <c r="EA153" i="14"/>
  <c r="EB153" i="14" s="1"/>
  <c r="EC152" i="14"/>
  <c r="DV370" i="14"/>
  <c r="DW370" i="14" s="1"/>
  <c r="DX370" i="14" s="1"/>
  <c r="DX369" i="14"/>
  <c r="CW573" i="14"/>
  <c r="CX573" i="14" s="1"/>
  <c r="CY572" i="14"/>
  <c r="EH428" i="14"/>
  <c r="EF429" i="14"/>
  <c r="EG429" i="14" s="1"/>
  <c r="CT525" i="14"/>
  <c r="CR526" i="14"/>
  <c r="CS526" i="14" s="1"/>
  <c r="CT526" i="14" s="1"/>
  <c r="CY273" i="14"/>
  <c r="CW274" i="14"/>
  <c r="CX274" i="14" s="1"/>
  <c r="CY274" i="14" s="1"/>
  <c r="CO224" i="14"/>
  <c r="CM225" i="14"/>
  <c r="CN225" i="14" s="1"/>
  <c r="DG501" i="14"/>
  <c r="DH501" i="14" s="1"/>
  <c r="CY644" i="14"/>
  <c r="CW645" i="14"/>
  <c r="CX645" i="14" s="1"/>
  <c r="CJ524" i="14"/>
  <c r="CH525" i="14"/>
  <c r="CI525" i="14" s="1"/>
  <c r="DG141" i="14"/>
  <c r="DH141" i="14" s="1"/>
  <c r="CJ333" i="14"/>
  <c r="CH334" i="14"/>
  <c r="CI334" i="14" s="1"/>
  <c r="CJ334" i="14" s="1"/>
  <c r="DB201" i="14"/>
  <c r="DC201" i="14" s="1"/>
  <c r="DD200" i="14"/>
  <c r="DD536" i="14"/>
  <c r="DB537" i="14"/>
  <c r="DC537" i="14" s="1"/>
  <c r="DN405" i="14"/>
  <c r="DL406" i="14"/>
  <c r="DM406" i="14" s="1"/>
  <c r="DN406" i="14" s="1"/>
  <c r="DG597" i="14"/>
  <c r="DH597" i="14" s="1"/>
  <c r="DL394" i="14"/>
  <c r="DM394" i="14" s="1"/>
  <c r="DN394" i="14" s="1"/>
  <c r="DN393" i="14"/>
  <c r="CC213" i="14"/>
  <c r="CD213" i="14" s="1"/>
  <c r="DD92" i="14"/>
  <c r="DB93" i="14"/>
  <c r="DC93" i="14" s="1"/>
  <c r="CY488" i="14"/>
  <c r="CW489" i="14"/>
  <c r="CX489" i="14" s="1"/>
  <c r="CM406" i="14"/>
  <c r="CN406" i="14" s="1"/>
  <c r="CO406" i="14" s="1"/>
  <c r="CO405" i="14"/>
  <c r="EA538" i="14"/>
  <c r="EB538" i="14" s="1"/>
  <c r="EC538" i="14" s="1"/>
  <c r="EC537" i="14"/>
  <c r="CO249" i="14"/>
  <c r="CM250" i="14"/>
  <c r="CN250" i="14" s="1"/>
  <c r="CO250" i="14" s="1"/>
  <c r="CJ429" i="14"/>
  <c r="CH430" i="14"/>
  <c r="CI430" i="14" s="1"/>
  <c r="CJ430" i="14" s="1"/>
  <c r="CO320" i="14"/>
  <c r="CM321" i="14"/>
  <c r="CN321" i="14" s="1"/>
  <c r="DQ393" i="14"/>
  <c r="DR393" i="14" s="1"/>
  <c r="DS392" i="14"/>
  <c r="EC128" i="14"/>
  <c r="EA129" i="14"/>
  <c r="EB129" i="14" s="1"/>
  <c r="EH344" i="14"/>
  <c r="EF345" i="14"/>
  <c r="EG345" i="14" s="1"/>
  <c r="DQ202" i="14"/>
  <c r="DR202" i="14" s="1"/>
  <c r="DS202" i="14" s="1"/>
  <c r="DS201" i="14"/>
  <c r="CC549" i="14"/>
  <c r="CD549" i="14" s="1"/>
  <c r="CO213" i="14"/>
  <c r="CM214" i="14"/>
  <c r="CN214" i="14" s="1"/>
  <c r="CO214" i="14" s="1"/>
  <c r="DD656" i="14"/>
  <c r="DB657" i="14"/>
  <c r="DC657" i="14" s="1"/>
  <c r="EC104" i="14"/>
  <c r="EA105" i="14"/>
  <c r="EB105" i="14" s="1"/>
  <c r="DV442" i="14"/>
  <c r="DW442" i="14" s="1"/>
  <c r="DX442" i="14" s="1"/>
  <c r="DX441" i="14"/>
  <c r="CR682" i="14"/>
  <c r="CS682" i="14" s="1"/>
  <c r="CT682" i="14" s="1"/>
  <c r="CT681" i="14"/>
  <c r="CT477" i="14"/>
  <c r="CR478" i="14"/>
  <c r="CS478" i="14" s="1"/>
  <c r="CT478" i="14" s="1"/>
  <c r="CJ416" i="14"/>
  <c r="CH417" i="14"/>
  <c r="CI417" i="14" s="1"/>
  <c r="DN297" i="14"/>
  <c r="DL298" i="14"/>
  <c r="DM298" i="14" s="1"/>
  <c r="DN298" i="14" s="1"/>
  <c r="DN68" i="14"/>
  <c r="DL69" i="14"/>
  <c r="DM69" i="14" s="1"/>
  <c r="CO261" i="14"/>
  <c r="CM262" i="14"/>
  <c r="CN262" i="14" s="1"/>
  <c r="CO262" i="14" s="1"/>
  <c r="CJ117" i="14"/>
  <c r="CH118" i="14"/>
  <c r="CI118" i="14" s="1"/>
  <c r="CJ118" i="14" s="1"/>
  <c r="DN597" i="14"/>
  <c r="DL598" i="14"/>
  <c r="DM598" i="14" s="1"/>
  <c r="DN598" i="14" s="1"/>
  <c r="CC141" i="14"/>
  <c r="CD141" i="14" s="1"/>
  <c r="CM117" i="14"/>
  <c r="CN117" i="14" s="1"/>
  <c r="CO116" i="14"/>
  <c r="DD369" i="14"/>
  <c r="DB370" i="14"/>
  <c r="DC370" i="14" s="1"/>
  <c r="DD370" i="14" s="1"/>
  <c r="DL430" i="14"/>
  <c r="DM430" i="14" s="1"/>
  <c r="DN430" i="14" s="1"/>
  <c r="DN429" i="14"/>
  <c r="CC405" i="14"/>
  <c r="CD405" i="14" s="1"/>
  <c r="EH548" i="14"/>
  <c r="EF549" i="14"/>
  <c r="EG549" i="14" s="1"/>
  <c r="DV682" i="14"/>
  <c r="DW682" i="14" s="1"/>
  <c r="DX682" i="14" s="1"/>
  <c r="DX681" i="14"/>
  <c r="DX177" i="14"/>
  <c r="DV178" i="14"/>
  <c r="DW178" i="14" s="1"/>
  <c r="DX178" i="14" s="1"/>
  <c r="CC453" i="14"/>
  <c r="CD453" i="14" s="1"/>
  <c r="EA201" i="14"/>
  <c r="EB201" i="14" s="1"/>
  <c r="EC200" i="14"/>
  <c r="DG405" i="14"/>
  <c r="DH405" i="14" s="1"/>
  <c r="DX416" i="14"/>
  <c r="DV417" i="14"/>
  <c r="DW417" i="14" s="1"/>
  <c r="DN321" i="14"/>
  <c r="DL322" i="14"/>
  <c r="DM322" i="14" s="1"/>
  <c r="DN322" i="14" s="1"/>
  <c r="CR442" i="14"/>
  <c r="CS442" i="14" s="1"/>
  <c r="CT442" i="14" s="1"/>
  <c r="CT441" i="14"/>
  <c r="DX405" i="14"/>
  <c r="DV406" i="14"/>
  <c r="DW406" i="14" s="1"/>
  <c r="DX406" i="14" s="1"/>
  <c r="CC273" i="14"/>
  <c r="CD273" i="14" s="1"/>
  <c r="CJ464" i="14"/>
  <c r="CH465" i="14"/>
  <c r="CI465" i="14" s="1"/>
  <c r="CH93" i="14"/>
  <c r="CI93" i="14" s="1"/>
  <c r="CJ92" i="14"/>
  <c r="DD225" i="14"/>
  <c r="DB226" i="14"/>
  <c r="DC226" i="14" s="1"/>
  <c r="DD226" i="14" s="1"/>
  <c r="CT584" i="14"/>
  <c r="CR585" i="14"/>
  <c r="CS585" i="14" s="1"/>
  <c r="EH284" i="14"/>
  <c r="EF285" i="14"/>
  <c r="EG285" i="14" s="1"/>
  <c r="DV645" i="14"/>
  <c r="DW645" i="14" s="1"/>
  <c r="DX644" i="14"/>
  <c r="EC213" i="14"/>
  <c r="EA214" i="14"/>
  <c r="EB214" i="14" s="1"/>
  <c r="EC214" i="14" s="1"/>
  <c r="CW226" i="14"/>
  <c r="CX226" i="14" s="1"/>
  <c r="CY226" i="14" s="1"/>
  <c r="CY225" i="14"/>
  <c r="CC357" i="14"/>
  <c r="CD357" i="14" s="1"/>
  <c r="CW562" i="14"/>
  <c r="CX562" i="14" s="1"/>
  <c r="CY562" i="14" s="1"/>
  <c r="CY561" i="14"/>
  <c r="DV214" i="14"/>
  <c r="DW214" i="14" s="1"/>
  <c r="DX214" i="14" s="1"/>
  <c r="DX213" i="14"/>
  <c r="CO657" i="14"/>
  <c r="CM658" i="14"/>
  <c r="CN658" i="14" s="1"/>
  <c r="CO658" i="14" s="1"/>
  <c r="EA393" i="14"/>
  <c r="EB393" i="14" s="1"/>
  <c r="EC392" i="14"/>
  <c r="CM142" i="14"/>
  <c r="CN142" i="14" s="1"/>
  <c r="CO142" i="14" s="1"/>
  <c r="CO141" i="14"/>
  <c r="DV70" i="14"/>
  <c r="DW70" i="14" s="1"/>
  <c r="DX70" i="14" s="1"/>
  <c r="DX69" i="14"/>
  <c r="DG453" i="14"/>
  <c r="DH453" i="14" s="1"/>
  <c r="EF358" i="14"/>
  <c r="EG358" i="14" s="1"/>
  <c r="EH358" i="14" s="1"/>
  <c r="EH357" i="14"/>
  <c r="CY476" i="14"/>
  <c r="CW477" i="14"/>
  <c r="CX477" i="14" s="1"/>
  <c r="DN237" i="14"/>
  <c r="DL238" i="14"/>
  <c r="DM238" i="14" s="1"/>
  <c r="DN238" i="14" s="1"/>
  <c r="DN152" i="14"/>
  <c r="DL153" i="14"/>
  <c r="DM153" i="14" s="1"/>
  <c r="DV333" i="14"/>
  <c r="DW333" i="14" s="1"/>
  <c r="DX332" i="14"/>
  <c r="EH57" i="14"/>
  <c r="EF58" i="14"/>
  <c r="EG58" i="14" s="1"/>
  <c r="EH58" i="14" s="1"/>
  <c r="DG177" i="14"/>
  <c r="DH177" i="14" s="1"/>
  <c r="DB57" i="14"/>
  <c r="DC57" i="14" s="1"/>
  <c r="DD56" i="14"/>
  <c r="DX164" i="14"/>
  <c r="DV165" i="14"/>
  <c r="DW165" i="14" s="1"/>
  <c r="CT177" i="14"/>
  <c r="CR178" i="14"/>
  <c r="CS178" i="14" s="1"/>
  <c r="CT178" i="14" s="1"/>
  <c r="EC656" i="14"/>
  <c r="EA657" i="14"/>
  <c r="EB657" i="14" s="1"/>
  <c r="EF142" i="14"/>
  <c r="EG142" i="14" s="1"/>
  <c r="EH142" i="14" s="1"/>
  <c r="EH141" i="14"/>
  <c r="CT68" i="14"/>
  <c r="CR69" i="14"/>
  <c r="CS69" i="14" s="1"/>
  <c r="EF394" i="14"/>
  <c r="EG394" i="14" s="1"/>
  <c r="EH394" i="14" s="1"/>
  <c r="EH393" i="14"/>
  <c r="DB298" i="14"/>
  <c r="DC298" i="14" s="1"/>
  <c r="DD298" i="14" s="1"/>
  <c r="DD297" i="14"/>
  <c r="DV237" i="14"/>
  <c r="DW237" i="14" s="1"/>
  <c r="DX236" i="14"/>
  <c r="CT381" i="14"/>
  <c r="CR382" i="14"/>
  <c r="CS382" i="14" s="1"/>
  <c r="CT382" i="14" s="1"/>
  <c r="DG513" i="14"/>
  <c r="DH513" i="14" s="1"/>
  <c r="CW141" i="14"/>
  <c r="CX141" i="14" s="1"/>
  <c r="CY140" i="14"/>
  <c r="CO273" i="14"/>
  <c r="CM274" i="14"/>
  <c r="CN274" i="14" s="1"/>
  <c r="CO274" i="14" s="1"/>
  <c r="EA597" i="14"/>
  <c r="EB597" i="14" s="1"/>
  <c r="EC596" i="14"/>
  <c r="EH561" i="14"/>
  <c r="EF562" i="14"/>
  <c r="EG562" i="14" s="1"/>
  <c r="EH562" i="14" s="1"/>
  <c r="EA261" i="14"/>
  <c r="EB261" i="14" s="1"/>
  <c r="EC260" i="14"/>
  <c r="CY609" i="14"/>
  <c r="CW610" i="14"/>
  <c r="CX610" i="14" s="1"/>
  <c r="CY610" i="14" s="1"/>
  <c r="CO57" i="14"/>
  <c r="CM58" i="14"/>
  <c r="CN58" i="14" s="1"/>
  <c r="CO58" i="14" s="1"/>
  <c r="DD561" i="14"/>
  <c r="DB562" i="14"/>
  <c r="DC562" i="14" s="1"/>
  <c r="DD562" i="14" s="1"/>
  <c r="CH489" i="14"/>
  <c r="CI489" i="14" s="1"/>
  <c r="CJ488" i="14"/>
  <c r="DN560" i="14"/>
  <c r="DL561" i="14"/>
  <c r="DM561" i="14" s="1"/>
  <c r="DG417" i="14"/>
  <c r="DH417" i="14" s="1"/>
  <c r="EA681" i="14"/>
  <c r="EB681" i="14" s="1"/>
  <c r="EC680" i="14"/>
  <c r="CR321" i="14"/>
  <c r="CS321" i="14" s="1"/>
  <c r="CT320" i="14"/>
  <c r="CJ237" i="14"/>
  <c r="CH238" i="14"/>
  <c r="CI238" i="14" s="1"/>
  <c r="CJ238" i="14" s="1"/>
  <c r="CJ501" i="14"/>
  <c r="CH502" i="14"/>
  <c r="CI502" i="14" s="1"/>
  <c r="CJ502" i="14" s="1"/>
  <c r="DG585" i="14"/>
  <c r="DH585" i="14" s="1"/>
  <c r="CY201" i="14"/>
  <c r="CW202" i="14"/>
  <c r="CX202" i="14" s="1"/>
  <c r="CY202" i="14" s="1"/>
  <c r="DG633" i="14"/>
  <c r="DH633" i="14" s="1"/>
  <c r="CO668" i="14"/>
  <c r="CM669" i="14"/>
  <c r="CN669" i="14" s="1"/>
  <c r="DQ538" i="14"/>
  <c r="DR538" i="14" s="1"/>
  <c r="DS538" i="14" s="1"/>
  <c r="DS537" i="14"/>
  <c r="CR262" i="14"/>
  <c r="CS262" i="14" s="1"/>
  <c r="CT262" i="14" s="1"/>
  <c r="CT261" i="14"/>
  <c r="DG561" i="14"/>
  <c r="DH561" i="14" s="1"/>
  <c r="DS632" i="14"/>
  <c r="DQ633" i="14"/>
  <c r="DR633" i="14" s="1"/>
  <c r="EA237" i="14"/>
  <c r="EB237" i="14" s="1"/>
  <c r="EC236" i="14"/>
  <c r="DB586" i="14"/>
  <c r="DC586" i="14" s="1"/>
  <c r="DD586" i="14" s="1"/>
  <c r="DD585" i="14"/>
  <c r="DV537" i="14"/>
  <c r="DW537" i="14" s="1"/>
  <c r="DX536" i="14"/>
  <c r="CR310" i="14"/>
  <c r="CS310" i="14" s="1"/>
  <c r="CT310" i="14" s="1"/>
  <c r="CT309" i="14"/>
  <c r="DD548" i="14"/>
  <c r="DB549" i="14"/>
  <c r="DC549" i="14" s="1"/>
  <c r="EA382" i="14"/>
  <c r="EB382" i="14" s="1"/>
  <c r="EC382" i="14" s="1"/>
  <c r="EC381" i="14"/>
  <c r="CH70" i="14"/>
  <c r="CI70" i="14" s="1"/>
  <c r="CJ70" i="14" s="1"/>
  <c r="CJ69" i="14"/>
  <c r="CW501" i="14"/>
  <c r="CX501" i="14" s="1"/>
  <c r="CY500" i="14"/>
  <c r="CC153" i="14"/>
  <c r="CD153" i="14" s="1"/>
  <c r="CH549" i="14"/>
  <c r="CI549" i="14" s="1"/>
  <c r="CJ548" i="14"/>
  <c r="EF442" i="14"/>
  <c r="EG442" i="14" s="1"/>
  <c r="EH442" i="14" s="1"/>
  <c r="EH441" i="14"/>
  <c r="CC261" i="14"/>
  <c r="CD261" i="14" s="1"/>
  <c r="DV261" i="14"/>
  <c r="DW261" i="14" s="1"/>
  <c r="DX260" i="14"/>
  <c r="EH297" i="14"/>
  <c r="EF298" i="14"/>
  <c r="EG298" i="14" s="1"/>
  <c r="EH298" i="14" s="1"/>
  <c r="CC321" i="14"/>
  <c r="CD321" i="14" s="1"/>
  <c r="DL369" i="14"/>
  <c r="DM369" i="14" s="1"/>
  <c r="DN368" i="14"/>
  <c r="DS237" i="14"/>
  <c r="DQ238" i="14"/>
  <c r="DR238" i="14" s="1"/>
  <c r="DS238" i="14" s="1"/>
  <c r="EH321" i="14"/>
  <c r="EF322" i="14"/>
  <c r="EG322" i="14" s="1"/>
  <c r="EH322" i="14" s="1"/>
  <c r="DQ489" i="14"/>
  <c r="DR489" i="14" s="1"/>
  <c r="DS488" i="14"/>
  <c r="CO153" i="14"/>
  <c r="CM154" i="14"/>
  <c r="CN154" i="14" s="1"/>
  <c r="CO154" i="14" s="1"/>
  <c r="EH68" i="14"/>
  <c r="EF69" i="14"/>
  <c r="EG69" i="14" s="1"/>
  <c r="DL609" i="14"/>
  <c r="DM609" i="14" s="1"/>
  <c r="DN608" i="14"/>
  <c r="EF586" i="14"/>
  <c r="EG586" i="14" s="1"/>
  <c r="EH586" i="14" s="1"/>
  <c r="EH585" i="14"/>
  <c r="DN225" i="14"/>
  <c r="DL226" i="14"/>
  <c r="DM226" i="14" s="1"/>
  <c r="DN226" i="14" s="1"/>
  <c r="DS404" i="14"/>
  <c r="DQ405" i="14"/>
  <c r="DR405" i="14" s="1"/>
  <c r="DG189" i="14"/>
  <c r="DH189" i="14" s="1"/>
  <c r="EC441" i="14"/>
  <c r="EA442" i="14"/>
  <c r="EB442" i="14" s="1"/>
  <c r="EC442" i="14" s="1"/>
  <c r="EH213" i="14"/>
  <c r="EF214" i="14"/>
  <c r="EG214" i="14" s="1"/>
  <c r="EH214" i="14" s="1"/>
  <c r="CC609" i="14"/>
  <c r="CD609" i="14" s="1"/>
  <c r="CY512" i="14"/>
  <c r="CW513" i="14"/>
  <c r="CX513" i="14" s="1"/>
  <c r="CO609" i="14"/>
  <c r="CM610" i="14"/>
  <c r="CN610" i="14" s="1"/>
  <c r="CO610" i="14" s="1"/>
  <c r="DN248" i="14"/>
  <c r="DL249" i="14"/>
  <c r="DM249" i="14" s="1"/>
  <c r="CJ633" i="14"/>
  <c r="CH634" i="14"/>
  <c r="CI634" i="14" s="1"/>
  <c r="CJ634" i="14" s="1"/>
  <c r="EC177" i="14"/>
  <c r="EA178" i="14"/>
  <c r="EB178" i="14" s="1"/>
  <c r="EC178" i="14" s="1"/>
  <c r="DB273" i="14"/>
  <c r="DC273" i="14" s="1"/>
  <c r="DD272" i="14"/>
  <c r="EA574" i="14"/>
  <c r="EB574" i="14" s="1"/>
  <c r="EC574" i="14" s="1"/>
  <c r="EC573" i="14"/>
  <c r="CW597" i="14"/>
  <c r="CX597" i="14" s="1"/>
  <c r="CY596" i="14"/>
  <c r="DQ681" i="14"/>
  <c r="DR681" i="14" s="1"/>
  <c r="DS680" i="14"/>
  <c r="CH514" i="14"/>
  <c r="CI514" i="14" s="1"/>
  <c r="CJ514" i="14" s="1"/>
  <c r="CJ513" i="14"/>
  <c r="CJ561" i="14"/>
  <c r="CH562" i="14"/>
  <c r="CI562" i="14" s="1"/>
  <c r="CJ562" i="14" s="1"/>
  <c r="CR658" i="14"/>
  <c r="CS658" i="14" s="1"/>
  <c r="CT658" i="14" s="1"/>
  <c r="CT657" i="14"/>
  <c r="CC633" i="14"/>
  <c r="CD633" i="14" s="1"/>
  <c r="DL622" i="14"/>
  <c r="DM622" i="14" s="1"/>
  <c r="DN622" i="14" s="1"/>
  <c r="DN621" i="14"/>
  <c r="EH596" i="14"/>
  <c r="EF597" i="14"/>
  <c r="EG597" i="14" s="1"/>
  <c r="DX57" i="14"/>
  <c r="DV58" i="14"/>
  <c r="DW58" i="14" s="1"/>
  <c r="DX58" i="14" s="1"/>
  <c r="DS141" i="14"/>
  <c r="DQ142" i="14"/>
  <c r="DR142" i="14" s="1"/>
  <c r="DS142" i="14" s="1"/>
  <c r="DG117" i="14"/>
  <c r="DH117" i="14" s="1"/>
  <c r="EH117" i="14"/>
  <c r="EF118" i="14"/>
  <c r="EG118" i="14" s="1"/>
  <c r="EH118" i="14" s="1"/>
  <c r="CC189" i="14"/>
  <c r="CD189" i="14" s="1"/>
  <c r="DG381" i="14"/>
  <c r="DH381" i="14" s="1"/>
  <c r="CT296" i="14"/>
  <c r="CR297" i="14"/>
  <c r="CS297" i="14" s="1"/>
  <c r="CM682" i="14"/>
  <c r="CN682" i="14" s="1"/>
  <c r="CO682" i="14" s="1"/>
  <c r="CO681" i="14"/>
  <c r="CH345" i="14"/>
  <c r="CI345" i="14" s="1"/>
  <c r="CJ344" i="14"/>
  <c r="CC585" i="14"/>
  <c r="CD585" i="14" s="1"/>
  <c r="DD309" i="14"/>
  <c r="DB310" i="14"/>
  <c r="DC310" i="14" s="1"/>
  <c r="DD310" i="14" s="1"/>
  <c r="DS189" i="14"/>
  <c r="DQ190" i="14"/>
  <c r="DR190" i="14" s="1"/>
  <c r="DS190" i="14" s="1"/>
  <c r="CO440" i="14"/>
  <c r="CM441" i="14"/>
  <c r="CN441" i="14" s="1"/>
  <c r="EH200" i="14"/>
  <c r="EF201" i="14"/>
  <c r="EG201" i="14" s="1"/>
  <c r="DL514" i="14"/>
  <c r="DM514" i="14" s="1"/>
  <c r="DN514" i="14" s="1"/>
  <c r="DN513" i="14"/>
  <c r="EH93" i="14"/>
  <c r="EF94" i="14"/>
  <c r="EG94" i="14" s="1"/>
  <c r="EH94" i="14" s="1"/>
  <c r="EA610" i="14"/>
  <c r="EB610" i="14" s="1"/>
  <c r="EC610" i="14" s="1"/>
  <c r="EC609" i="14"/>
  <c r="DD680" i="14"/>
  <c r="DB681" i="14"/>
  <c r="DC681" i="14" s="1"/>
  <c r="CO500" i="14"/>
  <c r="CM501" i="14"/>
  <c r="CN501" i="14" s="1"/>
  <c r="CC513" i="14"/>
  <c r="CD513" i="14" s="1"/>
  <c r="DV573" i="14"/>
  <c r="DW573" i="14" s="1"/>
  <c r="DX572" i="14"/>
  <c r="DX633" i="14"/>
  <c r="DV634" i="14"/>
  <c r="DW634" i="14" s="1"/>
  <c r="DX634" i="14" s="1"/>
  <c r="DG237" i="14"/>
  <c r="DH237" i="14" s="1"/>
  <c r="DN273" i="14"/>
  <c r="DL274" i="14"/>
  <c r="DM274" i="14" s="1"/>
  <c r="DN274" i="14" s="1"/>
  <c r="DG165" i="14"/>
  <c r="DH165" i="14" s="1"/>
  <c r="CC105" i="14"/>
  <c r="CD105" i="14" s="1"/>
  <c r="DG105" i="14"/>
  <c r="DH105" i="14" s="1"/>
  <c r="DL166" i="14"/>
  <c r="DM166" i="14" s="1"/>
  <c r="DN166" i="14" s="1"/>
  <c r="DN165" i="14"/>
  <c r="DV130" i="14"/>
  <c r="DW130" i="14" s="1"/>
  <c r="DX130" i="14" s="1"/>
  <c r="DX129" i="14"/>
  <c r="CR274" i="14"/>
  <c r="CS274" i="14" s="1"/>
  <c r="CT274" i="14" s="1"/>
  <c r="CT273" i="14"/>
  <c r="CC249" i="14"/>
  <c r="CD249" i="14" s="1"/>
  <c r="CW549" i="14"/>
  <c r="CX549" i="14" s="1"/>
  <c r="CY548" i="14"/>
  <c r="DL382" i="14"/>
  <c r="DM382" i="14" s="1"/>
  <c r="DN382" i="14" s="1"/>
  <c r="DN381" i="14"/>
  <c r="CR346" i="14"/>
  <c r="CS346" i="14" s="1"/>
  <c r="CT346" i="14" s="1"/>
  <c r="CT345" i="14"/>
  <c r="DX513" i="14"/>
  <c r="DV514" i="14"/>
  <c r="DW514" i="14" s="1"/>
  <c r="DX514" i="14" s="1"/>
  <c r="DB597" i="14"/>
  <c r="DC597" i="14" s="1"/>
  <c r="DD596" i="14"/>
  <c r="DD440" i="14"/>
  <c r="DB441" i="14"/>
  <c r="DC441" i="14" s="1"/>
  <c r="DS573" i="14"/>
  <c r="DQ574" i="14"/>
  <c r="DR574" i="14" s="1"/>
  <c r="DS574" i="14" s="1"/>
  <c r="CT165" i="14"/>
  <c r="CR166" i="14"/>
  <c r="CS166" i="14" s="1"/>
  <c r="CT166" i="14" s="1"/>
  <c r="DG525" i="14"/>
  <c r="DH525" i="14" s="1"/>
  <c r="CC201" i="14"/>
  <c r="CD201" i="14" s="1"/>
  <c r="CM574" i="14"/>
  <c r="CN574" i="14" s="1"/>
  <c r="CO574" i="14" s="1"/>
  <c r="CO573" i="14"/>
  <c r="DN201" i="14"/>
  <c r="DL202" i="14"/>
  <c r="DM202" i="14" s="1"/>
  <c r="DN202" i="14" s="1"/>
  <c r="DX321" i="14"/>
  <c r="DV322" i="14"/>
  <c r="DW322" i="14" s="1"/>
  <c r="DX322" i="14" s="1"/>
  <c r="DG129" i="14"/>
  <c r="DH129" i="14" s="1"/>
  <c r="CC345" i="14"/>
  <c r="CD345" i="14" s="1"/>
  <c r="DG537" i="14"/>
  <c r="DH537" i="14" s="1"/>
  <c r="DN188" i="14"/>
  <c r="DL189" i="14"/>
  <c r="DM189" i="14" s="1"/>
  <c r="DL129" i="14"/>
  <c r="DM129" i="14" s="1"/>
  <c r="DN128" i="14"/>
  <c r="CY320" i="14"/>
  <c r="CW321" i="14"/>
  <c r="CX321" i="14" s="1"/>
  <c r="DN356" i="14"/>
  <c r="DL357" i="14"/>
  <c r="DM357" i="14" s="1"/>
  <c r="DQ321" i="14"/>
  <c r="DR321" i="14" s="1"/>
  <c r="DS320" i="14"/>
  <c r="DS57" i="14"/>
  <c r="DQ58" i="14"/>
  <c r="DR58" i="14" s="1"/>
  <c r="DS58" i="14" s="1"/>
  <c r="CM561" i="14"/>
  <c r="CN561" i="14" s="1"/>
  <c r="CO560" i="14"/>
  <c r="DL490" i="14"/>
  <c r="DM490" i="14" s="1"/>
  <c r="DN490" i="14" s="1"/>
  <c r="DN489" i="14"/>
  <c r="DV358" i="14"/>
  <c r="DW358" i="14" s="1"/>
  <c r="DX358" i="14" s="1"/>
  <c r="DX357" i="14"/>
  <c r="CW57" i="14"/>
  <c r="CX57" i="14" s="1"/>
  <c r="CY56" i="14"/>
  <c r="CT153" i="14"/>
  <c r="CR154" i="14"/>
  <c r="CS154" i="14" s="1"/>
  <c r="CT154" i="14" s="1"/>
  <c r="DX621" i="14"/>
  <c r="DV622" i="14"/>
  <c r="DW622" i="14" s="1"/>
  <c r="DX622" i="14" s="1"/>
  <c r="CY669" i="14"/>
  <c r="CW670" i="14"/>
  <c r="CX670" i="14" s="1"/>
  <c r="CY670" i="14" s="1"/>
  <c r="CW153" i="14"/>
  <c r="CX153" i="14" s="1"/>
  <c r="CY152" i="14"/>
  <c r="DL657" i="14"/>
  <c r="DM657" i="14" s="1"/>
  <c r="DN656" i="14"/>
  <c r="CY236" i="14"/>
  <c r="CW237" i="14"/>
  <c r="CX237" i="14" s="1"/>
  <c r="EA453" i="14"/>
  <c r="EB453" i="14" s="1"/>
  <c r="EC452" i="14"/>
  <c r="DS332" i="14"/>
  <c r="DQ333" i="14"/>
  <c r="DR333" i="14" s="1"/>
  <c r="DQ154" i="14"/>
  <c r="DR154" i="14" s="1"/>
  <c r="DS154" i="14" s="1"/>
  <c r="DS153" i="14"/>
  <c r="CH477" i="14"/>
  <c r="CI477" i="14" s="1"/>
  <c r="CJ476" i="14"/>
  <c r="EH453" i="14"/>
  <c r="EF454" i="14"/>
  <c r="EG454" i="14" s="1"/>
  <c r="EH454" i="14" s="1"/>
  <c r="DQ442" i="14"/>
  <c r="DR442" i="14" s="1"/>
  <c r="DS442" i="14" s="1"/>
  <c r="DS441" i="14"/>
  <c r="CC681" i="14"/>
  <c r="CD681" i="14" s="1"/>
  <c r="EC489" i="14"/>
  <c r="EA490" i="14"/>
  <c r="EB490" i="14" s="1"/>
  <c r="EC490" i="14" s="1"/>
  <c r="EA142" i="14"/>
  <c r="EB142" i="14" s="1"/>
  <c r="EC142" i="14" s="1"/>
  <c r="EC141" i="14"/>
  <c r="DV117" i="14"/>
  <c r="DW117" i="14" s="1"/>
  <c r="DX116" i="14"/>
  <c r="CM429" i="14"/>
  <c r="CN429" i="14" s="1"/>
  <c r="CO428" i="14"/>
  <c r="CT668" i="14"/>
  <c r="CR669" i="14"/>
  <c r="CS669" i="14" s="1"/>
  <c r="CJ165" i="14"/>
  <c r="CH166" i="14"/>
  <c r="CI166" i="14" s="1"/>
  <c r="CJ166" i="14" s="1"/>
  <c r="DG645" i="14"/>
  <c r="DH645" i="14" s="1"/>
  <c r="EA514" i="14"/>
  <c r="EB514" i="14" s="1"/>
  <c r="EC514" i="14" s="1"/>
  <c r="EC513" i="14"/>
  <c r="CT369" i="14"/>
  <c r="CR370" i="14"/>
  <c r="CS370" i="14" s="1"/>
  <c r="CT370" i="14" s="1"/>
  <c r="DG609" i="14"/>
  <c r="DH609" i="14" s="1"/>
  <c r="DQ610" i="14"/>
  <c r="DR610" i="14" s="1"/>
  <c r="DS610" i="14" s="1"/>
  <c r="DS609" i="14"/>
  <c r="CH658" i="14"/>
  <c r="CI658" i="14" s="1"/>
  <c r="CJ658" i="14" s="1"/>
  <c r="CJ657" i="14"/>
  <c r="DL262" i="14"/>
  <c r="DM262" i="14" s="1"/>
  <c r="DN262" i="14" s="1"/>
  <c r="DN261" i="14"/>
  <c r="DG681" i="14"/>
  <c r="DH681" i="14" s="1"/>
  <c r="CR334" i="14"/>
  <c r="CS334" i="14" s="1"/>
  <c r="CT334" i="14" s="1"/>
  <c r="CT333" i="14"/>
  <c r="CH58" i="14"/>
  <c r="CI58" i="14" s="1"/>
  <c r="CJ58" i="14" s="1"/>
  <c r="CJ57" i="14"/>
  <c r="DS249" i="14"/>
  <c r="DQ250" i="14"/>
  <c r="DR250" i="14" s="1"/>
  <c r="DS250" i="14" s="1"/>
  <c r="EC621" i="14"/>
  <c r="EA622" i="14"/>
  <c r="EB622" i="14" s="1"/>
  <c r="EC622" i="14" s="1"/>
  <c r="EA166" i="14"/>
  <c r="EB166" i="14" s="1"/>
  <c r="EC166" i="14" s="1"/>
  <c r="EC165" i="14"/>
  <c r="EC116" i="14"/>
  <c r="EA117" i="14"/>
  <c r="EB117" i="14" s="1"/>
  <c r="DG69" i="14"/>
  <c r="DH69" i="14" s="1"/>
  <c r="CJ369" i="14"/>
  <c r="CH370" i="14"/>
  <c r="CI370" i="14" s="1"/>
  <c r="CJ370" i="14" s="1"/>
  <c r="CC309" i="14"/>
  <c r="CD309" i="14" s="1"/>
  <c r="DQ129" i="14"/>
  <c r="DR129" i="14" s="1"/>
  <c r="DS128" i="14"/>
  <c r="CC501" i="14"/>
  <c r="CD501" i="14" s="1"/>
  <c r="CO105" i="14"/>
  <c r="CM106" i="14"/>
  <c r="CN106" i="14" s="1"/>
  <c r="CO106" i="14" s="1"/>
  <c r="CH382" i="14"/>
  <c r="CI382" i="14" s="1"/>
  <c r="CJ382" i="14" s="1"/>
  <c r="CJ381" i="14"/>
  <c r="DX525" i="14"/>
  <c r="DV526" i="14"/>
  <c r="DW526" i="14" s="1"/>
  <c r="DX526" i="14" s="1"/>
  <c r="DB394" i="14"/>
  <c r="DC394" i="14" s="1"/>
  <c r="DD394" i="14" s="1"/>
  <c r="DD393" i="14"/>
  <c r="CR621" i="14"/>
  <c r="CS621" i="14" s="1"/>
  <c r="CT620" i="14"/>
  <c r="CO237" i="14"/>
  <c r="CM238" i="14"/>
  <c r="CN238" i="14" s="1"/>
  <c r="CO238" i="14" s="1"/>
  <c r="DD609" i="14"/>
  <c r="DB610" i="14"/>
  <c r="DC610" i="14" s="1"/>
  <c r="DD610" i="14" s="1"/>
  <c r="DN344" i="14"/>
  <c r="DL345" i="14"/>
  <c r="DM345" i="14" s="1"/>
  <c r="EC344" i="14"/>
  <c r="EA345" i="14"/>
  <c r="EB345" i="14" s="1"/>
  <c r="CT212" i="14"/>
  <c r="CR213" i="14"/>
  <c r="CS213" i="14" s="1"/>
  <c r="CM598" i="14"/>
  <c r="CN598" i="14" s="1"/>
  <c r="CO598" i="14" s="1"/>
  <c r="CO597" i="14"/>
  <c r="DQ514" i="14"/>
  <c r="DR514" i="14" s="1"/>
  <c r="DS514" i="14" s="1"/>
  <c r="DS513" i="14"/>
  <c r="CJ284" i="14"/>
  <c r="CH285" i="14"/>
  <c r="CI285" i="14" s="1"/>
  <c r="CM393" i="14"/>
  <c r="CN393" i="14" s="1"/>
  <c r="CO392" i="14"/>
  <c r="CH178" i="14"/>
  <c r="CI178" i="14" s="1"/>
  <c r="CJ178" i="14" s="1"/>
  <c r="CJ177" i="14"/>
  <c r="DD645" i="14"/>
  <c r="DB646" i="14"/>
  <c r="DC646" i="14" s="1"/>
  <c r="DD646" i="14" s="1"/>
  <c r="CJ152" i="14"/>
  <c r="CH153" i="14"/>
  <c r="CI153" i="14" s="1"/>
  <c r="EA550" i="14"/>
  <c r="EB550" i="14" s="1"/>
  <c r="EC550" i="14" s="1"/>
  <c r="EC549" i="14"/>
  <c r="CM634" i="14"/>
  <c r="CN634" i="14" s="1"/>
  <c r="CO634" i="14" s="1"/>
  <c r="CO633" i="14"/>
  <c r="EC189" i="14"/>
  <c r="EA190" i="14"/>
  <c r="EB190" i="14" s="1"/>
  <c r="EC190" i="14" s="1"/>
  <c r="DQ310" i="14"/>
  <c r="DR310" i="14" s="1"/>
  <c r="DS310" i="14" s="1"/>
  <c r="DS309" i="14"/>
  <c r="DQ274" i="14"/>
  <c r="DR274" i="14" s="1"/>
  <c r="DS274" i="14" s="1"/>
  <c r="DS273" i="14"/>
  <c r="EA478" i="14"/>
  <c r="EB478" i="14" s="1"/>
  <c r="EC478" i="14" s="1"/>
  <c r="EC477" i="14"/>
  <c r="EF381" i="14"/>
  <c r="EG381" i="14" s="1"/>
  <c r="EH380" i="14"/>
  <c r="CY620" i="14"/>
  <c r="CW621" i="14"/>
  <c r="CX621" i="14" s="1"/>
  <c r="DV154" i="14"/>
  <c r="DW154" i="14" s="1"/>
  <c r="DX154" i="14" s="1"/>
  <c r="DX153" i="14"/>
  <c r="EA405" i="14"/>
  <c r="EB405" i="14" s="1"/>
  <c r="EC404" i="14"/>
  <c r="EH368" i="14"/>
  <c r="EF369" i="14"/>
  <c r="EG369" i="14" s="1"/>
  <c r="EA501" i="14"/>
  <c r="EB501" i="14" s="1"/>
  <c r="EC500" i="14"/>
  <c r="DB153" i="14"/>
  <c r="DC153" i="14" s="1"/>
  <c r="DD152" i="14"/>
  <c r="DX453" i="14"/>
  <c r="DV454" i="14"/>
  <c r="DW454" i="14" s="1"/>
  <c r="DX454" i="14" s="1"/>
  <c r="CH261" i="14"/>
  <c r="CI261" i="14" s="1"/>
  <c r="CJ260" i="14"/>
  <c r="CC285" i="14"/>
  <c r="CD285" i="14" s="1"/>
  <c r="EF165" i="14"/>
  <c r="EG165" i="14" s="1"/>
  <c r="EH164" i="14"/>
  <c r="DG225" i="14"/>
  <c r="DH225" i="14" s="1"/>
  <c r="DD116" i="14"/>
  <c r="DB117" i="14"/>
  <c r="DC117" i="14" s="1"/>
  <c r="DX549" i="14"/>
  <c r="DV550" i="14"/>
  <c r="DW550" i="14" s="1"/>
  <c r="DX550" i="14" s="1"/>
  <c r="EH129" i="14"/>
  <c r="EF130" i="14"/>
  <c r="EG130" i="14" s="1"/>
  <c r="EH130" i="14" s="1"/>
  <c r="DL310" i="14"/>
  <c r="DM310" i="14" s="1"/>
  <c r="DN310" i="14" s="1"/>
  <c r="DN309" i="14"/>
  <c r="DN117" i="14"/>
  <c r="DL118" i="14"/>
  <c r="DM118" i="14" s="1"/>
  <c r="DN118" i="14" s="1"/>
  <c r="CR645" i="14"/>
  <c r="CS645" i="14" s="1"/>
  <c r="CT644" i="14"/>
  <c r="DG213" i="14"/>
  <c r="DH213" i="14" s="1"/>
  <c r="CM586" i="14"/>
  <c r="CN586" i="14" s="1"/>
  <c r="CO586" i="14" s="1"/>
  <c r="CO585" i="14"/>
  <c r="CT128" i="14"/>
  <c r="CR129" i="14"/>
  <c r="CS129" i="14" s="1"/>
  <c r="CE78" i="14"/>
  <c r="DI78" i="14"/>
  <c r="DV79" i="14"/>
  <c r="DW79" i="14" s="1"/>
  <c r="DX78" i="14"/>
  <c r="DL79" i="14"/>
  <c r="DM79" i="14" s="1"/>
  <c r="DN78" i="14"/>
  <c r="EA79" i="14"/>
  <c r="EB79" i="14" s="1"/>
  <c r="EC78" i="14"/>
  <c r="CM79" i="14"/>
  <c r="CN79" i="14" s="1"/>
  <c r="CO78" i="14"/>
  <c r="CC79" i="14"/>
  <c r="CD79" i="14" s="1"/>
  <c r="DD78" i="14"/>
  <c r="DB79" i="14"/>
  <c r="DC79" i="14" s="1"/>
  <c r="CJ78" i="14"/>
  <c r="CH79" i="14"/>
  <c r="CI79" i="14" s="1"/>
  <c r="DG79" i="14"/>
  <c r="DH79" i="14" s="1"/>
  <c r="CR79" i="14"/>
  <c r="CS79" i="14" s="1"/>
  <c r="CT78" i="14"/>
  <c r="EH77" i="14"/>
  <c r="EF78" i="14"/>
  <c r="EG78" i="14" s="1"/>
  <c r="DS78" i="14"/>
  <c r="DQ79" i="14"/>
  <c r="DR79" i="14" s="1"/>
  <c r="CY77" i="14"/>
  <c r="CW78" i="14"/>
  <c r="CX78" i="14" s="1"/>
  <c r="CE40" i="14"/>
  <c r="DV42" i="14"/>
  <c r="DW42" i="14" s="1"/>
  <c r="DX42" i="14" s="1"/>
  <c r="DQ42" i="14"/>
  <c r="DR42" i="14" s="1"/>
  <c r="DS42" i="14" s="1"/>
  <c r="EA42" i="14"/>
  <c r="EB42" i="14" s="1"/>
  <c r="EC42" i="14" s="1"/>
  <c r="CM42" i="14"/>
  <c r="CN42" i="14" s="1"/>
  <c r="CO42" i="14" s="1"/>
  <c r="DB41" i="14"/>
  <c r="DC41" i="14" s="1"/>
  <c r="DD40" i="14"/>
  <c r="CH41" i="14"/>
  <c r="CI41" i="14" s="1"/>
  <c r="CJ41" i="14" s="1"/>
  <c r="AJ22" i="43"/>
  <c r="E21" i="43" s="1"/>
  <c r="EF42" i="14"/>
  <c r="EG42" i="14" s="1"/>
  <c r="EH42" i="14" s="1"/>
  <c r="CW40" i="14"/>
  <c r="CX40" i="14" s="1"/>
  <c r="CC41" i="14"/>
  <c r="CD41" i="14" s="1"/>
  <c r="CC42" i="14" s="1"/>
  <c r="CR41" i="14"/>
  <c r="CS41" i="14" s="1"/>
  <c r="CT41" i="14" s="1"/>
  <c r="DL42" i="14"/>
  <c r="DM42" i="14" s="1"/>
  <c r="DN42" i="14" s="1"/>
  <c r="DI56" i="14" a="1"/>
  <c r="CE452" i="14" a="1"/>
  <c r="DI500" i="14" a="1"/>
  <c r="CE644" i="14" a="1"/>
  <c r="CE128" i="14" a="1"/>
  <c r="DI644" i="14" a="1"/>
  <c r="DI656" i="14" a="1"/>
  <c r="DI404" i="14" a="1"/>
  <c r="DI392" i="14" a="1"/>
  <c r="CE152" i="14" a="1"/>
  <c r="DI680" i="14" a="1"/>
  <c r="CE416" i="14" a="1"/>
  <c r="CE176" i="14" a="1"/>
  <c r="CE392" i="14" a="1"/>
  <c r="DI524" i="14" a="1"/>
  <c r="CE380" i="14" a="1"/>
  <c r="CE572" i="14" a="1"/>
  <c r="CE56" i="14" a="1"/>
  <c r="DI79" i="14" a="1"/>
  <c r="DI536" i="14" a="1"/>
  <c r="CE104" i="14" a="1"/>
  <c r="CE536" i="14" a="1"/>
  <c r="CE524" i="14" a="1"/>
  <c r="CE428" i="14" a="1"/>
  <c r="CE488" i="14" a="1"/>
  <c r="DI608" i="14" a="1"/>
  <c r="CE440" i="14" a="1"/>
  <c r="DI512" i="14" a="1"/>
  <c r="DI620" i="14" a="1"/>
  <c r="CE308" i="14" a="1"/>
  <c r="CE680" i="14" a="1"/>
  <c r="DI116" i="14" a="1"/>
  <c r="DI572" i="14" a="1"/>
  <c r="DI668" i="14" a="1"/>
  <c r="CE548" i="14" a="1"/>
  <c r="DI152" i="14" a="1"/>
  <c r="DI248" i="14" a="1"/>
  <c r="CE248" i="14" a="1"/>
  <c r="CE200" i="14" a="1"/>
  <c r="CE632" i="14" a="1"/>
  <c r="CE260" i="14" a="1"/>
  <c r="CE596" i="14" a="1"/>
  <c r="DI356" i="14" a="1"/>
  <c r="CE344" i="14" a="1"/>
  <c r="DI416" i="14" a="1"/>
  <c r="DI128" i="14" a="1"/>
  <c r="DI452" i="14" a="1"/>
  <c r="CE296" i="14" a="1"/>
  <c r="CE356" i="14" a="1"/>
  <c r="CE368" i="14" a="1"/>
  <c r="CE464" i="14" a="1"/>
  <c r="CE512" i="14" a="1"/>
  <c r="DI236" i="14" a="1"/>
  <c r="DI284" i="14" a="1"/>
  <c r="CE560" i="14" a="1"/>
  <c r="DI560" i="14" a="1"/>
  <c r="DI272" i="14" a="1"/>
  <c r="DI92" i="14" a="1"/>
  <c r="CE212" i="14" a="1"/>
  <c r="DI200" i="14" a="1"/>
  <c r="DI224" i="14" a="1"/>
  <c r="DI140" i="14" a="1"/>
  <c r="CE608" i="14" a="1"/>
  <c r="DI548" i="14" a="1"/>
  <c r="CE320" i="14" a="1"/>
  <c r="DI212" i="14" a="1"/>
  <c r="DI308" i="14" a="1"/>
  <c r="CE404" i="14" a="1"/>
  <c r="DI164" i="14" a="1"/>
  <c r="DI488" i="14" a="1"/>
  <c r="DI332" i="14" a="1"/>
  <c r="DI596" i="14" a="1"/>
  <c r="DI476" i="14" a="1"/>
  <c r="CE656" i="14" a="1"/>
  <c r="DI320" i="14" a="1"/>
  <c r="DI344" i="14" a="1"/>
  <c r="CE620" i="14" a="1"/>
  <c r="DI104" i="14" a="1"/>
  <c r="CE140" i="14" a="1"/>
  <c r="CE584" i="14" a="1"/>
  <c r="CE272" i="14" a="1"/>
  <c r="DI260" i="14" a="1"/>
  <c r="CE116" i="14" a="1"/>
  <c r="DI368" i="14" a="1"/>
  <c r="DI380" i="14" a="1"/>
  <c r="DI440" i="14" a="1"/>
  <c r="DI584" i="14" a="1"/>
  <c r="DI68" i="14" a="1"/>
  <c r="CE224" i="14" a="1"/>
  <c r="DI632" i="14" a="1"/>
  <c r="DI188" i="14" a="1"/>
  <c r="CE332" i="14" a="1"/>
  <c r="DI176" i="14" a="1"/>
  <c r="CE188" i="14" a="1"/>
  <c r="CE284" i="14" a="1"/>
  <c r="DI464" i="14" a="1"/>
  <c r="CE164" i="14" a="1"/>
  <c r="CE476" i="14" a="1"/>
  <c r="DI428" i="14" a="1"/>
  <c r="CE92" i="14" a="1"/>
  <c r="CE500" i="14" a="1"/>
  <c r="CE236" i="14" a="1"/>
  <c r="CE668" i="14" a="1"/>
  <c r="CE68" i="14" a="1"/>
  <c r="DI296" i="14" a="1"/>
  <c r="CE79" i="14" a="1"/>
  <c r="CE284" i="14" l="1"/>
  <c r="CE308" i="14"/>
  <c r="CE236" i="14"/>
  <c r="CE392" i="14"/>
  <c r="DI668" i="14"/>
  <c r="CE332" i="14"/>
  <c r="DI272" i="14"/>
  <c r="DI392" i="14"/>
  <c r="DI260" i="14"/>
  <c r="DI320" i="14"/>
  <c r="DI488" i="14"/>
  <c r="CE368" i="14"/>
  <c r="CE152" i="14"/>
  <c r="DI416" i="14"/>
  <c r="CE404" i="14"/>
  <c r="CE92" i="14"/>
  <c r="CE488" i="14"/>
  <c r="DI248" i="14"/>
  <c r="CE620" i="14"/>
  <c r="CE56" i="14"/>
  <c r="DI200" i="14"/>
  <c r="DI680" i="14"/>
  <c r="DI644" i="14"/>
  <c r="DI632" i="14"/>
  <c r="CE524" i="14"/>
  <c r="CE176" i="14"/>
  <c r="DI368" i="14"/>
  <c r="CE380" i="14"/>
  <c r="CE200" i="14"/>
  <c r="DI104" i="14"/>
  <c r="CE512" i="14"/>
  <c r="DI380" i="14"/>
  <c r="CE608" i="14"/>
  <c r="DI176" i="14"/>
  <c r="CE356" i="14"/>
  <c r="DI404" i="14"/>
  <c r="CE416" i="14"/>
  <c r="CE656" i="14"/>
  <c r="DI656" i="14"/>
  <c r="DI572" i="14"/>
  <c r="DI344" i="14"/>
  <c r="CE320" i="14"/>
  <c r="DI452" i="14"/>
  <c r="CE212" i="14"/>
  <c r="DI140" i="14"/>
  <c r="CE128" i="14"/>
  <c r="DI308" i="14"/>
  <c r="CE116" i="14"/>
  <c r="CE536" i="14"/>
  <c r="CE560" i="14"/>
  <c r="DI620" i="14"/>
  <c r="DI536" i="14"/>
  <c r="DI524" i="14"/>
  <c r="CE104" i="14"/>
  <c r="CE188" i="14"/>
  <c r="CE632" i="14"/>
  <c r="DI584" i="14"/>
  <c r="DI284" i="14"/>
  <c r="DI56" i="14"/>
  <c r="DI332" i="14"/>
  <c r="DI428" i="14"/>
  <c r="DI476" i="14"/>
  <c r="CE224" i="14"/>
  <c r="CE596" i="14"/>
  <c r="CE440" i="14"/>
  <c r="CE476" i="14"/>
  <c r="DI236" i="14"/>
  <c r="CE548" i="14"/>
  <c r="DI596" i="14"/>
  <c r="CE68" i="14"/>
  <c r="DI464" i="14"/>
  <c r="DI356" i="14"/>
  <c r="DI68" i="14"/>
  <c r="CE680" i="14"/>
  <c r="CE500" i="14"/>
  <c r="DI224" i="14"/>
  <c r="CE272" i="14"/>
  <c r="DI440" i="14"/>
  <c r="DI152" i="14"/>
  <c r="CE428" i="14"/>
  <c r="DI548" i="14"/>
  <c r="DI92" i="14"/>
  <c r="DI212" i="14"/>
  <c r="CE344" i="14"/>
  <c r="DI128" i="14"/>
  <c r="CE584" i="14"/>
  <c r="DI188" i="14"/>
  <c r="CE260" i="14"/>
  <c r="DI512" i="14"/>
  <c r="CE140" i="14"/>
  <c r="CE572" i="14"/>
  <c r="CE668" i="14"/>
  <c r="CE644" i="14"/>
  <c r="CE464" i="14"/>
  <c r="DI296" i="14"/>
  <c r="DI164" i="14"/>
  <c r="DI560" i="14"/>
  <c r="CE452" i="14"/>
  <c r="DI608" i="14"/>
  <c r="CE248" i="14"/>
  <c r="DI116" i="14"/>
  <c r="DI500" i="14"/>
  <c r="CE296" i="14"/>
  <c r="CE164" i="14"/>
  <c r="DV382" i="14"/>
  <c r="DW382" i="14" s="1"/>
  <c r="DX382" i="14" s="1"/>
  <c r="DX381" i="14"/>
  <c r="DQ334" i="14"/>
  <c r="DR334" i="14" s="1"/>
  <c r="DS334" i="14" s="1"/>
  <c r="DS333" i="14"/>
  <c r="DL358" i="14"/>
  <c r="DM358" i="14" s="1"/>
  <c r="DN358" i="14" s="1"/>
  <c r="DN357" i="14"/>
  <c r="DD441" i="14"/>
  <c r="DB442" i="14"/>
  <c r="DC442" i="14" s="1"/>
  <c r="DD442" i="14" s="1"/>
  <c r="DG238" i="14"/>
  <c r="DH238" i="14" s="1"/>
  <c r="DN249" i="14"/>
  <c r="DL250" i="14"/>
  <c r="DM250" i="14" s="1"/>
  <c r="DN250" i="14" s="1"/>
  <c r="DS405" i="14"/>
  <c r="DQ406" i="14"/>
  <c r="DR406" i="14" s="1"/>
  <c r="DS406" i="14" s="1"/>
  <c r="EH285" i="14"/>
  <c r="EF286" i="14"/>
  <c r="EG286" i="14" s="1"/>
  <c r="EH286" i="14" s="1"/>
  <c r="EH345" i="14"/>
  <c r="EF346" i="14"/>
  <c r="EG346" i="14" s="1"/>
  <c r="EH346" i="14" s="1"/>
  <c r="DB538" i="14"/>
  <c r="DC538" i="14" s="1"/>
  <c r="DD538" i="14" s="1"/>
  <c r="DD537" i="14"/>
  <c r="CM226" i="14"/>
  <c r="CN226" i="14" s="1"/>
  <c r="CO226" i="14" s="1"/>
  <c r="CO225" i="14"/>
  <c r="DQ370" i="14"/>
  <c r="DR370" i="14" s="1"/>
  <c r="DS370" i="14" s="1"/>
  <c r="DS369" i="14"/>
  <c r="DB418" i="14"/>
  <c r="DC418" i="14" s="1"/>
  <c r="DD418" i="14" s="1"/>
  <c r="DD417" i="14"/>
  <c r="CC58" i="14"/>
  <c r="CD58" i="14" s="1"/>
  <c r="DD381" i="14"/>
  <c r="DB382" i="14"/>
  <c r="DC382" i="14" s="1"/>
  <c r="DD382" i="14" s="1"/>
  <c r="DL178" i="14"/>
  <c r="DM178" i="14" s="1"/>
  <c r="DN178" i="14" s="1"/>
  <c r="DN177" i="14"/>
  <c r="DD189" i="14"/>
  <c r="DB190" i="14"/>
  <c r="DC190" i="14" s="1"/>
  <c r="DD190" i="14" s="1"/>
  <c r="CO525" i="14"/>
  <c r="CM526" i="14"/>
  <c r="CN526" i="14" s="1"/>
  <c r="CO526" i="14" s="1"/>
  <c r="DQ346" i="14"/>
  <c r="DR346" i="14" s="1"/>
  <c r="DS346" i="14" s="1"/>
  <c r="DS345" i="14"/>
  <c r="EF190" i="14"/>
  <c r="EG190" i="14" s="1"/>
  <c r="EH190" i="14" s="1"/>
  <c r="EH189" i="14"/>
  <c r="CC430" i="14"/>
  <c r="CD430" i="14" s="1"/>
  <c r="DG370" i="14"/>
  <c r="DH370" i="14" s="1"/>
  <c r="DB466" i="14"/>
  <c r="DC466" i="14" s="1"/>
  <c r="DD466" i="14" s="1"/>
  <c r="DD465" i="14"/>
  <c r="CH442" i="14"/>
  <c r="CI442" i="14" s="1"/>
  <c r="CJ442" i="14" s="1"/>
  <c r="CJ441" i="14"/>
  <c r="CC382" i="14"/>
  <c r="CD382" i="14" s="1"/>
  <c r="CC538" i="14"/>
  <c r="CD538" i="14" s="1"/>
  <c r="CO549" i="14"/>
  <c r="CM550" i="14"/>
  <c r="CN550" i="14" s="1"/>
  <c r="CO550" i="14" s="1"/>
  <c r="CC310" i="14"/>
  <c r="CD310" i="14" s="1"/>
  <c r="CR58" i="14"/>
  <c r="CS58" i="14" s="1"/>
  <c r="CT58" i="14" s="1"/>
  <c r="CT57" i="14"/>
  <c r="EA226" i="14"/>
  <c r="EB226" i="14" s="1"/>
  <c r="EC226" i="14" s="1"/>
  <c r="EC225" i="14"/>
  <c r="CW70" i="14"/>
  <c r="CX70" i="14" s="1"/>
  <c r="CY70" i="14" s="1"/>
  <c r="CY69" i="14"/>
  <c r="EF550" i="14"/>
  <c r="EG550" i="14" s="1"/>
  <c r="EH550" i="14" s="1"/>
  <c r="EH549" i="14"/>
  <c r="DN465" i="14"/>
  <c r="DL466" i="14"/>
  <c r="DM466" i="14" s="1"/>
  <c r="DN466" i="14" s="1"/>
  <c r="CJ357" i="14"/>
  <c r="CH358" i="14"/>
  <c r="CI358" i="14" s="1"/>
  <c r="CJ358" i="14" s="1"/>
  <c r="EA454" i="14"/>
  <c r="EB454" i="14" s="1"/>
  <c r="EC454" i="14" s="1"/>
  <c r="EC453" i="14"/>
  <c r="CY57" i="14"/>
  <c r="CW58" i="14"/>
  <c r="CX58" i="14" s="1"/>
  <c r="CY58" i="14" s="1"/>
  <c r="DD597" i="14"/>
  <c r="DB598" i="14"/>
  <c r="DC598" i="14" s="1"/>
  <c r="DD598" i="14" s="1"/>
  <c r="DS681" i="14"/>
  <c r="DQ682" i="14"/>
  <c r="DR682" i="14" s="1"/>
  <c r="DS682" i="14" s="1"/>
  <c r="CH550" i="14"/>
  <c r="CI550" i="14" s="1"/>
  <c r="CJ550" i="14" s="1"/>
  <c r="CJ549" i="14"/>
  <c r="DX537" i="14"/>
  <c r="DV538" i="14"/>
  <c r="DW538" i="14" s="1"/>
  <c r="DX538" i="14" s="1"/>
  <c r="EA682" i="14"/>
  <c r="EB682" i="14" s="1"/>
  <c r="EC682" i="14" s="1"/>
  <c r="EC681" i="14"/>
  <c r="EA262" i="14"/>
  <c r="EB262" i="14" s="1"/>
  <c r="EC262" i="14" s="1"/>
  <c r="EC261" i="14"/>
  <c r="DV238" i="14"/>
  <c r="DW238" i="14" s="1"/>
  <c r="DX238" i="14" s="1"/>
  <c r="DX237" i="14"/>
  <c r="DB202" i="14"/>
  <c r="DC202" i="14" s="1"/>
  <c r="DD202" i="14" s="1"/>
  <c r="DD201" i="14"/>
  <c r="DG550" i="14"/>
  <c r="DH550" i="14" s="1"/>
  <c r="CC562" i="14"/>
  <c r="CD562" i="14" s="1"/>
  <c r="DX597" i="14"/>
  <c r="DV598" i="14"/>
  <c r="DW598" i="14" s="1"/>
  <c r="DX598" i="14" s="1"/>
  <c r="DG394" i="14"/>
  <c r="DH394" i="14" s="1"/>
  <c r="DG622" i="14"/>
  <c r="DH622" i="14" s="1"/>
  <c r="CM166" i="14"/>
  <c r="CN166" i="14" s="1"/>
  <c r="CO166" i="14" s="1"/>
  <c r="CO165" i="14"/>
  <c r="DG202" i="14"/>
  <c r="DH202" i="14" s="1"/>
  <c r="DG262" i="14"/>
  <c r="DH262" i="14" s="1"/>
  <c r="DG358" i="14"/>
  <c r="DH358" i="14" s="1"/>
  <c r="EF514" i="14"/>
  <c r="EG514" i="14" s="1"/>
  <c r="EH514" i="14" s="1"/>
  <c r="EH513" i="14"/>
  <c r="CJ453" i="14"/>
  <c r="CH454" i="14"/>
  <c r="CI454" i="14" s="1"/>
  <c r="CJ454" i="14" s="1"/>
  <c r="DG94" i="14"/>
  <c r="DH94" i="14" s="1"/>
  <c r="DS525" i="14"/>
  <c r="DQ526" i="14"/>
  <c r="DR526" i="14" s="1"/>
  <c r="DS526" i="14" s="1"/>
  <c r="CT321" i="14"/>
  <c r="CR322" i="14"/>
  <c r="CS322" i="14" s="1"/>
  <c r="CT322" i="14" s="1"/>
  <c r="CC238" i="14"/>
  <c r="CD238" i="14" s="1"/>
  <c r="DG670" i="14"/>
  <c r="DH670" i="14" s="1"/>
  <c r="CW622" i="14"/>
  <c r="CX622" i="14" s="1"/>
  <c r="CY622" i="14" s="1"/>
  <c r="CY621" i="14"/>
  <c r="DX165" i="14"/>
  <c r="DV166" i="14"/>
  <c r="DW166" i="14" s="1"/>
  <c r="DX166" i="14" s="1"/>
  <c r="DV658" i="14"/>
  <c r="DW658" i="14" s="1"/>
  <c r="DX658" i="14" s="1"/>
  <c r="DX657" i="14"/>
  <c r="DV94" i="14"/>
  <c r="DW94" i="14" s="1"/>
  <c r="DX94" i="14" s="1"/>
  <c r="DX93" i="14"/>
  <c r="EF202" i="14"/>
  <c r="EG202" i="14" s="1"/>
  <c r="EH202" i="14" s="1"/>
  <c r="EH201" i="14"/>
  <c r="CT297" i="14"/>
  <c r="CR298" i="14"/>
  <c r="CS298" i="14" s="1"/>
  <c r="CT298" i="14" s="1"/>
  <c r="EF598" i="14"/>
  <c r="EG598" i="14" s="1"/>
  <c r="EH598" i="14" s="1"/>
  <c r="EH597" i="14"/>
  <c r="CW514" i="14"/>
  <c r="CX514" i="14" s="1"/>
  <c r="CY514" i="14" s="1"/>
  <c r="CY513" i="14"/>
  <c r="DG634" i="14"/>
  <c r="DH634" i="14" s="1"/>
  <c r="DX417" i="14"/>
  <c r="DV418" i="14"/>
  <c r="DW418" i="14" s="1"/>
  <c r="DX418" i="14" s="1"/>
  <c r="EC105" i="14"/>
  <c r="EA106" i="14"/>
  <c r="EB106" i="14" s="1"/>
  <c r="EC106" i="14" s="1"/>
  <c r="DD93" i="14"/>
  <c r="DB94" i="14"/>
  <c r="DC94" i="14" s="1"/>
  <c r="DD94" i="14" s="1"/>
  <c r="DL538" i="14"/>
  <c r="DM538" i="14" s="1"/>
  <c r="DN538" i="14" s="1"/>
  <c r="DN537" i="14"/>
  <c r="CC526" i="14"/>
  <c r="CD526" i="14" s="1"/>
  <c r="EF682" i="14"/>
  <c r="EG682" i="14" s="1"/>
  <c r="EH682" i="14" s="1"/>
  <c r="EH681" i="14"/>
  <c r="CT141" i="14"/>
  <c r="CR142" i="14"/>
  <c r="CS142" i="14" s="1"/>
  <c r="CT142" i="14" s="1"/>
  <c r="CO129" i="14"/>
  <c r="CM130" i="14"/>
  <c r="CN130" i="14" s="1"/>
  <c r="CO130" i="14" s="1"/>
  <c r="EF670" i="14"/>
  <c r="EG670" i="14" s="1"/>
  <c r="EH670" i="14" s="1"/>
  <c r="EH669" i="14"/>
  <c r="DL142" i="14"/>
  <c r="DM142" i="14" s="1"/>
  <c r="DN142" i="14" s="1"/>
  <c r="DN141" i="14"/>
  <c r="DQ118" i="14"/>
  <c r="DR118" i="14" s="1"/>
  <c r="DS118" i="14" s="1"/>
  <c r="DS117" i="14"/>
  <c r="CW298" i="14"/>
  <c r="CX298" i="14" s="1"/>
  <c r="CY298" i="14" s="1"/>
  <c r="CY297" i="14"/>
  <c r="CC178" i="14"/>
  <c r="CD178" i="14" s="1"/>
  <c r="DV202" i="14"/>
  <c r="DW202" i="14" s="1"/>
  <c r="DX202" i="14" s="1"/>
  <c r="DX201" i="14"/>
  <c r="CW382" i="14"/>
  <c r="CX382" i="14" s="1"/>
  <c r="CY382" i="14" s="1"/>
  <c r="CY381" i="14"/>
  <c r="DG682" i="14"/>
  <c r="DH682" i="14" s="1"/>
  <c r="DL130" i="14"/>
  <c r="DM130" i="14" s="1"/>
  <c r="DN130" i="14" s="1"/>
  <c r="DN129" i="14"/>
  <c r="DB58" i="14"/>
  <c r="DC58" i="14" s="1"/>
  <c r="DD58" i="14" s="1"/>
  <c r="DD57" i="14"/>
  <c r="CC406" i="14"/>
  <c r="CD406" i="14" s="1"/>
  <c r="DS393" i="14"/>
  <c r="DQ394" i="14"/>
  <c r="DR394" i="14" s="1"/>
  <c r="DS394" i="14" s="1"/>
  <c r="EH309" i="14"/>
  <c r="EF310" i="14"/>
  <c r="EG310" i="14" s="1"/>
  <c r="EH310" i="14" s="1"/>
  <c r="CT609" i="14"/>
  <c r="CR610" i="14"/>
  <c r="CS610" i="14" s="1"/>
  <c r="CT610" i="14" s="1"/>
  <c r="EC585" i="14"/>
  <c r="EA586" i="14"/>
  <c r="EB586" i="14" s="1"/>
  <c r="EC586" i="14" s="1"/>
  <c r="CC94" i="14"/>
  <c r="CD94" i="14" s="1"/>
  <c r="CC490" i="14"/>
  <c r="CD490" i="14" s="1"/>
  <c r="DG250" i="14"/>
  <c r="DH250" i="14" s="1"/>
  <c r="CJ201" i="14"/>
  <c r="CH202" i="14"/>
  <c r="CI202" i="14" s="1"/>
  <c r="CJ202" i="14" s="1"/>
  <c r="CM202" i="14"/>
  <c r="CN202" i="14" s="1"/>
  <c r="CO202" i="14" s="1"/>
  <c r="CO201" i="14"/>
  <c r="EF250" i="14"/>
  <c r="EG250" i="14" s="1"/>
  <c r="EH250" i="14" s="1"/>
  <c r="EH249" i="14"/>
  <c r="DD129" i="14"/>
  <c r="DB130" i="14"/>
  <c r="DC130" i="14" s="1"/>
  <c r="DD130" i="14" s="1"/>
  <c r="EA250" i="14"/>
  <c r="EB250" i="14" s="1"/>
  <c r="EC250" i="14" s="1"/>
  <c r="EC249" i="14"/>
  <c r="DL286" i="14"/>
  <c r="DM286" i="14" s="1"/>
  <c r="DN286" i="14" s="1"/>
  <c r="DN285" i="14"/>
  <c r="EA310" i="14"/>
  <c r="EB310" i="14" s="1"/>
  <c r="EC310" i="14" s="1"/>
  <c r="EC309" i="14"/>
  <c r="CC622" i="14"/>
  <c r="CD622" i="14" s="1"/>
  <c r="DQ562" i="14"/>
  <c r="DR562" i="14" s="1"/>
  <c r="DS562" i="14" s="1"/>
  <c r="DS561" i="14"/>
  <c r="CT537" i="14"/>
  <c r="CR538" i="14"/>
  <c r="CS538" i="14" s="1"/>
  <c r="CT538" i="14" s="1"/>
  <c r="CH154" i="14"/>
  <c r="CI154" i="14" s="1"/>
  <c r="CJ154" i="14" s="1"/>
  <c r="CJ153" i="14"/>
  <c r="EF382" i="14"/>
  <c r="EG382" i="14" s="1"/>
  <c r="EH382" i="14" s="1"/>
  <c r="EH381" i="14"/>
  <c r="DG70" i="14"/>
  <c r="DH70" i="14" s="1"/>
  <c r="CC682" i="14"/>
  <c r="CD682" i="14" s="1"/>
  <c r="DV574" i="14"/>
  <c r="DW574" i="14" s="1"/>
  <c r="DX574" i="14" s="1"/>
  <c r="DX573" i="14"/>
  <c r="CW598" i="14"/>
  <c r="CX598" i="14" s="1"/>
  <c r="CY598" i="14" s="1"/>
  <c r="CY597" i="14"/>
  <c r="DN369" i="14"/>
  <c r="DL370" i="14"/>
  <c r="DM370" i="14" s="1"/>
  <c r="DN370" i="14" s="1"/>
  <c r="CC154" i="14"/>
  <c r="CD154" i="14" s="1"/>
  <c r="DG418" i="14"/>
  <c r="DH418" i="14" s="1"/>
  <c r="CT129" i="14"/>
  <c r="CR130" i="14"/>
  <c r="CS130" i="14" s="1"/>
  <c r="CT130" i="14" s="1"/>
  <c r="EA346" i="14"/>
  <c r="EB346" i="14" s="1"/>
  <c r="EC346" i="14" s="1"/>
  <c r="EC345" i="14"/>
  <c r="EA118" i="14"/>
  <c r="EB118" i="14" s="1"/>
  <c r="EC118" i="14" s="1"/>
  <c r="EC117" i="14"/>
  <c r="DL190" i="14"/>
  <c r="DM190" i="14" s="1"/>
  <c r="DN190" i="14" s="1"/>
  <c r="DN189" i="14"/>
  <c r="CO441" i="14"/>
  <c r="CM442" i="14"/>
  <c r="CN442" i="14" s="1"/>
  <c r="CO442" i="14" s="1"/>
  <c r="CC322" i="14"/>
  <c r="CD322" i="14" s="1"/>
  <c r="DN561" i="14"/>
  <c r="DL562" i="14"/>
  <c r="DM562" i="14" s="1"/>
  <c r="DN562" i="14" s="1"/>
  <c r="DG454" i="14"/>
  <c r="DH454" i="14" s="1"/>
  <c r="DN69" i="14"/>
  <c r="DL70" i="14"/>
  <c r="DM70" i="14" s="1"/>
  <c r="DN70" i="14" s="1"/>
  <c r="DB658" i="14"/>
  <c r="DC658" i="14" s="1"/>
  <c r="DD658" i="14" s="1"/>
  <c r="DD657" i="14"/>
  <c r="CM322" i="14"/>
  <c r="CN322" i="14" s="1"/>
  <c r="CO322" i="14" s="1"/>
  <c r="CO321" i="14"/>
  <c r="CC214" i="14"/>
  <c r="CD214" i="14" s="1"/>
  <c r="DG142" i="14"/>
  <c r="DH142" i="14" s="1"/>
  <c r="EF430" i="14"/>
  <c r="EG430" i="14" s="1"/>
  <c r="EH430" i="14" s="1"/>
  <c r="EH429" i="14"/>
  <c r="CC130" i="14"/>
  <c r="CD130" i="14" s="1"/>
  <c r="EC285" i="14"/>
  <c r="EA286" i="14"/>
  <c r="EB286" i="14" s="1"/>
  <c r="EC286" i="14" s="1"/>
  <c r="CH610" i="14"/>
  <c r="CI610" i="14" s="1"/>
  <c r="CJ610" i="14" s="1"/>
  <c r="CJ609" i="14"/>
  <c r="DB214" i="14"/>
  <c r="DC214" i="14" s="1"/>
  <c r="DD214" i="14" s="1"/>
  <c r="DD213" i="14"/>
  <c r="EF634" i="14"/>
  <c r="EG634" i="14" s="1"/>
  <c r="EH634" i="14" s="1"/>
  <c r="EH633" i="14"/>
  <c r="CR562" i="14"/>
  <c r="CS562" i="14" s="1"/>
  <c r="CT562" i="14" s="1"/>
  <c r="CT561" i="14"/>
  <c r="CO381" i="14"/>
  <c r="CM382" i="14"/>
  <c r="CN382" i="14" s="1"/>
  <c r="CO382" i="14" s="1"/>
  <c r="DX393" i="14"/>
  <c r="DV394" i="14"/>
  <c r="DW394" i="14" s="1"/>
  <c r="DX394" i="14" s="1"/>
  <c r="DV250" i="14"/>
  <c r="DW250" i="14" s="1"/>
  <c r="DX250" i="14" s="1"/>
  <c r="DX249" i="14"/>
  <c r="DG310" i="14"/>
  <c r="DH310" i="14" s="1"/>
  <c r="CC118" i="14"/>
  <c r="CD118" i="14" s="1"/>
  <c r="CH346" i="14"/>
  <c r="CI346" i="14" s="1"/>
  <c r="CJ346" i="14" s="1"/>
  <c r="CJ345" i="14"/>
  <c r="CC334" i="14"/>
  <c r="CD334" i="14" s="1"/>
  <c r="CW94" i="14"/>
  <c r="CX94" i="14" s="1"/>
  <c r="CY94" i="14" s="1"/>
  <c r="CY93" i="14"/>
  <c r="CW478" i="14"/>
  <c r="CX478" i="14" s="1"/>
  <c r="CY478" i="14" s="1"/>
  <c r="CY477" i="14"/>
  <c r="CR574" i="14"/>
  <c r="CS574" i="14" s="1"/>
  <c r="CT574" i="14" s="1"/>
  <c r="CT573" i="14"/>
  <c r="DG646" i="14"/>
  <c r="DH646" i="14" s="1"/>
  <c r="CC202" i="14"/>
  <c r="CD202" i="14" s="1"/>
  <c r="DG106" i="14"/>
  <c r="DH106" i="14" s="1"/>
  <c r="DG382" i="14"/>
  <c r="DH382" i="14" s="1"/>
  <c r="DN609" i="14"/>
  <c r="DL610" i="14"/>
  <c r="DM610" i="14" s="1"/>
  <c r="DN610" i="14" s="1"/>
  <c r="CW502" i="14"/>
  <c r="CX502" i="14" s="1"/>
  <c r="CY502" i="14" s="1"/>
  <c r="CY501" i="14"/>
  <c r="EC597" i="14"/>
  <c r="EA598" i="14"/>
  <c r="EB598" i="14" s="1"/>
  <c r="EC598" i="14" s="1"/>
  <c r="DG178" i="14"/>
  <c r="DH178" i="14" s="1"/>
  <c r="CC358" i="14"/>
  <c r="CD358" i="14" s="1"/>
  <c r="CH94" i="14"/>
  <c r="CI94" i="14" s="1"/>
  <c r="CJ94" i="14" s="1"/>
  <c r="CJ93" i="14"/>
  <c r="DG406" i="14"/>
  <c r="DH406" i="14" s="1"/>
  <c r="CC418" i="14"/>
  <c r="CD418" i="14" s="1"/>
  <c r="DQ622" i="14"/>
  <c r="DR622" i="14" s="1"/>
  <c r="DS622" i="14" s="1"/>
  <c r="DS621" i="14"/>
  <c r="CJ273" i="14"/>
  <c r="CH274" i="14"/>
  <c r="CI274" i="14" s="1"/>
  <c r="CJ274" i="14" s="1"/>
  <c r="CH214" i="14"/>
  <c r="CI214" i="14" s="1"/>
  <c r="CJ214" i="14" s="1"/>
  <c r="CJ213" i="14"/>
  <c r="CH106" i="14"/>
  <c r="CI106" i="14" s="1"/>
  <c r="CJ106" i="14" s="1"/>
  <c r="CJ105" i="14"/>
  <c r="CC658" i="14"/>
  <c r="CD658" i="14" s="1"/>
  <c r="DG658" i="14"/>
  <c r="DH658" i="14" s="1"/>
  <c r="DX285" i="14"/>
  <c r="DV286" i="14"/>
  <c r="DW286" i="14" s="1"/>
  <c r="DX286" i="14" s="1"/>
  <c r="DL58" i="14"/>
  <c r="DM58" i="14" s="1"/>
  <c r="DN58" i="14" s="1"/>
  <c r="DN57" i="14"/>
  <c r="EC525" i="14"/>
  <c r="EA526" i="14"/>
  <c r="EB526" i="14" s="1"/>
  <c r="EC526" i="14" s="1"/>
  <c r="DS645" i="14"/>
  <c r="DQ646" i="14"/>
  <c r="DR646" i="14" s="1"/>
  <c r="DS646" i="14" s="1"/>
  <c r="CO285" i="14"/>
  <c r="CM286" i="14"/>
  <c r="CN286" i="14" s="1"/>
  <c r="CO286" i="14" s="1"/>
  <c r="CM298" i="14"/>
  <c r="CN298" i="14" s="1"/>
  <c r="CO298" i="14" s="1"/>
  <c r="CO297" i="14"/>
  <c r="DS585" i="14"/>
  <c r="DQ586" i="14"/>
  <c r="DR586" i="14" s="1"/>
  <c r="DS586" i="14" s="1"/>
  <c r="DX585" i="14"/>
  <c r="DV586" i="14"/>
  <c r="DW586" i="14" s="1"/>
  <c r="DX586" i="14" s="1"/>
  <c r="DG574" i="14"/>
  <c r="DH574" i="14" s="1"/>
  <c r="CT549" i="14"/>
  <c r="CR550" i="14"/>
  <c r="CS550" i="14" s="1"/>
  <c r="CT550" i="14" s="1"/>
  <c r="DG346" i="14"/>
  <c r="DH346" i="14" s="1"/>
  <c r="CM670" i="14"/>
  <c r="CN670" i="14" s="1"/>
  <c r="CO670" i="14" s="1"/>
  <c r="CO669" i="14"/>
  <c r="CT585" i="14"/>
  <c r="CR586" i="14"/>
  <c r="CS586" i="14" s="1"/>
  <c r="CT586" i="14" s="1"/>
  <c r="DG322" i="14"/>
  <c r="DH322" i="14" s="1"/>
  <c r="CJ321" i="14"/>
  <c r="CH322" i="14"/>
  <c r="CI322" i="14" s="1"/>
  <c r="CJ322" i="14" s="1"/>
  <c r="DL658" i="14"/>
  <c r="DM658" i="14" s="1"/>
  <c r="DN658" i="14" s="1"/>
  <c r="DN657" i="14"/>
  <c r="CC514" i="14"/>
  <c r="CD514" i="14" s="1"/>
  <c r="CC610" i="14"/>
  <c r="CD610" i="14" s="1"/>
  <c r="EA238" i="14"/>
  <c r="EB238" i="14" s="1"/>
  <c r="EC238" i="14" s="1"/>
  <c r="EC237" i="14"/>
  <c r="DB118" i="14"/>
  <c r="DC118" i="14" s="1"/>
  <c r="DD118" i="14" s="1"/>
  <c r="DD117" i="14"/>
  <c r="DL346" i="14"/>
  <c r="DM346" i="14" s="1"/>
  <c r="DN346" i="14" s="1"/>
  <c r="DN345" i="14"/>
  <c r="CR670" i="14"/>
  <c r="CS670" i="14" s="1"/>
  <c r="CT670" i="14" s="1"/>
  <c r="CT669" i="14"/>
  <c r="CO501" i="14"/>
  <c r="CM502" i="14"/>
  <c r="CN502" i="14" s="1"/>
  <c r="CO502" i="14" s="1"/>
  <c r="EH69" i="14"/>
  <c r="EF70" i="14"/>
  <c r="EG70" i="14" s="1"/>
  <c r="EH70" i="14" s="1"/>
  <c r="DQ634" i="14"/>
  <c r="DR634" i="14" s="1"/>
  <c r="DS634" i="14" s="1"/>
  <c r="DS633" i="14"/>
  <c r="CR70" i="14"/>
  <c r="CS70" i="14" s="1"/>
  <c r="CT70" i="14" s="1"/>
  <c r="CT69" i="14"/>
  <c r="CJ465" i="14"/>
  <c r="CH466" i="14"/>
  <c r="CI466" i="14" s="1"/>
  <c r="CJ466" i="14" s="1"/>
  <c r="CH526" i="14"/>
  <c r="CI526" i="14" s="1"/>
  <c r="CJ526" i="14" s="1"/>
  <c r="CJ525" i="14"/>
  <c r="DD177" i="14"/>
  <c r="DB178" i="14"/>
  <c r="DC178" i="14" s="1"/>
  <c r="DD178" i="14" s="1"/>
  <c r="CC442" i="14"/>
  <c r="CD442" i="14" s="1"/>
  <c r="CJ645" i="14"/>
  <c r="CH646" i="14"/>
  <c r="CI646" i="14" s="1"/>
  <c r="CJ646" i="14" s="1"/>
  <c r="EC333" i="14"/>
  <c r="EA334" i="14"/>
  <c r="EB334" i="14" s="1"/>
  <c r="EC334" i="14" s="1"/>
  <c r="CC478" i="14"/>
  <c r="CD478" i="14" s="1"/>
  <c r="CO465" i="14"/>
  <c r="CM466" i="14"/>
  <c r="CN466" i="14" s="1"/>
  <c r="CO466" i="14" s="1"/>
  <c r="CH310" i="14"/>
  <c r="CI310" i="14" s="1"/>
  <c r="CJ310" i="14" s="1"/>
  <c r="CJ309" i="14"/>
  <c r="DB154" i="14"/>
  <c r="DC154" i="14" s="1"/>
  <c r="DD154" i="14" s="1"/>
  <c r="DD153" i="14"/>
  <c r="CW154" i="14"/>
  <c r="CX154" i="14" s="1"/>
  <c r="CY154" i="14" s="1"/>
  <c r="CY153" i="14"/>
  <c r="CO561" i="14"/>
  <c r="CM562" i="14"/>
  <c r="CN562" i="14" s="1"/>
  <c r="CO562" i="14" s="1"/>
  <c r="DG538" i="14"/>
  <c r="DH538" i="14" s="1"/>
  <c r="DG526" i="14"/>
  <c r="DH526" i="14" s="1"/>
  <c r="CC106" i="14"/>
  <c r="CD106" i="14" s="1"/>
  <c r="CC190" i="14"/>
  <c r="CD190" i="14" s="1"/>
  <c r="CC634" i="14"/>
  <c r="CD634" i="14" s="1"/>
  <c r="DD273" i="14"/>
  <c r="DB274" i="14"/>
  <c r="DC274" i="14" s="1"/>
  <c r="DD274" i="14" s="1"/>
  <c r="DG586" i="14"/>
  <c r="DH586" i="14" s="1"/>
  <c r="CH490" i="14"/>
  <c r="CI490" i="14" s="1"/>
  <c r="CJ490" i="14" s="1"/>
  <c r="CJ489" i="14"/>
  <c r="EC201" i="14"/>
  <c r="EA202" i="14"/>
  <c r="EB202" i="14" s="1"/>
  <c r="EC202" i="14" s="1"/>
  <c r="CW574" i="14"/>
  <c r="CX574" i="14" s="1"/>
  <c r="CY574" i="14" s="1"/>
  <c r="CY573" i="14"/>
  <c r="CW538" i="14"/>
  <c r="CX538" i="14" s="1"/>
  <c r="CY538" i="14" s="1"/>
  <c r="CY537" i="14"/>
  <c r="EA358" i="14"/>
  <c r="EB358" i="14" s="1"/>
  <c r="EC358" i="14" s="1"/>
  <c r="EC357" i="14"/>
  <c r="CJ189" i="14"/>
  <c r="CH190" i="14"/>
  <c r="CI190" i="14" s="1"/>
  <c r="CJ190" i="14" s="1"/>
  <c r="DG286" i="14"/>
  <c r="DH286" i="14" s="1"/>
  <c r="DG58" i="14"/>
  <c r="DH58" i="14" s="1"/>
  <c r="DG334" i="14"/>
  <c r="DH334" i="14" s="1"/>
  <c r="CH598" i="14"/>
  <c r="CI598" i="14" s="1"/>
  <c r="CJ598" i="14" s="1"/>
  <c r="CJ597" i="14"/>
  <c r="CY333" i="14"/>
  <c r="CW334" i="14"/>
  <c r="CX334" i="14" s="1"/>
  <c r="CY334" i="14" s="1"/>
  <c r="DG430" i="14"/>
  <c r="DH430" i="14" s="1"/>
  <c r="CH406" i="14"/>
  <c r="CI406" i="14" s="1"/>
  <c r="CJ406" i="14" s="1"/>
  <c r="CJ405" i="14"/>
  <c r="DG478" i="14"/>
  <c r="DH478" i="14" s="1"/>
  <c r="CC226" i="14"/>
  <c r="CD226" i="14" s="1"/>
  <c r="DS381" i="14"/>
  <c r="DQ382" i="14"/>
  <c r="DR382" i="14" s="1"/>
  <c r="DS382" i="14" s="1"/>
  <c r="DD105" i="14"/>
  <c r="DB106" i="14"/>
  <c r="DC106" i="14" s="1"/>
  <c r="DD106" i="14" s="1"/>
  <c r="CC598" i="14"/>
  <c r="CD598" i="14" s="1"/>
  <c r="DL334" i="14"/>
  <c r="DM334" i="14" s="1"/>
  <c r="DN334" i="14" s="1"/>
  <c r="DN333" i="14"/>
  <c r="CC286" i="14"/>
  <c r="CD286" i="14" s="1"/>
  <c r="DB358" i="14"/>
  <c r="DC358" i="14" s="1"/>
  <c r="DD358" i="14" s="1"/>
  <c r="DD357" i="14"/>
  <c r="CW490" i="14"/>
  <c r="CX490" i="14" s="1"/>
  <c r="CY490" i="14" s="1"/>
  <c r="CY489" i="14"/>
  <c r="CT285" i="14"/>
  <c r="CR286" i="14"/>
  <c r="CS286" i="14" s="1"/>
  <c r="CT286" i="14" s="1"/>
  <c r="DG490" i="14"/>
  <c r="DH490" i="14" s="1"/>
  <c r="CC370" i="14"/>
  <c r="CD370" i="14" s="1"/>
  <c r="CH262" i="14"/>
  <c r="CI262" i="14" s="1"/>
  <c r="CJ262" i="14" s="1"/>
  <c r="CJ261" i="14"/>
  <c r="EC501" i="14"/>
  <c r="EA502" i="14"/>
  <c r="EB502" i="14" s="1"/>
  <c r="EC502" i="14" s="1"/>
  <c r="EF370" i="14"/>
  <c r="EG370" i="14" s="1"/>
  <c r="EH370" i="14" s="1"/>
  <c r="EH369" i="14"/>
  <c r="CC274" i="14"/>
  <c r="CD274" i="14" s="1"/>
  <c r="CC454" i="14"/>
  <c r="CD454" i="14" s="1"/>
  <c r="CH418" i="14"/>
  <c r="CI418" i="14" s="1"/>
  <c r="CJ418" i="14" s="1"/>
  <c r="CJ417" i="14"/>
  <c r="CY645" i="14"/>
  <c r="CW646" i="14"/>
  <c r="CX646" i="14" s="1"/>
  <c r="CY646" i="14" s="1"/>
  <c r="DV274" i="14"/>
  <c r="DW274" i="14" s="1"/>
  <c r="DX274" i="14" s="1"/>
  <c r="DX273" i="14"/>
  <c r="CT633" i="14"/>
  <c r="CR634" i="14"/>
  <c r="CS634" i="14" s="1"/>
  <c r="CT634" i="14" s="1"/>
  <c r="DB502" i="14"/>
  <c r="DC502" i="14" s="1"/>
  <c r="DD502" i="14" s="1"/>
  <c r="DD501" i="14"/>
  <c r="CM178" i="14"/>
  <c r="CN178" i="14" s="1"/>
  <c r="CO178" i="14" s="1"/>
  <c r="CO177" i="14"/>
  <c r="EH225" i="14"/>
  <c r="EF226" i="14"/>
  <c r="EG226" i="14" s="1"/>
  <c r="EH226" i="14" s="1"/>
  <c r="DD321" i="14"/>
  <c r="DB322" i="14"/>
  <c r="DC322" i="14" s="1"/>
  <c r="DD322" i="14" s="1"/>
  <c r="DG442" i="14"/>
  <c r="DH442" i="14" s="1"/>
  <c r="DX141" i="14"/>
  <c r="DV142" i="14"/>
  <c r="DW142" i="14" s="1"/>
  <c r="DX142" i="14" s="1"/>
  <c r="DS357" i="14"/>
  <c r="DQ358" i="14"/>
  <c r="DR358" i="14" s="1"/>
  <c r="DS358" i="14" s="1"/>
  <c r="CM490" i="14"/>
  <c r="CN490" i="14" s="1"/>
  <c r="CO490" i="14" s="1"/>
  <c r="CO489" i="14"/>
  <c r="DG154" i="14"/>
  <c r="DH154" i="14" s="1"/>
  <c r="DD453" i="14"/>
  <c r="DB454" i="14"/>
  <c r="DC454" i="14" s="1"/>
  <c r="DD454" i="14" s="1"/>
  <c r="EF490" i="14"/>
  <c r="EG490" i="14" s="1"/>
  <c r="EH490" i="14" s="1"/>
  <c r="EH489" i="14"/>
  <c r="DQ670" i="14"/>
  <c r="DR670" i="14" s="1"/>
  <c r="DS670" i="14" s="1"/>
  <c r="DS669" i="14"/>
  <c r="EC129" i="14"/>
  <c r="EA130" i="14"/>
  <c r="EB130" i="14" s="1"/>
  <c r="EC130" i="14" s="1"/>
  <c r="DG226" i="14"/>
  <c r="DH226" i="14" s="1"/>
  <c r="DB682" i="14"/>
  <c r="DC682" i="14" s="1"/>
  <c r="DD682" i="14" s="1"/>
  <c r="DD681" i="14"/>
  <c r="CM430" i="14"/>
  <c r="CN430" i="14" s="1"/>
  <c r="CO430" i="14" s="1"/>
  <c r="CO429" i="14"/>
  <c r="DX333" i="14"/>
  <c r="DV334" i="14"/>
  <c r="DW334" i="14" s="1"/>
  <c r="DX334" i="14" s="1"/>
  <c r="CM118" i="14"/>
  <c r="CN118" i="14" s="1"/>
  <c r="CO118" i="14" s="1"/>
  <c r="CO117" i="14"/>
  <c r="CC550" i="14"/>
  <c r="CD550" i="14" s="1"/>
  <c r="DG598" i="14"/>
  <c r="DH598" i="14" s="1"/>
  <c r="DN645" i="14"/>
  <c r="DL646" i="14"/>
  <c r="DM646" i="14" s="1"/>
  <c r="DN646" i="14" s="1"/>
  <c r="CJ225" i="14"/>
  <c r="CH226" i="14"/>
  <c r="CI226" i="14" s="1"/>
  <c r="CJ226" i="14" s="1"/>
  <c r="DS657" i="14"/>
  <c r="DQ658" i="14"/>
  <c r="DR658" i="14" s="1"/>
  <c r="DS658" i="14" s="1"/>
  <c r="CH298" i="14"/>
  <c r="CI298" i="14" s="1"/>
  <c r="CJ298" i="14" s="1"/>
  <c r="CJ297" i="14"/>
  <c r="CW682" i="14"/>
  <c r="CX682" i="14" s="1"/>
  <c r="CY682" i="14" s="1"/>
  <c r="CY681" i="14"/>
  <c r="DB406" i="14"/>
  <c r="DC406" i="14" s="1"/>
  <c r="DD406" i="14" s="1"/>
  <c r="DD405" i="14"/>
  <c r="CC70" i="14"/>
  <c r="CD70" i="14" s="1"/>
  <c r="CT489" i="14"/>
  <c r="CR490" i="14"/>
  <c r="CS490" i="14" s="1"/>
  <c r="CT490" i="14" s="1"/>
  <c r="DX465" i="14"/>
  <c r="DV466" i="14"/>
  <c r="DW466" i="14" s="1"/>
  <c r="DX466" i="14" s="1"/>
  <c r="DG466" i="14"/>
  <c r="DH466" i="14" s="1"/>
  <c r="CC394" i="14"/>
  <c r="CD394" i="14" s="1"/>
  <c r="DQ478" i="14"/>
  <c r="DR478" i="14" s="1"/>
  <c r="DS478" i="14" s="1"/>
  <c r="DS477" i="14"/>
  <c r="CY177" i="14"/>
  <c r="CW178" i="14"/>
  <c r="CX178" i="14" s="1"/>
  <c r="CY178" i="14" s="1"/>
  <c r="DG274" i="14"/>
  <c r="DH274" i="14" s="1"/>
  <c r="DG562" i="14"/>
  <c r="DH562" i="14" s="1"/>
  <c r="CC502" i="14"/>
  <c r="CD502" i="14" s="1"/>
  <c r="CH478" i="14"/>
  <c r="CI478" i="14" s="1"/>
  <c r="CJ478" i="14" s="1"/>
  <c r="CJ477" i="14"/>
  <c r="CC346" i="14"/>
  <c r="CD346" i="14" s="1"/>
  <c r="DG166" i="14"/>
  <c r="DH166" i="14" s="1"/>
  <c r="CH286" i="14"/>
  <c r="CI286" i="14" s="1"/>
  <c r="CJ286" i="14" s="1"/>
  <c r="CJ285" i="14"/>
  <c r="DG610" i="14"/>
  <c r="DH610" i="14" s="1"/>
  <c r="CC250" i="14"/>
  <c r="CD250" i="14" s="1"/>
  <c r="DG118" i="14"/>
  <c r="DH118" i="14" s="1"/>
  <c r="DD549" i="14"/>
  <c r="DB550" i="14"/>
  <c r="DC550" i="14" s="1"/>
  <c r="DD550" i="14" s="1"/>
  <c r="EC657" i="14"/>
  <c r="EA658" i="14"/>
  <c r="EB658" i="14" s="1"/>
  <c r="EC658" i="14" s="1"/>
  <c r="DL154" i="14"/>
  <c r="DM154" i="14" s="1"/>
  <c r="DN154" i="14" s="1"/>
  <c r="DN153" i="14"/>
  <c r="DG502" i="14"/>
  <c r="DH502" i="14" s="1"/>
  <c r="EF406" i="14"/>
  <c r="EG406" i="14" s="1"/>
  <c r="EH406" i="14" s="1"/>
  <c r="EH405" i="14"/>
  <c r="CC298" i="14"/>
  <c r="CD298" i="14" s="1"/>
  <c r="DN477" i="14"/>
  <c r="DL478" i="14"/>
  <c r="DM478" i="14" s="1"/>
  <c r="DN478" i="14" s="1"/>
  <c r="DL418" i="14"/>
  <c r="DM418" i="14" s="1"/>
  <c r="DN418" i="14" s="1"/>
  <c r="DN417" i="14"/>
  <c r="DX309" i="14"/>
  <c r="DV310" i="14"/>
  <c r="DW310" i="14" s="1"/>
  <c r="DX310" i="14" s="1"/>
  <c r="CC166" i="14"/>
  <c r="CD166" i="14" s="1"/>
  <c r="CY129" i="14"/>
  <c r="CW130" i="14"/>
  <c r="CX130" i="14" s="1"/>
  <c r="CY130" i="14" s="1"/>
  <c r="CT225" i="14"/>
  <c r="CR226" i="14"/>
  <c r="CS226" i="14" s="1"/>
  <c r="CT226" i="14" s="1"/>
  <c r="DD429" i="14"/>
  <c r="DB430" i="14"/>
  <c r="DC430" i="14" s="1"/>
  <c r="DD430" i="14" s="1"/>
  <c r="DB526" i="14"/>
  <c r="DC526" i="14" s="1"/>
  <c r="DD526" i="14" s="1"/>
  <c r="DD525" i="14"/>
  <c r="CT621" i="14"/>
  <c r="CR622" i="14"/>
  <c r="CS622" i="14" s="1"/>
  <c r="CT622" i="14" s="1"/>
  <c r="CM418" i="14"/>
  <c r="CN418" i="14" s="1"/>
  <c r="CO418" i="14" s="1"/>
  <c r="CO417" i="14"/>
  <c r="CY321" i="14"/>
  <c r="CW322" i="14"/>
  <c r="CX322" i="14" s="1"/>
  <c r="CY322" i="14" s="1"/>
  <c r="CR214" i="14"/>
  <c r="CS214" i="14" s="1"/>
  <c r="CT214" i="14" s="1"/>
  <c r="CT213" i="14"/>
  <c r="CW238" i="14"/>
  <c r="CX238" i="14" s="1"/>
  <c r="CY238" i="14" s="1"/>
  <c r="CY237" i="14"/>
  <c r="DG214" i="14"/>
  <c r="DH214" i="14" s="1"/>
  <c r="CO393" i="14"/>
  <c r="CM394" i="14"/>
  <c r="CN394" i="14" s="1"/>
  <c r="CO394" i="14" s="1"/>
  <c r="CW550" i="14"/>
  <c r="CX550" i="14" s="1"/>
  <c r="CY550" i="14" s="1"/>
  <c r="CY549" i="14"/>
  <c r="DV262" i="14"/>
  <c r="DW262" i="14" s="1"/>
  <c r="DX262" i="14" s="1"/>
  <c r="DX261" i="14"/>
  <c r="CY141" i="14"/>
  <c r="CW142" i="14"/>
  <c r="CX142" i="14" s="1"/>
  <c r="CY142" i="14" s="1"/>
  <c r="CR646" i="14"/>
  <c r="CS646" i="14" s="1"/>
  <c r="CT646" i="14" s="1"/>
  <c r="CT645" i="14"/>
  <c r="EH165" i="14"/>
  <c r="EF166" i="14"/>
  <c r="EG166" i="14" s="1"/>
  <c r="EH166" i="14" s="1"/>
  <c r="EC405" i="14"/>
  <c r="EA406" i="14"/>
  <c r="EB406" i="14" s="1"/>
  <c r="EC406" i="14" s="1"/>
  <c r="DQ130" i="14"/>
  <c r="DR130" i="14" s="1"/>
  <c r="DS130" i="14" s="1"/>
  <c r="DS129" i="14"/>
  <c r="DX117" i="14"/>
  <c r="DV118" i="14"/>
  <c r="DW118" i="14" s="1"/>
  <c r="DX118" i="14" s="1"/>
  <c r="DQ322" i="14"/>
  <c r="DR322" i="14" s="1"/>
  <c r="DS322" i="14" s="1"/>
  <c r="DS321" i="14"/>
  <c r="DG130" i="14"/>
  <c r="DH130" i="14" s="1"/>
  <c r="CC586" i="14"/>
  <c r="CD586" i="14" s="1"/>
  <c r="DG190" i="14"/>
  <c r="DH190" i="14" s="1"/>
  <c r="DS489" i="14"/>
  <c r="DQ490" i="14"/>
  <c r="DR490" i="14" s="1"/>
  <c r="DS490" i="14" s="1"/>
  <c r="CC262" i="14"/>
  <c r="CD262" i="14" s="1"/>
  <c r="DG514" i="14"/>
  <c r="DH514" i="14" s="1"/>
  <c r="EA394" i="14"/>
  <c r="EB394" i="14" s="1"/>
  <c r="EC394" i="14" s="1"/>
  <c r="EC393" i="14"/>
  <c r="DV646" i="14"/>
  <c r="DW646" i="14" s="1"/>
  <c r="DX646" i="14" s="1"/>
  <c r="DX645" i="14"/>
  <c r="CC142" i="14"/>
  <c r="CD142" i="14" s="1"/>
  <c r="EC153" i="14"/>
  <c r="EA154" i="14"/>
  <c r="EB154" i="14" s="1"/>
  <c r="EC154" i="14" s="1"/>
  <c r="DD477" i="14"/>
  <c r="DB478" i="14"/>
  <c r="DC478" i="14" s="1"/>
  <c r="DD478" i="14" s="1"/>
  <c r="EF262" i="14"/>
  <c r="EG262" i="14" s="1"/>
  <c r="EH262" i="14" s="1"/>
  <c r="EH261" i="14"/>
  <c r="CM94" i="14"/>
  <c r="CN94" i="14" s="1"/>
  <c r="CO94" i="14" s="1"/>
  <c r="CO93" i="14"/>
  <c r="DN105" i="14"/>
  <c r="DL106" i="14"/>
  <c r="DM106" i="14" s="1"/>
  <c r="DN106" i="14" s="1"/>
  <c r="DD573" i="14"/>
  <c r="DB574" i="14"/>
  <c r="DC574" i="14" s="1"/>
  <c r="DD574" i="14" s="1"/>
  <c r="DS93" i="14"/>
  <c r="DQ94" i="14"/>
  <c r="DR94" i="14" s="1"/>
  <c r="DS94" i="14" s="1"/>
  <c r="EC645" i="14"/>
  <c r="EA646" i="14"/>
  <c r="EB646" i="14" s="1"/>
  <c r="EC646" i="14" s="1"/>
  <c r="DS105" i="14"/>
  <c r="DQ106" i="14"/>
  <c r="DR106" i="14" s="1"/>
  <c r="DS106" i="14" s="1"/>
  <c r="CC574" i="14"/>
  <c r="CD574" i="14" s="1"/>
  <c r="CC670" i="14"/>
  <c r="CD670" i="14" s="1"/>
  <c r="CC646" i="14"/>
  <c r="CD646" i="14" s="1"/>
  <c r="DQ298" i="14"/>
  <c r="DR298" i="14" s="1"/>
  <c r="DS298" i="14" s="1"/>
  <c r="DS297" i="14"/>
  <c r="CC466" i="14"/>
  <c r="CD466" i="14" s="1"/>
  <c r="CW634" i="14"/>
  <c r="CX634" i="14" s="1"/>
  <c r="CY634" i="14" s="1"/>
  <c r="CY633" i="14"/>
  <c r="EC429" i="14"/>
  <c r="EA430" i="14"/>
  <c r="EB430" i="14" s="1"/>
  <c r="EC430" i="14" s="1"/>
  <c r="EA634" i="14"/>
  <c r="EB634" i="14" s="1"/>
  <c r="EC634" i="14" s="1"/>
  <c r="EC633" i="14"/>
  <c r="CH394" i="14"/>
  <c r="CI394" i="14" s="1"/>
  <c r="CJ394" i="14" s="1"/>
  <c r="CJ393" i="14"/>
  <c r="DG298" i="14"/>
  <c r="DH298" i="14" s="1"/>
  <c r="CE79" i="14"/>
  <c r="DI79" i="14"/>
  <c r="CC80" i="14"/>
  <c r="CD80" i="14" s="1"/>
  <c r="CY78" i="14"/>
  <c r="CW79" i="14"/>
  <c r="CX79" i="14" s="1"/>
  <c r="CO79" i="14"/>
  <c r="CM80" i="14"/>
  <c r="CN80" i="14" s="1"/>
  <c r="DD79" i="14"/>
  <c r="DB80" i="14"/>
  <c r="DC80" i="14" s="1"/>
  <c r="EA80" i="14"/>
  <c r="EB80" i="14" s="1"/>
  <c r="EC79" i="14"/>
  <c r="DQ80" i="14"/>
  <c r="DR80" i="14" s="1"/>
  <c r="DS79" i="14"/>
  <c r="DL80" i="14"/>
  <c r="DM80" i="14" s="1"/>
  <c r="DN79" i="14"/>
  <c r="CT79" i="14"/>
  <c r="CR80" i="14"/>
  <c r="CS80" i="14" s="1"/>
  <c r="DX79" i="14"/>
  <c r="DV80" i="14"/>
  <c r="DW80" i="14" s="1"/>
  <c r="EH78" i="14"/>
  <c r="EF79" i="14"/>
  <c r="EG79" i="14" s="1"/>
  <c r="DG80" i="14"/>
  <c r="DH80" i="14" s="1"/>
  <c r="CJ79" i="14"/>
  <c r="CH80" i="14"/>
  <c r="CI80" i="14" s="1"/>
  <c r="DV43" i="14"/>
  <c r="DW43" i="14" s="1"/>
  <c r="DX43" i="14" s="1"/>
  <c r="DQ43" i="14"/>
  <c r="DR43" i="14" s="1"/>
  <c r="DS43" i="14" s="1"/>
  <c r="EA43" i="14"/>
  <c r="EB43" i="14" s="1"/>
  <c r="EC43" i="14" s="1"/>
  <c r="CM43" i="14"/>
  <c r="CN43" i="14" s="1"/>
  <c r="CO43" i="14" s="1"/>
  <c r="DB42" i="14"/>
  <c r="DC42" i="14" s="1"/>
  <c r="DD41" i="14"/>
  <c r="CW41" i="14"/>
  <c r="CX41" i="14" s="1"/>
  <c r="CY41" i="14" s="1"/>
  <c r="CY40" i="14"/>
  <c r="CH42" i="14"/>
  <c r="CI42" i="14" s="1"/>
  <c r="CJ42" i="14" s="1"/>
  <c r="AJ23" i="43"/>
  <c r="E22" i="43" s="1"/>
  <c r="EF43" i="14"/>
  <c r="EG43" i="14" s="1"/>
  <c r="EH43" i="14" s="1"/>
  <c r="CD42" i="14"/>
  <c r="CR42" i="14"/>
  <c r="CS42" i="14" s="1"/>
  <c r="CT42" i="14" s="1"/>
  <c r="DL43" i="14"/>
  <c r="DM43" i="14" s="1"/>
  <c r="DN43" i="14" s="1"/>
  <c r="CE393" i="14" a="1"/>
  <c r="DI297" i="14" a="1"/>
  <c r="DI93" i="14" a="1"/>
  <c r="CE130" i="14" a="1"/>
  <c r="DI57" i="14" a="1"/>
  <c r="CE321" i="14" a="1"/>
  <c r="DI477" i="14" a="1"/>
  <c r="CE465" i="14" a="1"/>
  <c r="DI345" i="14" a="1"/>
  <c r="DI333" i="14" a="1"/>
  <c r="DI657" i="14" a="1"/>
  <c r="DI598" i="14" a="1"/>
  <c r="CE297" i="14" a="1"/>
  <c r="DI321" i="14" a="1"/>
  <c r="CE345" i="14" a="1"/>
  <c r="CE657" i="14" a="1"/>
  <c r="DI633" i="14" a="1"/>
  <c r="DI406" i="14" a="1"/>
  <c r="CE585" i="14" a="1"/>
  <c r="CE562" i="14" a="1"/>
  <c r="DI441" i="14" a="1"/>
  <c r="DI502" i="14" a="1"/>
  <c r="DI682" i="14" a="1"/>
  <c r="DI213" i="14" a="1"/>
  <c r="DI273" i="14" a="1"/>
  <c r="DI597" i="14" a="1"/>
  <c r="DI80" i="14" a="1"/>
  <c r="DI537" i="14" a="1"/>
  <c r="CE537" i="14" a="1"/>
  <c r="CE381" i="14" a="1"/>
  <c r="DI478" i="14" a="1"/>
  <c r="CE273" i="14" a="1"/>
  <c r="CE430" i="14" a="1"/>
  <c r="DI117" i="14" a="1"/>
  <c r="DI501" i="14" a="1"/>
  <c r="DI634" i="14" a="1"/>
  <c r="DI681" i="14" a="1"/>
  <c r="CE129" i="14" a="1"/>
  <c r="CE501" i="14" a="1"/>
  <c r="DI249" i="14" a="1"/>
  <c r="CE549" i="14" a="1"/>
  <c r="DI586" i="14" a="1"/>
  <c r="CE358" i="14" a="1"/>
  <c r="DI573" i="14" a="1"/>
  <c r="CE118" i="14" a="1"/>
  <c r="CE514" i="14" a="1"/>
  <c r="CE453" i="14" a="1"/>
  <c r="CE645" i="14" a="1"/>
  <c r="DI550" i="14" a="1"/>
  <c r="DI646" i="14" a="1"/>
  <c r="DI189" i="14" a="1"/>
  <c r="CE658" i="14" a="1"/>
  <c r="DI285" i="14" a="1"/>
  <c r="CE406" i="14" a="1"/>
  <c r="CE357" i="14" a="1"/>
  <c r="DI369" i="14" a="1"/>
  <c r="DI178" i="14" a="1"/>
  <c r="CE418" i="14" a="1"/>
  <c r="CE633" i="14" a="1"/>
  <c r="DI370" i="14" a="1"/>
  <c r="DI94" i="14" a="1"/>
  <c r="DI129" i="14" a="1"/>
  <c r="CE225" i="14" a="1"/>
  <c r="CE237" i="14" a="1"/>
  <c r="DI177" i="14" a="1"/>
  <c r="CE525" i="14" a="1"/>
  <c r="DI69" i="14" a="1"/>
  <c r="DI393" i="14" a="1"/>
  <c r="DI574" i="14" a="1"/>
  <c r="CE369" i="14" a="1"/>
  <c r="DI609" i="14" a="1"/>
  <c r="DI417" i="14" a="1"/>
  <c r="DI453" i="14" a="1"/>
  <c r="CE94" i="14" a="1"/>
  <c r="DI309" i="14" a="1"/>
  <c r="DI429" i="14" a="1"/>
  <c r="CE213" i="14" a="1"/>
  <c r="DI658" i="14" a="1"/>
  <c r="DI358" i="14" a="1"/>
  <c r="CE382" i="14" a="1"/>
  <c r="CE298" i="14" a="1"/>
  <c r="CE238" i="14" a="1"/>
  <c r="CE70" i="14" a="1"/>
  <c r="CE598" i="14" a="1"/>
  <c r="CE141" i="14" a="1"/>
  <c r="CE154" i="14" a="1"/>
  <c r="DI394" i="14" a="1"/>
  <c r="DI165" i="14" a="1"/>
  <c r="DI561" i="14" a="1"/>
  <c r="DI250" i="14" a="1"/>
  <c r="CE622" i="14" a="1"/>
  <c r="CE226" i="14" a="1"/>
  <c r="CE561" i="14" a="1"/>
  <c r="CE538" i="14" a="1"/>
  <c r="DI225" i="14" a="1"/>
  <c r="DI525" i="14" a="1"/>
  <c r="DI538" i="14" a="1"/>
  <c r="DI514" i="14" a="1"/>
  <c r="DI621" i="14" a="1"/>
  <c r="CE58" i="14" a="1"/>
  <c r="CE682" i="14" a="1"/>
  <c r="DI142" i="14" a="1"/>
  <c r="DI214" i="14" a="1"/>
  <c r="DI381" i="14" a="1"/>
  <c r="CE142" i="14" a="1"/>
  <c r="DI118" i="14" a="1"/>
  <c r="DI274" i="14" a="1"/>
  <c r="CE454" i="14" a="1"/>
  <c r="CE621" i="14" a="1"/>
  <c r="DI298" i="14" a="1"/>
  <c r="DI489" i="14" a="1"/>
  <c r="CE322" i="14" a="1"/>
  <c r="CE489" i="14" a="1"/>
  <c r="DI405" i="14" a="1"/>
  <c r="CE190" i="14" a="1"/>
  <c r="CE153" i="14" a="1"/>
  <c r="CE573" i="14" a="1"/>
  <c r="CE69" i="14" a="1"/>
  <c r="CE165" i="14" a="1"/>
  <c r="DI430" i="14" a="1"/>
  <c r="CE80" i="14" a="1"/>
  <c r="DI261" i="14" a="1"/>
  <c r="CE309" i="14" a="1"/>
  <c r="DI622" i="14" a="1"/>
  <c r="CE105" i="14" a="1"/>
  <c r="CE610" i="14" a="1"/>
  <c r="CE249" i="14" a="1"/>
  <c r="DI465" i="14" a="1"/>
  <c r="CE214" i="14" a="1"/>
  <c r="CE526" i="14" a="1"/>
  <c r="CE490" i="14" a="1"/>
  <c r="DI166" i="14" a="1"/>
  <c r="CE477" i="14" a="1"/>
  <c r="DI669" i="14" a="1"/>
  <c r="CE261" i="14" a="1"/>
  <c r="DI513" i="14" a="1"/>
  <c r="CE177" i="14" a="1"/>
  <c r="CE405" i="14" a="1"/>
  <c r="CE646" i="14" a="1"/>
  <c r="DI526" i="14" a="1"/>
  <c r="CE609" i="14" a="1"/>
  <c r="DI357" i="14" a="1"/>
  <c r="CE93" i="14" a="1"/>
  <c r="DI238" i="14" a="1"/>
  <c r="CE466" i="14" a="1"/>
  <c r="CE106" i="14" a="1"/>
  <c r="CE285" i="14" a="1"/>
  <c r="DI201" i="14" a="1"/>
  <c r="CE669" i="14" a="1"/>
  <c r="CE550" i="14" a="1"/>
  <c r="CE478" i="14" a="1"/>
  <c r="DI645" i="14" a="1"/>
  <c r="CE370" i="14" a="1"/>
  <c r="DI226" i="14" a="1"/>
  <c r="CE178" i="14" a="1"/>
  <c r="CE117" i="14" a="1"/>
  <c r="CE41" i="14" a="1"/>
  <c r="CE441" i="14" a="1"/>
  <c r="CE333" i="14" a="1"/>
  <c r="DI442" i="14" a="1"/>
  <c r="DI585" i="14" a="1"/>
  <c r="DI153" i="14" a="1"/>
  <c r="DI58" i="14" a="1"/>
  <c r="CE42" i="14" a="1"/>
  <c r="DI549" i="14" a="1"/>
  <c r="DI141" i="14" a="1"/>
  <c r="CE429" i="14" a="1"/>
  <c r="DI105" i="14" a="1"/>
  <c r="CE597" i="14" a="1"/>
  <c r="CE513" i="14" a="1"/>
  <c r="CE681" i="14" a="1"/>
  <c r="CE189" i="14" a="1"/>
  <c r="CE442" i="14" a="1"/>
  <c r="CE201" i="14" a="1"/>
  <c r="DI237" i="14" a="1"/>
  <c r="CE417" i="14" a="1"/>
  <c r="CE57" i="14" a="1"/>
  <c r="CE262" i="14" a="1"/>
  <c r="CE202" i="14" a="1"/>
  <c r="CE346" i="14" a="1"/>
  <c r="DI466" i="14" a="1"/>
  <c r="CE274" i="14" a="1"/>
  <c r="DI190" i="14" a="1"/>
  <c r="DI490" i="14" a="1"/>
  <c r="DI334" i="14" a="1"/>
  <c r="DI202" i="14" a="1"/>
  <c r="DI562" i="14" a="1"/>
  <c r="DI154" i="14" a="1"/>
  <c r="CE166" i="14" a="1"/>
  <c r="CE634" i="14" a="1"/>
  <c r="CE574" i="14" a="1"/>
  <c r="CE502" i="14" a="1"/>
  <c r="DI106" i="14" a="1"/>
  <c r="CE394" i="14" a="1"/>
  <c r="DI610" i="14" a="1"/>
  <c r="CE250" i="14" a="1"/>
  <c r="DI130" i="14" a="1"/>
  <c r="DI670" i="14" a="1"/>
  <c r="CE310" i="14" a="1"/>
  <c r="DI70" i="14" a="1"/>
  <c r="CE286" i="14" a="1"/>
  <c r="DI418" i="14" a="1"/>
  <c r="DI454" i="14" a="1"/>
  <c r="DI310" i="14" a="1"/>
  <c r="DI382" i="14" a="1"/>
  <c r="DI346" i="14" a="1"/>
  <c r="DI286" i="14" a="1"/>
  <c r="CE334" i="14" a="1"/>
  <c r="DI262" i="14" a="1"/>
  <c r="DI322" i="14" a="1"/>
  <c r="CE670" i="14" a="1"/>
  <c r="CE586" i="14" a="1"/>
  <c r="CE41" i="14" l="1"/>
  <c r="CE573" i="14"/>
  <c r="CE261" i="14"/>
  <c r="DI117" i="14"/>
  <c r="CE501" i="14"/>
  <c r="DI478" i="14"/>
  <c r="DI285" i="14"/>
  <c r="DI585" i="14"/>
  <c r="CE513" i="14"/>
  <c r="CE681" i="14"/>
  <c r="DI249" i="14"/>
  <c r="CE406" i="14"/>
  <c r="CE526" i="14"/>
  <c r="DI669" i="14"/>
  <c r="DI357" i="14"/>
  <c r="CE561" i="14"/>
  <c r="CE382" i="14"/>
  <c r="DI573" i="14"/>
  <c r="CE129" i="14"/>
  <c r="CE238" i="14"/>
  <c r="CE250" i="14"/>
  <c r="DI562" i="14"/>
  <c r="DI226" i="14"/>
  <c r="CE286" i="14"/>
  <c r="CE441" i="14"/>
  <c r="DI574" i="14"/>
  <c r="CE130" i="14"/>
  <c r="DI453" i="14"/>
  <c r="DI70" i="14"/>
  <c r="CE489" i="14"/>
  <c r="CE237" i="14"/>
  <c r="DI262" i="14"/>
  <c r="DI550" i="14"/>
  <c r="DI586" i="14"/>
  <c r="DI609" i="14"/>
  <c r="DI273" i="14"/>
  <c r="CE69" i="14"/>
  <c r="DI597" i="14"/>
  <c r="DI430" i="14"/>
  <c r="CE634" i="14"/>
  <c r="CE417" i="14"/>
  <c r="DI417" i="14"/>
  <c r="CE93" i="14"/>
  <c r="DI202" i="14"/>
  <c r="DI250" i="14"/>
  <c r="DI454" i="14"/>
  <c r="CE70" i="14"/>
  <c r="DI429" i="14"/>
  <c r="CE633" i="14"/>
  <c r="CE418" i="14"/>
  <c r="DI418" i="14"/>
  <c r="CE94" i="14"/>
  <c r="DI201" i="14"/>
  <c r="CE502" i="14"/>
  <c r="DI598" i="14"/>
  <c r="BV593" i="14" s="1"/>
  <c r="CE466" i="14"/>
  <c r="CE549" i="14"/>
  <c r="DI441" i="14"/>
  <c r="CE370" i="14"/>
  <c r="CE597" i="14"/>
  <c r="CE189" i="14"/>
  <c r="DI321" i="14"/>
  <c r="DI657" i="14"/>
  <c r="DI405" i="14"/>
  <c r="DI382" i="14"/>
  <c r="CE334" i="14"/>
  <c r="DI142" i="14"/>
  <c r="CE321" i="14"/>
  <c r="CE153" i="14"/>
  <c r="DI682" i="14"/>
  <c r="DI369" i="14"/>
  <c r="DI118" i="14"/>
  <c r="DI286" i="14"/>
  <c r="CE682" i="14"/>
  <c r="CE562" i="14"/>
  <c r="CE381" i="14"/>
  <c r="CE298" i="14"/>
  <c r="DI274" i="14"/>
  <c r="CE586" i="14"/>
  <c r="DI501" i="14"/>
  <c r="CE142" i="14"/>
  <c r="CE585" i="14"/>
  <c r="DI502" i="14"/>
  <c r="CE550" i="14"/>
  <c r="DI442" i="14"/>
  <c r="CE369" i="14"/>
  <c r="CE598" i="14"/>
  <c r="CE190" i="14"/>
  <c r="DI322" i="14"/>
  <c r="DI658" i="14"/>
  <c r="DI406" i="14"/>
  <c r="DI381" i="14"/>
  <c r="CE333" i="14"/>
  <c r="DI141" i="14"/>
  <c r="CE322" i="14"/>
  <c r="CE154" i="14"/>
  <c r="DI681" i="14"/>
  <c r="DI370" i="14"/>
  <c r="CE262" i="14"/>
  <c r="CE405" i="14"/>
  <c r="DI213" i="14"/>
  <c r="CE249" i="14"/>
  <c r="DI561" i="14"/>
  <c r="DI225" i="14"/>
  <c r="CE490" i="14"/>
  <c r="CE297" i="14"/>
  <c r="DI190" i="14"/>
  <c r="DI610" i="14"/>
  <c r="CE141" i="14"/>
  <c r="CE465" i="14"/>
  <c r="DI130" i="14"/>
  <c r="CE166" i="14"/>
  <c r="DI165" i="14"/>
  <c r="DI489" i="14"/>
  <c r="CE106" i="14"/>
  <c r="CE658" i="14"/>
  <c r="DI105" i="14"/>
  <c r="CE213" i="14"/>
  <c r="DI93" i="14"/>
  <c r="DI621" i="14"/>
  <c r="CE309" i="14"/>
  <c r="CE429" i="14"/>
  <c r="CE57" i="14"/>
  <c r="CE574" i="14"/>
  <c r="CE514" i="14"/>
  <c r="CE525" i="14"/>
  <c r="DI129" i="14"/>
  <c r="CE165" i="14"/>
  <c r="DI166" i="14"/>
  <c r="DI490" i="14"/>
  <c r="CE105" i="14"/>
  <c r="CE657" i="14"/>
  <c r="DI106" i="14"/>
  <c r="CE214" i="14"/>
  <c r="DI94" i="14"/>
  <c r="DI622" i="14"/>
  <c r="CE310" i="14"/>
  <c r="CE430" i="14"/>
  <c r="CE58" i="14"/>
  <c r="CE285" i="14"/>
  <c r="CE645" i="14"/>
  <c r="CE394" i="14"/>
  <c r="CE453" i="14"/>
  <c r="DI334" i="14"/>
  <c r="DI525" i="14"/>
  <c r="CE477" i="14"/>
  <c r="CE357" i="14"/>
  <c r="CE201" i="14"/>
  <c r="CE117" i="14"/>
  <c r="DI633" i="14"/>
  <c r="DI393" i="14"/>
  <c r="DI670" i="14"/>
  <c r="DI261" i="14"/>
  <c r="DI549" i="14"/>
  <c r="DI298" i="14"/>
  <c r="DI297" i="14"/>
  <c r="CE346" i="14"/>
  <c r="CE393" i="14"/>
  <c r="CE478" i="14"/>
  <c r="CE358" i="14"/>
  <c r="CE202" i="14"/>
  <c r="CE118" i="14"/>
  <c r="DI634" i="14"/>
  <c r="DI394" i="14"/>
  <c r="DI214" i="14"/>
  <c r="DI189" i="14"/>
  <c r="CE345" i="14"/>
  <c r="CE646" i="14"/>
  <c r="CE454" i="14"/>
  <c r="DI333" i="14"/>
  <c r="DI526" i="14"/>
  <c r="CE669" i="14"/>
  <c r="DI513" i="14"/>
  <c r="DI465" i="14"/>
  <c r="DI153" i="14"/>
  <c r="CE273" i="14"/>
  <c r="CE225" i="14"/>
  <c r="DI58" i="14"/>
  <c r="DI537" i="14"/>
  <c r="CE610" i="14"/>
  <c r="DI345" i="14"/>
  <c r="DI177" i="14"/>
  <c r="DI645" i="14"/>
  <c r="DI309" i="14"/>
  <c r="CE621" i="14"/>
  <c r="CE177" i="14"/>
  <c r="CE537" i="14"/>
  <c r="DI238" i="14"/>
  <c r="DI477" i="14"/>
  <c r="DI358" i="14"/>
  <c r="CE442" i="14"/>
  <c r="DI69" i="14"/>
  <c r="CE670" i="14"/>
  <c r="DI514" i="14"/>
  <c r="DI466" i="14"/>
  <c r="DI154" i="14"/>
  <c r="CE274" i="14"/>
  <c r="CE226" i="14"/>
  <c r="DI57" i="14"/>
  <c r="DI538" i="14"/>
  <c r="CE609" i="14"/>
  <c r="DI346" i="14"/>
  <c r="DI178" i="14"/>
  <c r="DI646" i="14"/>
  <c r="DI310" i="14"/>
  <c r="CE622" i="14"/>
  <c r="CE178" i="14"/>
  <c r="CE538" i="14"/>
  <c r="DI237" i="14"/>
  <c r="DI80" i="14"/>
  <c r="CE80" i="14"/>
  <c r="DS80" i="14"/>
  <c r="DQ81" i="14"/>
  <c r="DR81" i="14" s="1"/>
  <c r="CH81" i="14"/>
  <c r="CI81" i="14" s="1"/>
  <c r="CJ80" i="14"/>
  <c r="EA81" i="14"/>
  <c r="EB81" i="14" s="1"/>
  <c r="EC80" i="14"/>
  <c r="DD80" i="14"/>
  <c r="DB81" i="14"/>
  <c r="DC81" i="14" s="1"/>
  <c r="DG81" i="14"/>
  <c r="DH81" i="14" s="1"/>
  <c r="EF80" i="14"/>
  <c r="EG80" i="14" s="1"/>
  <c r="EH79" i="14"/>
  <c r="CM81" i="14"/>
  <c r="CN81" i="14" s="1"/>
  <c r="CO80" i="14"/>
  <c r="DN80" i="14"/>
  <c r="DL81" i="14"/>
  <c r="DM81" i="14" s="1"/>
  <c r="DV81" i="14"/>
  <c r="DW81" i="14" s="1"/>
  <c r="DX80" i="14"/>
  <c r="CY79" i="14"/>
  <c r="CW80" i="14"/>
  <c r="CX80" i="14" s="1"/>
  <c r="CR81" i="14"/>
  <c r="CS81" i="14" s="1"/>
  <c r="CT80" i="14"/>
  <c r="CC81" i="14"/>
  <c r="CD81" i="14" s="1"/>
  <c r="CE42" i="14"/>
  <c r="DV44" i="14"/>
  <c r="DW44" i="14" s="1"/>
  <c r="DX44" i="14" s="1"/>
  <c r="DQ44" i="14"/>
  <c r="DR44" i="14" s="1"/>
  <c r="DS44" i="14" s="1"/>
  <c r="CM44" i="14"/>
  <c r="CN44" i="14" s="1"/>
  <c r="CO44" i="14" s="1"/>
  <c r="EA44" i="14"/>
  <c r="EB44" i="14" s="1"/>
  <c r="EC44" i="14" s="1"/>
  <c r="CW42" i="14"/>
  <c r="CX42" i="14" s="1"/>
  <c r="CW43" i="14" s="1"/>
  <c r="CX43" i="14" s="1"/>
  <c r="CY43" i="14" s="1"/>
  <c r="DB43" i="14"/>
  <c r="DC43" i="14" s="1"/>
  <c r="DD42" i="14"/>
  <c r="CH43" i="14"/>
  <c r="CI43" i="14" s="1"/>
  <c r="CJ43" i="14" s="1"/>
  <c r="AJ24" i="43"/>
  <c r="E23" i="43" s="1"/>
  <c r="EF44" i="14"/>
  <c r="EG44" i="14" s="1"/>
  <c r="EH44" i="14" s="1"/>
  <c r="CC43" i="14"/>
  <c r="CD43" i="14" s="1"/>
  <c r="CR43" i="14"/>
  <c r="CS43" i="14" s="1"/>
  <c r="CT43" i="14" s="1"/>
  <c r="DL44" i="14"/>
  <c r="DM44" i="14" s="1"/>
  <c r="DN44" i="14" s="1"/>
  <c r="DI81" i="14" a="1"/>
  <c r="CE81" i="14" a="1"/>
  <c r="CE43" i="14" a="1"/>
  <c r="BV509" i="14" l="1"/>
  <c r="BV569" i="14"/>
  <c r="BV491" i="14"/>
  <c r="BV671" i="14"/>
  <c r="BV647" i="14"/>
  <c r="BW533" i="14"/>
  <c r="AN533" i="14" s="1"/>
  <c r="BW359" i="14"/>
  <c r="AN359" i="14" s="1"/>
  <c r="BW617" i="14"/>
  <c r="AN617" i="14" s="1"/>
  <c r="BV425" i="14"/>
  <c r="BV617" i="14"/>
  <c r="BV533" i="14"/>
  <c r="BV215" i="14"/>
  <c r="BV245" i="14"/>
  <c r="BV437" i="14"/>
  <c r="BW479" i="14"/>
  <c r="AN479" i="14" s="1"/>
  <c r="BV653" i="14"/>
  <c r="BW647" i="14"/>
  <c r="AN647" i="14" s="1"/>
  <c r="BW521" i="14"/>
  <c r="AN521" i="14" s="1"/>
  <c r="BW551" i="14"/>
  <c r="AN551" i="14" s="1"/>
  <c r="BV557" i="14"/>
  <c r="BW215" i="14"/>
  <c r="AN215" i="14" s="1"/>
  <c r="BW557" i="14"/>
  <c r="AN557" i="14" s="1"/>
  <c r="BV521" i="14"/>
  <c r="BV479" i="14"/>
  <c r="BW245" i="14"/>
  <c r="AN245" i="14" s="1"/>
  <c r="BV551" i="14"/>
  <c r="BW677" i="14"/>
  <c r="AN677" i="14" s="1"/>
  <c r="BW437" i="14"/>
  <c r="AN437" i="14" s="1"/>
  <c r="BW143" i="14"/>
  <c r="AN143" i="14" s="1"/>
  <c r="BW605" i="14"/>
  <c r="AN605" i="14" s="1"/>
  <c r="BV143" i="14"/>
  <c r="BW593" i="14"/>
  <c r="AN593" i="14" s="1"/>
  <c r="BW365" i="14"/>
  <c r="AN365" i="14" s="1"/>
  <c r="BW455" i="14"/>
  <c r="AN455" i="14" s="1"/>
  <c r="BV431" i="14"/>
  <c r="BW611" i="14"/>
  <c r="AN611" i="14" s="1"/>
  <c r="BW641" i="14"/>
  <c r="AN641" i="14" s="1"/>
  <c r="BV641" i="14"/>
  <c r="BV413" i="14"/>
  <c r="BW413" i="14"/>
  <c r="AN413" i="14" s="1"/>
  <c r="BW389" i="14"/>
  <c r="AN389" i="14" s="1"/>
  <c r="BV389" i="14"/>
  <c r="BV131" i="14"/>
  <c r="BW131" i="14"/>
  <c r="AN131" i="14" s="1"/>
  <c r="BW545" i="14"/>
  <c r="AN545" i="14" s="1"/>
  <c r="BV545" i="14"/>
  <c r="BW665" i="14"/>
  <c r="AN665" i="14" s="1"/>
  <c r="BV665" i="14"/>
  <c r="BW629" i="14"/>
  <c r="AN629" i="14" s="1"/>
  <c r="BV629" i="14"/>
  <c r="BW137" i="14"/>
  <c r="AN137" i="14" s="1"/>
  <c r="BV137" i="14"/>
  <c r="BW569" i="14"/>
  <c r="AN569" i="14" s="1"/>
  <c r="BW503" i="14"/>
  <c r="AN503" i="14" s="1"/>
  <c r="BV503" i="14"/>
  <c r="BW401" i="14"/>
  <c r="AN401" i="14" s="1"/>
  <c r="BV401" i="14"/>
  <c r="BV581" i="14"/>
  <c r="BW581" i="14"/>
  <c r="AN581" i="14" s="1"/>
  <c r="BV677" i="14"/>
  <c r="BW497" i="14"/>
  <c r="AN497" i="14" s="1"/>
  <c r="BV497" i="14"/>
  <c r="BW431" i="14"/>
  <c r="AN431" i="14" s="1"/>
  <c r="BV149" i="14"/>
  <c r="BW149" i="14"/>
  <c r="AN149" i="14" s="1"/>
  <c r="BW473" i="14"/>
  <c r="AN473" i="14" s="1"/>
  <c r="BV473" i="14"/>
  <c r="BV461" i="14"/>
  <c r="BW461" i="14"/>
  <c r="AN461" i="14" s="1"/>
  <c r="BW467" i="14"/>
  <c r="AN467" i="14" s="1"/>
  <c r="BV467" i="14"/>
  <c r="BW221" i="14"/>
  <c r="AN221" i="14" s="1"/>
  <c r="BV221" i="14"/>
  <c r="BV365" i="14"/>
  <c r="BV455" i="14"/>
  <c r="BV605" i="14"/>
  <c r="BW653" i="14"/>
  <c r="AN653" i="14" s="1"/>
  <c r="BV659" i="14"/>
  <c r="BW659" i="14"/>
  <c r="AN659" i="14" s="1"/>
  <c r="BV449" i="14"/>
  <c r="BW449" i="14"/>
  <c r="AN449" i="14" s="1"/>
  <c r="BV611" i="14"/>
  <c r="BV443" i="14"/>
  <c r="BW443" i="14"/>
  <c r="AN443" i="14" s="1"/>
  <c r="BW425" i="14"/>
  <c r="AN425" i="14" s="1"/>
  <c r="BW509" i="14"/>
  <c r="AN509" i="14" s="1"/>
  <c r="BW491" i="14"/>
  <c r="AN491" i="14" s="1"/>
  <c r="BW485" i="14"/>
  <c r="AN485" i="14" s="1"/>
  <c r="BV485" i="14"/>
  <c r="BV359" i="14"/>
  <c r="DI81" i="14"/>
  <c r="CE81" i="14"/>
  <c r="DG82" i="14"/>
  <c r="DH82" i="14" s="1"/>
  <c r="CC82" i="14"/>
  <c r="CD82" i="14" s="1"/>
  <c r="DD81" i="14"/>
  <c r="DB82" i="14"/>
  <c r="DC82" i="14" s="1"/>
  <c r="DD82" i="14" s="1"/>
  <c r="CO81" i="14"/>
  <c r="CM82" i="14"/>
  <c r="CN82" i="14" s="1"/>
  <c r="CO82" i="14" s="1"/>
  <c r="CR82" i="14"/>
  <c r="CS82" i="14" s="1"/>
  <c r="CT82" i="14" s="1"/>
  <c r="CT81" i="14"/>
  <c r="CW81" i="14"/>
  <c r="CX81" i="14" s="1"/>
  <c r="CY80" i="14"/>
  <c r="EC81" i="14"/>
  <c r="EA82" i="14"/>
  <c r="EB82" i="14" s="1"/>
  <c r="EC82" i="14" s="1"/>
  <c r="EH80" i="14"/>
  <c r="EF81" i="14"/>
  <c r="EG81" i="14" s="1"/>
  <c r="CJ81" i="14"/>
  <c r="CH82" i="14"/>
  <c r="CI82" i="14" s="1"/>
  <c r="CJ82" i="14" s="1"/>
  <c r="DX81" i="14"/>
  <c r="DV82" i="14"/>
  <c r="DW82" i="14" s="1"/>
  <c r="DX82" i="14" s="1"/>
  <c r="DS81" i="14"/>
  <c r="DQ82" i="14"/>
  <c r="DR82" i="14" s="1"/>
  <c r="DS82" i="14" s="1"/>
  <c r="DN81" i="14"/>
  <c r="DL82" i="14"/>
  <c r="DM82" i="14" s="1"/>
  <c r="DN82" i="14" s="1"/>
  <c r="CE43" i="14"/>
  <c r="DV45" i="14"/>
  <c r="DW45" i="14" s="1"/>
  <c r="DX45" i="14" s="1"/>
  <c r="DQ45" i="14"/>
  <c r="DR45" i="14" s="1"/>
  <c r="DS45" i="14" s="1"/>
  <c r="CM45" i="14"/>
  <c r="CN45" i="14" s="1"/>
  <c r="CO45" i="14" s="1"/>
  <c r="EA45" i="14"/>
  <c r="EB45" i="14" s="1"/>
  <c r="EC45" i="14" s="1"/>
  <c r="CY42" i="14"/>
  <c r="CW44" i="14"/>
  <c r="CX44" i="14" s="1"/>
  <c r="CY44" i="14" s="1"/>
  <c r="DB44" i="14"/>
  <c r="DC44" i="14" s="1"/>
  <c r="DD43" i="14"/>
  <c r="CH44" i="14"/>
  <c r="CI44" i="14" s="1"/>
  <c r="CJ44" i="14" s="1"/>
  <c r="BV83" i="14"/>
  <c r="BW107" i="14"/>
  <c r="AN107" i="14" s="1"/>
  <c r="BW113" i="14"/>
  <c r="AN113" i="14" s="1"/>
  <c r="BV107" i="14"/>
  <c r="BW83" i="14"/>
  <c r="AN83" i="14" s="1"/>
  <c r="BV119" i="14"/>
  <c r="BW119" i="14"/>
  <c r="AN119" i="14" s="1"/>
  <c r="BV125" i="14"/>
  <c r="BW125" i="14"/>
  <c r="AN125" i="14" s="1"/>
  <c r="BV113" i="14"/>
  <c r="AJ25" i="43"/>
  <c r="E24" i="43" s="1"/>
  <c r="EF45" i="14"/>
  <c r="EG45" i="14" s="1"/>
  <c r="EH45" i="14" s="1"/>
  <c r="BV53" i="14"/>
  <c r="BW323" i="14"/>
  <c r="AN323" i="14" s="1"/>
  <c r="BV305" i="14"/>
  <c r="BV323" i="14"/>
  <c r="BW341" i="14"/>
  <c r="AN341" i="14" s="1"/>
  <c r="BW305" i="14"/>
  <c r="AN305" i="14" s="1"/>
  <c r="BV347" i="14"/>
  <c r="BW347" i="14"/>
  <c r="AN347" i="14" s="1"/>
  <c r="BV335" i="14"/>
  <c r="BV287" i="14"/>
  <c r="BW287" i="14"/>
  <c r="AN287" i="14" s="1"/>
  <c r="BW335" i="14"/>
  <c r="AN335" i="14" s="1"/>
  <c r="BW329" i="14"/>
  <c r="AN329" i="14" s="1"/>
  <c r="BV329" i="14"/>
  <c r="BV275" i="14"/>
  <c r="BW275" i="14"/>
  <c r="AN275" i="14" s="1"/>
  <c r="BV293" i="14"/>
  <c r="BW293" i="14"/>
  <c r="AN293" i="14" s="1"/>
  <c r="BV227" i="14"/>
  <c r="BW227" i="14"/>
  <c r="AN227" i="14" s="1"/>
  <c r="BV155" i="14"/>
  <c r="BW161" i="14"/>
  <c r="AN161" i="14" s="1"/>
  <c r="BV161" i="14"/>
  <c r="BV191" i="14"/>
  <c r="BW191" i="14"/>
  <c r="AN191" i="14" s="1"/>
  <c r="BV167" i="14"/>
  <c r="BV197" i="14"/>
  <c r="BW167" i="14"/>
  <c r="AN167" i="14" s="1"/>
  <c r="BW197" i="14"/>
  <c r="AN197" i="14" s="1"/>
  <c r="BW155" i="14"/>
  <c r="AN155" i="14" s="1"/>
  <c r="BV209" i="14"/>
  <c r="BW209" i="14"/>
  <c r="AN209" i="14" s="1"/>
  <c r="CC44" i="14"/>
  <c r="CD44" i="14" s="1"/>
  <c r="CR44" i="14"/>
  <c r="CS44" i="14" s="1"/>
  <c r="CT44" i="14" s="1"/>
  <c r="DL45" i="14"/>
  <c r="DM45" i="14" s="1"/>
  <c r="DN45" i="14" s="1"/>
  <c r="BW671" i="14"/>
  <c r="AN671" i="14" s="1"/>
  <c r="BW53" i="14"/>
  <c r="AN53" i="14" s="1"/>
  <c r="BW623" i="14"/>
  <c r="AN623" i="14" s="1"/>
  <c r="BV383" i="14"/>
  <c r="BV371" i="14"/>
  <c r="BV635" i="14"/>
  <c r="BW407" i="14"/>
  <c r="AN407" i="14" s="1"/>
  <c r="BV515" i="14"/>
  <c r="BW371" i="14"/>
  <c r="AN371" i="14" s="1"/>
  <c r="BV407" i="14"/>
  <c r="BV587" i="14"/>
  <c r="BV179" i="14"/>
  <c r="BV623" i="14"/>
  <c r="BW515" i="14"/>
  <c r="AN515" i="14" s="1"/>
  <c r="BW635" i="14"/>
  <c r="AN635" i="14" s="1"/>
  <c r="BW539" i="14"/>
  <c r="AN539" i="14" s="1"/>
  <c r="BW587" i="14"/>
  <c r="AN587" i="14" s="1"/>
  <c r="BW179" i="14"/>
  <c r="AN179" i="14" s="1"/>
  <c r="BV539" i="14"/>
  <c r="BW383" i="14"/>
  <c r="AN383" i="14" s="1"/>
  <c r="BV527" i="14"/>
  <c r="BW527" i="14"/>
  <c r="AN527" i="14" s="1"/>
  <c r="BV599" i="14"/>
  <c r="BW599" i="14"/>
  <c r="AN599" i="14" s="1"/>
  <c r="BV203" i="14"/>
  <c r="BW203" i="14"/>
  <c r="AN203" i="14" s="1"/>
  <c r="BV563" i="14"/>
  <c r="BW563" i="14"/>
  <c r="AN563" i="14" s="1"/>
  <c r="BV395" i="14"/>
  <c r="BW395" i="14"/>
  <c r="AN395" i="14" s="1"/>
  <c r="BW239" i="14"/>
  <c r="AN239" i="14" s="1"/>
  <c r="BV239" i="14"/>
  <c r="BV575" i="14"/>
  <c r="BW575" i="14"/>
  <c r="AN575" i="14" s="1"/>
  <c r="BW419" i="14"/>
  <c r="AN419" i="14" s="1"/>
  <c r="BV419" i="14"/>
  <c r="BV377" i="14"/>
  <c r="BW377" i="14"/>
  <c r="AN377" i="14" s="1"/>
  <c r="BV47" i="14"/>
  <c r="BW47" i="14"/>
  <c r="AN47" i="14" s="1"/>
  <c r="CE82" i="14" a="1"/>
  <c r="CE44" i="14" a="1"/>
  <c r="DI82" i="14" a="1"/>
  <c r="DI82" i="14" l="1"/>
  <c r="CE82" i="14"/>
  <c r="BW71" i="14" s="1"/>
  <c r="AN71" i="14" s="1"/>
  <c r="CY81" i="14"/>
  <c r="CW82" i="14"/>
  <c r="CX82" i="14" s="1"/>
  <c r="CY82" i="14" s="1"/>
  <c r="EF82" i="14"/>
  <c r="EG82" i="14" s="1"/>
  <c r="EH82" i="14" s="1"/>
  <c r="EH81" i="14"/>
  <c r="CE44" i="14"/>
  <c r="BW541" i="14"/>
  <c r="AN541" i="14" s="1"/>
  <c r="BW494" i="14"/>
  <c r="AN494" i="14" s="1"/>
  <c r="BW304" i="14"/>
  <c r="AN304" i="14" s="1"/>
  <c r="BW616" i="14"/>
  <c r="AN616" i="14" s="1"/>
  <c r="BV171" i="14"/>
  <c r="BW130" i="14"/>
  <c r="AN130" i="14" s="1"/>
  <c r="BW482" i="14"/>
  <c r="AN482" i="14" s="1"/>
  <c r="BV436" i="14"/>
  <c r="BW271" i="14"/>
  <c r="AN271" i="14" s="1"/>
  <c r="DV46" i="14"/>
  <c r="DW46" i="14" s="1"/>
  <c r="DX46" i="14" s="1"/>
  <c r="BW44" i="14" s="1"/>
  <c r="AN44" i="14" s="1"/>
  <c r="BV266" i="14"/>
  <c r="BW411" i="14"/>
  <c r="AN411" i="14" s="1"/>
  <c r="BW676" i="14"/>
  <c r="AN676" i="14" s="1"/>
  <c r="BV195" i="14"/>
  <c r="BV151" i="14"/>
  <c r="BV290" i="14"/>
  <c r="BV446" i="14"/>
  <c r="BW319" i="14"/>
  <c r="AN319" i="14" s="1"/>
  <c r="BV220" i="14"/>
  <c r="BV121" i="14"/>
  <c r="BW176" i="14"/>
  <c r="AN176" i="14" s="1"/>
  <c r="BV279" i="14"/>
  <c r="BV100" i="14"/>
  <c r="BW136" i="14"/>
  <c r="AN136" i="14" s="1"/>
  <c r="BW62" i="14"/>
  <c r="AN62" i="14" s="1"/>
  <c r="BV415" i="14"/>
  <c r="BW392" i="14"/>
  <c r="AN392" i="14" s="1"/>
  <c r="BW97" i="14"/>
  <c r="AN97" i="14" s="1"/>
  <c r="BV112" i="14"/>
  <c r="BW548" i="14"/>
  <c r="AN548" i="14" s="1"/>
  <c r="BV458" i="14"/>
  <c r="BW580" i="14"/>
  <c r="AN580" i="14" s="1"/>
  <c r="BV256" i="14"/>
  <c r="BV357" i="14"/>
  <c r="BW59" i="14"/>
  <c r="AN59" i="14" s="1"/>
  <c r="BW56" i="14"/>
  <c r="AN56" i="14" s="1"/>
  <c r="BW464" i="14"/>
  <c r="AN464" i="14" s="1"/>
  <c r="BV519" i="14"/>
  <c r="BW160" i="14"/>
  <c r="AN160" i="14" s="1"/>
  <c r="BV169" i="14"/>
  <c r="BW148" i="14"/>
  <c r="AN148" i="14" s="1"/>
  <c r="BV555" i="14"/>
  <c r="BV579" i="14"/>
  <c r="BV476" i="14"/>
  <c r="BV189" i="14"/>
  <c r="CM46" i="14"/>
  <c r="CN46" i="14" s="1"/>
  <c r="CO46" i="14" s="1"/>
  <c r="BV37" i="14" s="1"/>
  <c r="DQ46" i="14"/>
  <c r="DR46" i="14" s="1"/>
  <c r="DS46" i="14" s="1"/>
  <c r="BV43" i="14" s="1"/>
  <c r="BV292" i="14"/>
  <c r="BV268" i="14"/>
  <c r="BW429" i="14"/>
  <c r="AN429" i="14" s="1"/>
  <c r="BW337" i="14"/>
  <c r="AN337" i="14" s="1"/>
  <c r="EA46" i="14"/>
  <c r="EB46" i="14" s="1"/>
  <c r="EC46" i="14" s="1"/>
  <c r="BW45" i="14" s="1"/>
  <c r="AN45" i="14" s="1"/>
  <c r="CW45" i="14"/>
  <c r="CX45" i="14" s="1"/>
  <c r="CY45" i="14" s="1"/>
  <c r="DB45" i="14"/>
  <c r="DC45" i="14" s="1"/>
  <c r="DD44" i="14"/>
  <c r="CH45" i="14"/>
  <c r="CI45" i="14" s="1"/>
  <c r="CJ45" i="14" s="1"/>
  <c r="BV101" i="14"/>
  <c r="BW101" i="14"/>
  <c r="AN101" i="14" s="1"/>
  <c r="BW95" i="14"/>
  <c r="AN95" i="14" s="1"/>
  <c r="BV95" i="14"/>
  <c r="BW89" i="14"/>
  <c r="AN89" i="14" s="1"/>
  <c r="BV89" i="14"/>
  <c r="AJ26" i="43"/>
  <c r="E25" i="43" s="1"/>
  <c r="BV660" i="14"/>
  <c r="BW428" i="14"/>
  <c r="AN428" i="14" s="1"/>
  <c r="BV428" i="14"/>
  <c r="BV636" i="14"/>
  <c r="BW636" i="14"/>
  <c r="AN636" i="14" s="1"/>
  <c r="BW660" i="14"/>
  <c r="AN660" i="14" s="1"/>
  <c r="BV384" i="14"/>
  <c r="BW174" i="14"/>
  <c r="AN174" i="14" s="1"/>
  <c r="BV174" i="14"/>
  <c r="EF46" i="14"/>
  <c r="EG46" i="14" s="1"/>
  <c r="EH46" i="14" s="1"/>
  <c r="BW384" i="14"/>
  <c r="AN384" i="14" s="1"/>
  <c r="BW65" i="14"/>
  <c r="AN65" i="14" s="1"/>
  <c r="BV65" i="14"/>
  <c r="BV341" i="14"/>
  <c r="BW281" i="14"/>
  <c r="AN281" i="14" s="1"/>
  <c r="BW353" i="14"/>
  <c r="AN353" i="14" s="1"/>
  <c r="BV353" i="14"/>
  <c r="BV281" i="14"/>
  <c r="BV311" i="14"/>
  <c r="BW311" i="14"/>
  <c r="AN311" i="14" s="1"/>
  <c r="BW317" i="14"/>
  <c r="AN317" i="14" s="1"/>
  <c r="BV317" i="14"/>
  <c r="BV299" i="14"/>
  <c r="BW299" i="14"/>
  <c r="AN299" i="14" s="1"/>
  <c r="BV251" i="14"/>
  <c r="BV263" i="14"/>
  <c r="BV233" i="14"/>
  <c r="BV257" i="14"/>
  <c r="BW263" i="14"/>
  <c r="AN263" i="14" s="1"/>
  <c r="BW257" i="14"/>
  <c r="AN257" i="14" s="1"/>
  <c r="BW269" i="14"/>
  <c r="AN269" i="14" s="1"/>
  <c r="BW251" i="14"/>
  <c r="AN251" i="14" s="1"/>
  <c r="BV269" i="14"/>
  <c r="BW233" i="14"/>
  <c r="AN233" i="14" s="1"/>
  <c r="BV185" i="14"/>
  <c r="BW185" i="14"/>
  <c r="AN185" i="14" s="1"/>
  <c r="BV173" i="14"/>
  <c r="BW173" i="14"/>
  <c r="AN173" i="14" s="1"/>
  <c r="CC45" i="14"/>
  <c r="CD45" i="14" s="1"/>
  <c r="CR45" i="14"/>
  <c r="CS45" i="14" s="1"/>
  <c r="CT45" i="14" s="1"/>
  <c r="DL46" i="14"/>
  <c r="DM46" i="14" s="1"/>
  <c r="DN46" i="14" s="1"/>
  <c r="BV300" i="14"/>
  <c r="BW300" i="14"/>
  <c r="AN300" i="14" s="1"/>
  <c r="CE45" i="14" a="1"/>
  <c r="BV71" i="14" l="1"/>
  <c r="BV75" i="14"/>
  <c r="BW77" i="14"/>
  <c r="AN77" i="14" s="1"/>
  <c r="BV77" i="14"/>
  <c r="CE45" i="14"/>
  <c r="BW246" i="14"/>
  <c r="AN246" i="14" s="1"/>
  <c r="BV274" i="14"/>
  <c r="BW80" i="14"/>
  <c r="AN80" i="14" s="1"/>
  <c r="BW187" i="14"/>
  <c r="AN187" i="14" s="1"/>
  <c r="BV259" i="14"/>
  <c r="BW561" i="14"/>
  <c r="AN561" i="14" s="1"/>
  <c r="BV69" i="14"/>
  <c r="BW657" i="14"/>
  <c r="AN657" i="14" s="1"/>
  <c r="BW66" i="14"/>
  <c r="AN66" i="14" s="1"/>
  <c r="BW499" i="14"/>
  <c r="AN499" i="14" s="1"/>
  <c r="BV225" i="14"/>
  <c r="BV500" i="14"/>
  <c r="BV129" i="14"/>
  <c r="BV246" i="14"/>
  <c r="BV382" i="14"/>
  <c r="BW81" i="14"/>
  <c r="AN81" i="14" s="1"/>
  <c r="BW116" i="14"/>
  <c r="AN116" i="14" s="1"/>
  <c r="BV510" i="14"/>
  <c r="BV586" i="14"/>
  <c r="BV222" i="14"/>
  <c r="BV118" i="14"/>
  <c r="BW417" i="14"/>
  <c r="AN417" i="14" s="1"/>
  <c r="BV66" i="14"/>
  <c r="BW79" i="14"/>
  <c r="AN79" i="14" s="1"/>
  <c r="BW510" i="14"/>
  <c r="AN510" i="14" s="1"/>
  <c r="BV116" i="14"/>
  <c r="BW222" i="14"/>
  <c r="AN222" i="14" s="1"/>
  <c r="BV541" i="14"/>
  <c r="BW274" i="14"/>
  <c r="AN274" i="14" s="1"/>
  <c r="BV494" i="14"/>
  <c r="BV482" i="14"/>
  <c r="BV616" i="14"/>
  <c r="BW586" i="14"/>
  <c r="AN586" i="14" s="1"/>
  <c r="BW171" i="14"/>
  <c r="AN171" i="14" s="1"/>
  <c r="BV304" i="14"/>
  <c r="BV130" i="14"/>
  <c r="BW436" i="14"/>
  <c r="AN436" i="14" s="1"/>
  <c r="BV44" i="14"/>
  <c r="BW69" i="14"/>
  <c r="AN69" i="14" s="1"/>
  <c r="BV271" i="14"/>
  <c r="BV59" i="14"/>
  <c r="BW266" i="14"/>
  <c r="AN266" i="14" s="1"/>
  <c r="BV411" i="14"/>
  <c r="BW415" i="14"/>
  <c r="AN415" i="14" s="1"/>
  <c r="BV176" i="14"/>
  <c r="BV62" i="14"/>
  <c r="BW290" i="14"/>
  <c r="AN290" i="14" s="1"/>
  <c r="BV676" i="14"/>
  <c r="BW195" i="14"/>
  <c r="AN195" i="14" s="1"/>
  <c r="BW151" i="14"/>
  <c r="AN151" i="14" s="1"/>
  <c r="BW220" i="14"/>
  <c r="AN220" i="14" s="1"/>
  <c r="BV561" i="14"/>
  <c r="BW121" i="14"/>
  <c r="AN121" i="14" s="1"/>
  <c r="BV657" i="14"/>
  <c r="BW225" i="14"/>
  <c r="AN225" i="14" s="1"/>
  <c r="BW500" i="14"/>
  <c r="AN500" i="14" s="1"/>
  <c r="BW279" i="14"/>
  <c r="AN279" i="14" s="1"/>
  <c r="BW446" i="14"/>
  <c r="AN446" i="14" s="1"/>
  <c r="BV319" i="14"/>
  <c r="BV79" i="14"/>
  <c r="BW100" i="14"/>
  <c r="AN100" i="14" s="1"/>
  <c r="BV580" i="14"/>
  <c r="BW118" i="14"/>
  <c r="AN118" i="14" s="1"/>
  <c r="BW112" i="14"/>
  <c r="AN112" i="14" s="1"/>
  <c r="BW259" i="14"/>
  <c r="AN259" i="14" s="1"/>
  <c r="BV548" i="14"/>
  <c r="BV136" i="14"/>
  <c r="BV97" i="14"/>
  <c r="BW382" i="14"/>
  <c r="AN382" i="14" s="1"/>
  <c r="BW458" i="14"/>
  <c r="AN458" i="14" s="1"/>
  <c r="BV392" i="14"/>
  <c r="BV56" i="14"/>
  <c r="BW519" i="14"/>
  <c r="AN519" i="14" s="1"/>
  <c r="BW579" i="14"/>
  <c r="AN579" i="14" s="1"/>
  <c r="BW256" i="14"/>
  <c r="AN256" i="14" s="1"/>
  <c r="BV148" i="14"/>
  <c r="BV417" i="14"/>
  <c r="BV187" i="14"/>
  <c r="BV499" i="14"/>
  <c r="BV160" i="14"/>
  <c r="BV464" i="14"/>
  <c r="BW357" i="14"/>
  <c r="AN357" i="14" s="1"/>
  <c r="BW43" i="14"/>
  <c r="AN43" i="14" s="1"/>
  <c r="BW169" i="14"/>
  <c r="AN169" i="14" s="1"/>
  <c r="BW555" i="14"/>
  <c r="AN555" i="14" s="1"/>
  <c r="BW476" i="14"/>
  <c r="AN476" i="14" s="1"/>
  <c r="BW75" i="14"/>
  <c r="AN75" i="14" s="1"/>
  <c r="BV81" i="14"/>
  <c r="BW129" i="14"/>
  <c r="AN129" i="14" s="1"/>
  <c r="BW189" i="14"/>
  <c r="AN189" i="14" s="1"/>
  <c r="BV80" i="14"/>
  <c r="BV337" i="14"/>
  <c r="BW37" i="14"/>
  <c r="AN37" i="14" s="1"/>
  <c r="BW292" i="14"/>
  <c r="AN292" i="14" s="1"/>
  <c r="BV429" i="14"/>
  <c r="BW268" i="14"/>
  <c r="AN268" i="14" s="1"/>
  <c r="BV45" i="14"/>
  <c r="CW46" i="14"/>
  <c r="CX46" i="14" s="1"/>
  <c r="CY46" i="14" s="1"/>
  <c r="BW39" i="14" s="1"/>
  <c r="AN39" i="14" s="1"/>
  <c r="DB46" i="14"/>
  <c r="DC46" i="14" s="1"/>
  <c r="DD46" i="14" s="1"/>
  <c r="DD45" i="14"/>
  <c r="CH46" i="14"/>
  <c r="CI46" i="14" s="1"/>
  <c r="BW48" i="14"/>
  <c r="AN48" i="14" s="1"/>
  <c r="BV48" i="14"/>
  <c r="BW416" i="14"/>
  <c r="AN416" i="14" s="1"/>
  <c r="BV416" i="14"/>
  <c r="AJ27" i="43"/>
  <c r="E26" i="43" s="1"/>
  <c r="BW327" i="14"/>
  <c r="AN327" i="14" s="1"/>
  <c r="BW333" i="14"/>
  <c r="AN333" i="14" s="1"/>
  <c r="BW537" i="14"/>
  <c r="AN537" i="14" s="1"/>
  <c r="BW297" i="14"/>
  <c r="AN297" i="14" s="1"/>
  <c r="BV511" i="14"/>
  <c r="BV303" i="14"/>
  <c r="BW109" i="14"/>
  <c r="AN109" i="14" s="1"/>
  <c r="BV297" i="14"/>
  <c r="BW589" i="14"/>
  <c r="AN589" i="14" s="1"/>
  <c r="BV91" i="14"/>
  <c r="BW511" i="14"/>
  <c r="AN511" i="14" s="1"/>
  <c r="BV652" i="14"/>
  <c r="BV630" i="14"/>
  <c r="BW308" i="14"/>
  <c r="AN308" i="14" s="1"/>
  <c r="BV537" i="14"/>
  <c r="BW630" i="14"/>
  <c r="AN630" i="14" s="1"/>
  <c r="BV109" i="14"/>
  <c r="BW303" i="14"/>
  <c r="AN303" i="14" s="1"/>
  <c r="BW91" i="14"/>
  <c r="AN91" i="14" s="1"/>
  <c r="BW291" i="14"/>
  <c r="AN291" i="14" s="1"/>
  <c r="BV589" i="14"/>
  <c r="BV327" i="14"/>
  <c r="BW627" i="14"/>
  <c r="AN627" i="14" s="1"/>
  <c r="BW283" i="14"/>
  <c r="AN283" i="14" s="1"/>
  <c r="BW655" i="14"/>
  <c r="AN655" i="14" s="1"/>
  <c r="BV396" i="14"/>
  <c r="BV291" i="14"/>
  <c r="BW228" i="14"/>
  <c r="AN228" i="14" s="1"/>
  <c r="BV240" i="14"/>
  <c r="BV672" i="14"/>
  <c r="BW352" i="14"/>
  <c r="AN352" i="14" s="1"/>
  <c r="BV655" i="14"/>
  <c r="BV333" i="14"/>
  <c r="BW681" i="14"/>
  <c r="AN681" i="14" s="1"/>
  <c r="BV283" i="14"/>
  <c r="BV681" i="14"/>
  <c r="BV308" i="14"/>
  <c r="BW396" i="14"/>
  <c r="AN396" i="14" s="1"/>
  <c r="BV627" i="14"/>
  <c r="BW108" i="14"/>
  <c r="AN108" i="14" s="1"/>
  <c r="BW248" i="14"/>
  <c r="AN248" i="14" s="1"/>
  <c r="BV248" i="14"/>
  <c r="BW331" i="14"/>
  <c r="AN331" i="14" s="1"/>
  <c r="BW190" i="14"/>
  <c r="AN190" i="14" s="1"/>
  <c r="BW490" i="14"/>
  <c r="AN490" i="14" s="1"/>
  <c r="BV108" i="14"/>
  <c r="BV228" i="14"/>
  <c r="BW393" i="14"/>
  <c r="AN393" i="14" s="1"/>
  <c r="BV352" i="14"/>
  <c r="BW375" i="14"/>
  <c r="AN375" i="14" s="1"/>
  <c r="BW240" i="14"/>
  <c r="AN240" i="14" s="1"/>
  <c r="BV393" i="14"/>
  <c r="BV190" i="14"/>
  <c r="BV375" i="14"/>
  <c r="BW672" i="14"/>
  <c r="AN672" i="14" s="1"/>
  <c r="BV301" i="14"/>
  <c r="BW373" i="14"/>
  <c r="AN373" i="14" s="1"/>
  <c r="BW115" i="14"/>
  <c r="AN115" i="14" s="1"/>
  <c r="BV164" i="14"/>
  <c r="BV331" i="14"/>
  <c r="BV373" i="14"/>
  <c r="BW652" i="14"/>
  <c r="AN652" i="14" s="1"/>
  <c r="BW661" i="14"/>
  <c r="AN661" i="14" s="1"/>
  <c r="BV661" i="14"/>
  <c r="BW562" i="14"/>
  <c r="AN562" i="14" s="1"/>
  <c r="BV562" i="14"/>
  <c r="BW276" i="14"/>
  <c r="AN276" i="14" s="1"/>
  <c r="BV276" i="14"/>
  <c r="BW560" i="14"/>
  <c r="AN560" i="14" s="1"/>
  <c r="BV560" i="14"/>
  <c r="BW487" i="14"/>
  <c r="AN487" i="14" s="1"/>
  <c r="BV487" i="14"/>
  <c r="BW218" i="14"/>
  <c r="AN218" i="14" s="1"/>
  <c r="BV218" i="14"/>
  <c r="BW105" i="14"/>
  <c r="AN105" i="14" s="1"/>
  <c r="BV105" i="14"/>
  <c r="BV490" i="14"/>
  <c r="BV470" i="14"/>
  <c r="BW470" i="14"/>
  <c r="AN470" i="14" s="1"/>
  <c r="BV504" i="14"/>
  <c r="BW504" i="14"/>
  <c r="AN504" i="14" s="1"/>
  <c r="BW559" i="14"/>
  <c r="AN559" i="14" s="1"/>
  <c r="BV559" i="14"/>
  <c r="BW426" i="14"/>
  <c r="AN426" i="14" s="1"/>
  <c r="BV426" i="14"/>
  <c r="BV115" i="14"/>
  <c r="BW164" i="14"/>
  <c r="AN164" i="14" s="1"/>
  <c r="BV306" i="14"/>
  <c r="BW306" i="14"/>
  <c r="AN306" i="14" s="1"/>
  <c r="BV546" i="14"/>
  <c r="BW546" i="14"/>
  <c r="AN546" i="14" s="1"/>
  <c r="BV343" i="14"/>
  <c r="BW343" i="14"/>
  <c r="AN343" i="14" s="1"/>
  <c r="BW146" i="14"/>
  <c r="AN146" i="14" s="1"/>
  <c r="BV146" i="14"/>
  <c r="BV270" i="14"/>
  <c r="BW270" i="14"/>
  <c r="AN270" i="14" s="1"/>
  <c r="BW301" i="14"/>
  <c r="AN301" i="14" s="1"/>
  <c r="BW166" i="14"/>
  <c r="AN166" i="14" s="1"/>
  <c r="BV166" i="14"/>
  <c r="BW522" i="14"/>
  <c r="AN522" i="14" s="1"/>
  <c r="BV522" i="14"/>
  <c r="BV432" i="14"/>
  <c r="BW432" i="14"/>
  <c r="AN432" i="14" s="1"/>
  <c r="BW550" i="14"/>
  <c r="AN550" i="14" s="1"/>
  <c r="BV550" i="14"/>
  <c r="BV74" i="14"/>
  <c r="BW74" i="14"/>
  <c r="AN74" i="14" s="1"/>
  <c r="BW163" i="14"/>
  <c r="AN163" i="14" s="1"/>
  <c r="BV163" i="14"/>
  <c r="BV358" i="14"/>
  <c r="BW358" i="14"/>
  <c r="AN358" i="14" s="1"/>
  <c r="BW63" i="14"/>
  <c r="AN63" i="14" s="1"/>
  <c r="BV63" i="14"/>
  <c r="BV262" i="14"/>
  <c r="BW262" i="14"/>
  <c r="AN262" i="14" s="1"/>
  <c r="BW387" i="14"/>
  <c r="AN387" i="14" s="1"/>
  <c r="BW565" i="14"/>
  <c r="AN565" i="14" s="1"/>
  <c r="BV295" i="14"/>
  <c r="BW571" i="14"/>
  <c r="AN571" i="14" s="1"/>
  <c r="BW480" i="14"/>
  <c r="AN480" i="14" s="1"/>
  <c r="BW85" i="14"/>
  <c r="AN85" i="14" s="1"/>
  <c r="BW572" i="14"/>
  <c r="AN572" i="14" s="1"/>
  <c r="BV664" i="14"/>
  <c r="BV360" i="14"/>
  <c r="BV669" i="14"/>
  <c r="BW362" i="14"/>
  <c r="AN362" i="14" s="1"/>
  <c r="BW648" i="14"/>
  <c r="AN648" i="14" s="1"/>
  <c r="BV572" i="14"/>
  <c r="BW61" i="14"/>
  <c r="AN61" i="14" s="1"/>
  <c r="BW104" i="14"/>
  <c r="AN104" i="14" s="1"/>
  <c r="BW465" i="14"/>
  <c r="AN465" i="14" s="1"/>
  <c r="BV162" i="14"/>
  <c r="BV565" i="14"/>
  <c r="BW219" i="14"/>
  <c r="AN219" i="14" s="1"/>
  <c r="BV387" i="14"/>
  <c r="BW440" i="14"/>
  <c r="AN440" i="14" s="1"/>
  <c r="BV480" i="14"/>
  <c r="BW267" i="14"/>
  <c r="AN267" i="14" s="1"/>
  <c r="BW528" i="14"/>
  <c r="AN528" i="14" s="1"/>
  <c r="BW680" i="14"/>
  <c r="AN680" i="14" s="1"/>
  <c r="BW399" i="14"/>
  <c r="AN399" i="14" s="1"/>
  <c r="BV535" i="14"/>
  <c r="BW544" i="14"/>
  <c r="AN544" i="14" s="1"/>
  <c r="BW318" i="14"/>
  <c r="AN318" i="14" s="1"/>
  <c r="BV668" i="14"/>
  <c r="BW133" i="14"/>
  <c r="AN133" i="14" s="1"/>
  <c r="BV474" i="14"/>
  <c r="BW624" i="14"/>
  <c r="AN624" i="14" s="1"/>
  <c r="BW216" i="14"/>
  <c r="AN216" i="14" s="1"/>
  <c r="BW667" i="14"/>
  <c r="AN667" i="14" s="1"/>
  <c r="BW529" i="14"/>
  <c r="AN529" i="14" s="1"/>
  <c r="BW349" i="14"/>
  <c r="AN349" i="14" s="1"/>
  <c r="BV289" i="14"/>
  <c r="BV571" i="14"/>
  <c r="BV133" i="14"/>
  <c r="BW668" i="14"/>
  <c r="AN668" i="14" s="1"/>
  <c r="BW459" i="14"/>
  <c r="AN459" i="14" s="1"/>
  <c r="BV459" i="14"/>
  <c r="BV399" i="14"/>
  <c r="BV318" i="14"/>
  <c r="BV544" i="14"/>
  <c r="BV267" i="14"/>
  <c r="BW199" i="14"/>
  <c r="AN199" i="14" s="1"/>
  <c r="BV543" i="14"/>
  <c r="BW512" i="14"/>
  <c r="AN512" i="14" s="1"/>
  <c r="BV73" i="14"/>
  <c r="BV517" i="14"/>
  <c r="BV680" i="14"/>
  <c r="BV528" i="14"/>
  <c r="BW433" i="14"/>
  <c r="AN433" i="14" s="1"/>
  <c r="BW535" i="14"/>
  <c r="AN535" i="14" s="1"/>
  <c r="BV85" i="14"/>
  <c r="BW474" i="14"/>
  <c r="AN474" i="14" s="1"/>
  <c r="BV90" i="14"/>
  <c r="BV139" i="14"/>
  <c r="BV601" i="14"/>
  <c r="BW278" i="14"/>
  <c r="AN278" i="14" s="1"/>
  <c r="BV278" i="14"/>
  <c r="BV104" i="14"/>
  <c r="BW543" i="14"/>
  <c r="AN543" i="14" s="1"/>
  <c r="BV633" i="14"/>
  <c r="BV564" i="14"/>
  <c r="BV230" i="14"/>
  <c r="BW250" i="14"/>
  <c r="AN250" i="14" s="1"/>
  <c r="BV433" i="14"/>
  <c r="BV649" i="14"/>
  <c r="BW345" i="14"/>
  <c r="AN345" i="14" s="1"/>
  <c r="BV516" i="14"/>
  <c r="BW594" i="14"/>
  <c r="AN594" i="14" s="1"/>
  <c r="BW84" i="14"/>
  <c r="AN84" i="14" s="1"/>
  <c r="BV294" i="14"/>
  <c r="BW558" i="14"/>
  <c r="AN558" i="14" s="1"/>
  <c r="BW542" i="14"/>
  <c r="AN542" i="14" s="1"/>
  <c r="BV140" i="14"/>
  <c r="BV403" i="14"/>
  <c r="BV457" i="14"/>
  <c r="BW457" i="14"/>
  <c r="AN457" i="14" s="1"/>
  <c r="BV219" i="14"/>
  <c r="BW403" i="14"/>
  <c r="AN403" i="14" s="1"/>
  <c r="BV648" i="14"/>
  <c r="BV529" i="14"/>
  <c r="BV440" i="14"/>
  <c r="BW289" i="14"/>
  <c r="AN289" i="14" s="1"/>
  <c r="BV465" i="14"/>
  <c r="BV362" i="14"/>
  <c r="BW162" i="14"/>
  <c r="AN162" i="14" s="1"/>
  <c r="BW360" i="14"/>
  <c r="AN360" i="14" s="1"/>
  <c r="BV349" i="14"/>
  <c r="BV61" i="14"/>
  <c r="BV512" i="14"/>
  <c r="BW294" i="14"/>
  <c r="AN294" i="14" s="1"/>
  <c r="BV345" i="14"/>
  <c r="BW385" i="14"/>
  <c r="AN385" i="14" s="1"/>
  <c r="BW516" i="14"/>
  <c r="AN516" i="14" s="1"/>
  <c r="BW517" i="14"/>
  <c r="AN517" i="14" s="1"/>
  <c r="BW649" i="14"/>
  <c r="AN649" i="14" s="1"/>
  <c r="BV542" i="14"/>
  <c r="BV594" i="14"/>
  <c r="BV84" i="14"/>
  <c r="BW73" i="14"/>
  <c r="AN73" i="14" s="1"/>
  <c r="BV558" i="14"/>
  <c r="BV255" i="14"/>
  <c r="BV552" i="14"/>
  <c r="BV573" i="14"/>
  <c r="BV507" i="14"/>
  <c r="BV284" i="14"/>
  <c r="BV205" i="14"/>
  <c r="BV96" i="14"/>
  <c r="BV468" i="14"/>
  <c r="BV576" i="14"/>
  <c r="BW386" i="14"/>
  <c r="AN386" i="14" s="1"/>
  <c r="BV213" i="14"/>
  <c r="BV631" i="14"/>
  <c r="BW394" i="14"/>
  <c r="AN394" i="14" s="1"/>
  <c r="BV150" i="14"/>
  <c r="BW405" i="14"/>
  <c r="AN405" i="14" s="1"/>
  <c r="BW642" i="14"/>
  <c r="AN642" i="14" s="1"/>
  <c r="BV394" i="14"/>
  <c r="BV406" i="14"/>
  <c r="BW606" i="14"/>
  <c r="AN606" i="14" s="1"/>
  <c r="BW547" i="14"/>
  <c r="AN547" i="14" s="1"/>
  <c r="BW126" i="14"/>
  <c r="AN126" i="14" s="1"/>
  <c r="BW193" i="14"/>
  <c r="AN193" i="14" s="1"/>
  <c r="BW326" i="14"/>
  <c r="AN326" i="14" s="1"/>
  <c r="BW237" i="14"/>
  <c r="AN237" i="14" s="1"/>
  <c r="BW234" i="14"/>
  <c r="AN234" i="14" s="1"/>
  <c r="BV578" i="14"/>
  <c r="BV405" i="14"/>
  <c r="BW170" i="14"/>
  <c r="AN170" i="14" s="1"/>
  <c r="BV93" i="14"/>
  <c r="BV339" i="14"/>
  <c r="BV314" i="14"/>
  <c r="BV638" i="14"/>
  <c r="BV642" i="14"/>
  <c r="BW651" i="14"/>
  <c r="AN651" i="14" s="1"/>
  <c r="BV420" i="14"/>
  <c r="BV231" i="14"/>
  <c r="BW602" i="14"/>
  <c r="AN602" i="14" s="1"/>
  <c r="BV390" i="14"/>
  <c r="BW370" i="14"/>
  <c r="AN370" i="14" s="1"/>
  <c r="BV111" i="14"/>
  <c r="BW128" i="14"/>
  <c r="AN128" i="14" s="1"/>
  <c r="BW296" i="14"/>
  <c r="AN296" i="14" s="1"/>
  <c r="BW631" i="14"/>
  <c r="AN631" i="14" s="1"/>
  <c r="BV123" i="14"/>
  <c r="BW90" i="14"/>
  <c r="AN90" i="14" s="1"/>
  <c r="BV302" i="14"/>
  <c r="BW139" i="14"/>
  <c r="AN139" i="14" s="1"/>
  <c r="BW601" i="14"/>
  <c r="AN601" i="14" s="1"/>
  <c r="BV477" i="14"/>
  <c r="BV158" i="14"/>
  <c r="BW183" i="14"/>
  <c r="AN183" i="14" s="1"/>
  <c r="BV142" i="14"/>
  <c r="BW669" i="14"/>
  <c r="AN669" i="14" s="1"/>
  <c r="BW447" i="14"/>
  <c r="AN447" i="14" s="1"/>
  <c r="BW398" i="14"/>
  <c r="AN398" i="14" s="1"/>
  <c r="BV243" i="14"/>
  <c r="BW243" i="14"/>
  <c r="AN243" i="14" s="1"/>
  <c r="BW674" i="14"/>
  <c r="AN674" i="14" s="1"/>
  <c r="BV674" i="14"/>
  <c r="BV637" i="14"/>
  <c r="BW637" i="14"/>
  <c r="AN637" i="14" s="1"/>
  <c r="BW354" i="14"/>
  <c r="AN354" i="14" s="1"/>
  <c r="BV354" i="14"/>
  <c r="BW57" i="14"/>
  <c r="AN57" i="14" s="1"/>
  <c r="BV57" i="14"/>
  <c r="BW152" i="14"/>
  <c r="AN152" i="14" s="1"/>
  <c r="BW141" i="14"/>
  <c r="AN141" i="14" s="1"/>
  <c r="BV141" i="14"/>
  <c r="BW322" i="14"/>
  <c r="AN322" i="14" s="1"/>
  <c r="BV322" i="14"/>
  <c r="BV265" i="14"/>
  <c r="BW418" i="14"/>
  <c r="AN418" i="14" s="1"/>
  <c r="BW230" i="14"/>
  <c r="AN230" i="14" s="1"/>
  <c r="BV76" i="14"/>
  <c r="BW76" i="14"/>
  <c r="AN76" i="14" s="1"/>
  <c r="BW302" i="14"/>
  <c r="AN302" i="14" s="1"/>
  <c r="BV651" i="14"/>
  <c r="BW339" i="14"/>
  <c r="AN339" i="14" s="1"/>
  <c r="BW552" i="14"/>
  <c r="AN552" i="14" s="1"/>
  <c r="BW158" i="14"/>
  <c r="AN158" i="14" s="1"/>
  <c r="BW578" i="14"/>
  <c r="AN578" i="14" s="1"/>
  <c r="BV237" i="14"/>
  <c r="BW573" i="14"/>
  <c r="AN573" i="14" s="1"/>
  <c r="BV152" i="14"/>
  <c r="BW93" i="14"/>
  <c r="AN93" i="14" s="1"/>
  <c r="BV622" i="14"/>
  <c r="BW495" i="14"/>
  <c r="AN495" i="14" s="1"/>
  <c r="BW402" i="14"/>
  <c r="AN402" i="14" s="1"/>
  <c r="BW420" i="14"/>
  <c r="AN420" i="14" s="1"/>
  <c r="BW638" i="14"/>
  <c r="AN638" i="14" s="1"/>
  <c r="BV183" i="14"/>
  <c r="BW404" i="14"/>
  <c r="AN404" i="14" s="1"/>
  <c r="BV584" i="14"/>
  <c r="BV450" i="14"/>
  <c r="BW150" i="14"/>
  <c r="AN150" i="14" s="1"/>
  <c r="BW639" i="14"/>
  <c r="AN639" i="14" s="1"/>
  <c r="BW441" i="14"/>
  <c r="AN441" i="14" s="1"/>
  <c r="BV374" i="14"/>
  <c r="BV88" i="14"/>
  <c r="BW314" i="14"/>
  <c r="AN314" i="14" s="1"/>
  <c r="BV170" i="14"/>
  <c r="BW477" i="14"/>
  <c r="AN477" i="14" s="1"/>
  <c r="BV234" i="14"/>
  <c r="BV126" i="14"/>
  <c r="BV398" i="14"/>
  <c r="BV602" i="14"/>
  <c r="BV296" i="14"/>
  <c r="BV447" i="14"/>
  <c r="BW390" i="14"/>
  <c r="AN390" i="14" s="1"/>
  <c r="BW111" i="14"/>
  <c r="AN111" i="14" s="1"/>
  <c r="BV547" i="14"/>
  <c r="BW265" i="14"/>
  <c r="AN265" i="14" s="1"/>
  <c r="BV402" i="14"/>
  <c r="BV128" i="14"/>
  <c r="BW123" i="14"/>
  <c r="AN123" i="14" s="1"/>
  <c r="BV495" i="14"/>
  <c r="BW117" i="14"/>
  <c r="AN117" i="14" s="1"/>
  <c r="BW622" i="14"/>
  <c r="AN622" i="14" s="1"/>
  <c r="BV418" i="14"/>
  <c r="BW336" i="14"/>
  <c r="AN336" i="14" s="1"/>
  <c r="BV336" i="14"/>
  <c r="BW142" i="14"/>
  <c r="AN142" i="14" s="1"/>
  <c r="BV460" i="14"/>
  <c r="BW460" i="14"/>
  <c r="AN460" i="14" s="1"/>
  <c r="BV427" i="14"/>
  <c r="BW427" i="14"/>
  <c r="AN427" i="14" s="1"/>
  <c r="BV106" i="14"/>
  <c r="BW106" i="14"/>
  <c r="AN106" i="14" s="1"/>
  <c r="BV663" i="14"/>
  <c r="BW663" i="14"/>
  <c r="AN663" i="14" s="1"/>
  <c r="BW52" i="14"/>
  <c r="AN52" i="14" s="1"/>
  <c r="BV52" i="14"/>
  <c r="BW236" i="14"/>
  <c r="AN236" i="14" s="1"/>
  <c r="BV236" i="14"/>
  <c r="BV520" i="14"/>
  <c r="BW520" i="14"/>
  <c r="AN520" i="14" s="1"/>
  <c r="BV646" i="14"/>
  <c r="BW273" i="14"/>
  <c r="AN273" i="14" s="1"/>
  <c r="BV103" i="14"/>
  <c r="BW295" i="14"/>
  <c r="AN295" i="14" s="1"/>
  <c r="BV99" i="14"/>
  <c r="BV232" i="14"/>
  <c r="BV338" i="14"/>
  <c r="BV667" i="14"/>
  <c r="BV175" i="14"/>
  <c r="BW448" i="14"/>
  <c r="AN448" i="14" s="1"/>
  <c r="BV370" i="14"/>
  <c r="BV658" i="14"/>
  <c r="BW658" i="14"/>
  <c r="AN658" i="14" s="1"/>
  <c r="BW64" i="14"/>
  <c r="AN64" i="14" s="1"/>
  <c r="BV64" i="14"/>
  <c r="BW255" i="14"/>
  <c r="AN255" i="14" s="1"/>
  <c r="BV102" i="14"/>
  <c r="BV620" i="14"/>
  <c r="BV202" i="14"/>
  <c r="BW619" i="14"/>
  <c r="AN619" i="14" s="1"/>
  <c r="BV312" i="14"/>
  <c r="BV412" i="14"/>
  <c r="BW332" i="14"/>
  <c r="AN332" i="14" s="1"/>
  <c r="BV332" i="14"/>
  <c r="BV597" i="14"/>
  <c r="BW597" i="14"/>
  <c r="AN597" i="14" s="1"/>
  <c r="BV410" i="14"/>
  <c r="BW410" i="14"/>
  <c r="AN410" i="14" s="1"/>
  <c r="BW424" i="14"/>
  <c r="AN424" i="14" s="1"/>
  <c r="BV424" i="14"/>
  <c r="BW192" i="14"/>
  <c r="AN192" i="14" s="1"/>
  <c r="BV192" i="14"/>
  <c r="BW654" i="14"/>
  <c r="AN654" i="14" s="1"/>
  <c r="BV654" i="14"/>
  <c r="BV172" i="14"/>
  <c r="BW172" i="14"/>
  <c r="AN172" i="14" s="1"/>
  <c r="BV454" i="14"/>
  <c r="BW454" i="14"/>
  <c r="AN454" i="14" s="1"/>
  <c r="BV117" i="14"/>
  <c r="BW102" i="14"/>
  <c r="AN102" i="14" s="1"/>
  <c r="BV624" i="14"/>
  <c r="BW321" i="14"/>
  <c r="AN321" i="14" s="1"/>
  <c r="BV216" i="14"/>
  <c r="BV356" i="14"/>
  <c r="BW356" i="14"/>
  <c r="AN356" i="14" s="1"/>
  <c r="BV656" i="14"/>
  <c r="BW656" i="14"/>
  <c r="AN656" i="14" s="1"/>
  <c r="BW212" i="14"/>
  <c r="AN212" i="14" s="1"/>
  <c r="BV212" i="14"/>
  <c r="BW645" i="14"/>
  <c r="AN645" i="14" s="1"/>
  <c r="BV645" i="14"/>
  <c r="BV124" i="14"/>
  <c r="BW124" i="14"/>
  <c r="AN124" i="14" s="1"/>
  <c r="BW406" i="14"/>
  <c r="AN406" i="14" s="1"/>
  <c r="BW196" i="14"/>
  <c r="AN196" i="14" s="1"/>
  <c r="BV223" i="14"/>
  <c r="BW223" i="14"/>
  <c r="AN223" i="14" s="1"/>
  <c r="BW144" i="14"/>
  <c r="AN144" i="14" s="1"/>
  <c r="BV144" i="14"/>
  <c r="BV595" i="14"/>
  <c r="BW595" i="14"/>
  <c r="AN595" i="14" s="1"/>
  <c r="BW60" i="14"/>
  <c r="AN60" i="14" s="1"/>
  <c r="BV60" i="14"/>
  <c r="BV280" i="14"/>
  <c r="BW280" i="14"/>
  <c r="AN280" i="14" s="1"/>
  <c r="BV285" i="14"/>
  <c r="BW285" i="14"/>
  <c r="AN285" i="14" s="1"/>
  <c r="BV498" i="14"/>
  <c r="BW498" i="14"/>
  <c r="AN498" i="14" s="1"/>
  <c r="BV348" i="14"/>
  <c r="BW666" i="14"/>
  <c r="AN666" i="14" s="1"/>
  <c r="BV673" i="14"/>
  <c r="BW673" i="14"/>
  <c r="AN673" i="14" s="1"/>
  <c r="BW662" i="14"/>
  <c r="AN662" i="14" s="1"/>
  <c r="BW367" i="14"/>
  <c r="AN367" i="14" s="1"/>
  <c r="BV596" i="14"/>
  <c r="BW488" i="14"/>
  <c r="AN488" i="14" s="1"/>
  <c r="BW514" i="14"/>
  <c r="AN514" i="14" s="1"/>
  <c r="BV114" i="14"/>
  <c r="BW518" i="14"/>
  <c r="AN518" i="14" s="1"/>
  <c r="BV385" i="14"/>
  <c r="BV207" i="14"/>
  <c r="BW675" i="14"/>
  <c r="AN675" i="14" s="1"/>
  <c r="BW650" i="14"/>
  <c r="AN650" i="14" s="1"/>
  <c r="BW277" i="14"/>
  <c r="AN277" i="14" s="1"/>
  <c r="BW264" i="14"/>
  <c r="AN264" i="14" s="1"/>
  <c r="BV264" i="14"/>
  <c r="BW463" i="14"/>
  <c r="AN463" i="14" s="1"/>
  <c r="BV463" i="14"/>
  <c r="BW51" i="14"/>
  <c r="AN51" i="14" s="1"/>
  <c r="BV51" i="14"/>
  <c r="BW640" i="14"/>
  <c r="AN640" i="14" s="1"/>
  <c r="BV640" i="14"/>
  <c r="BW235" i="14"/>
  <c r="AN235" i="14" s="1"/>
  <c r="BV235" i="14"/>
  <c r="BV154" i="14"/>
  <c r="BW154" i="14"/>
  <c r="AN154" i="14" s="1"/>
  <c r="BV344" i="14"/>
  <c r="BW344" i="14"/>
  <c r="AN344" i="14" s="1"/>
  <c r="BW340" i="14"/>
  <c r="AN340" i="14" s="1"/>
  <c r="BV340" i="14"/>
  <c r="BW456" i="14"/>
  <c r="AN456" i="14" s="1"/>
  <c r="BV456" i="14"/>
  <c r="BV585" i="14"/>
  <c r="BW585" i="14"/>
  <c r="AN585" i="14" s="1"/>
  <c r="BV612" i="14"/>
  <c r="BW612" i="14"/>
  <c r="AN612" i="14" s="1"/>
  <c r="BV72" i="14"/>
  <c r="BW72" i="14"/>
  <c r="AN72" i="14" s="1"/>
  <c r="BW210" i="14"/>
  <c r="AN210" i="14" s="1"/>
  <c r="BV210" i="14"/>
  <c r="BV400" i="14"/>
  <c r="BW400" i="14"/>
  <c r="AN400" i="14" s="1"/>
  <c r="BW338" i="14"/>
  <c r="AN338" i="14" s="1"/>
  <c r="BW596" i="14"/>
  <c r="AN596" i="14" s="1"/>
  <c r="BV132" i="14"/>
  <c r="BW421" i="14"/>
  <c r="AN421" i="14" s="1"/>
  <c r="BV606" i="14"/>
  <c r="BW553" i="14"/>
  <c r="AN553" i="14" s="1"/>
  <c r="BW364" i="14"/>
  <c r="AN364" i="14" s="1"/>
  <c r="BW207" i="14"/>
  <c r="AN207" i="14" s="1"/>
  <c r="BV675" i="14"/>
  <c r="BV650" i="14"/>
  <c r="BV448" i="14"/>
  <c r="BW99" i="14"/>
  <c r="AN99" i="14" s="1"/>
  <c r="BW175" i="14"/>
  <c r="AN175" i="14" s="1"/>
  <c r="BV518" i="14"/>
  <c r="BV120" i="14"/>
  <c r="BW493" i="14"/>
  <c r="AN493" i="14" s="1"/>
  <c r="BV514" i="14"/>
  <c r="BV193" i="14"/>
  <c r="BV643" i="14"/>
  <c r="BV326" i="14"/>
  <c r="BV488" i="14"/>
  <c r="BW442" i="14"/>
  <c r="AN442" i="14" s="1"/>
  <c r="BW664" i="14"/>
  <c r="AN664" i="14" s="1"/>
  <c r="BV662" i="14"/>
  <c r="BW114" i="14"/>
  <c r="AN114" i="14" s="1"/>
  <c r="BW103" i="14"/>
  <c r="AN103" i="14" s="1"/>
  <c r="BV367" i="14"/>
  <c r="BV666" i="14"/>
  <c r="BV273" i="14"/>
  <c r="BV199" i="14"/>
  <c r="BV147" i="14"/>
  <c r="BW507" i="14"/>
  <c r="AN507" i="14" s="1"/>
  <c r="BW351" i="14"/>
  <c r="AN351" i="14" s="1"/>
  <c r="BW506" i="14"/>
  <c r="AN506" i="14" s="1"/>
  <c r="BW526" i="14"/>
  <c r="AN526" i="14" s="1"/>
  <c r="BW466" i="14"/>
  <c r="AN466" i="14" s="1"/>
  <c r="BV414" i="14"/>
  <c r="BW140" i="14"/>
  <c r="AN140" i="14" s="1"/>
  <c r="BV196" i="14"/>
  <c r="BV496" i="14"/>
  <c r="BW583" i="14"/>
  <c r="AN583" i="14" s="1"/>
  <c r="BV94" i="14"/>
  <c r="BW94" i="14"/>
  <c r="AN94" i="14" s="1"/>
  <c r="BW468" i="14"/>
  <c r="AN468" i="14" s="1"/>
  <c r="BW231" i="14"/>
  <c r="AN231" i="14" s="1"/>
  <c r="BV553" i="14"/>
  <c r="BW643" i="14"/>
  <c r="AN643" i="14" s="1"/>
  <c r="BV639" i="14"/>
  <c r="BV421" i="14"/>
  <c r="BW450" i="14"/>
  <c r="AN450" i="14" s="1"/>
  <c r="BW634" i="14"/>
  <c r="AN634" i="14" s="1"/>
  <c r="BV670" i="14"/>
  <c r="BW198" i="14"/>
  <c r="AN198" i="14" s="1"/>
  <c r="BV198" i="14"/>
  <c r="BV610" i="14"/>
  <c r="BW610" i="14"/>
  <c r="AN610" i="14" s="1"/>
  <c r="BW288" i="14"/>
  <c r="AN288" i="14" s="1"/>
  <c r="BV288" i="14"/>
  <c r="BV277" i="14"/>
  <c r="BW96" i="14"/>
  <c r="AN96" i="14" s="1"/>
  <c r="BV386" i="14"/>
  <c r="BV583" i="14"/>
  <c r="BV355" i="14"/>
  <c r="BW355" i="14"/>
  <c r="AN355" i="14" s="1"/>
  <c r="BW58" i="14"/>
  <c r="AN58" i="14" s="1"/>
  <c r="BV58" i="14"/>
  <c r="BV592" i="14"/>
  <c r="BW592" i="14"/>
  <c r="AN592" i="14" s="1"/>
  <c r="BW247" i="14"/>
  <c r="AN247" i="14" s="1"/>
  <c r="BV247" i="14"/>
  <c r="BV493" i="14"/>
  <c r="BW584" i="14"/>
  <c r="AN584" i="14" s="1"/>
  <c r="BW205" i="14"/>
  <c r="AN205" i="14" s="1"/>
  <c r="BW484" i="14"/>
  <c r="AN484" i="14" s="1"/>
  <c r="BW368" i="14"/>
  <c r="AN368" i="14" s="1"/>
  <c r="BV368" i="14"/>
  <c r="BV201" i="14"/>
  <c r="BW201" i="14"/>
  <c r="AN201" i="14" s="1"/>
  <c r="BV208" i="14"/>
  <c r="BW208" i="14"/>
  <c r="AN208" i="14" s="1"/>
  <c r="BV168" i="14"/>
  <c r="BW168" i="14"/>
  <c r="AN168" i="14" s="1"/>
  <c r="BW120" i="14"/>
  <c r="AN120" i="14" s="1"/>
  <c r="BV217" i="14"/>
  <c r="BV613" i="14"/>
  <c r="BW88" i="14"/>
  <c r="AN88" i="14" s="1"/>
  <c r="BW678" i="14"/>
  <c r="AN678" i="14" s="1"/>
  <c r="BV678" i="14"/>
  <c r="BW165" i="14"/>
  <c r="AN165" i="14" s="1"/>
  <c r="BV165" i="14"/>
  <c r="BW49" i="14"/>
  <c r="AN49" i="14" s="1"/>
  <c r="BV49" i="14"/>
  <c r="BV325" i="14"/>
  <c r="BW325" i="14"/>
  <c r="AN325" i="14" s="1"/>
  <c r="BW213" i="14"/>
  <c r="AN213" i="14" s="1"/>
  <c r="BV441" i="14"/>
  <c r="BV380" i="14"/>
  <c r="BW380" i="14"/>
  <c r="AN380" i="14" s="1"/>
  <c r="BV549" i="14"/>
  <c r="BW549" i="14"/>
  <c r="AN549" i="14" s="1"/>
  <c r="BW435" i="14"/>
  <c r="AN435" i="14" s="1"/>
  <c r="BV435" i="14"/>
  <c r="BW444" i="14"/>
  <c r="AN444" i="14" s="1"/>
  <c r="BV444" i="14"/>
  <c r="BV404" i="14"/>
  <c r="BW132" i="14"/>
  <c r="AN132" i="14" s="1"/>
  <c r="BW374" i="14"/>
  <c r="AN374" i="14" s="1"/>
  <c r="BV364" i="14"/>
  <c r="BW232" i="14"/>
  <c r="AN232" i="14" s="1"/>
  <c r="BW238" i="14"/>
  <c r="AN238" i="14" s="1"/>
  <c r="BW496" i="14"/>
  <c r="AN496" i="14" s="1"/>
  <c r="BW282" i="14"/>
  <c r="AN282" i="14" s="1"/>
  <c r="BV282" i="14"/>
  <c r="BW54" i="14"/>
  <c r="AN54" i="14" s="1"/>
  <c r="BV54" i="14"/>
  <c r="BV644" i="14"/>
  <c r="BW644" i="14"/>
  <c r="AN644" i="14" s="1"/>
  <c r="BV483" i="14"/>
  <c r="BW483" i="14"/>
  <c r="AN483" i="14" s="1"/>
  <c r="BV194" i="14"/>
  <c r="BW194" i="14"/>
  <c r="AN194" i="14" s="1"/>
  <c r="BV506" i="14"/>
  <c r="BW348" i="14"/>
  <c r="AN348" i="14" s="1"/>
  <c r="BW414" i="14"/>
  <c r="AN414" i="14" s="1"/>
  <c r="BW147" i="14"/>
  <c r="AN147" i="14" s="1"/>
  <c r="BV442" i="14"/>
  <c r="BV178" i="14"/>
  <c r="BV321" i="14"/>
  <c r="BV619" i="14"/>
  <c r="BW613" i="14"/>
  <c r="AN613" i="14" s="1"/>
  <c r="BW633" i="14"/>
  <c r="AN633" i="14" s="1"/>
  <c r="BW620" i="14"/>
  <c r="AN620" i="14" s="1"/>
  <c r="BV238" i="14"/>
  <c r="BW409" i="14"/>
  <c r="AN409" i="14" s="1"/>
  <c r="BV409" i="14"/>
  <c r="BW217" i="14"/>
  <c r="AN217" i="14" s="1"/>
  <c r="BV226" i="14"/>
  <c r="BW226" i="14"/>
  <c r="AN226" i="14" s="1"/>
  <c r="BW576" i="14"/>
  <c r="AN576" i="14" s="1"/>
  <c r="BV526" i="14"/>
  <c r="BW369" i="14"/>
  <c r="AN369" i="14" s="1"/>
  <c r="BV369" i="14"/>
  <c r="BV554" i="14"/>
  <c r="BW554" i="14"/>
  <c r="AN554" i="14" s="1"/>
  <c r="BW564" i="14"/>
  <c r="AN564" i="14" s="1"/>
  <c r="BW284" i="14"/>
  <c r="AN284" i="14" s="1"/>
  <c r="BV466" i="14"/>
  <c r="BV298" i="14"/>
  <c r="BV55" i="14"/>
  <c r="BW55" i="14"/>
  <c r="AN55" i="14" s="1"/>
  <c r="BV351" i="14"/>
  <c r="BW312" i="14"/>
  <c r="AN312" i="14" s="1"/>
  <c r="BW249" i="14"/>
  <c r="AN249" i="14" s="1"/>
  <c r="BV249" i="14"/>
  <c r="BV484" i="14"/>
  <c r="BW412" i="14"/>
  <c r="AN412" i="14" s="1"/>
  <c r="BW570" i="14"/>
  <c r="AN570" i="14" s="1"/>
  <c r="BW361" i="14"/>
  <c r="AN361" i="14" s="1"/>
  <c r="BV361" i="14"/>
  <c r="BW445" i="14"/>
  <c r="AN445" i="14" s="1"/>
  <c r="BV445" i="14"/>
  <c r="BV588" i="14"/>
  <c r="BW588" i="14"/>
  <c r="AN588" i="14" s="1"/>
  <c r="BW363" i="14"/>
  <c r="AN363" i="14" s="1"/>
  <c r="BV363" i="14"/>
  <c r="BW86" i="14"/>
  <c r="AN86" i="14" s="1"/>
  <c r="BV86" i="14"/>
  <c r="BV439" i="14"/>
  <c r="BW439" i="14"/>
  <c r="AN439" i="14" s="1"/>
  <c r="BV181" i="14"/>
  <c r="BW181" i="14"/>
  <c r="AN181" i="14" s="1"/>
  <c r="BW381" i="14"/>
  <c r="AN381" i="14" s="1"/>
  <c r="BV381" i="14"/>
  <c r="BV607" i="14"/>
  <c r="BW607" i="14"/>
  <c r="AN607" i="14" s="1"/>
  <c r="BW530" i="14"/>
  <c r="AN530" i="14" s="1"/>
  <c r="BV530" i="14"/>
  <c r="BV379" i="14"/>
  <c r="BW379" i="14"/>
  <c r="AN379" i="14" s="1"/>
  <c r="BW252" i="14"/>
  <c r="AN252" i="14" s="1"/>
  <c r="BV252" i="14"/>
  <c r="BW309" i="14"/>
  <c r="AN309" i="14" s="1"/>
  <c r="BV309" i="14"/>
  <c r="BV486" i="14"/>
  <c r="BW486" i="14"/>
  <c r="AN486" i="14" s="1"/>
  <c r="BV254" i="14"/>
  <c r="BW254" i="14"/>
  <c r="AN254" i="14" s="1"/>
  <c r="BV258" i="14"/>
  <c r="BW258" i="14"/>
  <c r="AN258" i="14" s="1"/>
  <c r="BV307" i="14"/>
  <c r="BW307" i="14"/>
  <c r="AN307" i="14" s="1"/>
  <c r="BV538" i="14"/>
  <c r="BW538" i="14"/>
  <c r="AN538" i="14" s="1"/>
  <c r="BW110" i="14"/>
  <c r="AN110" i="14" s="1"/>
  <c r="BV110" i="14"/>
  <c r="BW478" i="14"/>
  <c r="AN478" i="14" s="1"/>
  <c r="BV478" i="14"/>
  <c r="BV67" i="14"/>
  <c r="BW67" i="14"/>
  <c r="AN67" i="14" s="1"/>
  <c r="BW534" i="14"/>
  <c r="AN534" i="14" s="1"/>
  <c r="BV534" i="14"/>
  <c r="BW153" i="14"/>
  <c r="AN153" i="14" s="1"/>
  <c r="BV153" i="14"/>
  <c r="BV122" i="14"/>
  <c r="BW122" i="14"/>
  <c r="AN122" i="14" s="1"/>
  <c r="BV184" i="14"/>
  <c r="BW184" i="14"/>
  <c r="AN184" i="14" s="1"/>
  <c r="BV523" i="14"/>
  <c r="BW523" i="14"/>
  <c r="AN523" i="14" s="1"/>
  <c r="BW609" i="14"/>
  <c r="AN609" i="14" s="1"/>
  <c r="BV609" i="14"/>
  <c r="BW242" i="14"/>
  <c r="AN242" i="14" s="1"/>
  <c r="BV242" i="14"/>
  <c r="BW388" i="14"/>
  <c r="AN388" i="14" s="1"/>
  <c r="BV388" i="14"/>
  <c r="BW202" i="14"/>
  <c r="AN202" i="14" s="1"/>
  <c r="BW180" i="14"/>
  <c r="AN180" i="14" s="1"/>
  <c r="BV180" i="14"/>
  <c r="BV582" i="14"/>
  <c r="BW582" i="14"/>
  <c r="AN582" i="14" s="1"/>
  <c r="BW298" i="14"/>
  <c r="AN298" i="14" s="1"/>
  <c r="BW489" i="14"/>
  <c r="AN489" i="14" s="1"/>
  <c r="BV489" i="14"/>
  <c r="BV615" i="14"/>
  <c r="BW615" i="14"/>
  <c r="AN615" i="14" s="1"/>
  <c r="BW253" i="14"/>
  <c r="AN253" i="14" s="1"/>
  <c r="BV253" i="14"/>
  <c r="BW574" i="14"/>
  <c r="AN574" i="14" s="1"/>
  <c r="BV574" i="14"/>
  <c r="BV316" i="14"/>
  <c r="BW316" i="14"/>
  <c r="AN316" i="14" s="1"/>
  <c r="BV182" i="14"/>
  <c r="BW182" i="14"/>
  <c r="AN182" i="14" s="1"/>
  <c r="BV452" i="14"/>
  <c r="BW452" i="14"/>
  <c r="AN452" i="14" s="1"/>
  <c r="BV250" i="14"/>
  <c r="BW214" i="14"/>
  <c r="AN214" i="14" s="1"/>
  <c r="BV214" i="14"/>
  <c r="BW244" i="14"/>
  <c r="AN244" i="14" s="1"/>
  <c r="BV244" i="14"/>
  <c r="BV320" i="14"/>
  <c r="BW320" i="14"/>
  <c r="AN320" i="14" s="1"/>
  <c r="BW157" i="14"/>
  <c r="AN157" i="14" s="1"/>
  <c r="BV157" i="14"/>
  <c r="BV600" i="14"/>
  <c r="BW600" i="14"/>
  <c r="AN600" i="14" s="1"/>
  <c r="BW70" i="14"/>
  <c r="AN70" i="14" s="1"/>
  <c r="BV70" i="14"/>
  <c r="BV598" i="14"/>
  <c r="BW598" i="14"/>
  <c r="AN598" i="14" s="1"/>
  <c r="BV68" i="14"/>
  <c r="BW68" i="14"/>
  <c r="AN68" i="14" s="1"/>
  <c r="BW330" i="14"/>
  <c r="AN330" i="14" s="1"/>
  <c r="BV330" i="14"/>
  <c r="BW632" i="14"/>
  <c r="AN632" i="14" s="1"/>
  <c r="BV632" i="14"/>
  <c r="BW286" i="14"/>
  <c r="AN286" i="14" s="1"/>
  <c r="BV286" i="14"/>
  <c r="BV434" i="14"/>
  <c r="BW434" i="14"/>
  <c r="AN434" i="14" s="1"/>
  <c r="BW475" i="14"/>
  <c r="AN475" i="14" s="1"/>
  <c r="BV475" i="14"/>
  <c r="BW492" i="14"/>
  <c r="AN492" i="14" s="1"/>
  <c r="BV492" i="14"/>
  <c r="BW241" i="14"/>
  <c r="AN241" i="14" s="1"/>
  <c r="BV241" i="14"/>
  <c r="BW324" i="14"/>
  <c r="AN324" i="14" s="1"/>
  <c r="BV324" i="14"/>
  <c r="BW204" i="14"/>
  <c r="AN204" i="14" s="1"/>
  <c r="BV204" i="14"/>
  <c r="BV438" i="14"/>
  <c r="BW438" i="14"/>
  <c r="AN438" i="14" s="1"/>
  <c r="BW328" i="14"/>
  <c r="AN328" i="14" s="1"/>
  <c r="BV328" i="14"/>
  <c r="BW315" i="14"/>
  <c r="AN315" i="14" s="1"/>
  <c r="BV315" i="14"/>
  <c r="BV524" i="14"/>
  <c r="BW524" i="14"/>
  <c r="AN524" i="14" s="1"/>
  <c r="BW200" i="14"/>
  <c r="AN200" i="14" s="1"/>
  <c r="BV200" i="14"/>
  <c r="BW682" i="14"/>
  <c r="AN682" i="14" s="1"/>
  <c r="BV682" i="14"/>
  <c r="BW540" i="14"/>
  <c r="AN540" i="14" s="1"/>
  <c r="BV540" i="14"/>
  <c r="BW621" i="14"/>
  <c r="AN621" i="14" s="1"/>
  <c r="BV621" i="14"/>
  <c r="BW646" i="14"/>
  <c r="AN646" i="14" s="1"/>
  <c r="BV229" i="14"/>
  <c r="BW229" i="14"/>
  <c r="AN229" i="14" s="1"/>
  <c r="BW87" i="14"/>
  <c r="AN87" i="14" s="1"/>
  <c r="BV87" i="14"/>
  <c r="BV505" i="14"/>
  <c r="BW505" i="14"/>
  <c r="AN505" i="14" s="1"/>
  <c r="BV614" i="14"/>
  <c r="BW614" i="14"/>
  <c r="AN614" i="14" s="1"/>
  <c r="BW342" i="14"/>
  <c r="AN342" i="14" s="1"/>
  <c r="BV342" i="14"/>
  <c r="BW378" i="14"/>
  <c r="AN378" i="14" s="1"/>
  <c r="BV378" i="14"/>
  <c r="BV408" i="14"/>
  <c r="BW408" i="14"/>
  <c r="AN408" i="14" s="1"/>
  <c r="BV634" i="14"/>
  <c r="BV525" i="14"/>
  <c r="BW525" i="14"/>
  <c r="AN525" i="14" s="1"/>
  <c r="BV603" i="14"/>
  <c r="BW603" i="14"/>
  <c r="AN603" i="14" s="1"/>
  <c r="BV462" i="14"/>
  <c r="BW462" i="14"/>
  <c r="AN462" i="14" s="1"/>
  <c r="BV82" i="14"/>
  <c r="BW82" i="14"/>
  <c r="AN82" i="14" s="1"/>
  <c r="BV397" i="14"/>
  <c r="BW397" i="14"/>
  <c r="AN397" i="14" s="1"/>
  <c r="BW451" i="14"/>
  <c r="AN451" i="14" s="1"/>
  <c r="BV451" i="14"/>
  <c r="BV78" i="14"/>
  <c r="BW78" i="14"/>
  <c r="AN78" i="14" s="1"/>
  <c r="BW508" i="14"/>
  <c r="AN508" i="14" s="1"/>
  <c r="BV508" i="14"/>
  <c r="BW310" i="14"/>
  <c r="AN310" i="14" s="1"/>
  <c r="BV310" i="14"/>
  <c r="BW334" i="14"/>
  <c r="AN334" i="14" s="1"/>
  <c r="BV334" i="14"/>
  <c r="BV625" i="14"/>
  <c r="BW625" i="14"/>
  <c r="AN625" i="14" s="1"/>
  <c r="BV501" i="14"/>
  <c r="BW501" i="14"/>
  <c r="AN501" i="14" s="1"/>
  <c r="BW471" i="14"/>
  <c r="AN471" i="14" s="1"/>
  <c r="BV471" i="14"/>
  <c r="BW532" i="14"/>
  <c r="AN532" i="14" s="1"/>
  <c r="BV532" i="14"/>
  <c r="BV469" i="14"/>
  <c r="BW469" i="14"/>
  <c r="AN469" i="14" s="1"/>
  <c r="BW260" i="14"/>
  <c r="AN260" i="14" s="1"/>
  <c r="BV260" i="14"/>
  <c r="BV608" i="14"/>
  <c r="BW608" i="14"/>
  <c r="AN608" i="14" s="1"/>
  <c r="BW376" i="14"/>
  <c r="AN376" i="14" s="1"/>
  <c r="BV376" i="14"/>
  <c r="BV604" i="14"/>
  <c r="BW604" i="14"/>
  <c r="AN604" i="14" s="1"/>
  <c r="BW145" i="14"/>
  <c r="AN145" i="14" s="1"/>
  <c r="BV145" i="14"/>
  <c r="BV568" i="14"/>
  <c r="BW568" i="14"/>
  <c r="AN568" i="14" s="1"/>
  <c r="BW272" i="14"/>
  <c r="AN272" i="14" s="1"/>
  <c r="BV272" i="14"/>
  <c r="BW577" i="14"/>
  <c r="AN577" i="14" s="1"/>
  <c r="BV577" i="14"/>
  <c r="BW391" i="14"/>
  <c r="AN391" i="14" s="1"/>
  <c r="BV391" i="14"/>
  <c r="BW350" i="14"/>
  <c r="AN350" i="14" s="1"/>
  <c r="BV350" i="14"/>
  <c r="BW670" i="14"/>
  <c r="AN670" i="14" s="1"/>
  <c r="BV628" i="14"/>
  <c r="BW628" i="14"/>
  <c r="AN628" i="14" s="1"/>
  <c r="BV679" i="14"/>
  <c r="BW679" i="14"/>
  <c r="AN679" i="14" s="1"/>
  <c r="BW98" i="14"/>
  <c r="AN98" i="14" s="1"/>
  <c r="BV98" i="14"/>
  <c r="BW261" i="14"/>
  <c r="AN261" i="14" s="1"/>
  <c r="BV261" i="14"/>
  <c r="BW423" i="14"/>
  <c r="AN423" i="14" s="1"/>
  <c r="BV423" i="14"/>
  <c r="BW313" i="14"/>
  <c r="AN313" i="14" s="1"/>
  <c r="BV313" i="14"/>
  <c r="BW536" i="14"/>
  <c r="AN536" i="14" s="1"/>
  <c r="BV536" i="14"/>
  <c r="BW531" i="14"/>
  <c r="AN531" i="14" s="1"/>
  <c r="BV531" i="14"/>
  <c r="BW127" i="14"/>
  <c r="AN127" i="14" s="1"/>
  <c r="BV127" i="14"/>
  <c r="BW567" i="14"/>
  <c r="AN567" i="14" s="1"/>
  <c r="BV567" i="14"/>
  <c r="BV422" i="14"/>
  <c r="BW422" i="14"/>
  <c r="AN422" i="14" s="1"/>
  <c r="BW135" i="14"/>
  <c r="AN135" i="14" s="1"/>
  <c r="BV135" i="14"/>
  <c r="BW346" i="14"/>
  <c r="AN346" i="14" s="1"/>
  <c r="BV346" i="14"/>
  <c r="BV206" i="14"/>
  <c r="BW206" i="14"/>
  <c r="AN206" i="14" s="1"/>
  <c r="BW92" i="14"/>
  <c r="AN92" i="14" s="1"/>
  <c r="BV92" i="14"/>
  <c r="BW372" i="14"/>
  <c r="AN372" i="14" s="1"/>
  <c r="BV372" i="14"/>
  <c r="BV570" i="14"/>
  <c r="BW50" i="14"/>
  <c r="AN50" i="14" s="1"/>
  <c r="BV50" i="14"/>
  <c r="BV134" i="14"/>
  <c r="BW134" i="14"/>
  <c r="AN134" i="14" s="1"/>
  <c r="BV513" i="14"/>
  <c r="BW513" i="14"/>
  <c r="AN513" i="14" s="1"/>
  <c r="BW366" i="14"/>
  <c r="AN366" i="14" s="1"/>
  <c r="BV366" i="14"/>
  <c r="BW430" i="14"/>
  <c r="AN430" i="14" s="1"/>
  <c r="BV430" i="14"/>
  <c r="BV502" i="14"/>
  <c r="BW502" i="14"/>
  <c r="AN502" i="14" s="1"/>
  <c r="BV211" i="14"/>
  <c r="BW211" i="14"/>
  <c r="AN211" i="14" s="1"/>
  <c r="BW591" i="14"/>
  <c r="AN591" i="14" s="1"/>
  <c r="BV591" i="14"/>
  <c r="BV618" i="14"/>
  <c r="BW618" i="14"/>
  <c r="AN618" i="14" s="1"/>
  <c r="BV453" i="14"/>
  <c r="BW453" i="14"/>
  <c r="AN453" i="14" s="1"/>
  <c r="BW159" i="14"/>
  <c r="AN159" i="14" s="1"/>
  <c r="BV159" i="14"/>
  <c r="BW156" i="14"/>
  <c r="AN156" i="14" s="1"/>
  <c r="BV156" i="14"/>
  <c r="BV556" i="14"/>
  <c r="BW556" i="14"/>
  <c r="AN556" i="14" s="1"/>
  <c r="BW590" i="14"/>
  <c r="AN590" i="14" s="1"/>
  <c r="BV590" i="14"/>
  <c r="BV481" i="14"/>
  <c r="BW481" i="14"/>
  <c r="AN481" i="14" s="1"/>
  <c r="BW472" i="14"/>
  <c r="AN472" i="14" s="1"/>
  <c r="BV472" i="14"/>
  <c r="BW224" i="14"/>
  <c r="AN224" i="14" s="1"/>
  <c r="BV224" i="14"/>
  <c r="BW178" i="14"/>
  <c r="AN178" i="14" s="1"/>
  <c r="BV566" i="14"/>
  <c r="BW566" i="14"/>
  <c r="AN566" i="14" s="1"/>
  <c r="BW626" i="14"/>
  <c r="AN626" i="14" s="1"/>
  <c r="BV626" i="14"/>
  <c r="BV138" i="14"/>
  <c r="BW138" i="14"/>
  <c r="AN138" i="14" s="1"/>
  <c r="BV177" i="14"/>
  <c r="BW177" i="14"/>
  <c r="AN177" i="14" s="1"/>
  <c r="CC46" i="14"/>
  <c r="CD46" i="14" s="1"/>
  <c r="CR46" i="14"/>
  <c r="CS46" i="14" s="1"/>
  <c r="CT46" i="14" s="1"/>
  <c r="BV188" i="14"/>
  <c r="BW186" i="14"/>
  <c r="AN186" i="14" s="1"/>
  <c r="BW188" i="14"/>
  <c r="AN188" i="14" s="1"/>
  <c r="BV186" i="14"/>
  <c r="CE46" i="14" a="1"/>
  <c r="CE46" i="14" l="1"/>
  <c r="BV35" i="14" s="1"/>
  <c r="BV39" i="14"/>
  <c r="CJ46" i="14"/>
  <c r="BV36" i="14" s="1"/>
  <c r="AJ28" i="43"/>
  <c r="E27" i="43" s="1"/>
  <c r="BW40" i="14"/>
  <c r="AN40" i="14" s="1"/>
  <c r="BV40" i="14"/>
  <c r="BV38" i="14"/>
  <c r="BW38" i="14"/>
  <c r="AN38" i="14" s="1"/>
  <c r="BT48" i="14"/>
  <c r="BW35" i="14" l="1"/>
  <c r="AN35" i="14" s="1"/>
  <c r="BW36" i="14"/>
  <c r="AN36" i="14" s="1"/>
  <c r="AJ29" i="43"/>
  <c r="E28" i="43" s="1"/>
  <c r="DE36" i="14"/>
  <c r="DF36" i="14" a="1"/>
  <c r="DF36" i="14" l="1"/>
  <c r="AJ30" i="43"/>
  <c r="E29" i="43" s="1"/>
  <c r="DE37" i="14"/>
  <c r="DF37" i="14" a="1"/>
  <c r="DF37" i="14" l="1"/>
  <c r="AJ31" i="43"/>
  <c r="E30" i="43" s="1"/>
  <c r="DE38" i="14"/>
  <c r="DF38" i="14" a="1"/>
  <c r="DF38" i="14" l="1"/>
  <c r="AJ32" i="43"/>
  <c r="E31" i="43" s="1"/>
  <c r="DE39" i="14"/>
  <c r="DF39" i="14" a="1"/>
  <c r="DF39" i="14" l="1"/>
  <c r="AJ33" i="43"/>
  <c r="E32" i="43" s="1"/>
  <c r="DE40" i="14"/>
  <c r="DF40" i="14" a="1"/>
  <c r="DF40" i="14" l="1"/>
  <c r="AJ34" i="43"/>
  <c r="E33" i="43" s="1"/>
  <c r="DE41" i="14"/>
  <c r="DF41" i="14" a="1"/>
  <c r="DF41" i="14" l="1"/>
  <c r="AJ35" i="43"/>
  <c r="E34" i="43" s="1"/>
  <c r="DE42" i="14"/>
  <c r="DF42" i="14" a="1"/>
  <c r="DF42" i="14" l="1"/>
  <c r="AJ36" i="43"/>
  <c r="E35" i="43" s="1"/>
  <c r="DE43" i="14"/>
  <c r="DF43" i="14" a="1"/>
  <c r="DF43" i="14" l="1"/>
  <c r="BT44" i="14"/>
  <c r="AJ37" i="43"/>
  <c r="E36" i="43" s="1"/>
  <c r="DE44" i="14"/>
  <c r="DF44" i="14" a="1"/>
  <c r="DF44" i="14" l="1"/>
  <c r="AJ38" i="43"/>
  <c r="E37" i="43" s="1"/>
  <c r="DE45" i="14"/>
  <c r="DF45" i="14" a="1"/>
  <c r="DF45" i="14" l="1"/>
  <c r="AJ39" i="43"/>
  <c r="E38" i="43" s="1"/>
  <c r="DE46" i="14"/>
  <c r="DF46" i="14" a="1"/>
  <c r="DF46" i="14" l="1"/>
  <c r="DG35" i="14" s="1"/>
  <c r="DH35" i="14" s="1"/>
  <c r="AJ40" i="43"/>
  <c r="E39" i="43" s="1"/>
  <c r="DI35" i="14" a="1"/>
  <c r="DI35" i="14" l="1"/>
  <c r="AJ41" i="43"/>
  <c r="E40" i="43" s="1"/>
  <c r="DG36" i="14"/>
  <c r="DH36" i="14" s="1"/>
  <c r="DI36" i="14" a="1"/>
  <c r="DI36" i="14" l="1"/>
  <c r="AJ42" i="43"/>
  <c r="E41" i="43" s="1"/>
  <c r="DG37" i="14"/>
  <c r="DH37" i="14" s="1"/>
  <c r="DI37" i="14" a="1"/>
  <c r="DI37" i="14" l="1"/>
  <c r="AJ43" i="43"/>
  <c r="E42" i="43" s="1"/>
  <c r="DG38" i="14"/>
  <c r="DH38" i="14" s="1"/>
  <c r="DI38" i="14" a="1"/>
  <c r="DI38" i="14" l="1"/>
  <c r="AJ44" i="43"/>
  <c r="E43" i="43" s="1"/>
  <c r="DG39" i="14"/>
  <c r="DH39" i="14" s="1"/>
  <c r="DI39" i="14" a="1"/>
  <c r="DI39" i="14" l="1"/>
  <c r="AJ45" i="43"/>
  <c r="E44" i="43" s="1"/>
  <c r="DG40" i="14"/>
  <c r="DH40" i="14" s="1"/>
  <c r="AJ46" i="43" l="1"/>
  <c r="E45" i="43" s="1"/>
  <c r="DG41" i="14"/>
  <c r="DH41" i="14" s="1"/>
  <c r="BT71" i="14" l="1"/>
  <c r="AJ47" i="43"/>
  <c r="E46" i="43" s="1"/>
  <c r="DG42" i="14"/>
  <c r="DH42" i="14" s="1"/>
  <c r="AW203" i="14"/>
  <c r="BQ419" i="14"/>
  <c r="BC359" i="14"/>
  <c r="BQ107" i="14"/>
  <c r="AU83" i="14"/>
  <c r="BQ191" i="14"/>
  <c r="BO275" i="14"/>
  <c r="AY671" i="14"/>
  <c r="BO431" i="14"/>
  <c r="BG503" i="14"/>
  <c r="BK575" i="14"/>
  <c r="AY551" i="14"/>
  <c r="BQ35" i="14"/>
  <c r="AY623" i="14"/>
  <c r="BM83" i="14"/>
  <c r="AW83" i="14"/>
  <c r="BI587" i="14"/>
  <c r="AU491" i="14"/>
  <c r="BE527" i="14"/>
  <c r="BC659" i="14"/>
  <c r="BA407" i="14"/>
  <c r="BI95" i="14"/>
  <c r="BE599" i="14"/>
  <c r="BC407" i="14"/>
  <c r="BK59" i="14"/>
  <c r="BG167" i="14"/>
  <c r="AW431" i="14"/>
  <c r="BG611" i="14"/>
  <c r="BQ671" i="14"/>
  <c r="BE191" i="14"/>
  <c r="AU323" i="14"/>
  <c r="BG275" i="14"/>
  <c r="BQ95" i="14"/>
  <c r="BC131" i="14"/>
  <c r="BA467" i="14"/>
  <c r="BC539" i="14"/>
  <c r="AW443" i="14"/>
  <c r="BQ623" i="14"/>
  <c r="BI431" i="14"/>
  <c r="BI647" i="14"/>
  <c r="BG371" i="14"/>
  <c r="BG83" i="14"/>
  <c r="BK659" i="14"/>
  <c r="BM479" i="14"/>
  <c r="BC251" i="14"/>
  <c r="BC587" i="14"/>
  <c r="BC167" i="14"/>
  <c r="AY395" i="14"/>
  <c r="BI323" i="14"/>
  <c r="BA623" i="14"/>
  <c r="BI419" i="14"/>
  <c r="BG359" i="14"/>
  <c r="BG623" i="14"/>
  <c r="AU503" i="14"/>
  <c r="BG647" i="14"/>
  <c r="BE611" i="14"/>
  <c r="BG587" i="14"/>
  <c r="AU179" i="14"/>
  <c r="BC323" i="14"/>
  <c r="BI599" i="14"/>
  <c r="BQ539" i="14"/>
  <c r="AY491" i="14"/>
  <c r="BA143" i="14"/>
  <c r="AY479" i="14"/>
  <c r="BA491" i="14"/>
  <c r="BA383" i="14"/>
  <c r="AU95" i="14"/>
  <c r="BQ143" i="14"/>
  <c r="BE275" i="14"/>
  <c r="AW395" i="14"/>
  <c r="AU131" i="14"/>
  <c r="BG131" i="14"/>
  <c r="BE323" i="14"/>
  <c r="BQ407" i="14"/>
  <c r="BO587" i="14"/>
  <c r="BG95" i="14"/>
  <c r="BO47" i="14"/>
  <c r="AW263" i="14"/>
  <c r="BA647" i="14"/>
  <c r="AW611" i="14"/>
  <c r="BC83" i="14"/>
  <c r="BK623" i="14"/>
  <c r="BE455" i="14"/>
  <c r="BC275" i="14"/>
  <c r="BI215" i="14"/>
  <c r="BI227" i="14"/>
  <c r="BG455" i="14"/>
  <c r="BQ551" i="14"/>
  <c r="BC563" i="14"/>
  <c r="AU335" i="14"/>
  <c r="AY467" i="14"/>
  <c r="BE359" i="14"/>
  <c r="BA299" i="14"/>
  <c r="AW323" i="14"/>
  <c r="AY287" i="14"/>
  <c r="BG551" i="14"/>
  <c r="BE635" i="14"/>
  <c r="BO383" i="14"/>
  <c r="AY419" i="14"/>
  <c r="BA527" i="14"/>
  <c r="BK167" i="14"/>
  <c r="AU107" i="14"/>
  <c r="BO443" i="14"/>
  <c r="BA275" i="14"/>
  <c r="BC671" i="14"/>
  <c r="AY215" i="14"/>
  <c r="BG323" i="14"/>
  <c r="BK395" i="14"/>
  <c r="BK563" i="14"/>
  <c r="AW59" i="14"/>
  <c r="BQ443" i="14"/>
  <c r="AY575" i="14"/>
  <c r="BK503" i="14"/>
  <c r="BK155" i="14"/>
  <c r="AW251" i="14"/>
  <c r="BK419" i="14"/>
  <c r="AU467" i="14"/>
  <c r="BG47" i="14"/>
  <c r="BC263" i="14"/>
  <c r="BG407" i="14"/>
  <c r="BM395" i="14"/>
  <c r="AU239" i="14"/>
  <c r="BE215" i="14"/>
  <c r="BG467" i="14"/>
  <c r="AU299" i="14"/>
  <c r="AW311" i="14"/>
  <c r="BA107" i="14"/>
  <c r="BQ647" i="14"/>
  <c r="BA659" i="14"/>
  <c r="BE107" i="14"/>
  <c r="BO167" i="14"/>
  <c r="AW371" i="14"/>
  <c r="BO659" i="14"/>
  <c r="BK371" i="14"/>
  <c r="BC551" i="14"/>
  <c r="AW647" i="14"/>
  <c r="DI41" i="14" a="1"/>
  <c r="BO119" i="14"/>
  <c r="AW299" i="14"/>
  <c r="BI287" i="14"/>
  <c r="BI335" i="14"/>
  <c r="BA263" i="14"/>
  <c r="BI659" i="14"/>
  <c r="BM347" i="14"/>
  <c r="BI395" i="14"/>
  <c r="AU563" i="14"/>
  <c r="BM287" i="14"/>
  <c r="BM263" i="14"/>
  <c r="BK287" i="14"/>
  <c r="BA431" i="14"/>
  <c r="BA359" i="14"/>
  <c r="BQ503" i="14"/>
  <c r="BQ131" i="14"/>
  <c r="BI119" i="14"/>
  <c r="AY167" i="14"/>
  <c r="BE503" i="14"/>
  <c r="BI551" i="14"/>
  <c r="AU611" i="14"/>
  <c r="AU575" i="14"/>
  <c r="BE395" i="14"/>
  <c r="BG395" i="14"/>
  <c r="BG335" i="14"/>
  <c r="AY611" i="14"/>
  <c r="BE659" i="14"/>
  <c r="BM251" i="14"/>
  <c r="BI623" i="14"/>
  <c r="BI467" i="14"/>
  <c r="BC611" i="14"/>
  <c r="BE311" i="14"/>
  <c r="BG419" i="14"/>
  <c r="BI203" i="14"/>
  <c r="BO191" i="14"/>
  <c r="BO263" i="14"/>
  <c r="AU263" i="14"/>
  <c r="BQ515" i="14"/>
  <c r="AU371" i="14"/>
  <c r="BM503" i="14"/>
  <c r="BM659" i="14"/>
  <c r="BA251" i="14"/>
  <c r="BG539" i="14"/>
  <c r="BG635" i="14"/>
  <c r="BM455" i="14"/>
  <c r="AW47" i="14"/>
  <c r="BA227" i="14"/>
  <c r="BK131" i="14"/>
  <c r="BO143" i="14"/>
  <c r="BK275" i="14"/>
  <c r="BE83" i="14"/>
  <c r="BI527" i="14"/>
  <c r="AY71" i="14"/>
  <c r="BC455" i="14"/>
  <c r="AY251" i="14"/>
  <c r="BO371" i="14"/>
  <c r="AY299" i="14"/>
  <c r="AY179" i="14"/>
  <c r="AU311" i="14"/>
  <c r="AW347" i="14"/>
  <c r="BQ383" i="14"/>
  <c r="BQ299" i="14"/>
  <c r="AY407" i="14"/>
  <c r="BI263" i="14"/>
  <c r="BA371" i="14"/>
  <c r="BK251" i="14"/>
  <c r="AY455" i="14"/>
  <c r="AU443" i="14"/>
  <c r="BO671" i="14"/>
  <c r="BK611" i="14"/>
  <c r="BC503" i="14"/>
  <c r="AU419" i="14"/>
  <c r="BQ155" i="14"/>
  <c r="BA155" i="14"/>
  <c r="BE95" i="14"/>
  <c r="BA503" i="14"/>
  <c r="BI383" i="14"/>
  <c r="BM203" i="14"/>
  <c r="BE71" i="14"/>
  <c r="BC491" i="14"/>
  <c r="BI539" i="14"/>
  <c r="BG659" i="14"/>
  <c r="BO251" i="14"/>
  <c r="BA347" i="14"/>
  <c r="BO59" i="14"/>
  <c r="BM407" i="14"/>
  <c r="BC71" i="14"/>
  <c r="AY539" i="14"/>
  <c r="AU539" i="14"/>
  <c r="AW455" i="14"/>
  <c r="BA443" i="14"/>
  <c r="BE431" i="14"/>
  <c r="BM107" i="14"/>
  <c r="BI191" i="14"/>
  <c r="BA191" i="14"/>
  <c r="AW107" i="14"/>
  <c r="AW671" i="14"/>
  <c r="BM239" i="14"/>
  <c r="BM371" i="14"/>
  <c r="BQ179" i="14"/>
  <c r="BA167" i="14"/>
  <c r="BA335" i="14"/>
  <c r="BI59" i="14"/>
  <c r="AW635" i="14"/>
  <c r="BM215" i="14"/>
  <c r="BK383" i="14"/>
  <c r="AY191" i="14"/>
  <c r="AU215" i="14"/>
  <c r="BM167" i="14"/>
  <c r="BM335" i="14"/>
  <c r="BQ599" i="14"/>
  <c r="AY119" i="14"/>
  <c r="AW539" i="14"/>
  <c r="BI671" i="14"/>
  <c r="BK467" i="14"/>
  <c r="BM563" i="14"/>
  <c r="BG599" i="14"/>
  <c r="BI155" i="14"/>
  <c r="AU191" i="14"/>
  <c r="AY347" i="14"/>
  <c r="AU587" i="14"/>
  <c r="BG143" i="14"/>
  <c r="BA323" i="14"/>
  <c r="BM383" i="14"/>
  <c r="BM59" i="14"/>
  <c r="AU527" i="14"/>
  <c r="BK479" i="14"/>
  <c r="AW575" i="14"/>
  <c r="BM551" i="14"/>
  <c r="AY371" i="14"/>
  <c r="BO83" i="14"/>
  <c r="AY155" i="14"/>
  <c r="BQ335" i="14"/>
  <c r="BA515" i="14"/>
  <c r="BA179" i="14"/>
  <c r="BO527" i="14"/>
  <c r="BA311" i="14"/>
  <c r="AY659" i="14"/>
  <c r="AU347" i="14"/>
  <c r="BK491" i="14"/>
  <c r="AW287" i="14"/>
  <c r="BK107" i="14"/>
  <c r="BA611" i="14"/>
  <c r="BK47" i="14"/>
  <c r="AU635" i="14"/>
  <c r="BA95" i="14"/>
  <c r="BC299" i="14"/>
  <c r="BO215" i="14"/>
  <c r="BM467" i="14"/>
  <c r="BO575" i="14"/>
  <c r="BO299" i="14"/>
  <c r="BE443" i="14"/>
  <c r="BI167" i="14"/>
  <c r="AY227" i="14"/>
  <c r="BM131" i="14"/>
  <c r="BA479" i="14"/>
  <c r="BA575" i="14"/>
  <c r="BM311" i="14"/>
  <c r="BO599" i="14"/>
  <c r="AY527" i="14"/>
  <c r="BM635" i="14"/>
  <c r="BQ59" i="14"/>
  <c r="BG107" i="14"/>
  <c r="BC395" i="14"/>
  <c r="BO227" i="14"/>
  <c r="BE647" i="14"/>
  <c r="BM323" i="14"/>
  <c r="AU227" i="14"/>
  <c r="BE167" i="14"/>
  <c r="BO335" i="14"/>
  <c r="BC383" i="14"/>
  <c r="BQ467" i="14"/>
  <c r="BK143" i="14"/>
  <c r="BI503" i="14"/>
  <c r="BO515" i="14"/>
  <c r="AU599" i="14"/>
  <c r="AU359" i="14"/>
  <c r="AU251" i="14"/>
  <c r="BG443" i="14"/>
  <c r="BA539" i="14"/>
  <c r="BG155" i="14"/>
  <c r="AY131" i="14"/>
  <c r="AU551" i="14"/>
  <c r="BE383" i="14"/>
  <c r="AU515" i="14"/>
  <c r="BC47" i="14"/>
  <c r="BQ47" i="14"/>
  <c r="BQ311" i="14"/>
  <c r="BA215" i="14"/>
  <c r="BM95" i="14"/>
  <c r="BI371" i="14"/>
  <c r="AY47" i="14"/>
  <c r="BA203" i="14"/>
  <c r="BO107" i="14"/>
  <c r="BQ431" i="14"/>
  <c r="BI611" i="14"/>
  <c r="BK539" i="14"/>
  <c r="BA239" i="14"/>
  <c r="BI275" i="14"/>
  <c r="BC623" i="14"/>
  <c r="BC227" i="14"/>
  <c r="BK515" i="14"/>
  <c r="BE371" i="14"/>
  <c r="BE407" i="14"/>
  <c r="BO551" i="14"/>
  <c r="AY263" i="14"/>
  <c r="AW527" i="14"/>
  <c r="BI443" i="14"/>
  <c r="AW335" i="14"/>
  <c r="BA131" i="14"/>
  <c r="BO563" i="14"/>
  <c r="BK527" i="14"/>
  <c r="BK599" i="14"/>
  <c r="AW215" i="14"/>
  <c r="BE551" i="14"/>
  <c r="BG671" i="14"/>
  <c r="BE239" i="14"/>
  <c r="AW155" i="14"/>
  <c r="BM539" i="14"/>
  <c r="BG251" i="14"/>
  <c r="AU383" i="14"/>
  <c r="BO71" i="14"/>
  <c r="BA59" i="14"/>
  <c r="BK431" i="14"/>
  <c r="BK359" i="14"/>
  <c r="BQ359" i="14"/>
  <c r="BI143" i="14"/>
  <c r="BI575" i="14"/>
  <c r="BO419" i="14"/>
  <c r="BG527" i="14"/>
  <c r="BO323" i="14"/>
  <c r="BC215" i="14"/>
  <c r="BC515" i="14"/>
  <c r="AW407" i="14"/>
  <c r="BG191" i="14"/>
  <c r="AW515" i="14"/>
  <c r="BQ71" i="14"/>
  <c r="AU407" i="14"/>
  <c r="BE479" i="14"/>
  <c r="BC119" i="14"/>
  <c r="AW95" i="14"/>
  <c r="DI40" i="14" a="1"/>
  <c r="BM599" i="14"/>
  <c r="BM299" i="14"/>
  <c r="BC467" i="14"/>
  <c r="AY275" i="14"/>
  <c r="BC599" i="14"/>
  <c r="BE419" i="14"/>
  <c r="BM611" i="14"/>
  <c r="BG227" i="14"/>
  <c r="BC179" i="14"/>
  <c r="BG563" i="14"/>
  <c r="BC575" i="14"/>
  <c r="AY203" i="14"/>
  <c r="BQ275" i="14"/>
  <c r="BM71" i="14"/>
  <c r="BQ587" i="14"/>
  <c r="BE47" i="14"/>
  <c r="BG491" i="14"/>
  <c r="BG311" i="14"/>
  <c r="BC335" i="14"/>
  <c r="BE263" i="14"/>
  <c r="BQ563" i="14"/>
  <c r="BO287" i="14"/>
  <c r="BK407" i="14"/>
  <c r="AU155" i="14"/>
  <c r="AY515" i="14"/>
  <c r="AW239" i="14"/>
  <c r="AW491" i="14"/>
  <c r="BO239" i="14"/>
  <c r="BE335" i="14"/>
  <c r="BI251" i="14"/>
  <c r="BA419" i="14"/>
  <c r="BQ491" i="14"/>
  <c r="BG575" i="14"/>
  <c r="BE347" i="14"/>
  <c r="BK671" i="14"/>
  <c r="AY311" i="14"/>
  <c r="BG383" i="14"/>
  <c r="BM575" i="14"/>
  <c r="BQ659" i="14"/>
  <c r="AY647" i="14"/>
  <c r="BO95" i="14"/>
  <c r="AU647" i="14"/>
  <c r="BA551" i="14"/>
  <c r="BA287" i="14"/>
  <c r="BC191" i="14"/>
  <c r="BI131" i="14"/>
  <c r="AW551" i="14"/>
  <c r="AW419" i="14"/>
  <c r="BC155" i="14"/>
  <c r="AW143" i="14"/>
  <c r="BG59" i="14"/>
  <c r="BO395" i="14"/>
  <c r="BO359" i="14"/>
  <c r="BI299" i="14"/>
  <c r="BC287" i="14"/>
  <c r="BO479" i="14"/>
  <c r="BI347" i="14"/>
  <c r="AY107" i="14"/>
  <c r="BI407" i="14"/>
  <c r="BA119" i="14"/>
  <c r="AY143" i="14"/>
  <c r="BQ455" i="14"/>
  <c r="BA635" i="14"/>
  <c r="AW167" i="14"/>
  <c r="AU119" i="14"/>
  <c r="AW479" i="14"/>
  <c r="BO203" i="14"/>
  <c r="BE227" i="14"/>
  <c r="AU455" i="14"/>
  <c r="AW599" i="14"/>
  <c r="BI479" i="14"/>
  <c r="BM491" i="14"/>
  <c r="BG71" i="14"/>
  <c r="BI71" i="14"/>
  <c r="BM359" i="14"/>
  <c r="BE143" i="14"/>
  <c r="AU47" i="14"/>
  <c r="BK71" i="14"/>
  <c r="BO467" i="14"/>
  <c r="AU659" i="14"/>
  <c r="AY431" i="14"/>
  <c r="BM671" i="14"/>
  <c r="AY335" i="14"/>
  <c r="BC143" i="14"/>
  <c r="BA587" i="14"/>
  <c r="BG287" i="14"/>
  <c r="BI311" i="14"/>
  <c r="BQ167" i="14"/>
  <c r="BG263" i="14"/>
  <c r="BO539" i="14"/>
  <c r="AY635" i="14"/>
  <c r="BO647" i="14"/>
  <c r="BC371" i="14"/>
  <c r="BM155" i="14"/>
  <c r="BK647" i="14"/>
  <c r="BK551" i="14"/>
  <c r="BC203" i="14"/>
  <c r="BK311" i="14"/>
  <c r="BG203" i="14"/>
  <c r="BM623" i="14"/>
  <c r="BE515" i="14"/>
  <c r="BI635" i="14"/>
  <c r="BK263" i="14"/>
  <c r="BO635" i="14"/>
  <c r="BQ215" i="14"/>
  <c r="AW383" i="14"/>
  <c r="BA395" i="14"/>
  <c r="BE587" i="14"/>
  <c r="BI515" i="14"/>
  <c r="BM647" i="14"/>
  <c r="AW503" i="14"/>
  <c r="BQ323" i="14"/>
  <c r="BO347" i="14"/>
  <c r="BG347" i="14"/>
  <c r="BQ611" i="14"/>
  <c r="BK179" i="14"/>
  <c r="AY563" i="14"/>
  <c r="BQ227" i="14"/>
  <c r="BQ479" i="14"/>
  <c r="BC431" i="14"/>
  <c r="BE119" i="14"/>
  <c r="AU479" i="14"/>
  <c r="AW359" i="14"/>
  <c r="BA599" i="14"/>
  <c r="BQ263" i="14"/>
  <c r="AU59" i="14"/>
  <c r="BQ527" i="14"/>
  <c r="AU287" i="14"/>
  <c r="BC443" i="14"/>
  <c r="AW191" i="14"/>
  <c r="BA71" i="14"/>
  <c r="BK635" i="14"/>
  <c r="BK203" i="14"/>
  <c r="BC635" i="14"/>
  <c r="BM179" i="14"/>
  <c r="BG299" i="14"/>
  <c r="AU203" i="14"/>
  <c r="BO179" i="14"/>
  <c r="BM419" i="14"/>
  <c r="BK95" i="14"/>
  <c r="BE623" i="14"/>
  <c r="BK443" i="14"/>
  <c r="BI239" i="14"/>
  <c r="BC647" i="14"/>
  <c r="AU395" i="14"/>
  <c r="AW275" i="14"/>
  <c r="BE179" i="14"/>
  <c r="BO491" i="14"/>
  <c r="BM143" i="14"/>
  <c r="BM119" i="14"/>
  <c r="BO455" i="14"/>
  <c r="AW467" i="14"/>
  <c r="AW227" i="14"/>
  <c r="BC419" i="14"/>
  <c r="BI563" i="14"/>
  <c r="BK335" i="14"/>
  <c r="BQ83" i="14"/>
  <c r="BE251" i="14"/>
  <c r="BM191" i="14"/>
  <c r="BK83" i="14"/>
  <c r="BO131" i="14"/>
  <c r="BM431" i="14"/>
  <c r="BK191" i="14"/>
  <c r="BA671" i="14"/>
  <c r="AY95" i="14"/>
  <c r="AU623" i="14"/>
  <c r="AU671" i="14"/>
  <c r="BQ203" i="14"/>
  <c r="AW587" i="14"/>
  <c r="BG239" i="14"/>
  <c r="BK455" i="14"/>
  <c r="BQ251" i="14"/>
  <c r="BK239" i="14"/>
  <c r="BQ347" i="14"/>
  <c r="BE203" i="14"/>
  <c r="BG479" i="14"/>
  <c r="BI107" i="14"/>
  <c r="BQ575" i="14"/>
  <c r="AW563" i="14"/>
  <c r="BK323" i="14"/>
  <c r="BA455" i="14"/>
  <c r="BI179" i="14"/>
  <c r="BG515" i="14"/>
  <c r="BE59" i="14"/>
  <c r="BO503" i="14"/>
  <c r="BO623" i="14"/>
  <c r="BC107" i="14"/>
  <c r="BK215" i="14"/>
  <c r="BE671" i="14"/>
  <c r="AW131" i="14"/>
  <c r="BC59" i="14"/>
  <c r="BO407" i="14"/>
  <c r="BG119" i="14"/>
  <c r="BI359" i="14"/>
  <c r="AW623" i="14"/>
  <c r="AY359" i="14"/>
  <c r="AY239" i="14"/>
  <c r="BM527" i="14"/>
  <c r="BA47" i="14"/>
  <c r="BK227" i="14"/>
  <c r="BE299" i="14"/>
  <c r="BQ371" i="14"/>
  <c r="AY599" i="14"/>
  <c r="BI491" i="14"/>
  <c r="AW119" i="14"/>
  <c r="BI455" i="14"/>
  <c r="AU143" i="14"/>
  <c r="AU275" i="14"/>
  <c r="AY503" i="14"/>
  <c r="BE491" i="14"/>
  <c r="BA563" i="14"/>
  <c r="AU167" i="14"/>
  <c r="BC239" i="14"/>
  <c r="BE563" i="14"/>
  <c r="BC311" i="14"/>
  <c r="BE287" i="14"/>
  <c r="BE155" i="14"/>
  <c r="BQ119" i="14"/>
  <c r="AY587" i="14"/>
  <c r="BO155" i="14"/>
  <c r="AY59" i="14"/>
  <c r="AY323" i="14"/>
  <c r="BQ287" i="14"/>
  <c r="AU431" i="14"/>
  <c r="BQ395" i="14"/>
  <c r="BG179" i="14"/>
  <c r="BK587" i="14"/>
  <c r="BG431" i="14"/>
  <c r="AW71" i="14"/>
  <c r="AU71" i="14"/>
  <c r="BM275" i="14"/>
  <c r="BK347" i="14"/>
  <c r="AW179" i="14"/>
  <c r="BC479" i="14"/>
  <c r="BK119" i="14"/>
  <c r="AY443" i="14"/>
  <c r="BM515" i="14"/>
  <c r="BO611" i="14"/>
  <c r="BI47" i="14"/>
  <c r="BE467" i="14"/>
  <c r="AW659" i="14"/>
  <c r="BM587" i="14"/>
  <c r="BE131" i="14"/>
  <c r="BM227" i="14"/>
  <c r="BC527" i="14"/>
  <c r="BQ635" i="14"/>
  <c r="BO311" i="14"/>
  <c r="BI83" i="14"/>
  <c r="BC95" i="14"/>
  <c r="BQ239" i="14"/>
  <c r="BM443" i="14"/>
  <c r="AY383" i="14"/>
  <c r="BE539" i="14"/>
  <c r="BM47" i="14"/>
  <c r="AY83" i="14"/>
  <c r="BG215" i="14"/>
  <c r="BK299" i="14"/>
  <c r="BC347" i="14"/>
  <c r="BE575" i="14"/>
  <c r="BA83" i="14"/>
  <c r="BM264" i="14" l="1"/>
  <c r="BM265" i="14" s="1"/>
  <c r="BM266" i="14" s="1"/>
  <c r="BM120" i="14"/>
  <c r="BM121" i="14" s="1"/>
  <c r="BM122" i="14" s="1"/>
  <c r="BM123" i="14" s="1"/>
  <c r="BM124" i="14" s="1"/>
  <c r="BM125" i="14" s="1"/>
  <c r="BE468" i="14"/>
  <c r="BE469" i="14" s="1"/>
  <c r="BE470" i="14" s="1"/>
  <c r="BE471" i="14" s="1"/>
  <c r="BA456" i="14"/>
  <c r="BA132" i="14"/>
  <c r="AW216" i="14"/>
  <c r="AW217" i="14" s="1"/>
  <c r="AW218" i="14" s="1"/>
  <c r="AY48" i="14"/>
  <c r="BC108" i="14"/>
  <c r="BO480" i="14"/>
  <c r="BG432" i="14"/>
  <c r="BG433" i="14" s="1"/>
  <c r="BG434" i="14" s="1"/>
  <c r="BG300" i="14"/>
  <c r="BO408" i="14"/>
  <c r="BA576" i="14"/>
  <c r="BC240" i="14"/>
  <c r="BG324" i="14"/>
  <c r="BG325" i="14" s="1"/>
  <c r="BG326" i="14" s="1"/>
  <c r="BG327" i="14" s="1"/>
  <c r="AW624" i="14"/>
  <c r="AW625" i="14" s="1"/>
  <c r="AW626" i="14" s="1"/>
  <c r="BK48" i="14"/>
  <c r="AU564" i="14"/>
  <c r="BQ540" i="14"/>
  <c r="BQ541" i="14" s="1"/>
  <c r="BI216" i="14"/>
  <c r="BI217" i="14" s="1"/>
  <c r="BI218" i="14" s="1"/>
  <c r="BE480" i="14"/>
  <c r="BE276" i="14"/>
  <c r="BK144" i="14"/>
  <c r="BK444" i="14"/>
  <c r="BK445" i="14" s="1"/>
  <c r="BQ444" i="14"/>
  <c r="BQ445" i="14" s="1"/>
  <c r="BQ446" i="14" s="1"/>
  <c r="BO96" i="14"/>
  <c r="BC300" i="14"/>
  <c r="BI660" i="14"/>
  <c r="BK564" i="14"/>
  <c r="BK565" i="14" s="1"/>
  <c r="BK566" i="14" s="1"/>
  <c r="BK567" i="14" s="1"/>
  <c r="BK568" i="14" s="1"/>
  <c r="BE252" i="14"/>
  <c r="BE253" i="14" s="1"/>
  <c r="BE254" i="14" s="1"/>
  <c r="BE255" i="14" s="1"/>
  <c r="AY288" i="14"/>
  <c r="AY289" i="14" s="1"/>
  <c r="AY290" i="14" s="1"/>
  <c r="AY396" i="14"/>
  <c r="AY397" i="14" s="1"/>
  <c r="AY398" i="14" s="1"/>
  <c r="BC384" i="14"/>
  <c r="BK456" i="14"/>
  <c r="BK457" i="14" s="1"/>
  <c r="BM576" i="14"/>
  <c r="BC252" i="14"/>
  <c r="BA372" i="14"/>
  <c r="BA373" i="14" s="1"/>
  <c r="BA374" i="14" s="1"/>
  <c r="BO276" i="14"/>
  <c r="BO277" i="14" s="1"/>
  <c r="BO278" i="14" s="1"/>
  <c r="BO279" i="14" s="1"/>
  <c r="AU312" i="14"/>
  <c r="AU313" i="14" s="1"/>
  <c r="AU314" i="14" s="1"/>
  <c r="BM192" i="14"/>
  <c r="BM372" i="14"/>
  <c r="BM456" i="14"/>
  <c r="BO204" i="14"/>
  <c r="BO205" i="14" s="1"/>
  <c r="BO206" i="14" s="1"/>
  <c r="BC324" i="14"/>
  <c r="BC325" i="14" s="1"/>
  <c r="BC326" i="14" s="1"/>
  <c r="BC327" i="14" s="1"/>
  <c r="BK624" i="14"/>
  <c r="BK625" i="14" s="1"/>
  <c r="BK626" i="14" s="1"/>
  <c r="BK627" i="14" s="1"/>
  <c r="BQ504" i="14"/>
  <c r="BQ505" i="14" s="1"/>
  <c r="BI360" i="14"/>
  <c r="BI361" i="14" s="1"/>
  <c r="BQ168" i="14"/>
  <c r="BQ169" i="14" s="1"/>
  <c r="BQ170" i="14" s="1"/>
  <c r="BQ171" i="14" s="1"/>
  <c r="BQ172" i="14" s="1"/>
  <c r="BO84" i="14"/>
  <c r="BM324" i="14"/>
  <c r="AY300" i="14"/>
  <c r="BA276" i="14"/>
  <c r="BA277" i="14" s="1"/>
  <c r="BA278" i="14" s="1"/>
  <c r="BA279" i="14" s="1"/>
  <c r="AU132" i="14"/>
  <c r="AU133" i="14" s="1"/>
  <c r="AU134" i="14" s="1"/>
  <c r="BM384" i="14"/>
  <c r="BI168" i="14"/>
  <c r="BA264" i="14"/>
  <c r="AU420" i="14"/>
  <c r="AU421" i="14" s="1"/>
  <c r="AU422" i="14" s="1"/>
  <c r="AU423" i="14" s="1"/>
  <c r="BQ336" i="14"/>
  <c r="BQ337" i="14" s="1"/>
  <c r="BQ338" i="14" s="1"/>
  <c r="BQ564" i="14"/>
  <c r="BQ565" i="14" s="1"/>
  <c r="BK660" i="14"/>
  <c r="BK661" i="14" s="1"/>
  <c r="BK264" i="14"/>
  <c r="BK265" i="14" s="1"/>
  <c r="BK156" i="14"/>
  <c r="BK157" i="14" s="1"/>
  <c r="BK158" i="14" s="1"/>
  <c r="AW228" i="14"/>
  <c r="AY60" i="14"/>
  <c r="BI600" i="14"/>
  <c r="BO648" i="14"/>
  <c r="BO649" i="14" s="1"/>
  <c r="BO650" i="14" s="1"/>
  <c r="BO651" i="14" s="1"/>
  <c r="BM252" i="14"/>
  <c r="BM253" i="14" s="1"/>
  <c r="BG48" i="14"/>
  <c r="BK300" i="14"/>
  <c r="AY492" i="14"/>
  <c r="BO432" i="14"/>
  <c r="BO433" i="14" s="1"/>
  <c r="BO434" i="14" s="1"/>
  <c r="BK60" i="14"/>
  <c r="BK61" i="14" s="1"/>
  <c r="BK348" i="14"/>
  <c r="BK349" i="14" s="1"/>
  <c r="BK350" i="14" s="1"/>
  <c r="BM348" i="14"/>
  <c r="BM349" i="14" s="1"/>
  <c r="BM350" i="14" s="1"/>
  <c r="BG264" i="14"/>
  <c r="AY72" i="14"/>
  <c r="AY73" i="14" s="1"/>
  <c r="BQ324" i="14"/>
  <c r="BA324" i="14"/>
  <c r="AU624" i="14"/>
  <c r="AW168" i="14"/>
  <c r="AW169" i="14" s="1"/>
  <c r="AW170" i="14" s="1"/>
  <c r="BM540" i="14"/>
  <c r="BE624" i="14"/>
  <c r="BI432" i="14"/>
  <c r="BG156" i="14"/>
  <c r="BQ480" i="14"/>
  <c r="BQ481" i="14" s="1"/>
  <c r="BQ482" i="14" s="1"/>
  <c r="BQ483" i="14" s="1"/>
  <c r="AY612" i="14"/>
  <c r="AY613" i="14" s="1"/>
  <c r="AY614" i="14" s="1"/>
  <c r="AY615" i="14" s="1"/>
  <c r="AY372" i="14"/>
  <c r="AY373" i="14" s="1"/>
  <c r="BK132" i="14"/>
  <c r="BK133" i="14" s="1"/>
  <c r="BK134" i="14" s="1"/>
  <c r="BK135" i="14" s="1"/>
  <c r="BO420" i="14"/>
  <c r="BA612" i="14"/>
  <c r="BA613" i="14" s="1"/>
  <c r="BA614" i="14" s="1"/>
  <c r="BA615" i="14" s="1"/>
  <c r="BQ552" i="14"/>
  <c r="BQ553" i="14" s="1"/>
  <c r="BK324" i="14"/>
  <c r="BI60" i="14"/>
  <c r="BI648" i="14"/>
  <c r="BI649" i="14" s="1"/>
  <c r="BI650" i="14" s="1"/>
  <c r="BC48" i="14"/>
  <c r="BO228" i="14"/>
  <c r="BC180" i="14"/>
  <c r="BG276" i="14"/>
  <c r="BA636" i="14"/>
  <c r="BA637" i="14" s="1"/>
  <c r="BA638" i="14" s="1"/>
  <c r="BA639" i="14" s="1"/>
  <c r="BA640" i="14" s="1"/>
  <c r="BA641" i="14" s="1"/>
  <c r="BA642" i="14" s="1"/>
  <c r="BO72" i="14"/>
  <c r="BO73" i="14" s="1"/>
  <c r="BO74" i="14" s="1"/>
  <c r="BO75" i="14" s="1"/>
  <c r="BA72" i="14"/>
  <c r="BQ636" i="14"/>
  <c r="BQ637" i="14" s="1"/>
  <c r="BC540" i="14"/>
  <c r="AY144" i="14"/>
  <c r="BG504" i="14"/>
  <c r="BQ576" i="14"/>
  <c r="BI48" i="14"/>
  <c r="BI49" i="14" s="1"/>
  <c r="BE300" i="14"/>
  <c r="BE301" i="14" s="1"/>
  <c r="BE302" i="14" s="1"/>
  <c r="BE303" i="14" s="1"/>
  <c r="AY648" i="14"/>
  <c r="BK372" i="14"/>
  <c r="BA408" i="14"/>
  <c r="BA409" i="14" s="1"/>
  <c r="BM408" i="14"/>
  <c r="BE84" i="14"/>
  <c r="BE85" i="14" s="1"/>
  <c r="BE86" i="14" s="1"/>
  <c r="BE87" i="14" s="1"/>
  <c r="BK588" i="14"/>
  <c r="BK589" i="14" s="1"/>
  <c r="BK590" i="14" s="1"/>
  <c r="BK591" i="14" s="1"/>
  <c r="BG444" i="14"/>
  <c r="BG445" i="14" s="1"/>
  <c r="BG446" i="14" s="1"/>
  <c r="AU636" i="14"/>
  <c r="AU637" i="14" s="1"/>
  <c r="AU638" i="14" s="1"/>
  <c r="AW648" i="14"/>
  <c r="AW649" i="14" s="1"/>
  <c r="BO504" i="14"/>
  <c r="BO505" i="14" s="1"/>
  <c r="BA156" i="14"/>
  <c r="BQ72" i="14"/>
  <c r="BG84" i="14"/>
  <c r="BE504" i="14"/>
  <c r="BE505" i="14" s="1"/>
  <c r="BE506" i="14" s="1"/>
  <c r="BE507" i="14" s="1"/>
  <c r="BO48" i="14"/>
  <c r="BE120" i="14"/>
  <c r="BG648" i="14"/>
  <c r="AY180" i="14"/>
  <c r="BK384" i="14"/>
  <c r="BK385" i="14" s="1"/>
  <c r="BK386" i="14" s="1"/>
  <c r="BK387" i="14" s="1"/>
  <c r="BK388" i="14" s="1"/>
  <c r="BK672" i="14"/>
  <c r="BK673" i="14" s="1"/>
  <c r="BK674" i="14" s="1"/>
  <c r="BK675" i="14" s="1"/>
  <c r="BK676" i="14" s="1"/>
  <c r="BM204" i="14"/>
  <c r="AW612" i="14"/>
  <c r="AW613" i="14" s="1"/>
  <c r="BK252" i="14"/>
  <c r="BK253" i="14" s="1"/>
  <c r="AW504" i="14"/>
  <c r="BG540" i="14"/>
  <c r="BG541" i="14" s="1"/>
  <c r="BG542" i="14" s="1"/>
  <c r="AY528" i="14"/>
  <c r="BO348" i="14"/>
  <c r="BI252" i="14"/>
  <c r="BI253" i="14" s="1"/>
  <c r="AY660" i="14"/>
  <c r="BI576" i="14"/>
  <c r="BK216" i="14"/>
  <c r="BK217" i="14" s="1"/>
  <c r="BC552" i="14"/>
  <c r="AU504" i="14"/>
  <c r="AU505" i="14" s="1"/>
  <c r="AU506" i="14" s="1"/>
  <c r="BO456" i="14"/>
  <c r="BO457" i="14" s="1"/>
  <c r="BO458" i="14" s="1"/>
  <c r="BO459" i="14" s="1"/>
  <c r="BO460" i="14" s="1"/>
  <c r="BO492" i="14"/>
  <c r="BO493" i="14" s="1"/>
  <c r="BO494" i="14" s="1"/>
  <c r="AY588" i="14"/>
  <c r="BM168" i="14"/>
  <c r="BM169" i="14" s="1"/>
  <c r="BO600" i="14"/>
  <c r="BO601" i="14" s="1"/>
  <c r="BO602" i="14" s="1"/>
  <c r="BO603" i="14" s="1"/>
  <c r="BO604" i="14" s="1"/>
  <c r="BG120" i="14"/>
  <c r="BC468" i="14"/>
  <c r="BA600" i="14"/>
  <c r="BO300" i="14"/>
  <c r="BO301" i="14" s="1"/>
  <c r="BO302" i="14" s="1"/>
  <c r="BO303" i="14" s="1"/>
  <c r="BO304" i="14" s="1"/>
  <c r="AW468" i="14"/>
  <c r="AW469" i="14" s="1"/>
  <c r="AW470" i="14" s="1"/>
  <c r="BE264" i="14"/>
  <c r="AU492" i="14"/>
  <c r="AU493" i="14" s="1"/>
  <c r="AU494" i="14" s="1"/>
  <c r="AW480" i="14"/>
  <c r="BM492" i="14"/>
  <c r="BM493" i="14" s="1"/>
  <c r="BM494" i="14" s="1"/>
  <c r="BI468" i="14"/>
  <c r="BI469" i="14" s="1"/>
  <c r="BI470" i="14" s="1"/>
  <c r="BA192" i="14"/>
  <c r="AY276" i="14"/>
  <c r="AY277" i="14" s="1"/>
  <c r="AY672" i="14"/>
  <c r="AW240" i="14"/>
  <c r="AW241" i="14" s="1"/>
  <c r="AW242" i="14" s="1"/>
  <c r="BG132" i="14"/>
  <c r="BG252" i="14"/>
  <c r="AW144" i="14"/>
  <c r="BC588" i="14"/>
  <c r="BC589" i="14" s="1"/>
  <c r="BC590" i="14" s="1"/>
  <c r="BC591" i="14" s="1"/>
  <c r="BO156" i="14"/>
  <c r="BO157" i="14" s="1"/>
  <c r="BI300" i="14"/>
  <c r="BI528" i="14"/>
  <c r="BI529" i="14" s="1"/>
  <c r="AY540" i="14"/>
  <c r="AY541" i="14" s="1"/>
  <c r="BQ180" i="14"/>
  <c r="BQ181" i="14" s="1"/>
  <c r="AW336" i="14"/>
  <c r="AW337" i="14" s="1"/>
  <c r="AW338" i="14" s="1"/>
  <c r="AU468" i="14"/>
  <c r="AW420" i="14"/>
  <c r="BI324" i="14"/>
  <c r="AY264" i="14"/>
  <c r="AY265" i="14" s="1"/>
  <c r="AY266" i="14" s="1"/>
  <c r="AY267" i="14" s="1"/>
  <c r="AY420" i="14"/>
  <c r="BQ624" i="14"/>
  <c r="AW72" i="14"/>
  <c r="AW73" i="14" s="1"/>
  <c r="BE60" i="14"/>
  <c r="BE61" i="14" s="1"/>
  <c r="BE62" i="14" s="1"/>
  <c r="BQ528" i="14"/>
  <c r="BC432" i="14"/>
  <c r="BK528" i="14"/>
  <c r="BK529" i="14" s="1"/>
  <c r="BG312" i="14"/>
  <c r="BC276" i="14"/>
  <c r="BC277" i="14" s="1"/>
  <c r="BC278" i="14" s="1"/>
  <c r="BQ300" i="14"/>
  <c r="BQ301" i="14" s="1"/>
  <c r="BQ302" i="14" s="1"/>
  <c r="BQ36" i="14"/>
  <c r="AU288" i="14"/>
  <c r="AU289" i="14" s="1"/>
  <c r="AU290" i="14" s="1"/>
  <c r="BE168" i="14"/>
  <c r="AU168" i="14"/>
  <c r="AU169" i="14" s="1"/>
  <c r="BO168" i="14"/>
  <c r="BC516" i="14"/>
  <c r="AW588" i="14"/>
  <c r="BG384" i="14"/>
  <c r="BG385" i="14" s="1"/>
  <c r="BG386" i="14" s="1"/>
  <c r="BG144" i="14"/>
  <c r="BG145" i="14" s="1"/>
  <c r="BQ204" i="14"/>
  <c r="BQ205" i="14" s="1"/>
  <c r="BQ206" i="14" s="1"/>
  <c r="BG336" i="14"/>
  <c r="BG337" i="14" s="1"/>
  <c r="BI348" i="14"/>
  <c r="BE636" i="14"/>
  <c r="BE637" i="14" s="1"/>
  <c r="BE638" i="14" s="1"/>
  <c r="AU324" i="14"/>
  <c r="AU325" i="14" s="1"/>
  <c r="AU326" i="14" s="1"/>
  <c r="AU327" i="14" s="1"/>
  <c r="BM48" i="14"/>
  <c r="BM49" i="14" s="1"/>
  <c r="BO312" i="14"/>
  <c r="BO313" i="14" s="1"/>
  <c r="BO314" i="14" s="1"/>
  <c r="BM84" i="14"/>
  <c r="BM85" i="14" s="1"/>
  <c r="BM564" i="14"/>
  <c r="BM565" i="14" s="1"/>
  <c r="AY312" i="14"/>
  <c r="BI552" i="14"/>
  <c r="BM480" i="14"/>
  <c r="BM481" i="14" s="1"/>
  <c r="BG420" i="14"/>
  <c r="BG421" i="14" s="1"/>
  <c r="BG422" i="14" s="1"/>
  <c r="BG423" i="14" s="1"/>
  <c r="BI564" i="14"/>
  <c r="BQ276" i="14"/>
  <c r="AU648" i="14"/>
  <c r="BI228" i="14"/>
  <c r="BE228" i="14"/>
  <c r="BE229" i="14" s="1"/>
  <c r="BE230" i="14" s="1"/>
  <c r="BA108" i="14"/>
  <c r="BA109" i="14" s="1"/>
  <c r="BA110" i="14" s="1"/>
  <c r="BA111" i="14" s="1"/>
  <c r="BK552" i="14"/>
  <c r="BK553" i="14" s="1"/>
  <c r="AW60" i="14"/>
  <c r="BO552" i="14"/>
  <c r="BO516" i="14"/>
  <c r="BO517" i="14" s="1"/>
  <c r="AU156" i="14"/>
  <c r="BQ264" i="14"/>
  <c r="AW300" i="14"/>
  <c r="AU432" i="14"/>
  <c r="AU433" i="14" s="1"/>
  <c r="AU434" i="14" s="1"/>
  <c r="AU435" i="14" s="1"/>
  <c r="AU436" i="14" s="1"/>
  <c r="AU437" i="14" s="1"/>
  <c r="AU438" i="14" s="1"/>
  <c r="AU439" i="14" s="1"/>
  <c r="AU440" i="14" s="1"/>
  <c r="BG528" i="14"/>
  <c r="BG529" i="14" s="1"/>
  <c r="BG530" i="14" s="1"/>
  <c r="BG531" i="14" s="1"/>
  <c r="BA672" i="14"/>
  <c r="BM600" i="14"/>
  <c r="BM432" i="14"/>
  <c r="BA48" i="14"/>
  <c r="BA49" i="14" s="1"/>
  <c r="BA50" i="14" s="1"/>
  <c r="BA51" i="14" s="1"/>
  <c r="BA52" i="14" s="1"/>
  <c r="BM312" i="14"/>
  <c r="BM313" i="14" s="1"/>
  <c r="AY456" i="14"/>
  <c r="AU540" i="14"/>
  <c r="AU541" i="14" s="1"/>
  <c r="AY624" i="14"/>
  <c r="AY625" i="14" s="1"/>
  <c r="AY626" i="14" s="1"/>
  <c r="BE312" i="14"/>
  <c r="BE313" i="14" s="1"/>
  <c r="BE314" i="14" s="1"/>
  <c r="BE315" i="14" s="1"/>
  <c r="AU588" i="14"/>
  <c r="BC504" i="14"/>
  <c r="BE132" i="14"/>
  <c r="BK276" i="14"/>
  <c r="BK277" i="14" s="1"/>
  <c r="BK278" i="14" s="1"/>
  <c r="BK279" i="14" s="1"/>
  <c r="AY192" i="14"/>
  <c r="BE432" i="14"/>
  <c r="BI192" i="14"/>
  <c r="BK96" i="14"/>
  <c r="BI204" i="14"/>
  <c r="BG192" i="14"/>
  <c r="BG193" i="14" s="1"/>
  <c r="BG194" i="14" s="1"/>
  <c r="BG195" i="14" s="1"/>
  <c r="BG196" i="14" s="1"/>
  <c r="BQ228" i="14"/>
  <c r="BQ372" i="14"/>
  <c r="BG96" i="14"/>
  <c r="BG97" i="14" s="1"/>
  <c r="BA360" i="14"/>
  <c r="BG168" i="14"/>
  <c r="BA252" i="14"/>
  <c r="BA253" i="14" s="1"/>
  <c r="AU180" i="14"/>
  <c r="AU181" i="14" s="1"/>
  <c r="AW540" i="14"/>
  <c r="AW541" i="14" s="1"/>
  <c r="AW542" i="14" s="1"/>
  <c r="AW543" i="14" s="1"/>
  <c r="BE528" i="14"/>
  <c r="BC60" i="14"/>
  <c r="AY108" i="14"/>
  <c r="BE672" i="14"/>
  <c r="BE673" i="14" s="1"/>
  <c r="AW252" i="14"/>
  <c r="BC360" i="14"/>
  <c r="BC361" i="14" s="1"/>
  <c r="BC362" i="14" s="1"/>
  <c r="BC363" i="14" s="1"/>
  <c r="BK480" i="14"/>
  <c r="AY168" i="14"/>
  <c r="BQ144" i="14"/>
  <c r="BC420" i="14"/>
  <c r="BC421" i="14" s="1"/>
  <c r="BA288" i="14"/>
  <c r="BC192" i="14"/>
  <c r="AU192" i="14"/>
  <c r="BA564" i="14"/>
  <c r="BA565" i="14" s="1"/>
  <c r="BG624" i="14"/>
  <c r="BG625" i="14" s="1"/>
  <c r="BI624" i="14"/>
  <c r="AU360" i="14"/>
  <c r="AU361" i="14" s="1"/>
  <c r="AY384" i="14"/>
  <c r="AY120" i="14"/>
  <c r="AY121" i="14" s="1"/>
  <c r="AY122" i="14" s="1"/>
  <c r="AY123" i="14" s="1"/>
  <c r="BI132" i="14"/>
  <c r="BI133" i="14" s="1"/>
  <c r="BI134" i="14" s="1"/>
  <c r="BI135" i="14" s="1"/>
  <c r="BO372" i="14"/>
  <c r="BO373" i="14" s="1"/>
  <c r="BO374" i="14" s="1"/>
  <c r="BK576" i="14"/>
  <c r="AW636" i="14"/>
  <c r="AW637" i="14" s="1"/>
  <c r="BA444" i="14"/>
  <c r="BG360" i="14"/>
  <c r="BG361" i="14" s="1"/>
  <c r="BE216" i="14"/>
  <c r="BE192" i="14"/>
  <c r="BE193" i="14" s="1"/>
  <c r="BG480" i="14"/>
  <c r="BG481" i="14" s="1"/>
  <c r="BG482" i="14" s="1"/>
  <c r="BG483" i="14" s="1"/>
  <c r="BG484" i="14" s="1"/>
  <c r="AU516" i="14"/>
  <c r="AW372" i="14"/>
  <c r="BO588" i="14"/>
  <c r="BO132" i="14"/>
  <c r="BG672" i="14"/>
  <c r="AY132" i="14"/>
  <c r="AY133" i="14" s="1"/>
  <c r="BG180" i="14"/>
  <c r="BG181" i="14" s="1"/>
  <c r="BG182" i="14" s="1"/>
  <c r="AY468" i="14"/>
  <c r="AY469" i="14" s="1"/>
  <c r="BM108" i="14"/>
  <c r="BM516" i="14"/>
  <c r="BM517" i="14" s="1"/>
  <c r="AU48" i="14"/>
  <c r="AY564" i="14"/>
  <c r="BC216" i="14"/>
  <c r="BC217" i="14" s="1"/>
  <c r="BC218" i="14" s="1"/>
  <c r="BC219" i="14" s="1"/>
  <c r="BM288" i="14"/>
  <c r="BM289" i="14" s="1"/>
  <c r="BM290" i="14" s="1"/>
  <c r="AW108" i="14"/>
  <c r="AW109" i="14" s="1"/>
  <c r="AU576" i="14"/>
  <c r="BC336" i="14"/>
  <c r="BC337" i="14" s="1"/>
  <c r="BI612" i="14"/>
  <c r="BA240" i="14"/>
  <c r="AW408" i="14"/>
  <c r="AW409" i="14" s="1"/>
  <c r="DI41" i="14"/>
  <c r="BQ600" i="14"/>
  <c r="BQ601" i="14" s="1"/>
  <c r="BA216" i="14"/>
  <c r="AW528" i="14"/>
  <c r="BM180" i="14"/>
  <c r="BA468" i="14"/>
  <c r="BM612" i="14"/>
  <c r="BM613" i="14" s="1"/>
  <c r="BM614" i="14" s="1"/>
  <c r="BI120" i="14"/>
  <c r="BI121" i="14" s="1"/>
  <c r="BI122" i="14" s="1"/>
  <c r="BQ288" i="14"/>
  <c r="BO624" i="14"/>
  <c r="BK120" i="14"/>
  <c r="BK121" i="14" s="1"/>
  <c r="BK122" i="14" s="1"/>
  <c r="BK336" i="14"/>
  <c r="AU84" i="14"/>
  <c r="AU85" i="14" s="1"/>
  <c r="AU86" i="14" s="1"/>
  <c r="AU87" i="14" s="1"/>
  <c r="BE444" i="14"/>
  <c r="BQ192" i="14"/>
  <c r="BO564" i="14"/>
  <c r="AW660" i="14"/>
  <c r="BE492" i="14"/>
  <c r="BE493" i="14" s="1"/>
  <c r="BA540" i="14"/>
  <c r="BC372" i="14"/>
  <c r="BC480" i="14"/>
  <c r="BC481" i="14" s="1"/>
  <c r="BI408" i="14"/>
  <c r="BI409" i="14" s="1"/>
  <c r="BI410" i="14" s="1"/>
  <c r="AW672" i="14"/>
  <c r="BK516" i="14"/>
  <c r="BE372" i="14"/>
  <c r="AY252" i="14"/>
  <c r="AY444" i="14"/>
  <c r="AY600" i="14"/>
  <c r="BQ84" i="14"/>
  <c r="BQ85" i="14" s="1"/>
  <c r="BI420" i="14"/>
  <c r="BI421" i="14" s="1"/>
  <c r="BI422" i="14" s="1"/>
  <c r="AW564" i="14"/>
  <c r="BO384" i="14"/>
  <c r="BO385" i="14" s="1"/>
  <c r="BO386" i="14" s="1"/>
  <c r="BQ660" i="14"/>
  <c r="BQ456" i="14"/>
  <c r="BG216" i="14"/>
  <c r="BG217" i="14" s="1"/>
  <c r="BG218" i="14" s="1"/>
  <c r="BE156" i="14"/>
  <c r="BE157" i="14" s="1"/>
  <c r="BE158" i="14" s="1"/>
  <c r="BA84" i="14"/>
  <c r="BE420" i="14"/>
  <c r="AW264" i="14"/>
  <c r="AU444" i="14"/>
  <c r="BM60" i="14"/>
  <c r="BM61" i="14" s="1"/>
  <c r="BG576" i="14"/>
  <c r="BG577" i="14" s="1"/>
  <c r="BG578" i="14" s="1"/>
  <c r="BE552" i="14"/>
  <c r="BC168" i="14"/>
  <c r="BC169" i="14" s="1"/>
  <c r="BO360" i="14"/>
  <c r="BO180" i="14"/>
  <c r="BC444" i="14"/>
  <c r="BK168" i="14"/>
  <c r="BK396" i="14"/>
  <c r="BK397" i="14" s="1"/>
  <c r="BE564" i="14"/>
  <c r="BE565" i="14" s="1"/>
  <c r="BE566" i="14" s="1"/>
  <c r="BE567" i="14" s="1"/>
  <c r="BM216" i="14"/>
  <c r="BK468" i="14"/>
  <c r="AU408" i="14"/>
  <c r="AU409" i="14" s="1"/>
  <c r="AU410" i="14" s="1"/>
  <c r="BO264" i="14"/>
  <c r="BO265" i="14" s="1"/>
  <c r="BO266" i="14" s="1"/>
  <c r="BG636" i="14"/>
  <c r="BG637" i="14" s="1"/>
  <c r="BC408" i="14"/>
  <c r="BO576" i="14"/>
  <c r="BO577" i="14" s="1"/>
  <c r="AY156" i="14"/>
  <c r="AW516" i="14"/>
  <c r="AW348" i="14"/>
  <c r="BQ156" i="14"/>
  <c r="AW432" i="14"/>
  <c r="AU528" i="14"/>
  <c r="AU228" i="14"/>
  <c r="AU229" i="14" s="1"/>
  <c r="AU230" i="14" s="1"/>
  <c r="BO336" i="14"/>
  <c r="BG660" i="14"/>
  <c r="BA504" i="14"/>
  <c r="BQ216" i="14"/>
  <c r="BQ217" i="14" s="1"/>
  <c r="BM132" i="14"/>
  <c r="BM133" i="14" s="1"/>
  <c r="BM240" i="14"/>
  <c r="BM241" i="14" s="1"/>
  <c r="BM242" i="14" s="1"/>
  <c r="BM243" i="14" s="1"/>
  <c r="AW492" i="14"/>
  <c r="AY336" i="14"/>
  <c r="AY636" i="14"/>
  <c r="AY637" i="14" s="1"/>
  <c r="AU480" i="14"/>
  <c r="AU481" i="14" s="1"/>
  <c r="AU482" i="14" s="1"/>
  <c r="BC264" i="14"/>
  <c r="AY504" i="14"/>
  <c r="AY505" i="14" s="1"/>
  <c r="BE456" i="14"/>
  <c r="BA588" i="14"/>
  <c r="AW48" i="14"/>
  <c r="AW49" i="14" s="1"/>
  <c r="AW50" i="14" s="1"/>
  <c r="BO108" i="14"/>
  <c r="BC564" i="14"/>
  <c r="BI72" i="14"/>
  <c r="BQ648" i="14"/>
  <c r="BQ649" i="14" s="1"/>
  <c r="BQ650" i="14" s="1"/>
  <c r="BQ651" i="14" s="1"/>
  <c r="AY432" i="14"/>
  <c r="AY433" i="14" s="1"/>
  <c r="AY408" i="14"/>
  <c r="BA180" i="14"/>
  <c r="BQ384" i="14"/>
  <c r="BC120" i="14"/>
  <c r="BC121" i="14" s="1"/>
  <c r="BE348" i="14"/>
  <c r="AW324" i="14"/>
  <c r="BO660" i="14"/>
  <c r="BO661" i="14" s="1"/>
  <c r="BO662" i="14" s="1"/>
  <c r="BO663" i="14" s="1"/>
  <c r="BI240" i="14"/>
  <c r="BI241" i="14" s="1"/>
  <c r="BI242" i="14" s="1"/>
  <c r="BI243" i="14" s="1"/>
  <c r="BI244" i="14" s="1"/>
  <c r="BI245" i="14" s="1"/>
  <c r="BI246" i="14" s="1"/>
  <c r="AU384" i="14"/>
  <c r="BK108" i="14"/>
  <c r="BK109" i="14" s="1"/>
  <c r="AW600" i="14"/>
  <c r="AU240" i="14"/>
  <c r="AY204" i="14"/>
  <c r="BE576" i="14"/>
  <c r="BE577" i="14" s="1"/>
  <c r="AY228" i="14"/>
  <c r="BA660" i="14"/>
  <c r="BM144" i="14"/>
  <c r="BG516" i="14"/>
  <c r="BG517" i="14" s="1"/>
  <c r="BG518" i="14" s="1"/>
  <c r="BG519" i="14" s="1"/>
  <c r="BC648" i="14"/>
  <c r="BI84" i="14"/>
  <c r="AY348" i="14"/>
  <c r="AY349" i="14" s="1"/>
  <c r="AY350" i="14" s="1"/>
  <c r="BC612" i="14"/>
  <c r="BC613" i="14" s="1"/>
  <c r="BC614" i="14" s="1"/>
  <c r="BC615" i="14" s="1"/>
  <c r="BA648" i="14"/>
  <c r="BA649" i="14" s="1"/>
  <c r="BQ360" i="14"/>
  <c r="BC72" i="14"/>
  <c r="AU348" i="14"/>
  <c r="AU264" i="14"/>
  <c r="AU265" i="14" s="1"/>
  <c r="BI96" i="14"/>
  <c r="BI97" i="14" s="1"/>
  <c r="BK612" i="14"/>
  <c r="BG240" i="14"/>
  <c r="BO468" i="14"/>
  <c r="BO469" i="14" s="1"/>
  <c r="BI396" i="14"/>
  <c r="BI397" i="14" s="1"/>
  <c r="BI398" i="14" s="1"/>
  <c r="BA384" i="14"/>
  <c r="AW444" i="14"/>
  <c r="BI540" i="14"/>
  <c r="BA420" i="14"/>
  <c r="BA421" i="14" s="1"/>
  <c r="BA422" i="14" s="1"/>
  <c r="BE360" i="14"/>
  <c r="BE361" i="14" s="1"/>
  <c r="BE362" i="14" s="1"/>
  <c r="BC636" i="14"/>
  <c r="BE240" i="14"/>
  <c r="BO612" i="14"/>
  <c r="BQ312" i="14"/>
  <c r="BC492" i="14"/>
  <c r="BE48" i="14"/>
  <c r="BO324" i="14"/>
  <c r="BQ60" i="14"/>
  <c r="BK648" i="14"/>
  <c r="BM672" i="14"/>
  <c r="BM673" i="14" s="1"/>
  <c r="BE396" i="14"/>
  <c r="AU600" i="14"/>
  <c r="BK312" i="14"/>
  <c r="BK313" i="14" s="1"/>
  <c r="BK314" i="14" s="1"/>
  <c r="BG456" i="14"/>
  <c r="BG408" i="14"/>
  <c r="BG409" i="14" s="1"/>
  <c r="BG410" i="14" s="1"/>
  <c r="AW552" i="14"/>
  <c r="BO636" i="14"/>
  <c r="BK72" i="14"/>
  <c r="BK73" i="14" s="1"/>
  <c r="BK74" i="14" s="1"/>
  <c r="BK75" i="14" s="1"/>
  <c r="BI372" i="14"/>
  <c r="AU96" i="14"/>
  <c r="BM72" i="14"/>
  <c r="AU108" i="14"/>
  <c r="BE96" i="14"/>
  <c r="BI516" i="14"/>
  <c r="BK192" i="14"/>
  <c r="AU276" i="14"/>
  <c r="AU277" i="14" s="1"/>
  <c r="AU336" i="14"/>
  <c r="AU337" i="14" s="1"/>
  <c r="AU338" i="14" s="1"/>
  <c r="BC624" i="14"/>
  <c r="BC625" i="14" s="1"/>
  <c r="BQ588" i="14"/>
  <c r="BC156" i="14"/>
  <c r="BG372" i="14"/>
  <c r="BA96" i="14"/>
  <c r="BO240" i="14"/>
  <c r="BO241" i="14" s="1"/>
  <c r="BO242" i="14" s="1"/>
  <c r="BO396" i="14"/>
  <c r="BO397" i="14" s="1"/>
  <c r="BK408" i="14"/>
  <c r="BK432" i="14"/>
  <c r="BE108" i="14"/>
  <c r="BE109" i="14" s="1"/>
  <c r="AW156" i="14"/>
  <c r="AW157" i="14" s="1"/>
  <c r="BK492" i="14"/>
  <c r="BK288" i="14"/>
  <c r="BK289" i="14" s="1"/>
  <c r="AW384" i="14"/>
  <c r="AW385" i="14" s="1"/>
  <c r="AW386" i="14" s="1"/>
  <c r="BQ132" i="14"/>
  <c r="BQ408" i="14"/>
  <c r="BA168" i="14"/>
  <c r="AY360" i="14"/>
  <c r="BK204" i="14"/>
  <c r="BK205" i="14" s="1"/>
  <c r="BI108" i="14"/>
  <c r="BI109" i="14" s="1"/>
  <c r="BC660" i="14"/>
  <c r="BA336" i="14"/>
  <c r="BQ252" i="14"/>
  <c r="BQ253" i="14" s="1"/>
  <c r="BQ254" i="14" s="1"/>
  <c r="BA528" i="14"/>
  <c r="BA552" i="14"/>
  <c r="BM360" i="14"/>
  <c r="BQ516" i="14"/>
  <c r="BQ517" i="14" s="1"/>
  <c r="BQ518" i="14" s="1"/>
  <c r="BG288" i="14"/>
  <c r="BG289" i="14" s="1"/>
  <c r="BG290" i="14" s="1"/>
  <c r="BG291" i="14" s="1"/>
  <c r="AU672" i="14"/>
  <c r="BM156" i="14"/>
  <c r="BM157" i="14" s="1"/>
  <c r="BG108" i="14"/>
  <c r="AW396" i="14"/>
  <c r="BE144" i="14"/>
  <c r="BM276" i="14"/>
  <c r="BM277" i="14" s="1"/>
  <c r="BM278" i="14" s="1"/>
  <c r="BA480" i="14"/>
  <c r="BI636" i="14"/>
  <c r="BM396" i="14"/>
  <c r="BG228" i="14"/>
  <c r="BG229" i="14" s="1"/>
  <c r="BA492" i="14"/>
  <c r="BE384" i="14"/>
  <c r="BM624" i="14"/>
  <c r="AW192" i="14"/>
  <c r="AW193" i="14" s="1"/>
  <c r="AW194" i="14" s="1"/>
  <c r="AW195" i="14" s="1"/>
  <c r="AW196" i="14" s="1"/>
  <c r="BG588" i="14"/>
  <c r="AW360" i="14"/>
  <c r="BQ492" i="14"/>
  <c r="BQ493" i="14" s="1"/>
  <c r="BO252" i="14"/>
  <c r="BO253" i="14" s="1"/>
  <c r="BK600" i="14"/>
  <c r="BM588" i="14"/>
  <c r="BM589" i="14" s="1"/>
  <c r="BM590" i="14" s="1"/>
  <c r="AW180" i="14"/>
  <c r="AW576" i="14"/>
  <c r="BQ432" i="14"/>
  <c r="AW456" i="14"/>
  <c r="AW457" i="14" s="1"/>
  <c r="AW458" i="14" s="1"/>
  <c r="AW459" i="14" s="1"/>
  <c r="DI40" i="14"/>
  <c r="BE600" i="14"/>
  <c r="BI180" i="14"/>
  <c r="BM336" i="14"/>
  <c r="BM337" i="14" s="1"/>
  <c r="BM338" i="14" s="1"/>
  <c r="BM339" i="14" s="1"/>
  <c r="BE612" i="14"/>
  <c r="BE613" i="14" s="1"/>
  <c r="BE614" i="14" s="1"/>
  <c r="BE615" i="14" s="1"/>
  <c r="BE660" i="14"/>
  <c r="BM504" i="14"/>
  <c r="BM528" i="14"/>
  <c r="BI588" i="14"/>
  <c r="BI589" i="14" s="1"/>
  <c r="BI590" i="14" s="1"/>
  <c r="BE540" i="14"/>
  <c r="BE588" i="14"/>
  <c r="AW288" i="14"/>
  <c r="BI384" i="14"/>
  <c r="BI385" i="14" s="1"/>
  <c r="BQ108" i="14"/>
  <c r="BC456" i="14"/>
  <c r="BO60" i="14"/>
  <c r="BO120" i="14"/>
  <c r="AY552" i="14"/>
  <c r="AY553" i="14" s="1"/>
  <c r="AY554" i="14" s="1"/>
  <c r="AY555" i="14" s="1"/>
  <c r="BI492" i="14"/>
  <c r="BK180" i="14"/>
  <c r="BK181" i="14" s="1"/>
  <c r="BE180" i="14"/>
  <c r="BQ120" i="14"/>
  <c r="BQ121" i="14" s="1"/>
  <c r="BO144" i="14"/>
  <c r="BO145" i="14" s="1"/>
  <c r="BO146" i="14" s="1"/>
  <c r="BO147" i="14" s="1"/>
  <c r="AW132" i="14"/>
  <c r="AW133" i="14" s="1"/>
  <c r="AW134" i="14" s="1"/>
  <c r="AW135" i="14" s="1"/>
  <c r="BA312" i="14"/>
  <c r="AU144" i="14"/>
  <c r="AU145" i="14" s="1"/>
  <c r="BQ48" i="14"/>
  <c r="BC144" i="14"/>
  <c r="BC145" i="14" s="1"/>
  <c r="BC146" i="14" s="1"/>
  <c r="BC147" i="14" s="1"/>
  <c r="AU300" i="14"/>
  <c r="BI444" i="14"/>
  <c r="BM648" i="14"/>
  <c r="BM649" i="14" s="1"/>
  <c r="BM96" i="14"/>
  <c r="BM97" i="14" s="1"/>
  <c r="BM98" i="14" s="1"/>
  <c r="BM99" i="14" s="1"/>
  <c r="BK228" i="14"/>
  <c r="AY480" i="14"/>
  <c r="BG552" i="14"/>
  <c r="AY84" i="14"/>
  <c r="AU252" i="14"/>
  <c r="AY576" i="14"/>
  <c r="BM300" i="14"/>
  <c r="AU72" i="14"/>
  <c r="AU73" i="14" s="1"/>
  <c r="AU74" i="14" s="1"/>
  <c r="AU372" i="14"/>
  <c r="BC96" i="14"/>
  <c r="BC132" i="14"/>
  <c r="BG468" i="14"/>
  <c r="BA432" i="14"/>
  <c r="BC672" i="14"/>
  <c r="BC673" i="14" s="1"/>
  <c r="BC674" i="14" s="1"/>
  <c r="BK540" i="14"/>
  <c r="BK541" i="14" s="1"/>
  <c r="BK542" i="14" s="1"/>
  <c r="BG348" i="14"/>
  <c r="BE204" i="14"/>
  <c r="BK504" i="14"/>
  <c r="BC312" i="14"/>
  <c r="BA144" i="14"/>
  <c r="BA145" i="14" s="1"/>
  <c r="BA146" i="14" s="1"/>
  <c r="BI288" i="14"/>
  <c r="BI289" i="14" s="1"/>
  <c r="BG492" i="14"/>
  <c r="BG493" i="14" s="1"/>
  <c r="BG494" i="14" s="1"/>
  <c r="BG495" i="14" s="1"/>
  <c r="BC288" i="14"/>
  <c r="BO540" i="14"/>
  <c r="BO541" i="14" s="1"/>
  <c r="BO542" i="14" s="1"/>
  <c r="BQ672" i="14"/>
  <c r="AW204" i="14"/>
  <c r="BQ96" i="14"/>
  <c r="BQ97" i="14" s="1"/>
  <c r="BA228" i="14"/>
  <c r="AY240" i="14"/>
  <c r="AY241" i="14" s="1"/>
  <c r="AY242" i="14" s="1"/>
  <c r="BE648" i="14"/>
  <c r="AW120" i="14"/>
  <c r="AU60" i="14"/>
  <c r="AU552" i="14"/>
  <c r="BE336" i="14"/>
  <c r="BE324" i="14"/>
  <c r="BE325" i="14" s="1"/>
  <c r="BE326" i="14" s="1"/>
  <c r="BE327" i="14" s="1"/>
  <c r="BG60" i="14"/>
  <c r="BK240" i="14"/>
  <c r="BO444" i="14"/>
  <c r="BA396" i="14"/>
  <c r="AY324" i="14"/>
  <c r="BG204" i="14"/>
  <c r="AY516" i="14"/>
  <c r="AY517" i="14" s="1"/>
  <c r="AY518" i="14" s="1"/>
  <c r="AY519" i="14" s="1"/>
  <c r="BK84" i="14"/>
  <c r="BC228" i="14"/>
  <c r="BK636" i="14"/>
  <c r="BI672" i="14"/>
  <c r="BC576" i="14"/>
  <c r="BC577" i="14" s="1"/>
  <c r="BC578" i="14" s="1"/>
  <c r="BC579" i="14" s="1"/>
  <c r="BC580" i="14" s="1"/>
  <c r="BO216" i="14"/>
  <c r="BO217" i="14" s="1"/>
  <c r="BO218" i="14" s="1"/>
  <c r="BM228" i="14"/>
  <c r="BQ240" i="14"/>
  <c r="BQ241" i="14" s="1"/>
  <c r="BQ242" i="14" s="1"/>
  <c r="BO288" i="14"/>
  <c r="BC348" i="14"/>
  <c r="AU120" i="14"/>
  <c r="AW312" i="14"/>
  <c r="AW313" i="14" s="1"/>
  <c r="BK420" i="14"/>
  <c r="AU216" i="14"/>
  <c r="AU217" i="14" s="1"/>
  <c r="AU218" i="14" s="1"/>
  <c r="AU219" i="14" s="1"/>
  <c r="BM420" i="14"/>
  <c r="BI144" i="14"/>
  <c r="BI145" i="14" s="1"/>
  <c r="AW276" i="14"/>
  <c r="AW277" i="14" s="1"/>
  <c r="BQ612" i="14"/>
  <c r="BQ396" i="14"/>
  <c r="AU612" i="14"/>
  <c r="BG564" i="14"/>
  <c r="BG612" i="14"/>
  <c r="BG613" i="14" s="1"/>
  <c r="BG614" i="14" s="1"/>
  <c r="BQ420" i="14"/>
  <c r="BM444" i="14"/>
  <c r="BI264" i="14"/>
  <c r="AU456" i="14"/>
  <c r="AW84" i="14"/>
  <c r="AW85" i="14" s="1"/>
  <c r="BE516" i="14"/>
  <c r="BE517" i="14" s="1"/>
  <c r="BE518" i="14" s="1"/>
  <c r="BE519" i="14" s="1"/>
  <c r="BE520" i="14" s="1"/>
  <c r="AU396" i="14"/>
  <c r="BA60" i="14"/>
  <c r="BA300" i="14"/>
  <c r="BA301" i="14" s="1"/>
  <c r="BI504" i="14"/>
  <c r="BC84" i="14"/>
  <c r="BC85" i="14" s="1"/>
  <c r="BC86" i="14" s="1"/>
  <c r="AU204" i="14"/>
  <c r="AU205" i="14" s="1"/>
  <c r="AU206" i="14" s="1"/>
  <c r="BQ348" i="14"/>
  <c r="BQ468" i="14"/>
  <c r="BQ469" i="14" s="1"/>
  <c r="BQ470" i="14" s="1"/>
  <c r="BQ471" i="14" s="1"/>
  <c r="BM660" i="14"/>
  <c r="AY216" i="14"/>
  <c r="AY217" i="14" s="1"/>
  <c r="AY218" i="14" s="1"/>
  <c r="BM552" i="14"/>
  <c r="BA516" i="14"/>
  <c r="BC528" i="14"/>
  <c r="BC529" i="14" s="1"/>
  <c r="AW96" i="14"/>
  <c r="AW97" i="14" s="1"/>
  <c r="AW98" i="14" s="1"/>
  <c r="AW99" i="14" s="1"/>
  <c r="AU660" i="14"/>
  <c r="BA120" i="14"/>
  <c r="AY96" i="14"/>
  <c r="AY97" i="14" s="1"/>
  <c r="BA348" i="14"/>
  <c r="BO192" i="14"/>
  <c r="BC204" i="14"/>
  <c r="BC205" i="14" s="1"/>
  <c r="BC206" i="14" s="1"/>
  <c r="BI456" i="14"/>
  <c r="BA624" i="14"/>
  <c r="BA625" i="14" s="1"/>
  <c r="BO528" i="14"/>
  <c r="BO529" i="14" s="1"/>
  <c r="BI276" i="14"/>
  <c r="BA204" i="14"/>
  <c r="BI480" i="14"/>
  <c r="BI336" i="14"/>
  <c r="BE288" i="14"/>
  <c r="BE289" i="14" s="1"/>
  <c r="BE290" i="14" s="1"/>
  <c r="BG72" i="14"/>
  <c r="BG73" i="14" s="1"/>
  <c r="BM636" i="14"/>
  <c r="BI312" i="14"/>
  <c r="BK360" i="14"/>
  <c r="BO672" i="14"/>
  <c r="BE72" i="14"/>
  <c r="BE408" i="14"/>
  <c r="BI156" i="14"/>
  <c r="BI157" i="14" s="1"/>
  <c r="BC396" i="14"/>
  <c r="BC600" i="14"/>
  <c r="BC601" i="14" s="1"/>
  <c r="BC602" i="14" s="1"/>
  <c r="BM468" i="14"/>
  <c r="BG600" i="14"/>
  <c r="BG396" i="14"/>
  <c r="BG397" i="14" s="1"/>
  <c r="AJ48" i="43"/>
  <c r="E47" i="43" s="1"/>
  <c r="DG43" i="14"/>
  <c r="DH43" i="14" s="1"/>
  <c r="BL276" i="14"/>
  <c r="BD527" i="14"/>
  <c r="AV191" i="14"/>
  <c r="BN563" i="14"/>
  <c r="BN263" i="14"/>
  <c r="AV71" i="14"/>
  <c r="BN419" i="14"/>
  <c r="BJ107" i="14"/>
  <c r="AX659" i="14"/>
  <c r="AZ155" i="14"/>
  <c r="AZ575" i="14"/>
  <c r="BD479" i="14"/>
  <c r="AX479" i="14"/>
  <c r="BB587" i="14"/>
  <c r="BL239" i="14"/>
  <c r="BL407" i="14"/>
  <c r="AV623" i="14"/>
  <c r="BD467" i="14"/>
  <c r="BJ599" i="14"/>
  <c r="AX419" i="14"/>
  <c r="BL71" i="14"/>
  <c r="BJ95" i="14"/>
  <c r="AX95" i="14"/>
  <c r="BR59" i="14"/>
  <c r="BB179" i="14"/>
  <c r="AX179" i="14"/>
  <c r="AV143" i="14"/>
  <c r="BL387" i="14"/>
  <c r="BL491" i="14"/>
  <c r="BB419" i="14"/>
  <c r="BN443" i="14"/>
  <c r="AZ599" i="14"/>
  <c r="AZ215" i="14"/>
  <c r="AV420" i="14"/>
  <c r="BF302" i="14"/>
  <c r="BL107" i="14"/>
  <c r="BL60" i="14"/>
  <c r="AV83" i="14"/>
  <c r="BP144" i="14"/>
  <c r="BR83" i="14"/>
  <c r="BD107" i="14"/>
  <c r="BB83" i="14"/>
  <c r="AX311" i="14"/>
  <c r="BD167" i="14"/>
  <c r="AZ287" i="14"/>
  <c r="AZ311" i="14"/>
  <c r="BP659" i="14"/>
  <c r="AX167" i="14"/>
  <c r="BP407" i="14"/>
  <c r="BF611" i="14"/>
  <c r="AZ191" i="14"/>
  <c r="BH263" i="14"/>
  <c r="BH384" i="14"/>
  <c r="BP611" i="14"/>
  <c r="AX107" i="14"/>
  <c r="AZ347" i="14"/>
  <c r="BL203" i="14"/>
  <c r="BJ335" i="14"/>
  <c r="BD431" i="14"/>
  <c r="BD576" i="14"/>
  <c r="BB263" i="14"/>
  <c r="BR107" i="14"/>
  <c r="BB671" i="14"/>
  <c r="BN241" i="14"/>
  <c r="BN59" i="14"/>
  <c r="BJ96" i="14"/>
  <c r="BD579" i="14"/>
  <c r="BB167" i="14"/>
  <c r="BN242" i="14"/>
  <c r="BF527" i="14"/>
  <c r="AV251" i="14"/>
  <c r="BH180" i="14"/>
  <c r="BF167" i="14"/>
  <c r="AX671" i="14"/>
  <c r="BH359" i="14"/>
  <c r="AZ143" i="14"/>
  <c r="BF371" i="14"/>
  <c r="BF299" i="14"/>
  <c r="BP203" i="14"/>
  <c r="BN323" i="14"/>
  <c r="BP240" i="14"/>
  <c r="BP455" i="14"/>
  <c r="BP493" i="14"/>
  <c r="AV599" i="14"/>
  <c r="BR539" i="14"/>
  <c r="AV505" i="14"/>
  <c r="BL191" i="14"/>
  <c r="AZ432" i="14"/>
  <c r="BB107" i="14"/>
  <c r="BB443" i="14"/>
  <c r="BD407" i="14"/>
  <c r="AX239" i="14"/>
  <c r="BN431" i="14"/>
  <c r="BP383" i="14"/>
  <c r="AV433" i="14"/>
  <c r="BD612" i="14"/>
  <c r="BF335" i="14"/>
  <c r="BD611" i="14"/>
  <c r="BH481" i="14"/>
  <c r="BL251" i="14"/>
  <c r="BR215" i="14"/>
  <c r="BH420" i="14"/>
  <c r="BB455" i="14"/>
  <c r="AX336" i="14"/>
  <c r="BL335" i="14"/>
  <c r="BP433" i="14"/>
  <c r="BH325" i="14"/>
  <c r="BL383" i="14"/>
  <c r="BD635" i="14"/>
  <c r="BP599" i="14"/>
  <c r="AZ95" i="14"/>
  <c r="BF47" i="14"/>
  <c r="BH59" i="14"/>
  <c r="BH443" i="14"/>
  <c r="BD335" i="14"/>
  <c r="BH527" i="14"/>
  <c r="BN395" i="14"/>
  <c r="BH383" i="14"/>
  <c r="BJ108" i="14"/>
  <c r="AZ383" i="14"/>
  <c r="BL635" i="14"/>
  <c r="BP179" i="14"/>
  <c r="BB395" i="14"/>
  <c r="BN143" i="14"/>
  <c r="BR419" i="14"/>
  <c r="AV263" i="14"/>
  <c r="BH422" i="14"/>
  <c r="BN359" i="14"/>
  <c r="BJ647" i="14"/>
  <c r="BH575" i="14"/>
  <c r="BP347" i="14"/>
  <c r="BD239" i="14"/>
  <c r="BF468" i="14"/>
  <c r="BD85" i="14"/>
  <c r="BR431" i="14"/>
  <c r="AX71" i="14"/>
  <c r="BP47" i="14"/>
  <c r="AX83" i="14"/>
  <c r="BR479" i="14"/>
  <c r="AV227" i="14"/>
  <c r="BP492" i="14"/>
  <c r="BL395" i="14"/>
  <c r="BB383" i="14"/>
  <c r="BP491" i="14"/>
  <c r="BB359" i="14"/>
  <c r="BL567" i="14"/>
  <c r="BN251" i="14"/>
  <c r="BP215" i="14"/>
  <c r="AX383" i="14"/>
  <c r="BL675" i="14"/>
  <c r="BH503" i="14"/>
  <c r="BR336" i="14"/>
  <c r="BB623" i="14"/>
  <c r="BR155" i="14"/>
  <c r="BL204" i="14"/>
  <c r="BB636" i="14"/>
  <c r="BP287" i="14"/>
  <c r="BN265" i="14"/>
  <c r="AV179" i="14"/>
  <c r="BH611" i="14"/>
  <c r="BR480" i="14"/>
  <c r="BH431" i="14"/>
  <c r="BN240" i="14"/>
  <c r="BB527" i="14"/>
  <c r="BP71" i="14"/>
  <c r="BR47" i="14"/>
  <c r="BJ371" i="14"/>
  <c r="AV359" i="14"/>
  <c r="BL479" i="14"/>
  <c r="BR551" i="14"/>
  <c r="BF432" i="14"/>
  <c r="BF503" i="14"/>
  <c r="BD491" i="14"/>
  <c r="BD539" i="14"/>
  <c r="AZ611" i="14"/>
  <c r="BR301" i="14"/>
  <c r="BN335" i="14"/>
  <c r="BJ527" i="14"/>
  <c r="BB131" i="14"/>
  <c r="BD299" i="14"/>
  <c r="AZ431" i="14"/>
  <c r="AV59" i="14"/>
  <c r="BL552" i="14"/>
  <c r="BP443" i="14"/>
  <c r="BJ551" i="14"/>
  <c r="BN503" i="14"/>
  <c r="BL313" i="14"/>
  <c r="BD143" i="14"/>
  <c r="AV371" i="14"/>
  <c r="BF565" i="14"/>
  <c r="AV229" i="14"/>
  <c r="BJ299" i="14"/>
  <c r="BL565" i="14"/>
  <c r="AZ59" i="14"/>
  <c r="BD119" i="14"/>
  <c r="BP276" i="14"/>
  <c r="AX168" i="14"/>
  <c r="BD515" i="14"/>
  <c r="AV337" i="14"/>
  <c r="BH433" i="14"/>
  <c r="AZ323" i="14"/>
  <c r="AX455" i="14"/>
  <c r="BL626" i="14"/>
  <c r="BL385" i="14"/>
  <c r="BN191" i="14"/>
  <c r="AX194" i="14"/>
  <c r="AV575" i="14"/>
  <c r="BB119" i="14"/>
  <c r="BL215" i="14"/>
  <c r="BH671" i="14"/>
  <c r="BR119" i="14"/>
  <c r="AV539" i="14"/>
  <c r="BD383" i="14"/>
  <c r="AZ407" i="14"/>
  <c r="AV421" i="14"/>
  <c r="AZ491" i="14"/>
  <c r="BJ408" i="14"/>
  <c r="BH539" i="14"/>
  <c r="BR635" i="14"/>
  <c r="BL611" i="14"/>
  <c r="BF455" i="14"/>
  <c r="BF263" i="14"/>
  <c r="BJ659" i="14"/>
  <c r="BB95" i="14"/>
  <c r="BB191" i="14"/>
  <c r="BL590" i="14"/>
  <c r="BF539" i="14"/>
  <c r="BL131" i="14"/>
  <c r="BR95" i="14"/>
  <c r="BN467" i="14"/>
  <c r="BR359" i="14"/>
  <c r="BB276" i="14"/>
  <c r="BL467" i="14"/>
  <c r="BJ419" i="14"/>
  <c r="BD395" i="14"/>
  <c r="BH299" i="14"/>
  <c r="BF311" i="14"/>
  <c r="BJ407" i="14"/>
  <c r="AV264" i="14"/>
  <c r="BR347" i="14"/>
  <c r="AX467" i="14"/>
  <c r="BR407" i="14"/>
  <c r="AX541" i="14"/>
  <c r="BF563" i="14"/>
  <c r="BB640" i="14"/>
  <c r="BL83" i="14"/>
  <c r="BN623" i="14"/>
  <c r="BH395" i="14"/>
  <c r="BJ443" i="14"/>
  <c r="BN288" i="14"/>
  <c r="BL431" i="14"/>
  <c r="BL563" i="14"/>
  <c r="BR337" i="14"/>
  <c r="BB203" i="14"/>
  <c r="BR527" i="14"/>
  <c r="BB323" i="14"/>
  <c r="BJ323" i="14"/>
  <c r="AV503" i="14"/>
  <c r="BJ359" i="14"/>
  <c r="BF419" i="14"/>
  <c r="BH287" i="14"/>
  <c r="BH371" i="14"/>
  <c r="BF671" i="14"/>
  <c r="BP204" i="14"/>
  <c r="BD326" i="14"/>
  <c r="BN131" i="14"/>
  <c r="BR239" i="14"/>
  <c r="BF239" i="14"/>
  <c r="AX287" i="14"/>
  <c r="BP95" i="14"/>
  <c r="AV107" i="14"/>
  <c r="AZ47" i="14"/>
  <c r="BB347" i="14"/>
  <c r="BF71" i="14"/>
  <c r="BR647" i="14"/>
  <c r="AX191" i="14"/>
  <c r="BF431" i="14"/>
  <c r="BP479" i="14"/>
  <c r="AZ659" i="14"/>
  <c r="BR227" i="14"/>
  <c r="BB503" i="14"/>
  <c r="BF566" i="14"/>
  <c r="BB635" i="14"/>
  <c r="BB539" i="14"/>
  <c r="BP649" i="14"/>
  <c r="AX192" i="14"/>
  <c r="AV203" i="14"/>
  <c r="BF59" i="14"/>
  <c r="BL349" i="14"/>
  <c r="AV407" i="14"/>
  <c r="AV443" i="14"/>
  <c r="BD95" i="14"/>
  <c r="AZ503" i="14"/>
  <c r="BF479" i="14"/>
  <c r="AX624" i="14"/>
  <c r="BL74" i="14"/>
  <c r="BD623" i="14"/>
  <c r="BN215" i="14"/>
  <c r="BF86" i="14"/>
  <c r="BD503" i="14"/>
  <c r="BB515" i="14"/>
  <c r="AV119" i="14"/>
  <c r="BH445" i="14"/>
  <c r="AV167" i="14"/>
  <c r="BP191" i="14"/>
  <c r="AX647" i="14"/>
  <c r="BF587" i="14"/>
  <c r="BH95" i="14"/>
  <c r="BB335" i="14"/>
  <c r="BP432" i="14"/>
  <c r="BH107" i="14"/>
  <c r="BH181" i="14"/>
  <c r="AX563" i="14"/>
  <c r="BN492" i="14"/>
  <c r="BP299" i="14"/>
  <c r="AV455" i="14"/>
  <c r="BB371" i="14"/>
  <c r="BR287" i="14"/>
  <c r="BL671" i="14"/>
  <c r="BR599" i="14"/>
  <c r="AZ455" i="14"/>
  <c r="BL227" i="14"/>
  <c r="BJ648" i="14"/>
  <c r="BD347" i="14"/>
  <c r="BN527" i="14"/>
  <c r="BB638" i="14"/>
  <c r="BL287" i="14"/>
  <c r="BB611" i="14"/>
  <c r="BP467" i="14"/>
  <c r="AX335" i="14"/>
  <c r="BR623" i="14"/>
  <c r="BH227" i="14"/>
  <c r="AZ527" i="14"/>
  <c r="AV437" i="14"/>
  <c r="BF599" i="14"/>
  <c r="AX203" i="14"/>
  <c r="BJ383" i="14"/>
  <c r="AV335" i="14"/>
  <c r="AZ359" i="14"/>
  <c r="AZ515" i="14"/>
  <c r="BN48" i="14"/>
  <c r="BJ244" i="14"/>
  <c r="AX169" i="14"/>
  <c r="BH551" i="14"/>
  <c r="BL359" i="14"/>
  <c r="AZ227" i="14"/>
  <c r="AX59" i="14"/>
  <c r="BD359" i="14"/>
  <c r="BF83" i="14"/>
  <c r="AZ551" i="14"/>
  <c r="AZ275" i="14"/>
  <c r="AX527" i="14"/>
  <c r="BJ649" i="14"/>
  <c r="AX635" i="14"/>
  <c r="BF505" i="14"/>
  <c r="BP503" i="14"/>
  <c r="BL263" i="14"/>
  <c r="BD251" i="14"/>
  <c r="BD155" i="14"/>
  <c r="AX119" i="14"/>
  <c r="BH515" i="14"/>
  <c r="AV84" i="14"/>
  <c r="BF576" i="14"/>
  <c r="AV85" i="14"/>
  <c r="AZ107" i="14"/>
  <c r="BP59" i="14"/>
  <c r="AX431" i="14"/>
  <c r="BD419" i="14"/>
  <c r="BB48" i="14"/>
  <c r="BD263" i="14"/>
  <c r="AV435" i="14"/>
  <c r="BL119" i="14"/>
  <c r="BN539" i="14"/>
  <c r="BH71" i="14"/>
  <c r="BH324" i="14"/>
  <c r="BB311" i="14"/>
  <c r="BB467" i="14"/>
  <c r="BR443" i="14"/>
  <c r="BL311" i="14"/>
  <c r="BP527" i="14"/>
  <c r="AZ396" i="14"/>
  <c r="BL564" i="14"/>
  <c r="BL179" i="14"/>
  <c r="BR649" i="14"/>
  <c r="AZ203" i="14"/>
  <c r="BN124" i="14"/>
  <c r="BL503" i="14"/>
  <c r="BL347" i="14"/>
  <c r="BD614" i="14"/>
  <c r="AX371" i="14"/>
  <c r="BL566" i="14"/>
  <c r="BP335" i="14"/>
  <c r="BH311" i="14"/>
  <c r="BD276" i="14"/>
  <c r="BL323" i="14"/>
  <c r="BR371" i="14"/>
  <c r="BJ191" i="14"/>
  <c r="BD551" i="14"/>
  <c r="BD277" i="14"/>
  <c r="AZ131" i="14"/>
  <c r="AX359" i="14"/>
  <c r="BJ251" i="14"/>
  <c r="BD599" i="14"/>
  <c r="BD647" i="14"/>
  <c r="BF155" i="14"/>
  <c r="AZ539" i="14"/>
  <c r="AZ479" i="14"/>
  <c r="BN493" i="14"/>
  <c r="BR71" i="14"/>
  <c r="BN119" i="14"/>
  <c r="BP205" i="14"/>
  <c r="BD659" i="14"/>
  <c r="AZ395" i="14"/>
  <c r="BL625" i="14"/>
  <c r="AV218" i="14"/>
  <c r="BB563" i="14"/>
  <c r="BD287" i="14"/>
  <c r="BF551" i="14"/>
  <c r="AX575" i="14"/>
  <c r="BR575" i="14"/>
  <c r="BP372" i="14"/>
  <c r="AX542" i="14"/>
  <c r="BR563" i="14"/>
  <c r="BD671" i="14"/>
  <c r="BD371" i="14"/>
  <c r="BN289" i="14"/>
  <c r="BJ491" i="14"/>
  <c r="BJ623" i="14"/>
  <c r="BP143" i="14"/>
  <c r="BJ83" i="14"/>
  <c r="AV299" i="14"/>
  <c r="BR35" i="14"/>
  <c r="BB47" i="14"/>
  <c r="BF119" i="14"/>
  <c r="BN551" i="14"/>
  <c r="BJ239" i="14"/>
  <c r="BP563" i="14"/>
  <c r="BP359" i="14"/>
  <c r="AZ647" i="14"/>
  <c r="BR467" i="14"/>
  <c r="BJ503" i="14"/>
  <c r="BN95" i="14"/>
  <c r="BJ347" i="14"/>
  <c r="AX251" i="14"/>
  <c r="BH635" i="14"/>
  <c r="BL59" i="14"/>
  <c r="AX551" i="14"/>
  <c r="AZ299" i="14"/>
  <c r="DI42" i="14" a="1"/>
  <c r="AV311" i="14"/>
  <c r="BJ47" i="14"/>
  <c r="BD179" i="14"/>
  <c r="BH576" i="14"/>
  <c r="BN47" i="14"/>
  <c r="BB407" i="14"/>
  <c r="BP371" i="14"/>
  <c r="AZ119" i="14"/>
  <c r="BP155" i="14"/>
  <c r="AZ239" i="14"/>
  <c r="BH194" i="14"/>
  <c r="BN455" i="14"/>
  <c r="BB275" i="14"/>
  <c r="BD563" i="14"/>
  <c r="BR263" i="14"/>
  <c r="BJ59" i="14"/>
  <c r="BF407" i="14"/>
  <c r="BJ155" i="14"/>
  <c r="AX491" i="14"/>
  <c r="BL371" i="14"/>
  <c r="AV347" i="14"/>
  <c r="BP83" i="14"/>
  <c r="BN647" i="14"/>
  <c r="BF564" i="14"/>
  <c r="BP575" i="14"/>
  <c r="BB637" i="14"/>
  <c r="BJ611" i="14"/>
  <c r="BD362" i="14"/>
  <c r="BP395" i="14"/>
  <c r="BN155" i="14"/>
  <c r="AX503" i="14"/>
  <c r="BN479" i="14"/>
  <c r="BN611" i="14"/>
  <c r="BP623" i="14"/>
  <c r="BF467" i="14"/>
  <c r="BR671" i="14"/>
  <c r="BR299" i="14"/>
  <c r="BL277" i="14"/>
  <c r="BP635" i="14"/>
  <c r="AZ251" i="14"/>
  <c r="BB575" i="14"/>
  <c r="AX395" i="14"/>
  <c r="BJ119" i="14"/>
  <c r="BJ143" i="14"/>
  <c r="AZ671" i="14"/>
  <c r="BR275" i="14"/>
  <c r="BH421" i="14"/>
  <c r="BR648" i="14"/>
  <c r="BP323" i="14"/>
  <c r="BF252" i="14"/>
  <c r="BR300" i="14"/>
  <c r="BN311" i="14"/>
  <c r="AV422" i="14"/>
  <c r="BH326" i="14"/>
  <c r="AV515" i="14"/>
  <c r="BP131" i="14"/>
  <c r="BF323" i="14"/>
  <c r="BL419" i="14"/>
  <c r="AZ443" i="14"/>
  <c r="BR383" i="14"/>
  <c r="AV491" i="14"/>
  <c r="BD360" i="14"/>
  <c r="AV323" i="14"/>
  <c r="AX623" i="14"/>
  <c r="BL444" i="14"/>
  <c r="BF383" i="14"/>
  <c r="BJ167" i="14"/>
  <c r="AV671" i="14"/>
  <c r="BF359" i="14"/>
  <c r="BR203" i="14"/>
  <c r="BP311" i="14"/>
  <c r="BF623" i="14"/>
  <c r="AV228" i="14"/>
  <c r="BL348" i="14"/>
  <c r="BH491" i="14"/>
  <c r="BJ467" i="14"/>
  <c r="BH179" i="14"/>
  <c r="AV551" i="14"/>
  <c r="AZ263" i="14"/>
  <c r="BL299" i="14"/>
  <c r="BH482" i="14"/>
  <c r="BF227" i="14"/>
  <c r="BP73" i="14"/>
  <c r="BB299" i="14"/>
  <c r="BR251" i="14"/>
  <c r="AZ97" i="14"/>
  <c r="BJ539" i="14"/>
  <c r="AV659" i="14"/>
  <c r="BJ242" i="14"/>
  <c r="BP251" i="14"/>
  <c r="BB277" i="14"/>
  <c r="AV635" i="14"/>
  <c r="BF443" i="14"/>
  <c r="AX648" i="14"/>
  <c r="BD47" i="14"/>
  <c r="AZ290" i="14"/>
  <c r="BH275" i="14"/>
  <c r="AV215" i="14"/>
  <c r="BD323" i="14"/>
  <c r="BN275" i="14"/>
  <c r="BR482" i="14"/>
  <c r="BL659" i="14"/>
  <c r="BH419" i="14"/>
  <c r="BP216" i="14"/>
  <c r="BD215" i="14"/>
  <c r="BJ263" i="14"/>
  <c r="BN515" i="14"/>
  <c r="BD443" i="14"/>
  <c r="BF469" i="14"/>
  <c r="AX515" i="14"/>
  <c r="BL167" i="14"/>
  <c r="AV647" i="14"/>
  <c r="BD590" i="14"/>
  <c r="BD71" i="14"/>
  <c r="BH563" i="14"/>
  <c r="BF61" i="14"/>
  <c r="BN491" i="14"/>
  <c r="BP239" i="14"/>
  <c r="BN671" i="14"/>
  <c r="BL575" i="14"/>
  <c r="BJ479" i="14"/>
  <c r="BJ455" i="14"/>
  <c r="BN276" i="14"/>
  <c r="BR180" i="14"/>
  <c r="BL95" i="14"/>
  <c r="BF347" i="14"/>
  <c r="BB599" i="14"/>
  <c r="BF647" i="14"/>
  <c r="BH155" i="14"/>
  <c r="AV95" i="14"/>
  <c r="BF85" i="14"/>
  <c r="BJ469" i="14"/>
  <c r="AX263" i="14"/>
  <c r="BL47" i="14"/>
  <c r="BF84" i="14"/>
  <c r="BB59" i="14"/>
  <c r="BJ587" i="14"/>
  <c r="BF143" i="14"/>
  <c r="BF95" i="14"/>
  <c r="BD227" i="14"/>
  <c r="BF659" i="14"/>
  <c r="BF504" i="14"/>
  <c r="BF515" i="14"/>
  <c r="BB479" i="14"/>
  <c r="AX587" i="14"/>
  <c r="BB287" i="14"/>
  <c r="BR515" i="14"/>
  <c r="BN347" i="14"/>
  <c r="BH335" i="14"/>
  <c r="AV395" i="14"/>
  <c r="AX407" i="14"/>
  <c r="BB659" i="14"/>
  <c r="BJ671" i="14"/>
  <c r="BH407" i="14"/>
  <c r="BD191" i="14"/>
  <c r="BL624" i="14"/>
  <c r="BD203" i="14"/>
  <c r="BL72" i="14"/>
  <c r="BF191" i="14"/>
  <c r="AZ288" i="14"/>
  <c r="AX275" i="14"/>
  <c r="BJ575" i="14"/>
  <c r="BB647" i="14"/>
  <c r="AV563" i="14"/>
  <c r="BR491" i="14"/>
  <c r="BH467" i="14"/>
  <c r="BF179" i="14"/>
  <c r="AV326" i="14"/>
  <c r="AX155" i="14"/>
  <c r="BF506" i="14"/>
  <c r="AX347" i="14"/>
  <c r="AV479" i="14"/>
  <c r="BJ395" i="14"/>
  <c r="BR455" i="14"/>
  <c r="BB278" i="14"/>
  <c r="AV275" i="14"/>
  <c r="BB551" i="14"/>
  <c r="BF251" i="14"/>
  <c r="BP227" i="14"/>
  <c r="BH192" i="14"/>
  <c r="BN83" i="14"/>
  <c r="BJ179" i="14"/>
  <c r="BJ311" i="14"/>
  <c r="BH191" i="14"/>
  <c r="BH432" i="14"/>
  <c r="BN71" i="14"/>
  <c r="BP119" i="14"/>
  <c r="BP145" i="14"/>
  <c r="BJ515" i="14"/>
  <c r="BN203" i="14"/>
  <c r="BR659" i="14"/>
  <c r="AV169" i="14"/>
  <c r="BN565" i="14"/>
  <c r="BH587" i="14"/>
  <c r="BR650" i="14"/>
  <c r="BL386" i="14"/>
  <c r="BF637" i="14"/>
  <c r="BF254" i="14"/>
  <c r="AZ635" i="14"/>
  <c r="BJ71" i="14"/>
  <c r="BB143" i="14"/>
  <c r="BJ131" i="14"/>
  <c r="BR503" i="14"/>
  <c r="BN371" i="14"/>
  <c r="BD59" i="14"/>
  <c r="BN167" i="14"/>
  <c r="BP587" i="14"/>
  <c r="BH239" i="14"/>
  <c r="BR504" i="14"/>
  <c r="BP431" i="14"/>
  <c r="AV431" i="14"/>
  <c r="AV504" i="14"/>
  <c r="BP504" i="14"/>
  <c r="AV587" i="14"/>
  <c r="BL647" i="14"/>
  <c r="BN312" i="14"/>
  <c r="BD275" i="14"/>
  <c r="AZ587" i="14"/>
  <c r="BF395" i="14"/>
  <c r="BP647" i="14"/>
  <c r="AX443" i="14"/>
  <c r="AZ613" i="14"/>
  <c r="BP458" i="14"/>
  <c r="BD131" i="14"/>
  <c r="BL155" i="14"/>
  <c r="BL515" i="14"/>
  <c r="BH83" i="14"/>
  <c r="AX215" i="14"/>
  <c r="BD83" i="14"/>
  <c r="AV467" i="14"/>
  <c r="BL73" i="14"/>
  <c r="BL143" i="14"/>
  <c r="BB491" i="14"/>
  <c r="BP303" i="14"/>
  <c r="BF300" i="14"/>
  <c r="BR179" i="14"/>
  <c r="AV324" i="14"/>
  <c r="BL455" i="14"/>
  <c r="AX323" i="14"/>
  <c r="BD455" i="14"/>
  <c r="BJ227" i="14"/>
  <c r="BR311" i="14"/>
  <c r="BL527" i="14"/>
  <c r="AX611" i="14"/>
  <c r="AZ623" i="14"/>
  <c r="BL539" i="14"/>
  <c r="BR611" i="14"/>
  <c r="BL599" i="14"/>
  <c r="AZ71" i="14"/>
  <c r="BF287" i="14"/>
  <c r="BN575" i="14"/>
  <c r="BP515" i="14"/>
  <c r="BP107" i="14"/>
  <c r="BP275" i="14"/>
  <c r="BH47" i="14"/>
  <c r="AV204" i="14"/>
  <c r="BN287" i="14"/>
  <c r="BR131" i="14"/>
  <c r="AV217" i="14"/>
  <c r="AV131" i="14"/>
  <c r="BB227" i="14"/>
  <c r="BN227" i="14"/>
  <c r="AV419" i="14"/>
  <c r="BR564" i="14"/>
  <c r="BF107" i="14"/>
  <c r="BN239" i="14"/>
  <c r="BL587" i="14"/>
  <c r="BJ240" i="14"/>
  <c r="BF575" i="14"/>
  <c r="BR167" i="14"/>
  <c r="BN659" i="14"/>
  <c r="AZ419" i="14"/>
  <c r="BN587" i="14"/>
  <c r="BN60" i="14"/>
  <c r="BB639" i="14"/>
  <c r="AV47" i="14"/>
  <c r="BP671" i="14"/>
  <c r="BJ215" i="14"/>
  <c r="AZ335" i="14"/>
  <c r="BJ203" i="14"/>
  <c r="BL134" i="14"/>
  <c r="DI43" i="14" a="1"/>
  <c r="BH167" i="14"/>
  <c r="BP277" i="14"/>
  <c r="AZ614" i="14"/>
  <c r="BJ287" i="14"/>
  <c r="AZ179" i="14"/>
  <c r="AZ467" i="14"/>
  <c r="BN407" i="14"/>
  <c r="BJ120" i="14"/>
  <c r="AX143" i="14"/>
  <c r="BR191" i="14"/>
  <c r="BN179" i="14"/>
  <c r="BH203" i="14"/>
  <c r="BF156" i="14"/>
  <c r="BP551" i="14"/>
  <c r="BL551" i="14"/>
  <c r="BB215" i="14"/>
  <c r="BB641" i="14"/>
  <c r="BP241" i="14"/>
  <c r="AV239" i="14"/>
  <c r="BP167" i="14"/>
  <c r="BH455" i="14"/>
  <c r="AZ120" i="14"/>
  <c r="BP419" i="14"/>
  <c r="BR481" i="14"/>
  <c r="BB51" i="14"/>
  <c r="AZ371" i="14"/>
  <c r="BL673" i="14"/>
  <c r="BB431" i="14"/>
  <c r="AZ132" i="14"/>
  <c r="BN349" i="14"/>
  <c r="BR96" i="14"/>
  <c r="AX131" i="14"/>
  <c r="BN383" i="14"/>
  <c r="BP539" i="14"/>
  <c r="BF491" i="14"/>
  <c r="AX299" i="14"/>
  <c r="BH479" i="14"/>
  <c r="BR587" i="14"/>
  <c r="BH251" i="14"/>
  <c r="BD587" i="14"/>
  <c r="BB239" i="14"/>
  <c r="BH623" i="14"/>
  <c r="AV383" i="14"/>
  <c r="BH659" i="14"/>
  <c r="BR335" i="14"/>
  <c r="BF60" i="14"/>
  <c r="BL443" i="14"/>
  <c r="BH577" i="14"/>
  <c r="AZ83" i="14"/>
  <c r="BD575" i="14"/>
  <c r="BL275" i="14"/>
  <c r="BP301" i="14"/>
  <c r="BD311" i="14"/>
  <c r="BP650" i="14"/>
  <c r="AX599" i="14"/>
  <c r="BF301" i="14"/>
  <c r="AV155" i="14"/>
  <c r="BN299" i="14"/>
  <c r="BB155" i="14"/>
  <c r="BN635" i="14"/>
  <c r="BJ288" i="14"/>
  <c r="BH119" i="14"/>
  <c r="BH347" i="14"/>
  <c r="BN264" i="14"/>
  <c r="BR143" i="14"/>
  <c r="BH143" i="14"/>
  <c r="BB71" i="14"/>
  <c r="BF470" i="14"/>
  <c r="BN599" i="14"/>
  <c r="BH599" i="14"/>
  <c r="AX47" i="14"/>
  <c r="BF131" i="14"/>
  <c r="AX227" i="14"/>
  <c r="AZ372" i="14"/>
  <c r="BF215" i="14"/>
  <c r="BJ563" i="14"/>
  <c r="BF203" i="14"/>
  <c r="BR395" i="14"/>
  <c r="AZ167" i="14"/>
  <c r="BF635" i="14"/>
  <c r="BB251" i="14"/>
  <c r="BF253" i="14"/>
  <c r="AV611" i="14"/>
  <c r="BL384" i="14"/>
  <c r="BF636" i="14"/>
  <c r="BH323" i="14"/>
  <c r="BP576" i="14"/>
  <c r="BF275" i="14"/>
  <c r="BH647" i="14"/>
  <c r="BL623" i="14"/>
  <c r="BH483" i="14"/>
  <c r="BH131" i="14"/>
  <c r="BF228" i="14"/>
  <c r="AZ563" i="14"/>
  <c r="AV527" i="14"/>
  <c r="BP263" i="14"/>
  <c r="BJ431" i="14"/>
  <c r="BH215" i="14"/>
  <c r="BP302" i="14"/>
  <c r="BJ635" i="14"/>
  <c r="BN107" i="14"/>
  <c r="BB564" i="14"/>
  <c r="BR323" i="14"/>
  <c r="AX539" i="14"/>
  <c r="BJ275" i="14"/>
  <c r="AV287" i="14"/>
  <c r="AX157" i="14"/>
  <c r="BC97" i="14" l="1"/>
  <c r="BC98" i="14" s="1"/>
  <c r="BC99" i="14" s="1"/>
  <c r="BC397" i="14"/>
  <c r="BM661" i="14"/>
  <c r="BM662" i="14" s="1"/>
  <c r="BK433" i="14"/>
  <c r="AW650" i="14"/>
  <c r="AW651" i="14" s="1"/>
  <c r="BM445" i="14"/>
  <c r="AY74" i="14"/>
  <c r="BK458" i="14"/>
  <c r="BK459" i="14" s="1"/>
  <c r="AW638" i="14"/>
  <c r="BG265" i="14"/>
  <c r="BG266" i="14" s="1"/>
  <c r="AW86" i="14"/>
  <c r="BM625" i="14"/>
  <c r="BK398" i="14"/>
  <c r="BI61" i="14"/>
  <c r="BM650" i="14"/>
  <c r="BM651" i="14" s="1"/>
  <c r="BE457" i="14"/>
  <c r="BG205" i="14"/>
  <c r="BK290" i="14"/>
  <c r="BK291" i="14" s="1"/>
  <c r="BK292" i="14" s="1"/>
  <c r="BI50" i="14"/>
  <c r="BI337" i="14"/>
  <c r="BE194" i="14"/>
  <c r="BE195" i="14" s="1"/>
  <c r="AU625" i="14"/>
  <c r="BA433" i="14"/>
  <c r="AU278" i="14"/>
  <c r="AU529" i="14"/>
  <c r="BE133" i="14"/>
  <c r="AY301" i="14"/>
  <c r="BO121" i="14"/>
  <c r="BO122" i="14" s="1"/>
  <c r="BO664" i="14"/>
  <c r="AU182" i="14"/>
  <c r="AW74" i="14"/>
  <c r="AW75" i="14" s="1"/>
  <c r="BO349" i="14"/>
  <c r="BO350" i="14" s="1"/>
  <c r="BO481" i="14"/>
  <c r="AU146" i="14"/>
  <c r="BI637" i="14"/>
  <c r="BM73" i="14"/>
  <c r="BA661" i="14"/>
  <c r="AY157" i="14"/>
  <c r="BO565" i="14"/>
  <c r="BQ373" i="14"/>
  <c r="BO315" i="14"/>
  <c r="BO316" i="14" s="1"/>
  <c r="AU639" i="14"/>
  <c r="BK136" i="14"/>
  <c r="BK137" i="14" s="1"/>
  <c r="BI290" i="14"/>
  <c r="BA313" i="14"/>
  <c r="BA314" i="14" s="1"/>
  <c r="BE589" i="14"/>
  <c r="BA481" i="14"/>
  <c r="BA482" i="14" s="1"/>
  <c r="BE49" i="14"/>
  <c r="AY409" i="14"/>
  <c r="BO578" i="14"/>
  <c r="BE553" i="14"/>
  <c r="BE554" i="14" s="1"/>
  <c r="BQ86" i="14"/>
  <c r="BQ229" i="14"/>
  <c r="AY457" i="14"/>
  <c r="AY458" i="14" s="1"/>
  <c r="AY459" i="14" s="1"/>
  <c r="BQ37" i="14"/>
  <c r="AU469" i="14"/>
  <c r="BA193" i="14"/>
  <c r="BM205" i="14"/>
  <c r="BA73" i="14"/>
  <c r="AY374" i="14"/>
  <c r="BQ566" i="14"/>
  <c r="BK49" i="14"/>
  <c r="BG398" i="14"/>
  <c r="BG399" i="14" s="1"/>
  <c r="AU601" i="14"/>
  <c r="AU193" i="14"/>
  <c r="AW301" i="14"/>
  <c r="AW589" i="14"/>
  <c r="AW145" i="14"/>
  <c r="AW146" i="14" s="1"/>
  <c r="BA601" i="14"/>
  <c r="BG85" i="14"/>
  <c r="BK145" i="14"/>
  <c r="BI158" i="14"/>
  <c r="BA626" i="14"/>
  <c r="BA627" i="14" s="1"/>
  <c r="BQ243" i="14"/>
  <c r="AW577" i="14"/>
  <c r="AW578" i="14" s="1"/>
  <c r="BA337" i="14"/>
  <c r="BK409" i="14"/>
  <c r="BG241" i="14"/>
  <c r="BG242" i="14" s="1"/>
  <c r="BA181" i="14"/>
  <c r="BA182" i="14" s="1"/>
  <c r="BI423" i="14"/>
  <c r="AY470" i="14"/>
  <c r="AW614" i="14"/>
  <c r="BQ638" i="14"/>
  <c r="BA457" i="14"/>
  <c r="BE73" i="14"/>
  <c r="AU613" i="14"/>
  <c r="BE337" i="14"/>
  <c r="BE338" i="14" s="1"/>
  <c r="AY577" i="14"/>
  <c r="BE541" i="14"/>
  <c r="BI110" i="14"/>
  <c r="BO243" i="14"/>
  <c r="BI373" i="14"/>
  <c r="BC493" i="14"/>
  <c r="BC494" i="14" s="1"/>
  <c r="BC495" i="14" s="1"/>
  <c r="BC496" i="14" s="1"/>
  <c r="BI98" i="14"/>
  <c r="BE578" i="14"/>
  <c r="AY434" i="14"/>
  <c r="BC409" i="14"/>
  <c r="BG579" i="14"/>
  <c r="AY601" i="14"/>
  <c r="BE445" i="14"/>
  <c r="AW410" i="14"/>
  <c r="BK421" i="14"/>
  <c r="BI181" i="14"/>
  <c r="BI541" i="14"/>
  <c r="BM615" i="14"/>
  <c r="BM616" i="14" s="1"/>
  <c r="BM482" i="14"/>
  <c r="BI601" i="14"/>
  <c r="BG61" i="14"/>
  <c r="BG62" i="14" s="1"/>
  <c r="BG63" i="14" s="1"/>
  <c r="AW289" i="14"/>
  <c r="BO325" i="14"/>
  <c r="AY169" i="14"/>
  <c r="AY589" i="14"/>
  <c r="AU565" i="14"/>
  <c r="BE265" i="14"/>
  <c r="BO49" i="14"/>
  <c r="BC49" i="14"/>
  <c r="BQ361" i="14"/>
  <c r="BK182" i="14"/>
  <c r="BQ277" i="14"/>
  <c r="BA577" i="14"/>
  <c r="BA578" i="14" s="1"/>
  <c r="BA579" i="14" s="1"/>
  <c r="BA580" i="14" s="1"/>
  <c r="BI625" i="14"/>
  <c r="BI301" i="14"/>
  <c r="BK373" i="14"/>
  <c r="BA505" i="14"/>
  <c r="BA506" i="14" s="1"/>
  <c r="BM373" i="14"/>
  <c r="BM374" i="14" s="1"/>
  <c r="BE661" i="14"/>
  <c r="BE662" i="14" s="1"/>
  <c r="BE663" i="14" s="1"/>
  <c r="BE664" i="14" s="1"/>
  <c r="BC433" i="14"/>
  <c r="BM193" i="14"/>
  <c r="BM194" i="14" s="1"/>
  <c r="BC181" i="14"/>
  <c r="BC182" i="14" s="1"/>
  <c r="BC183" i="14" s="1"/>
  <c r="AW229" i="14"/>
  <c r="AW230" i="14" s="1"/>
  <c r="AW325" i="14"/>
  <c r="AW326" i="14" s="1"/>
  <c r="BO169" i="14"/>
  <c r="BO170" i="14" s="1"/>
  <c r="BO171" i="14" s="1"/>
  <c r="BA205" i="14"/>
  <c r="BA206" i="14" s="1"/>
  <c r="AY361" i="14"/>
  <c r="AU445" i="14"/>
  <c r="AY493" i="14"/>
  <c r="BG277" i="14"/>
  <c r="BG157" i="14"/>
  <c r="BG158" i="14" s="1"/>
  <c r="BM529" i="14"/>
  <c r="BM530" i="14" s="1"/>
  <c r="AU349" i="14"/>
  <c r="AU350" i="14" s="1"/>
  <c r="BA265" i="14"/>
  <c r="BA349" i="14"/>
  <c r="BO133" i="14"/>
  <c r="BQ122" i="14"/>
  <c r="AW397" i="14"/>
  <c r="BO613" i="14"/>
  <c r="AU241" i="14"/>
  <c r="AU242" i="14" s="1"/>
  <c r="BK337" i="14"/>
  <c r="BK338" i="14" s="1"/>
  <c r="BK339" i="14" s="1"/>
  <c r="BE674" i="14"/>
  <c r="BE675" i="14" s="1"/>
  <c r="BI229" i="14"/>
  <c r="BI349" i="14"/>
  <c r="BG373" i="14"/>
  <c r="AY253" i="14"/>
  <c r="BI613" i="14"/>
  <c r="AY542" i="14"/>
  <c r="BC553" i="14"/>
  <c r="BI661" i="14"/>
  <c r="BI662" i="14" s="1"/>
  <c r="BI433" i="14"/>
  <c r="BI169" i="14"/>
  <c r="BI170" i="14" s="1"/>
  <c r="BA410" i="14"/>
  <c r="BG362" i="14"/>
  <c r="BG363" i="14" s="1"/>
  <c r="AY49" i="14"/>
  <c r="BO289" i="14"/>
  <c r="AY638" i="14"/>
  <c r="AY639" i="14" s="1"/>
  <c r="AW661" i="14"/>
  <c r="AY673" i="14"/>
  <c r="AY674" i="14" s="1"/>
  <c r="BO530" i="14"/>
  <c r="BO531" i="14" s="1"/>
  <c r="BQ421" i="14"/>
  <c r="BK241" i="14"/>
  <c r="AU373" i="14"/>
  <c r="BQ49" i="14"/>
  <c r="BQ61" i="14"/>
  <c r="BQ62" i="14" s="1"/>
  <c r="BQ63" i="14" s="1"/>
  <c r="BQ64" i="14" s="1"/>
  <c r="AW565" i="14"/>
  <c r="BM109" i="14"/>
  <c r="BQ145" i="14"/>
  <c r="BE169" i="14"/>
  <c r="BI325" i="14"/>
  <c r="BK254" i="14"/>
  <c r="BK255" i="14" s="1"/>
  <c r="BA133" i="14"/>
  <c r="BE409" i="14"/>
  <c r="BI457" i="14"/>
  <c r="BG565" i="14"/>
  <c r="BM229" i="14"/>
  <c r="BM301" i="14"/>
  <c r="AW181" i="14"/>
  <c r="BC661" i="14"/>
  <c r="BO398" i="14"/>
  <c r="AU97" i="14"/>
  <c r="BK613" i="14"/>
  <c r="AY229" i="14"/>
  <c r="AW493" i="14"/>
  <c r="BQ193" i="14"/>
  <c r="BK481" i="14"/>
  <c r="BK554" i="14"/>
  <c r="BO673" i="14"/>
  <c r="BO193" i="14"/>
  <c r="BC581" i="14"/>
  <c r="AU253" i="14"/>
  <c r="BK206" i="14"/>
  <c r="BA97" i="14"/>
  <c r="BM62" i="14"/>
  <c r="BA241" i="14"/>
  <c r="BG673" i="14"/>
  <c r="AW253" i="14"/>
  <c r="BI205" i="14"/>
  <c r="BA517" i="14"/>
  <c r="BI445" i="14"/>
  <c r="BK169" i="14"/>
  <c r="BK170" i="14" s="1"/>
  <c r="BK325" i="14"/>
  <c r="AU121" i="14"/>
  <c r="BC133" i="14"/>
  <c r="BA493" i="14"/>
  <c r="BA553" i="14"/>
  <c r="BE349" i="14"/>
  <c r="BQ157" i="14"/>
  <c r="BQ158" i="14" s="1"/>
  <c r="BQ159" i="14" s="1"/>
  <c r="BA541" i="14"/>
  <c r="BM181" i="14"/>
  <c r="AU589" i="14"/>
  <c r="AU590" i="14" s="1"/>
  <c r="AU157" i="14"/>
  <c r="AY421" i="14"/>
  <c r="BG121" i="14"/>
  <c r="BG122" i="14" s="1"/>
  <c r="BG505" i="14"/>
  <c r="BQ325" i="14"/>
  <c r="BQ326" i="14" s="1"/>
  <c r="BO85" i="14"/>
  <c r="BE397" i="14"/>
  <c r="AW433" i="14"/>
  <c r="BE217" i="14"/>
  <c r="BE218" i="14" s="1"/>
  <c r="BC517" i="14"/>
  <c r="BQ625" i="14"/>
  <c r="BQ73" i="14"/>
  <c r="BQ577" i="14"/>
  <c r="BC109" i="14"/>
  <c r="BM469" i="14"/>
  <c r="AU301" i="14"/>
  <c r="AU49" i="14"/>
  <c r="BE385" i="14"/>
  <c r="BA469" i="14"/>
  <c r="BI553" i="14"/>
  <c r="AY529" i="14"/>
  <c r="BC253" i="14"/>
  <c r="BG601" i="14"/>
  <c r="AW205" i="14"/>
  <c r="AW206" i="14" s="1"/>
  <c r="BM361" i="14"/>
  <c r="AY565" i="14"/>
  <c r="BQ265" i="14"/>
  <c r="BG253" i="14"/>
  <c r="BM325" i="14"/>
  <c r="BI481" i="14"/>
  <c r="BK493" i="14"/>
  <c r="BK494" i="14" s="1"/>
  <c r="BI85" i="14"/>
  <c r="BC373" i="14"/>
  <c r="BC193" i="14"/>
  <c r="BC469" i="14"/>
  <c r="BE277" i="14"/>
  <c r="BA254" i="14"/>
  <c r="BA325" i="14"/>
  <c r="BC265" i="14"/>
  <c r="BC266" i="14" s="1"/>
  <c r="AW314" i="14"/>
  <c r="AW315" i="14" s="1"/>
  <c r="BE601" i="14"/>
  <c r="AW445" i="14"/>
  <c r="BC505" i="14"/>
  <c r="AY61" i="14"/>
  <c r="BM674" i="14"/>
  <c r="BM675" i="14" s="1"/>
  <c r="BA302" i="14"/>
  <c r="BG553" i="14"/>
  <c r="BG554" i="14" s="1"/>
  <c r="BQ494" i="14"/>
  <c r="BQ495" i="14" s="1"/>
  <c r="AW265" i="14"/>
  <c r="BC338" i="14"/>
  <c r="BC339" i="14" s="1"/>
  <c r="AY109" i="14"/>
  <c r="BK62" i="14"/>
  <c r="BM637" i="14"/>
  <c r="BA121" i="14"/>
  <c r="BE649" i="14"/>
  <c r="BE650" i="14" s="1"/>
  <c r="BG349" i="14"/>
  <c r="BC637" i="14"/>
  <c r="BE421" i="14"/>
  <c r="BC61" i="14"/>
  <c r="BE121" i="14"/>
  <c r="BG49" i="14"/>
  <c r="BE181" i="14"/>
  <c r="BE182" i="14" s="1"/>
  <c r="BG109" i="14"/>
  <c r="BG110" i="14" s="1"/>
  <c r="AU411" i="14"/>
  <c r="AU412" i="14" s="1"/>
  <c r="BK218" i="14"/>
  <c r="BK219" i="14" s="1"/>
  <c r="BG74" i="14"/>
  <c r="BG75" i="14" s="1"/>
  <c r="AU661" i="14"/>
  <c r="AU397" i="14"/>
  <c r="BM421" i="14"/>
  <c r="BK85" i="14"/>
  <c r="BK543" i="14"/>
  <c r="BK544" i="14" s="1"/>
  <c r="BK229" i="14"/>
  <c r="BI493" i="14"/>
  <c r="BG589" i="14"/>
  <c r="AU673" i="14"/>
  <c r="BG457" i="14"/>
  <c r="BA650" i="14"/>
  <c r="AU385" i="14"/>
  <c r="AW51" i="14"/>
  <c r="AW52" i="14" s="1"/>
  <c r="BO337" i="14"/>
  <c r="BO338" i="14" s="1"/>
  <c r="BM217" i="14"/>
  <c r="BA85" i="14"/>
  <c r="AW673" i="14"/>
  <c r="BQ289" i="14"/>
  <c r="BG626" i="14"/>
  <c r="AY193" i="14"/>
  <c r="BI565" i="14"/>
  <c r="BI566" i="14" s="1"/>
  <c r="BG146" i="14"/>
  <c r="BO158" i="14"/>
  <c r="BO159" i="14" s="1"/>
  <c r="AY661" i="14"/>
  <c r="AY649" i="14"/>
  <c r="BM254" i="14"/>
  <c r="BG301" i="14"/>
  <c r="BI313" i="14"/>
  <c r="BI314" i="14" s="1"/>
  <c r="BI315" i="14" s="1"/>
  <c r="BA169" i="14"/>
  <c r="BI530" i="14"/>
  <c r="AW553" i="14"/>
  <c r="AY145" i="14"/>
  <c r="BQ673" i="14"/>
  <c r="BC398" i="14"/>
  <c r="BI673" i="14"/>
  <c r="AW361" i="14"/>
  <c r="BK110" i="14"/>
  <c r="BC565" i="14"/>
  <c r="AY181" i="14"/>
  <c r="BM577" i="14"/>
  <c r="BM566" i="14"/>
  <c r="BM567" i="14" s="1"/>
  <c r="BA217" i="14"/>
  <c r="BC457" i="14"/>
  <c r="BO637" i="14"/>
  <c r="BC649" i="14"/>
  <c r="BG133" i="14"/>
  <c r="BC385" i="14"/>
  <c r="BQ542" i="14"/>
  <c r="BK361" i="14"/>
  <c r="BQ109" i="14"/>
  <c r="BQ409" i="14"/>
  <c r="BC157" i="14"/>
  <c r="BE373" i="14"/>
  <c r="AY268" i="14"/>
  <c r="AY269" i="14" s="1"/>
  <c r="BK301" i="14"/>
  <c r="BI146" i="14"/>
  <c r="BE625" i="14"/>
  <c r="BG230" i="14"/>
  <c r="BG98" i="14"/>
  <c r="BO361" i="14"/>
  <c r="BQ207" i="14"/>
  <c r="BQ208" i="14" s="1"/>
  <c r="BA61" i="14"/>
  <c r="BA62" i="14" s="1"/>
  <c r="BE97" i="14"/>
  <c r="AU109" i="14"/>
  <c r="BM134" i="14"/>
  <c r="BM135" i="14" s="1"/>
  <c r="AU362" i="14"/>
  <c r="AU457" i="14"/>
  <c r="BO61" i="14"/>
  <c r="BO109" i="14"/>
  <c r="BM433" i="14"/>
  <c r="BI577" i="14"/>
  <c r="BE481" i="14"/>
  <c r="AY85" i="14"/>
  <c r="BK517" i="14"/>
  <c r="BG169" i="14"/>
  <c r="BE241" i="14"/>
  <c r="BM145" i="14"/>
  <c r="AW349" i="14"/>
  <c r="BC445" i="14"/>
  <c r="BQ457" i="14"/>
  <c r="BG313" i="14"/>
  <c r="BQ554" i="14"/>
  <c r="BK601" i="14"/>
  <c r="BK530" i="14"/>
  <c r="BK531" i="14" s="1"/>
  <c r="BG469" i="14"/>
  <c r="BO254" i="14"/>
  <c r="AY385" i="14"/>
  <c r="BQ613" i="14"/>
  <c r="BM505" i="14"/>
  <c r="BG638" i="14"/>
  <c r="AW373" i="14"/>
  <c r="AY313" i="14"/>
  <c r="AY314" i="14" s="1"/>
  <c r="BQ218" i="14"/>
  <c r="AU517" i="14"/>
  <c r="BM553" i="14"/>
  <c r="BG661" i="14"/>
  <c r="BG649" i="14"/>
  <c r="BC422" i="14"/>
  <c r="BC423" i="14" s="1"/>
  <c r="AW421" i="14"/>
  <c r="BM385" i="14"/>
  <c r="BE433" i="14"/>
  <c r="BE434" i="14" s="1"/>
  <c r="BA397" i="14"/>
  <c r="BM397" i="14"/>
  <c r="BA529" i="14"/>
  <c r="BO181" i="14"/>
  <c r="BQ661" i="14"/>
  <c r="BA361" i="14"/>
  <c r="AY506" i="14"/>
  <c r="BO421" i="14"/>
  <c r="BM457" i="14"/>
  <c r="BM458" i="14" s="1"/>
  <c r="BI265" i="14"/>
  <c r="BC229" i="14"/>
  <c r="BC289" i="14"/>
  <c r="BQ529" i="14"/>
  <c r="AU231" i="14"/>
  <c r="AU232" i="14" s="1"/>
  <c r="AU553" i="14"/>
  <c r="BO148" i="14"/>
  <c r="BO149" i="14" s="1"/>
  <c r="BQ589" i="14"/>
  <c r="BA385" i="14"/>
  <c r="BQ385" i="14"/>
  <c r="BO625" i="14"/>
  <c r="AU649" i="14"/>
  <c r="BM170" i="14"/>
  <c r="AU61" i="14"/>
  <c r="AY205" i="14"/>
  <c r="BE316" i="14"/>
  <c r="AW505" i="14"/>
  <c r="BA157" i="14"/>
  <c r="BC301" i="14"/>
  <c r="AW158" i="14"/>
  <c r="AW159" i="14" s="1"/>
  <c r="AU495" i="14"/>
  <c r="AU496" i="14" s="1"/>
  <c r="BK266" i="14"/>
  <c r="BK267" i="14" s="1"/>
  <c r="BI505" i="14"/>
  <c r="BC349" i="14"/>
  <c r="AY325" i="14"/>
  <c r="AW121" i="14"/>
  <c r="BC313" i="14"/>
  <c r="BQ433" i="14"/>
  <c r="BE110" i="14"/>
  <c r="BE494" i="14"/>
  <c r="BQ313" i="14"/>
  <c r="AW601" i="14"/>
  <c r="AY445" i="14"/>
  <c r="BE529" i="14"/>
  <c r="BK97" i="14"/>
  <c r="BA445" i="14"/>
  <c r="AY98" i="14"/>
  <c r="AY99" i="14" s="1"/>
  <c r="BI277" i="14"/>
  <c r="BK505" i="14"/>
  <c r="BK506" i="14" s="1"/>
  <c r="BI517" i="14"/>
  <c r="BI73" i="14"/>
  <c r="AU577" i="14"/>
  <c r="BK577" i="14"/>
  <c r="BI193" i="14"/>
  <c r="AW481" i="14"/>
  <c r="BO506" i="14"/>
  <c r="BM541" i="14"/>
  <c r="BO97" i="14"/>
  <c r="BO445" i="14"/>
  <c r="AY481" i="14"/>
  <c r="BK649" i="14"/>
  <c r="AU266" i="14"/>
  <c r="BM86" i="14"/>
  <c r="BK662" i="14"/>
  <c r="BK663" i="14" s="1"/>
  <c r="BC241" i="14"/>
  <c r="AU170" i="14"/>
  <c r="BE205" i="14"/>
  <c r="BK193" i="14"/>
  <c r="BC73" i="14"/>
  <c r="BO518" i="14"/>
  <c r="BO229" i="14"/>
  <c r="BK637" i="14"/>
  <c r="BK469" i="14"/>
  <c r="AW529" i="14"/>
  <c r="BA566" i="14"/>
  <c r="BO553" i="14"/>
  <c r="BC541" i="14"/>
  <c r="BO409" i="14"/>
  <c r="BQ397" i="14"/>
  <c r="BE145" i="14"/>
  <c r="BC122" i="14"/>
  <c r="AW517" i="14"/>
  <c r="BO589" i="14"/>
  <c r="BA289" i="14"/>
  <c r="BM601" i="14"/>
  <c r="BM409" i="14"/>
  <c r="BI362" i="14"/>
  <c r="BA673" i="14"/>
  <c r="AW61" i="14"/>
  <c r="BQ506" i="14"/>
  <c r="BQ133" i="14"/>
  <c r="AY337" i="14"/>
  <c r="BK446" i="14"/>
  <c r="BA589" i="14"/>
  <c r="BQ349" i="14"/>
  <c r="BA229" i="14"/>
  <c r="BC530" i="14"/>
  <c r="BI254" i="14"/>
  <c r="BQ182" i="14"/>
  <c r="BK351" i="14"/>
  <c r="BK352" i="14" s="1"/>
  <c r="AU291" i="14"/>
  <c r="BM314" i="14"/>
  <c r="BC207" i="14"/>
  <c r="BC208" i="14" s="1"/>
  <c r="AY291" i="14"/>
  <c r="AY292" i="14" s="1"/>
  <c r="BQ602" i="14"/>
  <c r="BM50" i="14"/>
  <c r="BQ98" i="14"/>
  <c r="AU542" i="14"/>
  <c r="BQ173" i="14"/>
  <c r="BO470" i="14"/>
  <c r="BI386" i="14"/>
  <c r="BC170" i="14"/>
  <c r="AY134" i="14"/>
  <c r="AY278" i="14"/>
  <c r="BG338" i="14"/>
  <c r="BM518" i="14"/>
  <c r="BM267" i="14"/>
  <c r="AW110" i="14"/>
  <c r="BM158" i="14"/>
  <c r="BC626" i="14"/>
  <c r="AW278" i="14"/>
  <c r="BC482" i="14"/>
  <c r="DI42" i="14"/>
  <c r="BE63" i="14"/>
  <c r="BO435" i="14"/>
  <c r="BQ472" i="14"/>
  <c r="BO207" i="14"/>
  <c r="BO495" i="14"/>
  <c r="DI43" i="14"/>
  <c r="BG411" i="14"/>
  <c r="BE291" i="14"/>
  <c r="BE639" i="14"/>
  <c r="BQ447" i="14"/>
  <c r="BI471" i="14"/>
  <c r="BG183" i="14"/>
  <c r="BQ339" i="14"/>
  <c r="AY351" i="14"/>
  <c r="AW219" i="14"/>
  <c r="BM351" i="14"/>
  <c r="BG219" i="14"/>
  <c r="AW171" i="14"/>
  <c r="BA423" i="14"/>
  <c r="BI411" i="14"/>
  <c r="BM663" i="14"/>
  <c r="BO387" i="14"/>
  <c r="BI651" i="14"/>
  <c r="BO375" i="14"/>
  <c r="AU507" i="14"/>
  <c r="AY243" i="14"/>
  <c r="BA147" i="14"/>
  <c r="AU207" i="14"/>
  <c r="AU75" i="14"/>
  <c r="BA375" i="14"/>
  <c r="BQ303" i="14"/>
  <c r="BG387" i="14"/>
  <c r="BM291" i="14"/>
  <c r="BK123" i="14"/>
  <c r="BO219" i="14"/>
  <c r="BE231" i="14"/>
  <c r="BG615" i="14"/>
  <c r="AW387" i="14"/>
  <c r="AW339" i="14"/>
  <c r="AU339" i="14"/>
  <c r="AW639" i="14"/>
  <c r="AY219" i="14"/>
  <c r="BQ255" i="14"/>
  <c r="AW471" i="14"/>
  <c r="BE159" i="14"/>
  <c r="AU135" i="14"/>
  <c r="AW243" i="14"/>
  <c r="BE363" i="14"/>
  <c r="BG543" i="14"/>
  <c r="AY75" i="14"/>
  <c r="BM279" i="14"/>
  <c r="BK159" i="14"/>
  <c r="BO543" i="14"/>
  <c r="AW627" i="14"/>
  <c r="BI219" i="14"/>
  <c r="AU483" i="14"/>
  <c r="BG435" i="14"/>
  <c r="BC675" i="14"/>
  <c r="BG267" i="14"/>
  <c r="AY627" i="14"/>
  <c r="BI123" i="14"/>
  <c r="BI399" i="14"/>
  <c r="BM495" i="14"/>
  <c r="BG447" i="14"/>
  <c r="BM591" i="14"/>
  <c r="BC603" i="14"/>
  <c r="AY399" i="14"/>
  <c r="AU315" i="14"/>
  <c r="BC87" i="14"/>
  <c r="BO267" i="14"/>
  <c r="BI591" i="14"/>
  <c r="BK315" i="14"/>
  <c r="BQ519" i="14"/>
  <c r="BC279" i="14"/>
  <c r="BM100" i="14"/>
  <c r="BO652" i="14"/>
  <c r="BO461" i="14"/>
  <c r="BA643" i="14"/>
  <c r="BA644" i="14" s="1"/>
  <c r="BA645" i="14" s="1"/>
  <c r="BI247" i="14"/>
  <c r="BI248" i="14" s="1"/>
  <c r="BI249" i="14" s="1"/>
  <c r="AY556" i="14"/>
  <c r="BQ652" i="14"/>
  <c r="AY124" i="14"/>
  <c r="BE328" i="14"/>
  <c r="BK76" i="14"/>
  <c r="BO280" i="14"/>
  <c r="BQ484" i="14"/>
  <c r="BC148" i="14"/>
  <c r="AY520" i="14"/>
  <c r="BA112" i="14"/>
  <c r="BK280" i="14"/>
  <c r="AY616" i="14"/>
  <c r="BG328" i="14"/>
  <c r="BG496" i="14"/>
  <c r="BA280" i="14"/>
  <c r="BC592" i="14"/>
  <c r="AU88" i="14"/>
  <c r="AW100" i="14"/>
  <c r="BE568" i="14"/>
  <c r="AW136" i="14"/>
  <c r="BC364" i="14"/>
  <c r="BK628" i="14"/>
  <c r="AU220" i="14"/>
  <c r="BA616" i="14"/>
  <c r="BM340" i="14"/>
  <c r="BG532" i="14"/>
  <c r="AU640" i="14"/>
  <c r="BG424" i="14"/>
  <c r="AW544" i="14"/>
  <c r="AW460" i="14"/>
  <c r="BG520" i="14"/>
  <c r="BC220" i="14"/>
  <c r="BE88" i="14"/>
  <c r="BG292" i="14"/>
  <c r="BC328" i="14"/>
  <c r="BC100" i="14"/>
  <c r="BK460" i="14"/>
  <c r="BE508" i="14"/>
  <c r="BE616" i="14"/>
  <c r="BE256" i="14"/>
  <c r="BC616" i="14"/>
  <c r="BK592" i="14"/>
  <c r="BE304" i="14"/>
  <c r="AU328" i="14"/>
  <c r="BE472" i="14"/>
  <c r="AU424" i="14"/>
  <c r="BO76" i="14"/>
  <c r="BM244" i="14"/>
  <c r="BI136" i="14"/>
  <c r="BE521" i="14"/>
  <c r="BM126" i="14"/>
  <c r="BO305" i="14"/>
  <c r="BO605" i="14"/>
  <c r="BA53" i="14"/>
  <c r="BK677" i="14"/>
  <c r="AW197" i="14"/>
  <c r="BK569" i="14"/>
  <c r="BG197" i="14"/>
  <c r="BK389" i="14"/>
  <c r="BG485" i="14"/>
  <c r="AU441" i="14"/>
  <c r="AJ49" i="43"/>
  <c r="E48" i="43" s="1"/>
  <c r="DG44" i="14"/>
  <c r="DH44" i="14" s="1"/>
  <c r="BP385" i="14"/>
  <c r="AZ73" i="14"/>
  <c r="BJ420" i="14"/>
  <c r="BB468" i="14"/>
  <c r="BF192" i="14"/>
  <c r="BN636" i="14"/>
  <c r="BP288" i="14"/>
  <c r="BJ48" i="14"/>
  <c r="AX96" i="14"/>
  <c r="AX457" i="14"/>
  <c r="BB612" i="14"/>
  <c r="AV492" i="14"/>
  <c r="BR276" i="14"/>
  <c r="BB204" i="14"/>
  <c r="BH648" i="14"/>
  <c r="BP505" i="14"/>
  <c r="AV134" i="14"/>
  <c r="BD673" i="14"/>
  <c r="AV624" i="14"/>
  <c r="BF132" i="14"/>
  <c r="AX636" i="14"/>
  <c r="BP170" i="14"/>
  <c r="BJ132" i="14"/>
  <c r="BF362" i="14"/>
  <c r="BP252" i="14"/>
  <c r="BD121" i="14"/>
  <c r="AX625" i="14"/>
  <c r="AZ216" i="14"/>
  <c r="BN624" i="14"/>
  <c r="BF87" i="14"/>
  <c r="BN121" i="14"/>
  <c r="AV528" i="14"/>
  <c r="AV672" i="14"/>
  <c r="AZ576" i="14"/>
  <c r="AV468" i="14"/>
  <c r="AX228" i="14"/>
  <c r="BD600" i="14"/>
  <c r="BR445" i="14"/>
  <c r="AX528" i="14"/>
  <c r="BH530" i="14"/>
  <c r="BL396" i="14"/>
  <c r="BN528" i="14"/>
  <c r="BJ398" i="14"/>
  <c r="BD99" i="14"/>
  <c r="BH552" i="14"/>
  <c r="BR468" i="14"/>
  <c r="AV133" i="14"/>
  <c r="BB516" i="14"/>
  <c r="AV277" i="14"/>
  <c r="BL217" i="14"/>
  <c r="AX264" i="14"/>
  <c r="BB456" i="14"/>
  <c r="BP529" i="14"/>
  <c r="BD48" i="14"/>
  <c r="BP494" i="14"/>
  <c r="BD660" i="14"/>
  <c r="BJ588" i="14"/>
  <c r="BL168" i="14"/>
  <c r="AX576" i="14"/>
  <c r="BH625" i="14"/>
  <c r="BD218" i="14"/>
  <c r="BR552" i="14"/>
  <c r="BL674" i="14"/>
  <c r="BB240" i="14"/>
  <c r="BJ410" i="14"/>
  <c r="BJ49" i="14"/>
  <c r="AZ121" i="14"/>
  <c r="AZ541" i="14"/>
  <c r="AZ265" i="14"/>
  <c r="AZ397" i="14"/>
  <c r="BH60" i="14"/>
  <c r="BR637" i="14"/>
  <c r="BD492" i="14"/>
  <c r="BJ492" i="14"/>
  <c r="BJ312" i="14"/>
  <c r="BR170" i="14"/>
  <c r="AV436" i="14"/>
  <c r="BL264" i="14"/>
  <c r="AZ648" i="14"/>
  <c r="BN169" i="14"/>
  <c r="BN420" i="14"/>
  <c r="BR216" i="14"/>
  <c r="BB642" i="14"/>
  <c r="BP648" i="14"/>
  <c r="BP314" i="14"/>
  <c r="BD397" i="14"/>
  <c r="BJ60" i="14"/>
  <c r="BP312" i="14"/>
  <c r="BH636" i="14"/>
  <c r="BR446" i="14"/>
  <c r="BB324" i="14"/>
  <c r="AX458" i="14"/>
  <c r="BP603" i="14"/>
  <c r="BB110" i="14"/>
  <c r="BH264" i="14"/>
  <c r="AZ133" i="14"/>
  <c r="BF361" i="14"/>
  <c r="BF255" i="14"/>
  <c r="AX85" i="14"/>
  <c r="BH396" i="14"/>
  <c r="BF108" i="14"/>
  <c r="BH660" i="14"/>
  <c r="AZ456" i="14"/>
  <c r="BF507" i="14"/>
  <c r="AV444" i="14"/>
  <c r="BD120" i="14"/>
  <c r="BR517" i="14"/>
  <c r="BP192" i="14"/>
  <c r="BP60" i="14"/>
  <c r="BD144" i="14"/>
  <c r="BF289" i="14"/>
  <c r="BL568" i="14"/>
  <c r="BD168" i="14"/>
  <c r="BN85" i="14"/>
  <c r="AV48" i="14"/>
  <c r="BH612" i="14"/>
  <c r="BD444" i="14"/>
  <c r="BN661" i="14"/>
  <c r="AV384" i="14"/>
  <c r="BD312" i="14"/>
  <c r="BJ246" i="14"/>
  <c r="AV216" i="14"/>
  <c r="AZ555" i="14"/>
  <c r="BN266" i="14"/>
  <c r="BJ504" i="14"/>
  <c r="BF314" i="14"/>
  <c r="BN480" i="14"/>
  <c r="BJ228" i="14"/>
  <c r="BR518" i="14"/>
  <c r="BN204" i="14"/>
  <c r="BB50" i="14"/>
  <c r="AZ492" i="14"/>
  <c r="BH408" i="14"/>
  <c r="BL612" i="14"/>
  <c r="AX218" i="14"/>
  <c r="BR420" i="14"/>
  <c r="BD481" i="14"/>
  <c r="AZ349" i="14"/>
  <c r="BP218" i="14"/>
  <c r="BH97" i="14"/>
  <c r="BD468" i="14"/>
  <c r="AX552" i="14"/>
  <c r="BB72" i="14"/>
  <c r="BB649" i="14"/>
  <c r="BJ216" i="14"/>
  <c r="BN168" i="14"/>
  <c r="BB492" i="14"/>
  <c r="BB252" i="14"/>
  <c r="AX540" i="14"/>
  <c r="BD252" i="14"/>
  <c r="BL350" i="14"/>
  <c r="BJ156" i="14"/>
  <c r="BR171" i="14"/>
  <c r="BD180" i="14"/>
  <c r="BL529" i="14"/>
  <c r="BD578" i="14"/>
  <c r="BH193" i="14"/>
  <c r="BP84" i="14"/>
  <c r="BF673" i="14"/>
  <c r="AV313" i="14"/>
  <c r="BB60" i="14"/>
  <c r="BF120" i="14"/>
  <c r="BP661" i="14"/>
  <c r="BD601" i="14"/>
  <c r="AV481" i="14"/>
  <c r="AZ398" i="14"/>
  <c r="BL279" i="14"/>
  <c r="BD528" i="14"/>
  <c r="BJ289" i="14"/>
  <c r="BD624" i="14"/>
  <c r="BP672" i="14"/>
  <c r="AZ267" i="14"/>
  <c r="BH540" i="14"/>
  <c r="BD674" i="14"/>
  <c r="BP96" i="14"/>
  <c r="BJ552" i="14"/>
  <c r="BF72" i="14"/>
  <c r="BF520" i="14"/>
  <c r="BN648" i="14"/>
  <c r="BL288" i="14"/>
  <c r="BH120" i="14"/>
  <c r="BR132" i="14"/>
  <c r="AV168" i="14"/>
  <c r="BD146" i="14"/>
  <c r="BJ564" i="14"/>
  <c r="BJ529" i="14"/>
  <c r="BN180" i="14"/>
  <c r="AZ468" i="14"/>
  <c r="BJ589" i="14"/>
  <c r="BR324" i="14"/>
  <c r="BL459" i="14"/>
  <c r="BN97" i="14"/>
  <c r="BD540" i="14"/>
  <c r="AX408" i="14"/>
  <c r="BL314" i="14"/>
  <c r="AX444" i="14"/>
  <c r="BF336" i="14"/>
  <c r="BR205" i="14"/>
  <c r="BF48" i="14"/>
  <c r="BB146" i="14"/>
  <c r="BR540" i="14"/>
  <c r="AV456" i="14"/>
  <c r="AX108" i="14"/>
  <c r="BL228" i="14"/>
  <c r="BB588" i="14"/>
  <c r="BN552" i="14"/>
  <c r="BD60" i="14"/>
  <c r="AZ360" i="14"/>
  <c r="AZ266" i="14"/>
  <c r="AX241" i="14"/>
  <c r="BF325" i="14"/>
  <c r="BH385" i="14"/>
  <c r="BF216" i="14"/>
  <c r="BD96" i="14"/>
  <c r="BL457" i="14"/>
  <c r="BJ134" i="14"/>
  <c r="AX276" i="14"/>
  <c r="BP264" i="14"/>
  <c r="AV588" i="14"/>
  <c r="AZ612" i="14"/>
  <c r="AV434" i="14"/>
  <c r="BB660" i="14"/>
  <c r="AV360" i="14"/>
  <c r="BH600" i="14"/>
  <c r="BR254" i="14"/>
  <c r="BN504" i="14"/>
  <c r="BL158" i="14"/>
  <c r="BH542" i="14"/>
  <c r="BP360" i="14"/>
  <c r="BP624" i="14"/>
  <c r="AZ480" i="14"/>
  <c r="BD205" i="14"/>
  <c r="BR384" i="14"/>
  <c r="BJ360" i="14"/>
  <c r="AZ660" i="14"/>
  <c r="BL156" i="14"/>
  <c r="BN157" i="14"/>
  <c r="BP604" i="14"/>
  <c r="BJ396" i="14"/>
  <c r="BP396" i="14"/>
  <c r="BB108" i="14"/>
  <c r="AX252" i="14"/>
  <c r="AZ588" i="14"/>
  <c r="BL252" i="14"/>
  <c r="BD98" i="14"/>
  <c r="BP468" i="14"/>
  <c r="BL75" i="14"/>
  <c r="BL480" i="14"/>
  <c r="BD192" i="14"/>
  <c r="BH196" i="14"/>
  <c r="AZ615" i="14"/>
  <c r="BB528" i="14"/>
  <c r="BB444" i="14"/>
  <c r="BL553" i="14"/>
  <c r="AV290" i="14"/>
  <c r="BH96" i="14"/>
  <c r="BN337" i="14"/>
  <c r="AX300" i="14"/>
  <c r="BJ133" i="14"/>
  <c r="AV576" i="14"/>
  <c r="AX288" i="14"/>
  <c r="AV300" i="14"/>
  <c r="BD97" i="14"/>
  <c r="BH73" i="14"/>
  <c r="BJ636" i="14"/>
  <c r="BN540" i="14"/>
  <c r="BP663" i="14"/>
  <c r="BB420" i="14"/>
  <c r="BN576" i="14"/>
  <c r="BH182" i="14"/>
  <c r="BB625" i="14"/>
  <c r="BP146" i="14"/>
  <c r="BP120" i="14"/>
  <c r="BP75" i="14"/>
  <c r="BD108" i="14"/>
  <c r="AX613" i="14"/>
  <c r="BH168" i="14"/>
  <c r="BL132" i="14"/>
  <c r="AV156" i="14"/>
  <c r="AZ373" i="14"/>
  <c r="BD602" i="14"/>
  <c r="BP147" i="14"/>
  <c r="BH276" i="14"/>
  <c r="BR36" i="14"/>
  <c r="BL289" i="14"/>
  <c r="AX360" i="14"/>
  <c r="BH468" i="14"/>
  <c r="BF384" i="14"/>
  <c r="AZ180" i="14"/>
  <c r="BL300" i="14"/>
  <c r="AZ552" i="14"/>
  <c r="BF624" i="14"/>
  <c r="BL504" i="14"/>
  <c r="BP459" i="14"/>
  <c r="AX60" i="14"/>
  <c r="BL388" i="14"/>
  <c r="BR396" i="14"/>
  <c r="BP253" i="14"/>
  <c r="BH578" i="14"/>
  <c r="BD372" i="14"/>
  <c r="AV612" i="14"/>
  <c r="AX230" i="14"/>
  <c r="AZ528" i="14"/>
  <c r="AZ636" i="14"/>
  <c r="BH217" i="14"/>
  <c r="AV445" i="14"/>
  <c r="BJ432" i="14"/>
  <c r="BH531" i="14"/>
  <c r="DI44" i="14" a="1"/>
  <c r="BF420" i="14"/>
  <c r="AV120" i="14"/>
  <c r="BD648" i="14"/>
  <c r="BH204" i="14"/>
  <c r="BB480" i="14"/>
  <c r="BJ468" i="14"/>
  <c r="AV361" i="14"/>
  <c r="AV181" i="14"/>
  <c r="BP228" i="14"/>
  <c r="AX216" i="14"/>
  <c r="BN662" i="14"/>
  <c r="BP313" i="14"/>
  <c r="BF614" i="14"/>
  <c r="BL648" i="14"/>
  <c r="AX432" i="14"/>
  <c r="AX98" i="14"/>
  <c r="AV564" i="14"/>
  <c r="BN672" i="14"/>
  <c r="BB111" i="14"/>
  <c r="BH290" i="14"/>
  <c r="AZ48" i="14"/>
  <c r="BR588" i="14"/>
  <c r="AV432" i="14"/>
  <c r="AV87" i="14"/>
  <c r="BR241" i="14"/>
  <c r="BF96" i="14"/>
  <c r="BH494" i="14"/>
  <c r="BR672" i="14"/>
  <c r="BR181" i="14"/>
  <c r="BP577" i="14"/>
  <c r="BH240" i="14"/>
  <c r="BR516" i="14"/>
  <c r="BB312" i="14"/>
  <c r="BR492" i="14"/>
  <c r="BL660" i="14"/>
  <c r="BF516" i="14"/>
  <c r="BH348" i="14"/>
  <c r="BD396" i="14"/>
  <c r="AX637" i="14"/>
  <c r="BP373" i="14"/>
  <c r="BR505" i="14"/>
  <c r="BR192" i="14"/>
  <c r="BB49" i="14"/>
  <c r="AX543" i="14"/>
  <c r="BD613" i="14"/>
  <c r="BB192" i="14"/>
  <c r="BJ72" i="14"/>
  <c r="BR576" i="14"/>
  <c r="BN123" i="14"/>
  <c r="AZ96" i="14"/>
  <c r="AZ84" i="14"/>
  <c r="BJ672" i="14"/>
  <c r="BH484" i="14"/>
  <c r="AX612" i="14"/>
  <c r="AX277" i="14"/>
  <c r="BN243" i="14"/>
  <c r="AV73" i="14"/>
  <c r="AX650" i="14"/>
  <c r="BL48" i="14"/>
  <c r="BD552" i="14"/>
  <c r="BJ300" i="14"/>
  <c r="BR541" i="14"/>
  <c r="BR469" i="14"/>
  <c r="BR169" i="14"/>
  <c r="AX385" i="14"/>
  <c r="AV230" i="14"/>
  <c r="BJ590" i="14"/>
  <c r="AV327" i="14"/>
  <c r="BH410" i="14"/>
  <c r="BP456" i="14"/>
  <c r="BP168" i="14"/>
  <c r="BP304" i="14"/>
  <c r="BF612" i="14"/>
  <c r="BH493" i="14"/>
  <c r="AX170" i="14"/>
  <c r="BF600" i="14"/>
  <c r="AV325" i="14"/>
  <c r="BH518" i="14"/>
  <c r="AV132" i="14"/>
  <c r="AX338" i="14"/>
  <c r="BD84" i="14"/>
  <c r="AZ518" i="14"/>
  <c r="BN673" i="14"/>
  <c r="BF444" i="14"/>
  <c r="BH228" i="14"/>
  <c r="BR651" i="14"/>
  <c r="BH48" i="14"/>
  <c r="BL456" i="14"/>
  <c r="BF372" i="14"/>
  <c r="AZ324" i="14"/>
  <c r="BH288" i="14"/>
  <c r="BR408" i="14"/>
  <c r="BF158" i="14"/>
  <c r="AV348" i="14"/>
  <c r="BR660" i="14"/>
  <c r="AX240" i="14"/>
  <c r="AZ554" i="14"/>
  <c r="BD348" i="14"/>
  <c r="BL216" i="14"/>
  <c r="BF240" i="14"/>
  <c r="BF157" i="14"/>
  <c r="BF471" i="14"/>
  <c r="BN278" i="14"/>
  <c r="AV660" i="14"/>
  <c r="AZ229" i="14"/>
  <c r="BJ348" i="14"/>
  <c r="BN516" i="14"/>
  <c r="AX324" i="14"/>
  <c r="AZ264" i="14"/>
  <c r="BL109" i="14"/>
  <c r="AZ553" i="14"/>
  <c r="BB396" i="14"/>
  <c r="BR120" i="14"/>
  <c r="BD337" i="14"/>
  <c r="BN49" i="14"/>
  <c r="BH195" i="14"/>
  <c r="BH519" i="14"/>
  <c r="BB409" i="14"/>
  <c r="BH108" i="14"/>
  <c r="AX312" i="14"/>
  <c r="AZ242" i="14"/>
  <c r="BJ336" i="14"/>
  <c r="BR470" i="14"/>
  <c r="AX145" i="14"/>
  <c r="BP157" i="14"/>
  <c r="BH588" i="14"/>
  <c r="BR493" i="14"/>
  <c r="BD480" i="14"/>
  <c r="AV108" i="14"/>
  <c r="BR217" i="14"/>
  <c r="BH327" i="14"/>
  <c r="BH265" i="14"/>
  <c r="BL84" i="14"/>
  <c r="BN408" i="14"/>
  <c r="BJ456" i="14"/>
  <c r="AV408" i="14"/>
  <c r="BF168" i="14"/>
  <c r="BH360" i="14"/>
  <c r="BB301" i="14"/>
  <c r="BN590" i="14"/>
  <c r="BD219" i="14"/>
  <c r="AX384" i="14"/>
  <c r="BP278" i="14"/>
  <c r="BN72" i="14"/>
  <c r="AV636" i="14"/>
  <c r="BL600" i="14"/>
  <c r="BN468" i="14"/>
  <c r="BF326" i="14"/>
  <c r="AX468" i="14"/>
  <c r="BR157" i="14"/>
  <c r="BJ384" i="14"/>
  <c r="BR84" i="14"/>
  <c r="BN589" i="14"/>
  <c r="BL432" i="14"/>
  <c r="BH613" i="14"/>
  <c r="BL312" i="14"/>
  <c r="AZ217" i="14"/>
  <c r="BJ372" i="14"/>
  <c r="BF315" i="14"/>
  <c r="AZ289" i="14"/>
  <c r="BR288" i="14"/>
  <c r="BH289" i="14"/>
  <c r="BN144" i="14"/>
  <c r="BL240" i="14"/>
  <c r="AV72" i="14"/>
  <c r="BP132" i="14"/>
  <c r="BP180" i="14"/>
  <c r="BR253" i="14"/>
  <c r="BL468" i="14"/>
  <c r="BP528" i="14"/>
  <c r="BJ276" i="14"/>
  <c r="AZ408" i="14"/>
  <c r="AZ517" i="14"/>
  <c r="BP540" i="14"/>
  <c r="BJ528" i="14"/>
  <c r="BJ650" i="14"/>
  <c r="BF456" i="14"/>
  <c r="BP480" i="14"/>
  <c r="AZ626" i="14"/>
  <c r="BH528" i="14"/>
  <c r="BP660" i="14"/>
  <c r="BN99" i="14"/>
  <c r="BF396" i="14"/>
  <c r="AV206" i="14"/>
  <c r="BH564" i="14"/>
  <c r="BP336" i="14"/>
  <c r="AV338" i="14"/>
  <c r="BL588" i="14"/>
  <c r="BN122" i="14"/>
  <c r="AX564" i="14"/>
  <c r="AZ312" i="14"/>
  <c r="BN372" i="14"/>
  <c r="BJ84" i="14"/>
  <c r="BP300" i="14"/>
  <c r="BF264" i="14"/>
  <c r="AZ168" i="14"/>
  <c r="BH312" i="14"/>
  <c r="BF518" i="14"/>
  <c r="AX97" i="14"/>
  <c r="BL445" i="14"/>
  <c r="BR312" i="14"/>
  <c r="BJ217" i="14"/>
  <c r="BH504" i="14"/>
  <c r="BB422" i="14"/>
  <c r="BP612" i="14"/>
  <c r="BD264" i="14"/>
  <c r="BF312" i="14"/>
  <c r="BB408" i="14"/>
  <c r="BB504" i="14"/>
  <c r="AX99" i="14"/>
  <c r="AZ108" i="14"/>
  <c r="BJ324" i="14"/>
  <c r="BJ421" i="14"/>
  <c r="BJ253" i="14"/>
  <c r="BF615" i="14"/>
  <c r="BN96" i="14"/>
  <c r="BB206" i="14"/>
  <c r="BF613" i="14"/>
  <c r="BR264" i="14"/>
  <c r="BN360" i="14"/>
  <c r="BH144" i="14"/>
  <c r="BN649" i="14"/>
  <c r="AZ60" i="14"/>
  <c r="BJ470" i="14"/>
  <c r="BL157" i="14"/>
  <c r="AZ433" i="14"/>
  <c r="AX660" i="14"/>
  <c r="BL627" i="14"/>
  <c r="BD86" i="14"/>
  <c r="BL96" i="14"/>
  <c r="BN612" i="14"/>
  <c r="BB360" i="14"/>
  <c r="BB624" i="14"/>
  <c r="BP651" i="14"/>
  <c r="BR85" i="14"/>
  <c r="AZ672" i="14"/>
  <c r="AX348" i="14"/>
  <c r="BH529" i="14"/>
  <c r="BD288" i="14"/>
  <c r="BP588" i="14"/>
  <c r="BP242" i="14"/>
  <c r="AZ637" i="14"/>
  <c r="AV552" i="14"/>
  <c r="AV480" i="14"/>
  <c r="AX649" i="14"/>
  <c r="BN338" i="14"/>
  <c r="AZ564" i="14"/>
  <c r="BB672" i="14"/>
  <c r="BN396" i="14"/>
  <c r="BR252" i="14"/>
  <c r="BJ540" i="14"/>
  <c r="BN84" i="14"/>
  <c r="BF204" i="14"/>
  <c r="BR601" i="14"/>
  <c r="AV96" i="14"/>
  <c r="BD169" i="14"/>
  <c r="BP420" i="14"/>
  <c r="BR636" i="14"/>
  <c r="BN384" i="14"/>
  <c r="BN614" i="14"/>
  <c r="BB613" i="14"/>
  <c r="BB156" i="14"/>
  <c r="AX600" i="14"/>
  <c r="BR624" i="14"/>
  <c r="BF276" i="14"/>
  <c r="BP542" i="14"/>
  <c r="BL253" i="14"/>
  <c r="AZ72" i="14"/>
  <c r="BD228" i="14"/>
  <c r="BN350" i="14"/>
  <c r="BH337" i="14"/>
  <c r="BF493" i="14"/>
  <c r="AV144" i="14"/>
  <c r="BP460" i="14"/>
  <c r="BB168" i="14"/>
  <c r="BR121" i="14"/>
  <c r="BB97" i="14"/>
  <c r="AZ276" i="14"/>
  <c r="BR456" i="14"/>
  <c r="AV410" i="14"/>
  <c r="BN61" i="14"/>
  <c r="AZ252" i="14"/>
  <c r="BJ422" i="14"/>
  <c r="AX638" i="14"/>
  <c r="BL336" i="14"/>
  <c r="BF517" i="14"/>
  <c r="BF567" i="14"/>
  <c r="AX84" i="14"/>
  <c r="AV438" i="14"/>
  <c r="BJ97" i="14"/>
  <c r="BD145" i="14"/>
  <c r="BD456" i="14"/>
  <c r="BJ180" i="14"/>
  <c r="BJ252" i="14"/>
  <c r="BH434" i="14"/>
  <c r="AX217" i="14"/>
  <c r="AZ600" i="14"/>
  <c r="BB614" i="14"/>
  <c r="BF230" i="14"/>
  <c r="BL576" i="14"/>
  <c r="AZ336" i="14"/>
  <c r="BH517" i="14"/>
  <c r="BJ243" i="14"/>
  <c r="BF638" i="14"/>
  <c r="BR360" i="14"/>
  <c r="AV648" i="14"/>
  <c r="BL278" i="14"/>
  <c r="BD336" i="14"/>
  <c r="BP72" i="14"/>
  <c r="AV74" i="14"/>
  <c r="BL397" i="14"/>
  <c r="BL180" i="14"/>
  <c r="BD206" i="14"/>
  <c r="BB540" i="14"/>
  <c r="BL360" i="14"/>
  <c r="BJ600" i="14"/>
  <c r="BH361" i="14"/>
  <c r="BN133" i="14"/>
  <c r="BL636" i="14"/>
  <c r="BP516" i="14"/>
  <c r="BL516" i="14"/>
  <c r="BH409" i="14"/>
  <c r="BR528" i="14"/>
  <c r="BP444" i="14"/>
  <c r="AX50" i="14"/>
  <c r="BR206" i="14"/>
  <c r="BH444" i="14"/>
  <c r="BL324" i="14"/>
  <c r="BL676" i="14"/>
  <c r="BD588" i="14"/>
  <c r="AX469" i="14"/>
  <c r="BF360" i="14"/>
  <c r="BF348" i="14"/>
  <c r="BD577" i="14"/>
  <c r="BD361" i="14"/>
  <c r="BF313" i="14"/>
  <c r="AX204" i="14"/>
  <c r="AX337" i="14"/>
  <c r="AX109" i="14"/>
  <c r="AV639" i="14"/>
  <c r="BN120" i="14"/>
  <c r="BH156" i="14"/>
  <c r="BH386" i="14"/>
  <c r="AX193" i="14"/>
  <c r="BB132" i="14"/>
  <c r="BL265" i="14"/>
  <c r="BL541" i="14"/>
  <c r="AX242" i="14"/>
  <c r="BR565" i="14"/>
  <c r="BH229" i="14"/>
  <c r="BD408" i="14"/>
  <c r="AV516" i="14"/>
  <c r="BJ192" i="14"/>
  <c r="AZ228" i="14"/>
  <c r="AX588" i="14"/>
  <c r="BB279" i="14"/>
  <c r="AZ49" i="14"/>
  <c r="BH492" i="14"/>
  <c r="BN348" i="14"/>
  <c r="BB648" i="14"/>
  <c r="AZ457" i="14"/>
  <c r="BF672" i="14"/>
  <c r="BH397" i="14"/>
  <c r="BR72" i="14"/>
  <c r="BL108" i="14"/>
  <c r="BJ264" i="14"/>
  <c r="BR372" i="14"/>
  <c r="BB288" i="14"/>
  <c r="BN253" i="14"/>
  <c r="AX133" i="14"/>
  <c r="BH132" i="14"/>
  <c r="BJ135" i="14"/>
  <c r="BP74" i="14"/>
  <c r="BP397" i="14"/>
  <c r="BH480" i="14"/>
  <c r="BB96" i="14"/>
  <c r="AX72" i="14"/>
  <c r="AX480" i="14"/>
  <c r="BJ576" i="14"/>
  <c r="BF109" i="14"/>
  <c r="AX516" i="14"/>
  <c r="AZ624" i="14"/>
  <c r="BJ624" i="14"/>
  <c r="BL458" i="14"/>
  <c r="AZ540" i="14"/>
  <c r="BF540" i="14"/>
  <c r="BH291" i="14"/>
  <c r="BN600" i="14"/>
  <c r="BL591" i="14"/>
  <c r="BB576" i="14"/>
  <c r="BL205" i="14"/>
  <c r="BF588" i="14"/>
  <c r="BD421" i="14"/>
  <c r="BN132" i="14"/>
  <c r="AV600" i="14"/>
  <c r="AZ156" i="14"/>
  <c r="BR600" i="14"/>
  <c r="BR483" i="14"/>
  <c r="AX456" i="14"/>
  <c r="BD504" i="14"/>
  <c r="AZ519" i="14"/>
  <c r="BH216" i="14"/>
  <c r="AV276" i="14"/>
  <c r="BB300" i="14"/>
  <c r="BD278" i="14"/>
  <c r="BL408" i="14"/>
  <c r="BB552" i="14"/>
  <c r="AX196" i="14"/>
  <c r="BL133" i="14"/>
  <c r="BH624" i="14"/>
  <c r="BF288" i="14"/>
  <c r="AZ204" i="14"/>
  <c r="BR172" i="14"/>
  <c r="BL181" i="14"/>
  <c r="BL542" i="14"/>
  <c r="AZ74" i="14"/>
  <c r="BD156" i="14"/>
  <c r="BJ157" i="14"/>
  <c r="AZ516" i="14"/>
  <c r="BB109" i="14"/>
  <c r="BL120" i="14"/>
  <c r="BF303" i="14"/>
  <c r="BN228" i="14"/>
  <c r="BH72" i="14"/>
  <c r="BL372" i="14"/>
  <c r="AZ458" i="14"/>
  <c r="BP384" i="14"/>
  <c r="AZ350" i="14"/>
  <c r="BD564" i="14"/>
  <c r="BP602" i="14"/>
  <c r="BJ397" i="14"/>
  <c r="BF660" i="14"/>
  <c r="BJ122" i="14"/>
  <c r="AX626" i="14"/>
  <c r="BN290" i="14"/>
  <c r="BR204" i="14"/>
  <c r="BP552" i="14"/>
  <c r="AV219" i="14"/>
  <c r="BD204" i="14"/>
  <c r="BF144" i="14"/>
  <c r="AZ123" i="14"/>
  <c r="AX195" i="14"/>
  <c r="BD432" i="14"/>
  <c r="BD625" i="14"/>
  <c r="BF648" i="14"/>
  <c r="BR444" i="14"/>
  <c r="AX49" i="14"/>
  <c r="BR97" i="14"/>
  <c r="AV506" i="14"/>
  <c r="AX48" i="14"/>
  <c r="BN660" i="14"/>
  <c r="BJ660" i="14"/>
  <c r="BP206" i="14"/>
  <c r="BL540" i="14"/>
  <c r="BP600" i="14"/>
  <c r="BF290" i="14"/>
  <c r="AX409" i="14"/>
  <c r="AV493" i="14"/>
  <c r="BD324" i="14"/>
  <c r="BF62" i="14"/>
  <c r="BJ612" i="14"/>
  <c r="BP108" i="14"/>
  <c r="BN517" i="14"/>
  <c r="BR228" i="14"/>
  <c r="BD132" i="14"/>
  <c r="BD327" i="14"/>
  <c r="BP48" i="14"/>
  <c r="BD591" i="14"/>
  <c r="BB180" i="14"/>
  <c r="BR553" i="14"/>
  <c r="AX672" i="14"/>
  <c r="BR432" i="14"/>
  <c r="AX420" i="14"/>
  <c r="AV205" i="14"/>
  <c r="AV494" i="14"/>
  <c r="AV289" i="14"/>
  <c r="BD373" i="14"/>
  <c r="AX386" i="14"/>
  <c r="BP217" i="14"/>
  <c r="BB615" i="14"/>
  <c r="BD325" i="14"/>
  <c r="AX459" i="14"/>
  <c r="BR144" i="14"/>
  <c r="BJ516" i="14"/>
  <c r="BH266" i="14"/>
  <c r="BL589" i="14"/>
  <c r="BH145" i="14"/>
  <c r="BP457" i="14"/>
  <c r="BP265" i="14"/>
  <c r="BP386" i="14"/>
  <c r="BN324" i="14"/>
  <c r="BL135" i="14"/>
  <c r="AX372" i="14"/>
  <c r="BD217" i="14"/>
  <c r="BB565" i="14"/>
  <c r="BR471" i="14"/>
  <c r="BH672" i="14"/>
  <c r="BL661" i="14"/>
  <c r="BF327" i="14"/>
  <c r="AV637" i="14"/>
  <c r="BD580" i="14"/>
  <c r="BD529" i="14"/>
  <c r="BJ204" i="14"/>
  <c r="BN336" i="14"/>
  <c r="BN456" i="14"/>
  <c r="BN134" i="14"/>
  <c r="BR168" i="14"/>
  <c r="BR348" i="14"/>
  <c r="AZ300" i="14"/>
  <c r="BF180" i="14"/>
  <c r="BP564" i="14"/>
  <c r="AX492" i="14"/>
  <c r="AV638" i="14"/>
  <c r="AV423" i="14"/>
  <c r="BD216" i="14"/>
  <c r="BL420" i="14"/>
  <c r="BP156" i="14"/>
  <c r="BF480" i="14"/>
  <c r="AV409" i="14"/>
  <c r="BL492" i="14"/>
  <c r="BN481" i="14"/>
  <c r="AX313" i="14"/>
  <c r="AZ240" i="14"/>
  <c r="BN613" i="14"/>
  <c r="BJ409" i="14"/>
  <c r="BD240" i="14"/>
  <c r="BJ109" i="14"/>
  <c r="BN216" i="14"/>
  <c r="BL192" i="14"/>
  <c r="AX144" i="14"/>
  <c r="BB600" i="14"/>
  <c r="AZ420" i="14"/>
  <c r="BD420" i="14"/>
  <c r="BH84" i="14"/>
  <c r="BB84" i="14"/>
  <c r="BJ565" i="14"/>
  <c r="BF408" i="14"/>
  <c r="BP266" i="14"/>
  <c r="BR48" i="14"/>
  <c r="BH446" i="14"/>
  <c r="BN125" i="14"/>
  <c r="AX120" i="14"/>
  <c r="BJ218" i="14"/>
  <c r="BF229" i="14"/>
  <c r="BB374" i="14"/>
  <c r="BD72" i="14"/>
  <c r="BB421" i="14"/>
  <c r="BH300" i="14"/>
  <c r="BH423" i="14"/>
  <c r="BJ361" i="14"/>
  <c r="BJ144" i="14"/>
  <c r="AV86" i="14"/>
  <c r="BD636" i="14"/>
  <c r="BP541" i="14"/>
  <c r="AV145" i="14"/>
  <c r="BJ168" i="14"/>
  <c r="BH637" i="14"/>
  <c r="AV60" i="14"/>
  <c r="BN300" i="14"/>
  <c r="AZ505" i="14"/>
  <c r="BF528" i="14"/>
  <c r="AZ218" i="14"/>
  <c r="BN588" i="14"/>
  <c r="BP601" i="14"/>
  <c r="AZ444" i="14"/>
  <c r="BJ121" i="14"/>
  <c r="BN252" i="14"/>
  <c r="AZ542" i="14"/>
  <c r="AV314" i="14"/>
  <c r="BD300" i="14"/>
  <c r="BH252" i="14"/>
  <c r="AX180" i="14"/>
  <c r="BL121" i="14"/>
  <c r="BB348" i="14"/>
  <c r="AZ625" i="14"/>
  <c r="AV336" i="14"/>
  <c r="BB372" i="14"/>
  <c r="AV180" i="14"/>
  <c r="BH541" i="14"/>
  <c r="BJ480" i="14"/>
  <c r="AZ192" i="14"/>
  <c r="BD553" i="14"/>
  <c r="BJ444" i="14"/>
  <c r="BB228" i="14"/>
  <c r="AZ469" i="14"/>
  <c r="BL122" i="14"/>
  <c r="AX470" i="14"/>
  <c r="BP469" i="14"/>
  <c r="BB264" i="14"/>
  <c r="BN156" i="14"/>
  <c r="BP324" i="14"/>
  <c r="AV288" i="14"/>
  <c r="AV265" i="14"/>
  <c r="BN98" i="14"/>
  <c r="BP374" i="14"/>
  <c r="BN615" i="14"/>
  <c r="BD147" i="14"/>
  <c r="BN444" i="14"/>
  <c r="BR612" i="14"/>
  <c r="AV252" i="14"/>
  <c r="BB145" i="14"/>
  <c r="BR242" i="14"/>
  <c r="BR60" i="14"/>
  <c r="AZ384" i="14"/>
  <c r="BD589" i="14"/>
  <c r="BB253" i="14"/>
  <c r="BB120" i="14"/>
  <c r="BP517" i="14"/>
  <c r="AZ348" i="14"/>
  <c r="BD615" i="14"/>
  <c r="AX504" i="14"/>
  <c r="AZ241" i="14"/>
  <c r="BB144" i="14"/>
  <c r="AZ122" i="14"/>
  <c r="BB52" i="14"/>
  <c r="AX132" i="14"/>
  <c r="BD363" i="14"/>
  <c r="BR240" i="14"/>
  <c r="AX156" i="14"/>
  <c r="BF193" i="14"/>
  <c r="AV240" i="14"/>
  <c r="BR338" i="14"/>
  <c r="BR108" i="14"/>
  <c r="BN432" i="14"/>
  <c r="BD672" i="14"/>
  <c r="AX134" i="14"/>
  <c r="BJ145" i="14"/>
  <c r="BD384" i="14"/>
  <c r="AV540" i="14"/>
  <c r="BN108" i="14"/>
  <c r="AX135" i="14"/>
  <c r="AV192" i="14"/>
  <c r="BF519" i="14"/>
  <c r="BH336" i="14"/>
  <c r="BN193" i="14"/>
  <c r="AX73" i="14"/>
  <c r="BR156" i="14"/>
  <c r="AZ277" i="14"/>
  <c r="BB336" i="14"/>
  <c r="BF552" i="14"/>
  <c r="BN192" i="14"/>
  <c r="BL144" i="14"/>
  <c r="BP662" i="14"/>
  <c r="BJ245" i="14"/>
  <c r="AV482" i="14"/>
  <c r="BL672" i="14"/>
  <c r="BB384" i="14"/>
  <c r="BJ241" i="14"/>
  <c r="BN313" i="14"/>
  <c r="BN277" i="14"/>
  <c r="BL528" i="14"/>
  <c r="BH516" i="14"/>
  <c r="BB216" i="14"/>
  <c r="BB432" i="14"/>
  <c r="BP408" i="14"/>
  <c r="BR302" i="14"/>
  <c r="BL61" i="14"/>
  <c r="AX396" i="14"/>
  <c r="AZ504" i="14"/>
  <c r="BN494" i="14"/>
  <c r="BB373" i="14"/>
  <c r="BH456" i="14"/>
  <c r="BP348" i="14"/>
  <c r="BF492" i="14"/>
  <c r="BN564" i="14"/>
  <c r="AV396" i="14"/>
  <c r="BH372" i="14"/>
  <c r="BN339" i="14"/>
  <c r="BP434" i="14"/>
  <c r="BJ385" i="14"/>
  <c r="BF324" i="14"/>
  <c r="AV372" i="14"/>
  <c r="BH218" i="14"/>
  <c r="BH495" i="14"/>
  <c r="BF577" i="14"/>
  <c r="AV541" i="14"/>
  <c r="BP279" i="14"/>
  <c r="BD516" i="14"/>
  <c r="BH614" i="14"/>
  <c r="BP636" i="14"/>
  <c r="AZ144" i="14"/>
  <c r="AV312" i="14"/>
  <c r="BG639" i="14" l="1"/>
  <c r="BA518" i="14"/>
  <c r="BM446" i="14"/>
  <c r="BM447" i="14" s="1"/>
  <c r="AY650" i="14"/>
  <c r="AY651" i="14" s="1"/>
  <c r="AY652" i="14" s="1"/>
  <c r="BK138" i="14"/>
  <c r="BK139" i="14" s="1"/>
  <c r="BK140" i="14" s="1"/>
  <c r="BK141" i="14" s="1"/>
  <c r="BK142" i="14" s="1"/>
  <c r="BK434" i="14"/>
  <c r="AW290" i="14"/>
  <c r="BE579" i="14"/>
  <c r="BE602" i="14"/>
  <c r="BE603" i="14" s="1"/>
  <c r="BM182" i="14"/>
  <c r="BM183" i="14" s="1"/>
  <c r="BO244" i="14"/>
  <c r="BI424" i="14"/>
  <c r="AW590" i="14"/>
  <c r="BI51" i="14"/>
  <c r="BQ230" i="14"/>
  <c r="BO326" i="14"/>
  <c r="BG580" i="14"/>
  <c r="BG581" i="14" s="1"/>
  <c r="BE458" i="14"/>
  <c r="AY375" i="14"/>
  <c r="AU279" i="14"/>
  <c r="BA266" i="14"/>
  <c r="BA267" i="14" s="1"/>
  <c r="BE590" i="14"/>
  <c r="AU147" i="14"/>
  <c r="BI542" i="14"/>
  <c r="BC410" i="14"/>
  <c r="BI111" i="14"/>
  <c r="BI159" i="14"/>
  <c r="BA434" i="14"/>
  <c r="AW302" i="14"/>
  <c r="BA74" i="14"/>
  <c r="BQ87" i="14"/>
  <c r="BQ374" i="14"/>
  <c r="BO482" i="14"/>
  <c r="BI182" i="14"/>
  <c r="AY435" i="14"/>
  <c r="BE542" i="14"/>
  <c r="BG243" i="14"/>
  <c r="AU194" i="14"/>
  <c r="BK422" i="14"/>
  <c r="AY578" i="14"/>
  <c r="BA458" i="14"/>
  <c r="BK410" i="14"/>
  <c r="BK146" i="14"/>
  <c r="AU602" i="14"/>
  <c r="BA194" i="14"/>
  <c r="BO579" i="14"/>
  <c r="AY158" i="14"/>
  <c r="BI62" i="14"/>
  <c r="BI291" i="14"/>
  <c r="AW411" i="14"/>
  <c r="BI99" i="14"/>
  <c r="BQ639" i="14"/>
  <c r="BA338" i="14"/>
  <c r="AY302" i="14"/>
  <c r="AU626" i="14"/>
  <c r="BO566" i="14"/>
  <c r="AU566" i="14"/>
  <c r="BG86" i="14"/>
  <c r="AU470" i="14"/>
  <c r="AY410" i="14"/>
  <c r="BA662" i="14"/>
  <c r="AU183" i="14"/>
  <c r="BK399" i="14"/>
  <c r="BM206" i="14"/>
  <c r="BI602" i="14"/>
  <c r="BE446" i="14"/>
  <c r="AU614" i="14"/>
  <c r="AW615" i="14"/>
  <c r="AW579" i="14"/>
  <c r="BE134" i="14"/>
  <c r="AY590" i="14"/>
  <c r="BA602" i="14"/>
  <c r="BK50" i="14"/>
  <c r="BQ38" i="14"/>
  <c r="BE50" i="14"/>
  <c r="BM74" i="14"/>
  <c r="BO665" i="14"/>
  <c r="BM626" i="14"/>
  <c r="BG206" i="14"/>
  <c r="BM483" i="14"/>
  <c r="AY602" i="14"/>
  <c r="BI374" i="14"/>
  <c r="BE74" i="14"/>
  <c r="AY471" i="14"/>
  <c r="BQ244" i="14"/>
  <c r="AU530" i="14"/>
  <c r="BI338" i="14"/>
  <c r="AY170" i="14"/>
  <c r="BQ567" i="14"/>
  <c r="BI638" i="14"/>
  <c r="AW87" i="14"/>
  <c r="BI326" i="14"/>
  <c r="BI327" i="14" s="1"/>
  <c r="BI328" i="14" s="1"/>
  <c r="BI302" i="14"/>
  <c r="BQ278" i="14"/>
  <c r="AW231" i="14"/>
  <c r="AW232" i="14" s="1"/>
  <c r="BC434" i="14"/>
  <c r="BK183" i="14"/>
  <c r="BQ362" i="14"/>
  <c r="AY50" i="14"/>
  <c r="AY51" i="14" s="1"/>
  <c r="BK374" i="14"/>
  <c r="BC50" i="14"/>
  <c r="AU446" i="14"/>
  <c r="AU447" i="14" s="1"/>
  <c r="AU448" i="14" s="1"/>
  <c r="BO50" i="14"/>
  <c r="BI626" i="14"/>
  <c r="BE266" i="14"/>
  <c r="BC554" i="14"/>
  <c r="BC555" i="14" s="1"/>
  <c r="BA207" i="14"/>
  <c r="BA208" i="14" s="1"/>
  <c r="BQ123" i="14"/>
  <c r="AW554" i="14"/>
  <c r="BC638" i="14"/>
  <c r="BC639" i="14" s="1"/>
  <c r="AU302" i="14"/>
  <c r="AY640" i="14"/>
  <c r="AY641" i="14" s="1"/>
  <c r="BI350" i="14"/>
  <c r="BM87" i="14"/>
  <c r="BM88" i="14" s="1"/>
  <c r="BG674" i="14"/>
  <c r="BO194" i="14"/>
  <c r="BE555" i="14"/>
  <c r="BC662" i="14"/>
  <c r="BG566" i="14"/>
  <c r="BE170" i="14"/>
  <c r="BK242" i="14"/>
  <c r="BI614" i="14"/>
  <c r="AY230" i="14"/>
  <c r="AY231" i="14" s="1"/>
  <c r="AY254" i="14"/>
  <c r="BO614" i="14"/>
  <c r="BA98" i="14"/>
  <c r="BA99" i="14" s="1"/>
  <c r="BA242" i="14"/>
  <c r="BO674" i="14"/>
  <c r="BA483" i="14"/>
  <c r="BI458" i="14"/>
  <c r="BQ146" i="14"/>
  <c r="BQ422" i="14"/>
  <c r="BI434" i="14"/>
  <c r="BO290" i="14"/>
  <c r="BG374" i="14"/>
  <c r="AW398" i="14"/>
  <c r="BM63" i="14"/>
  <c r="AW494" i="14"/>
  <c r="AW182" i="14"/>
  <c r="BE410" i="14"/>
  <c r="BM110" i="14"/>
  <c r="BK555" i="14"/>
  <c r="BA315" i="14"/>
  <c r="BA411" i="14"/>
  <c r="AY543" i="14"/>
  <c r="AY544" i="14" s="1"/>
  <c r="BK207" i="14"/>
  <c r="BK614" i="14"/>
  <c r="BM302" i="14"/>
  <c r="BA134" i="14"/>
  <c r="AY494" i="14"/>
  <c r="BG278" i="14"/>
  <c r="BI230" i="14"/>
  <c r="BA350" i="14"/>
  <c r="AW566" i="14"/>
  <c r="BO134" i="14"/>
  <c r="BI206" i="14"/>
  <c r="AU254" i="14"/>
  <c r="BK482" i="14"/>
  <c r="AU98" i="14"/>
  <c r="BQ50" i="14"/>
  <c r="AW662" i="14"/>
  <c r="AW254" i="14"/>
  <c r="BC582" i="14"/>
  <c r="BQ194" i="14"/>
  <c r="BO399" i="14"/>
  <c r="BM230" i="14"/>
  <c r="AU374" i="14"/>
  <c r="AY362" i="14"/>
  <c r="BC62" i="14"/>
  <c r="BC63" i="14" s="1"/>
  <c r="BC194" i="14"/>
  <c r="BM255" i="14"/>
  <c r="BI554" i="14"/>
  <c r="AU386" i="14"/>
  <c r="BE398" i="14"/>
  <c r="BA494" i="14"/>
  <c r="BQ662" i="14"/>
  <c r="BQ663" i="14" s="1"/>
  <c r="BK63" i="14"/>
  <c r="BK64" i="14" s="1"/>
  <c r="BK65" i="14" s="1"/>
  <c r="BG627" i="14"/>
  <c r="BG628" i="14" s="1"/>
  <c r="BA303" i="14"/>
  <c r="BA304" i="14" s="1"/>
  <c r="BC110" i="14"/>
  <c r="AU292" i="14"/>
  <c r="AU293" i="14" s="1"/>
  <c r="BQ266" i="14"/>
  <c r="BQ267" i="14" s="1"/>
  <c r="AU158" i="14"/>
  <c r="BQ290" i="14"/>
  <c r="BA651" i="14"/>
  <c r="BK86" i="14"/>
  <c r="BE422" i="14"/>
  <c r="BC134" i="14"/>
  <c r="BI86" i="14"/>
  <c r="AY662" i="14"/>
  <c r="AW674" i="14"/>
  <c r="BG458" i="14"/>
  <c r="BM422" i="14"/>
  <c r="AY110" i="14"/>
  <c r="BM362" i="14"/>
  <c r="AW327" i="14"/>
  <c r="BQ74" i="14"/>
  <c r="AU122" i="14"/>
  <c r="BO86" i="14"/>
  <c r="BA326" i="14"/>
  <c r="AY566" i="14"/>
  <c r="BI531" i="14"/>
  <c r="BA86" i="14"/>
  <c r="AU674" i="14"/>
  <c r="AU398" i="14"/>
  <c r="BG50" i="14"/>
  <c r="BG350" i="14"/>
  <c r="AY62" i="14"/>
  <c r="AW207" i="14"/>
  <c r="BE386" i="14"/>
  <c r="BQ626" i="14"/>
  <c r="BG506" i="14"/>
  <c r="BA542" i="14"/>
  <c r="BK326" i="14"/>
  <c r="BA470" i="14"/>
  <c r="BA255" i="14"/>
  <c r="BI482" i="14"/>
  <c r="BA170" i="14"/>
  <c r="BG147" i="14"/>
  <c r="BM218" i="14"/>
  <c r="BG590" i="14"/>
  <c r="AU662" i="14"/>
  <c r="BE122" i="14"/>
  <c r="AW266" i="14"/>
  <c r="BC506" i="14"/>
  <c r="BG602" i="14"/>
  <c r="AU50" i="14"/>
  <c r="BC518" i="14"/>
  <c r="BC374" i="14"/>
  <c r="BC375" i="14" s="1"/>
  <c r="BE278" i="14"/>
  <c r="BQ578" i="14"/>
  <c r="BI494" i="14"/>
  <c r="BA122" i="14"/>
  <c r="AW446" i="14"/>
  <c r="BM326" i="14"/>
  <c r="BC254" i="14"/>
  <c r="AY422" i="14"/>
  <c r="BE350" i="14"/>
  <c r="BI446" i="14"/>
  <c r="BC470" i="14"/>
  <c r="BG302" i="14"/>
  <c r="AY194" i="14"/>
  <c r="BK230" i="14"/>
  <c r="BM638" i="14"/>
  <c r="BG254" i="14"/>
  <c r="AY530" i="14"/>
  <c r="BM470" i="14"/>
  <c r="AW434" i="14"/>
  <c r="BA554" i="14"/>
  <c r="BO110" i="14"/>
  <c r="BE626" i="14"/>
  <c r="BK111" i="14"/>
  <c r="AW518" i="14"/>
  <c r="BQ327" i="14"/>
  <c r="AU267" i="14"/>
  <c r="BK578" i="14"/>
  <c r="BI278" i="14"/>
  <c r="BG170" i="14"/>
  <c r="BE98" i="14"/>
  <c r="BO339" i="14"/>
  <c r="BQ219" i="14"/>
  <c r="BM375" i="14"/>
  <c r="BC531" i="14"/>
  <c r="BK650" i="14"/>
  <c r="AU578" i="14"/>
  <c r="BO182" i="14"/>
  <c r="BK518" i="14"/>
  <c r="AY675" i="14"/>
  <c r="BI663" i="14"/>
  <c r="BC123" i="14"/>
  <c r="BA567" i="14"/>
  <c r="BO230" i="14"/>
  <c r="BE206" i="14"/>
  <c r="BI567" i="14"/>
  <c r="AW122" i="14"/>
  <c r="AY206" i="14"/>
  <c r="AU650" i="14"/>
  <c r="BQ590" i="14"/>
  <c r="BG470" i="14"/>
  <c r="BQ458" i="14"/>
  <c r="BE374" i="14"/>
  <c r="BA218" i="14"/>
  <c r="BC314" i="14"/>
  <c r="BM195" i="14"/>
  <c r="BA183" i="14"/>
  <c r="AW422" i="14"/>
  <c r="BO255" i="14"/>
  <c r="BC458" i="14"/>
  <c r="BQ507" i="14"/>
  <c r="BO98" i="14"/>
  <c r="BO62" i="14"/>
  <c r="AW362" i="14"/>
  <c r="BA230" i="14"/>
  <c r="AW62" i="14"/>
  <c r="AY482" i="14"/>
  <c r="BM542" i="14"/>
  <c r="BQ530" i="14"/>
  <c r="AU351" i="14"/>
  <c r="AY86" i="14"/>
  <c r="AU458" i="14"/>
  <c r="BI674" i="14"/>
  <c r="BE146" i="14"/>
  <c r="BK98" i="14"/>
  <c r="BQ350" i="14"/>
  <c r="BA674" i="14"/>
  <c r="AU171" i="14"/>
  <c r="AY653" i="14"/>
  <c r="BI74" i="14"/>
  <c r="BG555" i="14"/>
  <c r="BA530" i="14"/>
  <c r="BO362" i="14"/>
  <c r="BC158" i="14"/>
  <c r="BM578" i="14"/>
  <c r="BM410" i="14"/>
  <c r="BQ398" i="14"/>
  <c r="BK470" i="14"/>
  <c r="BE530" i="14"/>
  <c r="BC350" i="14"/>
  <c r="BC302" i="14"/>
  <c r="AU62" i="14"/>
  <c r="BG650" i="14"/>
  <c r="AW350" i="14"/>
  <c r="BC386" i="14"/>
  <c r="BA519" i="14"/>
  <c r="BA590" i="14"/>
  <c r="BC242" i="14"/>
  <c r="BO446" i="14"/>
  <c r="BO507" i="14"/>
  <c r="BI518" i="14"/>
  <c r="BC290" i="14"/>
  <c r="BO422" i="14"/>
  <c r="BM398" i="14"/>
  <c r="BE482" i="14"/>
  <c r="AU363" i="14"/>
  <c r="BM531" i="14"/>
  <c r="BQ410" i="14"/>
  <c r="AY182" i="14"/>
  <c r="BC399" i="14"/>
  <c r="BM602" i="14"/>
  <c r="BO410" i="14"/>
  <c r="BC74" i="14"/>
  <c r="AY446" i="14"/>
  <c r="BE111" i="14"/>
  <c r="BI506" i="14"/>
  <c r="BA158" i="14"/>
  <c r="AW316" i="14"/>
  <c r="BC267" i="14"/>
  <c r="AU554" i="14"/>
  <c r="BG662" i="14"/>
  <c r="BM506" i="14"/>
  <c r="BK602" i="14"/>
  <c r="BM146" i="14"/>
  <c r="BG134" i="14"/>
  <c r="BO519" i="14"/>
  <c r="BG111" i="14"/>
  <c r="BK447" i="14"/>
  <c r="AY507" i="14"/>
  <c r="BA290" i="14"/>
  <c r="BC542" i="14"/>
  <c r="BK638" i="14"/>
  <c r="BK194" i="14"/>
  <c r="BA446" i="14"/>
  <c r="AW602" i="14"/>
  <c r="BQ434" i="14"/>
  <c r="AW506" i="14"/>
  <c r="BM171" i="14"/>
  <c r="BQ386" i="14"/>
  <c r="BQ614" i="14"/>
  <c r="BQ555" i="14"/>
  <c r="BE242" i="14"/>
  <c r="BC650" i="14"/>
  <c r="BQ674" i="14"/>
  <c r="BI363" i="14"/>
  <c r="AW530" i="14"/>
  <c r="BE495" i="14"/>
  <c r="AY326" i="14"/>
  <c r="BO626" i="14"/>
  <c r="AW374" i="14"/>
  <c r="BC446" i="14"/>
  <c r="AW482" i="14"/>
  <c r="BA398" i="14"/>
  <c r="BI578" i="14"/>
  <c r="BI147" i="14"/>
  <c r="BA507" i="14"/>
  <c r="AY338" i="14"/>
  <c r="AU243" i="14"/>
  <c r="BI194" i="14"/>
  <c r="BI266" i="14"/>
  <c r="BA362" i="14"/>
  <c r="BM434" i="14"/>
  <c r="AU110" i="14"/>
  <c r="BG231" i="14"/>
  <c r="BK302" i="14"/>
  <c r="BK362" i="14"/>
  <c r="BC566" i="14"/>
  <c r="BQ543" i="14"/>
  <c r="BK171" i="14"/>
  <c r="BC230" i="14"/>
  <c r="BM554" i="14"/>
  <c r="BG99" i="14"/>
  <c r="BQ110" i="14"/>
  <c r="BQ134" i="14"/>
  <c r="BO590" i="14"/>
  <c r="BO554" i="14"/>
  <c r="BQ314" i="14"/>
  <c r="BE183" i="14"/>
  <c r="BE317" i="14"/>
  <c r="BA386" i="14"/>
  <c r="BM386" i="14"/>
  <c r="AU518" i="14"/>
  <c r="AY386" i="14"/>
  <c r="BG314" i="14"/>
  <c r="BO638" i="14"/>
  <c r="AY146" i="14"/>
  <c r="BE435" i="14"/>
  <c r="BQ183" i="14"/>
  <c r="BI255" i="14"/>
  <c r="BG123" i="14"/>
  <c r="BG64" i="14"/>
  <c r="BG65" i="14" s="1"/>
  <c r="BE339" i="14"/>
  <c r="BG159" i="14"/>
  <c r="BE219" i="14"/>
  <c r="BM51" i="14"/>
  <c r="AW147" i="14"/>
  <c r="BQ603" i="14"/>
  <c r="BM315" i="14"/>
  <c r="BO123" i="14"/>
  <c r="BK495" i="14"/>
  <c r="AW111" i="14"/>
  <c r="BI387" i="14"/>
  <c r="BE651" i="14"/>
  <c r="BM268" i="14"/>
  <c r="AY279" i="14"/>
  <c r="BO351" i="14"/>
  <c r="BC483" i="14"/>
  <c r="BA63" i="14"/>
  <c r="AU591" i="14"/>
  <c r="BO471" i="14"/>
  <c r="BI171" i="14"/>
  <c r="AY315" i="14"/>
  <c r="AY135" i="14"/>
  <c r="BQ174" i="14"/>
  <c r="AW279" i="14"/>
  <c r="BM459" i="14"/>
  <c r="BM519" i="14"/>
  <c r="BK507" i="14"/>
  <c r="AU543" i="14"/>
  <c r="BC627" i="14"/>
  <c r="BM159" i="14"/>
  <c r="BG339" i="14"/>
  <c r="BC171" i="14"/>
  <c r="BQ99" i="14"/>
  <c r="BE64" i="14"/>
  <c r="BQ473" i="14"/>
  <c r="BO436" i="14"/>
  <c r="BO208" i="14"/>
  <c r="BO496" i="14"/>
  <c r="DI44" i="14"/>
  <c r="BE292" i="14"/>
  <c r="BG412" i="14"/>
  <c r="BE640" i="14"/>
  <c r="BK532" i="14"/>
  <c r="BM352" i="14"/>
  <c r="BI400" i="14"/>
  <c r="BA628" i="14"/>
  <c r="BK160" i="14"/>
  <c r="AY244" i="14"/>
  <c r="BO172" i="14"/>
  <c r="AY400" i="14"/>
  <c r="BM652" i="14"/>
  <c r="AY352" i="14"/>
  <c r="BI592" i="14"/>
  <c r="BE364" i="14"/>
  <c r="AU208" i="14"/>
  <c r="BM280" i="14"/>
  <c r="BG388" i="14"/>
  <c r="BI652" i="14"/>
  <c r="AW160" i="14"/>
  <c r="BQ520" i="14"/>
  <c r="BO268" i="14"/>
  <c r="BC604" i="14"/>
  <c r="AW640" i="14"/>
  <c r="BK268" i="14"/>
  <c r="BA424" i="14"/>
  <c r="BC676" i="14"/>
  <c r="AW244" i="14"/>
  <c r="BI472" i="14"/>
  <c r="BK316" i="14"/>
  <c r="BC88" i="14"/>
  <c r="BM592" i="14"/>
  <c r="BQ496" i="14"/>
  <c r="AY76" i="14"/>
  <c r="AW472" i="14"/>
  <c r="AU340" i="14"/>
  <c r="AW388" i="14"/>
  <c r="BE232" i="14"/>
  <c r="BG364" i="14"/>
  <c r="BO532" i="14"/>
  <c r="BQ160" i="14"/>
  <c r="AU508" i="14"/>
  <c r="AY460" i="14"/>
  <c r="BM664" i="14"/>
  <c r="BO160" i="14"/>
  <c r="BK220" i="14"/>
  <c r="BQ340" i="14"/>
  <c r="AW652" i="14"/>
  <c r="BK340" i="14"/>
  <c r="BC340" i="14"/>
  <c r="AW220" i="14"/>
  <c r="BC280" i="14"/>
  <c r="BC184" i="14"/>
  <c r="BI124" i="14"/>
  <c r="BG436" i="14"/>
  <c r="BI220" i="14"/>
  <c r="BO544" i="14"/>
  <c r="AU136" i="14"/>
  <c r="BQ256" i="14"/>
  <c r="BO220" i="14"/>
  <c r="BE196" i="14"/>
  <c r="BA376" i="14"/>
  <c r="BO388" i="14"/>
  <c r="BI412" i="14"/>
  <c r="BG640" i="14"/>
  <c r="BO376" i="14"/>
  <c r="BG400" i="14"/>
  <c r="AU316" i="14"/>
  <c r="BG448" i="14"/>
  <c r="AY628" i="14"/>
  <c r="AU484" i="14"/>
  <c r="BM568" i="14"/>
  <c r="BI316" i="14"/>
  <c r="AW172" i="14"/>
  <c r="BM136" i="14"/>
  <c r="BE676" i="14"/>
  <c r="BE580" i="14"/>
  <c r="BM496" i="14"/>
  <c r="AW628" i="14"/>
  <c r="BG544" i="14"/>
  <c r="BG76" i="14"/>
  <c r="AY220" i="14"/>
  <c r="AY100" i="14"/>
  <c r="AU76" i="14"/>
  <c r="BA148" i="14"/>
  <c r="BM676" i="14"/>
  <c r="BC424" i="14"/>
  <c r="BK256" i="14"/>
  <c r="BG268" i="14"/>
  <c r="BE160" i="14"/>
  <c r="AW76" i="14"/>
  <c r="AW340" i="14"/>
  <c r="BG616" i="14"/>
  <c r="BK124" i="14"/>
  <c r="BM292" i="14"/>
  <c r="BQ304" i="14"/>
  <c r="BK664" i="14"/>
  <c r="BG220" i="14"/>
  <c r="BG184" i="14"/>
  <c r="BQ448" i="14"/>
  <c r="BM101" i="14"/>
  <c r="BO653" i="14"/>
  <c r="AY557" i="14"/>
  <c r="AY270" i="14"/>
  <c r="AY293" i="14"/>
  <c r="BC209" i="14"/>
  <c r="BO462" i="14"/>
  <c r="BE473" i="14"/>
  <c r="BC221" i="14"/>
  <c r="BM341" i="14"/>
  <c r="BK545" i="14"/>
  <c r="BG521" i="14"/>
  <c r="BE569" i="14"/>
  <c r="BK77" i="14"/>
  <c r="BO77" i="14"/>
  <c r="BC365" i="14"/>
  <c r="BM245" i="14"/>
  <c r="BE305" i="14"/>
  <c r="BK593" i="14"/>
  <c r="BA617" i="14"/>
  <c r="BE329" i="14"/>
  <c r="BC101" i="14"/>
  <c r="AW461" i="14"/>
  <c r="BG425" i="14"/>
  <c r="BC593" i="14"/>
  <c r="AY617" i="14"/>
  <c r="AY521" i="14"/>
  <c r="AY125" i="14"/>
  <c r="AU641" i="14"/>
  <c r="AU221" i="14"/>
  <c r="BQ485" i="14"/>
  <c r="BC617" i="14"/>
  <c r="BC329" i="14"/>
  <c r="BE89" i="14"/>
  <c r="BQ65" i="14"/>
  <c r="BM617" i="14"/>
  <c r="AW137" i="14"/>
  <c r="BO317" i="14"/>
  <c r="AU497" i="14"/>
  <c r="BK281" i="14"/>
  <c r="AU233" i="14"/>
  <c r="BO281" i="14"/>
  <c r="BC149" i="14"/>
  <c r="BK293" i="14"/>
  <c r="BI137" i="14"/>
  <c r="AU425" i="14"/>
  <c r="BE257" i="14"/>
  <c r="BG497" i="14"/>
  <c r="AU329" i="14"/>
  <c r="BG293" i="14"/>
  <c r="AW545" i="14"/>
  <c r="BQ209" i="14"/>
  <c r="BK629" i="14"/>
  <c r="AW101" i="14"/>
  <c r="BA281" i="14"/>
  <c r="BG329" i="14"/>
  <c r="BA581" i="14"/>
  <c r="BC497" i="14"/>
  <c r="BE617" i="14"/>
  <c r="BE509" i="14"/>
  <c r="AU413" i="14"/>
  <c r="BK461" i="14"/>
  <c r="BE665" i="14"/>
  <c r="BG533" i="14"/>
  <c r="AW53" i="14"/>
  <c r="BK353" i="14"/>
  <c r="AU89" i="14"/>
  <c r="BA113" i="14"/>
  <c r="BQ653" i="14"/>
  <c r="BO150" i="14"/>
  <c r="BO306" i="14"/>
  <c r="BE522" i="14"/>
  <c r="BM127" i="14"/>
  <c r="BM128" i="14" s="1"/>
  <c r="BM129" i="14" s="1"/>
  <c r="BM130" i="14" s="1"/>
  <c r="BO606" i="14"/>
  <c r="BK678" i="14"/>
  <c r="BK570" i="14"/>
  <c r="BA54" i="14"/>
  <c r="AW198" i="14"/>
  <c r="BG198" i="14"/>
  <c r="BG486" i="14"/>
  <c r="BK390" i="14"/>
  <c r="AU442" i="14"/>
  <c r="BI250" i="14"/>
  <c r="BA646" i="14"/>
  <c r="AJ50" i="43"/>
  <c r="E49" i="43" s="1"/>
  <c r="DG45" i="14"/>
  <c r="DH45" i="14" s="1"/>
  <c r="BH241" i="14"/>
  <c r="BH158" i="14"/>
  <c r="AV362" i="14"/>
  <c r="AV339" i="14"/>
  <c r="BP531" i="14"/>
  <c r="AX553" i="14"/>
  <c r="AV350" i="14"/>
  <c r="BN674" i="14"/>
  <c r="BN361" i="14"/>
  <c r="BH197" i="14"/>
  <c r="BB229" i="14"/>
  <c r="BR326" i="14"/>
  <c r="BH387" i="14"/>
  <c r="BD157" i="14"/>
  <c r="BL592" i="14"/>
  <c r="AX136" i="14"/>
  <c r="BD349" i="14"/>
  <c r="BH589" i="14"/>
  <c r="AZ399" i="14"/>
  <c r="BB53" i="14"/>
  <c r="BP435" i="14"/>
  <c r="BL182" i="14"/>
  <c r="BL338" i="14"/>
  <c r="BD207" i="14"/>
  <c r="BF121" i="14"/>
  <c r="BH62" i="14"/>
  <c r="BH411" i="14"/>
  <c r="AV424" i="14"/>
  <c r="BN457" i="14"/>
  <c r="BD49" i="14"/>
  <c r="BN244" i="14"/>
  <c r="BB518" i="14"/>
  <c r="BD423" i="14"/>
  <c r="BL517" i="14"/>
  <c r="BL398" i="14"/>
  <c r="BJ445" i="14"/>
  <c r="AV661" i="14"/>
  <c r="BD364" i="14"/>
  <c r="BD494" i="14"/>
  <c r="AV496" i="14"/>
  <c r="BL421" i="14"/>
  <c r="BN267" i="14"/>
  <c r="BB157" i="14"/>
  <c r="AX301" i="14"/>
  <c r="BP543" i="14"/>
  <c r="BH110" i="14"/>
  <c r="BD603" i="14"/>
  <c r="BB397" i="14"/>
  <c r="AV412" i="14"/>
  <c r="AZ313" i="14"/>
  <c r="BJ337" i="14"/>
  <c r="AZ181" i="14"/>
  <c r="AX205" i="14"/>
  <c r="BN109" i="14"/>
  <c r="BP506" i="14"/>
  <c r="BH85" i="14"/>
  <c r="BP530" i="14"/>
  <c r="BF73" i="14"/>
  <c r="BP97" i="14"/>
  <c r="AV182" i="14"/>
  <c r="BN433" i="14"/>
  <c r="BD626" i="14"/>
  <c r="BF663" i="14"/>
  <c r="BP109" i="14"/>
  <c r="BN530" i="14"/>
  <c r="BJ505" i="14"/>
  <c r="BF421" i="14"/>
  <c r="BN351" i="14"/>
  <c r="BF194" i="14"/>
  <c r="BN86" i="14"/>
  <c r="BB469" i="14"/>
  <c r="AZ243" i="14"/>
  <c r="BB314" i="14"/>
  <c r="BR193" i="14"/>
  <c r="BR519" i="14"/>
  <c r="AX505" i="14"/>
  <c r="BL663" i="14"/>
  <c r="BP219" i="14"/>
  <c r="BN291" i="14"/>
  <c r="BD505" i="14"/>
  <c r="AZ325" i="14"/>
  <c r="BL280" i="14"/>
  <c r="BL446" i="14"/>
  <c r="BR62" i="14"/>
  <c r="BL291" i="14"/>
  <c r="BL138" i="14"/>
  <c r="BL145" i="14"/>
  <c r="BL569" i="14"/>
  <c r="AV640" i="14"/>
  <c r="BD493" i="14"/>
  <c r="BF338" i="14"/>
  <c r="AZ601" i="14"/>
  <c r="AZ421" i="14"/>
  <c r="BF110" i="14"/>
  <c r="BF373" i="14"/>
  <c r="BH638" i="14"/>
  <c r="BF578" i="14"/>
  <c r="BJ136" i="14"/>
  <c r="BN314" i="14"/>
  <c r="AX410" i="14"/>
  <c r="BR673" i="14"/>
  <c r="BR349" i="14"/>
  <c r="AX517" i="14"/>
  <c r="BB482" i="14"/>
  <c r="BF217" i="14"/>
  <c r="BP169" i="14"/>
  <c r="BF579" i="14"/>
  <c r="AV88" i="14"/>
  <c r="BR182" i="14"/>
  <c r="AV649" i="14"/>
  <c r="BJ181" i="14"/>
  <c r="AZ409" i="14"/>
  <c r="BP181" i="14"/>
  <c r="BN50" i="14"/>
  <c r="BJ517" i="14"/>
  <c r="BR98" i="14"/>
  <c r="BR265" i="14"/>
  <c r="AV542" i="14"/>
  <c r="BP495" i="14"/>
  <c r="BJ471" i="14"/>
  <c r="BR122" i="14"/>
  <c r="AX243" i="14"/>
  <c r="BL361" i="14"/>
  <c r="AV231" i="14"/>
  <c r="BH133" i="14"/>
  <c r="AV469" i="14"/>
  <c r="BJ229" i="14"/>
  <c r="BD339" i="14"/>
  <c r="BF277" i="14"/>
  <c r="AZ109" i="14"/>
  <c r="BR494" i="14"/>
  <c r="BR661" i="14"/>
  <c r="BH146" i="14"/>
  <c r="BN458" i="14"/>
  <c r="BP85" i="14"/>
  <c r="BH673" i="14"/>
  <c r="BF385" i="14"/>
  <c r="AX326" i="14"/>
  <c r="BP589" i="14"/>
  <c r="BD109" i="14"/>
  <c r="BR49" i="14"/>
  <c r="BB580" i="14"/>
  <c r="BD637" i="14"/>
  <c r="BJ411" i="14"/>
  <c r="AX481" i="14"/>
  <c r="BR173" i="14"/>
  <c r="AV278" i="14"/>
  <c r="BF664" i="14"/>
  <c r="BH75" i="14"/>
  <c r="BB616" i="14"/>
  <c r="BD338" i="14"/>
  <c r="BD73" i="14"/>
  <c r="BL266" i="14"/>
  <c r="BL677" i="14"/>
  <c r="BR397" i="14"/>
  <c r="BJ362" i="14"/>
  <c r="BJ73" i="14"/>
  <c r="BN518" i="14"/>
  <c r="BB62" i="14"/>
  <c r="BR229" i="14"/>
  <c r="BH338" i="14"/>
  <c r="BH373" i="14"/>
  <c r="BF133" i="14"/>
  <c r="BJ254" i="14"/>
  <c r="BF159" i="14"/>
  <c r="BJ433" i="14"/>
  <c r="BR63" i="14"/>
  <c r="BN182" i="14"/>
  <c r="BB626" i="14"/>
  <c r="BF181" i="14"/>
  <c r="BP229" i="14"/>
  <c r="AV266" i="14"/>
  <c r="BR421" i="14"/>
  <c r="BP76" i="14"/>
  <c r="AV207" i="14"/>
  <c r="BJ399" i="14"/>
  <c r="BH242" i="14"/>
  <c r="BF337" i="14"/>
  <c r="AX110" i="14"/>
  <c r="BR361" i="14"/>
  <c r="AZ337" i="14"/>
  <c r="BL613" i="14"/>
  <c r="BD409" i="14"/>
  <c r="BL255" i="14"/>
  <c r="BJ349" i="14"/>
  <c r="AV242" i="14"/>
  <c r="BB182" i="14"/>
  <c r="BH496" i="14"/>
  <c r="BN541" i="14"/>
  <c r="BF568" i="14"/>
  <c r="BJ290" i="14"/>
  <c r="BF625" i="14"/>
  <c r="BH328" i="14"/>
  <c r="BL481" i="14"/>
  <c r="BF649" i="14"/>
  <c r="BB650" i="14"/>
  <c r="BB313" i="14"/>
  <c r="AV241" i="14"/>
  <c r="BB61" i="14"/>
  <c r="BF457" i="14"/>
  <c r="AZ268" i="14"/>
  <c r="AV146" i="14"/>
  <c r="AV565" i="14"/>
  <c r="BJ625" i="14"/>
  <c r="BP637" i="14"/>
  <c r="BD279" i="14"/>
  <c r="BJ170" i="14"/>
  <c r="BR602" i="14"/>
  <c r="BN158" i="14"/>
  <c r="BN567" i="14"/>
  <c r="AV232" i="14"/>
  <c r="BN135" i="14"/>
  <c r="BP518" i="14"/>
  <c r="AZ459" i="14"/>
  <c r="BL325" i="14"/>
  <c r="BP121" i="14"/>
  <c r="BL267" i="14"/>
  <c r="BP445" i="14"/>
  <c r="BB193" i="14"/>
  <c r="AZ434" i="14"/>
  <c r="BN279" i="14"/>
  <c r="BN409" i="14"/>
  <c r="BJ315" i="14"/>
  <c r="BD495" i="14"/>
  <c r="BN217" i="14"/>
  <c r="BF494" i="14"/>
  <c r="BF316" i="14"/>
  <c r="BH579" i="14"/>
  <c r="BR554" i="14"/>
  <c r="AZ589" i="14"/>
  <c r="BJ61" i="14"/>
  <c r="BH398" i="14"/>
  <c r="AX51" i="14"/>
  <c r="BJ662" i="14"/>
  <c r="BN625" i="14"/>
  <c r="BP605" i="14"/>
  <c r="BL351" i="14"/>
  <c r="BR625" i="14"/>
  <c r="BL193" i="14"/>
  <c r="BB147" i="14"/>
  <c r="BB481" i="14"/>
  <c r="BB433" i="14"/>
  <c r="BJ313" i="14"/>
  <c r="BL301" i="14"/>
  <c r="BP361" i="14"/>
  <c r="BL170" i="14"/>
  <c r="BB627" i="14"/>
  <c r="AZ470" i="14"/>
  <c r="BR409" i="14"/>
  <c r="AZ61" i="14"/>
  <c r="AV97" i="14"/>
  <c r="BL409" i="14"/>
  <c r="BF521" i="14"/>
  <c r="BD193" i="14"/>
  <c r="BF662" i="14"/>
  <c r="BB241" i="14"/>
  <c r="BR484" i="14"/>
  <c r="AX361" i="14"/>
  <c r="BN374" i="14"/>
  <c r="BF97" i="14"/>
  <c r="BR638" i="14"/>
  <c r="BF553" i="14"/>
  <c r="BN73" i="14"/>
  <c r="BD661" i="14"/>
  <c r="AV553" i="14"/>
  <c r="BD649" i="14"/>
  <c r="BB661" i="14"/>
  <c r="BD675" i="14"/>
  <c r="BD433" i="14"/>
  <c r="AZ577" i="14"/>
  <c r="BD229" i="14"/>
  <c r="AX314" i="14"/>
  <c r="BN637" i="14"/>
  <c r="AX265" i="14"/>
  <c r="BD253" i="14"/>
  <c r="AZ506" i="14"/>
  <c r="BP159" i="14"/>
  <c r="BN340" i="14"/>
  <c r="AV220" i="14"/>
  <c r="BB506" i="14"/>
  <c r="BB121" i="14"/>
  <c r="BD398" i="14"/>
  <c r="AZ638" i="14"/>
  <c r="BB505" i="14"/>
  <c r="AX433" i="14"/>
  <c r="BB266" i="14"/>
  <c r="BN170" i="14"/>
  <c r="BB601" i="14"/>
  <c r="BH205" i="14"/>
  <c r="BD133" i="14"/>
  <c r="BJ146" i="14"/>
  <c r="BD482" i="14"/>
  <c r="AX75" i="14"/>
  <c r="AV373" i="14"/>
  <c r="BP578" i="14"/>
  <c r="BB337" i="14"/>
  <c r="AX493" i="14"/>
  <c r="BP470" i="14"/>
  <c r="BF639" i="14"/>
  <c r="BL506" i="14"/>
  <c r="BR145" i="14"/>
  <c r="AV529" i="14"/>
  <c r="BB280" i="14"/>
  <c r="AX74" i="14"/>
  <c r="BJ673" i="14"/>
  <c r="BN301" i="14"/>
  <c r="AX397" i="14"/>
  <c r="BB673" i="14"/>
  <c r="BN62" i="14"/>
  <c r="BL337" i="14"/>
  <c r="BL637" i="14"/>
  <c r="BF445" i="14"/>
  <c r="BB517" i="14"/>
  <c r="BP158" i="14"/>
  <c r="BN482" i="14"/>
  <c r="BF145" i="14"/>
  <c r="BL241" i="14"/>
  <c r="AV349" i="14"/>
  <c r="BJ123" i="14"/>
  <c r="BN445" i="14"/>
  <c r="BP49" i="14"/>
  <c r="AV385" i="14"/>
  <c r="AX614" i="14"/>
  <c r="BL218" i="14"/>
  <c r="AZ291" i="14"/>
  <c r="BF616" i="14"/>
  <c r="BP254" i="14"/>
  <c r="BR255" i="14"/>
  <c r="BL229" i="14"/>
  <c r="BJ457" i="14"/>
  <c r="AZ639" i="14"/>
  <c r="BJ481" i="14"/>
  <c r="AX197" i="14"/>
  <c r="AZ565" i="14"/>
  <c r="BD183" i="14"/>
  <c r="AZ253" i="14"/>
  <c r="BD554" i="14"/>
  <c r="AZ314" i="14"/>
  <c r="AZ529" i="14"/>
  <c r="BJ314" i="14"/>
  <c r="BR433" i="14"/>
  <c r="BL543" i="14"/>
  <c r="BL97" i="14"/>
  <c r="BF231" i="14"/>
  <c r="BH601" i="14"/>
  <c r="BN325" i="14"/>
  <c r="BL352" i="14"/>
  <c r="BP243" i="14"/>
  <c r="BP398" i="14"/>
  <c r="BL649" i="14"/>
  <c r="AV301" i="14"/>
  <c r="AV507" i="14"/>
  <c r="BL494" i="14"/>
  <c r="BJ530" i="14"/>
  <c r="BL601" i="14"/>
  <c r="BR495" i="14"/>
  <c r="BJ651" i="14"/>
  <c r="BL339" i="14"/>
  <c r="BH457" i="14"/>
  <c r="AZ134" i="14"/>
  <c r="AV601" i="14"/>
  <c r="AZ616" i="14"/>
  <c r="BJ577" i="14"/>
  <c r="BH485" i="14"/>
  <c r="BP625" i="14"/>
  <c r="BR472" i="14"/>
  <c r="BD148" i="14"/>
  <c r="BD87" i="14"/>
  <c r="AV121" i="14"/>
  <c r="BR64" i="14"/>
  <c r="AV157" i="14"/>
  <c r="BD445" i="14"/>
  <c r="BN651" i="14"/>
  <c r="BR109" i="14"/>
  <c r="BN254" i="14"/>
  <c r="BP316" i="14"/>
  <c r="BN675" i="14"/>
  <c r="AZ219" i="14"/>
  <c r="BP349" i="14"/>
  <c r="BJ601" i="14"/>
  <c r="BL577" i="14"/>
  <c r="BD181" i="14"/>
  <c r="BF529" i="14"/>
  <c r="BP148" i="14"/>
  <c r="BB325" i="14"/>
  <c r="BF63" i="14"/>
  <c r="BR339" i="14"/>
  <c r="BP652" i="14"/>
  <c r="BP325" i="14"/>
  <c r="BB493" i="14"/>
  <c r="BB578" i="14"/>
  <c r="AV170" i="14"/>
  <c r="BR158" i="14"/>
  <c r="BH363" i="14"/>
  <c r="BL554" i="14"/>
  <c r="BH98" i="14"/>
  <c r="BL290" i="14"/>
  <c r="AV61" i="14"/>
  <c r="BB349" i="14"/>
  <c r="BN181" i="14"/>
  <c r="BN421" i="14"/>
  <c r="BN100" i="14"/>
  <c r="BN601" i="14"/>
  <c r="AX206" i="14"/>
  <c r="BB361" i="14"/>
  <c r="AV625" i="14"/>
  <c r="BP337" i="14"/>
  <c r="BF541" i="14"/>
  <c r="BH292" i="14"/>
  <c r="BF674" i="14"/>
  <c r="BR61" i="14"/>
  <c r="BJ373" i="14"/>
  <c r="AZ385" i="14"/>
  <c r="BH435" i="14"/>
  <c r="BF481" i="14"/>
  <c r="AZ673" i="14"/>
  <c r="AV49" i="14"/>
  <c r="BF650" i="14"/>
  <c r="BD530" i="14"/>
  <c r="AZ169" i="14"/>
  <c r="AV589" i="14"/>
  <c r="AZ493" i="14"/>
  <c r="BL493" i="14"/>
  <c r="BF589" i="14"/>
  <c r="AV328" i="14"/>
  <c r="BB423" i="14"/>
  <c r="AV109" i="14"/>
  <c r="AV315" i="14"/>
  <c r="BP61" i="14"/>
  <c r="BL531" i="14"/>
  <c r="BF291" i="14"/>
  <c r="BN566" i="14"/>
  <c r="BD328" i="14"/>
  <c r="AZ445" i="14"/>
  <c r="BL530" i="14"/>
  <c r="BP171" i="14"/>
  <c r="AZ520" i="14"/>
  <c r="BN495" i="14"/>
  <c r="BR303" i="14"/>
  <c r="BH301" i="14"/>
  <c r="AX460" i="14"/>
  <c r="BP149" i="14"/>
  <c r="BF88" i="14"/>
  <c r="BH424" i="14"/>
  <c r="BJ205" i="14"/>
  <c r="AZ157" i="14"/>
  <c r="DI45" i="14" a="1"/>
  <c r="BB169" i="14"/>
  <c r="BL49" i="14"/>
  <c r="BP673" i="14"/>
  <c r="BJ613" i="14"/>
  <c r="BN591" i="14"/>
  <c r="AV483" i="14"/>
  <c r="BP664" i="14"/>
  <c r="BP122" i="14"/>
  <c r="BB302" i="14"/>
  <c r="BD265" i="14"/>
  <c r="BH565" i="14"/>
  <c r="BD289" i="14"/>
  <c r="BP133" i="14"/>
  <c r="BJ553" i="14"/>
  <c r="BH63" i="14"/>
  <c r="AX544" i="14"/>
  <c r="BH520" i="14"/>
  <c r="BP305" i="14"/>
  <c r="AZ98" i="14"/>
  <c r="AX146" i="14"/>
  <c r="BL136" i="14"/>
  <c r="BR73" i="14"/>
  <c r="BL433" i="14"/>
  <c r="BL159" i="14"/>
  <c r="BF601" i="14"/>
  <c r="BP289" i="14"/>
  <c r="BF508" i="14"/>
  <c r="BD616" i="14"/>
  <c r="BB181" i="14"/>
  <c r="BD541" i="14"/>
  <c r="AX387" i="14"/>
  <c r="BB265" i="14"/>
  <c r="BB445" i="14"/>
  <c r="AX661" i="14"/>
  <c r="BF265" i="14"/>
  <c r="BN229" i="14"/>
  <c r="BF304" i="14"/>
  <c r="BD61" i="14"/>
  <c r="BJ386" i="14"/>
  <c r="BR613" i="14"/>
  <c r="BD457" i="14"/>
  <c r="BD496" i="14"/>
  <c r="AV590" i="14"/>
  <c r="BD592" i="14"/>
  <c r="AZ351" i="14"/>
  <c r="AV495" i="14"/>
  <c r="BB133" i="14"/>
  <c r="AX100" i="14"/>
  <c r="BJ326" i="14"/>
  <c r="BN616" i="14"/>
  <c r="BJ265" i="14"/>
  <c r="AX627" i="14"/>
  <c r="BJ85" i="14"/>
  <c r="BH661" i="14"/>
  <c r="BF433" i="14"/>
  <c r="AX577" i="14"/>
  <c r="BF661" i="14"/>
  <c r="BD220" i="14"/>
  <c r="AV291" i="14"/>
  <c r="BB254" i="14"/>
  <c r="BR529" i="14"/>
  <c r="BR86" i="14"/>
  <c r="BL110" i="14"/>
  <c r="BD581" i="14"/>
  <c r="AZ124" i="14"/>
  <c r="BD517" i="14"/>
  <c r="AV411" i="14"/>
  <c r="BB112" i="14"/>
  <c r="AZ674" i="14"/>
  <c r="BJ277" i="14"/>
  <c r="BB73" i="14"/>
  <c r="AV135" i="14"/>
  <c r="BR506" i="14"/>
  <c r="BH122" i="14"/>
  <c r="BD301" i="14"/>
  <c r="BR457" i="14"/>
  <c r="AX373" i="14"/>
  <c r="BR207" i="14"/>
  <c r="BH532" i="14"/>
  <c r="BB589" i="14"/>
  <c r="BF49" i="14"/>
  <c r="BJ219" i="14"/>
  <c r="AX529" i="14"/>
  <c r="BF554" i="14"/>
  <c r="AX349" i="14"/>
  <c r="BD170" i="14"/>
  <c r="BF434" i="14"/>
  <c r="BP565" i="14"/>
  <c r="BP409" i="14"/>
  <c r="BL169" i="14"/>
  <c r="BN529" i="14"/>
  <c r="BH267" i="14"/>
  <c r="BN385" i="14"/>
  <c r="BJ325" i="14"/>
  <c r="BJ493" i="14"/>
  <c r="BN205" i="14"/>
  <c r="BB217" i="14"/>
  <c r="BL254" i="14"/>
  <c r="BL389" i="14"/>
  <c r="AX673" i="14"/>
  <c r="BL315" i="14"/>
  <c r="BH362" i="14"/>
  <c r="BH554" i="14"/>
  <c r="BD565" i="14"/>
  <c r="BH219" i="14"/>
  <c r="AX158" i="14"/>
  <c r="BL505" i="14"/>
  <c r="BJ50" i="14"/>
  <c r="BH230" i="14"/>
  <c r="AZ292" i="14"/>
  <c r="BF363" i="14"/>
  <c r="AZ193" i="14"/>
  <c r="BD313" i="14"/>
  <c r="BB457" i="14"/>
  <c r="BP338" i="14"/>
  <c r="BH469" i="14"/>
  <c r="BJ423" i="14"/>
  <c r="BD266" i="14"/>
  <c r="BN397" i="14"/>
  <c r="BL469" i="14"/>
  <c r="AX565" i="14"/>
  <c r="BF256" i="14"/>
  <c r="BH277" i="14"/>
  <c r="AZ361" i="14"/>
  <c r="BN663" i="14"/>
  <c r="BF397" i="14"/>
  <c r="AZ481" i="14"/>
  <c r="BB566" i="14"/>
  <c r="BD241" i="14"/>
  <c r="BJ541" i="14"/>
  <c r="BJ110" i="14"/>
  <c r="BH505" i="14"/>
  <c r="BR133" i="14"/>
  <c r="BL137" i="14"/>
  <c r="AX445" i="14"/>
  <c r="BN145" i="14"/>
  <c r="BH313" i="14"/>
  <c r="AX61" i="14"/>
  <c r="BB541" i="14"/>
  <c r="AX339" i="14"/>
  <c r="BR37" i="14"/>
  <c r="BH169" i="14"/>
  <c r="AX52" i="14"/>
  <c r="BP375" i="14"/>
  <c r="BP350" i="14"/>
  <c r="AV517" i="14"/>
  <c r="BB385" i="14"/>
  <c r="BD122" i="14"/>
  <c r="AX171" i="14"/>
  <c r="BH121" i="14"/>
  <c r="BF349" i="14"/>
  <c r="BN126" i="14"/>
  <c r="BF602" i="14"/>
  <c r="BR218" i="14"/>
  <c r="BB577" i="14"/>
  <c r="BJ637" i="14"/>
  <c r="BN373" i="14"/>
  <c r="BR652" i="14"/>
  <c r="BR243" i="14"/>
  <c r="AX278" i="14"/>
  <c r="BN446" i="14"/>
  <c r="BD100" i="14"/>
  <c r="BR289" i="14"/>
  <c r="BH157" i="14"/>
  <c r="BB553" i="14"/>
  <c r="AZ205" i="14"/>
  <c r="AZ269" i="14"/>
  <c r="BR589" i="14"/>
  <c r="AX289" i="14"/>
  <c r="BB410" i="14"/>
  <c r="AX421" i="14"/>
  <c r="BR159" i="14"/>
  <c r="BL123" i="14"/>
  <c r="BR566" i="14"/>
  <c r="AV75" i="14"/>
  <c r="BP461" i="14"/>
  <c r="BL76" i="14"/>
  <c r="AX253" i="14"/>
  <c r="BL219" i="14"/>
  <c r="AX121" i="14"/>
  <c r="BD208" i="14"/>
  <c r="BB85" i="14"/>
  <c r="BH639" i="14"/>
  <c r="BF169" i="14"/>
  <c r="BN577" i="14"/>
  <c r="BF218" i="14"/>
  <c r="BR208" i="14"/>
  <c r="BL628" i="14"/>
  <c r="BD422" i="14"/>
  <c r="AX315" i="14"/>
  <c r="BF409" i="14"/>
  <c r="AV613" i="14"/>
  <c r="BD385" i="14"/>
  <c r="BH74" i="14"/>
  <c r="AV193" i="14"/>
  <c r="BJ98" i="14"/>
  <c r="AX181" i="14"/>
  <c r="AV253" i="14"/>
  <c r="BH649" i="14"/>
  <c r="AZ75" i="14"/>
  <c r="BP193" i="14"/>
  <c r="BL460" i="14"/>
  <c r="BN505" i="14"/>
  <c r="BB375" i="14"/>
  <c r="BJ169" i="14"/>
  <c r="AX159" i="14"/>
  <c r="AX578" i="14"/>
  <c r="BF205" i="14"/>
  <c r="BL544" i="14"/>
  <c r="BH543" i="14"/>
  <c r="BB205" i="14"/>
  <c r="AZ85" i="14"/>
  <c r="BD469" i="14"/>
  <c r="BN553" i="14"/>
  <c r="BP387" i="14"/>
  <c r="BR373" i="14"/>
  <c r="BL62" i="14"/>
  <c r="AZ301" i="14"/>
  <c r="BR577" i="14"/>
  <c r="BH183" i="14"/>
  <c r="BL662" i="14"/>
  <c r="BP267" i="14"/>
  <c r="AZ556" i="14"/>
  <c r="BJ301" i="14"/>
  <c r="AV457" i="14"/>
  <c r="AZ649" i="14"/>
  <c r="BP481" i="14"/>
  <c r="AX471" i="14"/>
  <c r="BH61" i="14"/>
  <c r="AZ661" i="14"/>
  <c r="BR313" i="14"/>
  <c r="BH109" i="14"/>
  <c r="AX601" i="14"/>
  <c r="BJ661" i="14"/>
  <c r="BP207" i="14"/>
  <c r="BF182" i="14"/>
  <c r="AZ145" i="14"/>
  <c r="AX651" i="14"/>
  <c r="BR447" i="14"/>
  <c r="AX229" i="14"/>
  <c r="AX86" i="14"/>
  <c r="BL85" i="14"/>
  <c r="BF195" i="14"/>
  <c r="AV446" i="14"/>
  <c r="BJ158" i="14"/>
  <c r="BP280" i="14"/>
  <c r="AV577" i="14"/>
  <c r="BF472" i="14"/>
  <c r="BJ193" i="14"/>
  <c r="BR385" i="14"/>
  <c r="BN650" i="14"/>
  <c r="BN194" i="14"/>
  <c r="BH49" i="14"/>
  <c r="BL206" i="14"/>
  <c r="BD182" i="14"/>
  <c r="BP553" i="14"/>
  <c r="BB529" i="14"/>
  <c r="BH626" i="14"/>
  <c r="AX325" i="14"/>
  <c r="AV397" i="14"/>
  <c r="BF328" i="14"/>
  <c r="BR325" i="14"/>
  <c r="BH253" i="14"/>
  <c r="AV673" i="14"/>
  <c r="BP421" i="14"/>
  <c r="BR542" i="14"/>
  <c r="BH349" i="14"/>
  <c r="BJ591" i="14"/>
  <c r="BP315" i="14"/>
  <c r="BH615" i="14"/>
  <c r="BR277" i="14"/>
  <c r="BP613" i="14"/>
  <c r="BL373" i="14"/>
  <c r="AX639" i="14"/>
  <c r="BH447" i="14"/>
  <c r="AX219" i="14"/>
  <c r="AZ374" i="14"/>
  <c r="BF675" i="14"/>
  <c r="AX589" i="14"/>
  <c r="BJ566" i="14"/>
  <c r="BL292" i="14"/>
  <c r="AZ99" i="14"/>
  <c r="BH553" i="14"/>
  <c r="BB289" i="14"/>
  <c r="AZ652" i="14"/>
  <c r="AZ278" i="14"/>
  <c r="AZ627" i="14"/>
  <c r="BH399" i="14"/>
  <c r="BF241" i="14"/>
  <c r="BN469" i="14"/>
  <c r="BB579" i="14"/>
  <c r="BK435" i="14" l="1"/>
  <c r="AW291" i="14"/>
  <c r="BK411" i="14"/>
  <c r="BQ568" i="14"/>
  <c r="BI375" i="14"/>
  <c r="AW580" i="14"/>
  <c r="AU184" i="14"/>
  <c r="AU627" i="14"/>
  <c r="BI63" i="14"/>
  <c r="BA459" i="14"/>
  <c r="AY436" i="14"/>
  <c r="BA435" i="14"/>
  <c r="BI52" i="14"/>
  <c r="BE543" i="14"/>
  <c r="BO567" i="14"/>
  <c r="AY171" i="14"/>
  <c r="AY603" i="14"/>
  <c r="BE51" i="14"/>
  <c r="AW616" i="14"/>
  <c r="BA663" i="14"/>
  <c r="AY303" i="14"/>
  <c r="AY159" i="14"/>
  <c r="AY579" i="14"/>
  <c r="BI183" i="14"/>
  <c r="BI160" i="14"/>
  <c r="AU280" i="14"/>
  <c r="AW591" i="14"/>
  <c r="BE75" i="14"/>
  <c r="BE591" i="14"/>
  <c r="BI639" i="14"/>
  <c r="BI339" i="14"/>
  <c r="BM484" i="14"/>
  <c r="BQ39" i="14"/>
  <c r="AU615" i="14"/>
  <c r="AY411" i="14"/>
  <c r="BA339" i="14"/>
  <c r="BO580" i="14"/>
  <c r="BK423" i="14"/>
  <c r="BO483" i="14"/>
  <c r="BI112" i="14"/>
  <c r="AY376" i="14"/>
  <c r="BI425" i="14"/>
  <c r="BE135" i="14"/>
  <c r="AU531" i="14"/>
  <c r="BG207" i="14"/>
  <c r="BK51" i="14"/>
  <c r="BE447" i="14"/>
  <c r="AU471" i="14"/>
  <c r="BQ640" i="14"/>
  <c r="BA195" i="14"/>
  <c r="BQ375" i="14"/>
  <c r="BC411" i="14"/>
  <c r="BE459" i="14"/>
  <c r="BQ231" i="14"/>
  <c r="BO245" i="14"/>
  <c r="BM75" i="14"/>
  <c r="AW303" i="14"/>
  <c r="BQ245" i="14"/>
  <c r="BM627" i="14"/>
  <c r="BA603" i="14"/>
  <c r="BI603" i="14"/>
  <c r="BG87" i="14"/>
  <c r="BI100" i="14"/>
  <c r="AU603" i="14"/>
  <c r="AU195" i="14"/>
  <c r="BQ88" i="14"/>
  <c r="BI543" i="14"/>
  <c r="BK400" i="14"/>
  <c r="AW88" i="14"/>
  <c r="AY472" i="14"/>
  <c r="BO666" i="14"/>
  <c r="AY591" i="14"/>
  <c r="BM207" i="14"/>
  <c r="AU567" i="14"/>
  <c r="AW412" i="14"/>
  <c r="BK147" i="14"/>
  <c r="BG244" i="14"/>
  <c r="BA75" i="14"/>
  <c r="AU148" i="14"/>
  <c r="BO327" i="14"/>
  <c r="BI292" i="14"/>
  <c r="BI303" i="14"/>
  <c r="BI627" i="14"/>
  <c r="BQ363" i="14"/>
  <c r="BE267" i="14"/>
  <c r="BK184" i="14"/>
  <c r="BO51" i="14"/>
  <c r="BC435" i="14"/>
  <c r="BC51" i="14"/>
  <c r="BK375" i="14"/>
  <c r="BQ279" i="14"/>
  <c r="AW495" i="14"/>
  <c r="BO400" i="14"/>
  <c r="BG567" i="14"/>
  <c r="BG279" i="14"/>
  <c r="BQ195" i="14"/>
  <c r="AU255" i="14"/>
  <c r="BC663" i="14"/>
  <c r="BI351" i="14"/>
  <c r="BI231" i="14"/>
  <c r="BK483" i="14"/>
  <c r="BI207" i="14"/>
  <c r="AY495" i="14"/>
  <c r="BA316" i="14"/>
  <c r="AW399" i="14"/>
  <c r="BA484" i="14"/>
  <c r="AY255" i="14"/>
  <c r="BA412" i="14"/>
  <c r="BM64" i="14"/>
  <c r="BI459" i="14"/>
  <c r="BO615" i="14"/>
  <c r="BC583" i="14"/>
  <c r="BC584" i="14" s="1"/>
  <c r="BC585" i="14" s="1"/>
  <c r="BC586" i="14" s="1"/>
  <c r="BE556" i="14"/>
  <c r="BA135" i="14"/>
  <c r="BG375" i="14"/>
  <c r="AU303" i="14"/>
  <c r="AW255" i="14"/>
  <c r="BO135" i="14"/>
  <c r="BO195" i="14"/>
  <c r="BM303" i="14"/>
  <c r="BM111" i="14"/>
  <c r="BO291" i="14"/>
  <c r="BO675" i="14"/>
  <c r="BQ147" i="14"/>
  <c r="BK615" i="14"/>
  <c r="BE411" i="14"/>
  <c r="BI435" i="14"/>
  <c r="BA243" i="14"/>
  <c r="BK556" i="14"/>
  <c r="AW663" i="14"/>
  <c r="AW567" i="14"/>
  <c r="BI615" i="14"/>
  <c r="AU375" i="14"/>
  <c r="BQ51" i="14"/>
  <c r="BA351" i="14"/>
  <c r="BK243" i="14"/>
  <c r="AW555" i="14"/>
  <c r="AY363" i="14"/>
  <c r="BK208" i="14"/>
  <c r="AW183" i="14"/>
  <c r="BQ423" i="14"/>
  <c r="BG675" i="14"/>
  <c r="BM231" i="14"/>
  <c r="AU99" i="14"/>
  <c r="BE171" i="14"/>
  <c r="BQ124" i="14"/>
  <c r="BM219" i="14"/>
  <c r="BA543" i="14"/>
  <c r="BC111" i="14"/>
  <c r="BM639" i="14"/>
  <c r="BG507" i="14"/>
  <c r="AU399" i="14"/>
  <c r="BE399" i="14"/>
  <c r="AU51" i="14"/>
  <c r="BE351" i="14"/>
  <c r="BI495" i="14"/>
  <c r="BC507" i="14"/>
  <c r="BA171" i="14"/>
  <c r="AU123" i="14"/>
  <c r="AW675" i="14"/>
  <c r="BK87" i="14"/>
  <c r="BE423" i="14"/>
  <c r="BQ627" i="14"/>
  <c r="AU675" i="14"/>
  <c r="AU387" i="14"/>
  <c r="BC135" i="14"/>
  <c r="BI447" i="14"/>
  <c r="BG603" i="14"/>
  <c r="BG148" i="14"/>
  <c r="AY423" i="14"/>
  <c r="BQ579" i="14"/>
  <c r="AW267" i="14"/>
  <c r="BI483" i="14"/>
  <c r="BQ75" i="14"/>
  <c r="AY663" i="14"/>
  <c r="BA652" i="14"/>
  <c r="BG51" i="14"/>
  <c r="BO87" i="14"/>
  <c r="BA555" i="14"/>
  <c r="BK231" i="14"/>
  <c r="BE387" i="14"/>
  <c r="BA87" i="14"/>
  <c r="BI555" i="14"/>
  <c r="BC471" i="14"/>
  <c r="BM423" i="14"/>
  <c r="BG459" i="14"/>
  <c r="BC255" i="14"/>
  <c r="BE279" i="14"/>
  <c r="BE123" i="14"/>
  <c r="BA256" i="14"/>
  <c r="AW328" i="14"/>
  <c r="BQ291" i="14"/>
  <c r="AW435" i="14"/>
  <c r="AY195" i="14"/>
  <c r="AW208" i="14"/>
  <c r="BI532" i="14"/>
  <c r="BM256" i="14"/>
  <c r="BA327" i="14"/>
  <c r="BM327" i="14"/>
  <c r="AU663" i="14"/>
  <c r="BM363" i="14"/>
  <c r="BI87" i="14"/>
  <c r="AU159" i="14"/>
  <c r="BG255" i="14"/>
  <c r="BM471" i="14"/>
  <c r="BG303" i="14"/>
  <c r="BA471" i="14"/>
  <c r="AY63" i="14"/>
  <c r="BC195" i="14"/>
  <c r="BA123" i="14"/>
  <c r="AW447" i="14"/>
  <c r="BC519" i="14"/>
  <c r="BG591" i="14"/>
  <c r="AY567" i="14"/>
  <c r="AY111" i="14"/>
  <c r="AY531" i="14"/>
  <c r="BK327" i="14"/>
  <c r="BG351" i="14"/>
  <c r="BA495" i="14"/>
  <c r="BO447" i="14"/>
  <c r="BI75" i="14"/>
  <c r="BM184" i="14"/>
  <c r="BA568" i="14"/>
  <c r="AU579" i="14"/>
  <c r="AU651" i="14"/>
  <c r="BG315" i="14"/>
  <c r="BQ315" i="14"/>
  <c r="BC231" i="14"/>
  <c r="BG232" i="14"/>
  <c r="AY339" i="14"/>
  <c r="BC651" i="14"/>
  <c r="AW507" i="14"/>
  <c r="BA291" i="14"/>
  <c r="BK603" i="14"/>
  <c r="BI507" i="14"/>
  <c r="AU63" i="14"/>
  <c r="BI675" i="14"/>
  <c r="BC376" i="14"/>
  <c r="BE243" i="14"/>
  <c r="BM399" i="14"/>
  <c r="BA591" i="14"/>
  <c r="BM579" i="14"/>
  <c r="AY483" i="14"/>
  <c r="BC532" i="14"/>
  <c r="AY387" i="14"/>
  <c r="BO555" i="14"/>
  <c r="BK172" i="14"/>
  <c r="AU111" i="14"/>
  <c r="BA508" i="14"/>
  <c r="BO627" i="14"/>
  <c r="BQ435" i="14"/>
  <c r="AY508" i="14"/>
  <c r="BM507" i="14"/>
  <c r="BE112" i="14"/>
  <c r="BC303" i="14"/>
  <c r="BA219" i="14"/>
  <c r="AW123" i="14"/>
  <c r="BI664" i="14"/>
  <c r="BK579" i="14"/>
  <c r="AY52" i="14"/>
  <c r="BE184" i="14"/>
  <c r="BA159" i="14"/>
  <c r="BG171" i="14"/>
  <c r="AW375" i="14"/>
  <c r="BC243" i="14"/>
  <c r="BE147" i="14"/>
  <c r="BO99" i="14"/>
  <c r="AU519" i="14"/>
  <c r="BQ544" i="14"/>
  <c r="BM435" i="14"/>
  <c r="BI148" i="14"/>
  <c r="AY327" i="14"/>
  <c r="BQ556" i="14"/>
  <c r="AW603" i="14"/>
  <c r="BK448" i="14"/>
  <c r="AY447" i="14"/>
  <c r="AY183" i="14"/>
  <c r="BA520" i="14"/>
  <c r="BC459" i="14"/>
  <c r="BE375" i="14"/>
  <c r="AU268" i="14"/>
  <c r="BM196" i="14"/>
  <c r="BC124" i="14"/>
  <c r="BG663" i="14"/>
  <c r="AU172" i="14"/>
  <c r="BI579" i="14"/>
  <c r="BE496" i="14"/>
  <c r="BC291" i="14"/>
  <c r="BE531" i="14"/>
  <c r="BO363" i="14"/>
  <c r="BA675" i="14"/>
  <c r="AY87" i="14"/>
  <c r="BA231" i="14"/>
  <c r="AY676" i="14"/>
  <c r="BQ220" i="14"/>
  <c r="BK112" i="14"/>
  <c r="AY654" i="14"/>
  <c r="BK651" i="14"/>
  <c r="AY207" i="14"/>
  <c r="BO423" i="14"/>
  <c r="AU459" i="14"/>
  <c r="BC64" i="14"/>
  <c r="BM387" i="14"/>
  <c r="BQ135" i="14"/>
  <c r="BA363" i="14"/>
  <c r="BQ615" i="14"/>
  <c r="BA447" i="14"/>
  <c r="BG112" i="14"/>
  <c r="AU555" i="14"/>
  <c r="BC75" i="14"/>
  <c r="BC387" i="14"/>
  <c r="BO256" i="14"/>
  <c r="BQ459" i="14"/>
  <c r="BI568" i="14"/>
  <c r="BQ328" i="14"/>
  <c r="BO639" i="14"/>
  <c r="BK303" i="14"/>
  <c r="AU244" i="14"/>
  <c r="BC447" i="14"/>
  <c r="BQ675" i="14"/>
  <c r="BM172" i="14"/>
  <c r="BM147" i="14"/>
  <c r="BM603" i="14"/>
  <c r="BM411" i="14"/>
  <c r="BE483" i="14"/>
  <c r="BI279" i="14"/>
  <c r="BO591" i="14"/>
  <c r="BC268" i="14"/>
  <c r="BQ411" i="14"/>
  <c r="BI519" i="14"/>
  <c r="BA531" i="14"/>
  <c r="BQ351" i="14"/>
  <c r="AU352" i="14"/>
  <c r="AW423" i="14"/>
  <c r="BG471" i="14"/>
  <c r="BE207" i="14"/>
  <c r="BK519" i="14"/>
  <c r="BO340" i="14"/>
  <c r="BM555" i="14"/>
  <c r="BC543" i="14"/>
  <c r="BC556" i="14"/>
  <c r="BC400" i="14"/>
  <c r="BA387" i="14"/>
  <c r="BQ111" i="14"/>
  <c r="BC567" i="14"/>
  <c r="BI267" i="14"/>
  <c r="BA399" i="14"/>
  <c r="AW531" i="14"/>
  <c r="BM448" i="14"/>
  <c r="BK195" i="14"/>
  <c r="BO520" i="14"/>
  <c r="BE604" i="14"/>
  <c r="AW351" i="14"/>
  <c r="BK471" i="14"/>
  <c r="AW363" i="14"/>
  <c r="AW519" i="14"/>
  <c r="BE627" i="14"/>
  <c r="BM543" i="14"/>
  <c r="BC315" i="14"/>
  <c r="BC159" i="14"/>
  <c r="AW63" i="14"/>
  <c r="BM532" i="14"/>
  <c r="BO508" i="14"/>
  <c r="BG556" i="14"/>
  <c r="BQ531" i="14"/>
  <c r="BO183" i="14"/>
  <c r="BO111" i="14"/>
  <c r="BQ508" i="14"/>
  <c r="BC351" i="14"/>
  <c r="BM376" i="14"/>
  <c r="AY147" i="14"/>
  <c r="BE318" i="14"/>
  <c r="BG100" i="14"/>
  <c r="BK363" i="14"/>
  <c r="BI195" i="14"/>
  <c r="AW483" i="14"/>
  <c r="BI364" i="14"/>
  <c r="BQ387" i="14"/>
  <c r="BK639" i="14"/>
  <c r="BG135" i="14"/>
  <c r="AW317" i="14"/>
  <c r="BO411" i="14"/>
  <c r="AU364" i="14"/>
  <c r="BG651" i="14"/>
  <c r="BQ399" i="14"/>
  <c r="BK99" i="14"/>
  <c r="BO63" i="14"/>
  <c r="BA184" i="14"/>
  <c r="BQ591" i="14"/>
  <c r="BO231" i="14"/>
  <c r="BE99" i="14"/>
  <c r="BQ664" i="14"/>
  <c r="BG124" i="14"/>
  <c r="BI256" i="14"/>
  <c r="BQ184" i="14"/>
  <c r="BE436" i="14"/>
  <c r="AY232" i="14"/>
  <c r="BO124" i="14"/>
  <c r="BE220" i="14"/>
  <c r="BM316" i="14"/>
  <c r="AW148" i="14"/>
  <c r="BE340" i="14"/>
  <c r="BQ604" i="14"/>
  <c r="BM52" i="14"/>
  <c r="BA100" i="14"/>
  <c r="BG160" i="14"/>
  <c r="AW280" i="14"/>
  <c r="BM160" i="14"/>
  <c r="BQ175" i="14"/>
  <c r="BQ176" i="14" s="1"/>
  <c r="BQ177" i="14" s="1"/>
  <c r="BQ178" i="14" s="1"/>
  <c r="BA64" i="14"/>
  <c r="BC640" i="14"/>
  <c r="BG340" i="14"/>
  <c r="AY136" i="14"/>
  <c r="AU592" i="14"/>
  <c r="BC628" i="14"/>
  <c r="BC484" i="14"/>
  <c r="BI388" i="14"/>
  <c r="BE652" i="14"/>
  <c r="BQ268" i="14"/>
  <c r="AU544" i="14"/>
  <c r="BO352" i="14"/>
  <c r="BK508" i="14"/>
  <c r="AY316" i="14"/>
  <c r="BA268" i="14"/>
  <c r="AW112" i="14"/>
  <c r="BQ100" i="14"/>
  <c r="BM520" i="14"/>
  <c r="BI172" i="14"/>
  <c r="AY280" i="14"/>
  <c r="BK496" i="14"/>
  <c r="BC172" i="14"/>
  <c r="BM460" i="14"/>
  <c r="BO472" i="14"/>
  <c r="BM269" i="14"/>
  <c r="BE65" i="14"/>
  <c r="BO437" i="14"/>
  <c r="BQ474" i="14"/>
  <c r="BO209" i="14"/>
  <c r="BA305" i="14"/>
  <c r="BO497" i="14"/>
  <c r="DI45" i="14"/>
  <c r="BG413" i="14"/>
  <c r="BE641" i="14"/>
  <c r="BE293" i="14"/>
  <c r="BG365" i="14"/>
  <c r="AY401" i="14"/>
  <c r="BG269" i="14"/>
  <c r="BK257" i="14"/>
  <c r="BI317" i="14"/>
  <c r="BG437" i="14"/>
  <c r="BM665" i="14"/>
  <c r="BI401" i="14"/>
  <c r="BK341" i="14"/>
  <c r="AW341" i="14"/>
  <c r="BI125" i="14"/>
  <c r="AY461" i="14"/>
  <c r="BA377" i="14"/>
  <c r="BE365" i="14"/>
  <c r="BK665" i="14"/>
  <c r="BM137" i="14"/>
  <c r="AW653" i="14"/>
  <c r="AU509" i="14"/>
  <c r="AW233" i="14"/>
  <c r="AW245" i="14"/>
  <c r="BK269" i="14"/>
  <c r="BC605" i="14"/>
  <c r="BM353" i="14"/>
  <c r="BG545" i="14"/>
  <c r="BC425" i="14"/>
  <c r="BE581" i="14"/>
  <c r="BM569" i="14"/>
  <c r="BG641" i="14"/>
  <c r="BQ257" i="14"/>
  <c r="BE233" i="14"/>
  <c r="BE677" i="14"/>
  <c r="AU485" i="14"/>
  <c r="BM653" i="14"/>
  <c r="BO173" i="14"/>
  <c r="AU137" i="14"/>
  <c r="BQ341" i="14"/>
  <c r="AW641" i="14"/>
  <c r="BI473" i="14"/>
  <c r="BG185" i="14"/>
  <c r="BQ305" i="14"/>
  <c r="AW77" i="14"/>
  <c r="BA209" i="14"/>
  <c r="BM677" i="14"/>
  <c r="AY101" i="14"/>
  <c r="AW629" i="14"/>
  <c r="AW173" i="14"/>
  <c r="AY629" i="14"/>
  <c r="BO377" i="14"/>
  <c r="BE197" i="14"/>
  <c r="BC185" i="14"/>
  <c r="AW389" i="14"/>
  <c r="BC677" i="14"/>
  <c r="BO269" i="14"/>
  <c r="AY245" i="14"/>
  <c r="BK533" i="14"/>
  <c r="AY77" i="14"/>
  <c r="BM293" i="14"/>
  <c r="BA149" i="14"/>
  <c r="BE161" i="14"/>
  <c r="AY221" i="14"/>
  <c r="BM89" i="14"/>
  <c r="BG449" i="14"/>
  <c r="BI413" i="14"/>
  <c r="BO221" i="14"/>
  <c r="BC281" i="14"/>
  <c r="BK221" i="14"/>
  <c r="BQ161" i="14"/>
  <c r="AU341" i="14"/>
  <c r="BM593" i="14"/>
  <c r="BQ521" i="14"/>
  <c r="BM281" i="14"/>
  <c r="BI593" i="14"/>
  <c r="BK161" i="14"/>
  <c r="BI653" i="14"/>
  <c r="BK125" i="14"/>
  <c r="AW221" i="14"/>
  <c r="BC89" i="14"/>
  <c r="BG221" i="14"/>
  <c r="BG77" i="14"/>
  <c r="AU317" i="14"/>
  <c r="BO389" i="14"/>
  <c r="BO545" i="14"/>
  <c r="BO161" i="14"/>
  <c r="AW473" i="14"/>
  <c r="AY545" i="14"/>
  <c r="AY353" i="14"/>
  <c r="BA629" i="14"/>
  <c r="BA425" i="14"/>
  <c r="BG629" i="14"/>
  <c r="BI329" i="14"/>
  <c r="BM497" i="14"/>
  <c r="AU449" i="14"/>
  <c r="AW161" i="14"/>
  <c r="BQ497" i="14"/>
  <c r="BG389" i="14"/>
  <c r="BQ449" i="14"/>
  <c r="BG617" i="14"/>
  <c r="AU77" i="14"/>
  <c r="BG401" i="14"/>
  <c r="BI221" i="14"/>
  <c r="BC341" i="14"/>
  <c r="BO533" i="14"/>
  <c r="BK317" i="14"/>
  <c r="AU209" i="14"/>
  <c r="BM102" i="14"/>
  <c r="BO654" i="14"/>
  <c r="BG582" i="14"/>
  <c r="BO463" i="14"/>
  <c r="BO464" i="14" s="1"/>
  <c r="BO465" i="14" s="1"/>
  <c r="BO466" i="14" s="1"/>
  <c r="AY294" i="14"/>
  <c r="BC210" i="14"/>
  <c r="BG66" i="14"/>
  <c r="AY558" i="14"/>
  <c r="AY271" i="14"/>
  <c r="AY272" i="14" s="1"/>
  <c r="AY273" i="14" s="1"/>
  <c r="AY274" i="14" s="1"/>
  <c r="AU294" i="14"/>
  <c r="BG534" i="14"/>
  <c r="BE666" i="14"/>
  <c r="BG330" i="14"/>
  <c r="BK630" i="14"/>
  <c r="BI138" i="14"/>
  <c r="BO282" i="14"/>
  <c r="BM618" i="14"/>
  <c r="BE90" i="14"/>
  <c r="BQ486" i="14"/>
  <c r="BC102" i="14"/>
  <c r="BE306" i="14"/>
  <c r="BO78" i="14"/>
  <c r="AY126" i="14"/>
  <c r="BM342" i="14"/>
  <c r="BC594" i="14"/>
  <c r="BA114" i="14"/>
  <c r="BK354" i="14"/>
  <c r="BE510" i="14"/>
  <c r="BA282" i="14"/>
  <c r="BQ210" i="14"/>
  <c r="BE258" i="14"/>
  <c r="BK294" i="14"/>
  <c r="AU234" i="14"/>
  <c r="BC330" i="14"/>
  <c r="AY522" i="14"/>
  <c r="BK78" i="14"/>
  <c r="BG522" i="14"/>
  <c r="BC618" i="14"/>
  <c r="BE618" i="14"/>
  <c r="BG294" i="14"/>
  <c r="AU222" i="14"/>
  <c r="BG426" i="14"/>
  <c r="BE330" i="14"/>
  <c r="BC366" i="14"/>
  <c r="BK594" i="14"/>
  <c r="BK462" i="14"/>
  <c r="AW102" i="14"/>
  <c r="AU330" i="14"/>
  <c r="BK282" i="14"/>
  <c r="AW138" i="14"/>
  <c r="AU642" i="14"/>
  <c r="AY618" i="14"/>
  <c r="AW462" i="14"/>
  <c r="BE570" i="14"/>
  <c r="BC222" i="14"/>
  <c r="BK546" i="14"/>
  <c r="AU90" i="14"/>
  <c r="AU414" i="14"/>
  <c r="BC498" i="14"/>
  <c r="AW546" i="14"/>
  <c r="AU426" i="14"/>
  <c r="BO318" i="14"/>
  <c r="BQ66" i="14"/>
  <c r="BE474" i="14"/>
  <c r="BQ654" i="14"/>
  <c r="AW54" i="14"/>
  <c r="BA582" i="14"/>
  <c r="BG498" i="14"/>
  <c r="BC150" i="14"/>
  <c r="AU498" i="14"/>
  <c r="AY642" i="14"/>
  <c r="BA618" i="14"/>
  <c r="BM246" i="14"/>
  <c r="BK66" i="14"/>
  <c r="BO151" i="14"/>
  <c r="BO152" i="14" s="1"/>
  <c r="BO153" i="14" s="1"/>
  <c r="BO154" i="14" s="1"/>
  <c r="BO307" i="14"/>
  <c r="BO308" i="14" s="1"/>
  <c r="BO309" i="14" s="1"/>
  <c r="BO310" i="14" s="1"/>
  <c r="BE523" i="14"/>
  <c r="BE524" i="14" s="1"/>
  <c r="BE525" i="14" s="1"/>
  <c r="BE526" i="14" s="1"/>
  <c r="BO607" i="14"/>
  <c r="BO608" i="14" s="1"/>
  <c r="BO609" i="14" s="1"/>
  <c r="BO610" i="14" s="1"/>
  <c r="BK571" i="14"/>
  <c r="BK572" i="14" s="1"/>
  <c r="BK573" i="14" s="1"/>
  <c r="BK574" i="14" s="1"/>
  <c r="BG199" i="14"/>
  <c r="BG200" i="14" s="1"/>
  <c r="BG201" i="14" s="1"/>
  <c r="BG202" i="14" s="1"/>
  <c r="BK679" i="14"/>
  <c r="BK680" i="14" s="1"/>
  <c r="BK681" i="14" s="1"/>
  <c r="BK682" i="14" s="1"/>
  <c r="AW199" i="14"/>
  <c r="AW200" i="14" s="1"/>
  <c r="AW201" i="14" s="1"/>
  <c r="AW202" i="14" s="1"/>
  <c r="BA55" i="14"/>
  <c r="BA56" i="14" s="1"/>
  <c r="BA57" i="14" s="1"/>
  <c r="BA58" i="14" s="1"/>
  <c r="BK391" i="14"/>
  <c r="BK392" i="14" s="1"/>
  <c r="BK393" i="14" s="1"/>
  <c r="BK394" i="14" s="1"/>
  <c r="BG487" i="14"/>
  <c r="BG488" i="14" s="1"/>
  <c r="BG489" i="14" s="1"/>
  <c r="BG490" i="14" s="1"/>
  <c r="AJ51" i="43"/>
  <c r="E50" i="43" s="1"/>
  <c r="DG46" i="14"/>
  <c r="DH46" i="14" s="1"/>
  <c r="BL111" i="14"/>
  <c r="BD314" i="14"/>
  <c r="BL256" i="14"/>
  <c r="BJ387" i="14"/>
  <c r="BD374" i="14"/>
  <c r="AZ543" i="14"/>
  <c r="BJ626" i="14"/>
  <c r="BR663" i="14"/>
  <c r="BF435" i="14"/>
  <c r="BJ506" i="14"/>
  <c r="BP208" i="14"/>
  <c r="AX340" i="14"/>
  <c r="BD194" i="14"/>
  <c r="BL124" i="14"/>
  <c r="BN398" i="14"/>
  <c r="AV293" i="14"/>
  <c r="BR458" i="14"/>
  <c r="BD74" i="14"/>
  <c r="BP665" i="14"/>
  <c r="BF473" i="14"/>
  <c r="AZ125" i="14"/>
  <c r="BH254" i="14"/>
  <c r="BD280" i="14"/>
  <c r="BP194" i="14"/>
  <c r="AV566" i="14"/>
  <c r="BR485" i="14"/>
  <c r="BR362" i="14"/>
  <c r="BR304" i="14"/>
  <c r="AX160" i="14"/>
  <c r="BH650" i="14"/>
  <c r="AX590" i="14"/>
  <c r="AV554" i="14"/>
  <c r="BD375" i="14"/>
  <c r="BR244" i="14"/>
  <c r="BL362" i="14"/>
  <c r="BF446" i="14"/>
  <c r="AZ231" i="14"/>
  <c r="BF626" i="14"/>
  <c r="AX674" i="14"/>
  <c r="BP290" i="14"/>
  <c r="AZ602" i="14"/>
  <c r="BF482" i="14"/>
  <c r="BB338" i="14"/>
  <c r="BN592" i="14"/>
  <c r="AV243" i="14"/>
  <c r="BF232" i="14"/>
  <c r="BF530" i="14"/>
  <c r="BJ350" i="14"/>
  <c r="AV136" i="14"/>
  <c r="BL545" i="14"/>
  <c r="AV194" i="14"/>
  <c r="AV340" i="14"/>
  <c r="AZ590" i="14"/>
  <c r="BN519" i="14"/>
  <c r="BH388" i="14"/>
  <c r="AV448" i="14"/>
  <c r="BB326" i="14"/>
  <c r="BH602" i="14"/>
  <c r="BD149" i="14"/>
  <c r="BR174" i="14"/>
  <c r="AZ435" i="14"/>
  <c r="BL555" i="14"/>
  <c r="BJ194" i="14"/>
  <c r="BR422" i="14"/>
  <c r="BH147" i="14"/>
  <c r="BN110" i="14"/>
  <c r="BD518" i="14"/>
  <c r="BF292" i="14"/>
  <c r="BD446" i="14"/>
  <c r="AX198" i="14"/>
  <c r="BB458" i="14"/>
  <c r="BN554" i="14"/>
  <c r="AV591" i="14"/>
  <c r="BJ137" i="14"/>
  <c r="BH268" i="14"/>
  <c r="AV518" i="14"/>
  <c r="BD62" i="14"/>
  <c r="BL578" i="14"/>
  <c r="BL77" i="14"/>
  <c r="AZ507" i="14"/>
  <c r="BB113" i="14"/>
  <c r="BJ374" i="14"/>
  <c r="AV302" i="14"/>
  <c r="BD434" i="14"/>
  <c r="BH458" i="14"/>
  <c r="BH581" i="14"/>
  <c r="BJ86" i="14"/>
  <c r="AZ494" i="14"/>
  <c r="AX652" i="14"/>
  <c r="AX232" i="14"/>
  <c r="BN292" i="14"/>
  <c r="BL434" i="14"/>
  <c r="BN483" i="14"/>
  <c r="BJ578" i="14"/>
  <c r="BR266" i="14"/>
  <c r="AX101" i="14"/>
  <c r="BL160" i="14"/>
  <c r="BJ400" i="14"/>
  <c r="AZ617" i="14"/>
  <c r="AZ279" i="14"/>
  <c r="BR146" i="14"/>
  <c r="AX327" i="14"/>
  <c r="BH544" i="14"/>
  <c r="BH497" i="14"/>
  <c r="BB54" i="14"/>
  <c r="BP626" i="14"/>
  <c r="BR194" i="14"/>
  <c r="AV292" i="14"/>
  <c r="BH436" i="14"/>
  <c r="BD424" i="14"/>
  <c r="AV329" i="14"/>
  <c r="BR614" i="14"/>
  <c r="BP317" i="14"/>
  <c r="AZ521" i="14"/>
  <c r="BL390" i="14"/>
  <c r="AZ557" i="14"/>
  <c r="AX472" i="14"/>
  <c r="BD470" i="14"/>
  <c r="AZ400" i="14"/>
  <c r="AZ482" i="14"/>
  <c r="AZ293" i="14"/>
  <c r="AX266" i="14"/>
  <c r="BN352" i="14"/>
  <c r="BL65" i="14"/>
  <c r="BH123" i="14"/>
  <c r="BF580" i="14"/>
  <c r="AX302" i="14"/>
  <c r="AZ641" i="14"/>
  <c r="BN302" i="14"/>
  <c r="AV497" i="14"/>
  <c r="BB267" i="14"/>
  <c r="BN245" i="14"/>
  <c r="AV413" i="14"/>
  <c r="BP281" i="14"/>
  <c r="BD230" i="14"/>
  <c r="BR507" i="14"/>
  <c r="BP86" i="14"/>
  <c r="BB424" i="14"/>
  <c r="AV110" i="14"/>
  <c r="BN496" i="14"/>
  <c r="AX615" i="14"/>
  <c r="BB494" i="14"/>
  <c r="AV76" i="14"/>
  <c r="BH99" i="14"/>
  <c r="BF305" i="14"/>
  <c r="AZ315" i="14"/>
  <c r="BL399" i="14"/>
  <c r="BF364" i="14"/>
  <c r="BL570" i="14"/>
  <c r="AZ50" i="14"/>
  <c r="AZ362" i="14"/>
  <c r="BN375" i="14"/>
  <c r="AX566" i="14"/>
  <c r="BR340" i="14"/>
  <c r="AZ220" i="14"/>
  <c r="AX350" i="14"/>
  <c r="BB134" i="14"/>
  <c r="BN459" i="14"/>
  <c r="BN447" i="14"/>
  <c r="BF74" i="14"/>
  <c r="BP150" i="14"/>
  <c r="BN87" i="14"/>
  <c r="BJ291" i="14"/>
  <c r="BF569" i="14"/>
  <c r="BD184" i="14"/>
  <c r="BP471" i="14"/>
  <c r="BJ255" i="14"/>
  <c r="AV447" i="14"/>
  <c r="BB208" i="14"/>
  <c r="BJ74" i="14"/>
  <c r="BJ638" i="14"/>
  <c r="BF676" i="14"/>
  <c r="BP544" i="14"/>
  <c r="BR256" i="14"/>
  <c r="BF522" i="14"/>
  <c r="BH412" i="14"/>
  <c r="BP614" i="14"/>
  <c r="BN268" i="14"/>
  <c r="BH134" i="14"/>
  <c r="BD638" i="14"/>
  <c r="BH470" i="14"/>
  <c r="BJ230" i="14"/>
  <c r="BR160" i="14"/>
  <c r="BD158" i="14"/>
  <c r="AV508" i="14"/>
  <c r="AV602" i="14"/>
  <c r="BN434" i="14"/>
  <c r="AZ270" i="14"/>
  <c r="BL461" i="14"/>
  <c r="BH400" i="14"/>
  <c r="BN146" i="14"/>
  <c r="AX461" i="14"/>
  <c r="AV363" i="14"/>
  <c r="AZ206" i="14"/>
  <c r="AZ170" i="14"/>
  <c r="BN506" i="14"/>
  <c r="BH674" i="14"/>
  <c r="BJ220" i="14"/>
  <c r="BH293" i="14"/>
  <c r="BD88" i="14"/>
  <c r="AV62" i="14"/>
  <c r="BR567" i="14"/>
  <c r="BL422" i="14"/>
  <c r="BB581" i="14"/>
  <c r="AX518" i="14"/>
  <c r="BB148" i="14"/>
  <c r="BJ602" i="14"/>
  <c r="AZ76" i="14"/>
  <c r="BL207" i="14"/>
  <c r="BJ51" i="14"/>
  <c r="BL532" i="14"/>
  <c r="BN652" i="14"/>
  <c r="BR87" i="14"/>
  <c r="BD171" i="14"/>
  <c r="AX207" i="14"/>
  <c r="BR386" i="14"/>
  <c r="BB567" i="14"/>
  <c r="AX122" i="14"/>
  <c r="BN280" i="14"/>
  <c r="BH64" i="14"/>
  <c r="BD531" i="14"/>
  <c r="BN638" i="14"/>
  <c r="AZ182" i="14"/>
  <c r="BB651" i="14"/>
  <c r="BF266" i="14"/>
  <c r="BB74" i="14"/>
  <c r="BB617" i="14"/>
  <c r="BD134" i="14"/>
  <c r="BF160" i="14"/>
  <c r="BP446" i="14"/>
  <c r="AV171" i="14"/>
  <c r="BD101" i="14"/>
  <c r="AZ446" i="14"/>
  <c r="BJ446" i="14"/>
  <c r="BP436" i="14"/>
  <c r="BL326" i="14"/>
  <c r="BH111" i="14"/>
  <c r="BF555" i="14"/>
  <c r="BP98" i="14"/>
  <c r="BP653" i="14"/>
  <c r="AZ544" i="14"/>
  <c r="BP554" i="14"/>
  <c r="AX494" i="14"/>
  <c r="BH50" i="14"/>
  <c r="BP482" i="14"/>
  <c r="BR230" i="14"/>
  <c r="BN195" i="14"/>
  <c r="BB446" i="14"/>
  <c r="AX398" i="14"/>
  <c r="BJ458" i="14"/>
  <c r="AX388" i="14"/>
  <c r="AZ254" i="14"/>
  <c r="BR662" i="14"/>
  <c r="BL281" i="14"/>
  <c r="BN255" i="14"/>
  <c r="BN101" i="14"/>
  <c r="BR603" i="14"/>
  <c r="AZ640" i="14"/>
  <c r="AZ471" i="14"/>
  <c r="BL447" i="14"/>
  <c r="BJ328" i="14"/>
  <c r="BN386" i="14"/>
  <c r="BJ363" i="14"/>
  <c r="BL50" i="14"/>
  <c r="BH364" i="14"/>
  <c r="BD662" i="14"/>
  <c r="BN578" i="14"/>
  <c r="AZ460" i="14"/>
  <c r="BL614" i="14"/>
  <c r="BP268" i="14"/>
  <c r="BR398" i="14"/>
  <c r="BH339" i="14"/>
  <c r="BD365" i="14"/>
  <c r="AX244" i="14"/>
  <c r="AX290" i="14"/>
  <c r="BB542" i="14"/>
  <c r="BR674" i="14"/>
  <c r="BB530" i="14"/>
  <c r="AZ158" i="14"/>
  <c r="AV662" i="14"/>
  <c r="BD506" i="14"/>
  <c r="BF257" i="14"/>
  <c r="BP339" i="14"/>
  <c r="BF219" i="14"/>
  <c r="AX411" i="14"/>
  <c r="BF350" i="14"/>
  <c r="BD399" i="14"/>
  <c r="BH76" i="14"/>
  <c r="BP77" i="14"/>
  <c r="BJ652" i="14"/>
  <c r="AX87" i="14"/>
  <c r="AX137" i="14"/>
  <c r="AV614" i="14"/>
  <c r="BP399" i="14"/>
  <c r="BJ663" i="14"/>
  <c r="BJ542" i="14"/>
  <c r="BB519" i="14"/>
  <c r="BL64" i="14"/>
  <c r="BB674" i="14"/>
  <c r="AX446" i="14"/>
  <c r="BJ338" i="14"/>
  <c r="BP306" i="14"/>
  <c r="AV89" i="14"/>
  <c r="BP230" i="14"/>
  <c r="BD604" i="14"/>
  <c r="BJ412" i="14"/>
  <c r="BR653" i="14"/>
  <c r="BN136" i="14"/>
  <c r="BH448" i="14"/>
  <c r="BF317" i="14"/>
  <c r="BR327" i="14"/>
  <c r="BP362" i="14"/>
  <c r="AZ326" i="14"/>
  <c r="BJ531" i="14"/>
  <c r="BR374" i="14"/>
  <c r="BJ674" i="14"/>
  <c r="BJ62" i="14"/>
  <c r="BR496" i="14"/>
  <c r="BH65" i="14"/>
  <c r="BJ278" i="14"/>
  <c r="BH329" i="14"/>
  <c r="BD350" i="14"/>
  <c r="BH184" i="14"/>
  <c r="BH533" i="14"/>
  <c r="BL470" i="14"/>
  <c r="BN315" i="14"/>
  <c r="AV626" i="14"/>
  <c r="BB303" i="14"/>
  <c r="AZ146" i="14"/>
  <c r="AZ338" i="14"/>
  <c r="BR314" i="14"/>
  <c r="BN88" i="14"/>
  <c r="BP388" i="14"/>
  <c r="BR183" i="14"/>
  <c r="BB122" i="14"/>
  <c r="BN218" i="14"/>
  <c r="BH350" i="14"/>
  <c r="BD566" i="14"/>
  <c r="BB158" i="14"/>
  <c r="BN542" i="14"/>
  <c r="AZ422" i="14"/>
  <c r="BN410" i="14"/>
  <c r="AZ194" i="14"/>
  <c r="AX53" i="14"/>
  <c r="BB255" i="14"/>
  <c r="BP674" i="14"/>
  <c r="BB662" i="14"/>
  <c r="BB99" i="14"/>
  <c r="BH243" i="14"/>
  <c r="BL63" i="14"/>
  <c r="AV158" i="14"/>
  <c r="AX220" i="14"/>
  <c r="BJ147" i="14"/>
  <c r="BD110" i="14"/>
  <c r="BH220" i="14"/>
  <c r="BP244" i="14"/>
  <c r="BB470" i="14"/>
  <c r="BR65" i="14"/>
  <c r="BB483" i="14"/>
  <c r="AZ530" i="14"/>
  <c r="BF665" i="14"/>
  <c r="BB315" i="14"/>
  <c r="BB242" i="14"/>
  <c r="BR219" i="14"/>
  <c r="AZ650" i="14"/>
  <c r="AZ110" i="14"/>
  <c r="BB170" i="14"/>
  <c r="BP507" i="14"/>
  <c r="AV50" i="14"/>
  <c r="BL678" i="14"/>
  <c r="BR123" i="14"/>
  <c r="BD302" i="14"/>
  <c r="BB98" i="14"/>
  <c r="BF386" i="14"/>
  <c r="BH640" i="14"/>
  <c r="BL482" i="14"/>
  <c r="BL146" i="14"/>
  <c r="BP579" i="14"/>
  <c r="BL316" i="14"/>
  <c r="AV674" i="14"/>
  <c r="BJ434" i="14"/>
  <c r="BB411" i="14"/>
  <c r="BB304" i="14"/>
  <c r="AX111" i="14"/>
  <c r="BF89" i="14"/>
  <c r="BR473" i="14"/>
  <c r="BD242" i="14"/>
  <c r="BP255" i="14"/>
  <c r="BJ206" i="14"/>
  <c r="AZ566" i="14"/>
  <c r="BF509" i="14"/>
  <c r="BF111" i="14"/>
  <c r="BD627" i="14"/>
  <c r="AV386" i="14"/>
  <c r="BJ327" i="14"/>
  <c r="BR520" i="14"/>
  <c r="AX579" i="14"/>
  <c r="BB602" i="14"/>
  <c r="BH86" i="14"/>
  <c r="BR99" i="14"/>
  <c r="AX374" i="14"/>
  <c r="BL268" i="14"/>
  <c r="BB183" i="14"/>
  <c r="BF590" i="14"/>
  <c r="BR74" i="14"/>
  <c r="BB218" i="14"/>
  <c r="AZ628" i="14"/>
  <c r="AZ578" i="14"/>
  <c r="BP123" i="14"/>
  <c r="BH521" i="14"/>
  <c r="BJ518" i="14"/>
  <c r="BF339" i="14"/>
  <c r="BF146" i="14"/>
  <c r="BF329" i="14"/>
  <c r="BD582" i="14"/>
  <c r="BF278" i="14"/>
  <c r="BR555" i="14"/>
  <c r="BL98" i="14"/>
  <c r="BF134" i="14"/>
  <c r="BH566" i="14"/>
  <c r="BR543" i="14"/>
  <c r="BF98" i="14"/>
  <c r="AX362" i="14"/>
  <c r="AV458" i="14"/>
  <c r="AV279" i="14"/>
  <c r="AX422" i="14"/>
  <c r="BR448" i="14"/>
  <c r="BD639" i="14"/>
  <c r="AZ244" i="14"/>
  <c r="BN617" i="14"/>
  <c r="BJ567" i="14"/>
  <c r="AX182" i="14"/>
  <c r="BJ482" i="14"/>
  <c r="BD340" i="14"/>
  <c r="BH278" i="14"/>
  <c r="BN326" i="14"/>
  <c r="BF242" i="14"/>
  <c r="BP532" i="14"/>
  <c r="AZ653" i="14"/>
  <c r="BN159" i="14"/>
  <c r="BL302" i="14"/>
  <c r="AZ675" i="14"/>
  <c r="AX147" i="14"/>
  <c r="BP326" i="14"/>
  <c r="BF206" i="14"/>
  <c r="BP160" i="14"/>
  <c r="BL183" i="14"/>
  <c r="BD386" i="14"/>
  <c r="BB376" i="14"/>
  <c r="BP606" i="14"/>
  <c r="AV254" i="14"/>
  <c r="BH206" i="14"/>
  <c r="BN362" i="14"/>
  <c r="BJ554" i="14"/>
  <c r="BF64" i="14"/>
  <c r="AV221" i="14"/>
  <c r="BN531" i="14"/>
  <c r="BL650" i="14"/>
  <c r="AV641" i="14"/>
  <c r="BD221" i="14"/>
  <c r="BB386" i="14"/>
  <c r="BJ316" i="14"/>
  <c r="AV578" i="14"/>
  <c r="BJ424" i="14"/>
  <c r="AV122" i="14"/>
  <c r="BP422" i="14"/>
  <c r="AV208" i="14"/>
  <c r="AZ135" i="14"/>
  <c r="BJ266" i="14"/>
  <c r="BB628" i="14"/>
  <c r="BD497" i="14"/>
  <c r="BD290" i="14"/>
  <c r="BH302" i="14"/>
  <c r="AV530" i="14"/>
  <c r="BP220" i="14"/>
  <c r="AV425" i="14"/>
  <c r="BP462" i="14"/>
  <c r="AZ302" i="14"/>
  <c r="BF651" i="14"/>
  <c r="AX316" i="14"/>
  <c r="AZ651" i="14"/>
  <c r="BD555" i="14"/>
  <c r="AV147" i="14"/>
  <c r="BB350" i="14"/>
  <c r="BB194" i="14"/>
  <c r="BH314" i="14"/>
  <c r="AX640" i="14"/>
  <c r="BN602" i="14"/>
  <c r="BH627" i="14"/>
  <c r="BF617" i="14"/>
  <c r="BR290" i="14"/>
  <c r="BH616" i="14"/>
  <c r="AV484" i="14"/>
  <c r="BD410" i="14"/>
  <c r="BN676" i="14"/>
  <c r="BP496" i="14"/>
  <c r="BP566" i="14"/>
  <c r="BN183" i="14"/>
  <c r="BR110" i="14"/>
  <c r="BJ592" i="14"/>
  <c r="BB86" i="14"/>
  <c r="AX172" i="14"/>
  <c r="BP590" i="14"/>
  <c r="BN470" i="14"/>
  <c r="BH506" i="14"/>
  <c r="BL495" i="14"/>
  <c r="BD483" i="14"/>
  <c r="BH580" i="14"/>
  <c r="BD650" i="14"/>
  <c r="BL507" i="14"/>
  <c r="BN74" i="14"/>
  <c r="BL602" i="14"/>
  <c r="BR278" i="14"/>
  <c r="AZ86" i="14"/>
  <c r="BL664" i="14"/>
  <c r="BF640" i="14"/>
  <c r="AZ62" i="14"/>
  <c r="BR639" i="14"/>
  <c r="BD676" i="14"/>
  <c r="BL293" i="14"/>
  <c r="BJ182" i="14"/>
  <c r="BL230" i="14"/>
  <c r="BF50" i="14"/>
  <c r="BL86" i="14"/>
  <c r="BL518" i="14"/>
  <c r="BR530" i="14"/>
  <c r="BJ614" i="14"/>
  <c r="BR134" i="14"/>
  <c r="BB207" i="14"/>
  <c r="AX602" i="14"/>
  <c r="BB398" i="14"/>
  <c r="BR590" i="14"/>
  <c r="AX254" i="14"/>
  <c r="BN230" i="14"/>
  <c r="BF170" i="14"/>
  <c r="AZ230" i="14"/>
  <c r="BH374" i="14"/>
  <c r="AX506" i="14"/>
  <c r="BH425" i="14"/>
  <c r="BD123" i="14"/>
  <c r="BL593" i="14"/>
  <c r="AX62" i="14"/>
  <c r="BH662" i="14"/>
  <c r="BF122" i="14"/>
  <c r="AZ51" i="14"/>
  <c r="BJ302" i="14"/>
  <c r="BH231" i="14"/>
  <c r="AZ662" i="14"/>
  <c r="BF422" i="14"/>
  <c r="BH198" i="14"/>
  <c r="BL194" i="14"/>
  <c r="AX554" i="14"/>
  <c r="BL353" i="14"/>
  <c r="AV650" i="14"/>
  <c r="BD593" i="14"/>
  <c r="BN171" i="14"/>
  <c r="BH555" i="14"/>
  <c r="BP110" i="14"/>
  <c r="BP410" i="14"/>
  <c r="BD329" i="14"/>
  <c r="AZ100" i="14"/>
  <c r="AV398" i="14"/>
  <c r="AX434" i="14"/>
  <c r="BD617" i="14"/>
  <c r="BJ472" i="14"/>
  <c r="BR38" i="14"/>
  <c r="BR50" i="14"/>
  <c r="BB281" i="14"/>
  <c r="AV183" i="14"/>
  <c r="BJ171" i="14"/>
  <c r="BF410" i="14"/>
  <c r="BP351" i="14"/>
  <c r="BP50" i="14"/>
  <c r="AZ386" i="14"/>
  <c r="BB362" i="14"/>
  <c r="BL220" i="14"/>
  <c r="BN626" i="14"/>
  <c r="BN206" i="14"/>
  <c r="BP376" i="14"/>
  <c r="BP172" i="14"/>
  <c r="BB507" i="14"/>
  <c r="BB230" i="14"/>
  <c r="BH628" i="14"/>
  <c r="BL638" i="14"/>
  <c r="BF458" i="14"/>
  <c r="AX231" i="14"/>
  <c r="AZ410" i="14"/>
  <c r="BN63" i="14"/>
  <c r="BJ494" i="14"/>
  <c r="BF542" i="14"/>
  <c r="BN341" i="14"/>
  <c r="AV267" i="14"/>
  <c r="BD209" i="14"/>
  <c r="BH486" i="14"/>
  <c r="AV470" i="14"/>
  <c r="AZ352" i="14"/>
  <c r="BF183" i="14"/>
  <c r="BN51" i="14"/>
  <c r="BF374" i="14"/>
  <c r="BD542" i="14"/>
  <c r="BR410" i="14"/>
  <c r="AX662" i="14"/>
  <c r="BP62" i="14"/>
  <c r="BP519" i="14"/>
  <c r="AV316" i="14"/>
  <c r="BP182" i="14"/>
  <c r="BD267" i="14"/>
  <c r="AX482" i="14"/>
  <c r="BL629" i="14"/>
  <c r="AV98" i="14"/>
  <c r="AV233" i="14"/>
  <c r="BF495" i="14"/>
  <c r="BJ124" i="14"/>
  <c r="AX76" i="14"/>
  <c r="BJ111" i="14"/>
  <c r="AZ375" i="14"/>
  <c r="BR267" i="14"/>
  <c r="BN422" i="14"/>
  <c r="BD50" i="14"/>
  <c r="BR350" i="14"/>
  <c r="BL242" i="14"/>
  <c r="BP134" i="14"/>
  <c r="BN568" i="14"/>
  <c r="BB434" i="14"/>
  <c r="BN664" i="14"/>
  <c r="BR578" i="14"/>
  <c r="BF398" i="14"/>
  <c r="BD63" i="14"/>
  <c r="AX545" i="14"/>
  <c r="BB63" i="14"/>
  <c r="BL340" i="14"/>
  <c r="AV351" i="14"/>
  <c r="BH170" i="14"/>
  <c r="BH159" i="14"/>
  <c r="BB554" i="14"/>
  <c r="BB290" i="14"/>
  <c r="BL171" i="14"/>
  <c r="BJ99" i="14"/>
  <c r="BR626" i="14"/>
  <c r="BR209" i="14"/>
  <c r="AV543" i="14"/>
  <c r="BJ159" i="14"/>
  <c r="AX530" i="14"/>
  <c r="BL374" i="14"/>
  <c r="AV374" i="14"/>
  <c r="BB590" i="14"/>
  <c r="BP638" i="14"/>
  <c r="BL410" i="14"/>
  <c r="BR434" i="14"/>
  <c r="AX628" i="14"/>
  <c r="BD458" i="14"/>
  <c r="BF603" i="14"/>
  <c r="BF196" i="14"/>
  <c r="BH590" i="14"/>
  <c r="BD254" i="14"/>
  <c r="AX279" i="14"/>
  <c r="DI46" i="14" a="1"/>
  <c r="AW292" i="14" l="1"/>
  <c r="BK436" i="14"/>
  <c r="AU604" i="14"/>
  <c r="BE136" i="14"/>
  <c r="AY160" i="14"/>
  <c r="AY412" i="14"/>
  <c r="AU196" i="14"/>
  <c r="AU532" i="14"/>
  <c r="BQ376" i="14"/>
  <c r="BO667" i="14"/>
  <c r="BO668" i="14" s="1"/>
  <c r="BO669" i="14" s="1"/>
  <c r="BO670" i="14" s="1"/>
  <c r="BE592" i="14"/>
  <c r="AU628" i="14"/>
  <c r="AY580" i="14"/>
  <c r="AY304" i="14"/>
  <c r="BI64" i="14"/>
  <c r="BA196" i="14"/>
  <c r="BO581" i="14"/>
  <c r="BQ246" i="14"/>
  <c r="AY172" i="14"/>
  <c r="AY592" i="14"/>
  <c r="BI640" i="14"/>
  <c r="BA76" i="14"/>
  <c r="AU149" i="14"/>
  <c r="BG245" i="14"/>
  <c r="AW304" i="14"/>
  <c r="BA340" i="14"/>
  <c r="BO568" i="14"/>
  <c r="AY473" i="14"/>
  <c r="BI101" i="14"/>
  <c r="BQ641" i="14"/>
  <c r="BE76" i="14"/>
  <c r="AU185" i="14"/>
  <c r="AW89" i="14"/>
  <c r="BO246" i="14"/>
  <c r="AU616" i="14"/>
  <c r="AW592" i="14"/>
  <c r="BA664" i="14"/>
  <c r="AW581" i="14"/>
  <c r="BI604" i="14"/>
  <c r="BE448" i="14"/>
  <c r="BK148" i="14"/>
  <c r="BG88" i="14"/>
  <c r="AW413" i="14"/>
  <c r="BK401" i="14"/>
  <c r="BQ232" i="14"/>
  <c r="BI113" i="14"/>
  <c r="BQ40" i="14"/>
  <c r="AU281" i="14"/>
  <c r="AW617" i="14"/>
  <c r="BA436" i="14"/>
  <c r="BI376" i="14"/>
  <c r="BM76" i="14"/>
  <c r="BI426" i="14"/>
  <c r="BE544" i="14"/>
  <c r="BI53" i="14"/>
  <c r="AU472" i="14"/>
  <c r="AY377" i="14"/>
  <c r="BI544" i="14"/>
  <c r="BI293" i="14"/>
  <c r="BA604" i="14"/>
  <c r="BE460" i="14"/>
  <c r="BK52" i="14"/>
  <c r="BM485" i="14"/>
  <c r="BI161" i="14"/>
  <c r="BE52" i="14"/>
  <c r="AY437" i="14"/>
  <c r="BQ569" i="14"/>
  <c r="BQ89" i="14"/>
  <c r="AU568" i="14"/>
  <c r="BO484" i="14"/>
  <c r="BO328" i="14"/>
  <c r="BM208" i="14"/>
  <c r="BM628" i="14"/>
  <c r="BC412" i="14"/>
  <c r="BG208" i="14"/>
  <c r="BK424" i="14"/>
  <c r="BI340" i="14"/>
  <c r="BI184" i="14"/>
  <c r="AY604" i="14"/>
  <c r="BA460" i="14"/>
  <c r="BK412" i="14"/>
  <c r="BI304" i="14"/>
  <c r="BC436" i="14"/>
  <c r="BO52" i="14"/>
  <c r="BC52" i="14"/>
  <c r="BK185" i="14"/>
  <c r="BE268" i="14"/>
  <c r="BQ280" i="14"/>
  <c r="BQ364" i="14"/>
  <c r="BK376" i="14"/>
  <c r="BI628" i="14"/>
  <c r="BK209" i="14"/>
  <c r="BK616" i="14"/>
  <c r="AW400" i="14"/>
  <c r="BK557" i="14"/>
  <c r="BG568" i="14"/>
  <c r="BC664" i="14"/>
  <c r="AY364" i="14"/>
  <c r="AW568" i="14"/>
  <c r="BA413" i="14"/>
  <c r="BE172" i="14"/>
  <c r="BI616" i="14"/>
  <c r="AU100" i="14"/>
  <c r="BO136" i="14"/>
  <c r="BO616" i="14"/>
  <c r="BA317" i="14"/>
  <c r="AU256" i="14"/>
  <c r="BM232" i="14"/>
  <c r="AW556" i="14"/>
  <c r="AW256" i="14"/>
  <c r="BO196" i="14"/>
  <c r="AW664" i="14"/>
  <c r="BQ148" i="14"/>
  <c r="BI460" i="14"/>
  <c r="AY496" i="14"/>
  <c r="BQ196" i="14"/>
  <c r="BK244" i="14"/>
  <c r="BO676" i="14"/>
  <c r="BG676" i="14"/>
  <c r="AU304" i="14"/>
  <c r="BM65" i="14"/>
  <c r="BI208" i="14"/>
  <c r="BG280" i="14"/>
  <c r="BA352" i="14"/>
  <c r="BA244" i="14"/>
  <c r="BO292" i="14"/>
  <c r="BG376" i="14"/>
  <c r="BK484" i="14"/>
  <c r="AW184" i="14"/>
  <c r="BI436" i="14"/>
  <c r="BM112" i="14"/>
  <c r="BA136" i="14"/>
  <c r="AY256" i="14"/>
  <c r="BI232" i="14"/>
  <c r="BO401" i="14"/>
  <c r="BQ52" i="14"/>
  <c r="BQ424" i="14"/>
  <c r="BQ125" i="14"/>
  <c r="AU376" i="14"/>
  <c r="BE412" i="14"/>
  <c r="BE557" i="14"/>
  <c r="BA485" i="14"/>
  <c r="BM304" i="14"/>
  <c r="BI352" i="14"/>
  <c r="AW496" i="14"/>
  <c r="BA328" i="14"/>
  <c r="BK328" i="14"/>
  <c r="BA124" i="14"/>
  <c r="BA257" i="14"/>
  <c r="BI556" i="14"/>
  <c r="AU676" i="14"/>
  <c r="BA172" i="14"/>
  <c r="BG508" i="14"/>
  <c r="BA496" i="14"/>
  <c r="AW676" i="14"/>
  <c r="BG256" i="14"/>
  <c r="AU400" i="14"/>
  <c r="BG352" i="14"/>
  <c r="AW329" i="14"/>
  <c r="BI533" i="14"/>
  <c r="AY532" i="14"/>
  <c r="BC196" i="14"/>
  <c r="BI88" i="14"/>
  <c r="BE124" i="14"/>
  <c r="BA88" i="14"/>
  <c r="BG149" i="14"/>
  <c r="BQ628" i="14"/>
  <c r="BC508" i="14"/>
  <c r="BM640" i="14"/>
  <c r="BM472" i="14"/>
  <c r="AU124" i="14"/>
  <c r="AW209" i="14"/>
  <c r="BA653" i="14"/>
  <c r="AY112" i="14"/>
  <c r="AY664" i="14"/>
  <c r="BG604" i="14"/>
  <c r="BE400" i="14"/>
  <c r="BM257" i="14"/>
  <c r="AU388" i="14"/>
  <c r="BG52" i="14"/>
  <c r="AY64" i="14"/>
  <c r="BM364" i="14"/>
  <c r="AY196" i="14"/>
  <c r="BE280" i="14"/>
  <c r="BE388" i="14"/>
  <c r="BI496" i="14"/>
  <c r="BC112" i="14"/>
  <c r="BM424" i="14"/>
  <c r="BQ580" i="14"/>
  <c r="AU664" i="14"/>
  <c r="BC256" i="14"/>
  <c r="BQ76" i="14"/>
  <c r="BC520" i="14"/>
  <c r="BC136" i="14"/>
  <c r="AW448" i="14"/>
  <c r="BO88" i="14"/>
  <c r="AU160" i="14"/>
  <c r="AY424" i="14"/>
  <c r="AY568" i="14"/>
  <c r="BA472" i="14"/>
  <c r="AW436" i="14"/>
  <c r="BK232" i="14"/>
  <c r="BE424" i="14"/>
  <c r="BE352" i="14"/>
  <c r="BA544" i="14"/>
  <c r="BI484" i="14"/>
  <c r="BM220" i="14"/>
  <c r="BC472" i="14"/>
  <c r="BG592" i="14"/>
  <c r="BG304" i="14"/>
  <c r="BM328" i="14"/>
  <c r="BQ292" i="14"/>
  <c r="BG460" i="14"/>
  <c r="BA556" i="14"/>
  <c r="AW268" i="14"/>
  <c r="BI448" i="14"/>
  <c r="BK88" i="14"/>
  <c r="AU52" i="14"/>
  <c r="BO556" i="14"/>
  <c r="BG101" i="14"/>
  <c r="BM533" i="14"/>
  <c r="BQ676" i="14"/>
  <c r="AU652" i="14"/>
  <c r="AY509" i="14"/>
  <c r="BK580" i="14"/>
  <c r="BC544" i="14"/>
  <c r="BE497" i="14"/>
  <c r="BE148" i="14"/>
  <c r="AY388" i="14"/>
  <c r="AW64" i="14"/>
  <c r="BA448" i="14"/>
  <c r="BI580" i="14"/>
  <c r="BG136" i="14"/>
  <c r="BA400" i="14"/>
  <c r="BO112" i="14"/>
  <c r="BI268" i="14"/>
  <c r="BI569" i="14"/>
  <c r="BQ592" i="14"/>
  <c r="AW424" i="14"/>
  <c r="BA232" i="14"/>
  <c r="BQ460" i="14"/>
  <c r="AU353" i="14"/>
  <c r="AU269" i="14"/>
  <c r="BI196" i="14"/>
  <c r="BK472" i="14"/>
  <c r="AU460" i="14"/>
  <c r="BM173" i="14"/>
  <c r="BK364" i="14"/>
  <c r="BO424" i="14"/>
  <c r="BO100" i="14"/>
  <c r="BO412" i="14"/>
  <c r="BO592" i="14"/>
  <c r="BA292" i="14"/>
  <c r="BQ557" i="14"/>
  <c r="AY53" i="14"/>
  <c r="AW532" i="14"/>
  <c r="BQ616" i="14"/>
  <c r="AW604" i="14"/>
  <c r="BM508" i="14"/>
  <c r="AW508" i="14"/>
  <c r="AY677" i="14"/>
  <c r="BM400" i="14"/>
  <c r="AW364" i="14"/>
  <c r="BA185" i="14"/>
  <c r="BE244" i="14"/>
  <c r="BG316" i="14"/>
  <c r="BE376" i="14"/>
  <c r="BC557" i="14"/>
  <c r="AW318" i="14"/>
  <c r="BQ509" i="14"/>
  <c r="BI280" i="14"/>
  <c r="BC377" i="14"/>
  <c r="BO628" i="14"/>
  <c r="BQ400" i="14"/>
  <c r="BQ388" i="14"/>
  <c r="AY148" i="14"/>
  <c r="BO521" i="14"/>
  <c r="BQ112" i="14"/>
  <c r="BK304" i="14"/>
  <c r="AY184" i="14"/>
  <c r="BA509" i="14"/>
  <c r="BM185" i="14"/>
  <c r="BQ436" i="14"/>
  <c r="AY484" i="14"/>
  <c r="BE100" i="14"/>
  <c r="BG652" i="14"/>
  <c r="BI365" i="14"/>
  <c r="BE628" i="14"/>
  <c r="BA388" i="14"/>
  <c r="BK520" i="14"/>
  <c r="BI520" i="14"/>
  <c r="BC76" i="14"/>
  <c r="BQ136" i="14"/>
  <c r="AY655" i="14"/>
  <c r="AY656" i="14" s="1"/>
  <c r="AY657" i="14" s="1"/>
  <c r="AY658" i="14" s="1"/>
  <c r="BO364" i="14"/>
  <c r="BC125" i="14"/>
  <c r="BM436" i="14"/>
  <c r="BG172" i="14"/>
  <c r="BA220" i="14"/>
  <c r="AU64" i="14"/>
  <c r="BG233" i="14"/>
  <c r="BC533" i="14"/>
  <c r="AW124" i="14"/>
  <c r="BM377" i="14"/>
  <c r="BG557" i="14"/>
  <c r="BK196" i="14"/>
  <c r="BE208" i="14"/>
  <c r="BQ412" i="14"/>
  <c r="BM604" i="14"/>
  <c r="AU556" i="14"/>
  <c r="BE532" i="14"/>
  <c r="AY448" i="14"/>
  <c r="BQ545" i="14"/>
  <c r="BA160" i="14"/>
  <c r="BI665" i="14"/>
  <c r="BI676" i="14"/>
  <c r="AY340" i="14"/>
  <c r="BO184" i="14"/>
  <c r="AW352" i="14"/>
  <c r="BM556" i="14"/>
  <c r="AU580" i="14"/>
  <c r="BK640" i="14"/>
  <c r="BE484" i="14"/>
  <c r="BO257" i="14"/>
  <c r="BA364" i="14"/>
  <c r="AY88" i="14"/>
  <c r="AU173" i="14"/>
  <c r="AY328" i="14"/>
  <c r="BC244" i="14"/>
  <c r="BC652" i="14"/>
  <c r="BK100" i="14"/>
  <c r="BC316" i="14"/>
  <c r="BC568" i="14"/>
  <c r="AU245" i="14"/>
  <c r="BI149" i="14"/>
  <c r="BA569" i="14"/>
  <c r="BM544" i="14"/>
  <c r="BA532" i="14"/>
  <c r="BM412" i="14"/>
  <c r="BK652" i="14"/>
  <c r="BG664" i="14"/>
  <c r="AW376" i="14"/>
  <c r="BO232" i="14"/>
  <c r="BC352" i="14"/>
  <c r="BO640" i="14"/>
  <c r="BK113" i="14"/>
  <c r="BM197" i="14"/>
  <c r="BC304" i="14"/>
  <c r="AU112" i="14"/>
  <c r="BM580" i="14"/>
  <c r="BI508" i="14"/>
  <c r="BC232" i="14"/>
  <c r="BI76" i="14"/>
  <c r="AU365" i="14"/>
  <c r="AW484" i="14"/>
  <c r="BO509" i="14"/>
  <c r="AW520" i="14"/>
  <c r="BM449" i="14"/>
  <c r="BQ221" i="14"/>
  <c r="BE113" i="14"/>
  <c r="BK173" i="14"/>
  <c r="BA592" i="14"/>
  <c r="BK604" i="14"/>
  <c r="BQ316" i="14"/>
  <c r="BO448" i="14"/>
  <c r="BO64" i="14"/>
  <c r="BC160" i="14"/>
  <c r="BC448" i="14"/>
  <c r="BE319" i="14"/>
  <c r="BE320" i="14" s="1"/>
  <c r="BE321" i="14" s="1"/>
  <c r="BE322" i="14" s="1"/>
  <c r="BE605" i="14"/>
  <c r="BQ352" i="14"/>
  <c r="AY208" i="14"/>
  <c r="BC460" i="14"/>
  <c r="BQ532" i="14"/>
  <c r="BO341" i="14"/>
  <c r="BC388" i="14"/>
  <c r="BA521" i="14"/>
  <c r="BA676" i="14"/>
  <c r="BM388" i="14"/>
  <c r="BC401" i="14"/>
  <c r="BG472" i="14"/>
  <c r="BC269" i="14"/>
  <c r="BM148" i="14"/>
  <c r="BQ329" i="14"/>
  <c r="BG113" i="14"/>
  <c r="BC65" i="14"/>
  <c r="BC292" i="14"/>
  <c r="BK449" i="14"/>
  <c r="AU520" i="14"/>
  <c r="BE185" i="14"/>
  <c r="BQ185" i="14"/>
  <c r="BI257" i="14"/>
  <c r="BG125" i="14"/>
  <c r="BE437" i="14"/>
  <c r="BQ665" i="14"/>
  <c r="BM317" i="14"/>
  <c r="BA101" i="14"/>
  <c r="BG161" i="14"/>
  <c r="BE221" i="14"/>
  <c r="BM53" i="14"/>
  <c r="AW149" i="14"/>
  <c r="BO125" i="14"/>
  <c r="BE341" i="14"/>
  <c r="AY233" i="14"/>
  <c r="BQ605" i="14"/>
  <c r="BO473" i="14"/>
  <c r="BQ101" i="14"/>
  <c r="AU545" i="14"/>
  <c r="AW113" i="14"/>
  <c r="BM461" i="14"/>
  <c r="BQ269" i="14"/>
  <c r="BC173" i="14"/>
  <c r="BG341" i="14"/>
  <c r="BA269" i="14"/>
  <c r="BE653" i="14"/>
  <c r="BC641" i="14"/>
  <c r="BI389" i="14"/>
  <c r="BK497" i="14"/>
  <c r="AY317" i="14"/>
  <c r="BA65" i="14"/>
  <c r="BK509" i="14"/>
  <c r="AY281" i="14"/>
  <c r="BC485" i="14"/>
  <c r="BM161" i="14"/>
  <c r="AY137" i="14"/>
  <c r="BI173" i="14"/>
  <c r="BC629" i="14"/>
  <c r="BO353" i="14"/>
  <c r="BM270" i="14"/>
  <c r="BM521" i="14"/>
  <c r="AU593" i="14"/>
  <c r="AW281" i="14"/>
  <c r="BE66" i="14"/>
  <c r="BQ475" i="14"/>
  <c r="BQ476" i="14" s="1"/>
  <c r="BQ477" i="14" s="1"/>
  <c r="BQ478" i="14" s="1"/>
  <c r="BO438" i="14"/>
  <c r="BO498" i="14"/>
  <c r="BA306" i="14"/>
  <c r="BO210" i="14"/>
  <c r="DI46" i="14"/>
  <c r="BE294" i="14"/>
  <c r="BE642" i="14"/>
  <c r="BG414" i="14"/>
  <c r="BI330" i="14"/>
  <c r="AU210" i="14"/>
  <c r="BK126" i="14"/>
  <c r="AY222" i="14"/>
  <c r="BM666" i="14"/>
  <c r="BK318" i="14"/>
  <c r="BG618" i="14"/>
  <c r="BG78" i="14"/>
  <c r="BO222" i="14"/>
  <c r="AW390" i="14"/>
  <c r="BA210" i="14"/>
  <c r="BE234" i="14"/>
  <c r="AU510" i="14"/>
  <c r="BA378" i="14"/>
  <c r="BG438" i="14"/>
  <c r="BG270" i="14"/>
  <c r="AY354" i="14"/>
  <c r="BQ522" i="14"/>
  <c r="AY630" i="14"/>
  <c r="BI654" i="14"/>
  <c r="BE582" i="14"/>
  <c r="AW654" i="14"/>
  <c r="BQ342" i="14"/>
  <c r="BO534" i="14"/>
  <c r="BG402" i="14"/>
  <c r="BG630" i="14"/>
  <c r="BO390" i="14"/>
  <c r="BI414" i="14"/>
  <c r="BA150" i="14"/>
  <c r="AW174" i="14"/>
  <c r="AW78" i="14"/>
  <c r="AU138" i="14"/>
  <c r="BQ258" i="14"/>
  <c r="BC606" i="14"/>
  <c r="AW162" i="14"/>
  <c r="AY246" i="14"/>
  <c r="BO546" i="14"/>
  <c r="BC282" i="14"/>
  <c r="BK258" i="14"/>
  <c r="BC90" i="14"/>
  <c r="BM594" i="14"/>
  <c r="BM294" i="14"/>
  <c r="BC426" i="14"/>
  <c r="AY402" i="14"/>
  <c r="BQ450" i="14"/>
  <c r="BA426" i="14"/>
  <c r="AY546" i="14"/>
  <c r="BK162" i="14"/>
  <c r="BG450" i="14"/>
  <c r="BE162" i="14"/>
  <c r="BC186" i="14"/>
  <c r="BQ306" i="14"/>
  <c r="BO174" i="14"/>
  <c r="BG642" i="14"/>
  <c r="BK270" i="14"/>
  <c r="AW342" i="14"/>
  <c r="BM354" i="14"/>
  <c r="BG390" i="14"/>
  <c r="AW474" i="14"/>
  <c r="AW222" i="14"/>
  <c r="BG186" i="14"/>
  <c r="BM654" i="14"/>
  <c r="AY462" i="14"/>
  <c r="BC342" i="14"/>
  <c r="AU318" i="14"/>
  <c r="AU342" i="14"/>
  <c r="BO270" i="14"/>
  <c r="BE198" i="14"/>
  <c r="AW630" i="14"/>
  <c r="BM570" i="14"/>
  <c r="BK342" i="14"/>
  <c r="BI318" i="14"/>
  <c r="AU78" i="14"/>
  <c r="BQ498" i="14"/>
  <c r="BI594" i="14"/>
  <c r="BM90" i="14"/>
  <c r="AW246" i="14"/>
  <c r="BI126" i="14"/>
  <c r="BG366" i="14"/>
  <c r="AW642" i="14"/>
  <c r="AW234" i="14"/>
  <c r="BI222" i="14"/>
  <c r="AU450" i="14"/>
  <c r="BA630" i="14"/>
  <c r="BG222" i="14"/>
  <c r="BQ162" i="14"/>
  <c r="AY78" i="14"/>
  <c r="AY102" i="14"/>
  <c r="BI474" i="14"/>
  <c r="AU486" i="14"/>
  <c r="BG546" i="14"/>
  <c r="BK666" i="14"/>
  <c r="BK222" i="14"/>
  <c r="BM678" i="14"/>
  <c r="BM138" i="14"/>
  <c r="BI402" i="14"/>
  <c r="BM498" i="14"/>
  <c r="BO162" i="14"/>
  <c r="BM282" i="14"/>
  <c r="BK534" i="14"/>
  <c r="BC678" i="14"/>
  <c r="BO378" i="14"/>
  <c r="BE678" i="14"/>
  <c r="BE366" i="14"/>
  <c r="BM103" i="14"/>
  <c r="BM104" i="14" s="1"/>
  <c r="BM105" i="14" s="1"/>
  <c r="BM106" i="14" s="1"/>
  <c r="BO655" i="14"/>
  <c r="BO656" i="14" s="1"/>
  <c r="BO657" i="14" s="1"/>
  <c r="BO658" i="14" s="1"/>
  <c r="BG67" i="14"/>
  <c r="BG68" i="14" s="1"/>
  <c r="BG69" i="14" s="1"/>
  <c r="BG70" i="14" s="1"/>
  <c r="AY559" i="14"/>
  <c r="AY560" i="14" s="1"/>
  <c r="AY561" i="14" s="1"/>
  <c r="AY562" i="14" s="1"/>
  <c r="BC211" i="14"/>
  <c r="BC212" i="14" s="1"/>
  <c r="BC213" i="14" s="1"/>
  <c r="BC214" i="14" s="1"/>
  <c r="BG583" i="14"/>
  <c r="BG584" i="14" s="1"/>
  <c r="BG585" i="14" s="1"/>
  <c r="BG586" i="14" s="1"/>
  <c r="AY295" i="14"/>
  <c r="AY296" i="14" s="1"/>
  <c r="AY297" i="14" s="1"/>
  <c r="AY298" i="14" s="1"/>
  <c r="BK355" i="14"/>
  <c r="BK356" i="14" s="1"/>
  <c r="BK357" i="14" s="1"/>
  <c r="BK358" i="14" s="1"/>
  <c r="BA583" i="14"/>
  <c r="BA584" i="14" s="1"/>
  <c r="BA585" i="14" s="1"/>
  <c r="BA586" i="14" s="1"/>
  <c r="BE475" i="14"/>
  <c r="BE476" i="14" s="1"/>
  <c r="BE477" i="14" s="1"/>
  <c r="BE478" i="14" s="1"/>
  <c r="AU643" i="14"/>
  <c r="AU644" i="14" s="1"/>
  <c r="AU645" i="14" s="1"/>
  <c r="AU646" i="14" s="1"/>
  <c r="BK463" i="14"/>
  <c r="BK464" i="14" s="1"/>
  <c r="BK465" i="14" s="1"/>
  <c r="BK466" i="14" s="1"/>
  <c r="BA283" i="14"/>
  <c r="BA284" i="14" s="1"/>
  <c r="BA285" i="14" s="1"/>
  <c r="BA286" i="14" s="1"/>
  <c r="BA115" i="14"/>
  <c r="BA116" i="14" s="1"/>
  <c r="BA117" i="14" s="1"/>
  <c r="BA118" i="14" s="1"/>
  <c r="BC103" i="14"/>
  <c r="BC104" i="14" s="1"/>
  <c r="BC105" i="14" s="1"/>
  <c r="BC106" i="14" s="1"/>
  <c r="BE91" i="14"/>
  <c r="BE92" i="14" s="1"/>
  <c r="BE93" i="14" s="1"/>
  <c r="BE94" i="14" s="1"/>
  <c r="BK631" i="14"/>
  <c r="BK632" i="14" s="1"/>
  <c r="BK633" i="14" s="1"/>
  <c r="BK634" i="14" s="1"/>
  <c r="AY127" i="14"/>
  <c r="AY128" i="14" s="1"/>
  <c r="AY129" i="14" s="1"/>
  <c r="AY130" i="14" s="1"/>
  <c r="AU499" i="14"/>
  <c r="AU500" i="14" s="1"/>
  <c r="AU501" i="14" s="1"/>
  <c r="AU502" i="14" s="1"/>
  <c r="BC499" i="14"/>
  <c r="BC500" i="14" s="1"/>
  <c r="BC501" i="14" s="1"/>
  <c r="BC502" i="14" s="1"/>
  <c r="AU331" i="14"/>
  <c r="AU332" i="14" s="1"/>
  <c r="AU333" i="14" s="1"/>
  <c r="AU334" i="14" s="1"/>
  <c r="BM619" i="14"/>
  <c r="BM620" i="14" s="1"/>
  <c r="BM621" i="14" s="1"/>
  <c r="BM622" i="14" s="1"/>
  <c r="BG331" i="14"/>
  <c r="BG332" i="14" s="1"/>
  <c r="BG333" i="14" s="1"/>
  <c r="BG334" i="14" s="1"/>
  <c r="AU427" i="14"/>
  <c r="AU428" i="14" s="1"/>
  <c r="AU429" i="14" s="1"/>
  <c r="AU430" i="14" s="1"/>
  <c r="AU415" i="14"/>
  <c r="AU416" i="14" s="1"/>
  <c r="AU417" i="14" s="1"/>
  <c r="AU418" i="14" s="1"/>
  <c r="AU235" i="14"/>
  <c r="AU236" i="14" s="1"/>
  <c r="AU237" i="14" s="1"/>
  <c r="AU238" i="14" s="1"/>
  <c r="BC151" i="14"/>
  <c r="BC152" i="14" s="1"/>
  <c r="BC153" i="14" s="1"/>
  <c r="BC154" i="14" s="1"/>
  <c r="BC223" i="14"/>
  <c r="BC224" i="14" s="1"/>
  <c r="BC225" i="14" s="1"/>
  <c r="BC226" i="14" s="1"/>
  <c r="BC367" i="14"/>
  <c r="BC368" i="14" s="1"/>
  <c r="BC369" i="14" s="1"/>
  <c r="BC370" i="14" s="1"/>
  <c r="BE619" i="14"/>
  <c r="BE620" i="14" s="1"/>
  <c r="BE621" i="14" s="1"/>
  <c r="BE622" i="14" s="1"/>
  <c r="BG523" i="14"/>
  <c r="BG524" i="14" s="1"/>
  <c r="BG525" i="14" s="1"/>
  <c r="BG526" i="14" s="1"/>
  <c r="BQ211" i="14"/>
  <c r="BQ212" i="14" s="1"/>
  <c r="BQ213" i="14" s="1"/>
  <c r="BQ214" i="14" s="1"/>
  <c r="BK295" i="14"/>
  <c r="BK296" i="14" s="1"/>
  <c r="BK297" i="14" s="1"/>
  <c r="BK298" i="14" s="1"/>
  <c r="BQ655" i="14"/>
  <c r="BQ656" i="14" s="1"/>
  <c r="BQ657" i="14" s="1"/>
  <c r="BQ658" i="14" s="1"/>
  <c r="BK547" i="14"/>
  <c r="BK548" i="14" s="1"/>
  <c r="BK549" i="14" s="1"/>
  <c r="BK550" i="14" s="1"/>
  <c r="BG535" i="14"/>
  <c r="BG536" i="14" s="1"/>
  <c r="BG537" i="14" s="1"/>
  <c r="BG538" i="14" s="1"/>
  <c r="AW547" i="14"/>
  <c r="AW548" i="14" s="1"/>
  <c r="AW549" i="14" s="1"/>
  <c r="AW550" i="14" s="1"/>
  <c r="BK67" i="14"/>
  <c r="BK68" i="14" s="1"/>
  <c r="BK69" i="14" s="1"/>
  <c r="BK70" i="14" s="1"/>
  <c r="BM247" i="14"/>
  <c r="BM248" i="14" s="1"/>
  <c r="BM249" i="14" s="1"/>
  <c r="BM250" i="14" s="1"/>
  <c r="AU91" i="14"/>
  <c r="AU92" i="14" s="1"/>
  <c r="AU93" i="14" s="1"/>
  <c r="AU94" i="14" s="1"/>
  <c r="AW463" i="14"/>
  <c r="AW464" i="14" s="1"/>
  <c r="AW465" i="14" s="1"/>
  <c r="AW466" i="14" s="1"/>
  <c r="AW103" i="14"/>
  <c r="AW104" i="14" s="1"/>
  <c r="AW105" i="14" s="1"/>
  <c r="AW106" i="14" s="1"/>
  <c r="AU223" i="14"/>
  <c r="AU224" i="14" s="1"/>
  <c r="AU225" i="14" s="1"/>
  <c r="AU226" i="14" s="1"/>
  <c r="BK79" i="14"/>
  <c r="BK80" i="14" s="1"/>
  <c r="BK81" i="14" s="1"/>
  <c r="BK82" i="14" s="1"/>
  <c r="AY523" i="14"/>
  <c r="AY524" i="14" s="1"/>
  <c r="AY525" i="14" s="1"/>
  <c r="AY526" i="14" s="1"/>
  <c r="BE511" i="14"/>
  <c r="BE512" i="14" s="1"/>
  <c r="BE513" i="14" s="1"/>
  <c r="BE514" i="14" s="1"/>
  <c r="BO79" i="14"/>
  <c r="BO80" i="14" s="1"/>
  <c r="BO81" i="14" s="1"/>
  <c r="BO82" i="14" s="1"/>
  <c r="BO283" i="14"/>
  <c r="BO284" i="14" s="1"/>
  <c r="BO285" i="14" s="1"/>
  <c r="BO286" i="14" s="1"/>
  <c r="BI139" i="14"/>
  <c r="BI140" i="14" s="1"/>
  <c r="BI141" i="14" s="1"/>
  <c r="BI142" i="14" s="1"/>
  <c r="BC331" i="14"/>
  <c r="BC332" i="14" s="1"/>
  <c r="BC333" i="14" s="1"/>
  <c r="BC334" i="14" s="1"/>
  <c r="BG499" i="14"/>
  <c r="BG500" i="14" s="1"/>
  <c r="BG501" i="14" s="1"/>
  <c r="BG502" i="14" s="1"/>
  <c r="AW55" i="14"/>
  <c r="AW56" i="14" s="1"/>
  <c r="AW57" i="14" s="1"/>
  <c r="AW58" i="14" s="1"/>
  <c r="BQ67" i="14"/>
  <c r="BQ68" i="14" s="1"/>
  <c r="BQ69" i="14" s="1"/>
  <c r="BQ70" i="14" s="1"/>
  <c r="AW139" i="14"/>
  <c r="AW140" i="14" s="1"/>
  <c r="AW141" i="14" s="1"/>
  <c r="AW142" i="14" s="1"/>
  <c r="BG295" i="14"/>
  <c r="BG296" i="14" s="1"/>
  <c r="BG297" i="14" s="1"/>
  <c r="BG298" i="14" s="1"/>
  <c r="BE259" i="14"/>
  <c r="BE260" i="14" s="1"/>
  <c r="BE261" i="14" s="1"/>
  <c r="BE262" i="14" s="1"/>
  <c r="BM343" i="14"/>
  <c r="BM344" i="14" s="1"/>
  <c r="BM345" i="14" s="1"/>
  <c r="BM346" i="14" s="1"/>
  <c r="AU295" i="14"/>
  <c r="AU296" i="14" s="1"/>
  <c r="AU297" i="14" s="1"/>
  <c r="AU298" i="14" s="1"/>
  <c r="BK283" i="14"/>
  <c r="BK284" i="14" s="1"/>
  <c r="BK285" i="14" s="1"/>
  <c r="BK286" i="14" s="1"/>
  <c r="BE571" i="14"/>
  <c r="BE572" i="14" s="1"/>
  <c r="BE573" i="14" s="1"/>
  <c r="BE574" i="14" s="1"/>
  <c r="BG427" i="14"/>
  <c r="BG428" i="14" s="1"/>
  <c r="BG429" i="14" s="1"/>
  <c r="BG430" i="14" s="1"/>
  <c r="AY619" i="14"/>
  <c r="AY620" i="14" s="1"/>
  <c r="AY621" i="14" s="1"/>
  <c r="AY622" i="14" s="1"/>
  <c r="BA619" i="14"/>
  <c r="BA620" i="14" s="1"/>
  <c r="BA621" i="14" s="1"/>
  <c r="BA622" i="14" s="1"/>
  <c r="AY643" i="14"/>
  <c r="AY644" i="14" s="1"/>
  <c r="AY645" i="14" s="1"/>
  <c r="AY646" i="14" s="1"/>
  <c r="BO319" i="14"/>
  <c r="BO320" i="14" s="1"/>
  <c r="BO321" i="14" s="1"/>
  <c r="BO322" i="14" s="1"/>
  <c r="BK595" i="14"/>
  <c r="BK596" i="14" s="1"/>
  <c r="BK597" i="14" s="1"/>
  <c r="BK598" i="14" s="1"/>
  <c r="BE331" i="14"/>
  <c r="BE332" i="14" s="1"/>
  <c r="BE333" i="14" s="1"/>
  <c r="BE334" i="14" s="1"/>
  <c r="BC619" i="14"/>
  <c r="BC620" i="14" s="1"/>
  <c r="BC621" i="14" s="1"/>
  <c r="BC622" i="14" s="1"/>
  <c r="BC595" i="14"/>
  <c r="BC596" i="14" s="1"/>
  <c r="BC597" i="14" s="1"/>
  <c r="BC598" i="14" s="1"/>
  <c r="BE307" i="14"/>
  <c r="BE308" i="14" s="1"/>
  <c r="BE309" i="14" s="1"/>
  <c r="BE310" i="14" s="1"/>
  <c r="BQ487" i="14"/>
  <c r="BQ488" i="14" s="1"/>
  <c r="BQ489" i="14" s="1"/>
  <c r="BQ490" i="14" s="1"/>
  <c r="BE667" i="14"/>
  <c r="BE668" i="14" s="1"/>
  <c r="BE669" i="14" s="1"/>
  <c r="BE670" i="14" s="1"/>
  <c r="AJ52" i="43"/>
  <c r="E51" i="43" s="1"/>
  <c r="AX291" i="14"/>
  <c r="AX173" i="14"/>
  <c r="BH303" i="14"/>
  <c r="BH232" i="14"/>
  <c r="BB100" i="14"/>
  <c r="BB184" i="14"/>
  <c r="BL294" i="14"/>
  <c r="BF340" i="14"/>
  <c r="BD231" i="14"/>
  <c r="AZ411" i="14"/>
  <c r="BN399" i="14"/>
  <c r="BH629" i="14"/>
  <c r="BR135" i="14"/>
  <c r="BD640" i="14"/>
  <c r="AV663" i="14"/>
  <c r="AV330" i="14"/>
  <c r="BD543" i="14"/>
  <c r="BR66" i="14"/>
  <c r="BJ63" i="14"/>
  <c r="BR268" i="14"/>
  <c r="BD159" i="14"/>
  <c r="BJ519" i="14"/>
  <c r="BF330" i="14"/>
  <c r="BN543" i="14"/>
  <c r="BH471" i="14"/>
  <c r="BN342" i="14"/>
  <c r="BR486" i="14"/>
  <c r="BN293" i="14"/>
  <c r="BL341" i="14"/>
  <c r="AV471" i="14"/>
  <c r="BH401" i="14"/>
  <c r="BF399" i="14"/>
  <c r="BH389" i="14"/>
  <c r="BR39" i="14"/>
  <c r="AV509" i="14"/>
  <c r="BB64" i="14"/>
  <c r="BN89" i="14"/>
  <c r="BL665" i="14"/>
  <c r="BP209" i="14"/>
  <c r="AX267" i="14"/>
  <c r="BJ653" i="14"/>
  <c r="AV222" i="14"/>
  <c r="BB618" i="14"/>
  <c r="BJ401" i="14"/>
  <c r="BR341" i="14"/>
  <c r="BF474" i="14"/>
  <c r="BH269" i="14"/>
  <c r="AZ483" i="14"/>
  <c r="BF279" i="14"/>
  <c r="AV544" i="14"/>
  <c r="BJ87" i="14"/>
  <c r="BL161" i="14"/>
  <c r="BL508" i="14"/>
  <c r="BH603" i="14"/>
  <c r="BL556" i="14"/>
  <c r="BF677" i="14"/>
  <c r="BF243" i="14"/>
  <c r="BN172" i="14"/>
  <c r="AV172" i="14"/>
  <c r="BL195" i="14"/>
  <c r="BL87" i="14"/>
  <c r="BJ256" i="14"/>
  <c r="BB387" i="14"/>
  <c r="BH160" i="14"/>
  <c r="BL496" i="14"/>
  <c r="BJ172" i="14"/>
  <c r="AZ423" i="14"/>
  <c r="BN111" i="14"/>
  <c r="BL471" i="14"/>
  <c r="BR399" i="14"/>
  <c r="BJ267" i="14"/>
  <c r="BF531" i="14"/>
  <c r="BD447" i="14"/>
  <c r="BR88" i="14"/>
  <c r="BP124" i="14"/>
  <c r="BR375" i="14"/>
  <c r="BH507" i="14"/>
  <c r="AV255" i="14"/>
  <c r="BN102" i="14"/>
  <c r="BP447" i="14"/>
  <c r="BP411" i="14"/>
  <c r="BJ483" i="14"/>
  <c r="BL172" i="14"/>
  <c r="BF318" i="14"/>
  <c r="BF423" i="14"/>
  <c r="BP87" i="14"/>
  <c r="BH340" i="14"/>
  <c r="BN484" i="14"/>
  <c r="BR521" i="14"/>
  <c r="BR161" i="14"/>
  <c r="BP520" i="14"/>
  <c r="BJ435" i="14"/>
  <c r="AV555" i="14"/>
  <c r="BF387" i="14"/>
  <c r="AZ495" i="14"/>
  <c r="AV579" i="14"/>
  <c r="AV159" i="14"/>
  <c r="BJ231" i="14"/>
  <c r="BD400" i="14"/>
  <c r="BR640" i="14"/>
  <c r="AZ387" i="14"/>
  <c r="BJ207" i="14"/>
  <c r="BN75" i="14"/>
  <c r="BJ627" i="14"/>
  <c r="BD210" i="14"/>
  <c r="BR568" i="14"/>
  <c r="BP675" i="14"/>
  <c r="BL579" i="14"/>
  <c r="BL400" i="14"/>
  <c r="BJ52" i="14"/>
  <c r="BN435" i="14"/>
  <c r="BB195" i="14"/>
  <c r="AV63" i="14"/>
  <c r="BP377" i="14"/>
  <c r="AZ316" i="14"/>
  <c r="BL411" i="14"/>
  <c r="AZ603" i="14"/>
  <c r="BJ555" i="14"/>
  <c r="BL630" i="14"/>
  <c r="BB339" i="14"/>
  <c r="BB531" i="14"/>
  <c r="AZ245" i="14"/>
  <c r="AX351" i="14"/>
  <c r="AX389" i="14"/>
  <c r="AX675" i="14"/>
  <c r="BB268" i="14"/>
  <c r="AZ221" i="14"/>
  <c r="BH66" i="14"/>
  <c r="BN593" i="14"/>
  <c r="BH255" i="14"/>
  <c r="BR591" i="14"/>
  <c r="AZ147" i="14"/>
  <c r="BH77" i="14"/>
  <c r="BR604" i="14"/>
  <c r="AV364" i="14"/>
  <c r="BL257" i="14"/>
  <c r="BD291" i="14"/>
  <c r="AV317" i="14"/>
  <c r="BF581" i="14"/>
  <c r="BR544" i="14"/>
  <c r="BH100" i="14"/>
  <c r="BJ495" i="14"/>
  <c r="BN196" i="14"/>
  <c r="AX303" i="14"/>
  <c r="AX473" i="14"/>
  <c r="BR351" i="14"/>
  <c r="BF135" i="14"/>
  <c r="BD351" i="14"/>
  <c r="BR231" i="14"/>
  <c r="AV399" i="14"/>
  <c r="BB435" i="14"/>
  <c r="BP352" i="14"/>
  <c r="BB447" i="14"/>
  <c r="BH171" i="14"/>
  <c r="BP269" i="14"/>
  <c r="BF293" i="14"/>
  <c r="AZ111" i="14"/>
  <c r="BJ532" i="14"/>
  <c r="BJ112" i="14"/>
  <c r="BF666" i="14"/>
  <c r="BB591" i="14"/>
  <c r="BH330" i="14"/>
  <c r="BH663" i="14"/>
  <c r="BD567" i="14"/>
  <c r="BH294" i="14"/>
  <c r="BN184" i="14"/>
  <c r="BF411" i="14"/>
  <c r="BB568" i="14"/>
  <c r="BD172" i="14"/>
  <c r="BD435" i="14"/>
  <c r="AZ545" i="14"/>
  <c r="BP231" i="14"/>
  <c r="BD677" i="14"/>
  <c r="BD303" i="14"/>
  <c r="AX148" i="14"/>
  <c r="BP437" i="14"/>
  <c r="BH617" i="14"/>
  <c r="AX77" i="14"/>
  <c r="BJ568" i="14"/>
  <c r="AX580" i="14"/>
  <c r="BB305" i="14"/>
  <c r="BR556" i="14"/>
  <c r="BL243" i="14"/>
  <c r="BH591" i="14"/>
  <c r="AZ461" i="14"/>
  <c r="AZ353" i="14"/>
  <c r="AX208" i="14"/>
  <c r="BB603" i="14"/>
  <c r="AV485" i="14"/>
  <c r="BJ292" i="14"/>
  <c r="AV675" i="14"/>
  <c r="BR579" i="14"/>
  <c r="BB543" i="14"/>
  <c r="AZ376" i="14"/>
  <c r="BH375" i="14"/>
  <c r="BN532" i="14"/>
  <c r="BP483" i="14"/>
  <c r="AV303" i="14"/>
  <c r="BH221" i="14"/>
  <c r="BJ413" i="14"/>
  <c r="BP423" i="14"/>
  <c r="BD387" i="14"/>
  <c r="AV195" i="14"/>
  <c r="BP135" i="14"/>
  <c r="BD651" i="14"/>
  <c r="BN137" i="14"/>
  <c r="AX495" i="14"/>
  <c r="BH437" i="14"/>
  <c r="BB425" i="14"/>
  <c r="AV519" i="14"/>
  <c r="BJ279" i="14"/>
  <c r="BJ160" i="14"/>
  <c r="BH675" i="14"/>
  <c r="AX483" i="14"/>
  <c r="BR328" i="14"/>
  <c r="BJ447" i="14"/>
  <c r="BF591" i="14"/>
  <c r="AZ618" i="14"/>
  <c r="BJ603" i="14"/>
  <c r="BH545" i="14"/>
  <c r="BH279" i="14"/>
  <c r="BJ100" i="14"/>
  <c r="AZ327" i="14"/>
  <c r="BN387" i="14"/>
  <c r="AV209" i="14"/>
  <c r="AV498" i="14"/>
  <c r="BH498" i="14"/>
  <c r="BD281" i="14"/>
  <c r="BP63" i="14"/>
  <c r="AZ294" i="14"/>
  <c r="BP591" i="14"/>
  <c r="AX412" i="14"/>
  <c r="AX255" i="14"/>
  <c r="BL448" i="14"/>
  <c r="BD135" i="14"/>
  <c r="BP533" i="14"/>
  <c r="BB520" i="14"/>
  <c r="BH459" i="14"/>
  <c r="BN618" i="14"/>
  <c r="BL639" i="14"/>
  <c r="BP256" i="14"/>
  <c r="BJ639" i="14"/>
  <c r="AZ654" i="14"/>
  <c r="BR627" i="14"/>
  <c r="BR210" i="14"/>
  <c r="BP195" i="14"/>
  <c r="BJ364" i="14"/>
  <c r="BR245" i="14"/>
  <c r="BN353" i="14"/>
  <c r="BN460" i="14"/>
  <c r="BN52" i="14"/>
  <c r="BL546" i="14"/>
  <c r="BF147" i="14"/>
  <c r="BF570" i="14"/>
  <c r="AX280" i="14"/>
  <c r="BP327" i="14"/>
  <c r="AX341" i="14"/>
  <c r="AX54" i="14"/>
  <c r="BF123" i="14"/>
  <c r="AX507" i="14"/>
  <c r="AX519" i="14"/>
  <c r="BR449" i="14"/>
  <c r="BD376" i="14"/>
  <c r="BJ221" i="14"/>
  <c r="AX663" i="14"/>
  <c r="BB663" i="14"/>
  <c r="BL651" i="14"/>
  <c r="AX629" i="14"/>
  <c r="BH449" i="14"/>
  <c r="BL603" i="14"/>
  <c r="AX245" i="14"/>
  <c r="BH641" i="14"/>
  <c r="BN219" i="14"/>
  <c r="AZ232" i="14"/>
  <c r="AZ436" i="14"/>
  <c r="BD532" i="14"/>
  <c r="AX123" i="14"/>
  <c r="BN627" i="14"/>
  <c r="BF436" i="14"/>
  <c r="AV123" i="14"/>
  <c r="BP318" i="14"/>
  <c r="BL51" i="14"/>
  <c r="BP245" i="14"/>
  <c r="AZ87" i="14"/>
  <c r="BH365" i="14"/>
  <c r="BF99" i="14"/>
  <c r="AZ663" i="14"/>
  <c r="BP555" i="14"/>
  <c r="AV294" i="14"/>
  <c r="AX183" i="14"/>
  <c r="BL435" i="14"/>
  <c r="BN64" i="14"/>
  <c r="BB377" i="14"/>
  <c r="BL354" i="14"/>
  <c r="AX161" i="14"/>
  <c r="BN231" i="14"/>
  <c r="BB495" i="14"/>
  <c r="BL327" i="14"/>
  <c r="BF652" i="14"/>
  <c r="BB629" i="14"/>
  <c r="BB399" i="14"/>
  <c r="BH124" i="14"/>
  <c r="BN256" i="14"/>
  <c r="BR435" i="14"/>
  <c r="AX435" i="14"/>
  <c r="BD51" i="14"/>
  <c r="AZ401" i="14"/>
  <c r="BF220" i="14"/>
  <c r="AX591" i="14"/>
  <c r="BJ388" i="14"/>
  <c r="AZ126" i="14"/>
  <c r="BF365" i="14"/>
  <c r="BF604" i="14"/>
  <c r="BB412" i="14"/>
  <c r="BP654" i="14"/>
  <c r="AV426" i="14"/>
  <c r="AX653" i="14"/>
  <c r="BN653" i="14"/>
  <c r="BP615" i="14"/>
  <c r="BH207" i="14"/>
  <c r="BP291" i="14"/>
  <c r="BD663" i="14"/>
  <c r="BD498" i="14"/>
  <c r="BF459" i="14"/>
  <c r="BF351" i="14"/>
  <c r="BD75" i="14"/>
  <c r="AX616" i="14"/>
  <c r="AZ508" i="14"/>
  <c r="BH185" i="14"/>
  <c r="BL317" i="14"/>
  <c r="BH413" i="14"/>
  <c r="BR675" i="14"/>
  <c r="BJ183" i="14"/>
  <c r="AZ195" i="14"/>
  <c r="BR257" i="14"/>
  <c r="AZ447" i="14"/>
  <c r="BP282" i="14"/>
  <c r="BD111" i="14"/>
  <c r="BF641" i="14"/>
  <c r="BJ675" i="14"/>
  <c r="BL303" i="14"/>
  <c r="BL125" i="14"/>
  <c r="BL533" i="14"/>
  <c r="AX546" i="14"/>
  <c r="AV137" i="14"/>
  <c r="AV111" i="14"/>
  <c r="AV99" i="14"/>
  <c r="BN147" i="14"/>
  <c r="AX63" i="14"/>
  <c r="BB135" i="14"/>
  <c r="BN639" i="14"/>
  <c r="BR111" i="14"/>
  <c r="AZ77" i="14"/>
  <c r="BJ664" i="14"/>
  <c r="BR75" i="14"/>
  <c r="BD195" i="14"/>
  <c r="BP78" i="14"/>
  <c r="AV341" i="14"/>
  <c r="BP161" i="14"/>
  <c r="AZ101" i="14"/>
  <c r="BB555" i="14"/>
  <c r="AV592" i="14"/>
  <c r="BB316" i="14"/>
  <c r="BR411" i="14"/>
  <c r="BD64" i="14"/>
  <c r="BF627" i="14"/>
  <c r="AX102" i="14"/>
  <c r="BF496" i="14"/>
  <c r="BR305" i="14"/>
  <c r="BF75" i="14"/>
  <c r="BH315" i="14"/>
  <c r="BN579" i="14"/>
  <c r="BH51" i="14"/>
  <c r="BP472" i="14"/>
  <c r="BB471" i="14"/>
  <c r="BF233" i="14"/>
  <c r="BJ75" i="14"/>
  <c r="BL615" i="14"/>
  <c r="BL208" i="14"/>
  <c r="AV77" i="14"/>
  <c r="AX328" i="14"/>
  <c r="BR615" i="14"/>
  <c r="BL483" i="14"/>
  <c r="BP99" i="14"/>
  <c r="BD471" i="14"/>
  <c r="BB508" i="14"/>
  <c r="BB87" i="14"/>
  <c r="BN497" i="14"/>
  <c r="BF90" i="14"/>
  <c r="BP580" i="14"/>
  <c r="BP508" i="14"/>
  <c r="AX233" i="14"/>
  <c r="BR184" i="14"/>
  <c r="BD268" i="14"/>
  <c r="BH582" i="14"/>
  <c r="BF510" i="14"/>
  <c r="AZ280" i="14"/>
  <c r="BD519" i="14"/>
  <c r="BF483" i="14"/>
  <c r="BR100" i="14"/>
  <c r="BN448" i="14"/>
  <c r="BF267" i="14"/>
  <c r="BN555" i="14"/>
  <c r="BJ579" i="14"/>
  <c r="BJ593" i="14"/>
  <c r="BR363" i="14"/>
  <c r="BF207" i="14"/>
  <c r="AX375" i="14"/>
  <c r="BN665" i="14"/>
  <c r="AZ531" i="14"/>
  <c r="BN269" i="14"/>
  <c r="BB209" i="14"/>
  <c r="BB149" i="14"/>
  <c r="AZ171" i="14"/>
  <c r="BJ543" i="14"/>
  <c r="BL594" i="14"/>
  <c r="AZ642" i="14"/>
  <c r="BB123" i="14"/>
  <c r="BL66" i="14"/>
  <c r="BR664" i="14"/>
  <c r="AV414" i="14"/>
  <c r="BL462" i="14"/>
  <c r="BJ317" i="14"/>
  <c r="AV459" i="14"/>
  <c r="BJ125" i="14"/>
  <c r="AV531" i="14"/>
  <c r="BH534" i="14"/>
  <c r="BB114" i="14"/>
  <c r="BJ329" i="14"/>
  <c r="BH522" i="14"/>
  <c r="AV375" i="14"/>
  <c r="BN423" i="14"/>
  <c r="BB231" i="14"/>
  <c r="BL221" i="14"/>
  <c r="BJ425" i="14"/>
  <c r="BL423" i="14"/>
  <c r="AZ255" i="14"/>
  <c r="BR654" i="14"/>
  <c r="BD150" i="14"/>
  <c r="AV567" i="14"/>
  <c r="BB484" i="14"/>
  <c r="BL231" i="14"/>
  <c r="BD330" i="14"/>
  <c r="BN363" i="14"/>
  <c r="BF258" i="14"/>
  <c r="BF161" i="14"/>
  <c r="AV352" i="14"/>
  <c r="BL375" i="14"/>
  <c r="BP389" i="14"/>
  <c r="BD315" i="14"/>
  <c r="BR474" i="14"/>
  <c r="AV627" i="14"/>
  <c r="AZ63" i="14"/>
  <c r="AV244" i="14"/>
  <c r="BD425" i="14"/>
  <c r="BP627" i="14"/>
  <c r="AX531" i="14"/>
  <c r="AV184" i="14"/>
  <c r="BB459" i="14"/>
  <c r="BH556" i="14"/>
  <c r="AZ676" i="14"/>
  <c r="BN316" i="14"/>
  <c r="BD411" i="14"/>
  <c r="BB243" i="14"/>
  <c r="AZ579" i="14"/>
  <c r="AZ207" i="14"/>
  <c r="BJ195" i="14"/>
  <c r="BR497" i="14"/>
  <c r="AV234" i="14"/>
  <c r="BD605" i="14"/>
  <c r="AZ591" i="14"/>
  <c r="BP183" i="14"/>
  <c r="BN569" i="14"/>
  <c r="BP340" i="14"/>
  <c r="BJ148" i="14"/>
  <c r="AZ472" i="14"/>
  <c r="BD459" i="14"/>
  <c r="BH112" i="14"/>
  <c r="AX138" i="14"/>
  <c r="AX363" i="14"/>
  <c r="AX112" i="14"/>
  <c r="BB582" i="14"/>
  <c r="AZ52" i="14"/>
  <c r="BF543" i="14"/>
  <c r="BB363" i="14"/>
  <c r="BD507" i="14"/>
  <c r="BH135" i="14"/>
  <c r="BD89" i="14"/>
  <c r="BR423" i="14"/>
  <c r="AX399" i="14"/>
  <c r="BF184" i="14"/>
  <c r="AX603" i="14"/>
  <c r="AV651" i="14"/>
  <c r="BL282" i="14"/>
  <c r="BH651" i="14"/>
  <c r="AV603" i="14"/>
  <c r="AZ159" i="14"/>
  <c r="BP221" i="14"/>
  <c r="BP497" i="14"/>
  <c r="BD124" i="14"/>
  <c r="AZ522" i="14"/>
  <c r="BB256" i="14"/>
  <c r="BR147" i="14"/>
  <c r="BF197" i="14"/>
  <c r="BN411" i="14"/>
  <c r="BR387" i="14"/>
  <c r="BL147" i="14"/>
  <c r="AZ363" i="14"/>
  <c r="AZ183" i="14"/>
  <c r="BB171" i="14"/>
  <c r="BP545" i="14"/>
  <c r="BB282" i="14"/>
  <c r="AV90" i="14"/>
  <c r="BP639" i="14"/>
  <c r="AV148" i="14"/>
  <c r="BL519" i="14"/>
  <c r="BN207" i="14"/>
  <c r="AV280" i="14"/>
  <c r="BL269" i="14"/>
  <c r="BL78" i="14"/>
  <c r="BR124" i="14"/>
  <c r="BB675" i="14"/>
  <c r="BB291" i="14"/>
  <c r="BD255" i="14"/>
  <c r="AZ303" i="14"/>
  <c r="BJ375" i="14"/>
  <c r="BB327" i="14"/>
  <c r="BD556" i="14"/>
  <c r="BR531" i="14"/>
  <c r="BJ351" i="14"/>
  <c r="BL99" i="14"/>
  <c r="BR459" i="14"/>
  <c r="BD618" i="14"/>
  <c r="AV615" i="14"/>
  <c r="BP567" i="14"/>
  <c r="BF375" i="14"/>
  <c r="BD222" i="14"/>
  <c r="BN281" i="14"/>
  <c r="BH87" i="14"/>
  <c r="AV51" i="14"/>
  <c r="AV449" i="14"/>
  <c r="AX447" i="14"/>
  <c r="BN603" i="14"/>
  <c r="BF556" i="14"/>
  <c r="BN160" i="14"/>
  <c r="BD628" i="14"/>
  <c r="BF618" i="14"/>
  <c r="BH426" i="14"/>
  <c r="BH351" i="14"/>
  <c r="AZ567" i="14"/>
  <c r="BF65" i="14"/>
  <c r="BR279" i="14"/>
  <c r="BN520" i="14"/>
  <c r="BP173" i="14"/>
  <c r="BJ507" i="14"/>
  <c r="BJ138" i="14"/>
  <c r="BP363" i="14"/>
  <c r="BB652" i="14"/>
  <c r="BJ339" i="14"/>
  <c r="BD243" i="14"/>
  <c r="BR220" i="14"/>
  <c r="BR315" i="14"/>
  <c r="BF112" i="14"/>
  <c r="BB159" i="14"/>
  <c r="BN471" i="14"/>
  <c r="AV387" i="14"/>
  <c r="AX462" i="14"/>
  <c r="BJ615" i="14"/>
  <c r="BN303" i="14"/>
  <c r="AX221" i="14"/>
  <c r="AZ136" i="14"/>
  <c r="BL363" i="14"/>
  <c r="AV268" i="14"/>
  <c r="BB219" i="14"/>
  <c r="BJ303" i="14"/>
  <c r="BL184" i="14"/>
  <c r="BL112" i="14"/>
  <c r="AZ558" i="14"/>
  <c r="AX423" i="14"/>
  <c r="BF306" i="14"/>
  <c r="AX555" i="14"/>
  <c r="AZ629" i="14"/>
  <c r="BH567" i="14"/>
  <c r="BR51" i="14"/>
  <c r="BN677" i="14"/>
  <c r="BF51" i="14"/>
  <c r="BB75" i="14"/>
  <c r="BD102" i="14"/>
  <c r="BD341" i="14"/>
  <c r="AZ339" i="14"/>
  <c r="BF171" i="14"/>
  <c r="BD185" i="14"/>
  <c r="AX641" i="14"/>
  <c r="BP666" i="14"/>
  <c r="BP111" i="14"/>
  <c r="BP400" i="14"/>
  <c r="BD366" i="14"/>
  <c r="BN246" i="14"/>
  <c r="BJ473" i="14"/>
  <c r="AV642" i="14"/>
  <c r="BD484" i="14"/>
  <c r="BJ459" i="14"/>
  <c r="AX88" i="14"/>
  <c r="BF447" i="14"/>
  <c r="BR291" i="14"/>
  <c r="BB351" i="14"/>
  <c r="BD594" i="14"/>
  <c r="BR508" i="14"/>
  <c r="BP51" i="14"/>
  <c r="BN376" i="14"/>
  <c r="BN507" i="14"/>
  <c r="AX567" i="14"/>
  <c r="BN327" i="14"/>
  <c r="BH148" i="14"/>
  <c r="BR195" i="14"/>
  <c r="AX317" i="14"/>
  <c r="BH244" i="14"/>
  <c r="BK437" i="14" l="1"/>
  <c r="AW293" i="14"/>
  <c r="AY605" i="14"/>
  <c r="BI545" i="14"/>
  <c r="BE53" i="14"/>
  <c r="BQ642" i="14"/>
  <c r="BA665" i="14"/>
  <c r="BI185" i="14"/>
  <c r="BO329" i="14"/>
  <c r="BI162" i="14"/>
  <c r="AY378" i="14"/>
  <c r="BA437" i="14"/>
  <c r="AW414" i="14"/>
  <c r="AW593" i="14"/>
  <c r="BA77" i="14"/>
  <c r="AU533" i="14"/>
  <c r="BO485" i="14"/>
  <c r="AU473" i="14"/>
  <c r="AY305" i="14"/>
  <c r="BQ377" i="14"/>
  <c r="BI102" i="14"/>
  <c r="AU197" i="14"/>
  <c r="AU569" i="14"/>
  <c r="BK53" i="14"/>
  <c r="AY413" i="14"/>
  <c r="BK425" i="14"/>
  <c r="BI54" i="14"/>
  <c r="AU282" i="14"/>
  <c r="BK149" i="14"/>
  <c r="BO569" i="14"/>
  <c r="BI377" i="14"/>
  <c r="BI65" i="14"/>
  <c r="AU617" i="14"/>
  <c r="BE545" i="14"/>
  <c r="BE449" i="14"/>
  <c r="AU629" i="14"/>
  <c r="BM209" i="14"/>
  <c r="BA197" i="14"/>
  <c r="BM486" i="14"/>
  <c r="AW618" i="14"/>
  <c r="AY474" i="14"/>
  <c r="AY581" i="14"/>
  <c r="BG209" i="14"/>
  <c r="BQ90" i="14"/>
  <c r="BE461" i="14"/>
  <c r="BQ41" i="14"/>
  <c r="AW90" i="14"/>
  <c r="BA341" i="14"/>
  <c r="AY173" i="14"/>
  <c r="AY161" i="14"/>
  <c r="AU150" i="14"/>
  <c r="BI341" i="14"/>
  <c r="AY593" i="14"/>
  <c r="BC413" i="14"/>
  <c r="BA605" i="14"/>
  <c r="BI114" i="14"/>
  <c r="BI605" i="14"/>
  <c r="AU186" i="14"/>
  <c r="BE593" i="14"/>
  <c r="BK402" i="14"/>
  <c r="BI641" i="14"/>
  <c r="BK413" i="14"/>
  <c r="BQ570" i="14"/>
  <c r="BI427" i="14"/>
  <c r="BI428" i="14" s="1"/>
  <c r="BI429" i="14" s="1"/>
  <c r="BI430" i="14" s="1"/>
  <c r="AW305" i="14"/>
  <c r="BQ247" i="14"/>
  <c r="BQ248" i="14" s="1"/>
  <c r="BQ249" i="14" s="1"/>
  <c r="BQ250" i="14" s="1"/>
  <c r="BE137" i="14"/>
  <c r="BO247" i="14"/>
  <c r="BO248" i="14" s="1"/>
  <c r="BO249" i="14" s="1"/>
  <c r="BO250" i="14" s="1"/>
  <c r="BM629" i="14"/>
  <c r="BE77" i="14"/>
  <c r="BG246" i="14"/>
  <c r="AU605" i="14"/>
  <c r="BG89" i="14"/>
  <c r="BA461" i="14"/>
  <c r="AY438" i="14"/>
  <c r="BI294" i="14"/>
  <c r="BM77" i="14"/>
  <c r="BQ233" i="14"/>
  <c r="AW582" i="14"/>
  <c r="BO582" i="14"/>
  <c r="BI305" i="14"/>
  <c r="BQ365" i="14"/>
  <c r="BQ281" i="14"/>
  <c r="BE269" i="14"/>
  <c r="BK186" i="14"/>
  <c r="BC53" i="14"/>
  <c r="BI629" i="14"/>
  <c r="BO53" i="14"/>
  <c r="BK377" i="14"/>
  <c r="BC437" i="14"/>
  <c r="BA353" i="14"/>
  <c r="BA137" i="14"/>
  <c r="BQ197" i="14"/>
  <c r="BM113" i="14"/>
  <c r="AU377" i="14"/>
  <c r="BG281" i="14"/>
  <c r="AY497" i="14"/>
  <c r="AY365" i="14"/>
  <c r="BQ126" i="14"/>
  <c r="BI437" i="14"/>
  <c r="BI209" i="14"/>
  <c r="BI461" i="14"/>
  <c r="BC665" i="14"/>
  <c r="AW185" i="14"/>
  <c r="BO137" i="14"/>
  <c r="BQ425" i="14"/>
  <c r="BO197" i="14"/>
  <c r="BG569" i="14"/>
  <c r="AW497" i="14"/>
  <c r="BQ53" i="14"/>
  <c r="BK558" i="14"/>
  <c r="BI353" i="14"/>
  <c r="AW257" i="14"/>
  <c r="AU101" i="14"/>
  <c r="BM305" i="14"/>
  <c r="BO677" i="14"/>
  <c r="BA245" i="14"/>
  <c r="BK245" i="14"/>
  <c r="AW557" i="14"/>
  <c r="BI617" i="14"/>
  <c r="BA486" i="14"/>
  <c r="BM233" i="14"/>
  <c r="BE173" i="14"/>
  <c r="BO402" i="14"/>
  <c r="BK485" i="14"/>
  <c r="BM66" i="14"/>
  <c r="AU257" i="14"/>
  <c r="AW401" i="14"/>
  <c r="BE558" i="14"/>
  <c r="BI233" i="14"/>
  <c r="AU305" i="14"/>
  <c r="BQ149" i="14"/>
  <c r="BA414" i="14"/>
  <c r="BK617" i="14"/>
  <c r="BG377" i="14"/>
  <c r="BA318" i="14"/>
  <c r="BE413" i="14"/>
  <c r="BO293" i="14"/>
  <c r="BG677" i="14"/>
  <c r="AW665" i="14"/>
  <c r="AW569" i="14"/>
  <c r="AY257" i="14"/>
  <c r="BO617" i="14"/>
  <c r="BK210" i="14"/>
  <c r="BM258" i="14"/>
  <c r="AU53" i="14"/>
  <c r="BM329" i="14"/>
  <c r="BE353" i="14"/>
  <c r="BE401" i="14"/>
  <c r="AU125" i="14"/>
  <c r="BE125" i="14"/>
  <c r="BI557" i="14"/>
  <c r="AY425" i="14"/>
  <c r="BC257" i="14"/>
  <c r="BE281" i="14"/>
  <c r="AU401" i="14"/>
  <c r="AY197" i="14"/>
  <c r="BM473" i="14"/>
  <c r="BE389" i="14"/>
  <c r="BK89" i="14"/>
  <c r="BG305" i="14"/>
  <c r="BE425" i="14"/>
  <c r="AU161" i="14"/>
  <c r="AU665" i="14"/>
  <c r="BI89" i="14"/>
  <c r="BG257" i="14"/>
  <c r="BA258" i="14"/>
  <c r="BA545" i="14"/>
  <c r="BQ293" i="14"/>
  <c r="BQ581" i="14"/>
  <c r="BM641" i="14"/>
  <c r="BC197" i="14"/>
  <c r="BG353" i="14"/>
  <c r="AU677" i="14"/>
  <c r="BI449" i="14"/>
  <c r="BG593" i="14"/>
  <c r="BO89" i="14"/>
  <c r="BM365" i="14"/>
  <c r="BG605" i="14"/>
  <c r="AW677" i="14"/>
  <c r="BA125" i="14"/>
  <c r="BA89" i="14"/>
  <c r="AY569" i="14"/>
  <c r="BQ77" i="14"/>
  <c r="AW210" i="14"/>
  <c r="AW269" i="14"/>
  <c r="AW449" i="14"/>
  <c r="AY533" i="14"/>
  <c r="BA497" i="14"/>
  <c r="BC473" i="14"/>
  <c r="BK233" i="14"/>
  <c r="BM425" i="14"/>
  <c r="AY65" i="14"/>
  <c r="AY665" i="14"/>
  <c r="BC509" i="14"/>
  <c r="BK329" i="14"/>
  <c r="BM221" i="14"/>
  <c r="BG53" i="14"/>
  <c r="BQ629" i="14"/>
  <c r="BA557" i="14"/>
  <c r="AW437" i="14"/>
  <c r="BC137" i="14"/>
  <c r="BC113" i="14"/>
  <c r="AY113" i="14"/>
  <c r="BI534" i="14"/>
  <c r="BG509" i="14"/>
  <c r="BA329" i="14"/>
  <c r="BA473" i="14"/>
  <c r="AU389" i="14"/>
  <c r="AW330" i="14"/>
  <c r="BA173" i="14"/>
  <c r="BG461" i="14"/>
  <c r="BI485" i="14"/>
  <c r="BC521" i="14"/>
  <c r="BI497" i="14"/>
  <c r="BA654" i="14"/>
  <c r="BG150" i="14"/>
  <c r="AW509" i="14"/>
  <c r="BK581" i="14"/>
  <c r="AY185" i="14"/>
  <c r="AY510" i="14"/>
  <c r="BG317" i="14"/>
  <c r="BA293" i="14"/>
  <c r="BO593" i="14"/>
  <c r="AU461" i="14"/>
  <c r="BA449" i="14"/>
  <c r="BI77" i="14"/>
  <c r="BO342" i="14"/>
  <c r="BG653" i="14"/>
  <c r="BK197" i="14"/>
  <c r="BQ533" i="14"/>
  <c r="BM413" i="14"/>
  <c r="AW425" i="14"/>
  <c r="BG473" i="14"/>
  <c r="BC449" i="14"/>
  <c r="AU246" i="14"/>
  <c r="BI366" i="14"/>
  <c r="AW353" i="14"/>
  <c r="BK653" i="14"/>
  <c r="BK174" i="14"/>
  <c r="AU174" i="14"/>
  <c r="BG558" i="14"/>
  <c r="BQ137" i="14"/>
  <c r="BQ593" i="14"/>
  <c r="BM198" i="14"/>
  <c r="BQ546" i="14"/>
  <c r="BC161" i="14"/>
  <c r="BC569" i="14"/>
  <c r="AU366" i="14"/>
  <c r="BM557" i="14"/>
  <c r="BE377" i="14"/>
  <c r="BI581" i="14"/>
  <c r="BI197" i="14"/>
  <c r="BI570" i="14"/>
  <c r="AU270" i="14"/>
  <c r="BC353" i="14"/>
  <c r="AU557" i="14"/>
  <c r="AY485" i="14"/>
  <c r="BA186" i="14"/>
  <c r="BE186" i="14"/>
  <c r="BQ317" i="14"/>
  <c r="AW521" i="14"/>
  <c r="BM581" i="14"/>
  <c r="BA570" i="14"/>
  <c r="BC653" i="14"/>
  <c r="BE485" i="14"/>
  <c r="BI677" i="14"/>
  <c r="BQ437" i="14"/>
  <c r="BQ510" i="14"/>
  <c r="AW533" i="14"/>
  <c r="AU354" i="14"/>
  <c r="BO113" i="14"/>
  <c r="BM534" i="14"/>
  <c r="BM509" i="14"/>
  <c r="BI269" i="14"/>
  <c r="BO449" i="14"/>
  <c r="BK101" i="14"/>
  <c r="AW125" i="14"/>
  <c r="AY389" i="14"/>
  <c r="BQ330" i="14"/>
  <c r="BQ353" i="14"/>
  <c r="BO233" i="14"/>
  <c r="BM605" i="14"/>
  <c r="BC534" i="14"/>
  <c r="BC126" i="14"/>
  <c r="BK521" i="14"/>
  <c r="AY149" i="14"/>
  <c r="AW365" i="14"/>
  <c r="BO425" i="14"/>
  <c r="BE149" i="14"/>
  <c r="BC293" i="14"/>
  <c r="BK114" i="14"/>
  <c r="BC77" i="14"/>
  <c r="BO629" i="14"/>
  <c r="BC66" i="14"/>
  <c r="BC461" i="14"/>
  <c r="BQ222" i="14"/>
  <c r="BO185" i="14"/>
  <c r="BE533" i="14"/>
  <c r="BE101" i="14"/>
  <c r="BC378" i="14"/>
  <c r="BM389" i="14"/>
  <c r="BC233" i="14"/>
  <c r="BA533" i="14"/>
  <c r="AU653" i="14"/>
  <c r="BI509" i="14"/>
  <c r="BO258" i="14"/>
  <c r="BO522" i="14"/>
  <c r="BG114" i="14"/>
  <c r="AY209" i="14"/>
  <c r="BM545" i="14"/>
  <c r="BM437" i="14"/>
  <c r="BI521" i="14"/>
  <c r="BI281" i="14"/>
  <c r="BQ617" i="14"/>
  <c r="BQ677" i="14"/>
  <c r="AU521" i="14"/>
  <c r="BA522" i="14"/>
  <c r="BE606" i="14"/>
  <c r="BK605" i="14"/>
  <c r="BO510" i="14"/>
  <c r="BI150" i="14"/>
  <c r="BK641" i="14"/>
  <c r="BQ413" i="14"/>
  <c r="BG234" i="14"/>
  <c r="BO365" i="14"/>
  <c r="AW319" i="14"/>
  <c r="AW320" i="14" s="1"/>
  <c r="AW321" i="14" s="1"/>
  <c r="AW322" i="14" s="1"/>
  <c r="AW605" i="14"/>
  <c r="BA677" i="14"/>
  <c r="BM450" i="14"/>
  <c r="BM149" i="14"/>
  <c r="AU113" i="14"/>
  <c r="AW377" i="14"/>
  <c r="BC245" i="14"/>
  <c r="BI666" i="14"/>
  <c r="BA389" i="14"/>
  <c r="BM186" i="14"/>
  <c r="BQ389" i="14"/>
  <c r="BM401" i="14"/>
  <c r="AY54" i="14"/>
  <c r="BK365" i="14"/>
  <c r="BQ461" i="14"/>
  <c r="BA401" i="14"/>
  <c r="BE498" i="14"/>
  <c r="BG102" i="14"/>
  <c r="BK473" i="14"/>
  <c r="BO413" i="14"/>
  <c r="BO101" i="14"/>
  <c r="BK450" i="14"/>
  <c r="BC305" i="14"/>
  <c r="BG665" i="14"/>
  <c r="AU581" i="14"/>
  <c r="BQ401" i="14"/>
  <c r="AY678" i="14"/>
  <c r="BQ558" i="14"/>
  <c r="BM174" i="14"/>
  <c r="BA233" i="14"/>
  <c r="BC402" i="14"/>
  <c r="BE114" i="14"/>
  <c r="AY89" i="14"/>
  <c r="AY449" i="14"/>
  <c r="BA221" i="14"/>
  <c r="BK305" i="14"/>
  <c r="BO65" i="14"/>
  <c r="BO641" i="14"/>
  <c r="BA365" i="14"/>
  <c r="BM378" i="14"/>
  <c r="BQ113" i="14"/>
  <c r="BC317" i="14"/>
  <c r="BG173" i="14"/>
  <c r="BE245" i="14"/>
  <c r="AW65" i="14"/>
  <c r="AY341" i="14"/>
  <c r="BC270" i="14"/>
  <c r="BC389" i="14"/>
  <c r="BA593" i="14"/>
  <c r="AW485" i="14"/>
  <c r="AY329" i="14"/>
  <c r="BA161" i="14"/>
  <c r="BE209" i="14"/>
  <c r="AU65" i="14"/>
  <c r="BE629" i="14"/>
  <c r="BA510" i="14"/>
  <c r="BC558" i="14"/>
  <c r="BG137" i="14"/>
  <c r="BC545" i="14"/>
  <c r="BO557" i="14"/>
  <c r="BE438" i="14"/>
  <c r="BI258" i="14"/>
  <c r="BG126" i="14"/>
  <c r="BQ666" i="14"/>
  <c r="BQ186" i="14"/>
  <c r="BE222" i="14"/>
  <c r="BG162" i="14"/>
  <c r="BQ606" i="14"/>
  <c r="BE342" i="14"/>
  <c r="BA102" i="14"/>
  <c r="BO126" i="14"/>
  <c r="BM318" i="14"/>
  <c r="AW150" i="14"/>
  <c r="AY234" i="14"/>
  <c r="BM54" i="14"/>
  <c r="AW282" i="14"/>
  <c r="AU594" i="14"/>
  <c r="BQ270" i="14"/>
  <c r="AY138" i="14"/>
  <c r="BK498" i="14"/>
  <c r="AY318" i="14"/>
  <c r="BM162" i="14"/>
  <c r="BM522" i="14"/>
  <c r="BI390" i="14"/>
  <c r="BM462" i="14"/>
  <c r="BM271" i="14"/>
  <c r="BM272" i="14" s="1"/>
  <c r="BM273" i="14" s="1"/>
  <c r="BM274" i="14" s="1"/>
  <c r="BC486" i="14"/>
  <c r="BC642" i="14"/>
  <c r="AW114" i="14"/>
  <c r="BO354" i="14"/>
  <c r="AY282" i="14"/>
  <c r="BE654" i="14"/>
  <c r="AU546" i="14"/>
  <c r="BQ102" i="14"/>
  <c r="BC630" i="14"/>
  <c r="BK510" i="14"/>
  <c r="BA270" i="14"/>
  <c r="BI174" i="14"/>
  <c r="BO474" i="14"/>
  <c r="BC174" i="14"/>
  <c r="BA66" i="14"/>
  <c r="BG342" i="14"/>
  <c r="BE67" i="14"/>
  <c r="BE68" i="14" s="1"/>
  <c r="BE69" i="14" s="1"/>
  <c r="BE70" i="14" s="1"/>
  <c r="BV41" i="14"/>
  <c r="BW41" i="14"/>
  <c r="AN41" i="14" s="1"/>
  <c r="BO439" i="14"/>
  <c r="BO440" i="14" s="1"/>
  <c r="BO441" i="14" s="1"/>
  <c r="BO442" i="14" s="1"/>
  <c r="BA307" i="14"/>
  <c r="BA308" i="14" s="1"/>
  <c r="BA309" i="14" s="1"/>
  <c r="BA310" i="14" s="1"/>
  <c r="BO499" i="14"/>
  <c r="BO500" i="14" s="1"/>
  <c r="BO501" i="14" s="1"/>
  <c r="BO502" i="14" s="1"/>
  <c r="BO211" i="14"/>
  <c r="BO212" i="14" s="1"/>
  <c r="BO213" i="14" s="1"/>
  <c r="BO214" i="14" s="1"/>
  <c r="BG415" i="14"/>
  <c r="BG416" i="14" s="1"/>
  <c r="BG417" i="14" s="1"/>
  <c r="BG418" i="14" s="1"/>
  <c r="BE643" i="14"/>
  <c r="BE644" i="14" s="1"/>
  <c r="BE645" i="14" s="1"/>
  <c r="BE646" i="14" s="1"/>
  <c r="BE295" i="14"/>
  <c r="BE296" i="14" s="1"/>
  <c r="BE297" i="14" s="1"/>
  <c r="BE298" i="14" s="1"/>
  <c r="BG643" i="14"/>
  <c r="BG644" i="14" s="1"/>
  <c r="BG645" i="14" s="1"/>
  <c r="BG646" i="14" s="1"/>
  <c r="BQ499" i="14"/>
  <c r="BQ500" i="14" s="1"/>
  <c r="BQ501" i="14" s="1"/>
  <c r="BQ502" i="14" s="1"/>
  <c r="BG271" i="14"/>
  <c r="BG272" i="14" s="1"/>
  <c r="BG273" i="14" s="1"/>
  <c r="BG274" i="14" s="1"/>
  <c r="AY103" i="14"/>
  <c r="AY104" i="14" s="1"/>
  <c r="AY105" i="14" s="1"/>
  <c r="AY106" i="14" s="1"/>
  <c r="BA631" i="14"/>
  <c r="BA632" i="14" s="1"/>
  <c r="BA633" i="14" s="1"/>
  <c r="BA634" i="14" s="1"/>
  <c r="BI319" i="14"/>
  <c r="BI320" i="14" s="1"/>
  <c r="BI321" i="14" s="1"/>
  <c r="BI322" i="14" s="1"/>
  <c r="AU319" i="14"/>
  <c r="AU320" i="14" s="1"/>
  <c r="AU321" i="14" s="1"/>
  <c r="AU322" i="14" s="1"/>
  <c r="BO175" i="14"/>
  <c r="BO176" i="14" s="1"/>
  <c r="BO177" i="14" s="1"/>
  <c r="BO178" i="14" s="1"/>
  <c r="BC283" i="14"/>
  <c r="BC284" i="14" s="1"/>
  <c r="BC285" i="14" s="1"/>
  <c r="BC286" i="14" s="1"/>
  <c r="BO535" i="14"/>
  <c r="BO536" i="14" s="1"/>
  <c r="BO537" i="14" s="1"/>
  <c r="BO538" i="14" s="1"/>
  <c r="BA211" i="14"/>
  <c r="BA212" i="14" s="1"/>
  <c r="BA213" i="14" s="1"/>
  <c r="BA214" i="14" s="1"/>
  <c r="BG367" i="14"/>
  <c r="BG368" i="14" s="1"/>
  <c r="BG369" i="14" s="1"/>
  <c r="BG370" i="14" s="1"/>
  <c r="AU343" i="14"/>
  <c r="AU344" i="14" s="1"/>
  <c r="AU345" i="14" s="1"/>
  <c r="AU346" i="14" s="1"/>
  <c r="BG391" i="14"/>
  <c r="BG392" i="14" s="1"/>
  <c r="BG393" i="14" s="1"/>
  <c r="BG394" i="14" s="1"/>
  <c r="BE679" i="14"/>
  <c r="BE680" i="14" s="1"/>
  <c r="BE681" i="14" s="1"/>
  <c r="BE682" i="14" s="1"/>
  <c r="BK223" i="14"/>
  <c r="BK224" i="14" s="1"/>
  <c r="BK225" i="14" s="1"/>
  <c r="BK226" i="14" s="1"/>
  <c r="AU79" i="14"/>
  <c r="AU80" i="14" s="1"/>
  <c r="AU81" i="14" s="1"/>
  <c r="AU82" i="14" s="1"/>
  <c r="AW223" i="14"/>
  <c r="AW224" i="14" s="1"/>
  <c r="AW225" i="14" s="1"/>
  <c r="AW226" i="14" s="1"/>
  <c r="AY403" i="14"/>
  <c r="AY404" i="14" s="1"/>
  <c r="AY405" i="14" s="1"/>
  <c r="AY406" i="14" s="1"/>
  <c r="BI475" i="14"/>
  <c r="BI476" i="14" s="1"/>
  <c r="BI477" i="14" s="1"/>
  <c r="BI478" i="14" s="1"/>
  <c r="BI655" i="14"/>
  <c r="BI656" i="14" s="1"/>
  <c r="BI657" i="14" s="1"/>
  <c r="BI658" i="14" s="1"/>
  <c r="BM283" i="14"/>
  <c r="BM284" i="14" s="1"/>
  <c r="BM285" i="14" s="1"/>
  <c r="BM286" i="14" s="1"/>
  <c r="BK667" i="14"/>
  <c r="BK668" i="14" s="1"/>
  <c r="BK669" i="14" s="1"/>
  <c r="BK670" i="14" s="1"/>
  <c r="AU451" i="14"/>
  <c r="AU452" i="14" s="1"/>
  <c r="AU453" i="14" s="1"/>
  <c r="AU454" i="14" s="1"/>
  <c r="AW247" i="14"/>
  <c r="AW248" i="14" s="1"/>
  <c r="AW249" i="14" s="1"/>
  <c r="AW250" i="14" s="1"/>
  <c r="BK343" i="14"/>
  <c r="BK344" i="14" s="1"/>
  <c r="BK345" i="14" s="1"/>
  <c r="BK346" i="14" s="1"/>
  <c r="BE199" i="14"/>
  <c r="BE200" i="14" s="1"/>
  <c r="BE201" i="14" s="1"/>
  <c r="BE202" i="14" s="1"/>
  <c r="BM355" i="14"/>
  <c r="BM356" i="14" s="1"/>
  <c r="BM357" i="14" s="1"/>
  <c r="BM358" i="14" s="1"/>
  <c r="BQ307" i="14"/>
  <c r="BQ308" i="14" s="1"/>
  <c r="BQ309" i="14" s="1"/>
  <c r="BQ310" i="14" s="1"/>
  <c r="AY547" i="14"/>
  <c r="AY548" i="14" s="1"/>
  <c r="AY549" i="14" s="1"/>
  <c r="AY550" i="14" s="1"/>
  <c r="BM595" i="14"/>
  <c r="BM596" i="14" s="1"/>
  <c r="BM597" i="14" s="1"/>
  <c r="BM598" i="14" s="1"/>
  <c r="AW175" i="14"/>
  <c r="AW176" i="14" s="1"/>
  <c r="AW177" i="14" s="1"/>
  <c r="AW178" i="14" s="1"/>
  <c r="BQ343" i="14"/>
  <c r="BQ344" i="14" s="1"/>
  <c r="BQ345" i="14" s="1"/>
  <c r="BQ346" i="14" s="1"/>
  <c r="BQ523" i="14"/>
  <c r="BQ524" i="14" s="1"/>
  <c r="BQ525" i="14" s="1"/>
  <c r="BQ526" i="14" s="1"/>
  <c r="BG439" i="14"/>
  <c r="BG440" i="14" s="1"/>
  <c r="BG441" i="14" s="1"/>
  <c r="BG442" i="14" s="1"/>
  <c r="BG79" i="14"/>
  <c r="BG80" i="14" s="1"/>
  <c r="BG81" i="14" s="1"/>
  <c r="BG82" i="14" s="1"/>
  <c r="BM667" i="14"/>
  <c r="BM668" i="14" s="1"/>
  <c r="BM669" i="14" s="1"/>
  <c r="BM670" i="14" s="1"/>
  <c r="BK319" i="14"/>
  <c r="BK320" i="14" s="1"/>
  <c r="BK321" i="14" s="1"/>
  <c r="BK322" i="14" s="1"/>
  <c r="BM571" i="14"/>
  <c r="BM572" i="14" s="1"/>
  <c r="BM573" i="14" s="1"/>
  <c r="BM574" i="14" s="1"/>
  <c r="BG187" i="14"/>
  <c r="BG188" i="14" s="1"/>
  <c r="BG189" i="14" s="1"/>
  <c r="BG190" i="14" s="1"/>
  <c r="BI127" i="14"/>
  <c r="BI128" i="14" s="1"/>
  <c r="BI129" i="14" s="1"/>
  <c r="BI130" i="14" s="1"/>
  <c r="BC343" i="14"/>
  <c r="BC344" i="14" s="1"/>
  <c r="BC345" i="14" s="1"/>
  <c r="BC346" i="14" s="1"/>
  <c r="BA427" i="14"/>
  <c r="BA428" i="14" s="1"/>
  <c r="BA429" i="14" s="1"/>
  <c r="BA430" i="14" s="1"/>
  <c r="BC91" i="14"/>
  <c r="BC92" i="14" s="1"/>
  <c r="BC93" i="14" s="1"/>
  <c r="BC94" i="14" s="1"/>
  <c r="AY631" i="14"/>
  <c r="AY632" i="14" s="1"/>
  <c r="AY633" i="14" s="1"/>
  <c r="AY634" i="14" s="1"/>
  <c r="AW631" i="14"/>
  <c r="AW632" i="14" s="1"/>
  <c r="AW633" i="14" s="1"/>
  <c r="AW634" i="14" s="1"/>
  <c r="AY79" i="14"/>
  <c r="AY80" i="14" s="1"/>
  <c r="AY81" i="14" s="1"/>
  <c r="AY82" i="14" s="1"/>
  <c r="BI223" i="14"/>
  <c r="BI224" i="14" s="1"/>
  <c r="BI225" i="14" s="1"/>
  <c r="BI226" i="14" s="1"/>
  <c r="BO271" i="14"/>
  <c r="BO272" i="14" s="1"/>
  <c r="BO273" i="14" s="1"/>
  <c r="BO274" i="14" s="1"/>
  <c r="AW343" i="14"/>
  <c r="AW344" i="14" s="1"/>
  <c r="AW345" i="14" s="1"/>
  <c r="AW346" i="14" s="1"/>
  <c r="BC187" i="14"/>
  <c r="BC188" i="14" s="1"/>
  <c r="BC189" i="14" s="1"/>
  <c r="BC190" i="14" s="1"/>
  <c r="BO547" i="14"/>
  <c r="BO548" i="14" s="1"/>
  <c r="BO549" i="14" s="1"/>
  <c r="BO550" i="14" s="1"/>
  <c r="BO391" i="14"/>
  <c r="BO392" i="14" s="1"/>
  <c r="BO393" i="14" s="1"/>
  <c r="BO394" i="14" s="1"/>
  <c r="AW391" i="14"/>
  <c r="AW392" i="14" s="1"/>
  <c r="AW393" i="14" s="1"/>
  <c r="AW394" i="14" s="1"/>
  <c r="AY223" i="14"/>
  <c r="AY224" i="14" s="1"/>
  <c r="AY225" i="14" s="1"/>
  <c r="AY226" i="14" s="1"/>
  <c r="AU139" i="14"/>
  <c r="AU140" i="14" s="1"/>
  <c r="AU141" i="14" s="1"/>
  <c r="AU142" i="14" s="1"/>
  <c r="BM679" i="14"/>
  <c r="BM680" i="14" s="1"/>
  <c r="BM681" i="14" s="1"/>
  <c r="BM682" i="14" s="1"/>
  <c r="AW475" i="14"/>
  <c r="AW476" i="14" s="1"/>
  <c r="AW477" i="14" s="1"/>
  <c r="AW478" i="14" s="1"/>
  <c r="BK127" i="14"/>
  <c r="BK128" i="14" s="1"/>
  <c r="BK129" i="14" s="1"/>
  <c r="BK130" i="14" s="1"/>
  <c r="AW79" i="14"/>
  <c r="AW80" i="14" s="1"/>
  <c r="AW81" i="14" s="1"/>
  <c r="AW82" i="14" s="1"/>
  <c r="BO379" i="14"/>
  <c r="BO380" i="14" s="1"/>
  <c r="BO381" i="14" s="1"/>
  <c r="BO382" i="14" s="1"/>
  <c r="BO163" i="14"/>
  <c r="BO164" i="14" s="1"/>
  <c r="BO165" i="14" s="1"/>
  <c r="BO166" i="14" s="1"/>
  <c r="BG547" i="14"/>
  <c r="BG548" i="14" s="1"/>
  <c r="BG549" i="14" s="1"/>
  <c r="BG550" i="14" s="1"/>
  <c r="BQ163" i="14"/>
  <c r="BQ164" i="14" s="1"/>
  <c r="BQ165" i="14" s="1"/>
  <c r="BQ166" i="14" s="1"/>
  <c r="BE163" i="14"/>
  <c r="BE164" i="14" s="1"/>
  <c r="BE165" i="14" s="1"/>
  <c r="BE166" i="14" s="1"/>
  <c r="BQ451" i="14"/>
  <c r="BQ452" i="14" s="1"/>
  <c r="BQ453" i="14" s="1"/>
  <c r="BQ454" i="14" s="1"/>
  <c r="BA151" i="14"/>
  <c r="BA152" i="14" s="1"/>
  <c r="BA153" i="14" s="1"/>
  <c r="BA154" i="14" s="1"/>
  <c r="BA379" i="14"/>
  <c r="BA380" i="14" s="1"/>
  <c r="BA381" i="14" s="1"/>
  <c r="BA382" i="14" s="1"/>
  <c r="BG403" i="14"/>
  <c r="BG404" i="14" s="1"/>
  <c r="BG405" i="14" s="1"/>
  <c r="BG406" i="14" s="1"/>
  <c r="BE235" i="14"/>
  <c r="BE236" i="14" s="1"/>
  <c r="BE237" i="14" s="1"/>
  <c r="BE238" i="14" s="1"/>
  <c r="BG223" i="14"/>
  <c r="BG224" i="14" s="1"/>
  <c r="BG225" i="14" s="1"/>
  <c r="BG226" i="14" s="1"/>
  <c r="AW235" i="14"/>
  <c r="AW236" i="14" s="1"/>
  <c r="AW237" i="14" s="1"/>
  <c r="AW238" i="14" s="1"/>
  <c r="AY463" i="14"/>
  <c r="AY464" i="14" s="1"/>
  <c r="AY465" i="14" s="1"/>
  <c r="AY466" i="14" s="1"/>
  <c r="AY247" i="14"/>
  <c r="AY248" i="14" s="1"/>
  <c r="AY249" i="14" s="1"/>
  <c r="AY250" i="14" s="1"/>
  <c r="BG631" i="14"/>
  <c r="BG632" i="14" s="1"/>
  <c r="BG633" i="14" s="1"/>
  <c r="BG634" i="14" s="1"/>
  <c r="AW655" i="14"/>
  <c r="AW656" i="14" s="1"/>
  <c r="AW657" i="14" s="1"/>
  <c r="AW658" i="14" s="1"/>
  <c r="BC679" i="14"/>
  <c r="BC680" i="14" s="1"/>
  <c r="BC681" i="14" s="1"/>
  <c r="BC682" i="14" s="1"/>
  <c r="BI403" i="14"/>
  <c r="BI404" i="14" s="1"/>
  <c r="BI405" i="14" s="1"/>
  <c r="BI406" i="14" s="1"/>
  <c r="BM91" i="14"/>
  <c r="BM92" i="14" s="1"/>
  <c r="BM93" i="14" s="1"/>
  <c r="BM94" i="14" s="1"/>
  <c r="BG451" i="14"/>
  <c r="BG452" i="14" s="1"/>
  <c r="BG453" i="14" s="1"/>
  <c r="BG454" i="14" s="1"/>
  <c r="BC427" i="14"/>
  <c r="BC428" i="14" s="1"/>
  <c r="BC429" i="14" s="1"/>
  <c r="BC430" i="14" s="1"/>
  <c r="BC607" i="14"/>
  <c r="BC608" i="14" s="1"/>
  <c r="BC609" i="14" s="1"/>
  <c r="BC610" i="14" s="1"/>
  <c r="AU511" i="14"/>
  <c r="AU512" i="14" s="1"/>
  <c r="AU513" i="14" s="1"/>
  <c r="AU514" i="14" s="1"/>
  <c r="BG619" i="14"/>
  <c r="BG620" i="14" s="1"/>
  <c r="BG621" i="14" s="1"/>
  <c r="BG622" i="14" s="1"/>
  <c r="AU211" i="14"/>
  <c r="AU212" i="14" s="1"/>
  <c r="AU213" i="14" s="1"/>
  <c r="AU214" i="14" s="1"/>
  <c r="BM295" i="14"/>
  <c r="BM296" i="14" s="1"/>
  <c r="BM297" i="14" s="1"/>
  <c r="BM298" i="14" s="1"/>
  <c r="BE367" i="14"/>
  <c r="BE368" i="14" s="1"/>
  <c r="BE369" i="14" s="1"/>
  <c r="BE370" i="14" s="1"/>
  <c r="BM499" i="14"/>
  <c r="BM500" i="14" s="1"/>
  <c r="BM501" i="14" s="1"/>
  <c r="BM502" i="14" s="1"/>
  <c r="AW643" i="14"/>
  <c r="AW644" i="14" s="1"/>
  <c r="AW645" i="14" s="1"/>
  <c r="AW646" i="14" s="1"/>
  <c r="BI595" i="14"/>
  <c r="BI596" i="14" s="1"/>
  <c r="BI597" i="14" s="1"/>
  <c r="BI598" i="14" s="1"/>
  <c r="BK271" i="14"/>
  <c r="BK272" i="14" s="1"/>
  <c r="BK273" i="14" s="1"/>
  <c r="BK274" i="14" s="1"/>
  <c r="BK163" i="14"/>
  <c r="BK164" i="14" s="1"/>
  <c r="BK165" i="14" s="1"/>
  <c r="BK166" i="14" s="1"/>
  <c r="BK259" i="14"/>
  <c r="BK260" i="14" s="1"/>
  <c r="BK261" i="14" s="1"/>
  <c r="BK262" i="14" s="1"/>
  <c r="AW163" i="14"/>
  <c r="AW164" i="14" s="1"/>
  <c r="AW165" i="14" s="1"/>
  <c r="AW166" i="14" s="1"/>
  <c r="AY355" i="14"/>
  <c r="AY356" i="14" s="1"/>
  <c r="AY357" i="14" s="1"/>
  <c r="AY358" i="14" s="1"/>
  <c r="BK535" i="14"/>
  <c r="BK536" i="14" s="1"/>
  <c r="BK537" i="14" s="1"/>
  <c r="BK538" i="14" s="1"/>
  <c r="BM139" i="14"/>
  <c r="BM140" i="14" s="1"/>
  <c r="BM141" i="14" s="1"/>
  <c r="BM142" i="14" s="1"/>
  <c r="AU487" i="14"/>
  <c r="AU488" i="14" s="1"/>
  <c r="AU489" i="14" s="1"/>
  <c r="AU490" i="14" s="1"/>
  <c r="BM655" i="14"/>
  <c r="BM656" i="14" s="1"/>
  <c r="BM657" i="14" s="1"/>
  <c r="BM658" i="14" s="1"/>
  <c r="BQ259" i="14"/>
  <c r="BQ260" i="14" s="1"/>
  <c r="BQ261" i="14" s="1"/>
  <c r="BQ262" i="14" s="1"/>
  <c r="BI415" i="14"/>
  <c r="BI416" i="14" s="1"/>
  <c r="BI417" i="14" s="1"/>
  <c r="BI418" i="14" s="1"/>
  <c r="BE583" i="14"/>
  <c r="BE584" i="14" s="1"/>
  <c r="BE585" i="14" s="1"/>
  <c r="BE586" i="14" s="1"/>
  <c r="BO223" i="14"/>
  <c r="BO224" i="14" s="1"/>
  <c r="BO225" i="14" s="1"/>
  <c r="BO226" i="14" s="1"/>
  <c r="BI331" i="14"/>
  <c r="BI332" i="14" s="1"/>
  <c r="BI333" i="14" s="1"/>
  <c r="BI334" i="14" s="1"/>
  <c r="AJ53" i="43"/>
  <c r="E52" i="43" s="1"/>
  <c r="AX89" i="14"/>
  <c r="BH402" i="14"/>
  <c r="BN654" i="14"/>
  <c r="BJ222" i="14"/>
  <c r="BF376" i="14"/>
  <c r="BB460" i="14"/>
  <c r="AX581" i="14"/>
  <c r="BN521" i="14"/>
  <c r="BH304" i="14"/>
  <c r="AZ484" i="14"/>
  <c r="BD472" i="14"/>
  <c r="BD436" i="14"/>
  <c r="BH546" i="14"/>
  <c r="BJ508" i="14"/>
  <c r="AV532" i="14"/>
  <c r="BJ628" i="14"/>
  <c r="AV450" i="14"/>
  <c r="BD508" i="14"/>
  <c r="BR292" i="14"/>
  <c r="BJ616" i="14"/>
  <c r="BD448" i="14"/>
  <c r="BR364" i="14"/>
  <c r="BF234" i="14"/>
  <c r="BJ402" i="14"/>
  <c r="AZ509" i="14"/>
  <c r="AV342" i="14"/>
  <c r="AX174" i="14"/>
  <c r="AX532" i="14"/>
  <c r="BL185" i="14"/>
  <c r="BB388" i="14"/>
  <c r="BH222" i="14"/>
  <c r="BB292" i="14"/>
  <c r="AV545" i="14"/>
  <c r="BB65" i="14"/>
  <c r="BJ293" i="14"/>
  <c r="BB185" i="14"/>
  <c r="BD125" i="14"/>
  <c r="AZ233" i="14"/>
  <c r="BF280" i="14"/>
  <c r="BB569" i="14"/>
  <c r="BJ173" i="14"/>
  <c r="AZ208" i="14"/>
  <c r="BD256" i="14"/>
  <c r="BH438" i="14"/>
  <c r="BB472" i="14"/>
  <c r="BB400" i="14"/>
  <c r="BJ389" i="14"/>
  <c r="BN377" i="14"/>
  <c r="BL640" i="14"/>
  <c r="BF185" i="14"/>
  <c r="AX234" i="14"/>
  <c r="BF437" i="14"/>
  <c r="BB521" i="14"/>
  <c r="BR89" i="14"/>
  <c r="BR665" i="14"/>
  <c r="BD244" i="14"/>
  <c r="AV593" i="14"/>
  <c r="AV676" i="14"/>
  <c r="BL436" i="14"/>
  <c r="AZ664" i="14"/>
  <c r="BD173" i="14"/>
  <c r="BF642" i="14"/>
  <c r="BD401" i="14"/>
  <c r="AV196" i="14"/>
  <c r="BF366" i="14"/>
  <c r="BD292" i="14"/>
  <c r="AX113" i="14"/>
  <c r="BH316" i="14"/>
  <c r="AZ630" i="14"/>
  <c r="BR316" i="14"/>
  <c r="BB257" i="14"/>
  <c r="BR306" i="14"/>
  <c r="BR498" i="14"/>
  <c r="AX304" i="14"/>
  <c r="BP424" i="14"/>
  <c r="BJ448" i="14"/>
  <c r="AV520" i="14"/>
  <c r="BN197" i="14"/>
  <c r="AX474" i="14"/>
  <c r="AX484" i="14"/>
  <c r="BH186" i="14"/>
  <c r="BR40" i="14"/>
  <c r="BN472" i="14"/>
  <c r="BR196" i="14"/>
  <c r="BP390" i="14"/>
  <c r="BP292" i="14"/>
  <c r="BP174" i="14"/>
  <c r="AX617" i="14"/>
  <c r="BH390" i="14"/>
  <c r="AZ364" i="14"/>
  <c r="BB150" i="14"/>
  <c r="BR450" i="14"/>
  <c r="BH460" i="14"/>
  <c r="BH78" i="14"/>
  <c r="BR545" i="14"/>
  <c r="BL318" i="14"/>
  <c r="BR580" i="14"/>
  <c r="BH172" i="14"/>
  <c r="BF388" i="14"/>
  <c r="AZ222" i="14"/>
  <c r="BR221" i="14"/>
  <c r="BJ496" i="14"/>
  <c r="BB364" i="14"/>
  <c r="BH125" i="14"/>
  <c r="BJ580" i="14"/>
  <c r="BD160" i="14"/>
  <c r="BB532" i="14"/>
  <c r="BF162" i="14"/>
  <c r="BF582" i="14"/>
  <c r="AZ580" i="14"/>
  <c r="BJ184" i="14"/>
  <c r="BJ330" i="14"/>
  <c r="AZ281" i="14"/>
  <c r="AX292" i="14"/>
  <c r="BN148" i="14"/>
  <c r="BH618" i="14"/>
  <c r="BN90" i="14"/>
  <c r="BN570" i="14"/>
  <c r="BR605" i="14"/>
  <c r="BP364" i="14"/>
  <c r="AZ402" i="14"/>
  <c r="BH414" i="14"/>
  <c r="BP88" i="14"/>
  <c r="BH208" i="14"/>
  <c r="BN640" i="14"/>
  <c r="BL376" i="14"/>
  <c r="AX342" i="14"/>
  <c r="BF352" i="14"/>
  <c r="BR125" i="14"/>
  <c r="BB269" i="14"/>
  <c r="BL148" i="14"/>
  <c r="BL484" i="14"/>
  <c r="BB317" i="14"/>
  <c r="BR246" i="14"/>
  <c r="BN461" i="14"/>
  <c r="BN282" i="14"/>
  <c r="AV376" i="14"/>
  <c r="AX400" i="14"/>
  <c r="BD664" i="14"/>
  <c r="BB196" i="14"/>
  <c r="AV400" i="14"/>
  <c r="BN138" i="14"/>
  <c r="BR628" i="14"/>
  <c r="BF532" i="14"/>
  <c r="BB676" i="14"/>
  <c r="AX664" i="14"/>
  <c r="BH450" i="14"/>
  <c r="AV149" i="14"/>
  <c r="BR329" i="14"/>
  <c r="BB244" i="14"/>
  <c r="BL534" i="14"/>
  <c r="AV281" i="14"/>
  <c r="BF400" i="14"/>
  <c r="AV304" i="14"/>
  <c r="BB328" i="14"/>
  <c r="BH341" i="14"/>
  <c r="BR676" i="14"/>
  <c r="BJ654" i="14"/>
  <c r="BH101" i="14"/>
  <c r="AX246" i="14"/>
  <c r="BD342" i="14"/>
  <c r="AZ137" i="14"/>
  <c r="BH557" i="14"/>
  <c r="BJ676" i="14"/>
  <c r="BF605" i="14"/>
  <c r="AZ604" i="14"/>
  <c r="BR641" i="14"/>
  <c r="BN544" i="14"/>
  <c r="AV580" i="14"/>
  <c r="BJ53" i="14"/>
  <c r="BL342" i="14"/>
  <c r="BP556" i="14"/>
  <c r="BR112" i="14"/>
  <c r="BD485" i="14"/>
  <c r="BL100" i="14"/>
  <c r="AX352" i="14"/>
  <c r="AZ184" i="14"/>
  <c r="BF208" i="14"/>
  <c r="AV78" i="14"/>
  <c r="AZ377" i="14"/>
  <c r="AX376" i="14"/>
  <c r="BN161" i="14"/>
  <c r="BF497" i="14"/>
  <c r="BB592" i="14"/>
  <c r="BD377" i="14"/>
  <c r="BB544" i="14"/>
  <c r="AZ64" i="14"/>
  <c r="AV604" i="14"/>
  <c r="AZ412" i="14"/>
  <c r="AZ340" i="14"/>
  <c r="BF460" i="14"/>
  <c r="BR592" i="14"/>
  <c r="AZ246" i="14"/>
  <c r="BD316" i="14"/>
  <c r="BR460" i="14"/>
  <c r="BJ460" i="14"/>
  <c r="AX568" i="14"/>
  <c r="AZ496" i="14"/>
  <c r="AX642" i="14"/>
  <c r="BJ64" i="14"/>
  <c r="BN354" i="14"/>
  <c r="AV124" i="14"/>
  <c r="BJ484" i="14"/>
  <c r="BP568" i="14"/>
  <c r="BR352" i="14"/>
  <c r="BJ304" i="14"/>
  <c r="AX209" i="14"/>
  <c r="BN185" i="14"/>
  <c r="BN594" i="14"/>
  <c r="BJ414" i="14"/>
  <c r="BN53" i="14"/>
  <c r="BF294" i="14"/>
  <c r="BN294" i="14"/>
  <c r="BH256" i="14"/>
  <c r="AX222" i="14"/>
  <c r="BF341" i="14"/>
  <c r="BD136" i="14"/>
  <c r="BR509" i="14"/>
  <c r="BD641" i="14"/>
  <c r="BR388" i="14"/>
  <c r="BJ268" i="14"/>
  <c r="BR148" i="14"/>
  <c r="AV173" i="14"/>
  <c r="BF148" i="14"/>
  <c r="BB172" i="14"/>
  <c r="BD52" i="14"/>
  <c r="BN498" i="14"/>
  <c r="BH642" i="14"/>
  <c r="BN76" i="14"/>
  <c r="BP473" i="14"/>
  <c r="AX424" i="14"/>
  <c r="AX149" i="14"/>
  <c r="BD426" i="14"/>
  <c r="BD629" i="14"/>
  <c r="BD90" i="14"/>
  <c r="AX268" i="14"/>
  <c r="BN508" i="14"/>
  <c r="BB426" i="14"/>
  <c r="BJ365" i="14"/>
  <c r="BN220" i="14"/>
  <c r="BL509" i="14"/>
  <c r="BH113" i="14"/>
  <c r="AV664" i="14"/>
  <c r="BP125" i="14"/>
  <c r="BB101" i="14"/>
  <c r="AV365" i="14"/>
  <c r="BN580" i="14"/>
  <c r="AZ568" i="14"/>
  <c r="BP628" i="14"/>
  <c r="BB210" i="14"/>
  <c r="BD65" i="14"/>
  <c r="BH149" i="14"/>
  <c r="AX556" i="14"/>
  <c r="BJ340" i="14"/>
  <c r="BB413" i="14"/>
  <c r="BB556" i="14"/>
  <c r="BP64" i="14"/>
  <c r="AX630" i="14"/>
  <c r="AV460" i="14"/>
  <c r="BJ594" i="14"/>
  <c r="BJ76" i="14"/>
  <c r="BL580" i="14"/>
  <c r="BD282" i="14"/>
  <c r="BB509" i="14"/>
  <c r="BD460" i="14"/>
  <c r="BN232" i="14"/>
  <c r="BD196" i="14"/>
  <c r="BH472" i="14"/>
  <c r="BL424" i="14"/>
  <c r="AZ304" i="14"/>
  <c r="BL616" i="14"/>
  <c r="BB160" i="14"/>
  <c r="BH161" i="14"/>
  <c r="BP257" i="14"/>
  <c r="AV64" i="14"/>
  <c r="BB220" i="14"/>
  <c r="BR532" i="14"/>
  <c r="BR557" i="14"/>
  <c r="BN112" i="14"/>
  <c r="BP640" i="14"/>
  <c r="AV472" i="14"/>
  <c r="BB485" i="14"/>
  <c r="BD304" i="14"/>
  <c r="BR76" i="14"/>
  <c r="BB448" i="14"/>
  <c r="BN533" i="14"/>
  <c r="BP100" i="14"/>
  <c r="BN317" i="14"/>
  <c r="BP498" i="14"/>
  <c r="BD186" i="14"/>
  <c r="BJ533" i="14"/>
  <c r="BN304" i="14"/>
  <c r="BJ426" i="14"/>
  <c r="BD557" i="14"/>
  <c r="BR436" i="14"/>
  <c r="BJ149" i="14"/>
  <c r="BF544" i="14"/>
  <c r="AX520" i="14"/>
  <c r="BD76" i="14"/>
  <c r="AV388" i="14"/>
  <c r="BB664" i="14"/>
  <c r="BP184" i="14"/>
  <c r="AZ448" i="14"/>
  <c r="BL449" i="14"/>
  <c r="AZ160" i="14"/>
  <c r="BH592" i="14"/>
  <c r="BJ474" i="14"/>
  <c r="BH52" i="14"/>
  <c r="AV112" i="14"/>
  <c r="BL196" i="14"/>
  <c r="BD352" i="14"/>
  <c r="BJ208" i="14"/>
  <c r="BP341" i="14"/>
  <c r="AV486" i="14"/>
  <c r="BB496" i="14"/>
  <c r="BH376" i="14"/>
  <c r="BF268" i="14"/>
  <c r="BL270" i="14"/>
  <c r="AZ532" i="14"/>
  <c r="AZ112" i="14"/>
  <c r="BB232" i="14"/>
  <c r="BR162" i="14"/>
  <c r="AZ256" i="14"/>
  <c r="AV510" i="14"/>
  <c r="BJ88" i="14"/>
  <c r="BN678" i="14"/>
  <c r="BP270" i="14"/>
  <c r="BL557" i="14"/>
  <c r="BJ604" i="14"/>
  <c r="AX78" i="14"/>
  <c r="BD606" i="14"/>
  <c r="BH352" i="14"/>
  <c r="BD533" i="14"/>
  <c r="BH652" i="14"/>
  <c r="BJ569" i="14"/>
  <c r="BP162" i="14"/>
  <c r="BL497" i="14"/>
  <c r="BJ232" i="14"/>
  <c r="BR376" i="14"/>
  <c r="BR616" i="14"/>
  <c r="BN556" i="14"/>
  <c r="AX592" i="14"/>
  <c r="BR136" i="14"/>
  <c r="AZ424" i="14"/>
  <c r="BP581" i="14"/>
  <c r="BH508" i="14"/>
  <c r="BP136" i="14"/>
  <c r="BF448" i="14"/>
  <c r="BL520" i="14"/>
  <c r="BF198" i="14"/>
  <c r="BR52" i="14"/>
  <c r="BF124" i="14"/>
  <c r="BD412" i="14"/>
  <c r="BL258" i="14"/>
  <c r="AX654" i="14"/>
  <c r="BF678" i="14"/>
  <c r="BP52" i="14"/>
  <c r="BH136" i="14"/>
  <c r="BF628" i="14"/>
  <c r="AX162" i="14"/>
  <c r="BN604" i="14"/>
  <c r="BR522" i="14"/>
  <c r="BD269" i="14"/>
  <c r="BP222" i="14"/>
  <c r="BN173" i="14"/>
  <c r="BH676" i="14"/>
  <c r="BH568" i="14"/>
  <c r="BR280" i="14"/>
  <c r="BH245" i="14"/>
  <c r="BH270" i="14"/>
  <c r="BL173" i="14"/>
  <c r="AV210" i="14"/>
  <c r="BF221" i="14"/>
  <c r="AX281" i="14"/>
  <c r="BH366" i="14"/>
  <c r="BN257" i="14"/>
  <c r="AX256" i="14"/>
  <c r="AZ53" i="14"/>
  <c r="BB378" i="14"/>
  <c r="BJ436" i="14"/>
  <c r="BN208" i="14"/>
  <c r="BB88" i="14"/>
  <c r="BD544" i="14"/>
  <c r="BP592" i="14"/>
  <c r="AV556" i="14"/>
  <c r="AX184" i="14"/>
  <c r="BL244" i="14"/>
  <c r="BL412" i="14"/>
  <c r="AV616" i="14"/>
  <c r="BP534" i="14"/>
  <c r="AX604" i="14"/>
  <c r="BH280" i="14"/>
  <c r="BB136" i="14"/>
  <c r="AX448" i="14"/>
  <c r="BJ257" i="14"/>
  <c r="AZ462" i="14"/>
  <c r="BJ280" i="14"/>
  <c r="AZ317" i="14"/>
  <c r="BF100" i="14"/>
  <c r="AV652" i="14"/>
  <c r="BL232" i="14"/>
  <c r="BP378" i="14"/>
  <c r="BP401" i="14"/>
  <c r="BP353" i="14"/>
  <c r="BL126" i="14"/>
  <c r="BF653" i="14"/>
  <c r="AV256" i="14"/>
  <c r="AV185" i="14"/>
  <c r="AX329" i="14"/>
  <c r="AX64" i="14"/>
  <c r="AX318" i="14"/>
  <c r="BR342" i="14"/>
  <c r="BB306" i="14"/>
  <c r="BN412" i="14"/>
  <c r="AV52" i="14"/>
  <c r="BB630" i="14"/>
  <c r="BN400" i="14"/>
  <c r="BN328" i="14"/>
  <c r="AX496" i="14"/>
  <c r="AZ546" i="14"/>
  <c r="BP412" i="14"/>
  <c r="BJ161" i="14"/>
  <c r="AV568" i="14"/>
  <c r="BP521" i="14"/>
  <c r="BN666" i="14"/>
  <c r="AZ328" i="14"/>
  <c r="BD652" i="14"/>
  <c r="BP438" i="14"/>
  <c r="BP448" i="14"/>
  <c r="BD232" i="14"/>
  <c r="BF52" i="14"/>
  <c r="BF136" i="14"/>
  <c r="BL52" i="14"/>
  <c r="BL304" i="14"/>
  <c r="AZ88" i="14"/>
  <c r="AX436" i="14"/>
  <c r="AV138" i="14"/>
  <c r="BF113" i="14"/>
  <c r="AX124" i="14"/>
  <c r="BR232" i="14"/>
  <c r="AZ78" i="14"/>
  <c r="BJ126" i="14"/>
  <c r="BP246" i="14"/>
  <c r="BB352" i="14"/>
  <c r="BL162" i="14"/>
  <c r="BN388" i="14"/>
  <c r="BN449" i="14"/>
  <c r="BN424" i="14"/>
  <c r="AZ473" i="14"/>
  <c r="BP616" i="14"/>
  <c r="AV160" i="14"/>
  <c r="BJ352" i="14"/>
  <c r="BP210" i="14"/>
  <c r="BL328" i="14"/>
  <c r="AZ196" i="14"/>
  <c r="BL209" i="14"/>
  <c r="AX508" i="14"/>
  <c r="BF412" i="14"/>
  <c r="BL88" i="14"/>
  <c r="BL401" i="14"/>
  <c r="BN65" i="14"/>
  <c r="BP196" i="14"/>
  <c r="BH604" i="14"/>
  <c r="AZ172" i="14"/>
  <c r="BJ376" i="14"/>
  <c r="AV628" i="14"/>
  <c r="BF424" i="14"/>
  <c r="AV269" i="14"/>
  <c r="BR424" i="14"/>
  <c r="BN364" i="14"/>
  <c r="BB340" i="14"/>
  <c r="BD678" i="14"/>
  <c r="AZ437" i="14"/>
  <c r="AV318" i="14"/>
  <c r="BJ520" i="14"/>
  <c r="AZ354" i="14"/>
  <c r="BF592" i="14"/>
  <c r="BP546" i="14"/>
  <c r="BN270" i="14"/>
  <c r="BB653" i="14"/>
  <c r="BR412" i="14"/>
  <c r="BD388" i="14"/>
  <c r="BP484" i="14"/>
  <c r="AX413" i="14"/>
  <c r="AZ677" i="14"/>
  <c r="BR269" i="14"/>
  <c r="BP509" i="14"/>
  <c r="BH88" i="14"/>
  <c r="BL364" i="14"/>
  <c r="BL652" i="14"/>
  <c r="BH233" i="14"/>
  <c r="AZ102" i="14"/>
  <c r="BN628" i="14"/>
  <c r="BJ318" i="14"/>
  <c r="BR185" i="14"/>
  <c r="BR400" i="14"/>
  <c r="BB604" i="14"/>
  <c r="AV100" i="14"/>
  <c r="BR101" i="14"/>
  <c r="BP232" i="14"/>
  <c r="AZ148" i="14"/>
  <c r="AX390" i="14"/>
  <c r="BJ544" i="14"/>
  <c r="BJ556" i="14"/>
  <c r="BJ101" i="14"/>
  <c r="BF244" i="14"/>
  <c r="BL604" i="14"/>
  <c r="BF66" i="14"/>
  <c r="BR569" i="14"/>
  <c r="BL113" i="14"/>
  <c r="BJ113" i="14"/>
  <c r="AX364" i="14"/>
  <c r="BR258" i="14"/>
  <c r="BJ640" i="14"/>
  <c r="BB76" i="14"/>
  <c r="BJ665" i="14"/>
  <c r="BP676" i="14"/>
  <c r="BN436" i="14"/>
  <c r="BH630" i="14"/>
  <c r="AZ592" i="14"/>
  <c r="BB436" i="14"/>
  <c r="AV245" i="14"/>
  <c r="BF76" i="14"/>
  <c r="BB124" i="14"/>
  <c r="BN485" i="14"/>
  <c r="BD112" i="14"/>
  <c r="AZ388" i="14"/>
  <c r="BP328" i="14"/>
  <c r="BF172" i="14"/>
  <c r="BD520" i="14"/>
  <c r="BH664" i="14"/>
  <c r="BF484" i="14"/>
  <c r="BF557" i="14"/>
  <c r="AV353" i="14"/>
  <c r="AX676" i="14"/>
  <c r="BL472" i="14"/>
  <c r="BL666" i="14"/>
  <c r="BL222" i="14"/>
  <c r="BD568" i="14"/>
  <c r="BP112" i="14"/>
  <c r="BJ196" i="14"/>
  <c r="AW294" i="14" l="1"/>
  <c r="BK438" i="14"/>
  <c r="BI103" i="14"/>
  <c r="BI104" i="14" s="1"/>
  <c r="BI105" i="14" s="1"/>
  <c r="BI106" i="14" s="1"/>
  <c r="AU606" i="14"/>
  <c r="BQ91" i="14"/>
  <c r="BQ92" i="14" s="1"/>
  <c r="BQ93" i="14" s="1"/>
  <c r="BQ94" i="14" s="1"/>
  <c r="BO330" i="14"/>
  <c r="AW583" i="14"/>
  <c r="AW584" i="14" s="1"/>
  <c r="AW585" i="14" s="1"/>
  <c r="AW586" i="14" s="1"/>
  <c r="AU187" i="14"/>
  <c r="AU188" i="14" s="1"/>
  <c r="AU189" i="14" s="1"/>
  <c r="AU190" i="14" s="1"/>
  <c r="AU151" i="14"/>
  <c r="AU152" i="14" s="1"/>
  <c r="AU153" i="14" s="1"/>
  <c r="AU154" i="14" s="1"/>
  <c r="BM210" i="14"/>
  <c r="AU534" i="14"/>
  <c r="BI606" i="14"/>
  <c r="AU630" i="14"/>
  <c r="AU198" i="14"/>
  <c r="BA78" i="14"/>
  <c r="AW306" i="14"/>
  <c r="BO570" i="14"/>
  <c r="AU570" i="14"/>
  <c r="BQ234" i="14"/>
  <c r="BG247" i="14"/>
  <c r="BG248" i="14" s="1"/>
  <c r="BG249" i="14" s="1"/>
  <c r="BG250" i="14" s="1"/>
  <c r="AY162" i="14"/>
  <c r="BG210" i="14"/>
  <c r="BK150" i="14"/>
  <c r="BI186" i="14"/>
  <c r="AU283" i="14"/>
  <c r="AU284" i="14" s="1"/>
  <c r="AU285" i="14" s="1"/>
  <c r="AU286" i="14" s="1"/>
  <c r="BE78" i="14"/>
  <c r="AY174" i="14"/>
  <c r="BE450" i="14"/>
  <c r="AW594" i="14"/>
  <c r="BA666" i="14"/>
  <c r="AY582" i="14"/>
  <c r="BM630" i="14"/>
  <c r="BI55" i="14"/>
  <c r="BI56" i="14" s="1"/>
  <c r="BI57" i="14" s="1"/>
  <c r="BI58" i="14" s="1"/>
  <c r="AY439" i="14"/>
  <c r="AY440" i="14" s="1"/>
  <c r="AY441" i="14" s="1"/>
  <c r="AY442" i="14" s="1"/>
  <c r="AW91" i="14"/>
  <c r="AW92" i="14" s="1"/>
  <c r="AW93" i="14" s="1"/>
  <c r="AW94" i="14" s="1"/>
  <c r="AW619" i="14"/>
  <c r="AW620" i="14" s="1"/>
  <c r="AW621" i="14" s="1"/>
  <c r="AW622" i="14" s="1"/>
  <c r="BK426" i="14"/>
  <c r="BE54" i="14"/>
  <c r="BI115" i="14"/>
  <c r="BI116" i="14" s="1"/>
  <c r="BI117" i="14" s="1"/>
  <c r="BI118" i="14" s="1"/>
  <c r="BQ378" i="14"/>
  <c r="BI642" i="14"/>
  <c r="BC414" i="14"/>
  <c r="AU618" i="14"/>
  <c r="AY306" i="14"/>
  <c r="BA438" i="14"/>
  <c r="BQ571" i="14"/>
  <c r="BQ572" i="14" s="1"/>
  <c r="BQ573" i="14" s="1"/>
  <c r="BQ574" i="14" s="1"/>
  <c r="BA342" i="14"/>
  <c r="BQ643" i="14"/>
  <c r="BQ644" i="14" s="1"/>
  <c r="BQ645" i="14" s="1"/>
  <c r="BQ646" i="14" s="1"/>
  <c r="BE546" i="14"/>
  <c r="BK403" i="14"/>
  <c r="BK404" i="14" s="1"/>
  <c r="BK405" i="14" s="1"/>
  <c r="BK406" i="14" s="1"/>
  <c r="AU474" i="14"/>
  <c r="BI546" i="14"/>
  <c r="BM78" i="14"/>
  <c r="BK414" i="14"/>
  <c r="BA606" i="14"/>
  <c r="AY475" i="14"/>
  <c r="AY476" i="14" s="1"/>
  <c r="AY477" i="14" s="1"/>
  <c r="AY478" i="14" s="1"/>
  <c r="AW415" i="14"/>
  <c r="AW416" i="14" s="1"/>
  <c r="AW417" i="14" s="1"/>
  <c r="AW418" i="14" s="1"/>
  <c r="BA462" i="14"/>
  <c r="BE138" i="14"/>
  <c r="AY594" i="14"/>
  <c r="BQ42" i="14"/>
  <c r="BM487" i="14"/>
  <c r="BM488" i="14" s="1"/>
  <c r="BM489" i="14" s="1"/>
  <c r="BM490" i="14" s="1"/>
  <c r="BI66" i="14"/>
  <c r="AY414" i="14"/>
  <c r="AY379" i="14"/>
  <c r="AY380" i="14" s="1"/>
  <c r="AY381" i="14" s="1"/>
  <c r="AY382" i="14" s="1"/>
  <c r="BA198" i="14"/>
  <c r="BK54" i="14"/>
  <c r="BO486" i="14"/>
  <c r="BI295" i="14"/>
  <c r="BI296" i="14" s="1"/>
  <c r="BI297" i="14" s="1"/>
  <c r="BI298" i="14" s="1"/>
  <c r="BO583" i="14"/>
  <c r="BO584" i="14" s="1"/>
  <c r="BO585" i="14" s="1"/>
  <c r="BO586" i="14" s="1"/>
  <c r="BG90" i="14"/>
  <c r="BE594" i="14"/>
  <c r="BI342" i="14"/>
  <c r="BE462" i="14"/>
  <c r="BI378" i="14"/>
  <c r="BI163" i="14"/>
  <c r="BI164" i="14" s="1"/>
  <c r="BI165" i="14" s="1"/>
  <c r="BI166" i="14" s="1"/>
  <c r="AY606" i="14"/>
  <c r="BI306" i="14"/>
  <c r="BI630" i="14"/>
  <c r="BO54" i="14"/>
  <c r="BC54" i="14"/>
  <c r="BK187" i="14"/>
  <c r="BK188" i="14" s="1"/>
  <c r="BK189" i="14" s="1"/>
  <c r="BK190" i="14" s="1"/>
  <c r="BE270" i="14"/>
  <c r="BC438" i="14"/>
  <c r="BQ282" i="14"/>
  <c r="BK378" i="14"/>
  <c r="BQ366" i="14"/>
  <c r="BG570" i="14"/>
  <c r="BO198" i="14"/>
  <c r="BG378" i="14"/>
  <c r="BQ198" i="14"/>
  <c r="BG678" i="14"/>
  <c r="AY498" i="14"/>
  <c r="BK486" i="14"/>
  <c r="BK246" i="14"/>
  <c r="BK559" i="14"/>
  <c r="BK560" i="14" s="1"/>
  <c r="BK561" i="14" s="1"/>
  <c r="BK562" i="14" s="1"/>
  <c r="AU102" i="14"/>
  <c r="BQ150" i="14"/>
  <c r="AW186" i="14"/>
  <c r="BO294" i="14"/>
  <c r="AU306" i="14"/>
  <c r="BE559" i="14"/>
  <c r="BE560" i="14" s="1"/>
  <c r="BE561" i="14" s="1"/>
  <c r="BE562" i="14" s="1"/>
  <c r="BA487" i="14"/>
  <c r="BA488" i="14" s="1"/>
  <c r="BA489" i="14" s="1"/>
  <c r="BA490" i="14" s="1"/>
  <c r="BO403" i="14"/>
  <c r="BO404" i="14" s="1"/>
  <c r="BO405" i="14" s="1"/>
  <c r="BO406" i="14" s="1"/>
  <c r="BA246" i="14"/>
  <c r="BQ54" i="14"/>
  <c r="BC666" i="14"/>
  <c r="BG282" i="14"/>
  <c r="BM234" i="14"/>
  <c r="BK211" i="14"/>
  <c r="BK212" i="14" s="1"/>
  <c r="BK213" i="14" s="1"/>
  <c r="BK214" i="14" s="1"/>
  <c r="AW498" i="14"/>
  <c r="BI462" i="14"/>
  <c r="BM114" i="14"/>
  <c r="BE414" i="14"/>
  <c r="BI234" i="14"/>
  <c r="BE174" i="14"/>
  <c r="BO678" i="14"/>
  <c r="AU378" i="14"/>
  <c r="BM306" i="14"/>
  <c r="BO618" i="14"/>
  <c r="AY258" i="14"/>
  <c r="AW402" i="14"/>
  <c r="BI618" i="14"/>
  <c r="AW570" i="14"/>
  <c r="BK618" i="14"/>
  <c r="AU258" i="14"/>
  <c r="AW258" i="14"/>
  <c r="BQ426" i="14"/>
  <c r="BQ127" i="14"/>
  <c r="BQ128" i="14" s="1"/>
  <c r="BQ129" i="14" s="1"/>
  <c r="BQ130" i="14" s="1"/>
  <c r="BA138" i="14"/>
  <c r="BA319" i="14"/>
  <c r="BA320" i="14" s="1"/>
  <c r="BA321" i="14" s="1"/>
  <c r="BA322" i="14" s="1"/>
  <c r="BI210" i="14"/>
  <c r="BI438" i="14"/>
  <c r="AW558" i="14"/>
  <c r="BI354" i="14"/>
  <c r="BO138" i="14"/>
  <c r="BA354" i="14"/>
  <c r="AW666" i="14"/>
  <c r="BA415" i="14"/>
  <c r="BA416" i="14" s="1"/>
  <c r="BA417" i="14" s="1"/>
  <c r="BA418" i="14" s="1"/>
  <c r="BM67" i="14"/>
  <c r="BM68" i="14" s="1"/>
  <c r="BM69" i="14" s="1"/>
  <c r="BM70" i="14" s="1"/>
  <c r="AY366" i="14"/>
  <c r="BE126" i="14"/>
  <c r="BM222" i="14"/>
  <c r="BC474" i="14"/>
  <c r="AY570" i="14"/>
  <c r="AU162" i="14"/>
  <c r="AY198" i="14"/>
  <c r="BM474" i="14"/>
  <c r="BK234" i="14"/>
  <c r="BI535" i="14"/>
  <c r="BI536" i="14" s="1"/>
  <c r="BI537" i="14" s="1"/>
  <c r="BI538" i="14" s="1"/>
  <c r="BG151" i="14"/>
  <c r="BG152" i="14" s="1"/>
  <c r="BG153" i="14" s="1"/>
  <c r="BG154" i="14" s="1"/>
  <c r="BA174" i="14"/>
  <c r="AY114" i="14"/>
  <c r="BQ582" i="14"/>
  <c r="AU126" i="14"/>
  <c r="BO90" i="14"/>
  <c r="BG54" i="14"/>
  <c r="BQ78" i="14"/>
  <c r="AW331" i="14"/>
  <c r="AW332" i="14" s="1"/>
  <c r="AW333" i="14" s="1"/>
  <c r="AW334" i="14" s="1"/>
  <c r="BA498" i="14"/>
  <c r="BA90" i="14"/>
  <c r="BG594" i="14"/>
  <c r="BE426" i="14"/>
  <c r="BI558" i="14"/>
  <c r="BA655" i="14"/>
  <c r="BA656" i="14" s="1"/>
  <c r="BA657" i="14" s="1"/>
  <c r="BA658" i="14" s="1"/>
  <c r="BC114" i="14"/>
  <c r="BK330" i="14"/>
  <c r="BQ294" i="14"/>
  <c r="AU402" i="14"/>
  <c r="BE402" i="14"/>
  <c r="BG510" i="14"/>
  <c r="BM259" i="14"/>
  <c r="BM260" i="14" s="1"/>
  <c r="BM261" i="14" s="1"/>
  <c r="BM262" i="14" s="1"/>
  <c r="BM642" i="14"/>
  <c r="BI450" i="14"/>
  <c r="BE354" i="14"/>
  <c r="BI498" i="14"/>
  <c r="BC138" i="14"/>
  <c r="BC510" i="14"/>
  <c r="BA126" i="14"/>
  <c r="BA546" i="14"/>
  <c r="BG306" i="14"/>
  <c r="BE282" i="14"/>
  <c r="AU666" i="14"/>
  <c r="AU390" i="14"/>
  <c r="AY534" i="14"/>
  <c r="BC522" i="14"/>
  <c r="BA474" i="14"/>
  <c r="AY666" i="14"/>
  <c r="AW450" i="14"/>
  <c r="BM330" i="14"/>
  <c r="BQ630" i="14"/>
  <c r="AW678" i="14"/>
  <c r="BA259" i="14"/>
  <c r="BA260" i="14" s="1"/>
  <c r="BA261" i="14" s="1"/>
  <c r="BA262" i="14" s="1"/>
  <c r="BK90" i="14"/>
  <c r="BC258" i="14"/>
  <c r="BG258" i="14"/>
  <c r="AY426" i="14"/>
  <c r="AW438" i="14"/>
  <c r="AU678" i="14"/>
  <c r="BI486" i="14"/>
  <c r="BA330" i="14"/>
  <c r="BA558" i="14"/>
  <c r="AY66" i="14"/>
  <c r="AW270" i="14"/>
  <c r="BG606" i="14"/>
  <c r="BG354" i="14"/>
  <c r="BE390" i="14"/>
  <c r="AU54" i="14"/>
  <c r="BG462" i="14"/>
  <c r="BM426" i="14"/>
  <c r="AW211" i="14"/>
  <c r="AW212" i="14" s="1"/>
  <c r="AW213" i="14" s="1"/>
  <c r="AW214" i="14" s="1"/>
  <c r="BM366" i="14"/>
  <c r="BC198" i="14"/>
  <c r="BI90" i="14"/>
  <c r="BO414" i="14"/>
  <c r="AU66" i="14"/>
  <c r="AW378" i="14"/>
  <c r="BC127" i="14"/>
  <c r="BC128" i="14" s="1"/>
  <c r="BC129" i="14" s="1"/>
  <c r="BC130" i="14" s="1"/>
  <c r="BQ114" i="14"/>
  <c r="AU355" i="14"/>
  <c r="AU356" i="14" s="1"/>
  <c r="AU357" i="14" s="1"/>
  <c r="AU358" i="14" s="1"/>
  <c r="BO594" i="14"/>
  <c r="BE607" i="14"/>
  <c r="BE608" i="14" s="1"/>
  <c r="BE609" i="14" s="1"/>
  <c r="BE610" i="14" s="1"/>
  <c r="AY679" i="14"/>
  <c r="AY680" i="14" s="1"/>
  <c r="AY681" i="14" s="1"/>
  <c r="AY682" i="14" s="1"/>
  <c r="BA571" i="14"/>
  <c r="BA572" i="14" s="1"/>
  <c r="BA573" i="14" s="1"/>
  <c r="BA574" i="14" s="1"/>
  <c r="BE378" i="14"/>
  <c r="AU654" i="14"/>
  <c r="AY486" i="14"/>
  <c r="AY55" i="14"/>
  <c r="AY56" i="14" s="1"/>
  <c r="AY57" i="14" s="1"/>
  <c r="AY58" i="14" s="1"/>
  <c r="BK115" i="14"/>
  <c r="BK116" i="14" s="1"/>
  <c r="BK117" i="14" s="1"/>
  <c r="BK118" i="14" s="1"/>
  <c r="BM199" i="14"/>
  <c r="BM200" i="14" s="1"/>
  <c r="BM201" i="14" s="1"/>
  <c r="BM202" i="14" s="1"/>
  <c r="AY450" i="14"/>
  <c r="BM438" i="14"/>
  <c r="BE534" i="14"/>
  <c r="AW354" i="14"/>
  <c r="BC390" i="14"/>
  <c r="BQ534" i="14"/>
  <c r="BO366" i="14"/>
  <c r="AW126" i="14"/>
  <c r="BO186" i="14"/>
  <c r="BK102" i="14"/>
  <c r="BA294" i="14"/>
  <c r="BE210" i="14"/>
  <c r="BM402" i="14"/>
  <c r="AW534" i="14"/>
  <c r="BC546" i="14"/>
  <c r="BA366" i="14"/>
  <c r="AU582" i="14"/>
  <c r="BQ390" i="14"/>
  <c r="BQ414" i="14"/>
  <c r="AU522" i="14"/>
  <c r="BC234" i="14"/>
  <c r="BM606" i="14"/>
  <c r="BQ511" i="14"/>
  <c r="BQ512" i="14" s="1"/>
  <c r="BQ513" i="14" s="1"/>
  <c r="BQ514" i="14" s="1"/>
  <c r="AW522" i="14"/>
  <c r="AU367" i="14"/>
  <c r="AU368" i="14" s="1"/>
  <c r="AU369" i="14" s="1"/>
  <c r="AU370" i="14" s="1"/>
  <c r="BQ138" i="14"/>
  <c r="BA162" i="14"/>
  <c r="AY342" i="14"/>
  <c r="BE115" i="14"/>
  <c r="BE116" i="14" s="1"/>
  <c r="BE117" i="14" s="1"/>
  <c r="BE118" i="14" s="1"/>
  <c r="BG103" i="14"/>
  <c r="BG104" i="14" s="1"/>
  <c r="BG105" i="14" s="1"/>
  <c r="BG106" i="14" s="1"/>
  <c r="BM150" i="14"/>
  <c r="AY210" i="14"/>
  <c r="BQ223" i="14"/>
  <c r="BQ224" i="14" s="1"/>
  <c r="BQ225" i="14" s="1"/>
  <c r="BQ226" i="14" s="1"/>
  <c r="BE150" i="14"/>
  <c r="BO450" i="14"/>
  <c r="BC354" i="14"/>
  <c r="AU247" i="14"/>
  <c r="AU248" i="14" s="1"/>
  <c r="AU249" i="14" s="1"/>
  <c r="AU250" i="14" s="1"/>
  <c r="BG654" i="14"/>
  <c r="BG318" i="14"/>
  <c r="AW66" i="14"/>
  <c r="BC403" i="14"/>
  <c r="BC404" i="14" s="1"/>
  <c r="BC405" i="14" s="1"/>
  <c r="BC406" i="14" s="1"/>
  <c r="BE499" i="14"/>
  <c r="BE500" i="14" s="1"/>
  <c r="BE501" i="14" s="1"/>
  <c r="BE502" i="14" s="1"/>
  <c r="BM187" i="14"/>
  <c r="BM188" i="14" s="1"/>
  <c r="BM189" i="14" s="1"/>
  <c r="BM190" i="14" s="1"/>
  <c r="BO426" i="14"/>
  <c r="BO234" i="14"/>
  <c r="BQ438" i="14"/>
  <c r="BQ318" i="14"/>
  <c r="AU271" i="14"/>
  <c r="AU272" i="14" s="1"/>
  <c r="AU273" i="14" s="1"/>
  <c r="AU274" i="14" s="1"/>
  <c r="BC570" i="14"/>
  <c r="BG559" i="14"/>
  <c r="BG560" i="14" s="1"/>
  <c r="BG561" i="14" s="1"/>
  <c r="BG562" i="14" s="1"/>
  <c r="BC450" i="14"/>
  <c r="BO343" i="14"/>
  <c r="BO344" i="14" s="1"/>
  <c r="BO345" i="14" s="1"/>
  <c r="BO346" i="14" s="1"/>
  <c r="AY511" i="14"/>
  <c r="AY512" i="14" s="1"/>
  <c r="AY513" i="14" s="1"/>
  <c r="AY514" i="14" s="1"/>
  <c r="AU558" i="14"/>
  <c r="BK198" i="14"/>
  <c r="BI367" i="14"/>
  <c r="BI368" i="14" s="1"/>
  <c r="BI369" i="14" s="1"/>
  <c r="BI370" i="14" s="1"/>
  <c r="BG138" i="14"/>
  <c r="BQ678" i="14"/>
  <c r="BE246" i="14"/>
  <c r="BA234" i="14"/>
  <c r="BA402" i="14"/>
  <c r="BA390" i="14"/>
  <c r="BA678" i="14"/>
  <c r="BI151" i="14"/>
  <c r="BI152" i="14" s="1"/>
  <c r="BI153" i="14" s="1"/>
  <c r="BI154" i="14" s="1"/>
  <c r="BQ618" i="14"/>
  <c r="BO523" i="14"/>
  <c r="BO524" i="14" s="1"/>
  <c r="BO525" i="14" s="1"/>
  <c r="BO526" i="14" s="1"/>
  <c r="BC379" i="14"/>
  <c r="BC380" i="14" s="1"/>
  <c r="BC381" i="14" s="1"/>
  <c r="BC382" i="14" s="1"/>
  <c r="BC162" i="14"/>
  <c r="AU175" i="14"/>
  <c r="AU176" i="14" s="1"/>
  <c r="AU177" i="14" s="1"/>
  <c r="AU178" i="14" s="1"/>
  <c r="BG474" i="14"/>
  <c r="BI78" i="14"/>
  <c r="BG235" i="14"/>
  <c r="BG236" i="14" s="1"/>
  <c r="BG237" i="14" s="1"/>
  <c r="BG238" i="14" s="1"/>
  <c r="BM451" i="14"/>
  <c r="BM452" i="14" s="1"/>
  <c r="BM453" i="14" s="1"/>
  <c r="BM454" i="14" s="1"/>
  <c r="BC462" i="14"/>
  <c r="BC559" i="14"/>
  <c r="BC560" i="14" s="1"/>
  <c r="BC561" i="14" s="1"/>
  <c r="BC562" i="14" s="1"/>
  <c r="BO66" i="14"/>
  <c r="BC306" i="14"/>
  <c r="BC67" i="14"/>
  <c r="BC68" i="14" s="1"/>
  <c r="BC69" i="14" s="1"/>
  <c r="BC70" i="14" s="1"/>
  <c r="AW366" i="14"/>
  <c r="BQ354" i="14"/>
  <c r="BM510" i="14"/>
  <c r="BI678" i="14"/>
  <c r="BI571" i="14"/>
  <c r="BI572" i="14" s="1"/>
  <c r="BI573" i="14" s="1"/>
  <c r="BI574" i="14" s="1"/>
  <c r="AY186" i="14"/>
  <c r="BC271" i="14"/>
  <c r="BC272" i="14" s="1"/>
  <c r="BC273" i="14" s="1"/>
  <c r="BC274" i="14" s="1"/>
  <c r="BQ402" i="14"/>
  <c r="BM558" i="14"/>
  <c r="BG666" i="14"/>
  <c r="BG115" i="14"/>
  <c r="BG116" i="14" s="1"/>
  <c r="BG117" i="14" s="1"/>
  <c r="BG118" i="14" s="1"/>
  <c r="BI270" i="14"/>
  <c r="BA511" i="14"/>
  <c r="BA512" i="14" s="1"/>
  <c r="BA513" i="14" s="1"/>
  <c r="BA514" i="14" s="1"/>
  <c r="BQ462" i="14"/>
  <c r="BO259" i="14"/>
  <c r="BO260" i="14" s="1"/>
  <c r="BO261" i="14" s="1"/>
  <c r="BO262" i="14" s="1"/>
  <c r="BE102" i="14"/>
  <c r="BQ331" i="14"/>
  <c r="BQ332" i="14" s="1"/>
  <c r="BQ333" i="14" s="1"/>
  <c r="BQ334" i="14" s="1"/>
  <c r="BE486" i="14"/>
  <c r="BI198" i="14"/>
  <c r="BK175" i="14"/>
  <c r="BK176" i="14" s="1"/>
  <c r="BK177" i="14" s="1"/>
  <c r="BK178" i="14" s="1"/>
  <c r="BA450" i="14"/>
  <c r="BK582" i="14"/>
  <c r="AY90" i="14"/>
  <c r="BM379" i="14"/>
  <c r="BM380" i="14" s="1"/>
  <c r="BM381" i="14" s="1"/>
  <c r="BM382" i="14" s="1"/>
  <c r="BM582" i="14"/>
  <c r="BM390" i="14"/>
  <c r="AW486" i="14"/>
  <c r="BG174" i="14"/>
  <c r="BK306" i="14"/>
  <c r="BM175" i="14"/>
  <c r="BM176" i="14" s="1"/>
  <c r="BM177" i="14" s="1"/>
  <c r="BM178" i="14" s="1"/>
  <c r="BK451" i="14"/>
  <c r="BK452" i="14" s="1"/>
  <c r="BK453" i="14" s="1"/>
  <c r="BK454" i="14" s="1"/>
  <c r="BI667" i="14"/>
  <c r="BI668" i="14" s="1"/>
  <c r="BI669" i="14" s="1"/>
  <c r="BI670" i="14" s="1"/>
  <c r="AW606" i="14"/>
  <c r="BO511" i="14"/>
  <c r="BO512" i="14" s="1"/>
  <c r="BO513" i="14" s="1"/>
  <c r="BO514" i="14" s="1"/>
  <c r="BI282" i="14"/>
  <c r="BO630" i="14"/>
  <c r="AY150" i="14"/>
  <c r="BM535" i="14"/>
  <c r="BM536" i="14" s="1"/>
  <c r="BM537" i="14" s="1"/>
  <c r="BM538" i="14" s="1"/>
  <c r="BE187" i="14"/>
  <c r="BE188" i="14" s="1"/>
  <c r="BE189" i="14" s="1"/>
  <c r="BE190" i="14" s="1"/>
  <c r="AW426" i="14"/>
  <c r="BO558" i="14"/>
  <c r="BK474" i="14"/>
  <c r="BQ594" i="14"/>
  <c r="AY330" i="14"/>
  <c r="BE630" i="14"/>
  <c r="BC318" i="14"/>
  <c r="BQ559" i="14"/>
  <c r="BQ560" i="14" s="1"/>
  <c r="BQ561" i="14" s="1"/>
  <c r="BQ562" i="14" s="1"/>
  <c r="BO102" i="14"/>
  <c r="BK366" i="14"/>
  <c r="BC246" i="14"/>
  <c r="BI510" i="14"/>
  <c r="BC78" i="14"/>
  <c r="BK522" i="14"/>
  <c r="BC654" i="14"/>
  <c r="BK654" i="14"/>
  <c r="BM414" i="14"/>
  <c r="AW510" i="14"/>
  <c r="BM546" i="14"/>
  <c r="BC294" i="14"/>
  <c r="AU114" i="14"/>
  <c r="BA523" i="14"/>
  <c r="BA524" i="14" s="1"/>
  <c r="BA525" i="14" s="1"/>
  <c r="BA526" i="14" s="1"/>
  <c r="BA534" i="14"/>
  <c r="BC535" i="14"/>
  <c r="BC536" i="14" s="1"/>
  <c r="BC537" i="14" s="1"/>
  <c r="BC538" i="14" s="1"/>
  <c r="BO642" i="14"/>
  <c r="BK642" i="14"/>
  <c r="BA594" i="14"/>
  <c r="BA222" i="14"/>
  <c r="BK606" i="14"/>
  <c r="BI522" i="14"/>
  <c r="AY390" i="14"/>
  <c r="BO114" i="14"/>
  <c r="BA187" i="14"/>
  <c r="BA188" i="14" s="1"/>
  <c r="BA189" i="14" s="1"/>
  <c r="BA190" i="14" s="1"/>
  <c r="BI582" i="14"/>
  <c r="BQ547" i="14"/>
  <c r="BQ548" i="14" s="1"/>
  <c r="BQ549" i="14" s="1"/>
  <c r="BQ550" i="14" s="1"/>
  <c r="AU462" i="14"/>
  <c r="BQ667" i="14"/>
  <c r="BQ668" i="14" s="1"/>
  <c r="BQ669" i="14" s="1"/>
  <c r="BQ670" i="14" s="1"/>
  <c r="BQ187" i="14"/>
  <c r="BQ188" i="14" s="1"/>
  <c r="BQ189" i="14" s="1"/>
  <c r="BQ190" i="14" s="1"/>
  <c r="BG127" i="14"/>
  <c r="BG128" i="14" s="1"/>
  <c r="BG129" i="14" s="1"/>
  <c r="BG130" i="14" s="1"/>
  <c r="BI259" i="14"/>
  <c r="BI260" i="14" s="1"/>
  <c r="BI261" i="14" s="1"/>
  <c r="BI262" i="14" s="1"/>
  <c r="BE439" i="14"/>
  <c r="BE440" i="14" s="1"/>
  <c r="BE441" i="14" s="1"/>
  <c r="BE442" i="14" s="1"/>
  <c r="BO127" i="14"/>
  <c r="BO128" i="14" s="1"/>
  <c r="BO129" i="14" s="1"/>
  <c r="BO130" i="14" s="1"/>
  <c r="AW151" i="14"/>
  <c r="AW152" i="14" s="1"/>
  <c r="AW153" i="14" s="1"/>
  <c r="AW154" i="14" s="1"/>
  <c r="BQ607" i="14"/>
  <c r="BQ608" i="14" s="1"/>
  <c r="BQ609" i="14" s="1"/>
  <c r="BQ610" i="14" s="1"/>
  <c r="AY235" i="14"/>
  <c r="AY236" i="14" s="1"/>
  <c r="AY237" i="14" s="1"/>
  <c r="AY238" i="14" s="1"/>
  <c r="BA103" i="14"/>
  <c r="BA104" i="14" s="1"/>
  <c r="BA105" i="14" s="1"/>
  <c r="BA106" i="14" s="1"/>
  <c r="BM319" i="14"/>
  <c r="BM320" i="14" s="1"/>
  <c r="BM321" i="14" s="1"/>
  <c r="BM322" i="14" s="1"/>
  <c r="BM55" i="14"/>
  <c r="BM56" i="14" s="1"/>
  <c r="BM57" i="14" s="1"/>
  <c r="BM58" i="14" s="1"/>
  <c r="BE343" i="14"/>
  <c r="BE344" i="14" s="1"/>
  <c r="BE345" i="14" s="1"/>
  <c r="BE346" i="14" s="1"/>
  <c r="BG163" i="14"/>
  <c r="BG164" i="14" s="1"/>
  <c r="BG165" i="14" s="1"/>
  <c r="BG166" i="14" s="1"/>
  <c r="BE223" i="14"/>
  <c r="BE224" i="14" s="1"/>
  <c r="BE225" i="14" s="1"/>
  <c r="BE226" i="14" s="1"/>
  <c r="AY319" i="14"/>
  <c r="AY320" i="14" s="1"/>
  <c r="AY321" i="14" s="1"/>
  <c r="AY322" i="14" s="1"/>
  <c r="BG343" i="14"/>
  <c r="BG344" i="14" s="1"/>
  <c r="BG345" i="14" s="1"/>
  <c r="BG346" i="14" s="1"/>
  <c r="BC487" i="14"/>
  <c r="BC488" i="14" s="1"/>
  <c r="BC489" i="14" s="1"/>
  <c r="BC490" i="14" s="1"/>
  <c r="BA67" i="14"/>
  <c r="BA68" i="14" s="1"/>
  <c r="BA69" i="14" s="1"/>
  <c r="BA70" i="14" s="1"/>
  <c r="BC175" i="14"/>
  <c r="BC176" i="14" s="1"/>
  <c r="BC177" i="14" s="1"/>
  <c r="BC178" i="14" s="1"/>
  <c r="AU547" i="14"/>
  <c r="AU548" i="14" s="1"/>
  <c r="AU549" i="14" s="1"/>
  <c r="AU550" i="14" s="1"/>
  <c r="BC643" i="14"/>
  <c r="BC644" i="14" s="1"/>
  <c r="BC645" i="14" s="1"/>
  <c r="BC646" i="14" s="1"/>
  <c r="BQ103" i="14"/>
  <c r="BQ104" i="14" s="1"/>
  <c r="BQ105" i="14" s="1"/>
  <c r="BQ106" i="14" s="1"/>
  <c r="BK499" i="14"/>
  <c r="BK500" i="14" s="1"/>
  <c r="BK501" i="14" s="1"/>
  <c r="BK502" i="14" s="1"/>
  <c r="BE655" i="14"/>
  <c r="BE656" i="14" s="1"/>
  <c r="BE657" i="14" s="1"/>
  <c r="BE658" i="14" s="1"/>
  <c r="AY139" i="14"/>
  <c r="AY140" i="14" s="1"/>
  <c r="AY141" i="14" s="1"/>
  <c r="AY142" i="14" s="1"/>
  <c r="BO475" i="14"/>
  <c r="BO476" i="14" s="1"/>
  <c r="BO477" i="14" s="1"/>
  <c r="BO478" i="14" s="1"/>
  <c r="BM463" i="14"/>
  <c r="BM464" i="14" s="1"/>
  <c r="BM465" i="14" s="1"/>
  <c r="BM466" i="14" s="1"/>
  <c r="BI175" i="14"/>
  <c r="BI176" i="14" s="1"/>
  <c r="BI177" i="14" s="1"/>
  <c r="BI178" i="14" s="1"/>
  <c r="BI391" i="14"/>
  <c r="BI392" i="14" s="1"/>
  <c r="BI393" i="14" s="1"/>
  <c r="BI394" i="14" s="1"/>
  <c r="BQ271" i="14"/>
  <c r="BQ272" i="14" s="1"/>
  <c r="BQ273" i="14" s="1"/>
  <c r="BQ274" i="14" s="1"/>
  <c r="BC631" i="14"/>
  <c r="BC632" i="14" s="1"/>
  <c r="BC633" i="14" s="1"/>
  <c r="BC634" i="14" s="1"/>
  <c r="AY283" i="14"/>
  <c r="AY284" i="14" s="1"/>
  <c r="AY285" i="14" s="1"/>
  <c r="AY286" i="14" s="1"/>
  <c r="BO355" i="14"/>
  <c r="BO356" i="14" s="1"/>
  <c r="BO357" i="14" s="1"/>
  <c r="BO358" i="14" s="1"/>
  <c r="BA271" i="14"/>
  <c r="BA272" i="14" s="1"/>
  <c r="BA273" i="14" s="1"/>
  <c r="BA274" i="14" s="1"/>
  <c r="BM523" i="14"/>
  <c r="BM524" i="14" s="1"/>
  <c r="BM525" i="14" s="1"/>
  <c r="BM526" i="14" s="1"/>
  <c r="AU595" i="14"/>
  <c r="AU596" i="14" s="1"/>
  <c r="AU597" i="14" s="1"/>
  <c r="AU598" i="14" s="1"/>
  <c r="BK511" i="14"/>
  <c r="BK512" i="14" s="1"/>
  <c r="BK513" i="14" s="1"/>
  <c r="BK514" i="14" s="1"/>
  <c r="AW115" i="14"/>
  <c r="AW116" i="14" s="1"/>
  <c r="AW117" i="14" s="1"/>
  <c r="AW118" i="14" s="1"/>
  <c r="BM163" i="14"/>
  <c r="BM164" i="14" s="1"/>
  <c r="BM165" i="14" s="1"/>
  <c r="BM166" i="14" s="1"/>
  <c r="AW283" i="14"/>
  <c r="AW284" i="14" s="1"/>
  <c r="AW285" i="14" s="1"/>
  <c r="AW286" i="14" s="1"/>
  <c r="AJ54" i="43"/>
  <c r="E53" i="43" s="1"/>
  <c r="AX293" i="14"/>
  <c r="BL114" i="14"/>
  <c r="BJ150" i="14"/>
  <c r="BD413" i="14"/>
  <c r="BH173" i="14"/>
  <c r="AX185" i="14"/>
  <c r="BH665" i="14"/>
  <c r="BL402" i="14"/>
  <c r="BL305" i="14"/>
  <c r="AV617" i="14"/>
  <c r="BJ233" i="14"/>
  <c r="BR281" i="14"/>
  <c r="BB510" i="14"/>
  <c r="BP629" i="14"/>
  <c r="BH605" i="14"/>
  <c r="AX65" i="14"/>
  <c r="BF209" i="14"/>
  <c r="BH353" i="14"/>
  <c r="BD174" i="14"/>
  <c r="AX557" i="14"/>
  <c r="BJ617" i="14"/>
  <c r="BR606" i="14"/>
  <c r="BF485" i="14"/>
  <c r="AV677" i="14"/>
  <c r="BR222" i="14"/>
  <c r="BB486" i="14"/>
  <c r="BR102" i="14"/>
  <c r="AZ449" i="14"/>
  <c r="BB186" i="14"/>
  <c r="AZ185" i="14"/>
  <c r="BJ341" i="14"/>
  <c r="AX365" i="14"/>
  <c r="BL450" i="14"/>
  <c r="BN450" i="14"/>
  <c r="BL210" i="14"/>
  <c r="AX521" i="14"/>
  <c r="BB125" i="14"/>
  <c r="BH509" i="14"/>
  <c r="BF125" i="14"/>
  <c r="BD245" i="14"/>
  <c r="BD558" i="14"/>
  <c r="BL245" i="14"/>
  <c r="BB365" i="14"/>
  <c r="AZ257" i="14"/>
  <c r="BB341" i="14"/>
  <c r="AV270" i="14"/>
  <c r="BB449" i="14"/>
  <c r="BD305" i="14"/>
  <c r="BL89" i="14"/>
  <c r="BJ281" i="14"/>
  <c r="BD569" i="14"/>
  <c r="BJ89" i="14"/>
  <c r="BF342" i="14"/>
  <c r="BH126" i="14"/>
  <c r="BH102" i="14"/>
  <c r="AX593" i="14"/>
  <c r="BF654" i="14"/>
  <c r="BL365" i="14"/>
  <c r="AV161" i="14"/>
  <c r="AV569" i="14"/>
  <c r="BJ294" i="14"/>
  <c r="BD630" i="14"/>
  <c r="BN545" i="14"/>
  <c r="BD402" i="14"/>
  <c r="BF389" i="14"/>
  <c r="BL174" i="14"/>
  <c r="AX414" i="14"/>
  <c r="BR558" i="14"/>
  <c r="AX114" i="14"/>
  <c r="BF449" i="14"/>
  <c r="BP413" i="14"/>
  <c r="BH246" i="14"/>
  <c r="BR437" i="14"/>
  <c r="BR233" i="14"/>
  <c r="BN365" i="14"/>
  <c r="BD293" i="14"/>
  <c r="BN149" i="14"/>
  <c r="AV305" i="14"/>
  <c r="AV546" i="14"/>
  <c r="AX401" i="14"/>
  <c r="BR113" i="14"/>
  <c r="BL425" i="14"/>
  <c r="AV197" i="14"/>
  <c r="BR642" i="14"/>
  <c r="BR593" i="14"/>
  <c r="AX353" i="14"/>
  <c r="AV257" i="14"/>
  <c r="BN522" i="14"/>
  <c r="BJ54" i="14"/>
  <c r="BP329" i="14"/>
  <c r="BJ581" i="14"/>
  <c r="BL101" i="14"/>
  <c r="BB522" i="14"/>
  <c r="AZ234" i="14"/>
  <c r="BR570" i="14"/>
  <c r="AX125" i="14"/>
  <c r="BR149" i="14"/>
  <c r="BD486" i="14"/>
  <c r="BN401" i="14"/>
  <c r="BB401" i="14"/>
  <c r="BB654" i="14"/>
  <c r="BB161" i="14"/>
  <c r="AV653" i="14"/>
  <c r="BD257" i="14"/>
  <c r="BP293" i="14"/>
  <c r="BJ269" i="14"/>
  <c r="BN605" i="14"/>
  <c r="BB665" i="14"/>
  <c r="BJ677" i="14"/>
  <c r="BJ390" i="14"/>
  <c r="AZ485" i="14"/>
  <c r="BF593" i="14"/>
  <c r="BN233" i="14"/>
  <c r="BN378" i="14"/>
  <c r="AZ413" i="14"/>
  <c r="BJ605" i="14"/>
  <c r="AX150" i="14"/>
  <c r="BH281" i="14"/>
  <c r="BP342" i="14"/>
  <c r="AZ282" i="14"/>
  <c r="BH114" i="14"/>
  <c r="BR677" i="14"/>
  <c r="AZ65" i="14"/>
  <c r="BD53" i="14"/>
  <c r="BL329" i="14"/>
  <c r="BP137" i="14"/>
  <c r="BB570" i="14"/>
  <c r="BN437" i="14"/>
  <c r="BR197" i="14"/>
  <c r="BR389" i="14"/>
  <c r="AZ318" i="14"/>
  <c r="BB473" i="14"/>
  <c r="BP101" i="14"/>
  <c r="AZ581" i="14"/>
  <c r="AZ533" i="14"/>
  <c r="BP425" i="14"/>
  <c r="BJ185" i="14"/>
  <c r="BF425" i="14"/>
  <c r="BB89" i="14"/>
  <c r="AZ54" i="14"/>
  <c r="BJ437" i="14"/>
  <c r="BH317" i="14"/>
  <c r="BB233" i="14"/>
  <c r="BB329" i="14"/>
  <c r="BF53" i="14"/>
  <c r="BD270" i="14"/>
  <c r="AZ425" i="14"/>
  <c r="BD137" i="14"/>
  <c r="BF137" i="14"/>
  <c r="BR270" i="14"/>
  <c r="BD161" i="14"/>
  <c r="BP365" i="14"/>
  <c r="AV150" i="14"/>
  <c r="BP677" i="14"/>
  <c r="BB437" i="14"/>
  <c r="BJ461" i="14"/>
  <c r="BF498" i="14"/>
  <c r="BR461" i="14"/>
  <c r="AX377" i="14"/>
  <c r="BB221" i="14"/>
  <c r="BL437" i="14"/>
  <c r="BJ353" i="14"/>
  <c r="BN54" i="14"/>
  <c r="BL617" i="14"/>
  <c r="BP53" i="14"/>
  <c r="AZ510" i="14"/>
  <c r="AZ329" i="14"/>
  <c r="BL473" i="14"/>
  <c r="BF186" i="14"/>
  <c r="BP641" i="14"/>
  <c r="AZ378" i="14"/>
  <c r="AV174" i="14"/>
  <c r="BH377" i="14"/>
  <c r="BN473" i="14"/>
  <c r="BP617" i="14"/>
  <c r="BP402" i="14"/>
  <c r="BR629" i="14"/>
  <c r="BL641" i="14"/>
  <c r="BP485" i="14"/>
  <c r="BH461" i="14"/>
  <c r="BH162" i="14"/>
  <c r="BN113" i="14"/>
  <c r="BR546" i="14"/>
  <c r="BF281" i="14"/>
  <c r="BF461" i="14"/>
  <c r="AZ438" i="14"/>
  <c r="BH257" i="14"/>
  <c r="BH209" i="14"/>
  <c r="AV473" i="14"/>
  <c r="BL510" i="14"/>
  <c r="BJ485" i="14"/>
  <c r="BR425" i="14"/>
  <c r="BL485" i="14"/>
  <c r="BJ305" i="14"/>
  <c r="BL653" i="14"/>
  <c r="AZ365" i="14"/>
  <c r="AZ341" i="14"/>
  <c r="BL558" i="14"/>
  <c r="BD113" i="14"/>
  <c r="BF353" i="14"/>
  <c r="BL521" i="14"/>
  <c r="AZ593" i="14"/>
  <c r="AZ138" i="14"/>
  <c r="BJ209" i="14"/>
  <c r="AV521" i="14"/>
  <c r="BP65" i="14"/>
  <c r="BJ521" i="14"/>
  <c r="BP510" i="14"/>
  <c r="BJ666" i="14"/>
  <c r="BR41" i="14"/>
  <c r="BN77" i="14"/>
  <c r="BN425" i="14"/>
  <c r="BD534" i="14"/>
  <c r="BR137" i="14"/>
  <c r="BB497" i="14"/>
  <c r="BP449" i="14"/>
  <c r="BR53" i="14"/>
  <c r="AV354" i="14"/>
  <c r="BF77" i="14"/>
  <c r="BR317" i="14"/>
  <c r="BL233" i="14"/>
  <c r="BD437" i="14"/>
  <c r="BP522" i="14"/>
  <c r="BN413" i="14"/>
  <c r="BP593" i="14"/>
  <c r="AZ209" i="14"/>
  <c r="BN221" i="14"/>
  <c r="BF222" i="14"/>
  <c r="BJ102" i="14"/>
  <c r="BP89" i="14"/>
  <c r="BB414" i="14"/>
  <c r="AV389" i="14"/>
  <c r="BL197" i="14"/>
  <c r="BJ258" i="14"/>
  <c r="BP582" i="14"/>
  <c r="BB137" i="14"/>
  <c r="BN389" i="14"/>
  <c r="AZ605" i="14"/>
  <c r="BD545" i="14"/>
  <c r="BJ570" i="14"/>
  <c r="BF438" i="14"/>
  <c r="BP569" i="14"/>
  <c r="BN629" i="14"/>
  <c r="BB593" i="14"/>
  <c r="AX497" i="14"/>
  <c r="BL498" i="14"/>
  <c r="BH305" i="14"/>
  <c r="BJ449" i="14"/>
  <c r="AZ197" i="14"/>
  <c r="BP185" i="14"/>
  <c r="BR401" i="14"/>
  <c r="BB197" i="14"/>
  <c r="BL413" i="14"/>
  <c r="AZ389" i="14"/>
  <c r="BH473" i="14"/>
  <c r="BH342" i="14"/>
  <c r="AV401" i="14"/>
  <c r="BF149" i="14"/>
  <c r="BN305" i="14"/>
  <c r="AV377" i="14"/>
  <c r="BH558" i="14"/>
  <c r="AV246" i="14"/>
  <c r="BH234" i="14"/>
  <c r="AV533" i="14"/>
  <c r="BH53" i="14"/>
  <c r="AX677" i="14"/>
  <c r="BR126" i="14"/>
  <c r="BN486" i="14"/>
  <c r="BH569" i="14"/>
  <c r="AV125" i="14"/>
  <c r="BP113" i="14"/>
  <c r="BR533" i="14"/>
  <c r="AX269" i="14"/>
  <c r="BN329" i="14"/>
  <c r="BN198" i="14"/>
  <c r="BR377" i="14"/>
  <c r="AZ113" i="14"/>
  <c r="BR581" i="14"/>
  <c r="BR293" i="14"/>
  <c r="BJ77" i="14"/>
  <c r="BR413" i="14"/>
  <c r="AZ89" i="14"/>
  <c r="AX330" i="14"/>
  <c r="BJ114" i="14"/>
  <c r="BP258" i="14"/>
  <c r="BJ162" i="14"/>
  <c r="BD126" i="14"/>
  <c r="BD665" i="14"/>
  <c r="BR617" i="14"/>
  <c r="BP126" i="14"/>
  <c r="BD66" i="14"/>
  <c r="BB245" i="14"/>
  <c r="BN557" i="14"/>
  <c r="BN534" i="14"/>
  <c r="AV557" i="14"/>
  <c r="BH677" i="14"/>
  <c r="BR510" i="14"/>
  <c r="BD389" i="14"/>
  <c r="AV461" i="14"/>
  <c r="BN462" i="14"/>
  <c r="BF269" i="14"/>
  <c r="AX305" i="14"/>
  <c r="BN174" i="14"/>
  <c r="BD653" i="14"/>
  <c r="BB353" i="14"/>
  <c r="BN66" i="14"/>
  <c r="BD521" i="14"/>
  <c r="AX582" i="14"/>
  <c r="AX210" i="14"/>
  <c r="AZ569" i="14"/>
  <c r="BJ641" i="14"/>
  <c r="BJ509" i="14"/>
  <c r="BF606" i="14"/>
  <c r="AX618" i="14"/>
  <c r="BF629" i="14"/>
  <c r="BD449" i="14"/>
  <c r="BJ534" i="14"/>
  <c r="AX509" i="14"/>
  <c r="BF377" i="14"/>
  <c r="BB270" i="14"/>
  <c r="AX449" i="14"/>
  <c r="BJ377" i="14"/>
  <c r="AZ173" i="14"/>
  <c r="AV665" i="14"/>
  <c r="BR90" i="14"/>
  <c r="BH653" i="14"/>
  <c r="BJ629" i="14"/>
  <c r="BP354" i="14"/>
  <c r="BR186" i="14"/>
  <c r="BD233" i="14"/>
  <c r="BJ557" i="14"/>
  <c r="BP197" i="14"/>
  <c r="AV53" i="14"/>
  <c r="BD378" i="14"/>
  <c r="BF545" i="14"/>
  <c r="AX90" i="14"/>
  <c r="AV113" i="14"/>
  <c r="BD473" i="14"/>
  <c r="BN162" i="14"/>
  <c r="BP557" i="14"/>
  <c r="AX425" i="14"/>
  <c r="BF245" i="14"/>
  <c r="AX569" i="14"/>
  <c r="BL605" i="14"/>
  <c r="BB258" i="14"/>
  <c r="BH137" i="14"/>
  <c r="BB173" i="14"/>
  <c r="AV594" i="14"/>
  <c r="BJ366" i="14"/>
  <c r="BP474" i="14"/>
  <c r="BH89" i="14"/>
  <c r="AX257" i="14"/>
  <c r="AV186" i="14"/>
  <c r="BB461" i="14"/>
  <c r="AX533" i="14"/>
  <c r="AZ149" i="14"/>
  <c r="AZ665" i="14"/>
  <c r="BB533" i="14"/>
  <c r="AX665" i="14"/>
  <c r="BL149" i="14"/>
  <c r="BF401" i="14"/>
  <c r="AZ161" i="14"/>
  <c r="BR666" i="14"/>
  <c r="BL581" i="14"/>
  <c r="AV581" i="14"/>
  <c r="BD317" i="14"/>
  <c r="BD77" i="14"/>
  <c r="BL377" i="14"/>
  <c r="AZ497" i="14"/>
  <c r="BJ497" i="14"/>
  <c r="BH150" i="14"/>
  <c r="AV101" i="14"/>
  <c r="BN318" i="14"/>
  <c r="BP233" i="14"/>
  <c r="BF413" i="14"/>
  <c r="BR365" i="14"/>
  <c r="BJ174" i="14"/>
  <c r="AV629" i="14"/>
  <c r="BD197" i="14"/>
  <c r="BR353" i="14"/>
  <c r="BD642" i="14"/>
  <c r="AX485" i="14"/>
  <c r="AZ474" i="14"/>
  <c r="BF558" i="14"/>
  <c r="BR77" i="14"/>
  <c r="BB318" i="14"/>
  <c r="AX282" i="14"/>
  <c r="BB389" i="14"/>
  <c r="BR330" i="14"/>
  <c r="BB77" i="14"/>
  <c r="BJ65" i="14"/>
  <c r="AZ305" i="14"/>
  <c r="AV282" i="14"/>
  <c r="BF173" i="14"/>
  <c r="BL53" i="14"/>
  <c r="BB66" i="14"/>
  <c r="BB605" i="14"/>
  <c r="BJ545" i="14"/>
  <c r="AV605" i="14"/>
  <c r="BF533" i="14"/>
  <c r="BL186" i="14"/>
  <c r="BB102" i="14"/>
  <c r="BB677" i="14"/>
  <c r="AX605" i="14"/>
  <c r="AV65" i="14"/>
  <c r="BF114" i="14"/>
  <c r="BB293" i="14"/>
  <c r="BF101" i="14"/>
  <c r="AV366" i="14"/>
  <c r="BD353" i="14"/>
  <c r="BB545" i="14"/>
  <c r="BN641" i="14"/>
  <c r="BJ197" i="14"/>
  <c r="BN258" i="14"/>
  <c r="AZ678" i="14"/>
  <c r="BH593" i="14"/>
  <c r="BN581" i="14"/>
  <c r="BN509" i="14"/>
  <c r="BD509" i="14"/>
  <c r="BB557" i="14"/>
  <c r="BD461" i="14"/>
  <c r="BN186" i="14"/>
  <c r="AX437" i="14"/>
  <c r="BN209" i="14"/>
  <c r="BK439" i="14" l="1"/>
  <c r="BK440" i="14" s="1"/>
  <c r="BK441" i="14" s="1"/>
  <c r="BK442" i="14" s="1"/>
  <c r="AW295" i="14"/>
  <c r="AW296" i="14" s="1"/>
  <c r="AW297" i="14" s="1"/>
  <c r="AW298" i="14" s="1"/>
  <c r="BG91" i="14"/>
  <c r="BG92" i="14" s="1"/>
  <c r="BG93" i="14" s="1"/>
  <c r="BG94" i="14" s="1"/>
  <c r="AW595" i="14"/>
  <c r="AW596" i="14" s="1"/>
  <c r="AW597" i="14" s="1"/>
  <c r="AW598" i="14" s="1"/>
  <c r="AY415" i="14"/>
  <c r="AY416" i="14" s="1"/>
  <c r="AY417" i="14" s="1"/>
  <c r="AY418" i="14" s="1"/>
  <c r="AU619" i="14"/>
  <c r="AU620" i="14" s="1"/>
  <c r="AU621" i="14" s="1"/>
  <c r="AU622" i="14" s="1"/>
  <c r="BG211" i="14"/>
  <c r="BG212" i="14" s="1"/>
  <c r="BG213" i="14" s="1"/>
  <c r="BG214" i="14" s="1"/>
  <c r="BA79" i="14"/>
  <c r="BA80" i="14" s="1"/>
  <c r="BA81" i="14" s="1"/>
  <c r="BA82" i="14" s="1"/>
  <c r="BK427" i="14"/>
  <c r="BK428" i="14" s="1"/>
  <c r="BK429" i="14" s="1"/>
  <c r="BK430" i="14" s="1"/>
  <c r="AY607" i="14"/>
  <c r="AY608" i="14" s="1"/>
  <c r="AY609" i="14" s="1"/>
  <c r="AY610" i="14" s="1"/>
  <c r="BK151" i="14"/>
  <c r="BK152" i="14" s="1"/>
  <c r="BK153" i="14" s="1"/>
  <c r="BK154" i="14" s="1"/>
  <c r="AU199" i="14"/>
  <c r="AU200" i="14" s="1"/>
  <c r="AU201" i="14" s="1"/>
  <c r="AU202" i="14" s="1"/>
  <c r="BA607" i="14"/>
  <c r="BA608" i="14" s="1"/>
  <c r="BA609" i="14" s="1"/>
  <c r="BA610" i="14" s="1"/>
  <c r="AY175" i="14"/>
  <c r="AY176" i="14" s="1"/>
  <c r="AY177" i="14" s="1"/>
  <c r="AY178" i="14" s="1"/>
  <c r="AU631" i="14"/>
  <c r="AU632" i="14" s="1"/>
  <c r="AU633" i="14" s="1"/>
  <c r="AU634" i="14" s="1"/>
  <c r="BO331" i="14"/>
  <c r="BO332" i="14" s="1"/>
  <c r="BO333" i="14" s="1"/>
  <c r="BO334" i="14" s="1"/>
  <c r="BA463" i="14"/>
  <c r="BA464" i="14" s="1"/>
  <c r="BA465" i="14" s="1"/>
  <c r="BA466" i="14" s="1"/>
  <c r="BC415" i="14"/>
  <c r="BC416" i="14" s="1"/>
  <c r="BC417" i="14" s="1"/>
  <c r="BC418" i="14" s="1"/>
  <c r="BQ43" i="14"/>
  <c r="BQ44" i="14" s="1"/>
  <c r="BQ45" i="14" s="1"/>
  <c r="BQ46" i="14" s="1"/>
  <c r="BK415" i="14"/>
  <c r="BK416" i="14" s="1"/>
  <c r="BK417" i="14" s="1"/>
  <c r="BK418" i="14" s="1"/>
  <c r="BA343" i="14"/>
  <c r="BA344" i="14" s="1"/>
  <c r="BA345" i="14" s="1"/>
  <c r="BA346" i="14" s="1"/>
  <c r="BQ379" i="14"/>
  <c r="BQ380" i="14" s="1"/>
  <c r="BQ381" i="14" s="1"/>
  <c r="BQ382" i="14" s="1"/>
  <c r="BE79" i="14"/>
  <c r="BE80" i="14" s="1"/>
  <c r="BE81" i="14" s="1"/>
  <c r="BE82" i="14" s="1"/>
  <c r="BQ235" i="14"/>
  <c r="BQ236" i="14" s="1"/>
  <c r="BQ237" i="14" s="1"/>
  <c r="BQ238" i="14" s="1"/>
  <c r="BI607" i="14"/>
  <c r="BI608" i="14" s="1"/>
  <c r="BI609" i="14" s="1"/>
  <c r="BI610" i="14" s="1"/>
  <c r="AU475" i="14"/>
  <c r="AU476" i="14" s="1"/>
  <c r="AU477" i="14" s="1"/>
  <c r="AU478" i="14" s="1"/>
  <c r="BE451" i="14"/>
  <c r="BE452" i="14" s="1"/>
  <c r="BE453" i="14" s="1"/>
  <c r="BE454" i="14" s="1"/>
  <c r="BI379" i="14"/>
  <c r="BI380" i="14" s="1"/>
  <c r="BI381" i="14" s="1"/>
  <c r="BI382" i="14" s="1"/>
  <c r="BO487" i="14"/>
  <c r="BO488" i="14" s="1"/>
  <c r="BO489" i="14" s="1"/>
  <c r="BO490" i="14" s="1"/>
  <c r="AW307" i="14"/>
  <c r="AW308" i="14" s="1"/>
  <c r="AW309" i="14" s="1"/>
  <c r="AW310" i="14" s="1"/>
  <c r="BE595" i="14"/>
  <c r="BE596" i="14" s="1"/>
  <c r="BE597" i="14" s="1"/>
  <c r="BE598" i="14" s="1"/>
  <c r="BA667" i="14"/>
  <c r="BA668" i="14" s="1"/>
  <c r="BA669" i="14" s="1"/>
  <c r="BA670" i="14" s="1"/>
  <c r="BE463" i="14"/>
  <c r="BE464" i="14" s="1"/>
  <c r="BE465" i="14" s="1"/>
  <c r="BE466" i="14" s="1"/>
  <c r="BK55" i="14"/>
  <c r="BK56" i="14" s="1"/>
  <c r="BK57" i="14" s="1"/>
  <c r="BK58" i="14" s="1"/>
  <c r="AY595" i="14"/>
  <c r="AY596" i="14" s="1"/>
  <c r="AY597" i="14" s="1"/>
  <c r="AY598" i="14" s="1"/>
  <c r="AU571" i="14"/>
  <c r="AU572" i="14" s="1"/>
  <c r="AU573" i="14" s="1"/>
  <c r="AU574" i="14" s="1"/>
  <c r="AU607" i="14"/>
  <c r="AU608" i="14" s="1"/>
  <c r="AU609" i="14" s="1"/>
  <c r="AU610" i="14" s="1"/>
  <c r="BM79" i="14"/>
  <c r="BM80" i="14" s="1"/>
  <c r="BM81" i="14" s="1"/>
  <c r="BM82" i="14" s="1"/>
  <c r="BM631" i="14"/>
  <c r="BM632" i="14" s="1"/>
  <c r="BM633" i="14" s="1"/>
  <c r="BM634" i="14" s="1"/>
  <c r="AU535" i="14"/>
  <c r="AU536" i="14" s="1"/>
  <c r="AU537" i="14" s="1"/>
  <c r="AU538" i="14" s="1"/>
  <c r="AY307" i="14"/>
  <c r="AY308" i="14" s="1"/>
  <c r="AY309" i="14" s="1"/>
  <c r="AY310" i="14" s="1"/>
  <c r="BI643" i="14"/>
  <c r="BI644" i="14" s="1"/>
  <c r="BI645" i="14" s="1"/>
  <c r="BI646" i="14" s="1"/>
  <c r="BI343" i="14"/>
  <c r="BI344" i="14" s="1"/>
  <c r="BI345" i="14" s="1"/>
  <c r="BI346" i="14" s="1"/>
  <c r="BI547" i="14"/>
  <c r="BI548" i="14" s="1"/>
  <c r="BI549" i="14" s="1"/>
  <c r="BI550" i="14" s="1"/>
  <c r="BA439" i="14"/>
  <c r="BA440" i="14" s="1"/>
  <c r="BA441" i="14" s="1"/>
  <c r="BA442" i="14" s="1"/>
  <c r="BE55" i="14"/>
  <c r="BE56" i="14" s="1"/>
  <c r="BE57" i="14" s="1"/>
  <c r="BE58" i="14" s="1"/>
  <c r="BO571" i="14"/>
  <c r="BO572" i="14" s="1"/>
  <c r="BO573" i="14" s="1"/>
  <c r="BO574" i="14" s="1"/>
  <c r="BM211" i="14"/>
  <c r="BM212" i="14" s="1"/>
  <c r="BM213" i="14" s="1"/>
  <c r="BM214" i="14" s="1"/>
  <c r="BI67" i="14"/>
  <c r="BI68" i="14" s="1"/>
  <c r="BI69" i="14" s="1"/>
  <c r="BI70" i="14" s="1"/>
  <c r="BE547" i="14"/>
  <c r="BE548" i="14" s="1"/>
  <c r="BE549" i="14" s="1"/>
  <c r="BE550" i="14" s="1"/>
  <c r="AY163" i="14"/>
  <c r="AY164" i="14" s="1"/>
  <c r="AY165" i="14" s="1"/>
  <c r="AY166" i="14" s="1"/>
  <c r="BA199" i="14"/>
  <c r="BA200" i="14" s="1"/>
  <c r="BA201" i="14" s="1"/>
  <c r="BA202" i="14" s="1"/>
  <c r="BE139" i="14"/>
  <c r="BE140" i="14" s="1"/>
  <c r="BE141" i="14" s="1"/>
  <c r="BE142" i="14" s="1"/>
  <c r="AY583" i="14"/>
  <c r="AY584" i="14" s="1"/>
  <c r="AY585" i="14" s="1"/>
  <c r="AY586" i="14" s="1"/>
  <c r="BI187" i="14"/>
  <c r="BI188" i="14" s="1"/>
  <c r="BI189" i="14" s="1"/>
  <c r="BI190" i="14" s="1"/>
  <c r="BI307" i="14"/>
  <c r="BI308" i="14" s="1"/>
  <c r="BI309" i="14" s="1"/>
  <c r="BI310" i="14" s="1"/>
  <c r="BQ283" i="14"/>
  <c r="BQ284" i="14" s="1"/>
  <c r="BQ285" i="14" s="1"/>
  <c r="BQ286" i="14" s="1"/>
  <c r="BC439" i="14"/>
  <c r="BC440" i="14" s="1"/>
  <c r="BC441" i="14" s="1"/>
  <c r="BC442" i="14" s="1"/>
  <c r="BE271" i="14"/>
  <c r="BE272" i="14" s="1"/>
  <c r="BE273" i="14" s="1"/>
  <c r="BE274" i="14" s="1"/>
  <c r="BC55" i="14"/>
  <c r="BC56" i="14" s="1"/>
  <c r="BC57" i="14" s="1"/>
  <c r="BC58" i="14" s="1"/>
  <c r="BQ367" i="14"/>
  <c r="BQ368" i="14" s="1"/>
  <c r="BQ369" i="14" s="1"/>
  <c r="BQ370" i="14" s="1"/>
  <c r="BO55" i="14"/>
  <c r="BO56" i="14" s="1"/>
  <c r="BO57" i="14" s="1"/>
  <c r="BO58" i="14" s="1"/>
  <c r="BK379" i="14"/>
  <c r="BK380" i="14" s="1"/>
  <c r="BK381" i="14" s="1"/>
  <c r="BK382" i="14" s="1"/>
  <c r="BI631" i="14"/>
  <c r="BI632" i="14" s="1"/>
  <c r="BI633" i="14" s="1"/>
  <c r="BI634" i="14" s="1"/>
  <c r="BO139" i="14"/>
  <c r="BO140" i="14" s="1"/>
  <c r="BO141" i="14" s="1"/>
  <c r="BO142" i="14" s="1"/>
  <c r="AW403" i="14"/>
  <c r="AW404" i="14" s="1"/>
  <c r="AW405" i="14" s="1"/>
  <c r="AW406" i="14" s="1"/>
  <c r="BI235" i="14"/>
  <c r="BI236" i="14" s="1"/>
  <c r="BI237" i="14" s="1"/>
  <c r="BI238" i="14" s="1"/>
  <c r="BI355" i="14"/>
  <c r="BI356" i="14" s="1"/>
  <c r="BI357" i="14" s="1"/>
  <c r="BI358" i="14" s="1"/>
  <c r="BO295" i="14"/>
  <c r="BO296" i="14" s="1"/>
  <c r="BO297" i="14" s="1"/>
  <c r="BO298" i="14" s="1"/>
  <c r="BA247" i="14"/>
  <c r="BA248" i="14" s="1"/>
  <c r="BA249" i="14" s="1"/>
  <c r="BA250" i="14" s="1"/>
  <c r="BK487" i="14"/>
  <c r="BK488" i="14" s="1"/>
  <c r="BK489" i="14" s="1"/>
  <c r="BK490" i="14" s="1"/>
  <c r="BQ427" i="14"/>
  <c r="BQ428" i="14" s="1"/>
  <c r="BQ429" i="14" s="1"/>
  <c r="BQ430" i="14" s="1"/>
  <c r="AY259" i="14"/>
  <c r="AY260" i="14" s="1"/>
  <c r="AY261" i="14" s="1"/>
  <c r="AY262" i="14" s="1"/>
  <c r="BE415" i="14"/>
  <c r="BE416" i="14" s="1"/>
  <c r="BE417" i="14" s="1"/>
  <c r="BE418" i="14" s="1"/>
  <c r="BC667" i="14"/>
  <c r="BC668" i="14" s="1"/>
  <c r="BC669" i="14" s="1"/>
  <c r="BC670" i="14" s="1"/>
  <c r="AY499" i="14"/>
  <c r="AY500" i="14" s="1"/>
  <c r="AY501" i="14" s="1"/>
  <c r="AY502" i="14" s="1"/>
  <c r="BG283" i="14"/>
  <c r="BG284" i="14" s="1"/>
  <c r="BG285" i="14" s="1"/>
  <c r="BG286" i="14" s="1"/>
  <c r="AY367" i="14"/>
  <c r="AY368" i="14" s="1"/>
  <c r="AY369" i="14" s="1"/>
  <c r="AY370" i="14" s="1"/>
  <c r="BO619" i="14"/>
  <c r="BO620" i="14" s="1"/>
  <c r="BO621" i="14" s="1"/>
  <c r="BO622" i="14" s="1"/>
  <c r="BG679" i="14"/>
  <c r="BG680" i="14" s="1"/>
  <c r="BG681" i="14" s="1"/>
  <c r="BG682" i="14" s="1"/>
  <c r="AU307" i="14"/>
  <c r="AU308" i="14" s="1"/>
  <c r="AU309" i="14" s="1"/>
  <c r="AU310" i="14" s="1"/>
  <c r="AW559" i="14"/>
  <c r="AW560" i="14" s="1"/>
  <c r="AW561" i="14" s="1"/>
  <c r="AW562" i="14" s="1"/>
  <c r="AW259" i="14"/>
  <c r="AW260" i="14" s="1"/>
  <c r="AW261" i="14" s="1"/>
  <c r="AW262" i="14" s="1"/>
  <c r="BM115" i="14"/>
  <c r="BM116" i="14" s="1"/>
  <c r="BM117" i="14" s="1"/>
  <c r="BM118" i="14" s="1"/>
  <c r="BQ55" i="14"/>
  <c r="BQ56" i="14" s="1"/>
  <c r="BQ57" i="14" s="1"/>
  <c r="BQ58" i="14" s="1"/>
  <c r="AW187" i="14"/>
  <c r="AW188" i="14" s="1"/>
  <c r="AW189" i="14" s="1"/>
  <c r="AW190" i="14" s="1"/>
  <c r="BM307" i="14"/>
  <c r="BM308" i="14" s="1"/>
  <c r="BM309" i="14" s="1"/>
  <c r="BM310" i="14" s="1"/>
  <c r="BI439" i="14"/>
  <c r="BI440" i="14" s="1"/>
  <c r="BI441" i="14" s="1"/>
  <c r="BI442" i="14" s="1"/>
  <c r="BQ151" i="14"/>
  <c r="BQ152" i="14" s="1"/>
  <c r="BQ153" i="14" s="1"/>
  <c r="BQ154" i="14" s="1"/>
  <c r="AW499" i="14"/>
  <c r="AW500" i="14" s="1"/>
  <c r="AW501" i="14" s="1"/>
  <c r="AW502" i="14" s="1"/>
  <c r="BG379" i="14"/>
  <c r="BG380" i="14" s="1"/>
  <c r="BG381" i="14" s="1"/>
  <c r="BG382" i="14" s="1"/>
  <c r="BI211" i="14"/>
  <c r="BI212" i="14" s="1"/>
  <c r="BI213" i="14" s="1"/>
  <c r="BI214" i="14" s="1"/>
  <c r="AU379" i="14"/>
  <c r="AU380" i="14" s="1"/>
  <c r="AU381" i="14" s="1"/>
  <c r="AU382" i="14" s="1"/>
  <c r="AU103" i="14"/>
  <c r="AU104" i="14" s="1"/>
  <c r="AU105" i="14" s="1"/>
  <c r="AU106" i="14" s="1"/>
  <c r="BK619" i="14"/>
  <c r="BK620" i="14" s="1"/>
  <c r="BK621" i="14" s="1"/>
  <c r="BK622" i="14" s="1"/>
  <c r="AW667" i="14"/>
  <c r="AW668" i="14" s="1"/>
  <c r="AW669" i="14" s="1"/>
  <c r="AW670" i="14" s="1"/>
  <c r="BO199" i="14"/>
  <c r="BO200" i="14" s="1"/>
  <c r="BO201" i="14" s="1"/>
  <c r="BO202" i="14" s="1"/>
  <c r="BI463" i="14"/>
  <c r="BI464" i="14" s="1"/>
  <c r="BI465" i="14" s="1"/>
  <c r="BI466" i="14" s="1"/>
  <c r="AW571" i="14"/>
  <c r="AW572" i="14" s="1"/>
  <c r="AW573" i="14" s="1"/>
  <c r="AW574" i="14" s="1"/>
  <c r="BO679" i="14"/>
  <c r="BO680" i="14" s="1"/>
  <c r="BO681" i="14" s="1"/>
  <c r="BO682" i="14" s="1"/>
  <c r="BA139" i="14"/>
  <c r="BA140" i="14" s="1"/>
  <c r="BA141" i="14" s="1"/>
  <c r="BA142" i="14" s="1"/>
  <c r="BE175" i="14"/>
  <c r="BE176" i="14" s="1"/>
  <c r="BE177" i="14" s="1"/>
  <c r="BE178" i="14" s="1"/>
  <c r="BK247" i="14"/>
  <c r="BK248" i="14" s="1"/>
  <c r="BK249" i="14" s="1"/>
  <c r="BK250" i="14" s="1"/>
  <c r="BG571" i="14"/>
  <c r="BG572" i="14" s="1"/>
  <c r="BG573" i="14" s="1"/>
  <c r="BG574" i="14" s="1"/>
  <c r="AU259" i="14"/>
  <c r="AU260" i="14" s="1"/>
  <c r="AU261" i="14" s="1"/>
  <c r="AU262" i="14" s="1"/>
  <c r="BQ199" i="14"/>
  <c r="BQ200" i="14" s="1"/>
  <c r="BQ201" i="14" s="1"/>
  <c r="BQ202" i="14" s="1"/>
  <c r="BA355" i="14"/>
  <c r="BA356" i="14" s="1"/>
  <c r="BA357" i="14" s="1"/>
  <c r="BA358" i="14" s="1"/>
  <c r="BI619" i="14"/>
  <c r="BI620" i="14" s="1"/>
  <c r="BI621" i="14" s="1"/>
  <c r="BI622" i="14" s="1"/>
  <c r="BM235" i="14"/>
  <c r="BM236" i="14" s="1"/>
  <c r="BM237" i="14" s="1"/>
  <c r="BM238" i="14" s="1"/>
  <c r="AY427" i="14"/>
  <c r="AY428" i="14" s="1"/>
  <c r="AY429" i="14" s="1"/>
  <c r="AY430" i="14" s="1"/>
  <c r="BE355" i="14"/>
  <c r="BE356" i="14" s="1"/>
  <c r="BE357" i="14" s="1"/>
  <c r="BE358" i="14" s="1"/>
  <c r="AY199" i="14"/>
  <c r="AY200" i="14" s="1"/>
  <c r="AY201" i="14" s="1"/>
  <c r="AY202" i="14" s="1"/>
  <c r="BM427" i="14"/>
  <c r="BM428" i="14" s="1"/>
  <c r="BM429" i="14" s="1"/>
  <c r="BM430" i="14" s="1"/>
  <c r="AY67" i="14"/>
  <c r="AY68" i="14" s="1"/>
  <c r="AY69" i="14" s="1"/>
  <c r="AY70" i="14" s="1"/>
  <c r="BG259" i="14"/>
  <c r="BG260" i="14" s="1"/>
  <c r="BG261" i="14" s="1"/>
  <c r="BG262" i="14" s="1"/>
  <c r="BE283" i="14"/>
  <c r="BE284" i="14" s="1"/>
  <c r="BE285" i="14" s="1"/>
  <c r="BE286" i="14" s="1"/>
  <c r="BA91" i="14"/>
  <c r="BA92" i="14" s="1"/>
  <c r="BA93" i="14" s="1"/>
  <c r="BA94" i="14" s="1"/>
  <c r="BQ583" i="14"/>
  <c r="BQ584" i="14" s="1"/>
  <c r="BQ585" i="14" s="1"/>
  <c r="BQ586" i="14" s="1"/>
  <c r="AU667" i="14"/>
  <c r="AU668" i="14" s="1"/>
  <c r="AU669" i="14" s="1"/>
  <c r="AU670" i="14" s="1"/>
  <c r="AW451" i="14"/>
  <c r="AW452" i="14" s="1"/>
  <c r="AW453" i="14" s="1"/>
  <c r="AW454" i="14" s="1"/>
  <c r="BQ295" i="14"/>
  <c r="BQ296" i="14" s="1"/>
  <c r="BQ297" i="14" s="1"/>
  <c r="BQ298" i="14" s="1"/>
  <c r="BA559" i="14"/>
  <c r="BA560" i="14" s="1"/>
  <c r="BA561" i="14" s="1"/>
  <c r="BA562" i="14" s="1"/>
  <c r="BG307" i="14"/>
  <c r="BG308" i="14" s="1"/>
  <c r="BG309" i="14" s="1"/>
  <c r="BG310" i="14" s="1"/>
  <c r="AY115" i="14"/>
  <c r="AY116" i="14" s="1"/>
  <c r="AY117" i="14" s="1"/>
  <c r="AY118" i="14" s="1"/>
  <c r="AU163" i="14"/>
  <c r="AU164" i="14" s="1"/>
  <c r="AU165" i="14" s="1"/>
  <c r="AU166" i="14" s="1"/>
  <c r="BM331" i="14"/>
  <c r="BM332" i="14" s="1"/>
  <c r="BM333" i="14" s="1"/>
  <c r="BM334" i="14" s="1"/>
  <c r="BI499" i="14"/>
  <c r="BI500" i="14" s="1"/>
  <c r="BI501" i="14" s="1"/>
  <c r="BI502" i="14" s="1"/>
  <c r="BG463" i="14"/>
  <c r="BG464" i="14" s="1"/>
  <c r="BG465" i="14" s="1"/>
  <c r="BG466" i="14" s="1"/>
  <c r="BC259" i="14"/>
  <c r="BC260" i="14" s="1"/>
  <c r="BC261" i="14" s="1"/>
  <c r="BC262" i="14" s="1"/>
  <c r="AY667" i="14"/>
  <c r="AY668" i="14" s="1"/>
  <c r="AY669" i="14" s="1"/>
  <c r="AY670" i="14" s="1"/>
  <c r="BI451" i="14"/>
  <c r="BI452" i="14" s="1"/>
  <c r="BI453" i="14" s="1"/>
  <c r="BI454" i="14" s="1"/>
  <c r="BK331" i="14"/>
  <c r="BK332" i="14" s="1"/>
  <c r="BK333" i="14" s="1"/>
  <c r="BK334" i="14" s="1"/>
  <c r="BA499" i="14"/>
  <c r="BA500" i="14" s="1"/>
  <c r="BA501" i="14" s="1"/>
  <c r="BA502" i="14" s="1"/>
  <c r="AU127" i="14"/>
  <c r="AU128" i="14" s="1"/>
  <c r="AU129" i="14" s="1"/>
  <c r="AU130" i="14" s="1"/>
  <c r="BG595" i="14"/>
  <c r="BG596" i="14" s="1"/>
  <c r="BG597" i="14" s="1"/>
  <c r="BG598" i="14" s="1"/>
  <c r="BK91" i="14"/>
  <c r="BK92" i="14" s="1"/>
  <c r="BK93" i="14" s="1"/>
  <c r="BK94" i="14" s="1"/>
  <c r="BA547" i="14"/>
  <c r="BA548" i="14" s="1"/>
  <c r="BA549" i="14" s="1"/>
  <c r="BA550" i="14" s="1"/>
  <c r="AY571" i="14"/>
  <c r="AY572" i="14" s="1"/>
  <c r="AY573" i="14" s="1"/>
  <c r="AY574" i="14" s="1"/>
  <c r="AU55" i="14"/>
  <c r="AU56" i="14" s="1"/>
  <c r="AU57" i="14" s="1"/>
  <c r="AU58" i="14" s="1"/>
  <c r="BA331" i="14"/>
  <c r="BA332" i="14" s="1"/>
  <c r="BA333" i="14" s="1"/>
  <c r="BA334" i="14" s="1"/>
  <c r="BC115" i="14"/>
  <c r="BC116" i="14" s="1"/>
  <c r="BC117" i="14" s="1"/>
  <c r="BC118" i="14" s="1"/>
  <c r="BA175" i="14"/>
  <c r="BA176" i="14" s="1"/>
  <c r="BA177" i="14" s="1"/>
  <c r="BA178" i="14" s="1"/>
  <c r="AW271" i="14"/>
  <c r="AW272" i="14" s="1"/>
  <c r="AW273" i="14" s="1"/>
  <c r="AW274" i="14" s="1"/>
  <c r="BA475" i="14"/>
  <c r="BA476" i="14" s="1"/>
  <c r="BA477" i="14" s="1"/>
  <c r="BA478" i="14" s="1"/>
  <c r="BM643" i="14"/>
  <c r="BM644" i="14" s="1"/>
  <c r="BM645" i="14" s="1"/>
  <c r="BM646" i="14" s="1"/>
  <c r="BE391" i="14"/>
  <c r="BE392" i="14" s="1"/>
  <c r="BE393" i="14" s="1"/>
  <c r="BE394" i="14" s="1"/>
  <c r="BI487" i="14"/>
  <c r="BI488" i="14" s="1"/>
  <c r="BI489" i="14" s="1"/>
  <c r="BI490" i="14" s="1"/>
  <c r="BC523" i="14"/>
  <c r="BC524" i="14" s="1"/>
  <c r="BC525" i="14" s="1"/>
  <c r="BC526" i="14" s="1"/>
  <c r="BA127" i="14"/>
  <c r="BA128" i="14" s="1"/>
  <c r="BA129" i="14" s="1"/>
  <c r="BA130" i="14" s="1"/>
  <c r="BC475" i="14"/>
  <c r="BC476" i="14" s="1"/>
  <c r="BC477" i="14" s="1"/>
  <c r="BC478" i="14" s="1"/>
  <c r="BI91" i="14"/>
  <c r="BI92" i="14" s="1"/>
  <c r="BI93" i="14" s="1"/>
  <c r="BI94" i="14" s="1"/>
  <c r="BC199" i="14"/>
  <c r="BC200" i="14" s="1"/>
  <c r="BC201" i="14" s="1"/>
  <c r="BC202" i="14" s="1"/>
  <c r="AW679" i="14"/>
  <c r="AW680" i="14" s="1"/>
  <c r="AW681" i="14" s="1"/>
  <c r="AW682" i="14" s="1"/>
  <c r="AY535" i="14"/>
  <c r="AY536" i="14" s="1"/>
  <c r="AY537" i="14" s="1"/>
  <c r="AY538" i="14" s="1"/>
  <c r="BC511" i="14"/>
  <c r="BC512" i="14" s="1"/>
  <c r="BC513" i="14" s="1"/>
  <c r="BC514" i="14" s="1"/>
  <c r="BI559" i="14"/>
  <c r="BI560" i="14" s="1"/>
  <c r="BI561" i="14" s="1"/>
  <c r="BI562" i="14" s="1"/>
  <c r="AU403" i="14"/>
  <c r="AU404" i="14" s="1"/>
  <c r="AU405" i="14" s="1"/>
  <c r="AU406" i="14" s="1"/>
  <c r="BM475" i="14"/>
  <c r="BM476" i="14" s="1"/>
  <c r="BM477" i="14" s="1"/>
  <c r="BM478" i="14" s="1"/>
  <c r="BQ79" i="14"/>
  <c r="BQ80" i="14" s="1"/>
  <c r="BQ81" i="14" s="1"/>
  <c r="BQ82" i="14" s="1"/>
  <c r="BG355" i="14"/>
  <c r="BG356" i="14" s="1"/>
  <c r="BG357" i="14" s="1"/>
  <c r="BG358" i="14" s="1"/>
  <c r="AU679" i="14"/>
  <c r="AU680" i="14" s="1"/>
  <c r="AU681" i="14" s="1"/>
  <c r="AU682" i="14" s="1"/>
  <c r="BG511" i="14"/>
  <c r="BG512" i="14" s="1"/>
  <c r="BG513" i="14" s="1"/>
  <c r="BG514" i="14" s="1"/>
  <c r="BG55" i="14"/>
  <c r="BG56" i="14" s="1"/>
  <c r="BG57" i="14" s="1"/>
  <c r="BG58" i="14" s="1"/>
  <c r="BM223" i="14"/>
  <c r="BM224" i="14" s="1"/>
  <c r="BM225" i="14" s="1"/>
  <c r="BM226" i="14" s="1"/>
  <c r="BQ631" i="14"/>
  <c r="BQ632" i="14" s="1"/>
  <c r="BQ633" i="14" s="1"/>
  <c r="BQ634" i="14" s="1"/>
  <c r="BC139" i="14"/>
  <c r="BC140" i="14" s="1"/>
  <c r="BC141" i="14" s="1"/>
  <c r="BC142" i="14" s="1"/>
  <c r="BE403" i="14"/>
  <c r="BE404" i="14" s="1"/>
  <c r="BE405" i="14" s="1"/>
  <c r="BE406" i="14" s="1"/>
  <c r="BE427" i="14"/>
  <c r="BE428" i="14" s="1"/>
  <c r="BE429" i="14" s="1"/>
  <c r="BE430" i="14" s="1"/>
  <c r="BO91" i="14"/>
  <c r="BO92" i="14" s="1"/>
  <c r="BO93" i="14" s="1"/>
  <c r="BO94" i="14" s="1"/>
  <c r="BM367" i="14"/>
  <c r="BM368" i="14" s="1"/>
  <c r="BM369" i="14" s="1"/>
  <c r="BM370" i="14" s="1"/>
  <c r="BG607" i="14"/>
  <c r="BG608" i="14" s="1"/>
  <c r="BG609" i="14" s="1"/>
  <c r="BG610" i="14" s="1"/>
  <c r="AW439" i="14"/>
  <c r="AW440" i="14" s="1"/>
  <c r="AW441" i="14" s="1"/>
  <c r="AW442" i="14" s="1"/>
  <c r="AU391" i="14"/>
  <c r="AU392" i="14" s="1"/>
  <c r="AU393" i="14" s="1"/>
  <c r="AU394" i="14" s="1"/>
  <c r="BK235" i="14"/>
  <c r="BK236" i="14" s="1"/>
  <c r="BK237" i="14" s="1"/>
  <c r="BK238" i="14" s="1"/>
  <c r="BE127" i="14"/>
  <c r="BE128" i="14" s="1"/>
  <c r="BE129" i="14" s="1"/>
  <c r="BE130" i="14" s="1"/>
  <c r="BK523" i="14"/>
  <c r="BK524" i="14" s="1"/>
  <c r="BK525" i="14" s="1"/>
  <c r="BK526" i="14" s="1"/>
  <c r="BE487" i="14"/>
  <c r="BE488" i="14" s="1"/>
  <c r="BE489" i="14" s="1"/>
  <c r="BE490" i="14" s="1"/>
  <c r="BC163" i="14"/>
  <c r="BC164" i="14" s="1"/>
  <c r="BC165" i="14" s="1"/>
  <c r="BC166" i="14" s="1"/>
  <c r="AU559" i="14"/>
  <c r="AU560" i="14" s="1"/>
  <c r="AU561" i="14" s="1"/>
  <c r="AU562" i="14" s="1"/>
  <c r="AW67" i="14"/>
  <c r="AW68" i="14" s="1"/>
  <c r="AW69" i="14" s="1"/>
  <c r="AW70" i="14" s="1"/>
  <c r="BQ415" i="14"/>
  <c r="BQ416" i="14" s="1"/>
  <c r="BQ417" i="14" s="1"/>
  <c r="BQ418" i="14" s="1"/>
  <c r="BC295" i="14"/>
  <c r="BC296" i="14" s="1"/>
  <c r="BC297" i="14" s="1"/>
  <c r="BC298" i="14" s="1"/>
  <c r="BG667" i="14"/>
  <c r="BG668" i="14" s="1"/>
  <c r="BG669" i="14" s="1"/>
  <c r="BG670" i="14" s="1"/>
  <c r="BQ439" i="14"/>
  <c r="BQ440" i="14" s="1"/>
  <c r="BQ441" i="14" s="1"/>
  <c r="BQ442" i="14" s="1"/>
  <c r="BG319" i="14"/>
  <c r="BG320" i="14" s="1"/>
  <c r="BG321" i="14" s="1"/>
  <c r="BG322" i="14" s="1"/>
  <c r="BA235" i="14"/>
  <c r="BA236" i="14" s="1"/>
  <c r="BA237" i="14" s="1"/>
  <c r="BA238" i="14" s="1"/>
  <c r="AY211" i="14"/>
  <c r="AY212" i="14" s="1"/>
  <c r="AY213" i="14" s="1"/>
  <c r="AY214" i="14" s="1"/>
  <c r="BK643" i="14"/>
  <c r="BK644" i="14" s="1"/>
  <c r="BK645" i="14" s="1"/>
  <c r="BK646" i="14" s="1"/>
  <c r="AY331" i="14"/>
  <c r="AY332" i="14" s="1"/>
  <c r="AY333" i="14" s="1"/>
  <c r="AY334" i="14" s="1"/>
  <c r="AY151" i="14"/>
  <c r="AY152" i="14" s="1"/>
  <c r="AY153" i="14" s="1"/>
  <c r="AY154" i="14" s="1"/>
  <c r="AY91" i="14"/>
  <c r="AY92" i="14" s="1"/>
  <c r="AY93" i="14" s="1"/>
  <c r="AY94" i="14" s="1"/>
  <c r="BM559" i="14"/>
  <c r="BM560" i="14" s="1"/>
  <c r="BM561" i="14" s="1"/>
  <c r="BM562" i="14" s="1"/>
  <c r="BO235" i="14"/>
  <c r="BO236" i="14" s="1"/>
  <c r="BO237" i="14" s="1"/>
  <c r="BO238" i="14" s="1"/>
  <c r="BG655" i="14"/>
  <c r="BG656" i="14" s="1"/>
  <c r="BG657" i="14" s="1"/>
  <c r="BG658" i="14" s="1"/>
  <c r="BM151" i="14"/>
  <c r="BM152" i="14" s="1"/>
  <c r="BM153" i="14" s="1"/>
  <c r="BM154" i="14" s="1"/>
  <c r="AU583" i="14"/>
  <c r="AU584" i="14" s="1"/>
  <c r="AU585" i="14" s="1"/>
  <c r="AU586" i="14" s="1"/>
  <c r="BK103" i="14"/>
  <c r="BK104" i="14" s="1"/>
  <c r="BK105" i="14" s="1"/>
  <c r="BK106" i="14" s="1"/>
  <c r="BE535" i="14"/>
  <c r="BE536" i="14" s="1"/>
  <c r="BE537" i="14" s="1"/>
  <c r="BE538" i="14" s="1"/>
  <c r="BQ115" i="14"/>
  <c r="BQ116" i="14" s="1"/>
  <c r="BQ117" i="14" s="1"/>
  <c r="BQ118" i="14" s="1"/>
  <c r="BM547" i="14"/>
  <c r="BM548" i="14" s="1"/>
  <c r="BM549" i="14" s="1"/>
  <c r="BM550" i="14" s="1"/>
  <c r="BI511" i="14"/>
  <c r="BI512" i="14" s="1"/>
  <c r="BI513" i="14" s="1"/>
  <c r="BI514" i="14" s="1"/>
  <c r="BE103" i="14"/>
  <c r="BE104" i="14" s="1"/>
  <c r="BE105" i="14" s="1"/>
  <c r="BE106" i="14" s="1"/>
  <c r="BQ355" i="14"/>
  <c r="BQ356" i="14" s="1"/>
  <c r="BQ357" i="14" s="1"/>
  <c r="BQ358" i="14" s="1"/>
  <c r="BE247" i="14"/>
  <c r="BE248" i="14" s="1"/>
  <c r="BE249" i="14" s="1"/>
  <c r="BE250" i="14" s="1"/>
  <c r="AW523" i="14"/>
  <c r="AW524" i="14" s="1"/>
  <c r="AW525" i="14" s="1"/>
  <c r="AW526" i="14" s="1"/>
  <c r="AU655" i="14"/>
  <c r="AU656" i="14" s="1"/>
  <c r="AU657" i="14" s="1"/>
  <c r="AU658" i="14" s="1"/>
  <c r="BO115" i="14"/>
  <c r="BO116" i="14" s="1"/>
  <c r="BO117" i="14" s="1"/>
  <c r="BO118" i="14" s="1"/>
  <c r="AW511" i="14"/>
  <c r="AW512" i="14" s="1"/>
  <c r="AW513" i="14" s="1"/>
  <c r="AW514" i="14" s="1"/>
  <c r="BC247" i="14"/>
  <c r="BC248" i="14" s="1"/>
  <c r="BC249" i="14" s="1"/>
  <c r="BC250" i="14" s="1"/>
  <c r="BO631" i="14"/>
  <c r="BO632" i="14" s="1"/>
  <c r="BO633" i="14" s="1"/>
  <c r="BO634" i="14" s="1"/>
  <c r="BK307" i="14"/>
  <c r="BK308" i="14" s="1"/>
  <c r="BK309" i="14" s="1"/>
  <c r="BK310" i="14" s="1"/>
  <c r="BK583" i="14"/>
  <c r="BK584" i="14" s="1"/>
  <c r="BK585" i="14" s="1"/>
  <c r="BK586" i="14" s="1"/>
  <c r="BO427" i="14"/>
  <c r="BO428" i="14" s="1"/>
  <c r="BO429" i="14" s="1"/>
  <c r="BO430" i="14" s="1"/>
  <c r="BA367" i="14"/>
  <c r="BA368" i="14" s="1"/>
  <c r="BA369" i="14" s="1"/>
  <c r="BA370" i="14" s="1"/>
  <c r="BO187" i="14"/>
  <c r="BO188" i="14" s="1"/>
  <c r="BO189" i="14" s="1"/>
  <c r="BO190" i="14" s="1"/>
  <c r="BE379" i="14"/>
  <c r="BE380" i="14" s="1"/>
  <c r="BE381" i="14" s="1"/>
  <c r="BE382" i="14" s="1"/>
  <c r="BA595" i="14"/>
  <c r="BA596" i="14" s="1"/>
  <c r="BA597" i="14" s="1"/>
  <c r="BA598" i="14" s="1"/>
  <c r="BA295" i="14"/>
  <c r="BA296" i="14" s="1"/>
  <c r="BA297" i="14" s="1"/>
  <c r="BA298" i="14" s="1"/>
  <c r="BO643" i="14"/>
  <c r="BO644" i="14" s="1"/>
  <c r="BO645" i="14" s="1"/>
  <c r="BO646" i="14" s="1"/>
  <c r="BQ403" i="14"/>
  <c r="BQ404" i="14" s="1"/>
  <c r="BQ405" i="14" s="1"/>
  <c r="BQ406" i="14" s="1"/>
  <c r="AW367" i="14"/>
  <c r="AW368" i="14" s="1"/>
  <c r="AW369" i="14" s="1"/>
  <c r="AW370" i="14" s="1"/>
  <c r="BQ619" i="14"/>
  <c r="BQ620" i="14" s="1"/>
  <c r="BQ621" i="14" s="1"/>
  <c r="BQ622" i="14" s="1"/>
  <c r="BQ679" i="14"/>
  <c r="BQ680" i="14" s="1"/>
  <c r="BQ681" i="14" s="1"/>
  <c r="BQ682" i="14" s="1"/>
  <c r="BC451" i="14"/>
  <c r="BC452" i="14" s="1"/>
  <c r="BC453" i="14" s="1"/>
  <c r="BC454" i="14" s="1"/>
  <c r="BM439" i="14"/>
  <c r="BM440" i="14" s="1"/>
  <c r="BM441" i="14" s="1"/>
  <c r="BM442" i="14" s="1"/>
  <c r="BM415" i="14"/>
  <c r="BM416" i="14" s="1"/>
  <c r="BM417" i="14" s="1"/>
  <c r="BM418" i="14" s="1"/>
  <c r="BG175" i="14"/>
  <c r="BG176" i="14" s="1"/>
  <c r="BG177" i="14" s="1"/>
  <c r="BG178" i="14" s="1"/>
  <c r="BQ463" i="14"/>
  <c r="BQ464" i="14" s="1"/>
  <c r="BQ465" i="14" s="1"/>
  <c r="BQ466" i="14" s="1"/>
  <c r="BG139" i="14"/>
  <c r="BG140" i="14" s="1"/>
  <c r="BG141" i="14" s="1"/>
  <c r="BG142" i="14" s="1"/>
  <c r="BC355" i="14"/>
  <c r="BC356" i="14" s="1"/>
  <c r="BC357" i="14" s="1"/>
  <c r="BC358" i="14" s="1"/>
  <c r="BC547" i="14"/>
  <c r="BC548" i="14" s="1"/>
  <c r="BC549" i="14" s="1"/>
  <c r="BC550" i="14" s="1"/>
  <c r="AY451" i="14"/>
  <c r="AY452" i="14" s="1"/>
  <c r="AY453" i="14" s="1"/>
  <c r="AY454" i="14" s="1"/>
  <c r="AW379" i="14"/>
  <c r="AW380" i="14" s="1"/>
  <c r="AW381" i="14" s="1"/>
  <c r="AW382" i="14" s="1"/>
  <c r="AU115" i="14"/>
  <c r="AU116" i="14" s="1"/>
  <c r="AU117" i="14" s="1"/>
  <c r="AU118" i="14" s="1"/>
  <c r="BI679" i="14"/>
  <c r="BI680" i="14" s="1"/>
  <c r="BI681" i="14" s="1"/>
  <c r="BI682" i="14" s="1"/>
  <c r="BC391" i="14"/>
  <c r="BC392" i="14" s="1"/>
  <c r="BC393" i="14" s="1"/>
  <c r="BC394" i="14" s="1"/>
  <c r="BA223" i="14"/>
  <c r="BA224" i="14" s="1"/>
  <c r="BA225" i="14" s="1"/>
  <c r="BA226" i="14" s="1"/>
  <c r="BE631" i="14"/>
  <c r="BE632" i="14" s="1"/>
  <c r="BE633" i="14" s="1"/>
  <c r="BE634" i="14" s="1"/>
  <c r="BM511" i="14"/>
  <c r="BM512" i="14" s="1"/>
  <c r="BM513" i="14" s="1"/>
  <c r="BM514" i="14" s="1"/>
  <c r="AY487" i="14"/>
  <c r="AY488" i="14" s="1"/>
  <c r="AY489" i="14" s="1"/>
  <c r="AY490" i="14" s="1"/>
  <c r="AW127" i="14"/>
  <c r="AW128" i="14" s="1"/>
  <c r="AW129" i="14" s="1"/>
  <c r="AW130" i="14" s="1"/>
  <c r="BC79" i="14"/>
  <c r="BC80" i="14" s="1"/>
  <c r="BC81" i="14" s="1"/>
  <c r="BC82" i="14" s="1"/>
  <c r="BQ391" i="14"/>
  <c r="BQ392" i="14" s="1"/>
  <c r="BQ393" i="14" s="1"/>
  <c r="BQ394" i="14" s="1"/>
  <c r="BK367" i="14"/>
  <c r="BK368" i="14" s="1"/>
  <c r="BK369" i="14" s="1"/>
  <c r="BK370" i="14" s="1"/>
  <c r="BI79" i="14"/>
  <c r="BI80" i="14" s="1"/>
  <c r="BI81" i="14" s="1"/>
  <c r="BI82" i="14" s="1"/>
  <c r="BO103" i="14"/>
  <c r="BO104" i="14" s="1"/>
  <c r="BO105" i="14" s="1"/>
  <c r="BO106" i="14" s="1"/>
  <c r="BO559" i="14"/>
  <c r="BO560" i="14" s="1"/>
  <c r="BO561" i="14" s="1"/>
  <c r="BO562" i="14" s="1"/>
  <c r="AY187" i="14"/>
  <c r="AY188" i="14" s="1"/>
  <c r="AY189" i="14" s="1"/>
  <c r="AY190" i="14" s="1"/>
  <c r="BC307" i="14"/>
  <c r="BC308" i="14" s="1"/>
  <c r="BC309" i="14" s="1"/>
  <c r="BC310" i="14" s="1"/>
  <c r="BC571" i="14"/>
  <c r="BC572" i="14" s="1"/>
  <c r="BC573" i="14" s="1"/>
  <c r="BC574" i="14" s="1"/>
  <c r="AY343" i="14"/>
  <c r="AY344" i="14" s="1"/>
  <c r="AY345" i="14" s="1"/>
  <c r="AY346" i="14" s="1"/>
  <c r="BC235" i="14"/>
  <c r="BC236" i="14" s="1"/>
  <c r="BC237" i="14" s="1"/>
  <c r="BC238" i="14" s="1"/>
  <c r="BO367" i="14"/>
  <c r="BO368" i="14" s="1"/>
  <c r="BO369" i="14" s="1"/>
  <c r="BO370" i="14" s="1"/>
  <c r="AU67" i="14"/>
  <c r="AU68" i="14" s="1"/>
  <c r="AU69" i="14" s="1"/>
  <c r="AU70" i="14" s="1"/>
  <c r="BC319" i="14"/>
  <c r="BC320" i="14" s="1"/>
  <c r="BC321" i="14" s="1"/>
  <c r="BC322" i="14" s="1"/>
  <c r="BA403" i="14"/>
  <c r="BA404" i="14" s="1"/>
  <c r="BA405" i="14" s="1"/>
  <c r="BA406" i="14" s="1"/>
  <c r="BE211" i="14"/>
  <c r="BE212" i="14" s="1"/>
  <c r="BE213" i="14" s="1"/>
  <c r="BE214" i="14" s="1"/>
  <c r="BQ595" i="14"/>
  <c r="BQ596" i="14" s="1"/>
  <c r="BQ597" i="14" s="1"/>
  <c r="BQ598" i="14" s="1"/>
  <c r="AY391" i="14"/>
  <c r="AY392" i="14" s="1"/>
  <c r="AY393" i="14" s="1"/>
  <c r="AY394" i="14" s="1"/>
  <c r="BK475" i="14"/>
  <c r="BK476" i="14" s="1"/>
  <c r="BK477" i="14" s="1"/>
  <c r="BK478" i="14" s="1"/>
  <c r="BI283" i="14"/>
  <c r="BI284" i="14" s="1"/>
  <c r="BI285" i="14" s="1"/>
  <c r="BI286" i="14" s="1"/>
  <c r="BA451" i="14"/>
  <c r="BA452" i="14" s="1"/>
  <c r="BA453" i="14" s="1"/>
  <c r="BA454" i="14" s="1"/>
  <c r="BM607" i="14"/>
  <c r="BM608" i="14" s="1"/>
  <c r="BM609" i="14" s="1"/>
  <c r="BM610" i="14" s="1"/>
  <c r="BI523" i="14"/>
  <c r="BI524" i="14" s="1"/>
  <c r="BI525" i="14" s="1"/>
  <c r="BI526" i="14" s="1"/>
  <c r="BA535" i="14"/>
  <c r="BA536" i="14" s="1"/>
  <c r="BA537" i="14" s="1"/>
  <c r="BA538" i="14" s="1"/>
  <c r="BK655" i="14"/>
  <c r="BK656" i="14" s="1"/>
  <c r="BK657" i="14" s="1"/>
  <c r="BK658" i="14" s="1"/>
  <c r="AW487" i="14"/>
  <c r="AW488" i="14" s="1"/>
  <c r="AW489" i="14" s="1"/>
  <c r="AW490" i="14" s="1"/>
  <c r="BG475" i="14"/>
  <c r="BG476" i="14" s="1"/>
  <c r="BG477" i="14" s="1"/>
  <c r="BG478" i="14" s="1"/>
  <c r="BA679" i="14"/>
  <c r="BA680" i="14" s="1"/>
  <c r="BA681" i="14" s="1"/>
  <c r="BA682" i="14" s="1"/>
  <c r="BO451" i="14"/>
  <c r="BO452" i="14" s="1"/>
  <c r="BO453" i="14" s="1"/>
  <c r="BO454" i="14" s="1"/>
  <c r="AW535" i="14"/>
  <c r="AW536" i="14" s="1"/>
  <c r="AW537" i="14" s="1"/>
  <c r="AW538" i="14" s="1"/>
  <c r="BM583" i="14"/>
  <c r="BM584" i="14" s="1"/>
  <c r="BM585" i="14" s="1"/>
  <c r="BM586" i="14" s="1"/>
  <c r="BQ139" i="14"/>
  <c r="BQ140" i="14" s="1"/>
  <c r="BQ141" i="14" s="1"/>
  <c r="BQ142" i="14" s="1"/>
  <c r="BQ319" i="14"/>
  <c r="BQ320" i="14" s="1"/>
  <c r="BQ321" i="14" s="1"/>
  <c r="BQ322" i="14" s="1"/>
  <c r="BO595" i="14"/>
  <c r="BO596" i="14" s="1"/>
  <c r="BO597" i="14" s="1"/>
  <c r="BO598" i="14" s="1"/>
  <c r="BI583" i="14"/>
  <c r="BI584" i="14" s="1"/>
  <c r="BI585" i="14" s="1"/>
  <c r="BI586" i="14" s="1"/>
  <c r="BC463" i="14"/>
  <c r="BC464" i="14" s="1"/>
  <c r="BC465" i="14" s="1"/>
  <c r="BC466" i="14" s="1"/>
  <c r="AW355" i="14"/>
  <c r="AW356" i="14" s="1"/>
  <c r="AW357" i="14" s="1"/>
  <c r="AW358" i="14" s="1"/>
  <c r="AW607" i="14"/>
  <c r="AW608" i="14" s="1"/>
  <c r="AW609" i="14" s="1"/>
  <c r="AW610" i="14" s="1"/>
  <c r="BM391" i="14"/>
  <c r="BM392" i="14" s="1"/>
  <c r="BM393" i="14" s="1"/>
  <c r="BM394" i="14" s="1"/>
  <c r="BI199" i="14"/>
  <c r="BI200" i="14" s="1"/>
  <c r="BI201" i="14" s="1"/>
  <c r="BI202" i="14" s="1"/>
  <c r="BO67" i="14"/>
  <c r="BO68" i="14" s="1"/>
  <c r="BO69" i="14" s="1"/>
  <c r="BO70" i="14" s="1"/>
  <c r="BA391" i="14"/>
  <c r="BA392" i="14" s="1"/>
  <c r="BA393" i="14" s="1"/>
  <c r="BA394" i="14" s="1"/>
  <c r="BE151" i="14"/>
  <c r="BE152" i="14" s="1"/>
  <c r="BE153" i="14" s="1"/>
  <c r="BE154" i="14" s="1"/>
  <c r="BA163" i="14"/>
  <c r="BA164" i="14" s="1"/>
  <c r="BA165" i="14" s="1"/>
  <c r="BA166" i="14" s="1"/>
  <c r="AU523" i="14"/>
  <c r="AU524" i="14" s="1"/>
  <c r="AU525" i="14" s="1"/>
  <c r="AU526" i="14" s="1"/>
  <c r="BM403" i="14"/>
  <c r="BM404" i="14" s="1"/>
  <c r="BM405" i="14" s="1"/>
  <c r="BM406" i="14" s="1"/>
  <c r="BO415" i="14"/>
  <c r="BO416" i="14" s="1"/>
  <c r="BO417" i="14" s="1"/>
  <c r="BO418" i="14" s="1"/>
  <c r="AU463" i="14"/>
  <c r="AU464" i="14" s="1"/>
  <c r="AU465" i="14" s="1"/>
  <c r="AU466" i="14" s="1"/>
  <c r="BK607" i="14"/>
  <c r="BK608" i="14" s="1"/>
  <c r="BK609" i="14" s="1"/>
  <c r="BK610" i="14" s="1"/>
  <c r="BC655" i="14"/>
  <c r="BC656" i="14" s="1"/>
  <c r="BC657" i="14" s="1"/>
  <c r="BC658" i="14" s="1"/>
  <c r="AW427" i="14"/>
  <c r="AW428" i="14" s="1"/>
  <c r="AW429" i="14" s="1"/>
  <c r="AW430" i="14" s="1"/>
  <c r="BI271" i="14"/>
  <c r="BI272" i="14" s="1"/>
  <c r="BI273" i="14" s="1"/>
  <c r="BI274" i="14" s="1"/>
  <c r="BK199" i="14"/>
  <c r="BK200" i="14" s="1"/>
  <c r="BK201" i="14" s="1"/>
  <c r="BK202" i="14" s="1"/>
  <c r="BQ535" i="14"/>
  <c r="BQ536" i="14" s="1"/>
  <c r="BQ537" i="14" s="1"/>
  <c r="BQ538" i="14" s="1"/>
  <c r="AJ55" i="43"/>
  <c r="E54" i="43" s="1"/>
  <c r="BT89" i="14"/>
  <c r="BS89" i="14"/>
  <c r="BS56" i="14"/>
  <c r="BT56" i="14"/>
  <c r="BT58" i="14"/>
  <c r="BS58" i="14"/>
  <c r="BT65" i="14"/>
  <c r="BT73" i="14"/>
  <c r="BS73" i="14"/>
  <c r="AZ450" i="14"/>
  <c r="BH90" i="14"/>
  <c r="AV66" i="14"/>
  <c r="BP678" i="14"/>
  <c r="BH474" i="14"/>
  <c r="BD462" i="14"/>
  <c r="AV378" i="14"/>
  <c r="BH210" i="14"/>
  <c r="BD438" i="14"/>
  <c r="BD54" i="14"/>
  <c r="BF270" i="14"/>
  <c r="BP186" i="14"/>
  <c r="BN438" i="14"/>
  <c r="BL306" i="14"/>
  <c r="BB138" i="14"/>
  <c r="BD414" i="14"/>
  <c r="BB546" i="14"/>
  <c r="BN510" i="14"/>
  <c r="BD294" i="14"/>
  <c r="BH606" i="14"/>
  <c r="BN234" i="14"/>
  <c r="AZ162" i="14"/>
  <c r="AX306" i="14"/>
  <c r="BN390" i="14"/>
  <c r="BR150" i="14"/>
  <c r="BR354" i="14"/>
  <c r="AZ570" i="14"/>
  <c r="BD474" i="14"/>
  <c r="AZ66" i="14"/>
  <c r="AV618" i="14"/>
  <c r="BB246" i="14"/>
  <c r="AV570" i="14"/>
  <c r="BJ354" i="14"/>
  <c r="BJ678" i="14"/>
  <c r="BF138" i="14"/>
  <c r="BF546" i="14"/>
  <c r="BB126" i="14"/>
  <c r="BJ618" i="14"/>
  <c r="AZ330" i="14"/>
  <c r="AZ366" i="14"/>
  <c r="BP642" i="14"/>
  <c r="BN414" i="14"/>
  <c r="AZ666" i="14"/>
  <c r="AV114" i="14"/>
  <c r="BB678" i="14"/>
  <c r="BR414" i="14"/>
  <c r="BR294" i="14"/>
  <c r="BB666" i="14"/>
  <c r="BN546" i="14"/>
  <c r="BF246" i="14"/>
  <c r="BL474" i="14"/>
  <c r="AX510" i="14"/>
  <c r="BR390" i="14"/>
  <c r="BD510" i="14"/>
  <c r="AV258" i="14"/>
  <c r="AZ414" i="14"/>
  <c r="BN306" i="14"/>
  <c r="AX402" i="14"/>
  <c r="BB90" i="14"/>
  <c r="BL522" i="14"/>
  <c r="BL438" i="14"/>
  <c r="BP90" i="14"/>
  <c r="BH510" i="14"/>
  <c r="BP198" i="14"/>
  <c r="BR366" i="14"/>
  <c r="BN114" i="14"/>
  <c r="AX498" i="14"/>
  <c r="BF594" i="14"/>
  <c r="BR618" i="14"/>
  <c r="BN558" i="14"/>
  <c r="BD570" i="14"/>
  <c r="BF174" i="14"/>
  <c r="BR426" i="14"/>
  <c r="BD246" i="14"/>
  <c r="BD666" i="14"/>
  <c r="AV606" i="14"/>
  <c r="BR462" i="14"/>
  <c r="BJ78" i="14"/>
  <c r="BD654" i="14"/>
  <c r="BJ450" i="14"/>
  <c r="BF462" i="14"/>
  <c r="BL378" i="14"/>
  <c r="BD390" i="14"/>
  <c r="AV102" i="14"/>
  <c r="BN474" i="14"/>
  <c r="BL426" i="14"/>
  <c r="BD258" i="14"/>
  <c r="BD546" i="14"/>
  <c r="AZ150" i="14"/>
  <c r="BR282" i="14"/>
  <c r="BR438" i="14"/>
  <c r="BP426" i="14"/>
  <c r="BJ198" i="14"/>
  <c r="BB78" i="14"/>
  <c r="BJ522" i="14"/>
  <c r="AX186" i="14"/>
  <c r="AX678" i="14"/>
  <c r="BL414" i="14"/>
  <c r="BF54" i="14"/>
  <c r="BH54" i="14"/>
  <c r="BP414" i="14"/>
  <c r="AV162" i="14"/>
  <c r="BH138" i="14"/>
  <c r="BJ270" i="14"/>
  <c r="BH282" i="14"/>
  <c r="AV630" i="14"/>
  <c r="AV390" i="14"/>
  <c r="BL618" i="14"/>
  <c r="AZ210" i="14"/>
  <c r="BL90" i="14"/>
  <c r="AX534" i="14"/>
  <c r="BL54" i="14"/>
  <c r="AX438" i="14"/>
  <c r="BF402" i="14"/>
  <c r="BP294" i="14"/>
  <c r="BB222" i="14"/>
  <c r="BJ90" i="14"/>
  <c r="BF378" i="14"/>
  <c r="BF390" i="14"/>
  <c r="BP114" i="14"/>
  <c r="AZ498" i="14"/>
  <c r="AZ390" i="14"/>
  <c r="BH354" i="14"/>
  <c r="BP54" i="14"/>
  <c r="AZ174" i="14"/>
  <c r="BN402" i="14"/>
  <c r="BP366" i="14"/>
  <c r="BP234" i="14"/>
  <c r="AX666" i="14"/>
  <c r="BN78" i="14"/>
  <c r="AZ186" i="14"/>
  <c r="AV666" i="14"/>
  <c r="BL486" i="14"/>
  <c r="BH462" i="14"/>
  <c r="AX270" i="14"/>
  <c r="BF486" i="14"/>
  <c r="BR318" i="14"/>
  <c r="BD138" i="14"/>
  <c r="BJ498" i="14"/>
  <c r="BD114" i="14"/>
  <c r="BJ486" i="14"/>
  <c r="AZ594" i="14"/>
  <c r="AX366" i="14"/>
  <c r="BB606" i="14"/>
  <c r="BJ582" i="14"/>
  <c r="BR42" i="14"/>
  <c r="AV534" i="14"/>
  <c r="AV678" i="14"/>
  <c r="AX606" i="14"/>
  <c r="AZ342" i="14"/>
  <c r="BN426" i="14"/>
  <c r="BR234" i="14"/>
  <c r="BH306" i="14"/>
  <c r="BR678" i="14"/>
  <c r="BD318" i="14"/>
  <c r="AV402" i="14"/>
  <c r="BB594" i="14"/>
  <c r="BJ306" i="14"/>
  <c r="BP102" i="14"/>
  <c r="BB438" i="14"/>
  <c r="AX486" i="14"/>
  <c r="BN150" i="14"/>
  <c r="AX258" i="14"/>
  <c r="AZ426" i="14"/>
  <c r="AX354" i="14"/>
  <c r="BB366" i="14"/>
  <c r="BB402" i="14"/>
  <c r="BJ642" i="14"/>
  <c r="AV198" i="14"/>
  <c r="BN642" i="14"/>
  <c r="AX294" i="14"/>
  <c r="BB162" i="14"/>
  <c r="BJ378" i="14"/>
  <c r="AV522" i="14"/>
  <c r="BJ462" i="14"/>
  <c r="BJ438" i="14"/>
  <c r="BN366" i="14"/>
  <c r="BP630" i="14"/>
  <c r="BN582" i="14"/>
  <c r="AX378" i="14"/>
  <c r="AV474" i="14"/>
  <c r="BJ630" i="14"/>
  <c r="AX426" i="14"/>
  <c r="BR402" i="14"/>
  <c r="BR78" i="14"/>
  <c r="BL246" i="14"/>
  <c r="AV306" i="14"/>
  <c r="BL366" i="14"/>
  <c r="AZ258" i="14"/>
  <c r="BJ66" i="14"/>
  <c r="BR594" i="14"/>
  <c r="BJ606" i="14"/>
  <c r="AZ486" i="14"/>
  <c r="AX450" i="14"/>
  <c r="BB534" i="14"/>
  <c r="BP66" i="14"/>
  <c r="AZ114" i="14"/>
  <c r="BF126" i="14"/>
  <c r="BJ558" i="14"/>
  <c r="BH666" i="14"/>
  <c r="BH258" i="14"/>
  <c r="BR54" i="14"/>
  <c r="BB462" i="14"/>
  <c r="BN630" i="14"/>
  <c r="BL198" i="14"/>
  <c r="BJ546" i="14"/>
  <c r="BF78" i="14"/>
  <c r="BL606" i="14"/>
  <c r="BD354" i="14"/>
  <c r="AZ90" i="14"/>
  <c r="BF282" i="14"/>
  <c r="BR198" i="14"/>
  <c r="BH318" i="14"/>
  <c r="BB294" i="14"/>
  <c r="BF426" i="14"/>
  <c r="BP570" i="14"/>
  <c r="BN210" i="14"/>
  <c r="AV462" i="14"/>
  <c r="BL582" i="14"/>
  <c r="BJ510" i="14"/>
  <c r="BL150" i="14"/>
  <c r="BP594" i="14"/>
  <c r="AZ606" i="14"/>
  <c r="BH174" i="14"/>
  <c r="BF414" i="14"/>
  <c r="AV54" i="14"/>
  <c r="AX126" i="14"/>
  <c r="BJ210" i="14"/>
  <c r="BR114" i="14"/>
  <c r="BB234" i="14"/>
  <c r="BB174" i="14"/>
  <c r="BR138" i="14"/>
  <c r="AV654" i="14"/>
  <c r="BB342" i="14"/>
  <c r="BP558" i="14"/>
  <c r="AX66" i="14"/>
  <c r="BL102" i="14"/>
  <c r="AZ198" i="14"/>
  <c r="BB474" i="14"/>
  <c r="AX594" i="14"/>
  <c r="BL330" i="14"/>
  <c r="BP450" i="14"/>
  <c r="BN606" i="14"/>
  <c r="BH678" i="14"/>
  <c r="BD522" i="14"/>
  <c r="BB390" i="14"/>
  <c r="BL234" i="14"/>
  <c r="AZ582" i="14"/>
  <c r="BN330" i="14"/>
  <c r="BF450" i="14"/>
  <c r="BR378" i="14"/>
  <c r="BJ342" i="14"/>
  <c r="BB498" i="14"/>
  <c r="BD78" i="14"/>
  <c r="BH654" i="14"/>
  <c r="BB558" i="14"/>
  <c r="AX558" i="14"/>
  <c r="BR534" i="14"/>
  <c r="BF354" i="14"/>
  <c r="AZ306" i="14"/>
  <c r="BJ186" i="14"/>
  <c r="BR630" i="14"/>
  <c r="BN222" i="14"/>
  <c r="BJ282" i="14"/>
  <c r="BD306" i="14"/>
  <c r="AX522" i="14"/>
  <c r="BB354" i="14"/>
  <c r="BF150" i="14"/>
  <c r="BP138" i="14"/>
  <c r="BD234" i="14"/>
  <c r="BR582" i="14"/>
  <c r="BF534" i="14"/>
  <c r="BD162" i="14"/>
  <c r="BF102" i="14"/>
  <c r="BF630" i="14"/>
  <c r="BL654" i="14"/>
  <c r="BH378" i="14"/>
  <c r="BP486" i="14"/>
  <c r="AV126" i="14"/>
  <c r="BP618" i="14"/>
  <c r="BP330" i="14"/>
  <c r="AV558" i="14"/>
  <c r="AZ534" i="14"/>
  <c r="BF210" i="14"/>
  <c r="BL642" i="14"/>
  <c r="BB450" i="14"/>
  <c r="BD450" i="14"/>
  <c r="BJ234" i="14"/>
  <c r="BD198" i="14"/>
  <c r="BH594" i="14"/>
  <c r="BB330" i="14"/>
  <c r="BH570" i="14"/>
  <c r="BB198" i="14"/>
  <c r="AX570" i="14"/>
  <c r="AV582" i="14"/>
  <c r="AJ56" i="43" l="1"/>
  <c r="E55" i="43" s="1"/>
  <c r="AE11" i="43"/>
  <c r="AN11" i="43" s="1"/>
  <c r="AD11" i="43" a="1"/>
  <c r="BS65" i="14" l="1"/>
  <c r="AJ57" i="43"/>
  <c r="E56" i="43" s="1"/>
  <c r="AD11" i="43"/>
  <c r="AJ58" i="43" l="1"/>
  <c r="E57" i="43" s="1"/>
  <c r="AJ59" i="43" l="1"/>
  <c r="E58" i="43" s="1"/>
  <c r="BS53" i="14"/>
  <c r="BT53" i="14"/>
  <c r="AJ60" i="43" l="1"/>
  <c r="E59" i="43" s="1"/>
  <c r="AJ61" i="43" l="1"/>
  <c r="E60" i="43" s="1"/>
  <c r="BS45" i="14"/>
  <c r="AJ62" i="43" l="1"/>
  <c r="E61" i="43" s="1"/>
  <c r="AJ63" i="43" l="1"/>
  <c r="E62" i="43" s="1"/>
  <c r="AJ64" i="43" l="1"/>
  <c r="E63" i="43" s="1"/>
  <c r="BT179" i="14"/>
  <c r="AE12" i="43"/>
  <c r="AD12" i="43" a="1"/>
  <c r="AJ65" i="43" l="1"/>
  <c r="E64" i="43" s="1"/>
  <c r="AD12" i="43"/>
  <c r="AM11" i="43" s="1"/>
  <c r="BI11" i="43" s="1"/>
  <c r="C10" i="43" l="1"/>
  <c r="AJ66" i="43"/>
  <c r="E65" i="43" s="1"/>
  <c r="BS272" i="14"/>
  <c r="BT272" i="14"/>
  <c r="BS254" i="14"/>
  <c r="BT254" i="14"/>
  <c r="BT162" i="14"/>
  <c r="BS162" i="14"/>
  <c r="BS314" i="14"/>
  <c r="BT314" i="14"/>
  <c r="BS308" i="14"/>
  <c r="BT308" i="14"/>
  <c r="BS296" i="14"/>
  <c r="BT296" i="14"/>
  <c r="BS356" i="14"/>
  <c r="BT356" i="14"/>
  <c r="BS192" i="14"/>
  <c r="BT192" i="14"/>
  <c r="BS344" i="14"/>
  <c r="BT344" i="14"/>
  <c r="BS174" i="14"/>
  <c r="BT174" i="14"/>
  <c r="BT210" i="14"/>
  <c r="BS210" i="14"/>
  <c r="BT180" i="14"/>
  <c r="BS180" i="14"/>
  <c r="BT236" i="14"/>
  <c r="BS236" i="14"/>
  <c r="BS284" i="14"/>
  <c r="BT284" i="14"/>
  <c r="BS326" i="14"/>
  <c r="BT326" i="14"/>
  <c r="AN41" i="43"/>
  <c r="D40" i="43" s="1"/>
  <c r="AN97" i="43"/>
  <c r="D96" i="43" s="1"/>
  <c r="AN80" i="43"/>
  <c r="D79" i="43" s="1"/>
  <c r="AN71" i="43"/>
  <c r="D70" i="43" s="1"/>
  <c r="AN93" i="43"/>
  <c r="D92" i="43" s="1"/>
  <c r="AN47" i="43"/>
  <c r="D46" i="43" s="1"/>
  <c r="AM77" i="43"/>
  <c r="C76" i="43" s="1"/>
  <c r="F76" i="43" s="1"/>
  <c r="AM23" i="43"/>
  <c r="AN16" i="43"/>
  <c r="D15" i="43" s="1"/>
  <c r="AM36" i="43"/>
  <c r="C35" i="43" s="1"/>
  <c r="AN42" i="43"/>
  <c r="D41" i="43" s="1"/>
  <c r="AM76" i="43"/>
  <c r="C75" i="43" s="1"/>
  <c r="F75" i="43" s="1"/>
  <c r="AN94" i="43"/>
  <c r="D93" i="43" s="1"/>
  <c r="AM87" i="43"/>
  <c r="C86" i="43" s="1"/>
  <c r="F86" i="43" s="1"/>
  <c r="AN49" i="43"/>
  <c r="D48" i="43" s="1"/>
  <c r="AN48" i="43"/>
  <c r="D47" i="43" s="1"/>
  <c r="AN32" i="43"/>
  <c r="D31" i="43" s="1"/>
  <c r="AM46" i="43"/>
  <c r="C45" i="43" s="1"/>
  <c r="AM67" i="43"/>
  <c r="C66" i="43" s="1"/>
  <c r="F66" i="43" s="1"/>
  <c r="AM78" i="43"/>
  <c r="C77" i="43" s="1"/>
  <c r="F77" i="43" s="1"/>
  <c r="AN24" i="43"/>
  <c r="D23" i="43" s="1"/>
  <c r="AN51" i="43"/>
  <c r="D50" i="43" s="1"/>
  <c r="AM14" i="43"/>
  <c r="BI14" i="43" s="1"/>
  <c r="AM41" i="43"/>
  <c r="C40" i="43" s="1"/>
  <c r="AM47" i="43"/>
  <c r="C46" i="43" s="1"/>
  <c r="AM89" i="43"/>
  <c r="C88" i="43" s="1"/>
  <c r="F88" i="43" s="1"/>
  <c r="AN95" i="43"/>
  <c r="D94" i="43" s="1"/>
  <c r="AN57" i="43"/>
  <c r="D56" i="43" s="1"/>
  <c r="AM80" i="43"/>
  <c r="C79" i="43" s="1"/>
  <c r="F79" i="43" s="1"/>
  <c r="AN54" i="43"/>
  <c r="D53" i="43" s="1"/>
  <c r="AM94" i="43"/>
  <c r="C93" i="43" s="1"/>
  <c r="F93" i="43" s="1"/>
  <c r="AN27" i="43"/>
  <c r="D26" i="43" s="1"/>
  <c r="AM72" i="43"/>
  <c r="C71" i="43" s="1"/>
  <c r="F71" i="43" s="1"/>
  <c r="AM50" i="43"/>
  <c r="C49" i="43" s="1"/>
  <c r="F49" i="43" s="1"/>
  <c r="AN77" i="43"/>
  <c r="D76" i="43" s="1"/>
  <c r="AM85" i="43"/>
  <c r="C84" i="43" s="1"/>
  <c r="F84" i="43" s="1"/>
  <c r="AN86" i="43"/>
  <c r="D85" i="43" s="1"/>
  <c r="AM22" i="43"/>
  <c r="AM35" i="43"/>
  <c r="C34" i="43" s="1"/>
  <c r="AN40" i="43"/>
  <c r="D39" i="43" s="1"/>
  <c r="AM88" i="43"/>
  <c r="C87" i="43" s="1"/>
  <c r="F87" i="43" s="1"/>
  <c r="AN39" i="43"/>
  <c r="D38" i="43" s="1"/>
  <c r="AN72" i="43"/>
  <c r="D71" i="43" s="1"/>
  <c r="AM43" i="43"/>
  <c r="C42" i="43" s="1"/>
  <c r="AN65" i="43"/>
  <c r="D64" i="43" s="1"/>
  <c r="AM28" i="43"/>
  <c r="AM81" i="43"/>
  <c r="C80" i="43" s="1"/>
  <c r="F80" i="43" s="1"/>
  <c r="AN33" i="43"/>
  <c r="D32" i="43" s="1"/>
  <c r="AM83" i="43"/>
  <c r="C82" i="43" s="1"/>
  <c r="F82" i="43" s="1"/>
  <c r="AM79" i="43"/>
  <c r="C78" i="43" s="1"/>
  <c r="F78" i="43" s="1"/>
  <c r="AN52" i="43"/>
  <c r="D51" i="43" s="1"/>
  <c r="AN23" i="43"/>
  <c r="D22" i="43" s="1"/>
  <c r="AN37" i="43"/>
  <c r="D36" i="43" s="1"/>
  <c r="AN68" i="43"/>
  <c r="D67" i="43" s="1"/>
  <c r="AM71" i="43"/>
  <c r="C70" i="43" s="1"/>
  <c r="F70" i="43" s="1"/>
  <c r="AN67" i="43"/>
  <c r="D66" i="43" s="1"/>
  <c r="AN92" i="43"/>
  <c r="D91" i="43" s="1"/>
  <c r="AN14" i="43"/>
  <c r="D13" i="43" s="1"/>
  <c r="AN17" i="43"/>
  <c r="D16" i="43" s="1"/>
  <c r="AN35" i="43"/>
  <c r="D34" i="43" s="1"/>
  <c r="AN62" i="43"/>
  <c r="D61" i="43" s="1"/>
  <c r="AM30" i="43"/>
  <c r="C29" i="43" s="1"/>
  <c r="AM27" i="43"/>
  <c r="AN53" i="43"/>
  <c r="D52" i="43" s="1"/>
  <c r="AN34" i="43"/>
  <c r="D33" i="43" s="1"/>
  <c r="AN76" i="43"/>
  <c r="D75" i="43" s="1"/>
  <c r="AM98" i="43"/>
  <c r="C97" i="43" s="1"/>
  <c r="F97" i="43" s="1"/>
  <c r="AN61" i="43"/>
  <c r="D60" i="43" s="1"/>
  <c r="AM75" i="43"/>
  <c r="C74" i="43" s="1"/>
  <c r="F74" i="43" s="1"/>
  <c r="AM62" i="43"/>
  <c r="C61" i="43" s="1"/>
  <c r="F61" i="43" s="1"/>
  <c r="AM42" i="43"/>
  <c r="C41" i="43" s="1"/>
  <c r="AM64" i="43"/>
  <c r="C63" i="43" s="1"/>
  <c r="F63" i="43" s="1"/>
  <c r="AN15" i="43"/>
  <c r="D14" i="43" s="1"/>
  <c r="AN22" i="43"/>
  <c r="D21" i="43" s="1"/>
  <c r="AN98" i="43"/>
  <c r="D97" i="43" s="1"/>
  <c r="AM29" i="43"/>
  <c r="AN44" i="43"/>
  <c r="D43" i="43" s="1"/>
  <c r="AM97" i="43"/>
  <c r="C96" i="43" s="1"/>
  <c r="F96" i="43" s="1"/>
  <c r="AN82" i="43"/>
  <c r="D81" i="43" s="1"/>
  <c r="AN25" i="43"/>
  <c r="D24" i="43" s="1"/>
  <c r="AN29" i="43"/>
  <c r="D28" i="43" s="1"/>
  <c r="AM31" i="43"/>
  <c r="C30" i="43" s="1"/>
  <c r="AN89" i="43"/>
  <c r="D88" i="43" s="1"/>
  <c r="AN91" i="43"/>
  <c r="D90" i="43" s="1"/>
  <c r="AM12" i="43"/>
  <c r="BI12" i="43" s="1"/>
  <c r="AN78" i="43"/>
  <c r="D77" i="43" s="1"/>
  <c r="AN12" i="43"/>
  <c r="D11" i="43" s="1"/>
  <c r="AN73" i="43"/>
  <c r="D72" i="43" s="1"/>
  <c r="AN99" i="43"/>
  <c r="D98" i="43" s="1"/>
  <c r="AM92" i="43"/>
  <c r="C91" i="43" s="1"/>
  <c r="F91" i="43" s="1"/>
  <c r="AM66" i="43"/>
  <c r="C65" i="43" s="1"/>
  <c r="F65" i="43" s="1"/>
  <c r="AM53" i="43"/>
  <c r="C52" i="43" s="1"/>
  <c r="F52" i="43" s="1"/>
  <c r="AN13" i="43"/>
  <c r="D12" i="43" s="1"/>
  <c r="AM24" i="43"/>
  <c r="AM65" i="43"/>
  <c r="C64" i="43" s="1"/>
  <c r="F64" i="43" s="1"/>
  <c r="AN81" i="43"/>
  <c r="D80" i="43" s="1"/>
  <c r="AM33" i="43"/>
  <c r="C32" i="43" s="1"/>
  <c r="AN36" i="43"/>
  <c r="D35" i="43" s="1"/>
  <c r="AN74" i="43"/>
  <c r="D73" i="43" s="1"/>
  <c r="AN50" i="43"/>
  <c r="D49" i="43" s="1"/>
  <c r="AN70" i="43"/>
  <c r="D69" i="43" s="1"/>
  <c r="AN60" i="43"/>
  <c r="D59" i="43" s="1"/>
  <c r="AM34" i="43"/>
  <c r="C33" i="43" s="1"/>
  <c r="AM54" i="43"/>
  <c r="C53" i="43" s="1"/>
  <c r="F53" i="43" s="1"/>
  <c r="AM86" i="43"/>
  <c r="C85" i="43" s="1"/>
  <c r="F85" i="43" s="1"/>
  <c r="AN20" i="43"/>
  <c r="D19" i="43" s="1"/>
  <c r="AM26" i="43"/>
  <c r="AM21" i="43"/>
  <c r="BI21" i="43" s="1"/>
  <c r="AN83" i="43"/>
  <c r="D82" i="43" s="1"/>
  <c r="AN19" i="43"/>
  <c r="D18" i="43" s="1"/>
  <c r="AN31" i="43"/>
  <c r="D30" i="43" s="1"/>
  <c r="AN69" i="43"/>
  <c r="D68" i="43" s="1"/>
  <c r="AM63" i="43"/>
  <c r="C62" i="43" s="1"/>
  <c r="F62" i="43" s="1"/>
  <c r="AM56" i="43"/>
  <c r="C55" i="43" s="1"/>
  <c r="F55" i="43" s="1"/>
  <c r="AN63" i="43"/>
  <c r="D62" i="43" s="1"/>
  <c r="AN38" i="43"/>
  <c r="D37" i="43" s="1"/>
  <c r="AM73" i="43"/>
  <c r="C72" i="43" s="1"/>
  <c r="F72" i="43" s="1"/>
  <c r="AM25" i="43"/>
  <c r="AN88" i="43"/>
  <c r="D87" i="43" s="1"/>
  <c r="AN85" i="43"/>
  <c r="D84" i="43" s="1"/>
  <c r="AM51" i="43"/>
  <c r="C50" i="43" s="1"/>
  <c r="F50" i="43" s="1"/>
  <c r="AM52" i="43"/>
  <c r="C51" i="43" s="1"/>
  <c r="F51" i="43" s="1"/>
  <c r="AM39" i="43"/>
  <c r="C38" i="43" s="1"/>
  <c r="AM44" i="43"/>
  <c r="C43" i="43" s="1"/>
  <c r="AM49" i="43"/>
  <c r="C48" i="43" s="1"/>
  <c r="AM37" i="43"/>
  <c r="C36" i="43" s="1"/>
  <c r="AN66" i="43"/>
  <c r="D65" i="43" s="1"/>
  <c r="AN58" i="43"/>
  <c r="D57" i="43" s="1"/>
  <c r="AM13" i="43"/>
  <c r="BI13" i="43" s="1"/>
  <c r="AN59" i="43"/>
  <c r="D58" i="43" s="1"/>
  <c r="AM32" i="43"/>
  <c r="C31" i="43" s="1"/>
  <c r="AM20" i="43"/>
  <c r="BI20" i="43" s="1"/>
  <c r="AN84" i="43"/>
  <c r="D83" i="43" s="1"/>
  <c r="AN18" i="43"/>
  <c r="D17" i="43" s="1"/>
  <c r="AM74" i="43"/>
  <c r="C73" i="43" s="1"/>
  <c r="F73" i="43" s="1"/>
  <c r="AM82" i="43"/>
  <c r="C81" i="43" s="1"/>
  <c r="F81" i="43" s="1"/>
  <c r="AM18" i="43"/>
  <c r="BI18" i="43" s="1"/>
  <c r="AM57" i="43"/>
  <c r="C56" i="43" s="1"/>
  <c r="F56" i="43" s="1"/>
  <c r="AM91" i="43"/>
  <c r="C90" i="43" s="1"/>
  <c r="F90" i="43" s="1"/>
  <c r="AN90" i="43"/>
  <c r="D89" i="43" s="1"/>
  <c r="AN46" i="43"/>
  <c r="D45" i="43" s="1"/>
  <c r="AN87" i="43"/>
  <c r="D86" i="43" s="1"/>
  <c r="AN21" i="43"/>
  <c r="D20" i="43" s="1"/>
  <c r="AM40" i="43"/>
  <c r="C39" i="43" s="1"/>
  <c r="AM38" i="43"/>
  <c r="C37" i="43" s="1"/>
  <c r="AM99" i="43"/>
  <c r="C98" i="43" s="1"/>
  <c r="F98" i="43" s="1"/>
  <c r="AM58" i="43"/>
  <c r="C57" i="43" s="1"/>
  <c r="F57" i="43" s="1"/>
  <c r="AN96" i="43"/>
  <c r="D95" i="43" s="1"/>
  <c r="AM90" i="43"/>
  <c r="C89" i="43" s="1"/>
  <c r="F89" i="43" s="1"/>
  <c r="AN28" i="43"/>
  <c r="D27" i="43" s="1"/>
  <c r="AN43" i="43"/>
  <c r="D42" i="43" s="1"/>
  <c r="AM19" i="43"/>
  <c r="BI19" i="43" s="1"/>
  <c r="AM96" i="43"/>
  <c r="C95" i="43" s="1"/>
  <c r="F95" i="43" s="1"/>
  <c r="AM93" i="43"/>
  <c r="C92" i="43" s="1"/>
  <c r="F92" i="43" s="1"/>
  <c r="AN30" i="43"/>
  <c r="D29" i="43" s="1"/>
  <c r="AM15" i="43"/>
  <c r="BI15" i="43" s="1"/>
  <c r="AM84" i="43"/>
  <c r="C83" i="43" s="1"/>
  <c r="F83" i="43" s="1"/>
  <c r="AN56" i="43"/>
  <c r="D55" i="43" s="1"/>
  <c r="AN55" i="43"/>
  <c r="D54" i="43" s="1"/>
  <c r="AM45" i="43"/>
  <c r="C44" i="43" s="1"/>
  <c r="AN75" i="43"/>
  <c r="D74" i="43" s="1"/>
  <c r="AM48" i="43"/>
  <c r="C47" i="43" s="1"/>
  <c r="AN79" i="43"/>
  <c r="D78" i="43" s="1"/>
  <c r="AN45" i="43"/>
  <c r="D44" i="43" s="1"/>
  <c r="AM95" i="43"/>
  <c r="C94" i="43" s="1"/>
  <c r="F94" i="43" s="1"/>
  <c r="AM55" i="43"/>
  <c r="C54" i="43" s="1"/>
  <c r="F54" i="43" s="1"/>
  <c r="AM59" i="43"/>
  <c r="C58" i="43" s="1"/>
  <c r="F58" i="43" s="1"/>
  <c r="AM68" i="43"/>
  <c r="C67" i="43" s="1"/>
  <c r="F67" i="43" s="1"/>
  <c r="AM69" i="43"/>
  <c r="C68" i="43" s="1"/>
  <c r="F68" i="43" s="1"/>
  <c r="AM60" i="43"/>
  <c r="C59" i="43" s="1"/>
  <c r="F59" i="43" s="1"/>
  <c r="AM70" i="43"/>
  <c r="C69" i="43" s="1"/>
  <c r="F69" i="43" s="1"/>
  <c r="AM16" i="43"/>
  <c r="BI16" i="43" s="1"/>
  <c r="AM17" i="43"/>
  <c r="BI17" i="43" s="1"/>
  <c r="AN26" i="43"/>
  <c r="D25" i="43" s="1"/>
  <c r="AN64" i="43"/>
  <c r="D63" i="43" s="1"/>
  <c r="AM61" i="43"/>
  <c r="C60" i="43" s="1"/>
  <c r="F60" i="43" s="1"/>
  <c r="BB104" i="14"/>
  <c r="BR141" i="14"/>
  <c r="AV488" i="14"/>
  <c r="BJ262" i="14"/>
  <c r="BN106" i="14"/>
  <c r="AZ238" i="14"/>
  <c r="BF453" i="14"/>
  <c r="AX283" i="14"/>
  <c r="BB562" i="14"/>
  <c r="BR416" i="14"/>
  <c r="BL250" i="14"/>
  <c r="BP381" i="14"/>
  <c r="BH273" i="14"/>
  <c r="BH429" i="14"/>
  <c r="BJ237" i="14"/>
  <c r="BP621" i="14"/>
  <c r="BP392" i="14"/>
  <c r="BJ79" i="14"/>
  <c r="BL142" i="14"/>
  <c r="BB571" i="14"/>
  <c r="BR247" i="14"/>
  <c r="BR163" i="14"/>
  <c r="AZ463" i="14"/>
  <c r="AZ82" i="14"/>
  <c r="BJ115" i="14"/>
  <c r="BD298" i="14"/>
  <c r="BR43" i="14"/>
  <c r="AZ571" i="14"/>
  <c r="BN536" i="14"/>
  <c r="BD442" i="14"/>
  <c r="BD487" i="14"/>
  <c r="BB645" i="14"/>
  <c r="AZ538" i="14"/>
  <c r="BR680" i="14"/>
  <c r="BF476" i="14"/>
  <c r="BR152" i="14"/>
  <c r="BH499" i="14"/>
  <c r="BD453" i="14"/>
  <c r="AX682" i="14"/>
  <c r="BJ404" i="14"/>
  <c r="BL68" i="14"/>
  <c r="BH427" i="14"/>
  <c r="AV416" i="14"/>
  <c r="BB213" i="14"/>
  <c r="BJ681" i="14"/>
  <c r="BH369" i="14"/>
  <c r="BP127" i="14"/>
  <c r="AZ332" i="14"/>
  <c r="BL439" i="14"/>
  <c r="BF308" i="14"/>
  <c r="BF187" i="14"/>
  <c r="AX645" i="14"/>
  <c r="BR355" i="14"/>
  <c r="BD452" i="14"/>
  <c r="BN115" i="14"/>
  <c r="BP538" i="14"/>
  <c r="BP574" i="14"/>
  <c r="AV236" i="14"/>
  <c r="AV634" i="14"/>
  <c r="BD237" i="14"/>
  <c r="BB644" i="14"/>
  <c r="BR235" i="14"/>
  <c r="AZ608" i="14"/>
  <c r="BP236" i="14"/>
  <c r="BB430" i="14"/>
  <c r="BN368" i="14"/>
  <c r="BR380" i="14"/>
  <c r="AV116" i="14"/>
  <c r="BB490" i="14"/>
  <c r="BD261" i="14"/>
  <c r="BB465" i="14"/>
  <c r="BD82" i="14"/>
  <c r="BL465" i="14"/>
  <c r="AZ442" i="14"/>
  <c r="BN513" i="14"/>
  <c r="AZ103" i="14"/>
  <c r="AX657" i="14"/>
  <c r="BH535" i="14"/>
  <c r="BH271" i="14"/>
  <c r="AV141" i="14"/>
  <c r="BB667" i="14"/>
  <c r="AX658" i="14"/>
  <c r="BH583" i="14"/>
  <c r="BF417" i="14"/>
  <c r="BJ285" i="14"/>
  <c r="BD598" i="14"/>
  <c r="BB537" i="14"/>
  <c r="BR631" i="14"/>
  <c r="AV679" i="14"/>
  <c r="AX380" i="14"/>
  <c r="BH212" i="14"/>
  <c r="BN69" i="14"/>
  <c r="BB415" i="14"/>
  <c r="BR201" i="14"/>
  <c r="AV535" i="14"/>
  <c r="BN187" i="14"/>
  <c r="BF583" i="14"/>
  <c r="BB487" i="14"/>
  <c r="BJ310" i="14"/>
  <c r="BF645" i="14"/>
  <c r="BD152" i="14"/>
  <c r="AZ679" i="14"/>
  <c r="BF536" i="14"/>
  <c r="BP225" i="14"/>
  <c r="AZ344" i="14"/>
  <c r="BR295" i="14"/>
  <c r="BN164" i="14"/>
  <c r="BJ559" i="14"/>
  <c r="AV140" i="14"/>
  <c r="AV548" i="14"/>
  <c r="BP189" i="14"/>
  <c r="BR321" i="14"/>
  <c r="BN225" i="14"/>
  <c r="BP345" i="14"/>
  <c r="AV79" i="14"/>
  <c r="BL346" i="14"/>
  <c r="AV118" i="14"/>
  <c r="BH332" i="14"/>
  <c r="BN141" i="14"/>
  <c r="BN380" i="14"/>
  <c r="BF609" i="14"/>
  <c r="AV418" i="14"/>
  <c r="AZ152" i="14"/>
  <c r="BL331" i="14"/>
  <c r="BN249" i="14"/>
  <c r="BF488" i="14"/>
  <c r="BN189" i="14"/>
  <c r="BF115" i="14"/>
  <c r="BD320" i="14"/>
  <c r="BH584" i="14"/>
  <c r="AV573" i="14"/>
  <c r="BL679" i="14"/>
  <c r="AX166" i="14"/>
  <c r="AZ511" i="14"/>
  <c r="BR610" i="14"/>
  <c r="AV643" i="14"/>
  <c r="BD668" i="14"/>
  <c r="BF668" i="14"/>
  <c r="AZ346" i="14"/>
  <c r="BH142" i="14"/>
  <c r="BB392" i="14"/>
  <c r="AV213" i="14"/>
  <c r="BN631" i="14"/>
  <c r="BB464" i="14"/>
  <c r="BD535" i="14"/>
  <c r="BN608" i="14"/>
  <c r="AX680" i="14"/>
  <c r="BB68" i="14"/>
  <c r="BF392" i="14"/>
  <c r="BJ346" i="14"/>
  <c r="BR535" i="14"/>
  <c r="BH562" i="14"/>
  <c r="BF261" i="14"/>
  <c r="BN250" i="14"/>
  <c r="BL164" i="14"/>
  <c r="AV332" i="14"/>
  <c r="BR273" i="14"/>
  <c r="BP235" i="14"/>
  <c r="AX224" i="14"/>
  <c r="BH513" i="14"/>
  <c r="AX94" i="14"/>
  <c r="AV356" i="14"/>
  <c r="BB298" i="14"/>
  <c r="BB368" i="14"/>
  <c r="AZ259" i="14"/>
  <c r="AX514" i="14"/>
  <c r="AV345" i="14"/>
  <c r="BH104" i="14"/>
  <c r="BR286" i="14"/>
  <c r="AV296" i="14"/>
  <c r="BP393" i="14"/>
  <c r="AV272" i="14"/>
  <c r="BB525" i="14"/>
  <c r="BD597" i="14"/>
  <c r="BL379" i="14"/>
  <c r="BD646" i="14"/>
  <c r="AX524" i="14"/>
  <c r="AZ379" i="14"/>
  <c r="AV429" i="14"/>
  <c r="BD357" i="14"/>
  <c r="BF152" i="14"/>
  <c r="BD68" i="14"/>
  <c r="BR307" i="14"/>
  <c r="BL608" i="14"/>
  <c r="BD478" i="14"/>
  <c r="BL153" i="14"/>
  <c r="BJ151" i="14"/>
  <c r="AX476" i="14"/>
  <c r="BL499" i="14"/>
  <c r="AX586" i="14"/>
  <c r="AX69" i="14"/>
  <c r="BL79" i="14"/>
  <c r="BP285" i="14"/>
  <c r="BR549" i="14"/>
  <c r="BL418" i="14"/>
  <c r="AX298" i="14"/>
  <c r="BL261" i="14"/>
  <c r="BB93" i="14"/>
  <c r="BL213" i="14"/>
  <c r="AX142" i="14"/>
  <c r="BR403" i="14"/>
  <c r="AX141" i="14"/>
  <c r="BP357" i="14"/>
  <c r="BF223" i="14"/>
  <c r="BN477" i="14"/>
  <c r="AV273" i="14"/>
  <c r="BH236" i="14"/>
  <c r="AZ417" i="14"/>
  <c r="BD248" i="14"/>
  <c r="BH153" i="14"/>
  <c r="AX128" i="14"/>
  <c r="BP644" i="14"/>
  <c r="BN284" i="14"/>
  <c r="BB163" i="14"/>
  <c r="BP523" i="14"/>
  <c r="AV598" i="14"/>
  <c r="AV490" i="14"/>
  <c r="BR260" i="14"/>
  <c r="BP478" i="14"/>
  <c r="AX513" i="14"/>
  <c r="BJ583" i="14"/>
  <c r="AX175" i="14"/>
  <c r="BD273" i="14"/>
  <c r="BL358" i="14"/>
  <c r="BH477" i="14"/>
  <c r="BF91" i="14"/>
  <c r="BR249" i="14"/>
  <c r="BF321" i="14"/>
  <c r="BD127" i="14"/>
  <c r="AZ369" i="14"/>
  <c r="BR81" i="14"/>
  <c r="BD139" i="14"/>
  <c r="AX285" i="14"/>
  <c r="BH430" i="14"/>
  <c r="BF272" i="14"/>
  <c r="BF154" i="14"/>
  <c r="AZ562" i="14"/>
  <c r="BF58" i="14"/>
  <c r="BB451" i="14"/>
  <c r="BH643" i="14"/>
  <c r="AX67" i="14"/>
  <c r="BR513" i="14"/>
  <c r="AX597" i="14"/>
  <c r="AV536" i="14"/>
  <c r="AZ129" i="14"/>
  <c r="BN128" i="14"/>
  <c r="BN646" i="14"/>
  <c r="BJ94" i="14"/>
  <c r="AV382" i="14"/>
  <c r="BN500" i="14"/>
  <c r="BD142" i="14"/>
  <c r="BR129" i="14"/>
  <c r="BP547" i="14"/>
  <c r="BH644" i="14"/>
  <c r="BP58" i="14"/>
  <c r="BJ393" i="14"/>
  <c r="BH55" i="14"/>
  <c r="AZ284" i="14"/>
  <c r="BP526" i="14"/>
  <c r="BL669" i="14"/>
  <c r="BP609" i="14"/>
  <c r="AV56" i="14"/>
  <c r="BB103" i="14"/>
  <c r="BR643" i="14"/>
  <c r="AV202" i="14"/>
  <c r="BN343" i="14"/>
  <c r="BL247" i="14"/>
  <c r="BF214" i="14"/>
  <c r="BD285" i="14"/>
  <c r="BJ477" i="14"/>
  <c r="AX499" i="14"/>
  <c r="BR130" i="14"/>
  <c r="BD583" i="14"/>
  <c r="AX213" i="14"/>
  <c r="AZ321" i="14"/>
  <c r="BL236" i="14"/>
  <c r="AZ153" i="14"/>
  <c r="AV475" i="14"/>
  <c r="BR106" i="14"/>
  <c r="AZ356" i="14"/>
  <c r="BF235" i="14"/>
  <c r="BJ130" i="14"/>
  <c r="BH598" i="14"/>
  <c r="BH597" i="14"/>
  <c r="BN525" i="14"/>
  <c r="AX295" i="14"/>
  <c r="BB224" i="14"/>
  <c r="BR115" i="14"/>
  <c r="BJ175" i="14"/>
  <c r="BF679" i="14"/>
  <c r="BH154" i="14"/>
  <c r="BP260" i="14"/>
  <c r="BH547" i="14"/>
  <c r="BP610" i="14"/>
  <c r="AV511" i="14"/>
  <c r="BD524" i="14"/>
  <c r="BJ513" i="14"/>
  <c r="BL466" i="14"/>
  <c r="BB441" i="14"/>
  <c r="BF501" i="14"/>
  <c r="BL442" i="14"/>
  <c r="BB129" i="14"/>
  <c r="BP406" i="14"/>
  <c r="AV441" i="14"/>
  <c r="AV92" i="14"/>
  <c r="BH67" i="14"/>
  <c r="BJ188" i="14"/>
  <c r="AZ574" i="14"/>
  <c r="AV669" i="14"/>
  <c r="BF224" i="14"/>
  <c r="BB238" i="14"/>
  <c r="BJ392" i="14"/>
  <c r="BD310" i="14"/>
  <c r="BL523" i="14"/>
  <c r="BL631" i="14"/>
  <c r="BL285" i="14"/>
  <c r="AV163" i="14"/>
  <c r="BF525" i="14"/>
  <c r="AZ213" i="14"/>
  <c r="AZ94" i="14"/>
  <c r="BL319" i="14"/>
  <c r="BF319" i="14"/>
  <c r="BF440" i="14"/>
  <c r="BN547" i="14"/>
  <c r="BD80" i="14"/>
  <c r="BN165" i="14"/>
  <c r="BJ357" i="14"/>
  <c r="BP116" i="14"/>
  <c r="BP598" i="14"/>
  <c r="BF226" i="14"/>
  <c r="BH391" i="14"/>
  <c r="BN285" i="14"/>
  <c r="AX82" i="14"/>
  <c r="BL187" i="14"/>
  <c r="BF127" i="14"/>
  <c r="BL370" i="14"/>
  <c r="BH249" i="14"/>
  <c r="BP368" i="14"/>
  <c r="BR574" i="14"/>
  <c r="BB632" i="14"/>
  <c r="BR68" i="14"/>
  <c r="BF585" i="14"/>
  <c r="AV442" i="14"/>
  <c r="BD331" i="14"/>
  <c r="BB274" i="14"/>
  <c r="BN202" i="14"/>
  <c r="BF283" i="14"/>
  <c r="AX490" i="14"/>
  <c r="AV103" i="14"/>
  <c r="BR560" i="14"/>
  <c r="BP658" i="14"/>
  <c r="BB79" i="14"/>
  <c r="BF188" i="14"/>
  <c r="BB128" i="14"/>
  <c r="BR297" i="14"/>
  <c r="BF57" i="14"/>
  <c r="BF129" i="14"/>
  <c r="BB321" i="14"/>
  <c r="AX154" i="14"/>
  <c r="BN212" i="14"/>
  <c r="BL525" i="14"/>
  <c r="BB333" i="14"/>
  <c r="BJ610" i="14"/>
  <c r="BL607" i="14"/>
  <c r="BL130" i="14"/>
  <c r="BR93" i="14"/>
  <c r="BF548" i="14"/>
  <c r="BD645" i="14"/>
  <c r="AX284" i="14"/>
  <c r="BB322" i="14"/>
  <c r="BF382" i="14"/>
  <c r="AV286" i="14"/>
  <c r="AZ237" i="14"/>
  <c r="BB310" i="14"/>
  <c r="BN345" i="14"/>
  <c r="BF139" i="14"/>
  <c r="BH607" i="14"/>
  <c r="BD272" i="14"/>
  <c r="BL308" i="14"/>
  <c r="BR598" i="14"/>
  <c r="BP321" i="14"/>
  <c r="BD464" i="14"/>
  <c r="BN127" i="14"/>
  <c r="BJ358" i="14"/>
  <c r="BL141" i="14"/>
  <c r="BF177" i="14"/>
  <c r="BP415" i="14"/>
  <c r="BR165" i="14"/>
  <c r="BB82" i="14"/>
  <c r="BR285" i="14"/>
  <c r="AX105" i="14"/>
  <c r="AZ212" i="14"/>
  <c r="BD163" i="14"/>
  <c r="BH58" i="14"/>
  <c r="BJ682" i="14"/>
  <c r="BH442" i="14"/>
  <c r="BF610" i="14"/>
  <c r="BF595" i="14"/>
  <c r="BH680" i="14"/>
  <c r="BJ643" i="14"/>
  <c r="BR369" i="14"/>
  <c r="BN559" i="14"/>
  <c r="BR190" i="14"/>
  <c r="BN453" i="14"/>
  <c r="AV391" i="14"/>
  <c r="BJ500" i="14"/>
  <c r="BN332" i="14"/>
  <c r="BR478" i="14"/>
  <c r="BL286" i="14"/>
  <c r="BR320" i="14"/>
  <c r="AX430" i="14"/>
  <c r="BN550" i="14"/>
  <c r="BL309" i="14"/>
  <c r="BH451" i="14"/>
  <c r="BD81" i="14"/>
  <c r="BH573" i="14"/>
  <c r="BL430" i="14"/>
  <c r="AV644" i="14"/>
  <c r="BD214" i="14"/>
  <c r="BL178" i="14"/>
  <c r="BL211" i="14"/>
  <c r="BR619" i="14"/>
  <c r="BH657" i="14"/>
  <c r="BB547" i="14"/>
  <c r="BJ428" i="14"/>
  <c r="BH224" i="14"/>
  <c r="BR668" i="14"/>
  <c r="BR608" i="14"/>
  <c r="BB513" i="14"/>
  <c r="AZ550" i="14"/>
  <c r="BR104" i="14"/>
  <c r="AV178" i="14"/>
  <c r="BR92" i="14"/>
  <c r="BL680" i="14"/>
  <c r="AX189" i="14"/>
  <c r="BL224" i="14"/>
  <c r="BB417" i="14"/>
  <c r="BL295" i="14"/>
  <c r="BL475" i="14"/>
  <c r="BB466" i="14"/>
  <c r="BF92" i="14"/>
  <c r="AV58" i="14"/>
  <c r="BJ680" i="14"/>
  <c r="BF175" i="14"/>
  <c r="AZ669" i="14"/>
  <c r="AZ187" i="14"/>
  <c r="AZ333" i="14"/>
  <c r="AZ621" i="14"/>
  <c r="BP343" i="14"/>
  <c r="BH295" i="14"/>
  <c r="BB345" i="14"/>
  <c r="AX332" i="14"/>
  <c r="BD94" i="14"/>
  <c r="AZ430" i="14"/>
  <c r="BN94" i="14"/>
  <c r="AV430" i="14"/>
  <c r="BN452" i="14"/>
  <c r="BP466" i="14"/>
  <c r="BB127" i="14"/>
  <c r="BR94" i="14"/>
  <c r="BN367" i="14"/>
  <c r="AZ585" i="14"/>
  <c r="BL634" i="14"/>
  <c r="BJ249" i="14"/>
  <c r="BP429" i="14"/>
  <c r="BL223" i="14"/>
  <c r="BB188" i="14"/>
  <c r="BP607" i="14"/>
  <c r="BH297" i="14"/>
  <c r="BD70" i="14"/>
  <c r="AZ583" i="14"/>
  <c r="BD345" i="14"/>
  <c r="BL106" i="14"/>
  <c r="BR334" i="14"/>
  <c r="AX321" i="14"/>
  <c r="BF260" i="14"/>
  <c r="BR440" i="14"/>
  <c r="BB681" i="14"/>
  <c r="BB115" i="14"/>
  <c r="BB669" i="14"/>
  <c r="BH634" i="14"/>
  <c r="AV176" i="14"/>
  <c r="BJ526" i="14"/>
  <c r="BN283" i="14"/>
  <c r="BF103" i="14"/>
  <c r="BJ343" i="14"/>
  <c r="BJ58" i="14"/>
  <c r="BL55" i="14"/>
  <c r="BN214" i="14"/>
  <c r="BL212" i="14"/>
  <c r="BH550" i="14"/>
  <c r="BJ367" i="14"/>
  <c r="BB621" i="14"/>
  <c r="BR439" i="14"/>
  <c r="BP418" i="14"/>
  <c r="BL454" i="14"/>
  <c r="BN619" i="14"/>
  <c r="BR658" i="14"/>
  <c r="BR343" i="14"/>
  <c r="BR441" i="14"/>
  <c r="AV344" i="14"/>
  <c r="AZ367" i="14"/>
  <c r="BB273" i="14"/>
  <c r="BP451" i="14"/>
  <c r="BD404" i="14"/>
  <c r="BJ178" i="14"/>
  <c r="BF356" i="14"/>
  <c r="BR548" i="14"/>
  <c r="BD319" i="14"/>
  <c r="BR370" i="14"/>
  <c r="BF343" i="14"/>
  <c r="BH262" i="14"/>
  <c r="BD680" i="14"/>
  <c r="BH176" i="14"/>
  <c r="BD295" i="14"/>
  <c r="BD213" i="14"/>
  <c r="BP537" i="14"/>
  <c r="BR488" i="14"/>
  <c r="AV189" i="14"/>
  <c r="BL667" i="14"/>
  <c r="BR226" i="14"/>
  <c r="BD657" i="14"/>
  <c r="BF596" i="14"/>
  <c r="BJ261" i="14"/>
  <c r="BN574" i="14"/>
  <c r="BB199" i="14"/>
  <c r="BR319" i="14"/>
  <c r="AZ67" i="14"/>
  <c r="BJ524" i="14"/>
  <c r="BJ536" i="14"/>
  <c r="BD454" i="14"/>
  <c r="AV188" i="14"/>
  <c r="BL451" i="14"/>
  <c r="BF130" i="14"/>
  <c r="BJ297" i="14"/>
  <c r="AX260" i="14"/>
  <c r="AZ523" i="14"/>
  <c r="BH117" i="14"/>
  <c r="AZ189" i="14"/>
  <c r="BN512" i="14"/>
  <c r="BN321" i="14"/>
  <c r="BR80" i="14"/>
  <c r="AZ175" i="14"/>
  <c r="AZ262" i="14"/>
  <c r="BN573" i="14"/>
  <c r="AV370" i="14"/>
  <c r="BL476" i="14"/>
  <c r="BP274" i="14"/>
  <c r="AX320" i="14"/>
  <c r="AX583" i="14"/>
  <c r="BF322" i="14"/>
  <c r="AV524" i="14"/>
  <c r="AZ452" i="14"/>
  <c r="BD297" i="14"/>
  <c r="BB81" i="14"/>
  <c r="BP129" i="14"/>
  <c r="BN248" i="14"/>
  <c r="AZ682" i="14"/>
  <c r="BJ69" i="14"/>
  <c r="BP680" i="14"/>
  <c r="BH285" i="14"/>
  <c r="BH559" i="14"/>
  <c r="BN597" i="14"/>
  <c r="BL67" i="14"/>
  <c r="BN93" i="14"/>
  <c r="BR298" i="14"/>
  <c r="BP259" i="14"/>
  <c r="AV81" i="14"/>
  <c r="AX115" i="14"/>
  <c r="BN247" i="14"/>
  <c r="BL237" i="14"/>
  <c r="BD309" i="14"/>
  <c r="BP595" i="14"/>
  <c r="AZ668" i="14"/>
  <c r="BD607" i="14"/>
  <c r="AX118" i="14"/>
  <c r="BB452" i="14"/>
  <c r="BR418" i="14"/>
  <c r="BP286" i="14"/>
  <c r="AV572" i="14"/>
  <c r="BJ429" i="14"/>
  <c r="BR212" i="14"/>
  <c r="BN645" i="14"/>
  <c r="AV271" i="14"/>
  <c r="BN499" i="14"/>
  <c r="BJ537" i="14"/>
  <c r="BP391" i="14"/>
  <c r="BR406" i="14"/>
  <c r="BR177" i="14"/>
  <c r="BD260" i="14"/>
  <c r="BJ427" i="14"/>
  <c r="BF212" i="14"/>
  <c r="BL416" i="14"/>
  <c r="BH141" i="14"/>
  <c r="AV464" i="14"/>
  <c r="AX91" i="14"/>
  <c r="BB272" i="14"/>
  <c r="BL512" i="14"/>
  <c r="BR79" i="14"/>
  <c r="BF355" i="14"/>
  <c r="BL298" i="14"/>
  <c r="BR225" i="14"/>
  <c r="BP118" i="14"/>
  <c r="BR669" i="14"/>
  <c r="AZ199" i="14"/>
  <c r="BD379" i="14"/>
  <c r="BJ283" i="14"/>
  <c r="BB454" i="14"/>
  <c r="AV91" i="14"/>
  <c r="BH608" i="14"/>
  <c r="BD116" i="14"/>
  <c r="BR547" i="14"/>
  <c r="BL333" i="14"/>
  <c r="BP307" i="14"/>
  <c r="BB595" i="14"/>
  <c r="BB118" i="14"/>
  <c r="BR381" i="14"/>
  <c r="BH464" i="14"/>
  <c r="BJ309" i="14"/>
  <c r="BN489" i="14"/>
  <c r="AX477" i="14"/>
  <c r="BB355" i="14"/>
  <c r="AX547" i="14"/>
  <c r="BB343" i="14"/>
  <c r="BJ199" i="14"/>
  <c r="BF357" i="14"/>
  <c r="BP417" i="14"/>
  <c r="BF477" i="14"/>
  <c r="BN620" i="14"/>
  <c r="BN235" i="14"/>
  <c r="AV214" i="14"/>
  <c r="AZ296" i="14"/>
  <c r="BF368" i="14"/>
  <c r="BD439" i="14"/>
  <c r="AZ393" i="14"/>
  <c r="BL514" i="14"/>
  <c r="BF164" i="14"/>
  <c r="BF116" i="14"/>
  <c r="AV151" i="14"/>
  <c r="AZ451" i="14"/>
  <c r="BJ201" i="14"/>
  <c r="BL128" i="14"/>
  <c r="BD284" i="14"/>
  <c r="BL464" i="14"/>
  <c r="BH441" i="14"/>
  <c r="BN670" i="14"/>
  <c r="BD406" i="14"/>
  <c r="BL58" i="14"/>
  <c r="BL355" i="14"/>
  <c r="BL633" i="14"/>
  <c r="AV187" i="14"/>
  <c r="BP94" i="14"/>
  <c r="BP332" i="14"/>
  <c r="BL296" i="14"/>
  <c r="BN139" i="14"/>
  <c r="BB357" i="14"/>
  <c r="BR561" i="14"/>
  <c r="BD178" i="14"/>
  <c r="BD115" i="14"/>
  <c r="BH91" i="14"/>
  <c r="BJ417" i="14"/>
  <c r="AZ488" i="14"/>
  <c r="BJ286" i="14"/>
  <c r="BL526" i="14"/>
  <c r="BJ499" i="14"/>
  <c r="AX608" i="14"/>
  <c r="BH382" i="14"/>
  <c r="BR142" i="14"/>
  <c r="AZ320" i="14"/>
  <c r="BP511" i="14"/>
  <c r="BJ298" i="14"/>
  <c r="AX644" i="14"/>
  <c r="BH488" i="14"/>
  <c r="BB440" i="14"/>
  <c r="BN68" i="14"/>
  <c r="BD670" i="14"/>
  <c r="BF439" i="14"/>
  <c r="BB584" i="14"/>
  <c r="AV319" i="14"/>
  <c r="BD286" i="14"/>
  <c r="BN417" i="14"/>
  <c r="BR645" i="14"/>
  <c r="AZ355" i="14"/>
  <c r="AZ297" i="14"/>
  <c r="BR429" i="14"/>
  <c r="BN370" i="14"/>
  <c r="BN610" i="14"/>
  <c r="BD166" i="14"/>
  <c r="BB535" i="14"/>
  <c r="BJ451" i="14"/>
  <c r="BB405" i="14"/>
  <c r="BF454" i="14"/>
  <c r="BB369" i="14"/>
  <c r="BJ439" i="14"/>
  <c r="BR188" i="14"/>
  <c r="BH343" i="14"/>
  <c r="AX622" i="14"/>
  <c r="BF211" i="14"/>
  <c r="BD526" i="14"/>
  <c r="BH152" i="14"/>
  <c r="AV238" i="14"/>
  <c r="BN271" i="14"/>
  <c r="BR140" i="14"/>
  <c r="BP441" i="14"/>
  <c r="BP646" i="14"/>
  <c r="BR224" i="14"/>
  <c r="BD141" i="14"/>
  <c r="BL165" i="14"/>
  <c r="BF466" i="14"/>
  <c r="BB429" i="14"/>
  <c r="BF69" i="14"/>
  <c r="BJ549" i="14"/>
  <c r="BJ139" i="14"/>
  <c r="BJ308" i="14"/>
  <c r="AX453" i="14"/>
  <c r="AZ165" i="14"/>
  <c r="BP151" i="14"/>
  <c r="BF166" i="14"/>
  <c r="BJ416" i="14"/>
  <c r="BF128" i="14"/>
  <c r="BH175" i="14"/>
  <c r="BL632" i="14"/>
  <c r="AV562" i="14"/>
  <c r="AV309" i="14"/>
  <c r="AV283" i="14"/>
  <c r="BP681" i="14"/>
  <c r="AZ418" i="14"/>
  <c r="AV130" i="14"/>
  <c r="BH93" i="14"/>
  <c r="AX488" i="14"/>
  <c r="BF82" i="14"/>
  <c r="BP442" i="14"/>
  <c r="AX200" i="14"/>
  <c r="AZ489" i="14"/>
  <c r="BR44" i="14"/>
  <c r="AV237" i="14"/>
  <c r="BF142" i="14"/>
  <c r="BR667" i="14"/>
  <c r="AZ392" i="14"/>
  <c r="AX343" i="14"/>
  <c r="BP619" i="14"/>
  <c r="BH308" i="14"/>
  <c r="BR211" i="14"/>
  <c r="BR117" i="14"/>
  <c r="AZ440" i="14"/>
  <c r="BF213" i="14"/>
  <c r="BH610" i="14"/>
  <c r="AX489" i="14"/>
  <c r="BL202" i="14"/>
  <c r="AZ250" i="14"/>
  <c r="BD151" i="14"/>
  <c r="BL574" i="14"/>
  <c r="BH658" i="14"/>
  <c r="AZ416" i="14"/>
  <c r="BF307" i="14"/>
  <c r="BP514" i="14"/>
  <c r="BD403" i="14"/>
  <c r="BN344" i="14"/>
  <c r="BL500" i="14"/>
  <c r="BR499" i="14"/>
  <c r="BJ656" i="14"/>
  <c r="BH631" i="14"/>
  <c r="BH69" i="14"/>
  <c r="AZ477" i="14"/>
  <c r="BH595" i="14"/>
  <c r="AV655" i="14"/>
  <c r="BF331" i="14"/>
  <c r="AV358" i="14"/>
  <c r="BN82" i="14"/>
  <c r="BP463" i="14"/>
  <c r="AZ429" i="14"/>
  <c r="BL655" i="14"/>
  <c r="BB489" i="14"/>
  <c r="BN55" i="14"/>
  <c r="BN502" i="14"/>
  <c r="BL151" i="14"/>
  <c r="AV212" i="14"/>
  <c r="AX309" i="14"/>
  <c r="BN439" i="14"/>
  <c r="BP404" i="14"/>
  <c r="BH511" i="14"/>
  <c r="BN441" i="14"/>
  <c r="AX523" i="14"/>
  <c r="BL94" i="14"/>
  <c r="BN79" i="14"/>
  <c r="BJ224" i="14"/>
  <c r="AV115" i="14"/>
  <c r="BF511" i="14"/>
  <c r="BR345" i="14"/>
  <c r="BN297" i="14"/>
  <c r="BF619" i="14"/>
  <c r="BN656" i="14"/>
  <c r="BF634" i="14"/>
  <c r="BB655" i="14"/>
  <c r="AX478" i="14"/>
  <c r="AV247" i="14"/>
  <c r="BH502" i="14"/>
  <c r="AX177" i="14"/>
  <c r="BH380" i="14"/>
  <c r="AX250" i="14"/>
  <c r="BD355" i="14"/>
  <c r="BP250" i="14"/>
  <c r="BB320" i="14"/>
  <c r="BN621" i="14"/>
  <c r="BB358" i="14"/>
  <c r="BL537" i="14"/>
  <c r="BB476" i="14"/>
  <c r="AX214" i="14"/>
  <c r="BN70" i="14"/>
  <c r="BB94" i="14"/>
  <c r="BR573" i="14"/>
  <c r="BP559" i="14"/>
  <c r="AV405" i="14"/>
  <c r="BN272" i="14"/>
  <c r="AX550" i="14"/>
  <c r="AX333" i="14"/>
  <c r="AV259" i="14"/>
  <c r="BD250" i="14"/>
  <c r="BN463" i="14"/>
  <c r="AZ105" i="14"/>
  <c r="BF369" i="14"/>
  <c r="BP261" i="14"/>
  <c r="BR559" i="14"/>
  <c r="BR284" i="14"/>
  <c r="BH283" i="14"/>
  <c r="BJ550" i="14"/>
  <c r="BR633" i="14"/>
  <c r="BD164" i="14"/>
  <c r="AV585" i="14"/>
  <c r="BH223" i="14"/>
  <c r="BH127" i="14"/>
  <c r="BJ176" i="14"/>
  <c r="BD658" i="14"/>
  <c r="BN487" i="14"/>
  <c r="BB658" i="14"/>
  <c r="BP394" i="14"/>
  <c r="BD105" i="14"/>
  <c r="BL417" i="14"/>
  <c r="BP68" i="14"/>
  <c r="BF106" i="14"/>
  <c r="BP548" i="14"/>
  <c r="BF451" i="14"/>
  <c r="BJ391" i="14"/>
  <c r="BB344" i="14"/>
  <c r="BL585" i="14"/>
  <c r="BH548" i="14"/>
  <c r="BJ187" i="14"/>
  <c r="BH475" i="14"/>
  <c r="BJ81" i="14"/>
  <c r="BL334" i="14"/>
  <c r="AV226" i="14"/>
  <c r="BP489" i="14"/>
  <c r="BN262" i="14"/>
  <c r="BL92" i="14"/>
  <c r="AZ358" i="14"/>
  <c r="BF667" i="14"/>
  <c r="BR367" i="14"/>
  <c r="BF500" i="14"/>
  <c r="BP513" i="14"/>
  <c r="BD441" i="14"/>
  <c r="BB271" i="14"/>
  <c r="BL105" i="14"/>
  <c r="AZ190" i="14"/>
  <c r="BD463" i="14"/>
  <c r="BJ679" i="14"/>
  <c r="BJ669" i="14"/>
  <c r="BD235" i="14"/>
  <c r="BP346" i="14"/>
  <c r="AX632" i="14"/>
  <c r="BF190" i="14"/>
  <c r="AZ140" i="14"/>
  <c r="BL238" i="14"/>
  <c r="AZ547" i="14"/>
  <c r="BB261" i="14"/>
  <c r="AV538" i="14"/>
  <c r="AV632" i="14"/>
  <c r="BP223" i="14"/>
  <c r="BR622" i="14"/>
  <c r="AZ404" i="14"/>
  <c r="AX58" i="14"/>
  <c r="BH632" i="14"/>
  <c r="BF248" i="14"/>
  <c r="BH178" i="14"/>
  <c r="BR382" i="14"/>
  <c r="BJ226" i="14"/>
  <c r="BN346" i="14"/>
  <c r="AX139" i="14"/>
  <c r="BJ127" i="14"/>
  <c r="AX356" i="14"/>
  <c r="BN644" i="14"/>
  <c r="AX391" i="14"/>
  <c r="BR586" i="14"/>
  <c r="BR524" i="14"/>
  <c r="BH164" i="14"/>
  <c r="BL368" i="14"/>
  <c r="AZ223" i="14"/>
  <c r="BB58" i="14"/>
  <c r="BF415" i="14"/>
  <c r="BD58" i="14"/>
  <c r="BJ344" i="14"/>
  <c r="BB56" i="14"/>
  <c r="BN58" i="14"/>
  <c r="BJ511" i="14"/>
  <c r="AZ607" i="14"/>
  <c r="BR526" i="14"/>
  <c r="AV200" i="14"/>
  <c r="BB226" i="14"/>
  <c r="AV619" i="14"/>
  <c r="BN454" i="14"/>
  <c r="BD226" i="14"/>
  <c r="BH537" i="14"/>
  <c r="BR404" i="14"/>
  <c r="AZ526" i="14"/>
  <c r="BL249" i="14"/>
  <c r="BN117" i="14"/>
  <c r="BD547" i="14"/>
  <c r="AV610" i="14"/>
  <c r="BR477" i="14"/>
  <c r="BB201" i="14"/>
  <c r="BF535" i="14"/>
  <c r="BP682" i="14"/>
  <c r="BJ573" i="14"/>
  <c r="BJ514" i="14"/>
  <c r="BJ165" i="14"/>
  <c r="BJ236" i="14"/>
  <c r="AV512" i="14"/>
  <c r="BB130" i="14"/>
  <c r="BP452" i="14"/>
  <c r="BD259" i="14"/>
  <c r="BL489" i="14"/>
  <c r="BJ667" i="14"/>
  <c r="AV597" i="14"/>
  <c r="BP655" i="14"/>
  <c r="BH668" i="14"/>
  <c r="AV502" i="14"/>
  <c r="BH105" i="14"/>
  <c r="AV526" i="14"/>
  <c r="BP358" i="14"/>
  <c r="AZ116" i="14"/>
  <c r="BB250" i="14"/>
  <c r="BJ164" i="14"/>
  <c r="BH177" i="14"/>
  <c r="BR595" i="14"/>
  <c r="BL535" i="14"/>
  <c r="BB165" i="14"/>
  <c r="BF429" i="14"/>
  <c r="AX572" i="14"/>
  <c r="BP657" i="14"/>
  <c r="BP656" i="14"/>
  <c r="AX236" i="14"/>
  <c r="BL260" i="14"/>
  <c r="BH620" i="14"/>
  <c r="BR655" i="14"/>
  <c r="AZ610" i="14"/>
  <c r="BL670" i="14"/>
  <c r="BH465" i="14"/>
  <c r="BP320" i="14"/>
  <c r="BN238" i="14"/>
  <c r="BD538" i="14"/>
  <c r="BF176" i="14"/>
  <c r="BL152" i="14"/>
  <c r="AV55" i="14"/>
  <c r="BB633" i="14"/>
  <c r="BN236" i="14"/>
  <c r="BN333" i="14"/>
  <c r="BB67" i="14"/>
  <c r="AX247" i="14"/>
  <c r="BR58" i="14"/>
  <c r="AZ309" i="14"/>
  <c r="AV633" i="14"/>
  <c r="BN355" i="14"/>
  <c r="BD104" i="14"/>
  <c r="BJ415" i="14"/>
  <c r="BR128" i="14"/>
  <c r="BD296" i="14"/>
  <c r="AV355" i="14"/>
  <c r="BL583" i="14"/>
  <c r="AX140" i="14"/>
  <c r="BH381" i="14"/>
  <c r="AX415" i="14"/>
  <c r="BH574" i="14"/>
  <c r="BL369" i="14"/>
  <c r="BF559" i="14"/>
  <c r="BJ658" i="14"/>
  <c r="BL140" i="14"/>
  <c r="BP536" i="14"/>
  <c r="BR56" i="14"/>
  <c r="BL283" i="14"/>
  <c r="BB223" i="14"/>
  <c r="BP213" i="14"/>
  <c r="BH490" i="14"/>
  <c r="AZ248" i="14"/>
  <c r="BD466" i="14"/>
  <c r="BD55" i="14"/>
  <c r="BH416" i="14"/>
  <c r="BR238" i="14"/>
  <c r="BR607" i="14"/>
  <c r="BR199" i="14"/>
  <c r="BJ598" i="14"/>
  <c r="BB403" i="14"/>
  <c r="AX345" i="14"/>
  <c r="AV657" i="14"/>
  <c r="BL177" i="14"/>
  <c r="BN334" i="14"/>
  <c r="BL428" i="14"/>
  <c r="BJ562" i="14"/>
  <c r="AZ441" i="14"/>
  <c r="BD394" i="14"/>
  <c r="BN427" i="14"/>
  <c r="BH379" i="14"/>
  <c r="BP319" i="14"/>
  <c r="AX190" i="14"/>
  <c r="BB631" i="14"/>
  <c r="AZ632" i="14"/>
  <c r="BN514" i="14"/>
  <c r="BH248" i="14"/>
  <c r="BH394" i="14"/>
  <c r="AX643" i="14"/>
  <c r="BP535" i="14"/>
  <c r="BL345" i="14"/>
  <c r="BF70" i="14"/>
  <c r="BP584" i="14"/>
  <c r="BD176" i="14"/>
  <c r="BR596" i="14"/>
  <c r="BR105" i="14"/>
  <c r="AZ620" i="14"/>
  <c r="BP295" i="14"/>
  <c r="BB379" i="14"/>
  <c r="BN403" i="14"/>
  <c r="BP212" i="14"/>
  <c r="BP262" i="14"/>
  <c r="BL622" i="14"/>
  <c r="BH440" i="14"/>
  <c r="AX392" i="14"/>
  <c r="BL214" i="14"/>
  <c r="AV129" i="14"/>
  <c r="AX310" i="14"/>
  <c r="BJ105" i="14"/>
  <c r="BN561" i="14"/>
  <c r="AZ561" i="14"/>
  <c r="AZ154" i="14"/>
  <c r="AX560" i="14"/>
  <c r="BN418" i="14"/>
  <c r="AZ573" i="14"/>
  <c r="BF562" i="14"/>
  <c r="BB260" i="14"/>
  <c r="BJ129" i="14"/>
  <c r="AX308" i="14"/>
  <c r="AX667" i="14"/>
  <c r="BL488" i="14"/>
  <c r="BJ631" i="14"/>
  <c r="AZ415" i="14"/>
  <c r="AZ596" i="14"/>
  <c r="BJ331" i="14"/>
  <c r="BR501" i="14"/>
  <c r="BH211" i="14"/>
  <c r="BJ223" i="14"/>
  <c r="AV622" i="14"/>
  <c r="AZ502" i="14"/>
  <c r="BF202" i="14"/>
  <c r="AV463" i="14"/>
  <c r="BP178" i="14"/>
  <c r="BJ595" i="14"/>
  <c r="AZ295" i="14"/>
  <c r="BD382" i="14"/>
  <c r="BD631" i="14"/>
  <c r="BR248" i="14"/>
  <c r="BH202" i="14"/>
  <c r="AX464" i="14"/>
  <c r="BB559" i="14"/>
  <c r="BF644" i="14"/>
  <c r="BN538" i="14"/>
  <c r="BF405" i="14"/>
  <c r="BJ117" i="14"/>
  <c r="AX452" i="14"/>
  <c r="AZ667" i="14"/>
  <c r="BJ177" i="14"/>
  <c r="BD572" i="14"/>
  <c r="AX369" i="14"/>
  <c r="BF200" i="14"/>
  <c r="BH331" i="14"/>
  <c r="BD93" i="14"/>
  <c r="BH247" i="14"/>
  <c r="BB189" i="14"/>
  <c r="AZ656" i="14"/>
  <c r="BJ332" i="14"/>
  <c r="BD189" i="14"/>
  <c r="AX296" i="14"/>
  <c r="AV560" i="14"/>
  <c r="BP645" i="14"/>
  <c r="BJ571" i="14"/>
  <c r="BP175" i="14"/>
  <c r="AX502" i="14"/>
  <c r="BR490" i="14"/>
  <c r="AV367" i="14"/>
  <c r="BJ609" i="14"/>
  <c r="BP93" i="14"/>
  <c r="BD561" i="14"/>
  <c r="AX199" i="14"/>
  <c r="BN442" i="14"/>
  <c r="BD682" i="14"/>
  <c r="AZ104" i="14"/>
  <c r="AX646" i="14"/>
  <c r="BH237" i="14"/>
  <c r="AX442" i="14"/>
  <c r="BL559" i="14"/>
  <c r="BD175" i="14"/>
  <c r="BH334" i="14"/>
  <c r="BJ621" i="14"/>
  <c r="BB548" i="14"/>
  <c r="BB634" i="14"/>
  <c r="BJ645" i="14"/>
  <c r="BB586" i="14"/>
  <c r="BN259" i="14"/>
  <c r="BL115" i="14"/>
  <c r="AZ69" i="14"/>
  <c r="BB214" i="14"/>
  <c r="BJ189" i="14"/>
  <c r="BH163" i="14"/>
  <c r="AX286" i="14"/>
  <c r="BH190" i="14"/>
  <c r="BF67" i="14"/>
  <c r="AZ106" i="14"/>
  <c r="BD525" i="14"/>
  <c r="BP370" i="14"/>
  <c r="BD633" i="14"/>
  <c r="BR153" i="14"/>
  <c r="BP273" i="14"/>
  <c r="AZ164" i="14"/>
  <c r="BN224" i="14"/>
  <c r="BP237" i="14"/>
  <c r="BH320" i="14"/>
  <c r="BF658" i="14"/>
  <c r="BJ67" i="14"/>
  <c r="BJ320" i="14"/>
  <c r="BL189" i="14"/>
  <c r="BD499" i="14"/>
  <c r="BJ596" i="14"/>
  <c r="BD405" i="14"/>
  <c r="BF344" i="14"/>
  <c r="AZ163" i="14"/>
  <c r="AV440" i="14"/>
  <c r="BP475" i="14"/>
  <c r="BN416" i="14"/>
  <c r="AZ235" i="14"/>
  <c r="BJ190" i="14"/>
  <c r="BP297" i="14"/>
  <c r="BB284" i="14"/>
  <c r="BL259" i="14"/>
  <c r="AZ597" i="14"/>
  <c r="BB283" i="14"/>
  <c r="BB382" i="14"/>
  <c r="BR463" i="14"/>
  <c r="BF80" i="14"/>
  <c r="BH357" i="14"/>
  <c r="BH307" i="14"/>
  <c r="BP573" i="14"/>
  <c r="BJ93" i="14"/>
  <c r="AV609" i="14"/>
  <c r="BN595" i="14"/>
  <c r="BR514" i="14"/>
  <c r="BF118" i="14"/>
  <c r="BH681" i="14"/>
  <c r="AX238" i="14"/>
  <c r="BL609" i="14"/>
  <c r="BD334" i="14"/>
  <c r="BP501" i="14"/>
  <c r="BR259" i="14"/>
  <c r="AX151" i="14"/>
  <c r="BL81" i="14"/>
  <c r="BR452" i="14"/>
  <c r="BB141" i="14"/>
  <c r="BD634" i="14"/>
  <c r="BR393" i="14"/>
  <c r="AX620" i="14"/>
  <c r="BJ273" i="14"/>
  <c r="BH188" i="14"/>
  <c r="BR679" i="14"/>
  <c r="BF598" i="14"/>
  <c r="BL154" i="14"/>
  <c r="BB524" i="14"/>
  <c r="AV105" i="14"/>
  <c r="BJ214" i="14"/>
  <c r="AZ633" i="14"/>
  <c r="BN475" i="14"/>
  <c r="AV658" i="14"/>
  <c r="BF345" i="14"/>
  <c r="BL80" i="14"/>
  <c r="AV67" i="14"/>
  <c r="BF487" i="14"/>
  <c r="AZ334" i="14"/>
  <c r="BD212" i="14"/>
  <c r="BB428" i="14"/>
  <c r="BF273" i="14"/>
  <c r="AV547" i="14"/>
  <c r="BD440" i="14"/>
  <c r="AZ79" i="14"/>
  <c r="BD283" i="14"/>
  <c r="BH116" i="14"/>
  <c r="AZ466" i="14"/>
  <c r="BR116" i="14"/>
  <c r="BF381" i="14"/>
  <c r="BB178" i="14"/>
  <c r="AX439" i="14"/>
  <c r="BP405" i="14"/>
  <c r="BP631" i="14"/>
  <c r="BL646" i="14"/>
  <c r="BN634" i="14"/>
  <c r="BL391" i="14"/>
  <c r="BF607" i="14"/>
  <c r="AX585" i="14"/>
  <c r="AX357" i="14"/>
  <c r="AV466" i="14"/>
  <c r="BN668" i="14"/>
  <c r="BH129" i="14"/>
  <c r="BB319" i="14"/>
  <c r="BP454" i="14"/>
  <c r="BJ418" i="14"/>
  <c r="BB670" i="14"/>
  <c r="BP632" i="14"/>
  <c r="BH633" i="14"/>
  <c r="BL356" i="14"/>
  <c r="BP562" i="14"/>
  <c r="AX512" i="14"/>
  <c r="BF249" i="14"/>
  <c r="AV334" i="14"/>
  <c r="BL381" i="14"/>
  <c r="BF296" i="14"/>
  <c r="BB176" i="14"/>
  <c r="AV525" i="14"/>
  <c r="BR331" i="14"/>
  <c r="AZ343" i="14"/>
  <c r="BL463" i="14"/>
  <c r="AV476" i="14"/>
  <c r="BH367" i="14"/>
  <c r="AZ670" i="14"/>
  <c r="BL644" i="14"/>
  <c r="AX68" i="14"/>
  <c r="BB225" i="14"/>
  <c r="AV139" i="14"/>
  <c r="BN188" i="14"/>
  <c r="BB502" i="14"/>
  <c r="BB331" i="14"/>
  <c r="AV223" i="14"/>
  <c r="BJ585" i="14"/>
  <c r="BP211" i="14"/>
  <c r="BR346" i="14"/>
  <c r="BP465" i="14"/>
  <c r="AV320" i="14"/>
  <c r="BL550" i="14"/>
  <c r="BR571" i="14"/>
  <c r="BB499" i="14"/>
  <c r="BR200" i="14"/>
  <c r="AV584" i="14"/>
  <c r="AX248" i="14"/>
  <c r="BN308" i="14"/>
  <c r="AZ80" i="14"/>
  <c r="AZ224" i="14"/>
  <c r="BN274" i="14"/>
  <c r="BJ55" i="14"/>
  <c r="BF475" i="14"/>
  <c r="BF189" i="14"/>
  <c r="AX272" i="14"/>
  <c r="BD307" i="14"/>
  <c r="BP439" i="14"/>
  <c r="BL104" i="14"/>
  <c r="BN166" i="14"/>
  <c r="BD548" i="14"/>
  <c r="BF153" i="14"/>
  <c r="BD211" i="14"/>
  <c r="AZ525" i="14"/>
  <c r="AX574" i="14"/>
  <c r="AZ490" i="14"/>
  <c r="AX403" i="14"/>
  <c r="AV427" i="14"/>
  <c r="BN394" i="14"/>
  <c r="BH322" i="14"/>
  <c r="AV583" i="14"/>
  <c r="BL357" i="14"/>
  <c r="AZ595" i="14"/>
  <c r="BH151" i="14"/>
  <c r="BB70" i="14"/>
  <c r="AZ272" i="14"/>
  <c r="BH345" i="14"/>
  <c r="BR214" i="14"/>
  <c r="BB285" i="14"/>
  <c r="BD56" i="14"/>
  <c r="BP271" i="14"/>
  <c r="BD106" i="14"/>
  <c r="BN200" i="14"/>
  <c r="BN379" i="14"/>
  <c r="AX656" i="14"/>
  <c r="BL93" i="14"/>
  <c r="BJ668" i="14"/>
  <c r="BP200" i="14"/>
  <c r="AV127" i="14"/>
  <c r="BN586" i="14"/>
  <c r="BJ632" i="14"/>
  <c r="BP310" i="14"/>
  <c r="BD69" i="14"/>
  <c r="BR442" i="14"/>
  <c r="AX235" i="14"/>
  <c r="BP572" i="14"/>
  <c r="BJ154" i="14"/>
  <c r="BP669" i="14"/>
  <c r="BL415" i="14"/>
  <c r="BR475" i="14"/>
  <c r="BF370" i="14"/>
  <c r="BP152" i="14"/>
  <c r="BB682" i="14"/>
  <c r="AX274" i="14"/>
  <c r="BL118" i="14"/>
  <c r="BN320" i="14"/>
  <c r="BB393" i="14"/>
  <c r="BP502" i="14"/>
  <c r="BL595" i="14"/>
  <c r="BJ512" i="14"/>
  <c r="AV646" i="14"/>
  <c r="BF117" i="14"/>
  <c r="AZ586" i="14"/>
  <c r="AV70" i="14"/>
  <c r="BB536" i="14"/>
  <c r="BR464" i="14"/>
  <c r="BF523" i="14"/>
  <c r="BL547" i="14"/>
  <c r="BF560" i="14"/>
  <c r="BF586" i="14"/>
  <c r="BH92" i="14"/>
  <c r="AX454" i="14"/>
  <c r="BL274" i="14"/>
  <c r="BB202" i="14"/>
  <c r="BP57" i="14"/>
  <c r="BL262" i="14"/>
  <c r="BF655" i="14"/>
  <c r="BD656" i="14"/>
  <c r="BB526" i="14"/>
  <c r="AX463" i="14"/>
  <c r="BP142" i="14"/>
  <c r="BD574" i="14"/>
  <c r="AV380" i="14"/>
  <c r="BD584" i="14"/>
  <c r="BH201" i="14"/>
  <c r="AV357" i="14"/>
  <c r="BP596" i="14"/>
  <c r="BJ369" i="14"/>
  <c r="AX55" i="14"/>
  <c r="AV667" i="14"/>
  <c r="AX92" i="14"/>
  <c r="BH214" i="14"/>
  <c r="BB500" i="14"/>
  <c r="BN261" i="14"/>
  <c r="AX334" i="14"/>
  <c r="BR250" i="14"/>
  <c r="AZ370" i="14"/>
  <c r="BL320" i="14"/>
  <c r="BF320" i="14"/>
  <c r="BP298" i="14"/>
  <c r="BL586" i="14"/>
  <c r="BH585" i="14"/>
  <c r="BL272" i="14"/>
  <c r="BD201" i="14"/>
  <c r="AX127" i="14"/>
  <c r="BJ166" i="14"/>
  <c r="AZ549" i="14"/>
  <c r="AX607" i="14"/>
  <c r="BJ91" i="14"/>
  <c r="BN549" i="14"/>
  <c r="BH80" i="14"/>
  <c r="BP67" i="14"/>
  <c r="AZ619" i="14"/>
  <c r="AX103" i="14"/>
  <c r="BD430" i="14"/>
  <c r="BD595" i="14"/>
  <c r="AV403" i="14"/>
  <c r="BJ225" i="14"/>
  <c r="AX81" i="14"/>
  <c r="BN357" i="14"/>
  <c r="BD502" i="14"/>
  <c r="BN56" i="14"/>
  <c r="BB596" i="14"/>
  <c r="BH368" i="14"/>
  <c r="BB608" i="14"/>
  <c r="AV394" i="14"/>
  <c r="BN307" i="14"/>
  <c r="BP453" i="14"/>
  <c r="BF463" i="14"/>
  <c r="BD488" i="14"/>
  <c r="BN223" i="14"/>
  <c r="BR537" i="14"/>
  <c r="BD153" i="14"/>
  <c r="BF140" i="14"/>
  <c r="BD332" i="14"/>
  <c r="BF403" i="14"/>
  <c r="BB91" i="14"/>
  <c r="BF643" i="14"/>
  <c r="BP130" i="14"/>
  <c r="BJ295" i="14"/>
  <c r="AZ307" i="14"/>
  <c r="AV106" i="14"/>
  <c r="BF526" i="14"/>
  <c r="AX562" i="14"/>
  <c r="BJ248" i="14"/>
  <c r="BL175" i="14"/>
  <c r="BD380" i="14"/>
  <c r="BB439" i="14"/>
  <c r="AV550" i="14"/>
  <c r="BD619" i="14"/>
  <c r="BJ103" i="14"/>
  <c r="AX57" i="14"/>
  <c r="BN679" i="14"/>
  <c r="BB235" i="14"/>
  <c r="BJ463" i="14"/>
  <c r="AV645" i="14"/>
  <c r="BD140" i="14"/>
  <c r="AX404" i="14"/>
  <c r="BN680" i="14"/>
  <c r="BJ382" i="14"/>
  <c r="BN381" i="14"/>
  <c r="AZ139" i="14"/>
  <c r="BF298" i="14"/>
  <c r="AZ646" i="14"/>
  <c r="BL561" i="14"/>
  <c r="BP464" i="14"/>
  <c r="BB142" i="14"/>
  <c r="AV513" i="14"/>
  <c r="AZ319" i="14"/>
  <c r="AX548" i="14"/>
  <c r="BH621" i="14"/>
  <c r="AX249" i="14"/>
  <c r="BF571" i="14"/>
  <c r="BD67" i="14"/>
  <c r="AX571" i="14"/>
  <c r="BH453" i="14"/>
  <c r="BR223" i="14"/>
  <c r="BR597" i="14"/>
  <c r="AV307" i="14"/>
  <c r="BH415" i="14"/>
  <c r="AZ405" i="14"/>
  <c r="BJ440" i="14"/>
  <c r="AX80" i="14"/>
  <c r="BJ333" i="14"/>
  <c r="AZ166" i="14"/>
  <c r="BN310" i="14"/>
  <c r="BF427" i="14"/>
  <c r="BD368" i="14"/>
  <c r="BN358" i="14"/>
  <c r="BN584" i="14"/>
  <c r="AZ536" i="14"/>
  <c r="BN129" i="14"/>
  <c r="BH538" i="14"/>
  <c r="BD512" i="14"/>
  <c r="BL392" i="14"/>
  <c r="AV250" i="14"/>
  <c r="BP586" i="14"/>
  <c r="AZ631" i="14"/>
  <c r="BB538" i="14"/>
  <c r="BN478" i="14"/>
  <c r="BD465" i="14"/>
  <c r="BR681" i="14"/>
  <c r="BB116" i="14"/>
  <c r="AX379" i="14"/>
  <c r="BJ572" i="14"/>
  <c r="BP164" i="14"/>
  <c r="AX259" i="14"/>
  <c r="BF549" i="14"/>
  <c r="AZ487" i="14"/>
  <c r="BH523" i="14"/>
  <c r="BJ141" i="14"/>
  <c r="BJ271" i="14"/>
  <c r="BL501" i="14"/>
  <c r="BF416" i="14"/>
  <c r="BN548" i="14"/>
  <c r="BF430" i="14"/>
  <c r="AV322" i="14"/>
  <c r="BB151" i="14"/>
  <c r="BD667" i="14"/>
  <c r="BP679" i="14"/>
  <c r="BL536" i="14"/>
  <c r="BJ212" i="14"/>
  <c r="BF537" i="14"/>
  <c r="BH56" i="14"/>
  <c r="BR368" i="14"/>
  <c r="BF81" i="14"/>
  <c r="BF259" i="14"/>
  <c r="BL681" i="14"/>
  <c r="BP92" i="14"/>
  <c r="BB680" i="14"/>
  <c r="BN571" i="14"/>
  <c r="BB585" i="14"/>
  <c r="AV82" i="14"/>
  <c r="AV166" i="14"/>
  <c r="BB646" i="14"/>
  <c r="BL343" i="14"/>
  <c r="BL619" i="14"/>
  <c r="BR164" i="14"/>
  <c r="BH667" i="14"/>
  <c r="AZ368" i="14"/>
  <c r="BN295" i="14"/>
  <c r="BN585" i="14"/>
  <c r="BL394" i="14"/>
  <c r="BR166" i="14"/>
  <c r="BH261" i="14"/>
  <c r="BH609" i="14"/>
  <c r="BF94" i="14"/>
  <c r="BJ538" i="14"/>
  <c r="AZ274" i="14"/>
  <c r="BR262" i="14"/>
  <c r="BP512" i="14"/>
  <c r="AV343" i="14"/>
  <c r="BH118" i="14"/>
  <c r="BN490" i="14"/>
  <c r="BB295" i="14"/>
  <c r="AV154" i="14"/>
  <c r="BR536" i="14"/>
  <c r="BB356" i="14"/>
  <c r="AZ273" i="14"/>
  <c r="BH298" i="14"/>
  <c r="BR261" i="14"/>
  <c r="BR176" i="14"/>
  <c r="BB248" i="14"/>
  <c r="BP670" i="14"/>
  <c r="AZ537" i="14"/>
  <c r="BP139" i="14"/>
  <c r="AX393" i="14"/>
  <c r="BN118" i="14"/>
  <c r="AZ643" i="14"/>
  <c r="BP331" i="14"/>
  <c r="AV274" i="14"/>
  <c r="BB105" i="14"/>
  <c r="BR476" i="14"/>
  <c r="BP69" i="14"/>
  <c r="BH571" i="14"/>
  <c r="BD356" i="14"/>
  <c r="BF478" i="14"/>
  <c r="BB177" i="14"/>
  <c r="BL200" i="14"/>
  <c r="AV417" i="14"/>
  <c r="BB620" i="14"/>
  <c r="AX561" i="14"/>
  <c r="BB622" i="14"/>
  <c r="AX619" i="14"/>
  <c r="AZ56" i="14"/>
  <c r="BF657" i="14"/>
  <c r="BP283" i="14"/>
  <c r="BH79" i="14"/>
  <c r="BR427" i="14"/>
  <c r="AX559" i="14"/>
  <c r="BF225" i="14"/>
  <c r="BH645" i="14"/>
  <c r="AX382" i="14"/>
  <c r="AV285" i="14"/>
  <c r="BP70" i="14"/>
  <c r="BD620" i="14"/>
  <c r="BJ379" i="14"/>
  <c r="AV574" i="14"/>
  <c r="AZ92" i="14"/>
  <c r="BH346" i="14"/>
  <c r="BB610" i="14"/>
  <c r="BN560" i="14"/>
  <c r="BJ202" i="14"/>
  <c r="BJ487" i="14"/>
  <c r="BB370" i="14"/>
  <c r="BR178" i="14"/>
  <c r="BD262" i="14"/>
  <c r="BH128" i="14"/>
  <c r="BN429" i="14"/>
  <c r="BN607" i="14"/>
  <c r="BJ622" i="14"/>
  <c r="AV93" i="14"/>
  <c r="BR523" i="14"/>
  <c r="BP643" i="14"/>
  <c r="BB286" i="14"/>
  <c r="BD199" i="14"/>
  <c r="BP379" i="14"/>
  <c r="BF680" i="14"/>
  <c r="AV415" i="14"/>
  <c r="BH476" i="14"/>
  <c r="BF561" i="14"/>
  <c r="BH70" i="14"/>
  <c r="AV499" i="14"/>
  <c r="BN488" i="14"/>
  <c r="BB92" i="14"/>
  <c r="AZ428" i="14"/>
  <c r="BF346" i="14"/>
  <c r="AV452" i="14"/>
  <c r="AX297" i="14"/>
  <c r="AZ176" i="14"/>
  <c r="AV571" i="14"/>
  <c r="BP561" i="14"/>
  <c r="BJ403" i="14"/>
  <c r="AX525" i="14"/>
  <c r="BF418" i="14"/>
  <c r="BJ466" i="14"/>
  <c r="BF524" i="14"/>
  <c r="BP115" i="14"/>
  <c r="BJ355" i="14"/>
  <c r="BJ607" i="14"/>
  <c r="BR465" i="14"/>
  <c r="BJ235" i="14"/>
  <c r="AZ454" i="14"/>
  <c r="BL548" i="14"/>
  <c r="BP403" i="14"/>
  <c r="BL127" i="14"/>
  <c r="BN391" i="14"/>
  <c r="BP163" i="14"/>
  <c r="BL405" i="14"/>
  <c r="BP105" i="14"/>
  <c r="BL478" i="14"/>
  <c r="BN511" i="14"/>
  <c r="BL596" i="14"/>
  <c r="BF262" i="14"/>
  <c r="AV152" i="14"/>
  <c r="BR379" i="14"/>
  <c r="BJ394" i="14"/>
  <c r="BR322" i="14"/>
  <c r="AV175" i="14"/>
  <c r="AV368" i="14"/>
  <c r="BH428" i="14"/>
  <c r="BN562" i="14"/>
  <c r="BH225" i="14"/>
  <c r="BB656" i="14"/>
  <c r="BD177" i="14"/>
  <c r="AZ310" i="14"/>
  <c r="BN466" i="14"/>
  <c r="BN682" i="14"/>
  <c r="BN393" i="14"/>
  <c r="BB573" i="14"/>
  <c r="BH272" i="14"/>
  <c r="BD427" i="14"/>
  <c r="AV451" i="14"/>
  <c r="BF572" i="14"/>
  <c r="BB560" i="14"/>
  <c r="BF656" i="14"/>
  <c r="BJ523" i="14"/>
  <c r="BH670" i="14"/>
  <c r="BB550" i="14"/>
  <c r="AX381" i="14"/>
  <c r="BP487" i="14"/>
  <c r="BD417" i="14"/>
  <c r="BH656" i="14"/>
  <c r="BD117" i="14"/>
  <c r="BH526" i="14"/>
  <c r="BR538" i="14"/>
  <c r="AV297" i="14"/>
  <c r="AZ55" i="14"/>
  <c r="AX271" i="14"/>
  <c r="BJ152" i="14"/>
  <c r="BD451" i="14"/>
  <c r="BB463" i="14"/>
  <c r="BD200" i="14"/>
  <c r="BR585" i="14"/>
  <c r="BF295" i="14"/>
  <c r="BF236" i="14"/>
  <c r="BP79" i="14"/>
  <c r="BP141" i="14"/>
  <c r="BF310" i="14"/>
  <c r="BD57" i="14"/>
  <c r="BH238" i="14"/>
  <c r="AV477" i="14"/>
  <c r="BJ307" i="14"/>
  <c r="BN632" i="14"/>
  <c r="BB334" i="14"/>
  <c r="BB117" i="14"/>
  <c r="AZ501" i="14"/>
  <c r="BB139" i="14"/>
  <c r="BP308" i="14"/>
  <c r="AZ548" i="14"/>
  <c r="BB574" i="14"/>
  <c r="BP334" i="14"/>
  <c r="AV489" i="14"/>
  <c r="AZ286" i="14"/>
  <c r="BD562" i="14"/>
  <c r="AX106" i="14"/>
  <c r="BP128" i="14"/>
  <c r="BJ247" i="14"/>
  <c r="BN298" i="14"/>
  <c r="BH333" i="14"/>
  <c r="BB154" i="14"/>
  <c r="BR69" i="14"/>
  <c r="AX93" i="14"/>
  <c r="BF286" i="14"/>
  <c r="BR609" i="14"/>
  <c r="BB609" i="14"/>
  <c r="BJ370" i="14"/>
  <c r="BH622" i="14"/>
  <c r="BD271" i="14"/>
  <c r="BJ381" i="14"/>
  <c r="BJ548" i="14"/>
  <c r="BN104" i="14"/>
  <c r="AV465" i="14"/>
  <c r="BF669" i="14"/>
  <c r="AZ130" i="14"/>
  <c r="BP224" i="14"/>
  <c r="BF620" i="14"/>
  <c r="BF163" i="14"/>
  <c r="BF334" i="14"/>
  <c r="BH454" i="14"/>
  <c r="BF550" i="14"/>
  <c r="BN309" i="14"/>
  <c r="BD236" i="14"/>
  <c r="BR550" i="14"/>
  <c r="BD358" i="14"/>
  <c r="BH358" i="14"/>
  <c r="BJ597" i="14"/>
  <c r="AZ225" i="14"/>
  <c r="BB236" i="14"/>
  <c r="BL310" i="14"/>
  <c r="BL403" i="14"/>
  <c r="AZ439" i="14"/>
  <c r="BL235" i="14"/>
  <c r="BR391" i="14"/>
  <c r="BJ56" i="14"/>
  <c r="BB211" i="14"/>
  <c r="BJ163" i="14"/>
  <c r="BF309" i="14"/>
  <c r="AX202" i="14"/>
  <c r="BL429" i="14"/>
  <c r="BF646" i="14"/>
  <c r="BH213" i="14"/>
  <c r="BB57" i="14"/>
  <c r="BR57" i="14"/>
  <c r="BN572" i="14"/>
  <c r="BR621" i="14"/>
  <c r="BR332" i="14"/>
  <c r="BB512" i="14"/>
  <c r="AV596" i="14"/>
  <c r="BD202" i="14"/>
  <c r="BD225" i="14"/>
  <c r="BH655" i="14"/>
  <c r="AV177" i="14"/>
  <c r="BF391" i="14"/>
  <c r="BP355" i="14"/>
  <c r="BD249" i="14"/>
  <c r="BP56" i="14"/>
  <c r="BR405" i="14"/>
  <c r="AV369" i="14"/>
  <c r="BP667" i="14"/>
  <c r="BJ619" i="14"/>
  <c r="BR487" i="14"/>
  <c r="BR151" i="14"/>
  <c r="BD165" i="14"/>
  <c r="BL199" i="14"/>
  <c r="AX262" i="14"/>
  <c r="BJ70" i="14"/>
  <c r="BP201" i="14"/>
  <c r="BP585" i="14"/>
  <c r="BF151" i="14"/>
  <c r="BJ68" i="14"/>
  <c r="AX56" i="14"/>
  <c r="BN669" i="14"/>
  <c r="BH57" i="14"/>
  <c r="AV607" i="14"/>
  <c r="BL188" i="14"/>
  <c r="AV478" i="14"/>
  <c r="BH94" i="14"/>
  <c r="AX237" i="14"/>
  <c r="BD333" i="14"/>
  <c r="BL645" i="14"/>
  <c r="BP188" i="14"/>
  <c r="BR525" i="14"/>
  <c r="AZ658" i="14"/>
  <c r="BP226" i="14"/>
  <c r="AV346" i="14"/>
  <c r="BJ238" i="14"/>
  <c r="BF285" i="14"/>
  <c r="BR670" i="14"/>
  <c r="BD571" i="14"/>
  <c r="BL597" i="14"/>
  <c r="BD369" i="14"/>
  <c r="BJ633" i="14"/>
  <c r="AX429" i="14"/>
  <c r="BH405" i="14"/>
  <c r="AX405" i="14"/>
  <c r="BJ104" i="14"/>
  <c r="BH392" i="14"/>
  <c r="BN523" i="14"/>
  <c r="AV224" i="14"/>
  <c r="BD585" i="14"/>
  <c r="BJ441" i="14"/>
  <c r="AZ680" i="14"/>
  <c r="AX226" i="14"/>
  <c r="AZ127" i="14"/>
  <c r="BF379" i="14"/>
  <c r="BB346" i="14"/>
  <c r="BJ259" i="14"/>
  <c r="BP199" i="14"/>
  <c r="BD610" i="14"/>
  <c r="BH130" i="14"/>
  <c r="BP309" i="14"/>
  <c r="AX344" i="14"/>
  <c r="BN526" i="14"/>
  <c r="BF597" i="14"/>
  <c r="AZ331" i="14"/>
  <c r="AZ560" i="14"/>
  <c r="AX668" i="14"/>
  <c r="BD393" i="14"/>
  <c r="BJ655" i="14"/>
  <c r="BF442" i="14"/>
  <c r="BP633" i="14"/>
  <c r="BJ464" i="14"/>
  <c r="BF394" i="14"/>
  <c r="BR236" i="14"/>
  <c r="BB237" i="14"/>
  <c r="BJ584" i="14"/>
  <c r="AX679" i="14"/>
  <c r="BH139" i="14"/>
  <c r="BJ465" i="14"/>
  <c r="BL225" i="14"/>
  <c r="AV595" i="14"/>
  <c r="AX368" i="14"/>
  <c r="BP333" i="14"/>
  <c r="AZ524" i="14"/>
  <c r="AX584" i="14"/>
  <c r="BH235" i="14"/>
  <c r="BL560" i="14"/>
  <c r="AZ478" i="14"/>
  <c r="BH418" i="14"/>
  <c r="BD188" i="14"/>
  <c r="BP190" i="14"/>
  <c r="AZ141" i="14"/>
  <c r="AZ380" i="14"/>
  <c r="BP344" i="14"/>
  <c r="BR46" i="14"/>
  <c r="BL190" i="14"/>
  <c r="BL513" i="14"/>
  <c r="BF380" i="14"/>
  <c r="AZ308" i="14"/>
  <c r="AV142" i="14"/>
  <c r="BJ322" i="14"/>
  <c r="BP430" i="14"/>
  <c r="AX526" i="14"/>
  <c r="BN175" i="14"/>
  <c r="BJ213" i="14"/>
  <c r="BR451" i="14"/>
  <c r="BN681" i="14"/>
  <c r="AZ93" i="14"/>
  <c r="BR127" i="14"/>
  <c r="BF274" i="14"/>
  <c r="BR70" i="14"/>
  <c r="BN369" i="14"/>
  <c r="BF465" i="14"/>
  <c r="BL163" i="14"/>
  <c r="AV211" i="14"/>
  <c r="BN178" i="14"/>
  <c r="BD79" i="14"/>
  <c r="AX428" i="14"/>
  <c r="AX440" i="14"/>
  <c r="BH403" i="14"/>
  <c r="AV104" i="14"/>
  <c r="AV333" i="14"/>
  <c r="BF284" i="14"/>
  <c r="AV670" i="14"/>
  <c r="BD118" i="14"/>
  <c r="AZ151" i="14"/>
  <c r="BD477" i="14"/>
  <c r="AZ514" i="14"/>
  <c r="AZ285" i="14"/>
  <c r="BP55" i="14"/>
  <c r="AX633" i="14"/>
  <c r="BH103" i="14"/>
  <c r="BP106" i="14"/>
  <c r="BB598" i="14"/>
  <c r="BJ634" i="14"/>
  <c r="BP477" i="14"/>
  <c r="BB488" i="14"/>
  <c r="BF452" i="14"/>
  <c r="BJ274" i="14"/>
  <c r="BN430" i="14"/>
  <c r="AV201" i="14"/>
  <c r="BB175" i="14"/>
  <c r="BL549" i="14"/>
  <c r="BD274" i="14"/>
  <c r="BR657" i="14"/>
  <c r="BH82" i="14"/>
  <c r="AV537" i="14"/>
  <c r="BR82" i="14"/>
  <c r="BL620" i="14"/>
  <c r="AZ644" i="14"/>
  <c r="BN319" i="14"/>
  <c r="BR175" i="14"/>
  <c r="BB475" i="14"/>
  <c r="BB200" i="14"/>
  <c r="AV262" i="14"/>
  <c r="BN537" i="14"/>
  <c r="AV404" i="14"/>
  <c r="AX634" i="14"/>
  <c r="BL538" i="14"/>
  <c r="AV428" i="14"/>
  <c r="AX178" i="14"/>
  <c r="AV406" i="14"/>
  <c r="AZ500" i="14"/>
  <c r="BJ574" i="14"/>
  <c r="BD679" i="14"/>
  <c r="AX116" i="14"/>
  <c r="AV94" i="14"/>
  <c r="BL477" i="14"/>
  <c r="BL573" i="14"/>
  <c r="BH439" i="14"/>
  <c r="BD560" i="14"/>
  <c r="AX621" i="14"/>
  <c r="BH165" i="14"/>
  <c r="BB297" i="14"/>
  <c r="BL176" i="14"/>
  <c r="AX163" i="14"/>
  <c r="BL393" i="14"/>
  <c r="BP476" i="14"/>
  <c r="AZ513" i="14"/>
  <c r="BF165" i="14"/>
  <c r="BP202" i="14"/>
  <c r="BH189" i="14"/>
  <c r="BJ620" i="14"/>
  <c r="BP154" i="14"/>
  <c r="BH512" i="14"/>
  <c r="BD622" i="14"/>
  <c r="BD586" i="14"/>
  <c r="AX70" i="14"/>
  <c r="BD523" i="14"/>
  <c r="BJ586" i="14"/>
  <c r="AX225" i="14"/>
  <c r="BD490" i="14"/>
  <c r="BH356" i="14"/>
  <c r="BL657" i="14"/>
  <c r="AZ236" i="14"/>
  <c r="AV68" i="14"/>
  <c r="BF406" i="14"/>
  <c r="AX500" i="14"/>
  <c r="BD632" i="14"/>
  <c r="BB619" i="14"/>
  <c r="AZ394" i="14"/>
  <c r="BN116" i="14"/>
  <c r="BN199" i="14"/>
  <c r="BJ547" i="14"/>
  <c r="AX595" i="14"/>
  <c r="AV321" i="14"/>
  <c r="BL70" i="14"/>
  <c r="BF464" i="14"/>
  <c r="BN286" i="14"/>
  <c r="BD370" i="14"/>
  <c r="BH355" i="14"/>
  <c r="BJ80" i="14"/>
  <c r="BJ284" i="14"/>
  <c r="BP80" i="14"/>
  <c r="BP571" i="14"/>
  <c r="BJ454" i="14"/>
  <c r="BN598" i="14"/>
  <c r="BP103" i="14"/>
  <c r="BF621" i="14"/>
  <c r="AV331" i="14"/>
  <c r="BN331" i="14"/>
  <c r="AX427" i="14"/>
  <c r="BL284" i="14"/>
  <c r="AX451" i="14"/>
  <c r="AV261" i="14"/>
  <c r="BL297" i="14"/>
  <c r="BN609" i="14"/>
  <c r="BH560" i="14"/>
  <c r="BL643" i="14"/>
  <c r="BN451" i="14"/>
  <c r="BB583" i="14"/>
  <c r="BF358" i="14"/>
  <c r="BH501" i="14"/>
  <c r="BR417" i="14"/>
  <c r="BN67" i="14"/>
  <c r="AV500" i="14"/>
  <c r="AX307" i="14"/>
  <c r="BJ657" i="14"/>
  <c r="BN260" i="14"/>
  <c r="BN176" i="14"/>
  <c r="BF68" i="14"/>
  <c r="BP634" i="14"/>
  <c r="BF199" i="14"/>
  <c r="BP440" i="14"/>
  <c r="BD621" i="14"/>
  <c r="BP608" i="14"/>
  <c r="BN190" i="14"/>
  <c r="BN643" i="14"/>
  <c r="BR644" i="14"/>
  <c r="AV682" i="14"/>
  <c r="BH596" i="14"/>
  <c r="BP165" i="14"/>
  <c r="AV656" i="14"/>
  <c r="BH549" i="14"/>
  <c r="BH226" i="14"/>
  <c r="BP668" i="14"/>
  <c r="BL201" i="14"/>
  <c r="BB597" i="14"/>
  <c r="AZ177" i="14"/>
  <c r="BL226" i="14"/>
  <c r="BJ608" i="14"/>
  <c r="BJ405" i="14"/>
  <c r="BR91" i="14"/>
  <c r="BF631" i="14"/>
  <c r="AZ657" i="14"/>
  <c r="BN153" i="14"/>
  <c r="BB607" i="14"/>
  <c r="AZ68" i="14"/>
  <c r="BP550" i="14"/>
  <c r="BR583" i="14"/>
  <c r="BH344" i="14"/>
  <c r="BF141" i="14"/>
  <c r="AX538" i="14"/>
  <c r="BR358" i="14"/>
  <c r="BD247" i="14"/>
  <c r="BB190" i="14"/>
  <c r="AZ391" i="14"/>
  <c r="BL322" i="14"/>
  <c r="BN163" i="14"/>
  <c r="BD573" i="14"/>
  <c r="AZ476" i="14"/>
  <c r="BF237" i="14"/>
  <c r="BR454" i="14"/>
  <c r="AZ247" i="14"/>
  <c r="BR682" i="14"/>
  <c r="BB523" i="14"/>
  <c r="BD428" i="14"/>
  <c r="BN404" i="14"/>
  <c r="BL621" i="14"/>
  <c r="BB477" i="14"/>
  <c r="BN80" i="14"/>
  <c r="BN211" i="14"/>
  <c r="BF514" i="14"/>
  <c r="BB404" i="14"/>
  <c r="AZ117" i="14"/>
  <c r="AZ91" i="14"/>
  <c r="AX681" i="14"/>
  <c r="BH646" i="14"/>
  <c r="BP597" i="14"/>
  <c r="BP176" i="14"/>
  <c r="BH561" i="14"/>
  <c r="BR502" i="14"/>
  <c r="BB296" i="14"/>
  <c r="BJ501" i="14"/>
  <c r="BR55" i="14"/>
  <c r="AV439" i="14"/>
  <c r="BJ140" i="14"/>
  <c r="AZ211" i="14"/>
  <c r="BH200" i="14"/>
  <c r="AX129" i="14"/>
  <c r="BD418" i="14"/>
  <c r="BF105" i="14"/>
  <c r="BN105" i="14"/>
  <c r="AZ512" i="14"/>
  <c r="AX466" i="14"/>
  <c r="BD514" i="14"/>
  <c r="BF367" i="14"/>
  <c r="BB643" i="14"/>
  <c r="BP583" i="14"/>
  <c r="AV453" i="14"/>
  <c r="BN57" i="14"/>
  <c r="AX417" i="14"/>
  <c r="BF682" i="14"/>
  <c r="BD224" i="14"/>
  <c r="BH296" i="14"/>
  <c r="BF499" i="14"/>
  <c r="BB166" i="14"/>
  <c r="BL656" i="14"/>
  <c r="AZ453" i="14"/>
  <c r="AX322" i="14"/>
  <c r="AV561" i="14"/>
  <c r="AV379" i="14"/>
  <c r="BJ525" i="14"/>
  <c r="BL490" i="14"/>
  <c r="BN464" i="14"/>
  <c r="BH525" i="14"/>
  <c r="BJ475" i="14"/>
  <c r="BH682" i="14"/>
  <c r="BP416" i="14"/>
  <c r="BD549" i="14"/>
  <c r="AZ200" i="14"/>
  <c r="AZ271" i="14"/>
  <c r="BH487" i="14"/>
  <c r="AX501" i="14"/>
  <c r="AZ115" i="14"/>
  <c r="AX367" i="14"/>
  <c r="BD429" i="14"/>
  <c r="BL406" i="14"/>
  <c r="BP140" i="14"/>
  <c r="BB561" i="14"/>
  <c r="AZ188" i="14"/>
  <c r="BR308" i="14"/>
  <c r="AZ645" i="14"/>
  <c r="AX319" i="14"/>
  <c r="BL441" i="14"/>
  <c r="AZ427" i="14"/>
  <c r="BJ334" i="14"/>
  <c r="BL139" i="14"/>
  <c r="AV225" i="14"/>
  <c r="BF271" i="14"/>
  <c r="BN633" i="14"/>
  <c r="BJ535" i="14"/>
  <c r="BP117" i="14"/>
  <c r="BR430" i="14"/>
  <c r="BD475" i="14"/>
  <c r="AZ357" i="14"/>
  <c r="BF547" i="14"/>
  <c r="BB332" i="14"/>
  <c r="BF104" i="14"/>
  <c r="BJ118" i="14"/>
  <c r="BL453" i="14"/>
  <c r="BD223" i="14"/>
  <c r="BP248" i="14"/>
  <c r="AZ260" i="14"/>
  <c r="BF632" i="14"/>
  <c r="BF404" i="14"/>
  <c r="BP380" i="14"/>
  <c r="BH81" i="14"/>
  <c r="AX201" i="14"/>
  <c r="AX117" i="14"/>
  <c r="BD643" i="14"/>
  <c r="BD321" i="14"/>
  <c r="BL380" i="14"/>
  <c r="BR213" i="14"/>
  <c r="AV586" i="14"/>
  <c r="BF538" i="14"/>
  <c r="BN296" i="14"/>
  <c r="BR202" i="14"/>
  <c r="AV260" i="14"/>
  <c r="AV501" i="14"/>
  <c r="BN154" i="14"/>
  <c r="BH260" i="14"/>
  <c r="BF512" i="14"/>
  <c r="BP490" i="14"/>
  <c r="BD537" i="14"/>
  <c r="AV298" i="14"/>
  <c r="AZ559" i="14"/>
  <c r="BB259" i="14"/>
  <c r="BH536" i="14"/>
  <c r="BN501" i="14"/>
  <c r="BL668" i="14"/>
  <c r="BB69" i="14"/>
  <c r="AX475" i="14"/>
  <c r="AV117" i="14"/>
  <c r="BF250" i="14"/>
  <c r="AX273" i="14"/>
  <c r="BD681" i="14"/>
  <c r="BJ380" i="14"/>
  <c r="BD381" i="14"/>
  <c r="BJ430" i="14"/>
  <c r="AV190" i="14"/>
  <c r="BN91" i="14"/>
  <c r="BL584" i="14"/>
  <c r="AZ298" i="14"/>
  <c r="BN658" i="14"/>
  <c r="AZ634" i="14"/>
  <c r="BD655" i="14"/>
  <c r="BD511" i="14"/>
  <c r="BF681" i="14"/>
  <c r="BR103" i="14"/>
  <c r="AX79" i="14"/>
  <c r="BP524" i="14"/>
  <c r="BH500" i="14"/>
  <c r="BL307" i="14"/>
  <c r="BH106" i="14"/>
  <c r="BF633" i="14"/>
  <c r="BF238" i="14"/>
  <c r="BD489" i="14"/>
  <c r="BJ476" i="14"/>
  <c r="BN356" i="14"/>
  <c r="AX153" i="14"/>
  <c r="BD187" i="14"/>
  <c r="BB80" i="14"/>
  <c r="BP367" i="14"/>
  <c r="AX669" i="14"/>
  <c r="BL91" i="14"/>
  <c r="AV248" i="14"/>
  <c r="BH199" i="14"/>
  <c r="BF622" i="14"/>
  <c r="AZ406" i="14"/>
  <c r="BJ561" i="14"/>
  <c r="BR632" i="14"/>
  <c r="BJ92" i="14"/>
  <c r="BP500" i="14"/>
  <c r="AX609" i="14"/>
  <c r="AX130" i="14"/>
  <c r="AZ261" i="14"/>
  <c r="AX394" i="14"/>
  <c r="AZ572" i="14"/>
  <c r="BN476" i="14"/>
  <c r="BL273" i="14"/>
  <c r="BD103" i="14"/>
  <c r="AV235" i="14"/>
  <c r="BD91" i="14"/>
  <c r="BR271" i="14"/>
  <c r="BJ319" i="14"/>
  <c r="BH370" i="14"/>
  <c r="BL440" i="14"/>
  <c r="BJ57" i="14"/>
  <c r="BH319" i="14"/>
  <c r="BD609" i="14"/>
  <c r="BH572" i="14"/>
  <c r="BB668" i="14"/>
  <c r="BB367" i="14"/>
  <c r="AZ58" i="14"/>
  <c r="BN273" i="14"/>
  <c r="AX655" i="14"/>
  <c r="BF297" i="14"/>
  <c r="BR512" i="14"/>
  <c r="BN405" i="14"/>
  <c r="AV69" i="14"/>
  <c r="BF608" i="14"/>
  <c r="AV523" i="14"/>
  <c r="BL487" i="14"/>
  <c r="BF79" i="14"/>
  <c r="BD129" i="14"/>
  <c r="BL682" i="14"/>
  <c r="BL69" i="14"/>
  <c r="BB657" i="14"/>
  <c r="BR562" i="14"/>
  <c r="AV487" i="14"/>
  <c r="BJ489" i="14"/>
  <c r="BD128" i="14"/>
  <c r="BH514" i="14"/>
  <c r="BJ296" i="14"/>
  <c r="AX418" i="14"/>
  <c r="AZ201" i="14"/>
  <c r="BH284" i="14"/>
  <c r="BJ502" i="14"/>
  <c r="AV310" i="14"/>
  <c r="BR453" i="14"/>
  <c r="BL382" i="14"/>
  <c r="BR466" i="14"/>
  <c r="BD501" i="14"/>
  <c r="BD416" i="14"/>
  <c r="AZ622" i="14"/>
  <c r="BL248" i="14"/>
  <c r="BR283" i="14"/>
  <c r="AX358" i="14"/>
  <c r="BP427" i="14"/>
  <c r="BH466" i="14"/>
  <c r="AX355" i="14"/>
  <c r="AZ70" i="14"/>
  <c r="AZ681" i="14"/>
  <c r="AZ202" i="14"/>
  <c r="BN667" i="14"/>
  <c r="AV153" i="14"/>
  <c r="AZ584" i="14"/>
  <c r="BR333" i="14"/>
  <c r="BJ345" i="14"/>
  <c r="BP296" i="14"/>
  <c r="BR45" i="14"/>
  <c r="AV549" i="14"/>
  <c r="BN226" i="14"/>
  <c r="BB106" i="14"/>
  <c r="AX487" i="14"/>
  <c r="BR620" i="14"/>
  <c r="BR634" i="14"/>
  <c r="BN622" i="14"/>
  <c r="BJ106" i="14"/>
  <c r="BP488" i="14"/>
  <c r="AX537" i="14"/>
  <c r="BL658" i="14"/>
  <c r="BF333" i="14"/>
  <c r="BF55" i="14"/>
  <c r="AZ381" i="14"/>
  <c r="AX670" i="14"/>
  <c r="BN237" i="14"/>
  <c r="BH404" i="14"/>
  <c r="BB380" i="14"/>
  <c r="BD596" i="14"/>
  <c r="BR296" i="14"/>
  <c r="BB453" i="14"/>
  <c r="AV284" i="14"/>
  <c r="AZ382" i="14"/>
  <c r="AV295" i="14"/>
  <c r="BP177" i="14"/>
  <c r="BB309" i="14"/>
  <c r="BJ260" i="14"/>
  <c r="BP322" i="14"/>
  <c r="BJ321" i="14"/>
  <c r="BL116" i="14"/>
  <c r="AZ655" i="14"/>
  <c r="BF670" i="14"/>
  <c r="BL271" i="14"/>
  <c r="AZ142" i="14"/>
  <c r="AZ499" i="14"/>
  <c r="AX261" i="14"/>
  <c r="BL452" i="14"/>
  <c r="BP104" i="14"/>
  <c r="BN201" i="14"/>
  <c r="BJ128" i="14"/>
  <c r="BJ490" i="14"/>
  <c r="BP549" i="14"/>
  <c r="BB679" i="14"/>
  <c r="BB514" i="14"/>
  <c r="AV620" i="14"/>
  <c r="BJ478" i="14"/>
  <c r="BP369" i="14"/>
  <c r="AX631" i="14"/>
  <c r="BL610" i="14"/>
  <c r="AX573" i="14"/>
  <c r="AX164" i="14"/>
  <c r="BL332" i="14"/>
  <c r="BR187" i="14"/>
  <c r="BR139" i="14"/>
  <c r="BN657" i="14"/>
  <c r="BB152" i="14"/>
  <c r="BL344" i="14"/>
  <c r="BB572" i="14"/>
  <c r="BL57" i="14"/>
  <c r="BP238" i="14"/>
  <c r="BN213" i="14"/>
  <c r="BJ452" i="14"/>
  <c r="AX331" i="14"/>
  <c r="AZ81" i="14"/>
  <c r="BR357" i="14"/>
  <c r="BH187" i="14"/>
  <c r="BN583" i="14"/>
  <c r="BJ560" i="14"/>
  <c r="BH274" i="14"/>
  <c r="BF247" i="14"/>
  <c r="BH417" i="14"/>
  <c r="BF573" i="14"/>
  <c r="BL598" i="14"/>
  <c r="BB394" i="14"/>
  <c r="BN406" i="14"/>
  <c r="BJ153" i="14"/>
  <c r="BH68" i="14"/>
  <c r="BN535" i="14"/>
  <c r="AZ249" i="14"/>
  <c r="AX610" i="14"/>
  <c r="BR572" i="14"/>
  <c r="BR118" i="14"/>
  <c r="BN152" i="14"/>
  <c r="BP525" i="14"/>
  <c r="BD500" i="14"/>
  <c r="AX441" i="14"/>
  <c r="BN596" i="14"/>
  <c r="BR656" i="14"/>
  <c r="BJ116" i="14"/>
  <c r="AZ57" i="14"/>
  <c r="BF584" i="14"/>
  <c r="AV57" i="14"/>
  <c r="BP499" i="14"/>
  <c r="BR415" i="14"/>
  <c r="BD608" i="14"/>
  <c r="BP214" i="14"/>
  <c r="AX152" i="14"/>
  <c r="BB140" i="14"/>
  <c r="BH478" i="14"/>
  <c r="BL427" i="14"/>
  <c r="BN440" i="14"/>
  <c r="AZ465" i="14"/>
  <c r="BF93" i="14"/>
  <c r="BJ211" i="14"/>
  <c r="BP82" i="14"/>
  <c r="BR392" i="14"/>
  <c r="AZ464" i="14"/>
  <c r="BH259" i="14"/>
  <c r="BD343" i="14"/>
  <c r="BR394" i="14"/>
  <c r="BJ82" i="14"/>
  <c r="BL502" i="14"/>
  <c r="AX370" i="14"/>
  <c r="AV80" i="14"/>
  <c r="AX346" i="14"/>
  <c r="BP560" i="14"/>
  <c r="BD367" i="14"/>
  <c r="BP166" i="14"/>
  <c r="BD238" i="14"/>
  <c r="AV608" i="14"/>
  <c r="AX536" i="14"/>
  <c r="BH321" i="14"/>
  <c r="BJ368" i="14"/>
  <c r="BF502" i="14"/>
  <c r="BJ250" i="14"/>
  <c r="AV392" i="14"/>
  <c r="BB164" i="14"/>
  <c r="AX223" i="14"/>
  <c r="BP622" i="14"/>
  <c r="BJ646" i="14"/>
  <c r="BD322" i="14"/>
  <c r="BJ453" i="14"/>
  <c r="AV621" i="14"/>
  <c r="BD344" i="14"/>
  <c r="BP91" i="14"/>
  <c r="BN177" i="14"/>
  <c r="BL524" i="14"/>
  <c r="BL562" i="14"/>
  <c r="BP620" i="14"/>
  <c r="BL404" i="14"/>
  <c r="AX549" i="14"/>
  <c r="BB187" i="14"/>
  <c r="BN415" i="14"/>
  <c r="BH406" i="14"/>
  <c r="BF489" i="14"/>
  <c r="BJ356" i="14"/>
  <c r="AZ345" i="14"/>
  <c r="BD154" i="14"/>
  <c r="BL117" i="14"/>
  <c r="BN103" i="14"/>
  <c r="AV668" i="14"/>
  <c r="BB153" i="14"/>
  <c r="AX176" i="14"/>
  <c r="AV164" i="14"/>
  <c r="BB478" i="14"/>
  <c r="AZ118" i="14"/>
  <c r="BJ406" i="14"/>
  <c r="BN140" i="14"/>
  <c r="BN322" i="14"/>
  <c r="BB511" i="14"/>
  <c r="AZ128" i="14"/>
  <c r="BN130" i="14"/>
  <c r="AZ403" i="14"/>
  <c r="BJ670" i="14"/>
  <c r="BP382" i="14"/>
  <c r="AX187" i="14"/>
  <c r="BB549" i="14"/>
  <c r="BP247" i="14"/>
  <c r="AV681" i="14"/>
  <c r="BR500" i="14"/>
  <c r="BN92" i="14"/>
  <c r="BD550" i="14"/>
  <c r="BH463" i="14"/>
  <c r="AV680" i="14"/>
  <c r="BD669" i="14"/>
  <c r="BR237" i="14"/>
  <c r="BH393" i="14"/>
  <c r="BF441" i="14"/>
  <c r="BL82" i="14"/>
  <c r="BN465" i="14"/>
  <c r="BD559" i="14"/>
  <c r="BB212" i="14"/>
  <c r="BN151" i="14"/>
  <c r="BJ488" i="14"/>
  <c r="AX416" i="14"/>
  <c r="AV514" i="14"/>
  <c r="BR189" i="14"/>
  <c r="BL129" i="14"/>
  <c r="BL321" i="14"/>
  <c r="BH166" i="14"/>
  <c r="AX406" i="14"/>
  <c r="BB418" i="14"/>
  <c r="BL572" i="14"/>
  <c r="AZ535" i="14"/>
  <c r="BL103" i="14"/>
  <c r="BF393" i="14"/>
  <c r="BL571" i="14"/>
  <c r="BN392" i="14"/>
  <c r="BD476" i="14"/>
  <c r="BR646" i="14"/>
  <c r="BB442" i="14"/>
  <c r="BD644" i="14"/>
  <c r="BP428" i="14"/>
  <c r="BN655" i="14"/>
  <c r="BP356" i="14"/>
  <c r="BB416" i="14"/>
  <c r="BP153" i="14"/>
  <c r="BR428" i="14"/>
  <c r="BH679" i="14"/>
  <c r="BF428" i="14"/>
  <c r="BF574" i="14"/>
  <c r="AV128" i="14"/>
  <c r="BR489" i="14"/>
  <c r="AX104" i="14"/>
  <c r="BH309" i="14"/>
  <c r="BR310" i="14"/>
  <c r="BP249" i="14"/>
  <c r="BF178" i="14"/>
  <c r="AZ214" i="14"/>
  <c r="BH250" i="14"/>
  <c r="BR309" i="14"/>
  <c r="BP81" i="14"/>
  <c r="BD513" i="14"/>
  <c r="BB247" i="14"/>
  <c r="BB249" i="14"/>
  <c r="BR356" i="14"/>
  <c r="BF490" i="14"/>
  <c r="BP284" i="14"/>
  <c r="BH310" i="14"/>
  <c r="BR67" i="14"/>
  <c r="BJ142" i="14"/>
  <c r="AV249" i="14"/>
  <c r="AX465" i="14"/>
  <c r="BL166" i="14"/>
  <c r="BH489" i="14"/>
  <c r="BR511" i="14"/>
  <c r="BB307" i="14"/>
  <c r="AX598" i="14"/>
  <c r="BL367" i="14"/>
  <c r="BH452" i="14"/>
  <c r="BB308" i="14"/>
  <c r="AX212" i="14"/>
  <c r="BH669" i="14"/>
  <c r="AZ226" i="14"/>
  <c r="BB406" i="14"/>
  <c r="BD391" i="14"/>
  <c r="AV308" i="14"/>
  <c r="AV199" i="14"/>
  <c r="AZ598" i="14"/>
  <c r="AX511" i="14"/>
  <c r="BB391" i="14"/>
  <c r="BP272" i="14"/>
  <c r="AZ609" i="14"/>
  <c r="BH286" i="14"/>
  <c r="BR344" i="14"/>
  <c r="BB381" i="14"/>
  <c r="BN428" i="14"/>
  <c r="BF513" i="14"/>
  <c r="AX211" i="14"/>
  <c r="AZ178" i="14"/>
  <c r="BD130" i="14"/>
  <c r="BN81" i="14"/>
  <c r="BR274" i="14"/>
  <c r="BF332" i="14"/>
  <c r="BH524" i="14"/>
  <c r="BB55" i="14"/>
  <c r="AX188" i="14"/>
  <c r="BD92" i="14"/>
  <c r="AZ322" i="14"/>
  <c r="BL56" i="14"/>
  <c r="BN142" i="14"/>
  <c r="BN524" i="14"/>
  <c r="BR584" i="14"/>
  <c r="BR272" i="14"/>
  <c r="BN382" i="14"/>
  <c r="BD190" i="14"/>
  <c r="BH586" i="14"/>
  <c r="AX596" i="14"/>
  <c r="BB262" i="14"/>
  <c r="BH619" i="14"/>
  <c r="AV559" i="14"/>
  <c r="BP187" i="14"/>
  <c r="BL511" i="14"/>
  <c r="AZ475" i="14"/>
  <c r="BF201" i="14"/>
  <c r="AX165" i="14"/>
  <c r="BD415" i="14"/>
  <c r="AV393" i="14"/>
  <c r="BF56" i="14"/>
  <c r="AV631" i="14"/>
  <c r="AV165" i="14"/>
  <c r="AX535" i="14"/>
  <c r="BJ200" i="14"/>
  <c r="BJ644" i="14"/>
  <c r="AZ283" i="14"/>
  <c r="BB501" i="14"/>
  <c r="BJ272" i="14"/>
  <c r="BH140" i="14"/>
  <c r="BH115" i="14"/>
  <c r="BD346" i="14"/>
  <c r="AV454" i="14"/>
  <c r="BD392" i="14"/>
  <c r="AV381" i="14"/>
  <c r="BD308" i="14"/>
  <c r="BD536" i="14"/>
  <c r="BJ442" i="14"/>
  <c r="BR154" i="14"/>
  <c r="BB427" i="14"/>
  <c r="F35" i="43" l="1"/>
  <c r="H27" i="40"/>
  <c r="I27" i="40" s="1"/>
  <c r="H21" i="40"/>
  <c r="I21" i="40" s="1"/>
  <c r="F33" i="43"/>
  <c r="H25" i="40"/>
  <c r="I25" i="40" s="1"/>
  <c r="F45" i="43"/>
  <c r="H37" i="40"/>
  <c r="I37" i="40" s="1"/>
  <c r="F34" i="43"/>
  <c r="H26" i="40"/>
  <c r="I26" i="40" s="1"/>
  <c r="F37" i="43"/>
  <c r="H29" i="40"/>
  <c r="I29" i="40" s="1"/>
  <c r="F42" i="43"/>
  <c r="H34" i="40"/>
  <c r="I34" i="40" s="1"/>
  <c r="F44" i="43"/>
  <c r="H36" i="40"/>
  <c r="I36" i="40" s="1"/>
  <c r="F41" i="43"/>
  <c r="H33" i="40"/>
  <c r="I33" i="40" s="1"/>
  <c r="F38" i="43"/>
  <c r="H30" i="40"/>
  <c r="I30" i="40" s="1"/>
  <c r="F36" i="43"/>
  <c r="H28" i="40"/>
  <c r="I28" i="40" s="1"/>
  <c r="F40" i="43"/>
  <c r="H32" i="40"/>
  <c r="I32" i="40" s="1"/>
  <c r="F47" i="43"/>
  <c r="H39" i="40"/>
  <c r="I39" i="40" s="1"/>
  <c r="F31" i="43"/>
  <c r="H23" i="40"/>
  <c r="I23" i="40" s="1"/>
  <c r="F48" i="43"/>
  <c r="H40" i="40"/>
  <c r="I40" i="40" s="1"/>
  <c r="F32" i="43"/>
  <c r="H24" i="40"/>
  <c r="I24" i="40" s="1"/>
  <c r="F46" i="43"/>
  <c r="H38" i="40"/>
  <c r="I38" i="40" s="1"/>
  <c r="F39" i="43"/>
  <c r="H31" i="40"/>
  <c r="I31" i="40" s="1"/>
  <c r="F43" i="43"/>
  <c r="H35" i="40"/>
  <c r="I35" i="40" s="1"/>
  <c r="F30" i="43"/>
  <c r="H22" i="40"/>
  <c r="I22" i="40" s="1"/>
  <c r="H2" i="40"/>
  <c r="I2" i="40" s="1"/>
  <c r="F29" i="43"/>
  <c r="BJ11" i="43"/>
  <c r="BV10" i="43" s="1" a="1"/>
  <c r="BV10" i="43" s="1"/>
  <c r="C27" i="43"/>
  <c r="C21" i="43"/>
  <c r="C16" i="43"/>
  <c r="C11" i="43"/>
  <c r="C15" i="43"/>
  <c r="C20" i="43"/>
  <c r="C25" i="43"/>
  <c r="C24" i="43"/>
  <c r="C23" i="43"/>
  <c r="C19" i="43"/>
  <c r="C14" i="43"/>
  <c r="C12" i="43"/>
  <c r="C17" i="43"/>
  <c r="C18" i="43"/>
  <c r="C22" i="43"/>
  <c r="C26" i="43"/>
  <c r="C13" i="43"/>
  <c r="AJ67" i="43"/>
  <c r="E66" i="43" s="1"/>
  <c r="D10" i="43"/>
  <c r="C28" i="43"/>
  <c r="H11" i="40" l="1"/>
  <c r="I11" i="40" s="1"/>
  <c r="H15" i="40"/>
  <c r="I15" i="40" s="1"/>
  <c r="H20" i="40"/>
  <c r="I20" i="40" s="1"/>
  <c r="H12" i="40"/>
  <c r="I12" i="40" s="1"/>
  <c r="H7" i="40"/>
  <c r="I7" i="40" s="1"/>
  <c r="H3" i="40"/>
  <c r="I3" i="40" s="1"/>
  <c r="H9" i="40"/>
  <c r="I9" i="40" s="1"/>
  <c r="H5" i="40"/>
  <c r="I5" i="40" s="1"/>
  <c r="H8" i="40"/>
  <c r="I8" i="40" s="1"/>
  <c r="H4" i="40"/>
  <c r="I4" i="40" s="1"/>
  <c r="H18" i="40"/>
  <c r="I18" i="40" s="1"/>
  <c r="H13" i="40"/>
  <c r="I13" i="40" s="1"/>
  <c r="H6" i="40"/>
  <c r="I6" i="40" s="1"/>
  <c r="H16" i="40"/>
  <c r="I16" i="40" s="1"/>
  <c r="H17" i="40"/>
  <c r="I17" i="40" s="1"/>
  <c r="H14" i="40"/>
  <c r="I14" i="40" s="1"/>
  <c r="H19" i="40"/>
  <c r="I19" i="40" s="1"/>
  <c r="H10" i="40"/>
  <c r="I10" i="40" s="1"/>
  <c r="F15" i="43"/>
  <c r="F23" i="43"/>
  <c r="F13" i="43"/>
  <c r="F21" i="43"/>
  <c r="F25" i="43"/>
  <c r="F27" i="43"/>
  <c r="F14" i="43"/>
  <c r="F20" i="43"/>
  <c r="F19" i="43"/>
  <c r="F24" i="43"/>
  <c r="F28" i="43"/>
  <c r="F16" i="43"/>
  <c r="F26" i="43"/>
  <c r="F22" i="43"/>
  <c r="F18" i="43"/>
  <c r="F17" i="43"/>
  <c r="F12" i="43"/>
  <c r="F11" i="43"/>
  <c r="BJ12" i="43"/>
  <c r="BV11" i="43" s="1" a="1"/>
  <c r="BV11" i="43" s="1"/>
  <c r="AJ68" i="43"/>
  <c r="E67" i="43" s="1"/>
  <c r="BE36" i="14"/>
  <c r="BJ13" i="43"/>
  <c r="BV12" i="43" s="1" a="1"/>
  <c r="BV12" i="43" s="1"/>
  <c r="BF36" i="14"/>
  <c r="AJ69" i="43" l="1"/>
  <c r="E68" i="43" s="1"/>
  <c r="F10" i="43"/>
  <c r="BE37" i="14"/>
  <c r="BK12" i="43"/>
  <c r="BW11" i="43" s="1" a="1"/>
  <c r="BW11" i="43" s="1"/>
  <c r="BK13" i="43"/>
  <c r="BW12" i="43" s="1" a="1"/>
  <c r="BW12" i="43" s="1"/>
  <c r="BF37" i="14"/>
  <c r="AJ70" i="43" l="1"/>
  <c r="E69" i="43" s="1"/>
  <c r="BE38" i="14"/>
  <c r="BL13" i="43"/>
  <c r="BX12" i="43" s="1" a="1"/>
  <c r="BX12" i="43" s="1"/>
  <c r="BL12" i="43"/>
  <c r="BX11" i="43" s="1" a="1"/>
  <c r="BX11" i="43" s="1"/>
  <c r="BK11" i="43"/>
  <c r="BW10" i="43" s="1" a="1"/>
  <c r="BW10" i="43" s="1"/>
  <c r="BF38" i="14"/>
  <c r="BS37" i="14" l="1"/>
  <c r="BT37" i="14"/>
  <c r="BT38" i="14"/>
  <c r="BS38" i="14"/>
  <c r="BS61" i="14"/>
  <c r="BT61" i="14"/>
  <c r="BS44" i="14"/>
  <c r="BS77" i="14"/>
  <c r="BT77" i="14"/>
  <c r="BT49" i="14"/>
  <c r="BS49" i="14"/>
  <c r="BT39" i="14"/>
  <c r="BS39" i="14"/>
  <c r="AJ71" i="43"/>
  <c r="E70" i="43" s="1"/>
  <c r="BE39" i="14"/>
  <c r="BM12" i="43"/>
  <c r="BY11" i="43" s="1" a="1"/>
  <c r="BY11" i="43" s="1"/>
  <c r="BM13" i="43"/>
  <c r="BY12" i="43" s="1" a="1"/>
  <c r="BY12" i="43" s="1"/>
  <c r="BL11" i="43"/>
  <c r="BX10" i="43" s="1" a="1"/>
  <c r="BX10" i="43" s="1"/>
  <c r="BF39" i="14"/>
  <c r="AJ72" i="43" l="1"/>
  <c r="E71" i="43" s="1"/>
  <c r="BE40" i="14"/>
  <c r="BN12" i="43"/>
  <c r="BZ11" i="43" s="1" a="1"/>
  <c r="BZ11" i="43" s="1"/>
  <c r="BN13" i="43"/>
  <c r="BZ12" i="43" s="1" a="1"/>
  <c r="BZ12" i="43" s="1"/>
  <c r="BM11" i="43"/>
  <c r="BY10" i="43" s="1" a="1"/>
  <c r="BY10" i="43" s="1"/>
  <c r="BF40" i="14"/>
  <c r="AJ73" i="43" l="1"/>
  <c r="E72" i="43" s="1"/>
  <c r="BE41" i="14"/>
  <c r="BO13" i="43"/>
  <c r="CA12" i="43" s="1" a="1"/>
  <c r="CA12" i="43" s="1"/>
  <c r="BO12" i="43"/>
  <c r="CA11" i="43" s="1" a="1"/>
  <c r="CA11" i="43" s="1"/>
  <c r="BN11" i="43"/>
  <c r="BZ10" i="43" s="1" a="1"/>
  <c r="BZ10" i="43" s="1"/>
  <c r="BF41" i="14"/>
  <c r="AJ74" i="43" l="1"/>
  <c r="E73" i="43" s="1"/>
  <c r="BE42" i="14"/>
  <c r="BP12" i="43"/>
  <c r="CB11" i="43" s="1" a="1"/>
  <c r="CB11" i="43" s="1"/>
  <c r="BP13" i="43"/>
  <c r="CB12" i="43" s="1" a="1"/>
  <c r="CB12" i="43" s="1"/>
  <c r="BO11" i="43"/>
  <c r="CA10" i="43" s="1" a="1"/>
  <c r="CA10" i="43" s="1"/>
  <c r="BF42" i="14"/>
  <c r="AJ75" i="43" l="1"/>
  <c r="E74" i="43" s="1"/>
  <c r="BE43" i="14"/>
  <c r="BQ13" i="43"/>
  <c r="CC12" i="43" s="1" a="1"/>
  <c r="CC12" i="43" s="1"/>
  <c r="BQ12" i="43"/>
  <c r="CC11" i="43" s="1" a="1"/>
  <c r="CC11" i="43" s="1"/>
  <c r="BP11" i="43"/>
  <c r="CB10" i="43" s="1" a="1"/>
  <c r="CB10" i="43" s="1"/>
  <c r="BF43" i="14"/>
  <c r="AJ76" i="43" l="1"/>
  <c r="E75" i="43" s="1"/>
  <c r="BE44" i="14"/>
  <c r="BR13" i="43"/>
  <c r="CD12" i="43" s="1" a="1"/>
  <c r="CD12" i="43" s="1"/>
  <c r="BR12" i="43"/>
  <c r="CD11" i="43" s="1" a="1"/>
  <c r="CD11" i="43" s="1"/>
  <c r="BQ11" i="43"/>
  <c r="CC10" i="43" s="1" a="1"/>
  <c r="CC10" i="43" s="1"/>
  <c r="BF44" i="14"/>
  <c r="AJ77" i="43" l="1"/>
  <c r="E76" i="43" s="1"/>
  <c r="BE45" i="14"/>
  <c r="BS12" i="43"/>
  <c r="CE11" i="43" s="1" a="1"/>
  <c r="CE11" i="43" s="1"/>
  <c r="BS13" i="43"/>
  <c r="CE12" i="43" s="1" a="1"/>
  <c r="CE12" i="43" s="1"/>
  <c r="BR11" i="43"/>
  <c r="CD10" i="43" s="1" a="1"/>
  <c r="CD10" i="43" s="1"/>
  <c r="BF45" i="14"/>
  <c r="AJ78" i="43" l="1"/>
  <c r="E77" i="43" s="1"/>
  <c r="BE46" i="14"/>
  <c r="BS11" i="43"/>
  <c r="CE10" i="43" s="1" a="1"/>
  <c r="CE10" i="43" s="1"/>
  <c r="BF46" i="14"/>
  <c r="AJ79" i="43" l="1"/>
  <c r="E78" i="43" s="1"/>
  <c r="AJ80" i="43" l="1"/>
  <c r="E79" i="43" s="1"/>
  <c r="BW46" i="14"/>
  <c r="AN46" i="14" s="1"/>
  <c r="BV46" i="14"/>
  <c r="AJ81" i="43" l="1"/>
  <c r="E80" i="43" s="1"/>
  <c r="B39" i="43"/>
  <c r="B21" i="43"/>
  <c r="B47" i="43"/>
  <c r="B26" i="43"/>
  <c r="B52" i="43"/>
  <c r="B29" i="43"/>
  <c r="B14" i="43"/>
  <c r="B78" i="43"/>
  <c r="B55" i="43"/>
  <c r="B32" i="43"/>
  <c r="B17" i="43"/>
  <c r="B34" i="43"/>
  <c r="B75" i="43"/>
  <c r="B60" i="43"/>
  <c r="B37" i="43"/>
  <c r="B22" i="43"/>
  <c r="B63" i="43"/>
  <c r="B40" i="43"/>
  <c r="B25" i="43"/>
  <c r="B42" i="43"/>
  <c r="B19" i="43"/>
  <c r="B68" i="43"/>
  <c r="B45" i="43"/>
  <c r="B73" i="43"/>
  <c r="B44" i="43"/>
  <c r="B56" i="43"/>
  <c r="B67" i="43"/>
  <c r="B33" i="43"/>
  <c r="B50" i="43"/>
  <c r="B53" i="43"/>
  <c r="B38" i="43"/>
  <c r="B64" i="43"/>
  <c r="B57" i="43"/>
  <c r="B35" i="43"/>
  <c r="B20" i="43"/>
  <c r="B61" i="43"/>
  <c r="B46" i="43"/>
  <c r="B23" i="43"/>
  <c r="B72" i="43"/>
  <c r="B49" i="43"/>
  <c r="B66" i="43"/>
  <c r="B43" i="43"/>
  <c r="B28" i="43"/>
  <c r="B69" i="43"/>
  <c r="B62" i="43"/>
  <c r="B16" i="43"/>
  <c r="B18" i="43"/>
  <c r="B59" i="43"/>
  <c r="B70" i="43"/>
  <c r="B24" i="43"/>
  <c r="B30" i="43"/>
  <c r="B71" i="43"/>
  <c r="B48" i="43"/>
  <c r="B27" i="43"/>
  <c r="B76" i="43"/>
  <c r="B15" i="43"/>
  <c r="B79" i="43"/>
  <c r="B41" i="43"/>
  <c r="B58" i="43"/>
  <c r="B54" i="43"/>
  <c r="B31" i="43"/>
  <c r="B65" i="43"/>
  <c r="B74" i="43"/>
  <c r="B51" i="43"/>
  <c r="B36" i="43"/>
  <c r="B13" i="43"/>
  <c r="B77" i="43"/>
  <c r="G36" i="40" l="1"/>
  <c r="G24" i="40"/>
  <c r="G28" i="40"/>
  <c r="G22" i="40"/>
  <c r="G38" i="40"/>
  <c r="G37" i="40"/>
  <c r="G34" i="40"/>
  <c r="G32" i="40"/>
  <c r="G30" i="40"/>
  <c r="G39" i="40"/>
  <c r="G40" i="40"/>
  <c r="G31" i="40"/>
  <c r="G26" i="40"/>
  <c r="G27" i="40"/>
  <c r="G23" i="40"/>
  <c r="G33" i="40"/>
  <c r="G29" i="40"/>
  <c r="G35" i="40"/>
  <c r="G25" i="40"/>
  <c r="G19" i="40"/>
  <c r="G16" i="40"/>
  <c r="G15" i="40"/>
  <c r="G6" i="40"/>
  <c r="G21" i="40"/>
  <c r="G9" i="40"/>
  <c r="G10" i="40"/>
  <c r="G17" i="40"/>
  <c r="G12" i="40"/>
  <c r="G8" i="40"/>
  <c r="G18" i="40"/>
  <c r="G7" i="40"/>
  <c r="G5" i="40"/>
  <c r="G11" i="40"/>
  <c r="G14" i="40"/>
  <c r="G13" i="40"/>
  <c r="G20" i="40"/>
  <c r="BS81" i="14"/>
  <c r="BT81" i="14"/>
  <c r="BS69" i="14"/>
  <c r="BT69" i="14"/>
  <c r="BS51" i="14"/>
  <c r="BT51" i="14"/>
  <c r="BS43" i="14"/>
  <c r="BT43" i="14"/>
  <c r="BS78" i="14"/>
  <c r="BT78" i="14"/>
  <c r="BS66" i="14"/>
  <c r="BT66" i="14"/>
  <c r="BS60" i="14"/>
  <c r="BT60" i="14"/>
  <c r="BS97" i="14"/>
  <c r="BT97" i="14"/>
  <c r="BS85" i="14"/>
  <c r="BT85" i="14"/>
  <c r="BS127" i="14"/>
  <c r="BS121" i="14"/>
  <c r="BS109" i="14"/>
  <c r="BT109" i="14"/>
  <c r="BT127" i="14"/>
  <c r="BT121" i="14"/>
  <c r="BS115" i="14"/>
  <c r="BT115" i="14"/>
  <c r="BS103" i="14"/>
  <c r="BT103" i="14"/>
  <c r="BS91" i="14"/>
  <c r="BT91" i="14"/>
  <c r="BS79" i="14"/>
  <c r="BT79" i="14"/>
  <c r="BS67" i="14"/>
  <c r="BT67" i="14"/>
  <c r="BS55" i="14"/>
  <c r="BT55" i="14"/>
  <c r="B80" i="43"/>
  <c r="AJ82" i="43"/>
  <c r="BJ25" i="43"/>
  <c r="BV24" i="43" s="1" a="1"/>
  <c r="BV24" i="43" s="1"/>
  <c r="BJ50" i="43"/>
  <c r="BV49" i="43" s="1" a="1"/>
  <c r="BV49" i="43" s="1"/>
  <c r="BJ47" i="43"/>
  <c r="BV46" i="43" s="1" a="1"/>
  <c r="BV46" i="43" s="1"/>
  <c r="BJ54" i="43"/>
  <c r="BV53" i="43" s="1" a="1"/>
  <c r="BV53" i="43" s="1"/>
  <c r="BJ58" i="43"/>
  <c r="BV57" i="43" s="1" a="1"/>
  <c r="BV57" i="43" s="1"/>
  <c r="BJ16" i="43"/>
  <c r="BV15" i="43" s="1" a="1"/>
  <c r="BV15" i="43" s="1"/>
  <c r="BJ26" i="43"/>
  <c r="BV25" i="43" s="1" a="1"/>
  <c r="BV25" i="43" s="1"/>
  <c r="BJ49" i="43"/>
  <c r="BV48" i="43" s="1" a="1"/>
  <c r="BV48" i="43" s="1"/>
  <c r="BJ55" i="43"/>
  <c r="BV54" i="43" s="1" a="1"/>
  <c r="BV54" i="43" s="1"/>
  <c r="BJ41" i="43"/>
  <c r="BV40" i="43" s="1" a="1"/>
  <c r="BV40" i="43" s="1"/>
  <c r="BJ22" i="43"/>
  <c r="BV21" i="43" s="1" a="1"/>
  <c r="BV21" i="43" s="1"/>
  <c r="BJ48" i="43"/>
  <c r="BV47" i="43" s="1" a="1"/>
  <c r="BV47" i="43" s="1"/>
  <c r="BJ37" i="43"/>
  <c r="BV36" i="43" s="1" a="1"/>
  <c r="BV36" i="43" s="1"/>
  <c r="BJ15" i="43"/>
  <c r="BV14" i="43" s="1" a="1"/>
  <c r="BV14" i="43" s="1"/>
  <c r="BJ39" i="43"/>
  <c r="BV38" i="43" s="1" a="1"/>
  <c r="BV38" i="43" s="1"/>
  <c r="BJ79" i="43"/>
  <c r="BV78" i="43" s="1" a="1"/>
  <c r="BV78" i="43" s="1"/>
  <c r="BJ44" i="43"/>
  <c r="BV43" i="43" s="1" a="1"/>
  <c r="BV43" i="43" s="1"/>
  <c r="BJ73" i="43"/>
  <c r="BV72" i="43" s="1" a="1"/>
  <c r="BV72" i="43" s="1"/>
  <c r="BJ69" i="43"/>
  <c r="BV68" i="43" s="1" a="1"/>
  <c r="BV68" i="43" s="1"/>
  <c r="BJ77" i="43"/>
  <c r="BV76" i="43" s="1" a="1"/>
  <c r="BV76" i="43" s="1"/>
  <c r="BJ42" i="43"/>
  <c r="BV41" i="43" s="1" a="1"/>
  <c r="BV41" i="43" s="1"/>
  <c r="BJ51" i="43"/>
  <c r="BV50" i="43" s="1" a="1"/>
  <c r="BV50" i="43" s="1"/>
  <c r="BJ66" i="43"/>
  <c r="BV65" i="43" s="1" a="1"/>
  <c r="BV65" i="43" s="1"/>
  <c r="BJ20" i="43"/>
  <c r="BV19" i="43" s="1" a="1"/>
  <c r="BV19" i="43" s="1"/>
  <c r="BJ30" i="43"/>
  <c r="BV29" i="43" s="1" a="1"/>
  <c r="BV29" i="43" s="1"/>
  <c r="BJ27" i="43"/>
  <c r="BV26" i="43" s="1" a="1"/>
  <c r="BV26" i="43" s="1"/>
  <c r="BJ31" i="43"/>
  <c r="BV30" i="43" s="1" a="1"/>
  <c r="BV30" i="43" s="1"/>
  <c r="BJ74" i="43"/>
  <c r="BV73" i="43" s="1" a="1"/>
  <c r="BV73" i="43" s="1"/>
  <c r="BJ63" i="43"/>
  <c r="BV62" i="43" s="1" a="1"/>
  <c r="BV62" i="43" s="1"/>
  <c r="BJ52" i="43"/>
  <c r="BV51" i="43" s="1" a="1"/>
  <c r="BV51" i="43" s="1"/>
  <c r="BJ33" i="43"/>
  <c r="BV32" i="43" s="1" a="1"/>
  <c r="BV32" i="43" s="1"/>
  <c r="BJ40" i="43"/>
  <c r="BV39" i="43" s="1" a="1"/>
  <c r="BV39" i="43" s="1"/>
  <c r="BJ38" i="43"/>
  <c r="BV37" i="43" s="1" a="1"/>
  <c r="BV37" i="43" s="1"/>
  <c r="BJ64" i="43"/>
  <c r="BV63" i="43" s="1" a="1"/>
  <c r="BV63" i="43" s="1"/>
  <c r="BJ45" i="43"/>
  <c r="BV44" i="43" s="1" a="1"/>
  <c r="BV44" i="43" s="1"/>
  <c r="BJ71" i="43"/>
  <c r="BV70" i="43" s="1" a="1"/>
  <c r="BV70" i="43" s="1"/>
  <c r="BJ60" i="43"/>
  <c r="BV59" i="43" s="1" a="1"/>
  <c r="BV59" i="43" s="1"/>
  <c r="BJ70" i="43"/>
  <c r="BV69" i="43" s="1" a="1"/>
  <c r="BV69" i="43" s="1"/>
  <c r="BJ28" i="43"/>
  <c r="BV27" i="43" s="1" a="1"/>
  <c r="BV27" i="43" s="1"/>
  <c r="BJ62" i="43"/>
  <c r="BV61" i="43" s="1" a="1"/>
  <c r="BV61" i="43" s="1"/>
  <c r="BJ67" i="43"/>
  <c r="BV66" i="43" s="1" a="1"/>
  <c r="BV66" i="43" s="1"/>
  <c r="BJ57" i="43"/>
  <c r="BV56" i="43" s="1" a="1"/>
  <c r="BV56" i="43" s="1"/>
  <c r="BJ36" i="43"/>
  <c r="BV35" i="43" s="1" a="1"/>
  <c r="BV35" i="43" s="1"/>
  <c r="BJ65" i="43"/>
  <c r="BV64" i="43" s="1" a="1"/>
  <c r="BV64" i="43" s="1"/>
  <c r="BJ23" i="43"/>
  <c r="BV22" i="43" s="1" a="1"/>
  <c r="BV22" i="43" s="1"/>
  <c r="BJ19" i="43"/>
  <c r="BV18" i="43" s="1" a="1"/>
  <c r="BV18" i="43" s="1"/>
  <c r="BJ53" i="43"/>
  <c r="BV52" i="43" s="1" a="1"/>
  <c r="BV52" i="43" s="1"/>
  <c r="BJ56" i="43"/>
  <c r="BV55" i="43" s="1" a="1"/>
  <c r="BV55" i="43" s="1"/>
  <c r="BJ75" i="43"/>
  <c r="BV74" i="43" s="1" a="1"/>
  <c r="BV74" i="43" s="1"/>
  <c r="BJ14" i="43"/>
  <c r="BV13" i="43" s="1" a="1"/>
  <c r="BV13" i="43" s="1"/>
  <c r="BJ21" i="43"/>
  <c r="BV20" i="43" s="1" a="1"/>
  <c r="BV20" i="43" s="1"/>
  <c r="BJ61" i="43"/>
  <c r="BV60" i="43" s="1" a="1"/>
  <c r="BV60" i="43" s="1"/>
  <c r="BJ76" i="43"/>
  <c r="BV75" i="43" s="1" a="1"/>
  <c r="BV75" i="43" s="1"/>
  <c r="BJ78" i="43"/>
  <c r="BV77" i="43" s="1" a="1"/>
  <c r="BV77" i="43" s="1"/>
  <c r="BJ17" i="43"/>
  <c r="BV16" i="43" s="1" a="1"/>
  <c r="BV16" i="43" s="1"/>
  <c r="BJ72" i="43"/>
  <c r="BV71" i="43" s="1" a="1"/>
  <c r="BV71" i="43" s="1"/>
  <c r="BJ32" i="43"/>
  <c r="BV31" i="43" s="1" a="1"/>
  <c r="BV31" i="43" s="1"/>
  <c r="BJ34" i="43"/>
  <c r="BV33" i="43" s="1" a="1"/>
  <c r="BV33" i="43" s="1"/>
  <c r="BJ24" i="43"/>
  <c r="BV23" i="43" s="1" a="1"/>
  <c r="BV23" i="43" s="1"/>
  <c r="BJ18" i="43"/>
  <c r="BV17" i="43" s="1" a="1"/>
  <c r="BV17" i="43" s="1"/>
  <c r="BJ59" i="43"/>
  <c r="BV58" i="43" s="1" a="1"/>
  <c r="BV58" i="43" s="1"/>
  <c r="BJ80" i="43"/>
  <c r="BV79" i="43" s="1" a="1"/>
  <c r="BV79" i="43" s="1"/>
  <c r="BJ35" i="43"/>
  <c r="BV34" i="43" s="1" a="1"/>
  <c r="BV34" i="43" s="1"/>
  <c r="BJ29" i="43"/>
  <c r="BV28" i="43" s="1" a="1"/>
  <c r="BV28" i="43" s="1"/>
  <c r="BJ43" i="43"/>
  <c r="BV42" i="43" s="1" a="1"/>
  <c r="BV42" i="43" s="1"/>
  <c r="BJ68" i="43"/>
  <c r="BV67" i="43" s="1" a="1"/>
  <c r="BV67" i="43" s="1"/>
  <c r="BJ46" i="43"/>
  <c r="BV45" i="43" s="1" a="1"/>
  <c r="BV45" i="43" s="1"/>
  <c r="BV42" i="14" l="1"/>
  <c r="BW42" i="14"/>
  <c r="AN42" i="14" s="1"/>
  <c r="BJ81" i="43"/>
  <c r="BV80" i="43" s="1" a="1"/>
  <c r="BV80" i="43" s="1"/>
  <c r="E81" i="43"/>
  <c r="B81" i="43"/>
  <c r="AJ83" i="43"/>
  <c r="BK30" i="43"/>
  <c r="BW29" i="43" s="1" a="1"/>
  <c r="BW29" i="43" s="1"/>
  <c r="BK22" i="43"/>
  <c r="BW21" i="43" s="1" a="1"/>
  <c r="BW21" i="43" s="1"/>
  <c r="BK23" i="43"/>
  <c r="BL23" i="43" s="1"/>
  <c r="BK28" i="43"/>
  <c r="BW27" i="43" s="1" a="1"/>
  <c r="BW27" i="43" s="1"/>
  <c r="BK73" i="43"/>
  <c r="BW72" i="43" s="1" a="1"/>
  <c r="BW72" i="43" s="1"/>
  <c r="BK46" i="43"/>
  <c r="BL46" i="43" s="1"/>
  <c r="BK14" i="43"/>
  <c r="BW13" i="43" s="1" a="1"/>
  <c r="BW13" i="43" s="1"/>
  <c r="BK80" i="43"/>
  <c r="BW79" i="43" s="1" a="1"/>
  <c r="BW79" i="43" s="1"/>
  <c r="BK47" i="43"/>
  <c r="BL47" i="43" s="1"/>
  <c r="BK38" i="43"/>
  <c r="BW37" i="43" s="1" a="1"/>
  <c r="BW37" i="43" s="1"/>
  <c r="BK63" i="43"/>
  <c r="BL63" i="43" s="1"/>
  <c r="BK51" i="43"/>
  <c r="BL51" i="43" s="1"/>
  <c r="BK43" i="43"/>
  <c r="BL43" i="43" s="1"/>
  <c r="BK57" i="43"/>
  <c r="BW56" i="43" s="1" a="1"/>
  <c r="BW56" i="43" s="1"/>
  <c r="BK60" i="43"/>
  <c r="BW59" i="43" s="1" a="1"/>
  <c r="BW59" i="43" s="1"/>
  <c r="BK26" i="43"/>
  <c r="BW25" i="43" s="1" a="1"/>
  <c r="BW25" i="43" s="1"/>
  <c r="BK68" i="43"/>
  <c r="BK29" i="43"/>
  <c r="BK59" i="43"/>
  <c r="BK72" i="43"/>
  <c r="BK76" i="43"/>
  <c r="BK75" i="43"/>
  <c r="BK53" i="43"/>
  <c r="BK71" i="43"/>
  <c r="BK40" i="43"/>
  <c r="BK74" i="43"/>
  <c r="BK20" i="43"/>
  <c r="BK42" i="43"/>
  <c r="BK44" i="43"/>
  <c r="BK15" i="43"/>
  <c r="BK41" i="43"/>
  <c r="BK16" i="43"/>
  <c r="BK50" i="43"/>
  <c r="BK18" i="43"/>
  <c r="BK34" i="43"/>
  <c r="BK17" i="43"/>
  <c r="BK61" i="43"/>
  <c r="BK65" i="43"/>
  <c r="BK67" i="43"/>
  <c r="BK70" i="43"/>
  <c r="BK45" i="43"/>
  <c r="BK33" i="43"/>
  <c r="BK31" i="43"/>
  <c r="BK66" i="43"/>
  <c r="BK77" i="43"/>
  <c r="BK79" i="43"/>
  <c r="BK37" i="43"/>
  <c r="BK55" i="43"/>
  <c r="BK58" i="43"/>
  <c r="BK35" i="43"/>
  <c r="BK24" i="43"/>
  <c r="BK32" i="43"/>
  <c r="BK78" i="43"/>
  <c r="BK21" i="43"/>
  <c r="BK56" i="43"/>
  <c r="BK19" i="43"/>
  <c r="BK36" i="43"/>
  <c r="BK62" i="43"/>
  <c r="BK64" i="43"/>
  <c r="BK52" i="43"/>
  <c r="BK27" i="43"/>
  <c r="BK69" i="43"/>
  <c r="BK39" i="43"/>
  <c r="BK48" i="43"/>
  <c r="BK49" i="43"/>
  <c r="BK54" i="43"/>
  <c r="BK25" i="43"/>
  <c r="BK81" i="43" l="1"/>
  <c r="BL81" i="43" s="1"/>
  <c r="BM81" i="43" s="1"/>
  <c r="BJ82" i="43"/>
  <c r="BV81" i="43" s="1" a="1"/>
  <c r="BV81" i="43" s="1"/>
  <c r="E82" i="43"/>
  <c r="B82" i="43"/>
  <c r="AJ84" i="43"/>
  <c r="BW22" i="43" a="1"/>
  <c r="BW22" i="43" s="1"/>
  <c r="BW50" i="43" a="1"/>
  <c r="BW50" i="43" s="1"/>
  <c r="BL73" i="43"/>
  <c r="BX72" i="43" s="1" a="1"/>
  <c r="BX72" i="43" s="1"/>
  <c r="BL30" i="43"/>
  <c r="BX29" i="43" s="1" a="1"/>
  <c r="BX29" i="43" s="1"/>
  <c r="BW46" i="43" a="1"/>
  <c r="BW46" i="43" s="1"/>
  <c r="BL14" i="43"/>
  <c r="BM14" i="43" s="1"/>
  <c r="BW45" i="43" a="1"/>
  <c r="BW45" i="43" s="1"/>
  <c r="BL22" i="43"/>
  <c r="BX21" i="43" s="1" a="1"/>
  <c r="BX21" i="43" s="1"/>
  <c r="BL80" i="43"/>
  <c r="BM80" i="43" s="1"/>
  <c r="BW62" i="43" a="1"/>
  <c r="BW62" i="43" s="1"/>
  <c r="BL26" i="43"/>
  <c r="BM26" i="43" s="1"/>
  <c r="BL28" i="43"/>
  <c r="BX27" i="43" s="1" a="1"/>
  <c r="BX27" i="43" s="1"/>
  <c r="BL57" i="43"/>
  <c r="BX56" i="43" s="1" a="1"/>
  <c r="BX56" i="43" s="1"/>
  <c r="BW42" i="43" a="1"/>
  <c r="BW42" i="43" s="1"/>
  <c r="BL38" i="43"/>
  <c r="BX37" i="43" s="1" a="1"/>
  <c r="BX37" i="43" s="1"/>
  <c r="BL60" i="43"/>
  <c r="BM60" i="43" s="1"/>
  <c r="BW57" i="43" a="1"/>
  <c r="BW57" i="43" s="1"/>
  <c r="BL58" i="43"/>
  <c r="BW38" i="43" a="1"/>
  <c r="BW38" i="43" s="1"/>
  <c r="BL39" i="43"/>
  <c r="BW35" i="43" a="1"/>
  <c r="BW35" i="43" s="1"/>
  <c r="BL36" i="43"/>
  <c r="BX62" i="43" a="1"/>
  <c r="BX62" i="43" s="1"/>
  <c r="BM63" i="43"/>
  <c r="BW54" i="43" a="1"/>
  <c r="BW54" i="43" s="1"/>
  <c r="BL55" i="43"/>
  <c r="BW69" i="43" a="1"/>
  <c r="BW69" i="43" s="1"/>
  <c r="BL70" i="43"/>
  <c r="BW17" i="43" a="1"/>
  <c r="BW17" i="43" s="1"/>
  <c r="BL18" i="43"/>
  <c r="BW40" i="43" a="1"/>
  <c r="BW40" i="43" s="1"/>
  <c r="BL41" i="43"/>
  <c r="BW58" i="43" a="1"/>
  <c r="BW58" i="43" s="1"/>
  <c r="BL59" i="43"/>
  <c r="BW18" i="43" a="1"/>
  <c r="BW18" i="43" s="1"/>
  <c r="BL19" i="43"/>
  <c r="BW36" i="43" a="1"/>
  <c r="BW36" i="43" s="1"/>
  <c r="BL37" i="43"/>
  <c r="BW66" i="43" a="1"/>
  <c r="BW66" i="43" s="1"/>
  <c r="BL67" i="43"/>
  <c r="BW14" i="43" a="1"/>
  <c r="BW14" i="43" s="1"/>
  <c r="BL15" i="43"/>
  <c r="BW28" i="43" a="1"/>
  <c r="BW28" i="43" s="1"/>
  <c r="BL29" i="43"/>
  <c r="BX46" i="43" a="1"/>
  <c r="BX46" i="43" s="1"/>
  <c r="BM47" i="43"/>
  <c r="BW34" i="43" a="1"/>
  <c r="BW34" i="43" s="1"/>
  <c r="BL35" i="43"/>
  <c r="BW70" i="43" a="1"/>
  <c r="BW70" i="43" s="1"/>
  <c r="BL71" i="43"/>
  <c r="BW68" i="43" a="1"/>
  <c r="BW68" i="43" s="1"/>
  <c r="BL69" i="43"/>
  <c r="BW55" i="43" a="1"/>
  <c r="BW55" i="43" s="1"/>
  <c r="BL56" i="43"/>
  <c r="BX50" i="43" a="1"/>
  <c r="BX50" i="43" s="1"/>
  <c r="BM51" i="43"/>
  <c r="BW78" i="43" a="1"/>
  <c r="BW78" i="43" s="1"/>
  <c r="BL79" i="43"/>
  <c r="BW64" i="43" a="1"/>
  <c r="BW64" i="43" s="1"/>
  <c r="BL65" i="43"/>
  <c r="BW43" i="43" a="1"/>
  <c r="BW43" i="43" s="1"/>
  <c r="BL44" i="43"/>
  <c r="BW67" i="43" a="1"/>
  <c r="BW67" i="43" s="1"/>
  <c r="BL68" i="43"/>
  <c r="BW20" i="43" a="1"/>
  <c r="BW20" i="43" s="1"/>
  <c r="BL21" i="43"/>
  <c r="BW76" i="43" a="1"/>
  <c r="BW76" i="43" s="1"/>
  <c r="BL77" i="43"/>
  <c r="BW41" i="43" a="1"/>
  <c r="BW41" i="43" s="1"/>
  <c r="BL42" i="43"/>
  <c r="BW52" i="43" a="1"/>
  <c r="BW52" i="43" s="1"/>
  <c r="BL53" i="43"/>
  <c r="BW44" i="43" a="1"/>
  <c r="BW44" i="43" s="1"/>
  <c r="BL45" i="43"/>
  <c r="BX42" i="43" a="1"/>
  <c r="BX42" i="43" s="1"/>
  <c r="BM43" i="43"/>
  <c r="BW24" i="43" a="1"/>
  <c r="BW24" i="43" s="1"/>
  <c r="BL25" i="43"/>
  <c r="BW51" i="43" a="1"/>
  <c r="BW51" i="43" s="1"/>
  <c r="BL52" i="43"/>
  <c r="BW77" i="43" a="1"/>
  <c r="BW77" i="43" s="1"/>
  <c r="BL78" i="43"/>
  <c r="BX22" i="43" a="1"/>
  <c r="BX22" i="43" s="1"/>
  <c r="BM23" i="43"/>
  <c r="BW65" i="43" a="1"/>
  <c r="BW65" i="43" s="1"/>
  <c r="BL66" i="43"/>
  <c r="BW19" i="43" a="1"/>
  <c r="BW19" i="43" s="1"/>
  <c r="BL20" i="43"/>
  <c r="BW74" i="43" a="1"/>
  <c r="BW74" i="43" s="1"/>
  <c r="BL75" i="43"/>
  <c r="BW61" i="43" a="1"/>
  <c r="BW61" i="43" s="1"/>
  <c r="BL62" i="43"/>
  <c r="BW15" i="43" a="1"/>
  <c r="BW15" i="43" s="1"/>
  <c r="BL16" i="43"/>
  <c r="BW53" i="43" a="1"/>
  <c r="BW53" i="43" s="1"/>
  <c r="BL54" i="43"/>
  <c r="BW63" i="43" a="1"/>
  <c r="BW63" i="43" s="1"/>
  <c r="BL64" i="43"/>
  <c r="BW31" i="43" a="1"/>
  <c r="BW31" i="43" s="1"/>
  <c r="BL32" i="43"/>
  <c r="BW30" i="43" a="1"/>
  <c r="BW30" i="43" s="1"/>
  <c r="BL31" i="43"/>
  <c r="BW60" i="43" a="1"/>
  <c r="BW60" i="43" s="1"/>
  <c r="BL61" i="43"/>
  <c r="BW73" i="43" a="1"/>
  <c r="BW73" i="43" s="1"/>
  <c r="BL74" i="43"/>
  <c r="BW75" i="43" a="1"/>
  <c r="BW75" i="43" s="1"/>
  <c r="BL76" i="43"/>
  <c r="BW47" i="43" a="1"/>
  <c r="BW47" i="43" s="1"/>
  <c r="BL48" i="43"/>
  <c r="BW33" i="43" a="1"/>
  <c r="BW33" i="43" s="1"/>
  <c r="BL34" i="43"/>
  <c r="BW26" i="43" a="1"/>
  <c r="BW26" i="43" s="1"/>
  <c r="BL27" i="43"/>
  <c r="BW48" i="43" a="1"/>
  <c r="BW48" i="43" s="1"/>
  <c r="BL49" i="43"/>
  <c r="BW23" i="43" a="1"/>
  <c r="BW23" i="43" s="1"/>
  <c r="BL24" i="43"/>
  <c r="BX45" i="43" a="1"/>
  <c r="BX45" i="43" s="1"/>
  <c r="BM46" i="43"/>
  <c r="BW32" i="43" a="1"/>
  <c r="BW32" i="43" s="1"/>
  <c r="BL33" i="43"/>
  <c r="BW16" i="43" a="1"/>
  <c r="BW16" i="43" s="1"/>
  <c r="BL17" i="43"/>
  <c r="BW49" i="43" a="1"/>
  <c r="BW49" i="43" s="1"/>
  <c r="BL50" i="43"/>
  <c r="BW39" i="43" a="1"/>
  <c r="BW39" i="43" s="1"/>
  <c r="BL40" i="43"/>
  <c r="BW71" i="43" a="1"/>
  <c r="BW71" i="43" s="1"/>
  <c r="BL72" i="43"/>
  <c r="BS57" i="14" l="1"/>
  <c r="BT57" i="14"/>
  <c r="BS54" i="14"/>
  <c r="BT54" i="14"/>
  <c r="BS47" i="14"/>
  <c r="BT47" i="14"/>
  <c r="BX80" i="43" a="1"/>
  <c r="BX80" i="43" s="1"/>
  <c r="BK82" i="43"/>
  <c r="BW81" i="43" s="1" a="1"/>
  <c r="BW81" i="43" s="1"/>
  <c r="BW80" i="43" a="1"/>
  <c r="BW80" i="43" s="1"/>
  <c r="BX25" i="43" a="1"/>
  <c r="BX25" i="43" s="1"/>
  <c r="E83" i="43"/>
  <c r="B83" i="43"/>
  <c r="AJ85" i="43"/>
  <c r="BJ83" i="43"/>
  <c r="BV82" i="43" s="1" a="1"/>
  <c r="BV82" i="43" s="1"/>
  <c r="BX79" i="43" a="1"/>
  <c r="BX79" i="43" s="1"/>
  <c r="BM73" i="43"/>
  <c r="BY72" i="43" s="1" a="1"/>
  <c r="BY72" i="43" s="1"/>
  <c r="BX13" i="43" a="1"/>
  <c r="BX13" i="43" s="1"/>
  <c r="BX59" i="43" a="1"/>
  <c r="BX59" i="43" s="1"/>
  <c r="BM30" i="43"/>
  <c r="BY29" i="43" s="1" a="1"/>
  <c r="BY29" i="43" s="1"/>
  <c r="BM22" i="43"/>
  <c r="BN22" i="43" s="1"/>
  <c r="BM28" i="43"/>
  <c r="BN28" i="43" s="1"/>
  <c r="BM57" i="43"/>
  <c r="BN57" i="43" s="1"/>
  <c r="BM38" i="43"/>
  <c r="BY37" i="43" s="1" a="1"/>
  <c r="BY37" i="43" s="1"/>
  <c r="BX48" i="43" a="1"/>
  <c r="BX48" i="43" s="1"/>
  <c r="BM49" i="43"/>
  <c r="BX74" i="43" a="1"/>
  <c r="BX74" i="43" s="1"/>
  <c r="BM75" i="43"/>
  <c r="BX52" i="43" a="1"/>
  <c r="BX52" i="43" s="1"/>
  <c r="BM53" i="43"/>
  <c r="BX35" i="43" a="1"/>
  <c r="BX35" i="43" s="1"/>
  <c r="BM36" i="43"/>
  <c r="BX73" i="43" a="1"/>
  <c r="BX73" i="43" s="1"/>
  <c r="BM74" i="43"/>
  <c r="BX76" i="43" a="1"/>
  <c r="BX76" i="43" s="1"/>
  <c r="BM77" i="43"/>
  <c r="BY45" i="43" a="1"/>
  <c r="BY45" i="43" s="1"/>
  <c r="BN46" i="43"/>
  <c r="BX26" i="43" a="1"/>
  <c r="BX26" i="43" s="1"/>
  <c r="BM27" i="43"/>
  <c r="BY80" i="43" a="1"/>
  <c r="BY80" i="43" s="1"/>
  <c r="BN81" i="43"/>
  <c r="BX60" i="43" a="1"/>
  <c r="BX60" i="43" s="1"/>
  <c r="BM61" i="43"/>
  <c r="BX53" i="43" a="1"/>
  <c r="BX53" i="43" s="1"/>
  <c r="BM54" i="43"/>
  <c r="BX19" i="43" a="1"/>
  <c r="BX19" i="43" s="1"/>
  <c r="BM20" i="43"/>
  <c r="BX65" i="43" a="1"/>
  <c r="BX65" i="43" s="1"/>
  <c r="BM66" i="43"/>
  <c r="BX51" i="43" a="1"/>
  <c r="BX51" i="43" s="1"/>
  <c r="BM52" i="43"/>
  <c r="BX41" i="43" a="1"/>
  <c r="BX41" i="43" s="1"/>
  <c r="BM42" i="43"/>
  <c r="BX20" i="43" a="1"/>
  <c r="BX20" i="43" s="1"/>
  <c r="BM21" i="43"/>
  <c r="BY13" i="43" a="1"/>
  <c r="BY13" i="43" s="1"/>
  <c r="BN14" i="43"/>
  <c r="BX68" i="43" a="1"/>
  <c r="BX68" i="43" s="1"/>
  <c r="BM69" i="43"/>
  <c r="BY46" i="43" a="1"/>
  <c r="BY46" i="43" s="1"/>
  <c r="BN47" i="43"/>
  <c r="BX18" i="43" a="1"/>
  <c r="BX18" i="43" s="1"/>
  <c r="BM19" i="43"/>
  <c r="BX40" i="43" a="1"/>
  <c r="BX40" i="43" s="1"/>
  <c r="BM41" i="43"/>
  <c r="BX54" i="43" a="1"/>
  <c r="BX54" i="43" s="1"/>
  <c r="BM55" i="43"/>
  <c r="BX38" i="43" a="1"/>
  <c r="BX38" i="43" s="1"/>
  <c r="BM39" i="43"/>
  <c r="BX49" i="43" a="1"/>
  <c r="BX49" i="43" s="1"/>
  <c r="BM50" i="43"/>
  <c r="BX77" i="43" a="1"/>
  <c r="BX77" i="43" s="1"/>
  <c r="BM78" i="43"/>
  <c r="BX14" i="43" a="1"/>
  <c r="BX14" i="43" s="1"/>
  <c r="BM15" i="43"/>
  <c r="BY59" i="43" a="1"/>
  <c r="BY59" i="43" s="1"/>
  <c r="BN60" i="43"/>
  <c r="BX71" i="43" a="1"/>
  <c r="BX71" i="43" s="1"/>
  <c r="BM72" i="43"/>
  <c r="BX16" i="43" a="1"/>
  <c r="BX16" i="43" s="1"/>
  <c r="BM17" i="43"/>
  <c r="BX23" i="43" a="1"/>
  <c r="BX23" i="43" s="1"/>
  <c r="BM24" i="43"/>
  <c r="BX33" i="43" a="1"/>
  <c r="BX33" i="43" s="1"/>
  <c r="BM34" i="43"/>
  <c r="BX30" i="43" a="1"/>
  <c r="BX30" i="43" s="1"/>
  <c r="BM31" i="43"/>
  <c r="BX15" i="43" a="1"/>
  <c r="BX15" i="43" s="1"/>
  <c r="BM16" i="43"/>
  <c r="BY79" i="43" a="1"/>
  <c r="BY79" i="43" s="1"/>
  <c r="BN80" i="43"/>
  <c r="BX24" i="43" a="1"/>
  <c r="BX24" i="43" s="1"/>
  <c r="BM25" i="43"/>
  <c r="BY25" i="43" a="1"/>
  <c r="BY25" i="43" s="1"/>
  <c r="BN26" i="43"/>
  <c r="BX67" i="43" a="1"/>
  <c r="BX67" i="43" s="1"/>
  <c r="BM68" i="43"/>
  <c r="BY50" i="43" a="1"/>
  <c r="BY50" i="43" s="1"/>
  <c r="BN51" i="43"/>
  <c r="BX70" i="43" a="1"/>
  <c r="BX70" i="43" s="1"/>
  <c r="BM71" i="43"/>
  <c r="BX28" i="43" a="1"/>
  <c r="BX28" i="43" s="1"/>
  <c r="BM29" i="43"/>
  <c r="BX66" i="43" a="1"/>
  <c r="BX66" i="43" s="1"/>
  <c r="BM67" i="43"/>
  <c r="BY62" i="43" a="1"/>
  <c r="BY62" i="43" s="1"/>
  <c r="BN63" i="43"/>
  <c r="BX44" i="43" a="1"/>
  <c r="BX44" i="43" s="1"/>
  <c r="BM45" i="43"/>
  <c r="BX78" i="43" a="1"/>
  <c r="BX78" i="43" s="1"/>
  <c r="BM79" i="43"/>
  <c r="BX69" i="43" a="1"/>
  <c r="BX69" i="43" s="1"/>
  <c r="BM70" i="43"/>
  <c r="BX63" i="43" a="1"/>
  <c r="BX63" i="43" s="1"/>
  <c r="BM64" i="43"/>
  <c r="BX43" i="43" a="1"/>
  <c r="BX43" i="43" s="1"/>
  <c r="BM44" i="43"/>
  <c r="BX39" i="43" a="1"/>
  <c r="BX39" i="43" s="1"/>
  <c r="BM40" i="43"/>
  <c r="BX32" i="43" a="1"/>
  <c r="BX32" i="43" s="1"/>
  <c r="BM33" i="43"/>
  <c r="BX47" i="43" a="1"/>
  <c r="BX47" i="43" s="1"/>
  <c r="BM48" i="43"/>
  <c r="BX75" i="43" a="1"/>
  <c r="BX75" i="43" s="1"/>
  <c r="BM76" i="43"/>
  <c r="BX31" i="43" a="1"/>
  <c r="BX31" i="43" s="1"/>
  <c r="BM32" i="43"/>
  <c r="BX61" i="43" a="1"/>
  <c r="BX61" i="43" s="1"/>
  <c r="BM62" i="43"/>
  <c r="BY22" i="43" a="1"/>
  <c r="BY22" i="43" s="1"/>
  <c r="BN23" i="43"/>
  <c r="BY42" i="43" a="1"/>
  <c r="BY42" i="43" s="1"/>
  <c r="BN43" i="43"/>
  <c r="BX64" i="43" a="1"/>
  <c r="BX64" i="43" s="1"/>
  <c r="BM65" i="43"/>
  <c r="BX55" i="43" a="1"/>
  <c r="BX55" i="43" s="1"/>
  <c r="BM56" i="43"/>
  <c r="BX34" i="43" a="1"/>
  <c r="BX34" i="43" s="1"/>
  <c r="BM35" i="43"/>
  <c r="BX36" i="43" a="1"/>
  <c r="BX36" i="43" s="1"/>
  <c r="BM37" i="43"/>
  <c r="BX58" i="43" a="1"/>
  <c r="BX58" i="43" s="1"/>
  <c r="BM59" i="43"/>
  <c r="BX17" i="43" a="1"/>
  <c r="BX17" i="43" s="1"/>
  <c r="BM18" i="43"/>
  <c r="BX57" i="43" a="1"/>
  <c r="BX57" i="43" s="1"/>
  <c r="BM58" i="43"/>
  <c r="BO35" i="14"/>
  <c r="BG35" i="14"/>
  <c r="BI35" i="14"/>
  <c r="BT35" i="14" l="1"/>
  <c r="BS35" i="14"/>
  <c r="BS70" i="14"/>
  <c r="BS64" i="14"/>
  <c r="BS46" i="14"/>
  <c r="BT70" i="14"/>
  <c r="BT64" i="14"/>
  <c r="BS40" i="14"/>
  <c r="BT40" i="14"/>
  <c r="BS36" i="14"/>
  <c r="BT36" i="14"/>
  <c r="BT46" i="14"/>
  <c r="BG36" i="14"/>
  <c r="BO36" i="14"/>
  <c r="BI36" i="14"/>
  <c r="BL82" i="43"/>
  <c r="BX81" i="43" s="1" a="1"/>
  <c r="BX81" i="43" s="1"/>
  <c r="BK83" i="43"/>
  <c r="BW82" i="43" s="1" a="1"/>
  <c r="BW82" i="43" s="1"/>
  <c r="E84" i="43"/>
  <c r="B84" i="43"/>
  <c r="AJ86" i="43"/>
  <c r="BJ84" i="43"/>
  <c r="BV83" i="43" s="1" a="1"/>
  <c r="BV83" i="43" s="1"/>
  <c r="BN30" i="43"/>
  <c r="BZ29" i="43" s="1" a="1"/>
  <c r="BZ29" i="43" s="1"/>
  <c r="BN73" i="43"/>
  <c r="BZ72" i="43" s="1" a="1"/>
  <c r="BZ72" i="43" s="1"/>
  <c r="BY21" i="43" a="1"/>
  <c r="BY21" i="43" s="1"/>
  <c r="BY56" i="43" a="1"/>
  <c r="BY56" i="43" s="1"/>
  <c r="BY27" i="43" a="1"/>
  <c r="BY27" i="43" s="1"/>
  <c r="BN38" i="43"/>
  <c r="BZ37" i="43" s="1" a="1"/>
  <c r="BZ37" i="43" s="1"/>
  <c r="BY47" i="43" a="1"/>
  <c r="BY47" i="43" s="1"/>
  <c r="BN48" i="43"/>
  <c r="BY71" i="43" a="1"/>
  <c r="BY71" i="43" s="1"/>
  <c r="BN72" i="43"/>
  <c r="BZ80" i="43" a="1"/>
  <c r="BZ80" i="43" s="1"/>
  <c r="BO81" i="43"/>
  <c r="BY20" i="43" a="1"/>
  <c r="BY20" i="43" s="1"/>
  <c r="BN21" i="43"/>
  <c r="BY58" i="43" a="1"/>
  <c r="BY58" i="43" s="1"/>
  <c r="BN59" i="43"/>
  <c r="BY55" i="43" a="1"/>
  <c r="BY55" i="43" s="1"/>
  <c r="BN56" i="43"/>
  <c r="BY61" i="43" a="1"/>
  <c r="BY61" i="43" s="1"/>
  <c r="BN62" i="43"/>
  <c r="BY43" i="43" a="1"/>
  <c r="BY43" i="43" s="1"/>
  <c r="BN44" i="43"/>
  <c r="BY44" i="43" a="1"/>
  <c r="BY44" i="43" s="1"/>
  <c r="BN45" i="43"/>
  <c r="BY70" i="43" a="1"/>
  <c r="BY70" i="43" s="1"/>
  <c r="BN71" i="43"/>
  <c r="BZ79" i="43" a="1"/>
  <c r="BZ79" i="43" s="1"/>
  <c r="BO80" i="43"/>
  <c r="BY33" i="43" a="1"/>
  <c r="BY33" i="43" s="1"/>
  <c r="BN34" i="43"/>
  <c r="BZ59" i="43" a="1"/>
  <c r="BZ59" i="43" s="1"/>
  <c r="BO60" i="43"/>
  <c r="BY77" i="43" a="1"/>
  <c r="BY77" i="43" s="1"/>
  <c r="BN78" i="43"/>
  <c r="BY40" i="43" a="1"/>
  <c r="BY40" i="43" s="1"/>
  <c r="BN41" i="43"/>
  <c r="BY68" i="43" a="1"/>
  <c r="BY68" i="43" s="1"/>
  <c r="BN69" i="43"/>
  <c r="BY41" i="43" a="1"/>
  <c r="BY41" i="43" s="1"/>
  <c r="BN42" i="43"/>
  <c r="BY19" i="43" a="1"/>
  <c r="BY19" i="43" s="1"/>
  <c r="BN20" i="43"/>
  <c r="BY26" i="43" a="1"/>
  <c r="BY26" i="43" s="1"/>
  <c r="BN27" i="43"/>
  <c r="BY76" i="43" a="1"/>
  <c r="BY76" i="43" s="1"/>
  <c r="BN77" i="43"/>
  <c r="BY52" i="43" a="1"/>
  <c r="BY52" i="43" s="1"/>
  <c r="BN53" i="43"/>
  <c r="BY17" i="43" a="1"/>
  <c r="BY17" i="43" s="1"/>
  <c r="BN18" i="43"/>
  <c r="BY78" i="43" a="1"/>
  <c r="BY78" i="43" s="1"/>
  <c r="BN79" i="43"/>
  <c r="BY54" i="43" a="1"/>
  <c r="BY54" i="43" s="1"/>
  <c r="BN55" i="43"/>
  <c r="BY67" i="43" a="1"/>
  <c r="BY67" i="43" s="1"/>
  <c r="BN68" i="43"/>
  <c r="BZ46" i="43" a="1"/>
  <c r="BZ46" i="43" s="1"/>
  <c r="BO47" i="43"/>
  <c r="BY57" i="43" a="1"/>
  <c r="BY57" i="43" s="1"/>
  <c r="BN58" i="43"/>
  <c r="BY36" i="43" a="1"/>
  <c r="BY36" i="43" s="1"/>
  <c r="BN37" i="43"/>
  <c r="BY64" i="43" a="1"/>
  <c r="BY64" i="43" s="1"/>
  <c r="BN65" i="43"/>
  <c r="BZ42" i="43" a="1"/>
  <c r="BZ42" i="43" s="1"/>
  <c r="BO43" i="43"/>
  <c r="BY31" i="43" a="1"/>
  <c r="BY31" i="43" s="1"/>
  <c r="BN32" i="43"/>
  <c r="BY32" i="43" a="1"/>
  <c r="BY32" i="43" s="1"/>
  <c r="BN33" i="43"/>
  <c r="BY63" i="43" a="1"/>
  <c r="BY63" i="43" s="1"/>
  <c r="BN64" i="43"/>
  <c r="BZ50" i="43" a="1"/>
  <c r="BZ50" i="43" s="1"/>
  <c r="BO51" i="43"/>
  <c r="BZ25" i="43" a="1"/>
  <c r="BZ25" i="43" s="1"/>
  <c r="BO26" i="43"/>
  <c r="BY15" i="43" a="1"/>
  <c r="BY15" i="43" s="1"/>
  <c r="BN16" i="43"/>
  <c r="BY23" i="43" a="1"/>
  <c r="BY23" i="43" s="1"/>
  <c r="BN24" i="43"/>
  <c r="BY49" i="43" a="1"/>
  <c r="BY49" i="43" s="1"/>
  <c r="BN50" i="43"/>
  <c r="BY18" i="43" a="1"/>
  <c r="BY18" i="43" s="1"/>
  <c r="BN19" i="43"/>
  <c r="BZ56" i="43" a="1"/>
  <c r="BZ56" i="43" s="1"/>
  <c r="BO57" i="43"/>
  <c r="BZ27" i="43" a="1"/>
  <c r="BZ27" i="43" s="1"/>
  <c r="BO28" i="43"/>
  <c r="BY53" i="43" a="1"/>
  <c r="BY53" i="43" s="1"/>
  <c r="BN54" i="43"/>
  <c r="BZ45" i="43" a="1"/>
  <c r="BZ45" i="43" s="1"/>
  <c r="BO46" i="43"/>
  <c r="BY73" i="43" a="1"/>
  <c r="BY73" i="43" s="1"/>
  <c r="BN74" i="43"/>
  <c r="BY74" i="43" a="1"/>
  <c r="BY74" i="43" s="1"/>
  <c r="BN75" i="43"/>
  <c r="BY34" i="43" a="1"/>
  <c r="BY34" i="43" s="1"/>
  <c r="BN35" i="43"/>
  <c r="BZ62" i="43" a="1"/>
  <c r="BZ62" i="43" s="1"/>
  <c r="BO63" i="43"/>
  <c r="BY14" i="43" a="1"/>
  <c r="BY14" i="43" s="1"/>
  <c r="BN15" i="43"/>
  <c r="BY28" i="43" a="1"/>
  <c r="BY28" i="43" s="1"/>
  <c r="BN29" i="43"/>
  <c r="BY65" i="43" a="1"/>
  <c r="BY65" i="43" s="1"/>
  <c r="BN66" i="43"/>
  <c r="BZ22" i="43" a="1"/>
  <c r="BZ22" i="43" s="1"/>
  <c r="BO23" i="43"/>
  <c r="BY75" i="43" a="1"/>
  <c r="BY75" i="43" s="1"/>
  <c r="BN76" i="43"/>
  <c r="BY39" i="43" a="1"/>
  <c r="BY39" i="43" s="1"/>
  <c r="BN40" i="43"/>
  <c r="BY69" i="43" a="1"/>
  <c r="BY69" i="43" s="1"/>
  <c r="BN70" i="43"/>
  <c r="BY66" i="43" a="1"/>
  <c r="BY66" i="43" s="1"/>
  <c r="BN67" i="43"/>
  <c r="BY24" i="43" a="1"/>
  <c r="BY24" i="43" s="1"/>
  <c r="BN25" i="43"/>
  <c r="BY30" i="43" a="1"/>
  <c r="BY30" i="43" s="1"/>
  <c r="BN31" i="43"/>
  <c r="BY16" i="43" a="1"/>
  <c r="BY16" i="43" s="1"/>
  <c r="BN17" i="43"/>
  <c r="BY38" i="43" a="1"/>
  <c r="BY38" i="43" s="1"/>
  <c r="BN39" i="43"/>
  <c r="BZ13" i="43" a="1"/>
  <c r="BZ13" i="43" s="1"/>
  <c r="BO14" i="43"/>
  <c r="BY51" i="43" a="1"/>
  <c r="BY51" i="43" s="1"/>
  <c r="BN52" i="43"/>
  <c r="BY60" i="43" a="1"/>
  <c r="BY60" i="43" s="1"/>
  <c r="BN61" i="43"/>
  <c r="BZ21" i="43" a="1"/>
  <c r="BZ21" i="43" s="1"/>
  <c r="BO22" i="43"/>
  <c r="BY35" i="43" a="1"/>
  <c r="BY35" i="43" s="1"/>
  <c r="BN36" i="43"/>
  <c r="BY48" i="43" a="1"/>
  <c r="BY48" i="43" s="1"/>
  <c r="BN49" i="43"/>
  <c r="BJ36" i="14"/>
  <c r="BH35" i="14"/>
  <c r="BP35" i="14"/>
  <c r="BJ35" i="14"/>
  <c r="BT45" i="14" l="1"/>
  <c r="BT42" i="14"/>
  <c r="BT41" i="14"/>
  <c r="BG37" i="14"/>
  <c r="BG38" i="14" s="1"/>
  <c r="BO37" i="14"/>
  <c r="BO38" i="14" s="1"/>
  <c r="BI37" i="14"/>
  <c r="BM82" i="43"/>
  <c r="BN82" i="43" s="1"/>
  <c r="BZ81" i="43" s="1" a="1"/>
  <c r="BZ81" i="43" s="1"/>
  <c r="BL83" i="43"/>
  <c r="BM83" i="43" s="1"/>
  <c r="BK84" i="43"/>
  <c r="BL84" i="43" s="1"/>
  <c r="E85" i="43"/>
  <c r="B85" i="43"/>
  <c r="AJ87" i="43"/>
  <c r="BJ85" i="43"/>
  <c r="BV84" i="43" s="1" a="1"/>
  <c r="BV84" i="43" s="1"/>
  <c r="BO30" i="43"/>
  <c r="CA29" i="43" s="1" a="1"/>
  <c r="CA29" i="43" s="1"/>
  <c r="BO73" i="43"/>
  <c r="BP73" i="43" s="1"/>
  <c r="BO38" i="43"/>
  <c r="BP38" i="43" s="1"/>
  <c r="CA22" i="43" a="1"/>
  <c r="CA22" i="43" s="1"/>
  <c r="BP23" i="43"/>
  <c r="BZ20" i="43" a="1"/>
  <c r="BZ20" i="43" s="1"/>
  <c r="BO21" i="43"/>
  <c r="CA21" i="43" a="1"/>
  <c r="CA21" i="43" s="1"/>
  <c r="BP22" i="43"/>
  <c r="BZ15" i="43" a="1"/>
  <c r="BZ15" i="43" s="1"/>
  <c r="BO16" i="43"/>
  <c r="BZ61" i="43" a="1"/>
  <c r="BZ61" i="43" s="1"/>
  <c r="BO62" i="43"/>
  <c r="BZ60" i="43" a="1"/>
  <c r="BZ60" i="43" s="1"/>
  <c r="BO61" i="43"/>
  <c r="BZ38" i="43" a="1"/>
  <c r="BZ38" i="43" s="1"/>
  <c r="BO39" i="43"/>
  <c r="BZ24" i="43" a="1"/>
  <c r="BZ24" i="43" s="1"/>
  <c r="BO25" i="43"/>
  <c r="BZ69" i="43" a="1"/>
  <c r="BZ69" i="43" s="1"/>
  <c r="BO70" i="43"/>
  <c r="BZ28" i="43" a="1"/>
  <c r="BZ28" i="43" s="1"/>
  <c r="BO29" i="43"/>
  <c r="BZ34" i="43" a="1"/>
  <c r="BZ34" i="43" s="1"/>
  <c r="BO35" i="43"/>
  <c r="BZ53" i="43" a="1"/>
  <c r="BZ53" i="43" s="1"/>
  <c r="BO54" i="43"/>
  <c r="BZ49" i="43" a="1"/>
  <c r="BZ49" i="43" s="1"/>
  <c r="BO50" i="43"/>
  <c r="CA25" i="43" a="1"/>
  <c r="CA25" i="43" s="1"/>
  <c r="BP26" i="43"/>
  <c r="BZ63" i="43" a="1"/>
  <c r="BZ63" i="43" s="1"/>
  <c r="BO64" i="43"/>
  <c r="BZ64" i="43" a="1"/>
  <c r="BZ64" i="43" s="1"/>
  <c r="BO65" i="43"/>
  <c r="BZ67" i="43" a="1"/>
  <c r="BZ67" i="43" s="1"/>
  <c r="BO68" i="43"/>
  <c r="BZ78" i="43" a="1"/>
  <c r="BZ78" i="43" s="1"/>
  <c r="BO79" i="43"/>
  <c r="BZ26" i="43" a="1"/>
  <c r="BZ26" i="43" s="1"/>
  <c r="BO27" i="43"/>
  <c r="BZ40" i="43" a="1"/>
  <c r="BZ40" i="43" s="1"/>
  <c r="BO41" i="43"/>
  <c r="CA79" i="43" a="1"/>
  <c r="CA79" i="43" s="1"/>
  <c r="BP80" i="43"/>
  <c r="BZ44" i="43" a="1"/>
  <c r="BZ44" i="43" s="1"/>
  <c r="BO45" i="43"/>
  <c r="BZ47" i="43" a="1"/>
  <c r="BZ47" i="43" s="1"/>
  <c r="BO48" i="43"/>
  <c r="CA45" i="43" a="1"/>
  <c r="CA45" i="43" s="1"/>
  <c r="BP46" i="43"/>
  <c r="BZ76" i="43" a="1"/>
  <c r="BZ76" i="43" s="1"/>
  <c r="BO77" i="43"/>
  <c r="BZ71" i="43" a="1"/>
  <c r="BZ71" i="43" s="1"/>
  <c r="BO72" i="43"/>
  <c r="BZ65" i="43" a="1"/>
  <c r="BZ65" i="43" s="1"/>
  <c r="BO66" i="43"/>
  <c r="CA46" i="43" a="1"/>
  <c r="CA46" i="43" s="1"/>
  <c r="BP47" i="43"/>
  <c r="BZ48" i="43" a="1"/>
  <c r="BZ48" i="43" s="1"/>
  <c r="BO49" i="43"/>
  <c r="BZ51" i="43" a="1"/>
  <c r="BZ51" i="43" s="1"/>
  <c r="BO52" i="43"/>
  <c r="BZ39" i="43" a="1"/>
  <c r="BZ39" i="43" s="1"/>
  <c r="BO40" i="43"/>
  <c r="BZ74" i="43" a="1"/>
  <c r="BZ74" i="43" s="1"/>
  <c r="BO75" i="43"/>
  <c r="CA27" i="43" a="1"/>
  <c r="CA27" i="43" s="1"/>
  <c r="BP28" i="43"/>
  <c r="CA50" i="43" a="1"/>
  <c r="CA50" i="43" s="1"/>
  <c r="BP51" i="43"/>
  <c r="BZ32" i="43" a="1"/>
  <c r="BZ32" i="43" s="1"/>
  <c r="BO33" i="43"/>
  <c r="BZ36" i="43" a="1"/>
  <c r="BZ36" i="43" s="1"/>
  <c r="BO37" i="43"/>
  <c r="BZ17" i="43" a="1"/>
  <c r="BZ17" i="43" s="1"/>
  <c r="BO18" i="43"/>
  <c r="BZ19" i="43" a="1"/>
  <c r="BZ19" i="43" s="1"/>
  <c r="BO20" i="43"/>
  <c r="BZ77" i="43" a="1"/>
  <c r="BZ77" i="43" s="1"/>
  <c r="BO78" i="43"/>
  <c r="BZ43" i="43" a="1"/>
  <c r="BZ43" i="43" s="1"/>
  <c r="BO44" i="43"/>
  <c r="BZ55" i="43" a="1"/>
  <c r="BZ55" i="43" s="1"/>
  <c r="BO56" i="43"/>
  <c r="BZ18" i="43" a="1"/>
  <c r="BZ18" i="43" s="1"/>
  <c r="BO19" i="43"/>
  <c r="BZ33" i="43" a="1"/>
  <c r="BZ33" i="43" s="1"/>
  <c r="BO34" i="43"/>
  <c r="BZ30" i="43" a="1"/>
  <c r="BZ30" i="43" s="1"/>
  <c r="BO31" i="43"/>
  <c r="CA62" i="43" a="1"/>
  <c r="CA62" i="43" s="1"/>
  <c r="BP63" i="43"/>
  <c r="CA42" i="43" a="1"/>
  <c r="CA42" i="43" s="1"/>
  <c r="BP43" i="43"/>
  <c r="BZ68" i="43" a="1"/>
  <c r="BZ68" i="43" s="1"/>
  <c r="BO69" i="43"/>
  <c r="BZ35" i="43" a="1"/>
  <c r="BZ35" i="43" s="1"/>
  <c r="BO36" i="43"/>
  <c r="CA13" i="43" a="1"/>
  <c r="CA13" i="43" s="1"/>
  <c r="BP14" i="43"/>
  <c r="BZ16" i="43" a="1"/>
  <c r="BZ16" i="43" s="1"/>
  <c r="BO17" i="43"/>
  <c r="BZ66" i="43" a="1"/>
  <c r="BZ66" i="43" s="1"/>
  <c r="BO67" i="43"/>
  <c r="BZ75" i="43" a="1"/>
  <c r="BZ75" i="43" s="1"/>
  <c r="BO76" i="43"/>
  <c r="BZ14" i="43" a="1"/>
  <c r="BZ14" i="43" s="1"/>
  <c r="BO15" i="43"/>
  <c r="BZ73" i="43" a="1"/>
  <c r="BZ73" i="43" s="1"/>
  <c r="BO74" i="43"/>
  <c r="CA56" i="43" a="1"/>
  <c r="CA56" i="43" s="1"/>
  <c r="BP57" i="43"/>
  <c r="BZ23" i="43" a="1"/>
  <c r="BZ23" i="43" s="1"/>
  <c r="BO24" i="43"/>
  <c r="BZ31" i="43" a="1"/>
  <c r="BZ31" i="43" s="1"/>
  <c r="BO32" i="43"/>
  <c r="BZ57" i="43" a="1"/>
  <c r="BZ57" i="43" s="1"/>
  <c r="BO58" i="43"/>
  <c r="BZ54" i="43" a="1"/>
  <c r="BZ54" i="43" s="1"/>
  <c r="BO55" i="43"/>
  <c r="BZ52" i="43" a="1"/>
  <c r="BZ52" i="43" s="1"/>
  <c r="BO53" i="43"/>
  <c r="BZ41" i="43" a="1"/>
  <c r="BZ41" i="43" s="1"/>
  <c r="BO42" i="43"/>
  <c r="CA59" i="43" a="1"/>
  <c r="CA59" i="43" s="1"/>
  <c r="BP60" i="43"/>
  <c r="BZ70" i="43" a="1"/>
  <c r="BZ70" i="43" s="1"/>
  <c r="BO71" i="43"/>
  <c r="BZ58" i="43" a="1"/>
  <c r="BZ58" i="43" s="1"/>
  <c r="BO59" i="43"/>
  <c r="CA80" i="43" a="1"/>
  <c r="CA80" i="43" s="1"/>
  <c r="BP81" i="43"/>
  <c r="BH37" i="14"/>
  <c r="BH38" i="14"/>
  <c r="BP38" i="14"/>
  <c r="BJ37" i="14"/>
  <c r="BH36" i="14"/>
  <c r="BP36" i="14"/>
  <c r="BI38" i="14" l="1"/>
  <c r="BG39" i="14"/>
  <c r="BO39" i="14"/>
  <c r="BY81" i="43" a="1"/>
  <c r="BY81" i="43" s="1"/>
  <c r="BO82" i="43"/>
  <c r="BX82" i="43" a="1"/>
  <c r="BX82" i="43" s="1"/>
  <c r="BW83" i="43" a="1"/>
  <c r="BW83" i="43" s="1"/>
  <c r="BK85" i="43"/>
  <c r="BW84" i="43" s="1" a="1"/>
  <c r="BW84" i="43" s="1"/>
  <c r="BY82" i="43" a="1"/>
  <c r="BY82" i="43" s="1"/>
  <c r="BN83" i="43"/>
  <c r="E86" i="43"/>
  <c r="B86" i="43"/>
  <c r="AJ88" i="43"/>
  <c r="BX83" i="43" a="1"/>
  <c r="BX83" i="43" s="1"/>
  <c r="BM84" i="43"/>
  <c r="BJ86" i="43"/>
  <c r="BV85" i="43" s="1" a="1"/>
  <c r="BV85" i="43" s="1"/>
  <c r="CA72" i="43" a="1"/>
  <c r="CA72" i="43" s="1"/>
  <c r="BP30" i="43"/>
  <c r="BQ30" i="43" s="1"/>
  <c r="CA37" i="43" a="1"/>
  <c r="CA37" i="43" s="1"/>
  <c r="CA41" i="43" a="1"/>
  <c r="CA41" i="43" s="1"/>
  <c r="BP42" i="43"/>
  <c r="CA68" i="43" a="1"/>
  <c r="CA68" i="43" s="1"/>
  <c r="BP69" i="43"/>
  <c r="CA51" i="43" a="1"/>
  <c r="CA51" i="43" s="1"/>
  <c r="BP52" i="43"/>
  <c r="CA65" i="43" a="1"/>
  <c r="CA65" i="43" s="1"/>
  <c r="BP66" i="43"/>
  <c r="CA44" i="43" a="1"/>
  <c r="CA44" i="43" s="1"/>
  <c r="BP45" i="43"/>
  <c r="CA78" i="43" a="1"/>
  <c r="CA78" i="43" s="1"/>
  <c r="BP79" i="43"/>
  <c r="CB25" i="43" a="1"/>
  <c r="CB25" i="43" s="1"/>
  <c r="BQ26" i="43"/>
  <c r="CA28" i="43" a="1"/>
  <c r="CA28" i="43" s="1"/>
  <c r="BP29" i="43"/>
  <c r="CB21" i="43" a="1"/>
  <c r="CB21" i="43" s="1"/>
  <c r="BQ22" i="43"/>
  <c r="CA38" i="43" a="1"/>
  <c r="CA38" i="43" s="1"/>
  <c r="BP39" i="43"/>
  <c r="CA52" i="43" a="1"/>
  <c r="CA52" i="43" s="1"/>
  <c r="BP53" i="43"/>
  <c r="CA14" i="43" a="1"/>
  <c r="CA14" i="43" s="1"/>
  <c r="BP15" i="43"/>
  <c r="CA16" i="43" a="1"/>
  <c r="CA16" i="43" s="1"/>
  <c r="BP17" i="43"/>
  <c r="CB42" i="43" a="1"/>
  <c r="CB42" i="43" s="1"/>
  <c r="BQ43" i="43"/>
  <c r="CA77" i="43" a="1"/>
  <c r="CA77" i="43" s="1"/>
  <c r="BP78" i="43"/>
  <c r="CA36" i="43" a="1"/>
  <c r="CA36" i="43" s="1"/>
  <c r="BP37" i="43"/>
  <c r="CB27" i="43" a="1"/>
  <c r="CB27" i="43" s="1"/>
  <c r="BQ28" i="43"/>
  <c r="CA39" i="43" a="1"/>
  <c r="CA39" i="43" s="1"/>
  <c r="BP40" i="43"/>
  <c r="CA48" i="43" a="1"/>
  <c r="CA48" i="43" s="1"/>
  <c r="BP49" i="43"/>
  <c r="CA71" i="43" a="1"/>
  <c r="CA71" i="43" s="1"/>
  <c r="BP72" i="43"/>
  <c r="CA47" i="43" a="1"/>
  <c r="CA47" i="43" s="1"/>
  <c r="BP48" i="43"/>
  <c r="CB79" i="43" a="1"/>
  <c r="CB79" i="43" s="1"/>
  <c r="BQ80" i="43"/>
  <c r="CA67" i="43" a="1"/>
  <c r="CA67" i="43" s="1"/>
  <c r="BP68" i="43"/>
  <c r="CA49" i="43" a="1"/>
  <c r="CA49" i="43" s="1"/>
  <c r="BP50" i="43"/>
  <c r="CA60" i="43" a="1"/>
  <c r="CA60" i="43" s="1"/>
  <c r="BP61" i="43"/>
  <c r="CA20" i="43" a="1"/>
  <c r="CA20" i="43" s="1"/>
  <c r="BP21" i="43"/>
  <c r="CA58" i="43" a="1"/>
  <c r="CA58" i="43" s="1"/>
  <c r="BP59" i="43"/>
  <c r="CA66" i="43" a="1"/>
  <c r="CA66" i="43" s="1"/>
  <c r="BP67" i="43"/>
  <c r="CA54" i="43" a="1"/>
  <c r="CA54" i="43" s="1"/>
  <c r="BP55" i="43"/>
  <c r="CB62" i="43" a="1"/>
  <c r="CB62" i="43" s="1"/>
  <c r="BQ63" i="43"/>
  <c r="CA55" i="43" a="1"/>
  <c r="CA55" i="43" s="1"/>
  <c r="BP56" i="43"/>
  <c r="CA32" i="43" a="1"/>
  <c r="CA32" i="43" s="1"/>
  <c r="BP33" i="43"/>
  <c r="CA61" i="43" a="1"/>
  <c r="CA61" i="43" s="1"/>
  <c r="BP62" i="43"/>
  <c r="CA73" i="43" a="1"/>
  <c r="CA73" i="43" s="1"/>
  <c r="BP74" i="43"/>
  <c r="CA33" i="43" a="1"/>
  <c r="CA33" i="43" s="1"/>
  <c r="BP34" i="43"/>
  <c r="CA70" i="43" a="1"/>
  <c r="CA70" i="43" s="1"/>
  <c r="BP71" i="43"/>
  <c r="CA23" i="43" a="1"/>
  <c r="CA23" i="43" s="1"/>
  <c r="BP24" i="43"/>
  <c r="CB13" i="43" a="1"/>
  <c r="CB13" i="43" s="1"/>
  <c r="BQ14" i="43"/>
  <c r="CA18" i="43" a="1"/>
  <c r="CA18" i="43" s="1"/>
  <c r="BP19" i="43"/>
  <c r="CA19" i="43" a="1"/>
  <c r="CA19" i="43" s="1"/>
  <c r="BP20" i="43"/>
  <c r="CA74" i="43" a="1"/>
  <c r="CA74" i="43" s="1"/>
  <c r="BP75" i="43"/>
  <c r="CB37" i="43" a="1"/>
  <c r="CB37" i="43" s="1"/>
  <c r="BQ38" i="43"/>
  <c r="CA76" i="43" a="1"/>
  <c r="CA76" i="43" s="1"/>
  <c r="BP77" i="43"/>
  <c r="CA40" i="43" a="1"/>
  <c r="CA40" i="43" s="1"/>
  <c r="BP41" i="43"/>
  <c r="CA64" i="43" a="1"/>
  <c r="CA64" i="43" s="1"/>
  <c r="BP65" i="43"/>
  <c r="CA53" i="43" a="1"/>
  <c r="CA53" i="43" s="1"/>
  <c r="BP54" i="43"/>
  <c r="CA69" i="43" a="1"/>
  <c r="CA69" i="43" s="1"/>
  <c r="BP70" i="43"/>
  <c r="CB80" i="43" a="1"/>
  <c r="CB80" i="43" s="1"/>
  <c r="BQ81" i="43"/>
  <c r="CB59" i="43" a="1"/>
  <c r="CB59" i="43" s="1"/>
  <c r="BQ60" i="43"/>
  <c r="CA57" i="43" a="1"/>
  <c r="CA57" i="43" s="1"/>
  <c r="BP58" i="43"/>
  <c r="CB56" i="43" a="1"/>
  <c r="CB56" i="43" s="1"/>
  <c r="BQ57" i="43"/>
  <c r="CA75" i="43" a="1"/>
  <c r="CA75" i="43" s="1"/>
  <c r="BP76" i="43"/>
  <c r="CA35" i="43" a="1"/>
  <c r="CA35" i="43" s="1"/>
  <c r="BP36" i="43"/>
  <c r="CA30" i="43" a="1"/>
  <c r="CA30" i="43" s="1"/>
  <c r="BP31" i="43"/>
  <c r="CA43" i="43" a="1"/>
  <c r="CA43" i="43" s="1"/>
  <c r="BP44" i="43"/>
  <c r="CA17" i="43" a="1"/>
  <c r="CA17" i="43" s="1"/>
  <c r="BP18" i="43"/>
  <c r="CB50" i="43" a="1"/>
  <c r="CB50" i="43" s="1"/>
  <c r="BQ51" i="43"/>
  <c r="CB46" i="43" a="1"/>
  <c r="CB46" i="43" s="1"/>
  <c r="BQ47" i="43"/>
  <c r="CB45" i="43" a="1"/>
  <c r="CB45" i="43" s="1"/>
  <c r="BQ46" i="43"/>
  <c r="CB72" i="43" a="1"/>
  <c r="CB72" i="43" s="1"/>
  <c r="BQ73" i="43"/>
  <c r="CA26" i="43" a="1"/>
  <c r="CA26" i="43" s="1"/>
  <c r="BP27" i="43"/>
  <c r="CA63" i="43" a="1"/>
  <c r="CA63" i="43" s="1"/>
  <c r="BP64" i="43"/>
  <c r="CA34" i="43" a="1"/>
  <c r="CA34" i="43" s="1"/>
  <c r="BP35" i="43"/>
  <c r="CA24" i="43" a="1"/>
  <c r="CA24" i="43" s="1"/>
  <c r="BP25" i="43"/>
  <c r="CA15" i="43" a="1"/>
  <c r="CA15" i="43" s="1"/>
  <c r="BP16" i="43"/>
  <c r="CB22" i="43" a="1"/>
  <c r="CB22" i="43" s="1"/>
  <c r="BQ23" i="43"/>
  <c r="CA31" i="43" a="1"/>
  <c r="CA31" i="43" s="1"/>
  <c r="BP32" i="43"/>
  <c r="BP39" i="14"/>
  <c r="BP37" i="14"/>
  <c r="BJ38" i="14"/>
  <c r="BH39" i="14"/>
  <c r="BI39" i="14" l="1"/>
  <c r="BO40" i="14"/>
  <c r="BG40" i="14"/>
  <c r="BP82" i="43"/>
  <c r="CA81" i="43" a="1"/>
  <c r="CA81" i="43" s="1"/>
  <c r="BL85" i="43"/>
  <c r="BM85" i="43" s="1"/>
  <c r="AJ89" i="43"/>
  <c r="BJ87" i="43"/>
  <c r="BV86" i="43" s="1" a="1"/>
  <c r="BV86" i="43" s="1"/>
  <c r="E87" i="43"/>
  <c r="B87" i="43"/>
  <c r="BK86" i="43"/>
  <c r="BZ82" i="43" a="1"/>
  <c r="BZ82" i="43" s="1"/>
  <c r="BO83" i="43"/>
  <c r="BY83" i="43" a="1"/>
  <c r="BY83" i="43" s="1"/>
  <c r="BN84" i="43"/>
  <c r="CB29" i="43" a="1"/>
  <c r="CB29" i="43" s="1"/>
  <c r="CB15" i="43" a="1"/>
  <c r="CB15" i="43" s="1"/>
  <c r="BQ16" i="43"/>
  <c r="CB26" i="43" a="1"/>
  <c r="CB26" i="43" s="1"/>
  <c r="BQ27" i="43"/>
  <c r="CB43" i="43" a="1"/>
  <c r="CB43" i="43" s="1"/>
  <c r="BQ44" i="43"/>
  <c r="CB75" i="43" a="1"/>
  <c r="CB75" i="43" s="1"/>
  <c r="BQ76" i="43"/>
  <c r="CC80" i="43" a="1"/>
  <c r="CC80" i="43" s="1"/>
  <c r="BR81" i="43"/>
  <c r="CB64" i="43" a="1"/>
  <c r="CB64" i="43" s="1"/>
  <c r="BQ65" i="43"/>
  <c r="CB74" i="43" a="1"/>
  <c r="CB74" i="43" s="1"/>
  <c r="BQ75" i="43"/>
  <c r="CB23" i="43" a="1"/>
  <c r="CB23" i="43" s="1"/>
  <c r="BQ24" i="43"/>
  <c r="CB61" i="43" a="1"/>
  <c r="CB61" i="43" s="1"/>
  <c r="BQ62" i="43"/>
  <c r="CB55" i="43" a="1"/>
  <c r="CB55" i="43" s="1"/>
  <c r="BQ56" i="43"/>
  <c r="CB20" i="43" a="1"/>
  <c r="CB20" i="43" s="1"/>
  <c r="BQ21" i="43"/>
  <c r="CB67" i="43" a="1"/>
  <c r="CB67" i="43" s="1"/>
  <c r="BQ68" i="43"/>
  <c r="CB48" i="43" a="1"/>
  <c r="CB48" i="43" s="1"/>
  <c r="BQ49" i="43"/>
  <c r="CB77" i="43" a="1"/>
  <c r="CB77" i="43" s="1"/>
  <c r="BQ78" i="43"/>
  <c r="CB16" i="43" a="1"/>
  <c r="CB16" i="43" s="1"/>
  <c r="BQ17" i="43"/>
  <c r="CC25" i="43" a="1"/>
  <c r="CC25" i="43" s="1"/>
  <c r="BR26" i="43"/>
  <c r="CB65" i="43" a="1"/>
  <c r="CB65" i="43" s="1"/>
  <c r="BQ66" i="43"/>
  <c r="CB24" i="43" a="1"/>
  <c r="CB24" i="43" s="1"/>
  <c r="BQ25" i="43"/>
  <c r="CC72" i="43" a="1"/>
  <c r="CC72" i="43" s="1"/>
  <c r="BR73" i="43"/>
  <c r="CC56" i="43" a="1"/>
  <c r="CC56" i="43" s="1"/>
  <c r="BR57" i="43"/>
  <c r="CB40" i="43" a="1"/>
  <c r="CB40" i="43" s="1"/>
  <c r="BQ41" i="43"/>
  <c r="CB19" i="43" a="1"/>
  <c r="CB19" i="43" s="1"/>
  <c r="BQ20" i="43"/>
  <c r="CB70" i="43" a="1"/>
  <c r="CB70" i="43" s="1"/>
  <c r="BQ71" i="43"/>
  <c r="CC62" i="43" a="1"/>
  <c r="CC62" i="43" s="1"/>
  <c r="BR63" i="43"/>
  <c r="CB60" i="43" a="1"/>
  <c r="CB60" i="43" s="1"/>
  <c r="BQ61" i="43"/>
  <c r="CC79" i="43" a="1"/>
  <c r="CC79" i="43" s="1"/>
  <c r="BR80" i="43"/>
  <c r="CB39" i="43" a="1"/>
  <c r="CB39" i="43" s="1"/>
  <c r="BQ40" i="43"/>
  <c r="CB14" i="43" a="1"/>
  <c r="CB14" i="43" s="1"/>
  <c r="BQ15" i="43"/>
  <c r="CB38" i="43" a="1"/>
  <c r="CB38" i="43" s="1"/>
  <c r="BQ39" i="43"/>
  <c r="CB78" i="43" a="1"/>
  <c r="CB78" i="43" s="1"/>
  <c r="BQ79" i="43"/>
  <c r="CB51" i="43" a="1"/>
  <c r="CB51" i="43" s="1"/>
  <c r="BQ52" i="43"/>
  <c r="CB31" i="43" a="1"/>
  <c r="CB31" i="43" s="1"/>
  <c r="BQ32" i="43"/>
  <c r="CB34" i="43" a="1"/>
  <c r="CB34" i="43" s="1"/>
  <c r="BQ35" i="43"/>
  <c r="CC45" i="43" a="1"/>
  <c r="CC45" i="43" s="1"/>
  <c r="BR46" i="43"/>
  <c r="CC50" i="43" a="1"/>
  <c r="CC50" i="43" s="1"/>
  <c r="BR51" i="43"/>
  <c r="CB30" i="43" a="1"/>
  <c r="CB30" i="43" s="1"/>
  <c r="BQ31" i="43"/>
  <c r="CB57" i="43" a="1"/>
  <c r="CB57" i="43" s="1"/>
  <c r="BQ58" i="43"/>
  <c r="CB69" i="43" a="1"/>
  <c r="CB69" i="43" s="1"/>
  <c r="BQ70" i="43"/>
  <c r="CB76" i="43" a="1"/>
  <c r="CB76" i="43" s="1"/>
  <c r="BQ77" i="43"/>
  <c r="CB18" i="43" a="1"/>
  <c r="CB18" i="43" s="1"/>
  <c r="BQ19" i="43"/>
  <c r="CB33" i="43" a="1"/>
  <c r="CB33" i="43" s="1"/>
  <c r="BQ34" i="43"/>
  <c r="CB66" i="43" a="1"/>
  <c r="CB66" i="43" s="1"/>
  <c r="BQ67" i="43"/>
  <c r="CB47" i="43" a="1"/>
  <c r="CB47" i="43" s="1"/>
  <c r="BQ48" i="43"/>
  <c r="CC27" i="43" a="1"/>
  <c r="CC27" i="43" s="1"/>
  <c r="BR28" i="43"/>
  <c r="CC29" i="43" a="1"/>
  <c r="CC29" i="43" s="1"/>
  <c r="BR30" i="43"/>
  <c r="CC21" i="43" a="1"/>
  <c r="CC21" i="43" s="1"/>
  <c r="BR22" i="43"/>
  <c r="CB44" i="43" a="1"/>
  <c r="CB44" i="43" s="1"/>
  <c r="BQ45" i="43"/>
  <c r="CB68" i="43" a="1"/>
  <c r="CB68" i="43" s="1"/>
  <c r="BQ69" i="43"/>
  <c r="CC22" i="43" a="1"/>
  <c r="CC22" i="43" s="1"/>
  <c r="BR23" i="43"/>
  <c r="CB63" i="43" a="1"/>
  <c r="CB63" i="43" s="1"/>
  <c r="BQ64" i="43"/>
  <c r="CC46" i="43" a="1"/>
  <c r="CC46" i="43" s="1"/>
  <c r="BR47" i="43"/>
  <c r="CB17" i="43" a="1"/>
  <c r="CB17" i="43" s="1"/>
  <c r="BQ18" i="43"/>
  <c r="CB35" i="43" a="1"/>
  <c r="CB35" i="43" s="1"/>
  <c r="BQ36" i="43"/>
  <c r="CC59" i="43" a="1"/>
  <c r="CC59" i="43" s="1"/>
  <c r="BR60" i="43"/>
  <c r="CB53" i="43" a="1"/>
  <c r="CB53" i="43" s="1"/>
  <c r="BQ54" i="43"/>
  <c r="CC37" i="43" a="1"/>
  <c r="CC37" i="43" s="1"/>
  <c r="BR38" i="43"/>
  <c r="CC13" i="43" a="1"/>
  <c r="CC13" i="43" s="1"/>
  <c r="BR14" i="43"/>
  <c r="CB73" i="43" a="1"/>
  <c r="CB73" i="43" s="1"/>
  <c r="BQ74" i="43"/>
  <c r="CB32" i="43" a="1"/>
  <c r="CB32" i="43" s="1"/>
  <c r="BQ33" i="43"/>
  <c r="CB54" i="43" a="1"/>
  <c r="CB54" i="43" s="1"/>
  <c r="BQ55" i="43"/>
  <c r="CB58" i="43" a="1"/>
  <c r="CB58" i="43" s="1"/>
  <c r="BQ59" i="43"/>
  <c r="CB49" i="43" a="1"/>
  <c r="CB49" i="43" s="1"/>
  <c r="BQ50" i="43"/>
  <c r="CB71" i="43" a="1"/>
  <c r="CB71" i="43" s="1"/>
  <c r="BQ72" i="43"/>
  <c r="CB36" i="43" a="1"/>
  <c r="CB36" i="43" s="1"/>
  <c r="BQ37" i="43"/>
  <c r="CC42" i="43" a="1"/>
  <c r="CC42" i="43" s="1"/>
  <c r="BR43" i="43"/>
  <c r="CB52" i="43" a="1"/>
  <c r="CB52" i="43" s="1"/>
  <c r="BQ53" i="43"/>
  <c r="CB28" i="43" a="1"/>
  <c r="CB28" i="43" s="1"/>
  <c r="BQ29" i="43"/>
  <c r="CB41" i="43" a="1"/>
  <c r="CB41" i="43" s="1"/>
  <c r="BQ42" i="43"/>
  <c r="BH40" i="14"/>
  <c r="BJ39" i="14"/>
  <c r="BP40" i="14"/>
  <c r="BI40" i="14" l="1"/>
  <c r="BG41" i="14"/>
  <c r="BO41" i="14"/>
  <c r="CB81" i="43" a="1"/>
  <c r="CB81" i="43" s="1"/>
  <c r="BQ82" i="43"/>
  <c r="BX84" i="43" a="1"/>
  <c r="BX84" i="43" s="1"/>
  <c r="BW85" i="43" a="1"/>
  <c r="BW85" i="43" s="1"/>
  <c r="BL86" i="43"/>
  <c r="BJ88" i="43"/>
  <c r="BV87" i="43" s="1" a="1"/>
  <c r="BV87" i="43" s="1"/>
  <c r="BY84" i="43" a="1"/>
  <c r="BY84" i="43" s="1"/>
  <c r="BN85" i="43"/>
  <c r="BK87" i="43"/>
  <c r="BZ83" i="43" a="1"/>
  <c r="BZ83" i="43" s="1"/>
  <c r="BO84" i="43"/>
  <c r="E88" i="43"/>
  <c r="B88" i="43"/>
  <c r="CA82" i="43" a="1"/>
  <c r="CA82" i="43" s="1"/>
  <c r="BP83" i="43"/>
  <c r="AJ90" i="43"/>
  <c r="CC36" i="43" a="1"/>
  <c r="CC36" i="43" s="1"/>
  <c r="BR37" i="43"/>
  <c r="CD37" i="43" a="1"/>
  <c r="CD37" i="43" s="1"/>
  <c r="BS38" i="43"/>
  <c r="CE37" i="43" s="1" a="1"/>
  <c r="CE37" i="43" s="1"/>
  <c r="CC68" i="43" a="1"/>
  <c r="CC68" i="43" s="1"/>
  <c r="BR69" i="43"/>
  <c r="CC57" i="43" a="1"/>
  <c r="CC57" i="43" s="1"/>
  <c r="BR58" i="43"/>
  <c r="CC78" i="43" a="1"/>
  <c r="CC78" i="43" s="1"/>
  <c r="BR79" i="43"/>
  <c r="CD62" i="43" a="1"/>
  <c r="CD62" i="43" s="1"/>
  <c r="BS63" i="43"/>
  <c r="CE62" i="43" s="1" a="1"/>
  <c r="CE62" i="43" s="1"/>
  <c r="CC77" i="43" a="1"/>
  <c r="CC77" i="43" s="1"/>
  <c r="BR78" i="43"/>
  <c r="CC43" i="43" a="1"/>
  <c r="CC43" i="43" s="1"/>
  <c r="BR44" i="43"/>
  <c r="CC54" i="43" a="1"/>
  <c r="CC54" i="43" s="1"/>
  <c r="BR55" i="43"/>
  <c r="CC17" i="43" a="1"/>
  <c r="CC17" i="43" s="1"/>
  <c r="BR18" i="43"/>
  <c r="CD29" i="43" a="1"/>
  <c r="CD29" i="43" s="1"/>
  <c r="BS30" i="43"/>
  <c r="CE29" i="43" s="1" a="1"/>
  <c r="CE29" i="43" s="1"/>
  <c r="CC33" i="43" a="1"/>
  <c r="CC33" i="43" s="1"/>
  <c r="BR34" i="43"/>
  <c r="CC34" i="43" a="1"/>
  <c r="CC34" i="43" s="1"/>
  <c r="BR35" i="43"/>
  <c r="CC39" i="43" a="1"/>
  <c r="CC39" i="43" s="1"/>
  <c r="BR40" i="43"/>
  <c r="CC40" i="43" a="1"/>
  <c r="CC40" i="43" s="1"/>
  <c r="BR41" i="43"/>
  <c r="CC65" i="43" a="1"/>
  <c r="CC65" i="43" s="1"/>
  <c r="BR66" i="43"/>
  <c r="CC74" i="43" a="1"/>
  <c r="CC74" i="43" s="1"/>
  <c r="BR75" i="43"/>
  <c r="CC28" i="43" a="1"/>
  <c r="CC28" i="43" s="1"/>
  <c r="BR29" i="43"/>
  <c r="CC71" i="43" a="1"/>
  <c r="CC71" i="43" s="1"/>
  <c r="BR72" i="43"/>
  <c r="CC32" i="43" a="1"/>
  <c r="CC32" i="43" s="1"/>
  <c r="BR33" i="43"/>
  <c r="CC53" i="43" a="1"/>
  <c r="CC53" i="43" s="1"/>
  <c r="BR54" i="43"/>
  <c r="CD46" i="43" a="1"/>
  <c r="CD46" i="43" s="1"/>
  <c r="BS47" i="43"/>
  <c r="CE46" i="43" s="1" a="1"/>
  <c r="CE46" i="43" s="1"/>
  <c r="CC66" i="43" a="1"/>
  <c r="CC66" i="43" s="1"/>
  <c r="BR67" i="43"/>
  <c r="CC18" i="43" a="1"/>
  <c r="CC18" i="43" s="1"/>
  <c r="BR19" i="43"/>
  <c r="CC30" i="43" a="1"/>
  <c r="CC30" i="43" s="1"/>
  <c r="BR31" i="43"/>
  <c r="CC31" i="43" a="1"/>
  <c r="CC31" i="43" s="1"/>
  <c r="BR32" i="43"/>
  <c r="CC38" i="43" a="1"/>
  <c r="CC38" i="43" s="1"/>
  <c r="BR39" i="43"/>
  <c r="CD79" i="43" a="1"/>
  <c r="CD79" i="43" s="1"/>
  <c r="BS80" i="43"/>
  <c r="CE79" i="43" s="1" a="1"/>
  <c r="CE79" i="43" s="1"/>
  <c r="CD72" i="43" a="1"/>
  <c r="CD72" i="43" s="1"/>
  <c r="BS73" i="43"/>
  <c r="CE72" i="43" s="1" a="1"/>
  <c r="CE72" i="43" s="1"/>
  <c r="CD25" i="43" a="1"/>
  <c r="CD25" i="43" s="1"/>
  <c r="BS26" i="43"/>
  <c r="CE25" i="43" s="1" a="1"/>
  <c r="CE25" i="43" s="1"/>
  <c r="CC48" i="43" a="1"/>
  <c r="CC48" i="43" s="1"/>
  <c r="BR49" i="43"/>
  <c r="CC55" i="43" a="1"/>
  <c r="CC55" i="43" s="1"/>
  <c r="BR56" i="43"/>
  <c r="CC64" i="43" a="1"/>
  <c r="CC64" i="43" s="1"/>
  <c r="BR65" i="43"/>
  <c r="CC41" i="43" a="1"/>
  <c r="CC41" i="43" s="1"/>
  <c r="BR42" i="43"/>
  <c r="CC49" i="43" a="1"/>
  <c r="CC49" i="43" s="1"/>
  <c r="BR50" i="43"/>
  <c r="CD59" i="43" a="1"/>
  <c r="CD59" i="43" s="1"/>
  <c r="BS60" i="43"/>
  <c r="CE59" i="43" s="1" a="1"/>
  <c r="CE59" i="43" s="1"/>
  <c r="CC44" i="43" a="1"/>
  <c r="CC44" i="43" s="1"/>
  <c r="BR45" i="43"/>
  <c r="CD50" i="43" a="1"/>
  <c r="CD50" i="43" s="1"/>
  <c r="BS51" i="43"/>
  <c r="CE50" i="43" s="1" a="1"/>
  <c r="CE50" i="43" s="1"/>
  <c r="CC14" i="43" a="1"/>
  <c r="CC14" i="43" s="1"/>
  <c r="BR15" i="43"/>
  <c r="CC70" i="43" a="1"/>
  <c r="CC70" i="43" s="1"/>
  <c r="BR71" i="43"/>
  <c r="CD56" i="43" a="1"/>
  <c r="CD56" i="43" s="1"/>
  <c r="BS57" i="43"/>
  <c r="CE56" i="43" s="1" a="1"/>
  <c r="CE56" i="43" s="1"/>
  <c r="CC61" i="43" a="1"/>
  <c r="CC61" i="43" s="1"/>
  <c r="BR62" i="43"/>
  <c r="CD80" i="43" a="1"/>
  <c r="CD80" i="43" s="1"/>
  <c r="BS81" i="43"/>
  <c r="CE80" i="43" s="1" a="1"/>
  <c r="CE80" i="43" s="1"/>
  <c r="CC52" i="43" a="1"/>
  <c r="CC52" i="43" s="1"/>
  <c r="BR53" i="43"/>
  <c r="CC73" i="43" a="1"/>
  <c r="CC73" i="43" s="1"/>
  <c r="BR74" i="43"/>
  <c r="CC63" i="43" a="1"/>
  <c r="CC63" i="43" s="1"/>
  <c r="BR64" i="43"/>
  <c r="CD27" i="43" a="1"/>
  <c r="CD27" i="43" s="1"/>
  <c r="BS28" i="43"/>
  <c r="CE27" i="43" s="1" a="1"/>
  <c r="CE27" i="43" s="1"/>
  <c r="CC76" i="43" a="1"/>
  <c r="CC76" i="43" s="1"/>
  <c r="BR77" i="43"/>
  <c r="CC60" i="43" a="1"/>
  <c r="CC60" i="43" s="1"/>
  <c r="BR61" i="43"/>
  <c r="CC24" i="43" a="1"/>
  <c r="CC24" i="43" s="1"/>
  <c r="BR25" i="43"/>
  <c r="CC67" i="43" a="1"/>
  <c r="CC67" i="43" s="1"/>
  <c r="BR68" i="43"/>
  <c r="CC26" i="43" a="1"/>
  <c r="CC26" i="43" s="1"/>
  <c r="BR27" i="43"/>
  <c r="CD42" i="43" a="1"/>
  <c r="CD42" i="43" s="1"/>
  <c r="BS43" i="43"/>
  <c r="CE42" i="43" s="1" a="1"/>
  <c r="CE42" i="43" s="1"/>
  <c r="CC58" i="43" a="1"/>
  <c r="CC58" i="43" s="1"/>
  <c r="BR59" i="43"/>
  <c r="CD13" i="43" a="1"/>
  <c r="CD13" i="43" s="1"/>
  <c r="BS14" i="43"/>
  <c r="CE13" i="43" s="1" a="1"/>
  <c r="CE13" i="43" s="1"/>
  <c r="CC35" i="43" a="1"/>
  <c r="CC35" i="43" s="1"/>
  <c r="BR36" i="43"/>
  <c r="CD22" i="43" a="1"/>
  <c r="CD22" i="43" s="1"/>
  <c r="BS23" i="43"/>
  <c r="CE22" i="43" s="1" a="1"/>
  <c r="CE22" i="43" s="1"/>
  <c r="CD21" i="43" a="1"/>
  <c r="CD21" i="43" s="1"/>
  <c r="BS22" i="43"/>
  <c r="CE21" i="43" s="1" a="1"/>
  <c r="CE21" i="43" s="1"/>
  <c r="CC47" i="43" a="1"/>
  <c r="CC47" i="43" s="1"/>
  <c r="BR48" i="43"/>
  <c r="CC69" i="43" a="1"/>
  <c r="CC69" i="43" s="1"/>
  <c r="BR70" i="43"/>
  <c r="CD45" i="43" a="1"/>
  <c r="CD45" i="43" s="1"/>
  <c r="BS46" i="43"/>
  <c r="CE45" i="43" s="1" a="1"/>
  <c r="CE45" i="43" s="1"/>
  <c r="CC51" i="43" a="1"/>
  <c r="CC51" i="43" s="1"/>
  <c r="BR52" i="43"/>
  <c r="CC19" i="43" a="1"/>
  <c r="CC19" i="43" s="1"/>
  <c r="BR20" i="43"/>
  <c r="CC16" i="43" a="1"/>
  <c r="CC16" i="43" s="1"/>
  <c r="BR17" i="43"/>
  <c r="CC20" i="43" a="1"/>
  <c r="CC20" i="43" s="1"/>
  <c r="BR21" i="43"/>
  <c r="CC23" i="43" a="1"/>
  <c r="CC23" i="43" s="1"/>
  <c r="BR24" i="43"/>
  <c r="CC75" i="43" a="1"/>
  <c r="CC75" i="43" s="1"/>
  <c r="BR76" i="43"/>
  <c r="CC15" i="43" a="1"/>
  <c r="CC15" i="43" s="1"/>
  <c r="BR16" i="43"/>
  <c r="BJ40" i="14"/>
  <c r="BH41" i="14"/>
  <c r="BP41" i="14"/>
  <c r="BI41" i="14" l="1"/>
  <c r="BO42" i="14"/>
  <c r="BG42" i="14"/>
  <c r="CC81" i="43" a="1"/>
  <c r="CC81" i="43" s="1"/>
  <c r="BR82" i="43"/>
  <c r="E89" i="43"/>
  <c r="B89" i="43"/>
  <c r="BL87" i="43"/>
  <c r="BW86" i="43" a="1"/>
  <c r="BW86" i="43" s="1"/>
  <c r="AJ91" i="43"/>
  <c r="BZ84" i="43" a="1"/>
  <c r="BZ84" i="43" s="1"/>
  <c r="BO85" i="43"/>
  <c r="CB82" i="43" a="1"/>
  <c r="CB82" i="43" s="1"/>
  <c r="BQ83" i="43"/>
  <c r="BK88" i="43"/>
  <c r="BJ89" i="43"/>
  <c r="BV88" i="43" s="1" a="1"/>
  <c r="BV88" i="43" s="1"/>
  <c r="BX85" i="43" a="1"/>
  <c r="BX85" i="43" s="1"/>
  <c r="BM86" i="43"/>
  <c r="CA83" i="43" a="1"/>
  <c r="CA83" i="43" s="1"/>
  <c r="BP84" i="43"/>
  <c r="CD47" i="43" a="1"/>
  <c r="CD47" i="43" s="1"/>
  <c r="BS48" i="43"/>
  <c r="CE47" i="43" s="1" a="1"/>
  <c r="CE47" i="43" s="1"/>
  <c r="CD31" i="43" a="1"/>
  <c r="CD31" i="43" s="1"/>
  <c r="BS32" i="43"/>
  <c r="CE31" i="43" s="1" a="1"/>
  <c r="CE31" i="43" s="1"/>
  <c r="CD32" i="43" a="1"/>
  <c r="CD32" i="43" s="1"/>
  <c r="BS33" i="43"/>
  <c r="CE32" i="43" s="1" a="1"/>
  <c r="CE32" i="43" s="1"/>
  <c r="CD26" i="43" a="1"/>
  <c r="CD26" i="43" s="1"/>
  <c r="BS27" i="43"/>
  <c r="CE26" i="43" s="1" a="1"/>
  <c r="CE26" i="43" s="1"/>
  <c r="CD73" i="43" a="1"/>
  <c r="CD73" i="43" s="1"/>
  <c r="BS74" i="43"/>
  <c r="CE73" i="43" s="1" a="1"/>
  <c r="CE73" i="43" s="1"/>
  <c r="CD49" i="43" a="1"/>
  <c r="CD49" i="43" s="1"/>
  <c r="BS50" i="43"/>
  <c r="CE49" i="43" s="1" a="1"/>
  <c r="CE49" i="43" s="1"/>
  <c r="CD55" i="43" a="1"/>
  <c r="CD55" i="43" s="1"/>
  <c r="BS56" i="43"/>
  <c r="CE55" i="43" s="1" a="1"/>
  <c r="CE55" i="43" s="1"/>
  <c r="CD34" i="43" a="1"/>
  <c r="CD34" i="43" s="1"/>
  <c r="BS35" i="43"/>
  <c r="CE34" i="43" s="1" a="1"/>
  <c r="CE34" i="43" s="1"/>
  <c r="CD54" i="43" a="1"/>
  <c r="CD54" i="43" s="1"/>
  <c r="BS55" i="43"/>
  <c r="CE54" i="43" s="1" a="1"/>
  <c r="CE54" i="43" s="1"/>
  <c r="CD20" i="43" a="1"/>
  <c r="CD20" i="43" s="1"/>
  <c r="BS21" i="43"/>
  <c r="CE20" i="43" s="1" a="1"/>
  <c r="CE20" i="43" s="1"/>
  <c r="CD19" i="43" a="1"/>
  <c r="CD19" i="43" s="1"/>
  <c r="BS20" i="43"/>
  <c r="CE19" i="43" s="1" a="1"/>
  <c r="CE19" i="43" s="1"/>
  <c r="CD58" i="43" a="1"/>
  <c r="CD58" i="43" s="1"/>
  <c r="BS59" i="43"/>
  <c r="CE58" i="43" s="1" a="1"/>
  <c r="CE58" i="43" s="1"/>
  <c r="CD67" i="43" a="1"/>
  <c r="CD67" i="43" s="1"/>
  <c r="BS68" i="43"/>
  <c r="CE67" i="43" s="1" a="1"/>
  <c r="CE67" i="43" s="1"/>
  <c r="CD76" i="43" a="1"/>
  <c r="CD76" i="43" s="1"/>
  <c r="BS77" i="43"/>
  <c r="CE76" i="43" s="1" a="1"/>
  <c r="CE76" i="43" s="1"/>
  <c r="CD52" i="43" a="1"/>
  <c r="CD52" i="43" s="1"/>
  <c r="BS53" i="43"/>
  <c r="CE52" i="43" s="1" a="1"/>
  <c r="CE52" i="43" s="1"/>
  <c r="CD41" i="43" a="1"/>
  <c r="CD41" i="43" s="1"/>
  <c r="BS42" i="43"/>
  <c r="CE41" i="43" s="1" a="1"/>
  <c r="CE41" i="43" s="1"/>
  <c r="CD48" i="43" a="1"/>
  <c r="CD48" i="43" s="1"/>
  <c r="BS49" i="43"/>
  <c r="CE48" i="43" s="1" a="1"/>
  <c r="CE48" i="43" s="1"/>
  <c r="CD30" i="43" a="1"/>
  <c r="CD30" i="43" s="1"/>
  <c r="BS31" i="43"/>
  <c r="CE30" i="43" s="1" a="1"/>
  <c r="CE30" i="43" s="1"/>
  <c r="CD71" i="43" a="1"/>
  <c r="CD71" i="43" s="1"/>
  <c r="BS72" i="43"/>
  <c r="CE71" i="43" s="1" a="1"/>
  <c r="CE71" i="43" s="1"/>
  <c r="CD65" i="43" a="1"/>
  <c r="CD65" i="43" s="1"/>
  <c r="BS66" i="43"/>
  <c r="CE65" i="43" s="1" a="1"/>
  <c r="CE65" i="43" s="1"/>
  <c r="CD33" i="43" a="1"/>
  <c r="CD33" i="43" s="1"/>
  <c r="BS34" i="43"/>
  <c r="CE33" i="43" s="1" a="1"/>
  <c r="CE33" i="43" s="1"/>
  <c r="CD68" i="43" a="1"/>
  <c r="CD68" i="43" s="1"/>
  <c r="BS69" i="43"/>
  <c r="CE68" i="43" s="1" a="1"/>
  <c r="CE68" i="43" s="1"/>
  <c r="CD23" i="43" a="1"/>
  <c r="CD23" i="43" s="1"/>
  <c r="BS24" i="43"/>
  <c r="CE23" i="43" s="1" a="1"/>
  <c r="CE23" i="43" s="1"/>
  <c r="CD51" i="43" a="1"/>
  <c r="CD51" i="43" s="1"/>
  <c r="BS52" i="43"/>
  <c r="CE51" i="43" s="1" a="1"/>
  <c r="CE51" i="43" s="1"/>
  <c r="CD15" i="43" a="1"/>
  <c r="CD15" i="43" s="1"/>
  <c r="BS16" i="43"/>
  <c r="CE15" i="43" s="1" a="1"/>
  <c r="CE15" i="43" s="1"/>
  <c r="CD16" i="43" a="1"/>
  <c r="CD16" i="43" s="1"/>
  <c r="BS17" i="43"/>
  <c r="CE16" i="43" s="1" a="1"/>
  <c r="CE16" i="43" s="1"/>
  <c r="CD69" i="43" a="1"/>
  <c r="CD69" i="43" s="1"/>
  <c r="BS70" i="43"/>
  <c r="CE69" i="43" s="1" a="1"/>
  <c r="CE69" i="43" s="1"/>
  <c r="CD24" i="43" a="1"/>
  <c r="CD24" i="43" s="1"/>
  <c r="BS25" i="43"/>
  <c r="CE24" i="43" s="1" a="1"/>
  <c r="CE24" i="43" s="1"/>
  <c r="CD70" i="43" a="1"/>
  <c r="CD70" i="43" s="1"/>
  <c r="BS71" i="43"/>
  <c r="CE70" i="43" s="1" a="1"/>
  <c r="CE70" i="43" s="1"/>
  <c r="CD44" i="43" a="1"/>
  <c r="CD44" i="43" s="1"/>
  <c r="BS45" i="43"/>
  <c r="CE44" i="43" s="1" a="1"/>
  <c r="CE44" i="43" s="1"/>
  <c r="CD18" i="43" a="1"/>
  <c r="CD18" i="43" s="1"/>
  <c r="BS19" i="43"/>
  <c r="CE18" i="43" s="1" a="1"/>
  <c r="CE18" i="43" s="1"/>
  <c r="CD28" i="43" a="1"/>
  <c r="CD28" i="43" s="1"/>
  <c r="BS29" i="43"/>
  <c r="CE28" i="43" s="1" a="1"/>
  <c r="CE28" i="43" s="1"/>
  <c r="CD40" i="43" a="1"/>
  <c r="CD40" i="43" s="1"/>
  <c r="BS41" i="43"/>
  <c r="CE40" i="43" s="1" a="1"/>
  <c r="CE40" i="43" s="1"/>
  <c r="CD43" i="43" a="1"/>
  <c r="CD43" i="43" s="1"/>
  <c r="BS44" i="43"/>
  <c r="CE43" i="43" s="1" a="1"/>
  <c r="CE43" i="43" s="1"/>
  <c r="CD78" i="43" a="1"/>
  <c r="CD78" i="43" s="1"/>
  <c r="BS79" i="43"/>
  <c r="CE78" i="43" s="1" a="1"/>
  <c r="CE78" i="43" s="1"/>
  <c r="CD75" i="43" a="1"/>
  <c r="CD75" i="43" s="1"/>
  <c r="BS76" i="43"/>
  <c r="CE75" i="43" s="1" a="1"/>
  <c r="CE75" i="43" s="1"/>
  <c r="CD35" i="43" a="1"/>
  <c r="CD35" i="43" s="1"/>
  <c r="BS36" i="43"/>
  <c r="CE35" i="43" s="1" a="1"/>
  <c r="CE35" i="43" s="1"/>
  <c r="CD60" i="43" a="1"/>
  <c r="CD60" i="43" s="1"/>
  <c r="BS61" i="43"/>
  <c r="CE60" i="43" s="1" a="1"/>
  <c r="CE60" i="43" s="1"/>
  <c r="CD63" i="43" a="1"/>
  <c r="CD63" i="43" s="1"/>
  <c r="BS64" i="43"/>
  <c r="CE63" i="43" s="1" a="1"/>
  <c r="CE63" i="43" s="1"/>
  <c r="CD61" i="43" a="1"/>
  <c r="CD61" i="43" s="1"/>
  <c r="BS62" i="43"/>
  <c r="CE61" i="43" s="1" a="1"/>
  <c r="CE61" i="43" s="1"/>
  <c r="CD14" i="43" a="1"/>
  <c r="CD14" i="43" s="1"/>
  <c r="BS15" i="43"/>
  <c r="CE14" i="43" s="1" a="1"/>
  <c r="CE14" i="43" s="1"/>
  <c r="CD64" i="43" a="1"/>
  <c r="CD64" i="43" s="1"/>
  <c r="BS65" i="43"/>
  <c r="CE64" i="43" s="1" a="1"/>
  <c r="CE64" i="43" s="1"/>
  <c r="CD38" i="43" a="1"/>
  <c r="CD38" i="43" s="1"/>
  <c r="BS39" i="43"/>
  <c r="CE38" i="43" s="1" a="1"/>
  <c r="CE38" i="43" s="1"/>
  <c r="CD66" i="43" a="1"/>
  <c r="CD66" i="43" s="1"/>
  <c r="BS67" i="43"/>
  <c r="CE66" i="43" s="1" a="1"/>
  <c r="CE66" i="43" s="1"/>
  <c r="CD53" i="43" a="1"/>
  <c r="CD53" i="43" s="1"/>
  <c r="BS54" i="43"/>
  <c r="CE53" i="43" s="1" a="1"/>
  <c r="CE53" i="43" s="1"/>
  <c r="CD74" i="43" a="1"/>
  <c r="CD74" i="43" s="1"/>
  <c r="BS75" i="43"/>
  <c r="CE74" i="43" s="1" a="1"/>
  <c r="CE74" i="43" s="1"/>
  <c r="CD39" i="43" a="1"/>
  <c r="CD39" i="43" s="1"/>
  <c r="BS40" i="43"/>
  <c r="CE39" i="43" s="1" a="1"/>
  <c r="CE39" i="43" s="1"/>
  <c r="CD17" i="43" a="1"/>
  <c r="CD17" i="43" s="1"/>
  <c r="BS18" i="43"/>
  <c r="CE17" i="43" s="1" a="1"/>
  <c r="CE17" i="43" s="1"/>
  <c r="CD77" i="43" a="1"/>
  <c r="CD77" i="43" s="1"/>
  <c r="BS78" i="43"/>
  <c r="CE77" i="43" s="1" a="1"/>
  <c r="CE77" i="43" s="1"/>
  <c r="CD57" i="43" a="1"/>
  <c r="CD57" i="43" s="1"/>
  <c r="BS58" i="43"/>
  <c r="CE57" i="43" s="1" a="1"/>
  <c r="CE57" i="43" s="1"/>
  <c r="CD36" i="43" a="1"/>
  <c r="CD36" i="43" s="1"/>
  <c r="BS37" i="43"/>
  <c r="CE36" i="43" s="1" a="1"/>
  <c r="CE36" i="43" s="1"/>
  <c r="BP42" i="14"/>
  <c r="BJ41" i="14"/>
  <c r="BH42" i="14"/>
  <c r="BI42" i="14" l="1"/>
  <c r="BG43" i="14"/>
  <c r="BO43" i="14"/>
  <c r="CD81" i="43" a="1"/>
  <c r="CD81" i="43" s="1"/>
  <c r="BS82" i="43"/>
  <c r="CE81" i="43" s="1" a="1"/>
  <c r="CE81" i="43" s="1"/>
  <c r="CA84" i="43" a="1"/>
  <c r="CA84" i="43" s="1"/>
  <c r="BP85" i="43"/>
  <c r="BY85" i="43" a="1"/>
  <c r="BY85" i="43" s="1"/>
  <c r="BN86" i="43"/>
  <c r="E90" i="43"/>
  <c r="B90" i="43"/>
  <c r="BK89" i="43"/>
  <c r="AJ92" i="43"/>
  <c r="BW87" i="43" a="1"/>
  <c r="BW87" i="43" s="1"/>
  <c r="BL88" i="43"/>
  <c r="BX86" i="43" a="1"/>
  <c r="BX86" i="43" s="1"/>
  <c r="BM87" i="43"/>
  <c r="BR83" i="43"/>
  <c r="CC82" i="43" a="1"/>
  <c r="CC82" i="43" s="1"/>
  <c r="BJ90" i="43"/>
  <c r="BV89" i="43" s="1" a="1"/>
  <c r="BV89" i="43" s="1"/>
  <c r="BQ84" i="43"/>
  <c r="CB83" i="43" a="1"/>
  <c r="CB83" i="43" s="1"/>
  <c r="BP43" i="14"/>
  <c r="BJ42" i="14"/>
  <c r="BH43" i="14"/>
  <c r="BI43" i="14" l="1"/>
  <c r="BO44" i="14"/>
  <c r="BG44" i="14"/>
  <c r="BL89" i="43"/>
  <c r="BW88" i="43" a="1"/>
  <c r="BW88" i="43" s="1"/>
  <c r="BJ91" i="43"/>
  <c r="BV90" i="43" s="1" a="1"/>
  <c r="BV90" i="43" s="1"/>
  <c r="AJ93" i="43"/>
  <c r="BS83" i="43"/>
  <c r="CE82" i="43" s="1" a="1"/>
  <c r="CE82" i="43" s="1"/>
  <c r="CD82" i="43" a="1"/>
  <c r="CD82" i="43" s="1"/>
  <c r="BN87" i="43"/>
  <c r="BY86" i="43" a="1"/>
  <c r="BY86" i="43" s="1"/>
  <c r="BZ85" i="43" a="1"/>
  <c r="BZ85" i="43" s="1"/>
  <c r="BO86" i="43"/>
  <c r="BX87" i="43" a="1"/>
  <c r="BX87" i="43" s="1"/>
  <c r="BM88" i="43"/>
  <c r="CC83" i="43" a="1"/>
  <c r="CC83" i="43" s="1"/>
  <c r="BR84" i="43"/>
  <c r="CB84" i="43" a="1"/>
  <c r="CB84" i="43" s="1"/>
  <c r="BQ85" i="43"/>
  <c r="BK90" i="43"/>
  <c r="E91" i="43"/>
  <c r="B91" i="43"/>
  <c r="BJ43" i="14"/>
  <c r="BH44" i="14"/>
  <c r="BP44" i="14"/>
  <c r="BI44" i="14" l="1"/>
  <c r="BG45" i="14"/>
  <c r="BO45" i="14"/>
  <c r="E92" i="43"/>
  <c r="B92" i="43"/>
  <c r="BJ92" i="43"/>
  <c r="BV91" i="43" s="1" a="1"/>
  <c r="BV91" i="43" s="1"/>
  <c r="AJ94" i="43"/>
  <c r="BY87" i="43" a="1"/>
  <c r="BY87" i="43" s="1"/>
  <c r="BN88" i="43"/>
  <c r="BP86" i="43"/>
  <c r="CA85" i="43" a="1"/>
  <c r="CA85" i="43" s="1"/>
  <c r="BK91" i="43"/>
  <c r="CD83" i="43" a="1"/>
  <c r="CD83" i="43" s="1"/>
  <c r="BS84" i="43"/>
  <c r="CE83" i="43" s="1" a="1"/>
  <c r="CE83" i="43" s="1"/>
  <c r="BW89" i="43" a="1"/>
  <c r="BW89" i="43" s="1"/>
  <c r="BL90" i="43"/>
  <c r="CC84" i="43" a="1"/>
  <c r="CC84" i="43" s="1"/>
  <c r="BR85" i="43"/>
  <c r="BZ86" i="43" a="1"/>
  <c r="BZ86" i="43" s="1"/>
  <c r="BO87" i="43"/>
  <c r="BX88" i="43" a="1"/>
  <c r="BX88" i="43" s="1"/>
  <c r="BM89" i="43"/>
  <c r="BH45" i="14"/>
  <c r="BJ44" i="14"/>
  <c r="BP45" i="14"/>
  <c r="BI45" i="14" l="1"/>
  <c r="BO46" i="14"/>
  <c r="BG46" i="14"/>
  <c r="BX89" i="43" a="1"/>
  <c r="BX89" i="43" s="1"/>
  <c r="BM90" i="43"/>
  <c r="E93" i="43"/>
  <c r="B93" i="43"/>
  <c r="BY88" i="43" a="1"/>
  <c r="BY88" i="43" s="1"/>
  <c r="BN89" i="43"/>
  <c r="AJ95" i="43"/>
  <c r="BK92" i="43"/>
  <c r="BW90" i="43" a="1"/>
  <c r="BW90" i="43" s="1"/>
  <c r="BL91" i="43"/>
  <c r="BO88" i="43"/>
  <c r="BZ87" i="43" a="1"/>
  <c r="BZ87" i="43" s="1"/>
  <c r="BJ93" i="43"/>
  <c r="BV92" i="43" s="1" a="1"/>
  <c r="BV92" i="43" s="1"/>
  <c r="CA86" i="43" a="1"/>
  <c r="CA86" i="43" s="1"/>
  <c r="BP87" i="43"/>
  <c r="CD84" i="43" a="1"/>
  <c r="CD84" i="43" s="1"/>
  <c r="BS85" i="43"/>
  <c r="CE84" i="43" s="1" a="1"/>
  <c r="CE84" i="43" s="1"/>
  <c r="CB85" i="43" a="1"/>
  <c r="CB85" i="43" s="1"/>
  <c r="BQ86" i="43"/>
  <c r="BJ45" i="14"/>
  <c r="BP46" i="14"/>
  <c r="BH46" i="14"/>
  <c r="BI46" i="14" l="1"/>
  <c r="BS41" i="14"/>
  <c r="BK93" i="43"/>
  <c r="AJ96" i="43"/>
  <c r="BZ88" i="43" a="1"/>
  <c r="BZ88" i="43" s="1"/>
  <c r="BO89" i="43"/>
  <c r="E94" i="43"/>
  <c r="B94" i="43"/>
  <c r="BR86" i="43"/>
  <c r="CC85" i="43" a="1"/>
  <c r="CC85" i="43" s="1"/>
  <c r="CA87" i="43" a="1"/>
  <c r="CA87" i="43" s="1"/>
  <c r="BP88" i="43"/>
  <c r="BJ94" i="43"/>
  <c r="BV93" i="43" s="1" a="1"/>
  <c r="BV93" i="43" s="1"/>
  <c r="BX90" i="43" a="1"/>
  <c r="BX90" i="43" s="1"/>
  <c r="BM91" i="43"/>
  <c r="BN90" i="43"/>
  <c r="BY89" i="43" a="1"/>
  <c r="BY89" i="43" s="1"/>
  <c r="CB86" i="43" a="1"/>
  <c r="CB86" i="43" s="1"/>
  <c r="BQ87" i="43"/>
  <c r="BL92" i="43"/>
  <c r="BW91" i="43" a="1"/>
  <c r="BW91" i="43" s="1"/>
  <c r="BJ46" i="14"/>
  <c r="BS42" i="14" l="1"/>
  <c r="BS86" i="43"/>
  <c r="CE85" i="43" s="1" a="1"/>
  <c r="CE85" i="43" s="1"/>
  <c r="CD85" i="43" a="1"/>
  <c r="CD85" i="43" s="1"/>
  <c r="BN91" i="43"/>
  <c r="BY90" i="43" a="1"/>
  <c r="BY90" i="43" s="1"/>
  <c r="BJ95" i="43"/>
  <c r="BV94" i="43" s="1" a="1"/>
  <c r="BV94" i="43" s="1"/>
  <c r="BK94" i="43"/>
  <c r="BP89" i="43"/>
  <c r="CA88" i="43" a="1"/>
  <c r="CA88" i="43" s="1"/>
  <c r="BO90" i="43"/>
  <c r="BZ89" i="43" a="1"/>
  <c r="BZ89" i="43" s="1"/>
  <c r="BR87" i="43"/>
  <c r="CC86" i="43" a="1"/>
  <c r="CC86" i="43" s="1"/>
  <c r="CB87" i="43" a="1"/>
  <c r="CB87" i="43" s="1"/>
  <c r="BQ88" i="43"/>
  <c r="E95" i="43"/>
  <c r="B95" i="43"/>
  <c r="BX91" i="43" a="1"/>
  <c r="BX91" i="43" s="1"/>
  <c r="BM92" i="43"/>
  <c r="AJ97" i="43"/>
  <c r="BW92" i="43" a="1"/>
  <c r="BW92" i="43" s="1"/>
  <c r="BL93" i="43"/>
  <c r="CB88" i="43" l="1" a="1"/>
  <c r="CB88" i="43" s="1"/>
  <c r="BQ89" i="43"/>
  <c r="BM93" i="43"/>
  <c r="BX92" i="43" a="1"/>
  <c r="BX92" i="43" s="1"/>
  <c r="BR88" i="43"/>
  <c r="CC87" i="43" a="1"/>
  <c r="CC87" i="43" s="1"/>
  <c r="BL94" i="43"/>
  <c r="BW93" i="43" a="1"/>
  <c r="BW93" i="43" s="1"/>
  <c r="BK95" i="43"/>
  <c r="AJ99" i="43"/>
  <c r="AJ98" i="43"/>
  <c r="CD86" i="43" a="1"/>
  <c r="CD86" i="43" s="1"/>
  <c r="BS87" i="43"/>
  <c r="CE86" i="43" s="1" a="1"/>
  <c r="CE86" i="43" s="1"/>
  <c r="BY91" i="43" a="1"/>
  <c r="BY91" i="43" s="1"/>
  <c r="BN92" i="43"/>
  <c r="BZ90" i="43" a="1"/>
  <c r="BZ90" i="43" s="1"/>
  <c r="BO91" i="43"/>
  <c r="E96" i="43"/>
  <c r="B96" i="43"/>
  <c r="CA89" i="43" a="1"/>
  <c r="CA89" i="43" s="1"/>
  <c r="BP90" i="43"/>
  <c r="BJ96" i="43"/>
  <c r="BV95" i="43" s="1" a="1"/>
  <c r="BV95" i="43" s="1"/>
  <c r="BK96" i="43" l="1"/>
  <c r="BZ91" i="43" a="1"/>
  <c r="BZ91" i="43" s="1"/>
  <c r="BO92" i="43"/>
  <c r="BX93" i="43" a="1"/>
  <c r="BX93" i="43" s="1"/>
  <c r="BM94" i="43"/>
  <c r="CB89" i="43" a="1"/>
  <c r="CB89" i="43" s="1"/>
  <c r="BQ90" i="43"/>
  <c r="BS88" i="43"/>
  <c r="CE87" i="43" s="1" a="1"/>
  <c r="CE87" i="43" s="1"/>
  <c r="CD87" i="43" a="1"/>
  <c r="CD87" i="43" s="1"/>
  <c r="BJ97" i="43"/>
  <c r="BV96" i="43" s="1" a="1"/>
  <c r="BV96" i="43" s="1"/>
  <c r="E97" i="43"/>
  <c r="B97" i="43"/>
  <c r="BN93" i="43"/>
  <c r="BY92" i="43" a="1"/>
  <c r="BY92" i="43" s="1"/>
  <c r="E98" i="43"/>
  <c r="B98" i="43"/>
  <c r="BR89" i="43"/>
  <c r="CC88" i="43" a="1"/>
  <c r="CC88" i="43" s="1"/>
  <c r="BP91" i="43"/>
  <c r="CA90" i="43" a="1"/>
  <c r="CA90" i="43" s="1"/>
  <c r="BW94" i="43" a="1"/>
  <c r="BW94" i="43" s="1"/>
  <c r="BL95" i="43"/>
  <c r="BM95" i="43" l="1"/>
  <c r="BX94" i="43" a="1"/>
  <c r="BX94" i="43" s="1"/>
  <c r="BR90" i="43"/>
  <c r="CC89" i="43" a="1"/>
  <c r="CC89" i="43" s="1"/>
  <c r="BO93" i="43"/>
  <c r="BZ92" i="43" a="1"/>
  <c r="BZ92" i="43" s="1"/>
  <c r="BJ98" i="43"/>
  <c r="BV97" i="43" s="1" a="1"/>
  <c r="BV97" i="43" s="1"/>
  <c r="BY93" i="43" a="1"/>
  <c r="BY93" i="43" s="1"/>
  <c r="BN94" i="43"/>
  <c r="BQ91" i="43"/>
  <c r="CB90" i="43" a="1"/>
  <c r="CB90" i="43" s="1"/>
  <c r="BK97" i="43"/>
  <c r="CA91" i="43" a="1"/>
  <c r="CA91" i="43" s="1"/>
  <c r="BP92" i="43"/>
  <c r="CD88" i="43" a="1"/>
  <c r="CD88" i="43" s="1"/>
  <c r="BS89" i="43"/>
  <c r="CE88" i="43" s="1" a="1"/>
  <c r="CE88" i="43" s="1"/>
  <c r="BJ99" i="43"/>
  <c r="BV98" i="43" s="1" a="1"/>
  <c r="BV98" i="43" s="1"/>
  <c r="BW95" i="43" a="1"/>
  <c r="BW95" i="43" s="1"/>
  <c r="BL96" i="43"/>
  <c r="BK98" i="43" l="1"/>
  <c r="BL98" i="43" s="1"/>
  <c r="BL97" i="43"/>
  <c r="BW96" i="43" a="1"/>
  <c r="BW96" i="43" s="1"/>
  <c r="BP93" i="43"/>
  <c r="CA92" i="43" a="1"/>
  <c r="CA92" i="43" s="1"/>
  <c r="BM96" i="43"/>
  <c r="BX95" i="43" a="1"/>
  <c r="BX95" i="43" s="1"/>
  <c r="BK99" i="43"/>
  <c r="CC90" i="43" a="1"/>
  <c r="CC90" i="43" s="1"/>
  <c r="BR91" i="43"/>
  <c r="CD89" i="43" a="1"/>
  <c r="CD89" i="43" s="1"/>
  <c r="BS90" i="43"/>
  <c r="CE89" i="43" s="1" a="1"/>
  <c r="CE89" i="43" s="1"/>
  <c r="BO94" i="43"/>
  <c r="BZ93" i="43" a="1"/>
  <c r="BZ93" i="43" s="1"/>
  <c r="CB91" i="43" a="1"/>
  <c r="CB91" i="43" s="1"/>
  <c r="BQ92" i="43"/>
  <c r="BY94" i="43" a="1"/>
  <c r="BY94" i="43" s="1"/>
  <c r="BN95" i="43"/>
  <c r="BW97" i="43" l="1" a="1"/>
  <c r="BW97" i="43" s="1"/>
  <c r="BN96" i="43"/>
  <c r="BY95" i="43" a="1"/>
  <c r="BY95" i="43" s="1"/>
  <c r="BM98" i="43"/>
  <c r="BX97" i="43" a="1"/>
  <c r="BX97" i="43" s="1"/>
  <c r="BZ94" i="43" a="1"/>
  <c r="BZ94" i="43" s="1"/>
  <c r="BO95" i="43"/>
  <c r="BS91" i="43"/>
  <c r="CE90" i="43" s="1" a="1"/>
  <c r="CE90" i="43" s="1"/>
  <c r="CD90" i="43" a="1"/>
  <c r="CD90" i="43" s="1"/>
  <c r="CB92" i="43" a="1"/>
  <c r="CB92" i="43" s="1"/>
  <c r="BQ93" i="43"/>
  <c r="BP94" i="43"/>
  <c r="CA93" i="43" a="1"/>
  <c r="CA93" i="43" s="1"/>
  <c r="CC91" i="43" a="1"/>
  <c r="CC91" i="43" s="1"/>
  <c r="BR92" i="43"/>
  <c r="BL99" i="43"/>
  <c r="BW98" i="43" a="1"/>
  <c r="BW98" i="43" s="1"/>
  <c r="BX96" i="43" a="1"/>
  <c r="BX96" i="43" s="1"/>
  <c r="BM97" i="43"/>
  <c r="CA94" i="43" l="1" a="1"/>
  <c r="CA94" i="43" s="1"/>
  <c r="BP95" i="43"/>
  <c r="CB93" i="43" a="1"/>
  <c r="CB93" i="43" s="1"/>
  <c r="BQ94" i="43"/>
  <c r="BN98" i="43"/>
  <c r="BY97" i="43" a="1"/>
  <c r="BY97" i="43" s="1"/>
  <c r="BY96" i="43" a="1"/>
  <c r="BY96" i="43" s="1"/>
  <c r="BN97" i="43"/>
  <c r="CC92" i="43" a="1"/>
  <c r="CC92" i="43" s="1"/>
  <c r="BR93" i="43"/>
  <c r="BX98" i="43" a="1"/>
  <c r="BX98" i="43" s="1"/>
  <c r="BM99" i="43"/>
  <c r="CD91" i="43" a="1"/>
  <c r="CD91" i="43" s="1"/>
  <c r="BS92" i="43"/>
  <c r="CE91" i="43" s="1" a="1"/>
  <c r="CE91" i="43" s="1"/>
  <c r="BO96" i="43"/>
  <c r="BZ95" i="43" a="1"/>
  <c r="BZ95" i="43" s="1"/>
  <c r="BZ97" i="43" l="1" a="1"/>
  <c r="BZ97" i="43" s="1"/>
  <c r="BO98" i="43"/>
  <c r="BN99" i="43"/>
  <c r="BY98" i="43" a="1"/>
  <c r="BY98" i="43" s="1"/>
  <c r="CC93" i="43" a="1"/>
  <c r="CC93" i="43" s="1"/>
  <c r="BR94" i="43"/>
  <c r="CA95" i="43" a="1"/>
  <c r="CA95" i="43" s="1"/>
  <c r="BP96" i="43"/>
  <c r="BS93" i="43"/>
  <c r="CE92" i="43" s="1" a="1"/>
  <c r="CE92" i="43" s="1"/>
  <c r="CD92" i="43" a="1"/>
  <c r="CD92" i="43" s="1"/>
  <c r="BQ95" i="43"/>
  <c r="CB94" i="43" a="1"/>
  <c r="CB94" i="43" s="1"/>
  <c r="BZ96" i="43" a="1"/>
  <c r="BZ96" i="43" s="1"/>
  <c r="BO97" i="43"/>
  <c r="BS94" i="43" l="1"/>
  <c r="CE93" i="43" s="1" a="1"/>
  <c r="CE93" i="43" s="1"/>
  <c r="CD93" i="43" a="1"/>
  <c r="CD93" i="43" s="1"/>
  <c r="BR95" i="43"/>
  <c r="CC94" i="43" a="1"/>
  <c r="CC94" i="43" s="1"/>
  <c r="BZ98" i="43" a="1"/>
  <c r="BZ98" i="43" s="1"/>
  <c r="BO99" i="43"/>
  <c r="BP98" i="43"/>
  <c r="CA97" i="43" a="1"/>
  <c r="CA97" i="43" s="1"/>
  <c r="CB95" i="43" a="1"/>
  <c r="CB95" i="43" s="1"/>
  <c r="BQ96" i="43"/>
  <c r="CA96" i="43" a="1"/>
  <c r="CA96" i="43" s="1"/>
  <c r="BP97" i="43"/>
  <c r="CB97" i="43" l="1" a="1"/>
  <c r="CB97" i="43" s="1"/>
  <c r="BQ98" i="43"/>
  <c r="BS95" i="43"/>
  <c r="CE94" i="43" s="1" a="1"/>
  <c r="CE94" i="43" s="1"/>
  <c r="CD94" i="43" a="1"/>
  <c r="CD94" i="43" s="1"/>
  <c r="BP99" i="43"/>
  <c r="CA98" i="43" a="1"/>
  <c r="CA98" i="43" s="1"/>
  <c r="BQ97" i="43"/>
  <c r="CB96" i="43" a="1"/>
  <c r="CB96" i="43" s="1"/>
  <c r="BR96" i="43"/>
  <c r="CC95" i="43" a="1"/>
  <c r="CC95" i="43" s="1"/>
  <c r="BR97" i="43" l="1"/>
  <c r="CC96" i="43" a="1"/>
  <c r="CC96" i="43" s="1"/>
  <c r="CC97" i="43" a="1"/>
  <c r="CC97" i="43" s="1"/>
  <c r="BR98" i="43"/>
  <c r="CB98" i="43" a="1"/>
  <c r="CB98" i="43" s="1"/>
  <c r="BQ99" i="43"/>
  <c r="BS96" i="43"/>
  <c r="CE95" i="43" s="1" a="1"/>
  <c r="CE95" i="43" s="1"/>
  <c r="CD95" i="43" a="1"/>
  <c r="CD95" i="43" s="1"/>
  <c r="BS98" i="43" l="1"/>
  <c r="CE97" i="43" s="1" a="1"/>
  <c r="CE97" i="43" s="1"/>
  <c r="CD97" i="43" a="1"/>
  <c r="CD97" i="43" s="1"/>
  <c r="CC98" i="43" a="1"/>
  <c r="CC98" i="43" s="1"/>
  <c r="BR99" i="43"/>
  <c r="BS97" i="43"/>
  <c r="CE96" i="43" s="1" a="1"/>
  <c r="CE96" i="43" s="1"/>
  <c r="CD96" i="43" a="1"/>
  <c r="CD96" i="43" s="1"/>
  <c r="CD98" i="43" l="1" a="1"/>
  <c r="CD98" i="43" s="1"/>
  <c r="BS99" i="43"/>
  <c r="CE98" i="43" s="1" a="1"/>
  <c r="CE98" i="4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Vos, Joe</author>
    <author>Visscher, Eric</author>
  </authors>
  <commentList>
    <comment ref="E10" authorId="0" shapeId="0" xr:uid="{00000000-0006-0000-0300-000001000000}">
      <text>
        <r>
          <rPr>
            <b/>
            <sz val="9"/>
            <color indexed="81"/>
            <rFont val="Tahoma"/>
            <family val="2"/>
          </rPr>
          <t>Select the state where your project is located to determine the appropriate building code or directly select the building code in this box.
* Additional design requirements may apply to states with an asterisk (special topographic factors or special windspeeds).</t>
        </r>
      </text>
    </comment>
    <comment ref="E11" authorId="0" shapeId="0" xr:uid="{00000000-0006-0000-0300-000002000000}">
      <text>
        <r>
          <rPr>
            <b/>
            <sz val="9"/>
            <color indexed="81"/>
            <rFont val="Tahoma"/>
            <family val="2"/>
          </rPr>
          <t>The building code is determined based on the project state selection above.</t>
        </r>
      </text>
    </comment>
    <comment ref="AC11" authorId="1" shapeId="0" xr:uid="{C2D6DB74-638E-4213-85BF-5115C2C27597}">
      <text>
        <r>
          <rPr>
            <b/>
            <sz val="12"/>
            <color indexed="81"/>
            <rFont val="Calibri"/>
            <family val="2"/>
            <scheme val="minor"/>
          </rPr>
          <t>Input values in these boxes will override all DP values in the sheet.</t>
        </r>
      </text>
    </comment>
    <comment ref="E12" authorId="0" shapeId="0" xr:uid="{00000000-0006-0000-0300-000003000000}">
      <text>
        <r>
          <rPr>
            <b/>
            <sz val="9"/>
            <color indexed="81"/>
            <rFont val="Tahoma"/>
            <family val="2"/>
          </rPr>
          <t>Enter the roof height based on the image below for sloped roof or actual height for flat roofs.</t>
        </r>
      </text>
    </comment>
    <comment ref="E13" authorId="0" shapeId="0" xr:uid="{00000000-0006-0000-0300-000004000000}">
      <text>
        <r>
          <rPr>
            <b/>
            <sz val="9"/>
            <color indexed="81"/>
            <rFont val="Tahoma"/>
            <family val="2"/>
          </rPr>
          <t>II - General Use Building
III - Facilities where large groups gather like schools; public assembles over 300.
IV - Hospitals, National Defense, Storm shelters etc.
Select link at right for more information.</t>
        </r>
      </text>
    </comment>
    <comment ref="AC13" authorId="1" shapeId="0" xr:uid="{1C5959C7-98A2-4369-A28F-C8EC4129CAA5}">
      <text>
        <r>
          <rPr>
            <b/>
            <sz val="9"/>
            <color indexed="81"/>
            <rFont val="Tahoma"/>
            <family val="2"/>
          </rPr>
          <t>Input values in these boxes will override all DP values in the sheet.</t>
        </r>
      </text>
    </comment>
    <comment ref="E15" authorId="0" shapeId="0" xr:uid="{00000000-0006-0000-0300-000006000000}">
      <text>
        <r>
          <rPr>
            <b/>
            <sz val="9"/>
            <color indexed="81"/>
            <rFont val="Tahoma"/>
            <family val="2"/>
          </rPr>
          <t>Select the link at right for assistance in choosing the correct exposure category.</t>
        </r>
      </text>
    </comment>
    <comment ref="AC15" authorId="1" shapeId="0" xr:uid="{4AA12C15-E373-49CC-B4F2-E88B7196A502}">
      <text>
        <r>
          <rPr>
            <b/>
            <sz val="9"/>
            <color indexed="81"/>
            <rFont val="Tahoma"/>
            <family val="2"/>
          </rPr>
          <t>Input values in these boxes will override all DP values in the sheet.</t>
        </r>
      </text>
    </comment>
    <comment ref="E16" authorId="0" shapeId="0" xr:uid="{00000000-0006-0000-0300-000007000000}">
      <text>
        <r>
          <rPr>
            <b/>
            <sz val="9"/>
            <color indexed="81"/>
            <rFont val="Tahoma"/>
            <family val="2"/>
          </rPr>
          <t>Select the link at for assistance in determining the Topographical Factor.</t>
        </r>
      </text>
    </comment>
    <comment ref="AC17" authorId="1" shapeId="0" xr:uid="{749EF55A-750A-4EA7-9DE1-B0DC05C66D4B}">
      <text>
        <r>
          <rPr>
            <b/>
            <sz val="9"/>
            <color indexed="81"/>
            <rFont val="Tahoma"/>
            <family val="2"/>
          </rPr>
          <t>Input values in these boxes will override all DP values in the sheet.</t>
        </r>
      </text>
    </comment>
    <comment ref="AC19" authorId="1" shapeId="0" xr:uid="{6B39E419-60EA-48F3-A86F-A35B35B88661}">
      <text>
        <r>
          <rPr>
            <b/>
            <sz val="9"/>
            <color indexed="81"/>
            <rFont val="Tahoma"/>
            <family val="2"/>
          </rPr>
          <t>Input values in these boxes will override all DP values in the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Vos, Joe</author>
  </authors>
  <commentList>
    <comment ref="D20" authorId="0" shapeId="0" xr:uid="{ADD0088F-D5B4-4228-A95A-94509D56D0D4}">
      <text>
        <r>
          <rPr>
            <b/>
            <sz val="9"/>
            <color indexed="81"/>
            <rFont val="Tahoma"/>
            <family val="2"/>
          </rPr>
          <t>Vos, Joe:</t>
        </r>
        <r>
          <rPr>
            <sz val="9"/>
            <color indexed="81"/>
            <rFont val="Tahoma"/>
            <family val="2"/>
          </rPr>
          <t xml:space="preserve">
Minimum of rect. frame properties from chart below.</t>
        </r>
      </text>
    </comment>
    <comment ref="D21" authorId="0" shapeId="0" xr:uid="{6D2442E4-0B28-4755-83C8-9427BE34EE2B}">
      <text>
        <r>
          <rPr>
            <b/>
            <sz val="9"/>
            <color indexed="81"/>
            <rFont val="Tahoma"/>
            <family val="2"/>
          </rPr>
          <t>Vos, Joe:</t>
        </r>
        <r>
          <rPr>
            <sz val="9"/>
            <color indexed="81"/>
            <rFont val="Tahoma"/>
            <family val="2"/>
          </rPr>
          <t xml:space="preserve">
Used block frame special shape properties from table below.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<sst xmlns="http://schemas.openxmlformats.org/spreadsheetml/2006/main" count="5329" uniqueCount="1761">
  <si>
    <t>While Pella Corporation has made a good faith effort to verify the reliability of this Excel based tool, it may contain unknown programming errors that may result in incorrect results.  The user is encouraged to use good judgment and report any questionable results to Pella for evaluation.</t>
  </si>
  <si>
    <t xml:space="preserve">The applicability and subsequent results of analysis performed by this tool will be compromised if the user fails to input the correct information. </t>
  </si>
  <si>
    <t>Pella makes no warranty or guarantee as to the results obtained by the user of this tool.</t>
  </si>
  <si>
    <t xml:space="preserve">The contents of this application are intended solely for the use of Pella Corporation, its subsidiaries, and the distributors affiliated with Pella Corporation and its subsidiaries. Any copying or distribution of this application without the express written consent of Pella Corporation is prohibited. </t>
  </si>
  <si>
    <t>Project Address:</t>
  </si>
  <si>
    <t>Importance Factor</t>
  </si>
  <si>
    <t>Vinyl</t>
  </si>
  <si>
    <t>I</t>
  </si>
  <si>
    <t>II</t>
  </si>
  <si>
    <t>III</t>
  </si>
  <si>
    <t>IV</t>
  </si>
  <si>
    <t>Impervia</t>
  </si>
  <si>
    <t>B</t>
  </si>
  <si>
    <t>C</t>
  </si>
  <si>
    <t>D</t>
  </si>
  <si>
    <t>Building Length (ft)</t>
  </si>
  <si>
    <t>Building Width (ft)</t>
  </si>
  <si>
    <t>IAEI</t>
  </si>
  <si>
    <t>WSM</t>
  </si>
  <si>
    <t>STEI</t>
  </si>
  <si>
    <t>STM</t>
  </si>
  <si>
    <t>SSEI</t>
  </si>
  <si>
    <t>SSM</t>
  </si>
  <si>
    <t>SPEI</t>
  </si>
  <si>
    <t>ELEI</t>
  </si>
  <si>
    <t>ELM</t>
  </si>
  <si>
    <t>Wall Zone</t>
  </si>
  <si>
    <t>Negative DP (PSF)</t>
  </si>
  <si>
    <t>Positive DP (PSF)</t>
  </si>
  <si>
    <t>Tributary Length (in)</t>
  </si>
  <si>
    <t>Max Allowed Deflection (in)</t>
  </si>
  <si>
    <t>Required EIx (lbs-in^2)</t>
  </si>
  <si>
    <t>Required Max Moment  x (lbs-in)</t>
  </si>
  <si>
    <t>Max Moment Frame Contribution</t>
  </si>
  <si>
    <t>Windload  Strength Frame Contribution (EIx)</t>
  </si>
  <si>
    <t>Dead Load Weight (lbs)</t>
  </si>
  <si>
    <t>Dead Load Span (in)</t>
  </si>
  <si>
    <t>Steel Tube</t>
  </si>
  <si>
    <t>Nested Steel Stud</t>
  </si>
  <si>
    <t>Engineered Lumber</t>
  </si>
  <si>
    <t>Canadian Calculator Link</t>
  </si>
  <si>
    <t>Topographical Factor</t>
  </si>
  <si>
    <t>Enclosed</t>
  </si>
  <si>
    <t>Kd</t>
  </si>
  <si>
    <t>Z</t>
  </si>
  <si>
    <t>Kz</t>
  </si>
  <si>
    <t>Wall Zone 5 - a (ft)</t>
  </si>
  <si>
    <r>
      <t xml:space="preserve">Mullion Length 
</t>
    </r>
    <r>
      <rPr>
        <sz val="12"/>
        <color theme="1"/>
        <rFont val="Calibri"/>
        <family val="2"/>
        <scheme val="minor"/>
      </rPr>
      <t>L</t>
    </r>
    <r>
      <rPr>
        <sz val="11"/>
        <color theme="1"/>
        <rFont val="Calibri"/>
        <family val="2"/>
        <scheme val="minor"/>
      </rPr>
      <t xml:space="preserve">  (in)</t>
    </r>
  </si>
  <si>
    <r>
      <t xml:space="preserve">Adjacent support distance 1 </t>
    </r>
    <r>
      <rPr>
        <sz val="12"/>
        <color theme="1"/>
        <rFont val="Calibri"/>
        <family val="2"/>
        <scheme val="minor"/>
      </rPr>
      <t xml:space="preserve">D1 </t>
    </r>
    <r>
      <rPr>
        <sz val="11"/>
        <color theme="1"/>
        <rFont val="Calibri"/>
        <family val="2"/>
        <scheme val="minor"/>
      </rPr>
      <t>(in)</t>
    </r>
  </si>
  <si>
    <r>
      <t xml:space="preserve">Adjacent support distance 2  </t>
    </r>
    <r>
      <rPr>
        <sz val="12"/>
        <color theme="1"/>
        <rFont val="Calibri"/>
        <family val="2"/>
        <scheme val="minor"/>
      </rPr>
      <t>D2</t>
    </r>
    <r>
      <rPr>
        <sz val="11"/>
        <color theme="1"/>
        <rFont val="Calibri"/>
        <family val="2"/>
        <scheme val="minor"/>
      </rPr>
      <t xml:space="preserve"> (in)</t>
    </r>
  </si>
  <si>
    <t>Product</t>
  </si>
  <si>
    <t>Model 6 DH</t>
  </si>
  <si>
    <t>Clad / Wood Window</t>
  </si>
  <si>
    <t>Impervia Rectangle</t>
  </si>
  <si>
    <t>Impervia Special Shapes</t>
  </si>
  <si>
    <t>Thermastar / Encompass</t>
  </si>
  <si>
    <t>Impervia Door</t>
  </si>
  <si>
    <t>Frame Types</t>
  </si>
  <si>
    <t>EI</t>
  </si>
  <si>
    <t>Fb</t>
  </si>
  <si>
    <t>E</t>
  </si>
  <si>
    <t>Ix</t>
  </si>
  <si>
    <t xml:space="preserve">Sx  </t>
  </si>
  <si>
    <t>MX</t>
  </si>
  <si>
    <t>Multi-Slide</t>
  </si>
  <si>
    <t>Bi-Fold</t>
  </si>
  <si>
    <t>Frame section Propreties</t>
  </si>
  <si>
    <t>Fb (psi)</t>
  </si>
  <si>
    <t>E (psi)</t>
  </si>
  <si>
    <t>Ix (in^4)</t>
  </si>
  <si>
    <t>Sx (in^3)</t>
  </si>
  <si>
    <t>Mx</t>
  </si>
  <si>
    <t>Fixed Frame integral mull (3")</t>
  </si>
  <si>
    <t>Block Frame integral mull (3")</t>
  </si>
  <si>
    <t>Block Frame Special Shape  (3")</t>
  </si>
  <si>
    <t>Door Frame Single Frame</t>
  </si>
  <si>
    <t>Casement Single Frame (3.25")</t>
  </si>
  <si>
    <t>Casement Special Shape Single Frame (3.25")</t>
  </si>
  <si>
    <t>I(x)</t>
  </si>
  <si>
    <t>S(X)</t>
  </si>
  <si>
    <t>I(y)</t>
  </si>
  <si>
    <t>S(y)</t>
  </si>
  <si>
    <t>M of Inertia</t>
  </si>
  <si>
    <t>section M</t>
  </si>
  <si>
    <t>Truss plate</t>
  </si>
  <si>
    <t>Pella Wood</t>
  </si>
  <si>
    <t>ASCE 7-05</t>
  </si>
  <si>
    <t>Wind Speed</t>
  </si>
  <si>
    <t>Wind Zone</t>
  </si>
  <si>
    <t>ASCE 7-10</t>
  </si>
  <si>
    <t>CLICK TO RETURN TO PROJECT MULL REVIEW</t>
  </si>
  <si>
    <t>Dead Load Span</t>
  </si>
  <si>
    <t>Unit ID</t>
  </si>
  <si>
    <t>Product Type</t>
  </si>
  <si>
    <t>Frame Width (Inches)</t>
  </si>
  <si>
    <t>Frame Height (Inches)</t>
  </si>
  <si>
    <t>Glazing Type</t>
  </si>
  <si>
    <t>Window Weight* (lbs)</t>
  </si>
  <si>
    <t>Weights Product Types</t>
  </si>
  <si>
    <t>Frame Weight Factor</t>
  </si>
  <si>
    <t>Frame to AG Offsets</t>
  </si>
  <si>
    <t>Glazing Types</t>
  </si>
  <si>
    <t>Glass Weight (Lbs/in'^2)</t>
  </si>
  <si>
    <t>Clad / Wood Support Products</t>
  </si>
  <si>
    <t>Dual IG</t>
  </si>
  <si>
    <t>Clad / Wood Sash in Frame</t>
  </si>
  <si>
    <t>Triple IG</t>
  </si>
  <si>
    <t>Impervia Direct Set</t>
  </si>
  <si>
    <t>Laminated IG</t>
  </si>
  <si>
    <t>Impervia Sash in Frame</t>
  </si>
  <si>
    <t>Dead Load Weight</t>
  </si>
  <si>
    <r>
      <t xml:space="preserve">The weight of the windows </t>
    </r>
    <r>
      <rPr>
        <b/>
        <sz val="11"/>
        <color theme="1"/>
        <rFont val="Calibri"/>
        <family val="2"/>
        <scheme val="minor"/>
      </rPr>
      <t>directly above the deadload span.</t>
    </r>
    <r>
      <rPr>
        <sz val="11"/>
        <color theme="1"/>
        <rFont val="Calibri"/>
        <family val="2"/>
        <scheme val="minor"/>
      </rPr>
      <t xml:space="preserve">  This may equal a portion of the weight of the larger window over smaller awnings or the weight of multiple units over a larger awning or door</t>
    </r>
  </si>
  <si>
    <t>When to factor deadload into reinforcement calculations:</t>
  </si>
  <si>
    <t>Total rough opening</t>
  </si>
  <si>
    <t>Number of Panels</t>
  </si>
  <si>
    <t>Panel Width (Inches)</t>
  </si>
  <si>
    <t>Door Panel Weight* (lbs)</t>
  </si>
  <si>
    <t>Distributed Load lbs/ft**</t>
  </si>
  <si>
    <t>Door Dual IG</t>
  </si>
  <si>
    <t>Door Triple IG</t>
  </si>
  <si>
    <t>adjusted to match results of tools</t>
  </si>
  <si>
    <t>Panel calculation formula</t>
  </si>
  <si>
    <t>Glazing factor calculation - convert mm to in</t>
  </si>
  <si>
    <t>mm</t>
  </si>
  <si>
    <t>in</t>
  </si>
  <si>
    <t>Dual Pane</t>
  </si>
  <si>
    <t>Triple Pane</t>
  </si>
  <si>
    <t>DEFLECTION CRITERIA</t>
  </si>
  <si>
    <t>ACTUAL WEIGHT AND DISTRIBUTED LOAD</t>
  </si>
  <si>
    <t xml:space="preserve">TOTAL TRANSOM WEIGHT  = </t>
  </si>
  <si>
    <t>LBS /PANEL</t>
  </si>
  <si>
    <t>TOTAL DISTRIBUTED LOAD =</t>
  </si>
  <si>
    <t>LBS/FT.</t>
  </si>
  <si>
    <t xml:space="preserve"> </t>
  </si>
  <si>
    <t xml:space="preserve">INDIVIDUAL DOOR PANEL WEIGHT = </t>
  </si>
  <si>
    <t xml:space="preserve">LBS /PANEL and LBS/FT.
</t>
  </si>
  <si>
    <t>Date:</t>
  </si>
  <si>
    <t>Exposure Category :</t>
  </si>
  <si>
    <t>Topographical Factor :</t>
  </si>
  <si>
    <t>SCENESCAPE INFORMATION</t>
  </si>
  <si>
    <t>TOTAL DISTRIBUTED LOAD</t>
  </si>
  <si>
    <t xml:space="preserve"> - xxx -</t>
  </si>
  <si>
    <t xml:space="preserve"> =&gt;</t>
  </si>
  <si>
    <t>BIFOLD DOORS SYSTEM</t>
  </si>
  <si>
    <t xml:space="preserve">LBS      </t>
  </si>
  <si>
    <t>Hawaii building code</t>
  </si>
  <si>
    <t>http://ags.hawaii.gov/bcc/building-code-rules/</t>
  </si>
  <si>
    <t>CITY OF SEATTLE</t>
  </si>
  <si>
    <t>http://www.seattle.gov/dpd/toolsresources/windloadfactors/default.htm</t>
  </si>
  <si>
    <t>Example from Structural Notes</t>
  </si>
  <si>
    <t>Clad / Wood</t>
  </si>
  <si>
    <t>IMPERVIA - Windows</t>
  </si>
  <si>
    <t>CWAM</t>
  </si>
  <si>
    <t>Aluminum Mullions</t>
  </si>
  <si>
    <t xml:space="preserve">CWAEIx </t>
  </si>
  <si>
    <t>CWAMMx</t>
  </si>
  <si>
    <t>CWAEIy</t>
  </si>
  <si>
    <t>CWAMMy</t>
  </si>
  <si>
    <t>IAM</t>
  </si>
  <si>
    <t>IAMMx</t>
  </si>
  <si>
    <t>IAEIy</t>
  </si>
  <si>
    <t>IAMMy</t>
  </si>
  <si>
    <t>1" x 4 1/4" Tube Mullion</t>
  </si>
  <si>
    <t>1" x 3"  Tube Mullion</t>
  </si>
  <si>
    <t>IMPERVIA - Door</t>
  </si>
  <si>
    <t>IDAEI</t>
  </si>
  <si>
    <t>IDAM</t>
  </si>
  <si>
    <t>IDAEIx</t>
  </si>
  <si>
    <t>IDAMMx</t>
  </si>
  <si>
    <t>IDAEIy</t>
  </si>
  <si>
    <t>IDAMMy</t>
  </si>
  <si>
    <t>Encompass/Thermastar</t>
  </si>
  <si>
    <t>250 Series - Vinyl</t>
  </si>
  <si>
    <t>TENVAM</t>
  </si>
  <si>
    <t>TENVAEIx</t>
  </si>
  <si>
    <t>EIy</t>
  </si>
  <si>
    <t>My</t>
  </si>
  <si>
    <t>TWOVAM</t>
  </si>
  <si>
    <t>TWOVAEIx</t>
  </si>
  <si>
    <t>1" Structural mullion w/ 2 Reinforcements*</t>
  </si>
  <si>
    <t>1" Structural mullion w/ 1 Reinforcements*</t>
  </si>
  <si>
    <t>1/2" Structural Mullion*</t>
  </si>
  <si>
    <t>*</t>
  </si>
  <si>
    <t>Wood Stud</t>
  </si>
  <si>
    <t>WSEIx</t>
  </si>
  <si>
    <t>WSMMx</t>
  </si>
  <si>
    <t>WSEIy</t>
  </si>
  <si>
    <t>steel stud</t>
  </si>
  <si>
    <t>SPM</t>
  </si>
  <si>
    <t>PSM</t>
  </si>
  <si>
    <t>PSEI</t>
  </si>
  <si>
    <t>4"x4-3/8" wood</t>
  </si>
  <si>
    <t>3-1/2"x4-3/8" wood</t>
  </si>
  <si>
    <t>14 Ga 1-5/8x6 NSS</t>
  </si>
  <si>
    <t>3"x4-3/8" wood</t>
  </si>
  <si>
    <t>14 Ga 1-3/8x6 NSS</t>
  </si>
  <si>
    <t>2-1/2"x4-3/8" wood</t>
  </si>
  <si>
    <t>16 Ga 1-5/8x6 NSS</t>
  </si>
  <si>
    <t>2"x4-3/8" wood</t>
  </si>
  <si>
    <t>16 Ga 1-3/8x6 NSS</t>
  </si>
  <si>
    <t>1-1/2"x4-3/8" wood</t>
  </si>
  <si>
    <t>18 Ga 1-5/8x6 NSS</t>
  </si>
  <si>
    <t>1"x4-3/8" wood</t>
  </si>
  <si>
    <t>18 Ga 1-3/8x6 NSS</t>
  </si>
  <si>
    <t>20 Ga 1-5/8x6 NSS</t>
  </si>
  <si>
    <t>20 Ga 1-3/8x6 NSS</t>
  </si>
  <si>
    <t>12 Ga 1-5/8x3-5/8 NSS</t>
  </si>
  <si>
    <t>14 Ga 1-5/8x3-5/8 NSS</t>
  </si>
  <si>
    <t>14 Ga 1-3/8x3-5/8 NSS</t>
  </si>
  <si>
    <t>2 - 2x6 Wood Studs</t>
  </si>
  <si>
    <t>16 Ga 1-5/8x3-5/8 NSS</t>
  </si>
  <si>
    <t>16 Ga 1-3/8x3-5/8 NSS</t>
  </si>
  <si>
    <t>2 - 1-1/2x4-7/8 wood studs</t>
  </si>
  <si>
    <t>18 Ga 1-5/8x3-5/8 NSS</t>
  </si>
  <si>
    <t>18 Ga 1-3/8x3-5/8 NSS</t>
  </si>
  <si>
    <t>20 Ga 1-5/8x3-5/8 NSS</t>
  </si>
  <si>
    <t>20 Ga 1-3/8x3-5/8 NSS</t>
  </si>
  <si>
    <t>2 - 2x4 wood studs</t>
  </si>
  <si>
    <t>Version</t>
  </si>
  <si>
    <t>Change</t>
  </si>
  <si>
    <t>Date</t>
  </si>
  <si>
    <t>Contact</t>
  </si>
  <si>
    <t>Beta V1</t>
  </si>
  <si>
    <t>New</t>
  </si>
  <si>
    <t>Joe Vos</t>
  </si>
  <si>
    <t>Beta V1.1</t>
  </si>
  <si>
    <t>Update DP calculations; Remove DP Calc Hidden Sheets</t>
  </si>
  <si>
    <t>Beta V1.2</t>
  </si>
  <si>
    <t>Update DP calculations; + GCP formula for &gt; &lt; 60 ft was switched</t>
  </si>
  <si>
    <t>Beta V1.3</t>
  </si>
  <si>
    <t>Minnesota Building Code change to 7-10</t>
  </si>
  <si>
    <t>Eric Ferguson</t>
  </si>
  <si>
    <t>Beta V1.4</t>
  </si>
  <si>
    <t>Update DP calcs for &gt; 60ft tall buildings.</t>
  </si>
  <si>
    <t>Mary Rukashaza</t>
  </si>
  <si>
    <t>Beta V1.5</t>
  </si>
  <si>
    <t>Added wind zone / impact mulls, dead load to mull table and unit weight calculator, impact glazing note, modified mull options section to two.</t>
  </si>
  <si>
    <t>Beta V1.5b</t>
  </si>
  <si>
    <t>Beta V1.5c</t>
  </si>
  <si>
    <t>Beta V1.5d</t>
  </si>
  <si>
    <t>Beta V1.5e</t>
  </si>
  <si>
    <t>Adjust truss plate results if clad / wood aluminum is selected.</t>
  </si>
  <si>
    <t>Beta V1.6a</t>
  </si>
  <si>
    <t>Added tabs for Canadian / based on spec calculator tabs; fixed LVL</t>
  </si>
  <si>
    <t>2.0</t>
  </si>
  <si>
    <t>Release to PERL</t>
  </si>
  <si>
    <t>Update Spec based sheet</t>
  </si>
  <si>
    <t>Adjustments to 20 G NSS values</t>
  </si>
  <si>
    <t xml:space="preserve">Update State Codes; </t>
  </si>
  <si>
    <t>2.6 Beta</t>
  </si>
  <si>
    <t>Revised State Code</t>
  </si>
  <si>
    <t xml:space="preserve">Mary Rukashaza </t>
  </si>
  <si>
    <t>Added 250 Series mullion</t>
  </si>
  <si>
    <t>Added DA sheet</t>
  </si>
  <si>
    <t>Added column to select mullion for markups</t>
  </si>
  <si>
    <t>Added Topographic factor links</t>
  </si>
  <si>
    <t>Added Square Steel tube</t>
  </si>
  <si>
    <t>Final 2.6</t>
  </si>
  <si>
    <t>added instructions on Project Mull Review - Spec DP to show that a negative value must be input in the neg DP</t>
  </si>
  <si>
    <t>Changed the ATC map link and provided instructions on what to use</t>
  </si>
  <si>
    <t>Added notes in the Scenescape tab for salesmen</t>
  </si>
  <si>
    <t xml:space="preserve">Review State Code adoption maps  - July 2017 Map </t>
  </si>
  <si>
    <t>Added tab explaining Ultimate load Vs Allowable Load</t>
  </si>
  <si>
    <t>Fixed deadload check on steel tube</t>
  </si>
  <si>
    <t>https://www.iccsafe.org/about-icc/overview/international-code-adoptions/</t>
  </si>
  <si>
    <t>-</t>
  </si>
  <si>
    <r>
      <rPr>
        <sz val="11"/>
        <color rgb="FF0000FF"/>
        <rFont val="Calibri"/>
        <family val="2"/>
        <scheme val="minor"/>
      </rPr>
      <t>Alabama</t>
    </r>
  </si>
  <si>
    <r>
      <rPr>
        <sz val="11"/>
        <color rgb="FF0000FF"/>
        <rFont val="Calibri"/>
        <family val="2"/>
        <scheme val="minor"/>
      </rPr>
      <t>Alaska</t>
    </r>
  </si>
  <si>
    <t>Arizona</t>
  </si>
  <si>
    <r>
      <rPr>
        <sz val="11"/>
        <color rgb="FF0000FF"/>
        <rFont val="Calibri"/>
        <family val="2"/>
        <scheme val="minor"/>
      </rPr>
      <t>Arkansas</t>
    </r>
  </si>
  <si>
    <r>
      <rPr>
        <sz val="11"/>
        <color rgb="FF0000FF"/>
        <rFont val="Calibri"/>
        <family val="2"/>
        <scheme val="minor"/>
      </rPr>
      <t>California</t>
    </r>
  </si>
  <si>
    <t>Colorado*</t>
  </si>
  <si>
    <r>
      <rPr>
        <sz val="11"/>
        <color rgb="FF0000FF"/>
        <rFont val="Calibri"/>
        <family val="2"/>
        <scheme val="minor"/>
      </rPr>
      <t>District of Columbia</t>
    </r>
  </si>
  <si>
    <t>Florida*</t>
  </si>
  <si>
    <t>Hawaii*</t>
  </si>
  <si>
    <r>
      <rPr>
        <sz val="11"/>
        <color rgb="FF0000FF"/>
        <rFont val="Calibri"/>
        <family val="2"/>
        <scheme val="minor"/>
      </rPr>
      <t>Idaho</t>
    </r>
  </si>
  <si>
    <r>
      <rPr>
        <sz val="11"/>
        <color rgb="FF0000FF"/>
        <rFont val="Calibri"/>
        <family val="2"/>
        <scheme val="minor"/>
      </rPr>
      <t>Indiana</t>
    </r>
  </si>
  <si>
    <r>
      <rPr>
        <sz val="11"/>
        <color rgb="FF0000FF"/>
        <rFont val="Calibri"/>
        <family val="2"/>
        <scheme val="minor"/>
      </rPr>
      <t>Iowa</t>
    </r>
  </si>
  <si>
    <t>DESIGN LOAD</t>
  </si>
  <si>
    <t xml:space="preserve">WEIGHT/LINEAR FOOT ONLY INCLUDES PELLA PRODUCT; ANY ADDITIONAL HEADER WEIGHT (STRUCTURE, CLADDING) MUST BE CONSIDERED IN THE DESIGN. </t>
  </si>
  <si>
    <t>Building Type:</t>
  </si>
  <si>
    <t>ASCE 7-16</t>
  </si>
  <si>
    <t>ASCE Code</t>
  </si>
  <si>
    <t>IBC Code</t>
  </si>
  <si>
    <t>State/Territory</t>
  </si>
  <si>
    <t>IBC:</t>
  </si>
  <si>
    <t>ASCE:</t>
  </si>
  <si>
    <t>Lookup Table:</t>
  </si>
  <si>
    <t>Connecticut*</t>
  </si>
  <si>
    <t>Michigan</t>
  </si>
  <si>
    <r>
      <rPr>
        <sz val="11"/>
        <color rgb="FF0000FF"/>
        <rFont val="Calibri"/>
        <family val="2"/>
        <scheme val="minor"/>
      </rPr>
      <t>Delaware</t>
    </r>
    <r>
      <rPr>
        <sz val="11"/>
        <color theme="1"/>
        <rFont val="Calibri"/>
        <family val="2"/>
        <scheme val="minor"/>
      </rPr>
      <t>*</t>
    </r>
  </si>
  <si>
    <t>Kentucky</t>
  </si>
  <si>
    <t>Louisiana</t>
  </si>
  <si>
    <t>Maine</t>
  </si>
  <si>
    <t>Maryland</t>
  </si>
  <si>
    <t>Massachusetts*</t>
  </si>
  <si>
    <t>Minnesota</t>
  </si>
  <si>
    <t>Mississippi</t>
  </si>
  <si>
    <t>Missouri</t>
  </si>
  <si>
    <t>Montana</t>
  </si>
  <si>
    <t>Nebraska</t>
  </si>
  <si>
    <t>Nevada</t>
  </si>
  <si>
    <t>New Hampshire</t>
  </si>
  <si>
    <t>New Mexico</t>
  </si>
  <si>
    <t>North Carolina</t>
  </si>
  <si>
    <t>North Dakota</t>
  </si>
  <si>
    <t>Ohio</t>
  </si>
  <si>
    <t>Oklahoma</t>
  </si>
  <si>
    <t>Oregon*</t>
  </si>
  <si>
    <t>Rhode Island*</t>
  </si>
  <si>
    <t>South Carolina</t>
  </si>
  <si>
    <t>South Dakota</t>
  </si>
  <si>
    <t>Tennessee</t>
  </si>
  <si>
    <t>Texas*</t>
  </si>
  <si>
    <t>Utah</t>
  </si>
  <si>
    <t>Vermont</t>
  </si>
  <si>
    <t>Virginia</t>
  </si>
  <si>
    <t>West Virginia</t>
  </si>
  <si>
    <t>Wisconsin</t>
  </si>
  <si>
    <t>Wyoming</t>
  </si>
  <si>
    <t>Guam*</t>
  </si>
  <si>
    <t>Puerto Rico*</t>
  </si>
  <si>
    <t>Northern Marianas Islands*</t>
  </si>
  <si>
    <t>U.S. Virgin Islands*</t>
  </si>
  <si>
    <t>Updated State Codes</t>
  </si>
  <si>
    <t>Joe Kempen</t>
  </si>
  <si>
    <t>Updated format in DA Info Tab</t>
  </si>
  <si>
    <t>The distance between the edges of an operable unit. This measurement can be significantly shorter than the mullion length. Examples of this length could be the width of an awning, the full width of outswing doors, or the venting width of a sliding door.</t>
  </si>
  <si>
    <t xml:space="preserve">●  WEIGHT/LINEAR FOOT ONLY INCLUDES PELLA PRODUCT; ANY ADDITIONAL HEADER WEIGHT (STRUCTURE, CLADDING) MUST BE CONSIDERED IN THE DESIGN. </t>
  </si>
  <si>
    <t>Scenescape Doors</t>
  </si>
  <si>
    <t>Added red text that shows when county or local codes must be investigated</t>
  </si>
  <si>
    <t>2.6.2</t>
  </si>
  <si>
    <t>Vinyl 250 Series</t>
  </si>
  <si>
    <t>Wood Stud Framing</t>
  </si>
  <si>
    <t>Correct tab links</t>
  </si>
  <si>
    <t>Updated strength values for Wood</t>
  </si>
  <si>
    <t>Added Impervia Special Shapes properties; updated Impervia frame properties; change some text in truss plates options for better understanding; updated default state building codes.</t>
  </si>
  <si>
    <t>Fixed issue with Impervia mull 1/2 no steel.  Changed sheet formatting</t>
  </si>
  <si>
    <t>Added Scenescape page</t>
  </si>
  <si>
    <t>Added visibility of Enclosed/Partially Enclosed Building Type</t>
  </si>
  <si>
    <t>Update formula for Wind Zone Classification to designate Colorado as Not Applicable (doesn't trigger Red "Impact Required" note)</t>
  </si>
  <si>
    <t>Updated naming of Vinyl 250 &amp; Vinyl 350 windows &amp; aluminum mulls</t>
  </si>
  <si>
    <t>Update 2" Impervia Structural Receptor Mullion EI Values</t>
  </si>
  <si>
    <t>Mean Roof Height - h (ft) :</t>
  </si>
  <si>
    <t>Wind Zone Classification :</t>
  </si>
  <si>
    <t>HSS 2x6x3/16 (steel tube)</t>
  </si>
  <si>
    <t>HSS 2x6x1/8 (steel tube)</t>
  </si>
  <si>
    <t>HSS 3x5x1/8 (steel tube)</t>
  </si>
  <si>
    <t>HSS 2-1/2x5x1/8  (steel tube)</t>
  </si>
  <si>
    <t>HSS 2-1/2x4x1/4 (steel tube)</t>
  </si>
  <si>
    <t>HSS 2x5x1/8 (steel tube)</t>
  </si>
  <si>
    <t>HSS 2x4x1/4 (steel tube)</t>
  </si>
  <si>
    <t>HSS 2-1/2x4x3/16 (steel tube)</t>
  </si>
  <si>
    <t>HSS 2x4x3/16 (steel tube)</t>
  </si>
  <si>
    <t>HSS 2x4x1/8 (steel tube)</t>
  </si>
  <si>
    <t>HSS 2x3x1/4  (steel tube)</t>
  </si>
  <si>
    <t>HSS 2x3x3/16  (steel tube)</t>
  </si>
  <si>
    <t>HSS 1-1/2x3x1/4 (steel tube)</t>
  </si>
  <si>
    <t>HSS 1-1/2x3x3/16  (steel tube)</t>
  </si>
  <si>
    <t>HSS 2x3x1/8  (steel tube)</t>
  </si>
  <si>
    <t>HSS 1-1/2x3x1/8 (steel tube)</t>
  </si>
  <si>
    <t>HSS 1x3x1/8 (steel tube)</t>
  </si>
  <si>
    <t>VDAElx</t>
  </si>
  <si>
    <t>VDAMMx</t>
  </si>
  <si>
    <t>VDAEly</t>
  </si>
  <si>
    <t>VDAMMy</t>
  </si>
  <si>
    <t>VDAM</t>
  </si>
  <si>
    <t>Click to Return to Project Mull Review</t>
  </si>
  <si>
    <t>Yes</t>
  </si>
  <si>
    <t>No</t>
  </si>
  <si>
    <t>1)</t>
  </si>
  <si>
    <t>2)</t>
  </si>
  <si>
    <t>All</t>
  </si>
  <si>
    <t>Wood Spread / Steel Plate</t>
  </si>
  <si>
    <t>Project Name:</t>
  </si>
  <si>
    <t>Architectural Plans:</t>
  </si>
  <si>
    <t>PAS Project Number:</t>
  </si>
  <si>
    <t>Specifications:</t>
  </si>
  <si>
    <t>Design Pressure Calculation</t>
  </si>
  <si>
    <t>State :</t>
  </si>
  <si>
    <t>Instructional Tabs</t>
  </si>
  <si>
    <t>Exposure Category</t>
  </si>
  <si>
    <t>Corner / Wall Zone 5</t>
  </si>
  <si>
    <t>Ultimate vs. Allowable Load</t>
  </si>
  <si>
    <t>Zone 4 Positive</t>
  </si>
  <si>
    <t>Zone 4 Negative</t>
  </si>
  <si>
    <t>Zone 5 Positive</t>
  </si>
  <si>
    <t>Zone 5 Negative</t>
  </si>
  <si>
    <t>Clad Wood Two Way</t>
  </si>
  <si>
    <t>Clad Wood Three Way</t>
  </si>
  <si>
    <t>Clad Wood Four Way</t>
  </si>
  <si>
    <t>Impervia Two Way</t>
  </si>
  <si>
    <t>Impervia Three Way</t>
  </si>
  <si>
    <t>Impervia Four Way</t>
  </si>
  <si>
    <t>Window-Window</t>
  </si>
  <si>
    <t>Window</t>
  </si>
  <si>
    <t>None</t>
  </si>
  <si>
    <t>Window-Door</t>
  </si>
  <si>
    <t>Door</t>
  </si>
  <si>
    <t>Window-Shapes</t>
  </si>
  <si>
    <t>Shapes</t>
  </si>
  <si>
    <t>Door-Door</t>
  </si>
  <si>
    <t>Shapes-Shapes</t>
  </si>
  <si>
    <t>Vinyl Encompass Thermastar</t>
  </si>
  <si>
    <t>Shapes-Door</t>
  </si>
  <si>
    <t>Scenescape</t>
  </si>
  <si>
    <t>Clad Wood / Wood Wood</t>
  </si>
  <si>
    <t>Delaware*</t>
  </si>
  <si>
    <t>Unit ID / Mullion ID</t>
  </si>
  <si>
    <t>Mullion ID</t>
  </si>
  <si>
    <t>End load (lbs)</t>
  </si>
  <si>
    <t>Project Name</t>
  </si>
  <si>
    <t>Project Date</t>
  </si>
  <si>
    <t>Project Address</t>
  </si>
  <si>
    <t>Pella Project Number</t>
  </si>
  <si>
    <t>Quote Number</t>
  </si>
  <si>
    <t>DP</t>
  </si>
  <si>
    <t>State</t>
  </si>
  <si>
    <t>Code</t>
  </si>
  <si>
    <t>Roof Height</t>
  </si>
  <si>
    <t>Risk Category</t>
  </si>
  <si>
    <t>Wind Zone Class</t>
  </si>
  <si>
    <t>Corner / Zone 5</t>
  </si>
  <si>
    <t>MMx Mull Minimum (lbs-in)</t>
  </si>
  <si>
    <t>(1) Reinforcing Plate (ONLY Factory 3 Way Joints)</t>
  </si>
  <si>
    <t>Specified Design Pressures</t>
  </si>
  <si>
    <t>Components and Cladding Design Pressures (PSF)</t>
  </si>
  <si>
    <t>2.6.3</t>
  </si>
  <si>
    <t>Eric Visscher</t>
  </si>
  <si>
    <t>Combined lines for zones 4 and 5</t>
  </si>
  <si>
    <t>Changed mullion selection to one column of 12 drop down lists</t>
  </si>
  <si>
    <t>Changed product/joint type selections to two drop down lists</t>
  </si>
  <si>
    <t>Added error analysis to joint/frame type and mullion drop down lists</t>
  </si>
  <si>
    <t>Created states list to autofill states tab</t>
  </si>
  <si>
    <t>Stacked cells in lines to save horizontal space</t>
  </si>
  <si>
    <t>Added Struc Tab to integrate with structural reports</t>
  </si>
  <si>
    <t>Revised Lookup Cell with new drop down list data and values</t>
  </si>
  <si>
    <t>Revised top left DA Info in Project Mull Review; Removes DA Info tab</t>
  </si>
  <si>
    <t>Removed Spec DP tab and added box in main tab to override DP in sheet</t>
  </si>
  <si>
    <t>Canada tab only has calculator link; use given DP in the Spec table in main sheet</t>
  </si>
  <si>
    <t>Added zone classification tab that explains what areas are zone 4 and 5 on building</t>
  </si>
  <si>
    <t>Zone 4</t>
  </si>
  <si>
    <t>Zone 5</t>
  </si>
  <si>
    <t>Steel Plate</t>
  </si>
  <si>
    <t>Mullion Error</t>
  </si>
  <si>
    <t>Lighter Option Mullion</t>
  </si>
  <si>
    <t>Frame Type Error</t>
  </si>
  <si>
    <t>For project documentation, please paste a complete images from the ATC Website showing address, map, and applicable windspeeds.  Example shown below can be pasted over:</t>
  </si>
  <si>
    <t>Removed broken links to PERL documents</t>
  </si>
  <si>
    <t>Fixed Deadload calculation error</t>
  </si>
  <si>
    <t>Fixed 3 other errors</t>
  </si>
  <si>
    <t>1. Copy the Design Pressure from the Canadian Calculator into the "Spec DP" table of the "Project Mull Review" tab to calculate the mullion reinforcement for Canadian projects
2. Screenshot the results into the  "Windspeed Results" tab</t>
  </si>
  <si>
    <t>* Please note that this an approximate weight using averages of frame and glass weights and does not take into account the exact glass thickness and frame type of the product in consideration. 
**Weight only includes Pella Product, additional weight of header structure and building cladding must be added in the design.</t>
  </si>
  <si>
    <r>
      <rPr>
        <b/>
        <sz val="12"/>
        <color rgb="FF000000"/>
        <rFont val="Calibri"/>
        <family val="2"/>
        <scheme val="minor"/>
      </rPr>
      <t xml:space="preserve">●  </t>
    </r>
    <r>
      <rPr>
        <sz val="12"/>
        <color rgb="FF000000"/>
        <rFont val="Calibri"/>
        <family val="2"/>
        <scheme val="minor"/>
      </rPr>
      <t xml:space="preserve"> MAXIMUM ALLOWABLE HEADER DEFLECTION IS 1/8” OVER TOTAL SPAN OF OPENING.</t>
    </r>
  </si>
  <si>
    <r>
      <rPr>
        <b/>
        <sz val="12"/>
        <color rgb="FF000000"/>
        <rFont val="Calibri"/>
        <family val="2"/>
        <scheme val="minor"/>
      </rPr>
      <t xml:space="preserve">●  </t>
    </r>
    <r>
      <rPr>
        <sz val="12"/>
        <color rgb="FF000000"/>
        <rFont val="Calibri"/>
        <family val="2"/>
        <scheme val="minor"/>
      </rPr>
      <t>HEADER ABOVE SCENESCAPE DOOR MUST BE DESIGNED TO BEAR THE WEIGHT OF TRANSOM AND WEIGHT OF STRUCTURE + BUILDING CLADDING.</t>
    </r>
  </si>
  <si>
    <t xml:space="preserve">MULTI-SLIDE DOOR PANELS ARE SUPPORTED AT THE SILL </t>
  </si>
  <si>
    <t>●  HEADER ABOVE SCENESCAPE DOOR MUST BE DESIGNED TO BEAR THE WEIGHT OF EACH DOOR PANEL, TRANSOM AND WEIGHT OF STRUCTURE + BUILDING CLADDING.</t>
  </si>
  <si>
    <t xml:space="preserve">●  PLEASE NOTE THAT THE WEIGHT OF ABOVE IS AN AVERAGE OF THE FRAME AND GLASS WEIGHT AND DOES NOT TAKE INTO ACCOUNT THE EXACT GLASS THICKNESS (MAXIMUM DESIGN WEIGHT = 240 LBS/PANEL) </t>
  </si>
  <si>
    <t>MULTI-SLIDE</t>
  </si>
  <si>
    <t>ONLY SOME SCENESCAPE DOORS ARE RATED FOR WATER AND AIR INFILTRATION RESISTANCE.  TO REDUCE THE LIKELIHOOD OF WATER INFILTRATION, INSTALL DOORS UNDER AND OVERHANG THAT EXTENDS TO MEET A 45 DEGREE LINE FROM THE DOOR SILL AND SLOPE THE EXTERIOR AWAY FROM THE DOOR OR USE A STEP DOWN.</t>
  </si>
  <si>
    <t>●  ONLY SOME SCENESCAPE DOORS ARE RATED FOR WATER AND AIR INFILTRATION RESISTANCE.  TO REDUCE THE LIKELIHOOD OF WATER INFILTRATION, INSTALL DOORS UNDER AN OVERHANG THAT EXTENDS TO MEET A 45 DEGREE LINE FROM THE DOOR SILL AND SLOPE THE EXTERIOR AWAY FROM THE DOOR OR USE A STEP DOWN.</t>
  </si>
  <si>
    <t xml:space="preserve">NON-CERTIFIED MULTISLIDE DOOR SYSTEMS ARE NOT DESIGNED TO PREVENT, NOR WARRANTED AGAINST ANY WEATHER OR WATER INFILTRATION.  IT IS CRITICAL THAT THE SYSTEM BE LOCATED IN AN AREA UNDER A SUFFICIENT OVERHANG TO PREVENT THE WEATHER FROM REACHING THE OPENING. FAILURE TO DO SO MAY RESULT IN DAMAGE TO THE INTERIOR OF THE STRUCTURE. </t>
  </si>
  <si>
    <t>MAXIMUM ALLOWABLE HEADER DEFLECTION IS 1/8" OVER THE TOTAL OPENING.</t>
  </si>
  <si>
    <t>SCENESCAPE DOOR HEADER MUST BE DESIGNED TO BEAR THE WEIGHT OF TRANSOM AND WEIGHT OF STRUCTURE + BUILDING CLADDING.</t>
  </si>
  <si>
    <t xml:space="preserve">NON-CERTIFIED BIFOLD DOOR SYSTEMS ARE NOT DESIGNED TO PREVENT, NOR WARRANTED AGAINST ANY WEATHER OR WATER INFILTRATION.  IT IS CRITICAL THAT THE SYSTEM BE LOCATED IN AN AREA UNDER A SUFFICIENT OVERHANG TO PREVENT THE WEATHER FROM REACHING THE OPENING. FAILURE TO DO SO MAY RESULT IN DAMAGE TO THE INTERIOR OF THE STRUCTURE. </t>
  </si>
  <si>
    <t>SCENESCAPE DOOR HEADER MUST BE DESIGNED TO BEAR THE WEIGHT OF EACH DOOR PANEL, TRANSOM AND WEIGHT OF STRUCTURE + BUILDING CLADDING.</t>
  </si>
  <si>
    <t xml:space="preserve">PLEASE NOTE THAT  THE WEIGHT ABOVE IS AN AVERAGE OF THE PANEL AND GLASS WEIGHT AND DOES NOT TAKE INTO ACCOUNT THE EXACT GLASS THICKNESS (MAXIMUM DESIGN WEIGHT = 240 LBS/PANEL) </t>
  </si>
  <si>
    <t>Updated Canadian Calculator Link</t>
  </si>
  <si>
    <t>Updated Bi-fold and Multi-slide information</t>
  </si>
  <si>
    <t>DP/Mull Calculator Training Presentation Slides:   LINK</t>
  </si>
  <si>
    <t>TRAINING:</t>
  </si>
  <si>
    <t>DP/Mull Calculator Video Training Presentation:   LINK</t>
  </si>
  <si>
    <t>Partially Enclosed</t>
  </si>
  <si>
    <t>Corrected Mullion Analysis DP calculation for Partially Enclosed</t>
  </si>
  <si>
    <t>MAXIMUM ALLOWABLE HEADER DEFLECTION IS 1/4” OVER THE TOTAL OPENING.</t>
  </si>
  <si>
    <t>●   MAXIMUM ALLOWABLE HEADER DEFLECTION IS 1/4” OVER TOTAL SPAN OF OPENING.</t>
  </si>
  <si>
    <t>Updated Bi-Fold header deflection to 1/4", per instructions</t>
  </si>
  <si>
    <t>Updated Zone 5 Calculation to include 0.4 x h &amp; 4% least horizontal</t>
  </si>
  <si>
    <t>x</t>
  </si>
  <si>
    <t>Illinois (Except Chicago)*</t>
  </si>
  <si>
    <t>Kansas</t>
  </si>
  <si>
    <t>Part 9 Building Types - "Housing and Small Buildings":
   -3 stories or less and 
   -Total floor area (all floors) of 600 m^2 (6,458 sq ft) or less
   -Occupancies:  Residential, Business/Personal, Mercantile, 
         Med/Low Hazard Industrial</t>
  </si>
  <si>
    <t>Receptor Mull Steel:  1/4" x 4-1/2"</t>
  </si>
  <si>
    <t>1" x 4 1/4" Tube Mullion w/ Steel</t>
  </si>
  <si>
    <t>Glass Thickness (mm)</t>
  </si>
  <si>
    <t>lbs/ft2</t>
  </si>
  <si>
    <t>thickness (mm)</t>
  </si>
  <si>
    <t>lbs/in2</t>
  </si>
  <si>
    <t>tinted/treated</t>
  </si>
  <si>
    <t>2 panes</t>
  </si>
  <si>
    <t>3 panes</t>
  </si>
  <si>
    <t>Laminated window</t>
  </si>
  <si>
    <t>36"x60"</t>
  </si>
  <si>
    <t>2.5 mm</t>
  </si>
  <si>
    <t>3 mm</t>
  </si>
  <si>
    <t>4 mm</t>
  </si>
  <si>
    <t>5 mm</t>
  </si>
  <si>
    <t>6 mm</t>
  </si>
  <si>
    <t>lbs/in of frame perimeter</t>
  </si>
  <si>
    <t>none</t>
  </si>
  <si>
    <t>*laminated + 3mm regular pane</t>
  </si>
  <si>
    <t>Thickness Error</t>
  </si>
  <si>
    <t>* Please note that this an approximate weight using averages of frame and glass weights and does not take into account the exact glass thickness and frame type of the product in consideration. **ACTUALLY now it does.</t>
  </si>
  <si>
    <t>Fixed Window Single Frame (3")</t>
  </si>
  <si>
    <t>Direct Set Single Frame (3.25")</t>
  </si>
  <si>
    <t>1/2" Mullion for 4 9/16" w/ Steel</t>
  </si>
  <si>
    <t>1/2" Mullion for 4-9/16"</t>
  </si>
  <si>
    <t>1/2" Mullion for 3-9/16"</t>
  </si>
  <si>
    <t>1" Structural Mullion</t>
  </si>
  <si>
    <t>1/2" Structural Mullion</t>
  </si>
  <si>
    <t>1" Structural Mullion w/ 2 Reinforcements</t>
  </si>
  <si>
    <t>1" Structural Mullion w/ 1 Reinforcement</t>
  </si>
  <si>
    <t>1/2" Structural Mullion w/ 1 Reinforcement</t>
  </si>
  <si>
    <t>600 m^2 = 6,458 ft^2</t>
  </si>
  <si>
    <t>Eric Visscher, Joe Kempen</t>
  </si>
  <si>
    <t>Fix Vinyl 250 Sliding Patio Door aluminum mull bar option</t>
  </si>
  <si>
    <t>Add new Impervia "Structural" mulling options</t>
  </si>
  <si>
    <t xml:space="preserve">The 1/2" Joining Mullion for 250-Series is good up 53.5" and a DP of 20 </t>
  </si>
  <si>
    <t>Show Mull Type EI Value Tabs for reference, not editable</t>
  </si>
  <si>
    <t>FIX 'a' calculation for building height</t>
  </si>
  <si>
    <t>Add glass thickness to deadload calculator</t>
  </si>
  <si>
    <t>Change Georgia to ASCE 7-16</t>
  </si>
  <si>
    <t>Fix link to wall zone size in Struct Calc tab (Cell # 84 to 85)</t>
  </si>
  <si>
    <t>Made Deadload EIy visible for structure comparisons</t>
  </si>
  <si>
    <t xml:space="preserve">Zone 4 'a' defaults to "---" unless all width, height, length are all filled in </t>
  </si>
  <si>
    <t xml:space="preserve">Update weakest Impervia Frame EI Value (with new D-Set, new CM);  Lowest is SW/SH/Fx 1.0 - 2,136,000 </t>
  </si>
  <si>
    <t>Update Canadian DP Calculator link  https://fenestrationcanada.ca/calculator/a44os1-17/</t>
  </si>
  <si>
    <t>Add reference info on what a Canadian Part 9 building is</t>
  </si>
  <si>
    <t>ASCE 7-10, 7-16 - using min roof height in calculation to 15' for Exposure C, 30' for B</t>
  </si>
  <si>
    <t>Minor updates to aluminum reinforcement mullion names</t>
  </si>
  <si>
    <t>Fixed Impervia 2" Custom Reinforcing Mullion missing MMx values</t>
  </si>
  <si>
    <t>Max Y Moment (lbs-in)</t>
  </si>
  <si>
    <t>Wood</t>
  </si>
  <si>
    <t>Steel</t>
  </si>
  <si>
    <t>Mullion Type</t>
  </si>
  <si>
    <t>End Anchor</t>
  </si>
  <si>
    <t>Strength</t>
  </si>
  <si>
    <t># Screws</t>
  </si>
  <si>
    <t>Type of Screw</t>
  </si>
  <si>
    <t>Clad Wood</t>
  </si>
  <si>
    <t>#10 SS Wood Screws</t>
  </si>
  <si>
    <t>3/16" Tapcons</t>
  </si>
  <si>
    <t>#10-16 HWH Self Drilling Screws</t>
  </si>
  <si>
    <t>Pella Wood Spread</t>
  </si>
  <si>
    <t>Vinyl 250</t>
  </si>
  <si>
    <t>Encomp</t>
  </si>
  <si>
    <t>Wood Studs</t>
  </si>
  <si>
    <t>1 - 2x8 Wood Stud</t>
  </si>
  <si>
    <t>1 - 1-1/2x4-7/8 wood stud</t>
  </si>
  <si>
    <t>1 - 2x6 wood stud</t>
  </si>
  <si>
    <t>1 - 2x4 wood stud</t>
  </si>
  <si>
    <t>Added END ANCHOR sheet with end anchor library</t>
  </si>
  <si>
    <t>Names for anchor categories, types of substrates, and strengths</t>
  </si>
  <si>
    <t>Designed for easy changes, reorganizing, and referencing in equations</t>
  </si>
  <si>
    <t>Changes to main Project Mull Review sheet</t>
  </si>
  <si>
    <t>End Anchors</t>
  </si>
  <si>
    <t>Final</t>
  </si>
  <si>
    <t>Lookup</t>
  </si>
  <si>
    <t>Clad</t>
  </si>
  <si>
    <t>List</t>
  </si>
  <si>
    <t>Window Type Anchor Choices</t>
  </si>
  <si>
    <t>Nested Steel Stud Anchor Choices</t>
  </si>
  <si>
    <t>Wood Stud Anchor Choices</t>
  </si>
  <si>
    <t>Engineered Lumber Anchor Choices</t>
  </si>
  <si>
    <t>Pella Wood Spread Anchor Choices</t>
  </si>
  <si>
    <t>Anchor Error</t>
  </si>
  <si>
    <t>No Anchor Available</t>
  </si>
  <si>
    <t>Substrates</t>
  </si>
  <si>
    <t>Steel Tube Anchor Choices</t>
  </si>
  <si>
    <t xml:space="preserve">Required Mullion Strength (EIx) </t>
  </si>
  <si>
    <t>Building Code (By State) :</t>
  </si>
  <si>
    <t>ASD</t>
  </si>
  <si>
    <t>Square Feet</t>
  </si>
  <si>
    <t>Required Deadload Strength (EIy)</t>
  </si>
  <si>
    <t>10D Common Nails</t>
  </si>
  <si>
    <t>Zone 4 Anchor Search and Validation</t>
  </si>
  <si>
    <t>Zone 5 Anchor Search and Validation</t>
  </si>
  <si>
    <t>Concrete/ CMU</t>
  </si>
  <si>
    <t>The proposed windows and doors comply with the design pressures shown unless noted otherwise. Allowable Stress Design (ASD) pressures were obtained by multiplying the Ultimate design pressures (Ult.) by 0.6 per IBC section 1609. ASD pressures align with WDMA/AAMA standards and the NAFS performance rating system. Please confirm these design pressures with the structural engineer or building official.</t>
  </si>
  <si>
    <t>#11 Roofing Nails</t>
  </si>
  <si>
    <t>1/4" Lag Screws</t>
  </si>
  <si>
    <t>New format for DA info</t>
  </si>
  <si>
    <t>End anchor choices with data sorter and column to show strength of anchors</t>
  </si>
  <si>
    <t>Design Wind Speed (MPH) :</t>
  </si>
  <si>
    <t>Allowable (ASD)</t>
  </si>
  <si>
    <t>Deadload Assistance</t>
  </si>
  <si>
    <t>3/16x5  Steel Plate</t>
  </si>
  <si>
    <t>1/4x4.5  Steel Plate</t>
  </si>
  <si>
    <t xml:space="preserve">5/16x4  Steel Plate </t>
  </si>
  <si>
    <t>3/16x4.5  Steel Plate</t>
  </si>
  <si>
    <t>1/4x4  Steel Plate</t>
  </si>
  <si>
    <t>3/16x4  Steel Plate</t>
  </si>
  <si>
    <t>Ultimate</t>
  </si>
  <si>
    <t>Risk Category :</t>
  </si>
  <si>
    <t>Concrete or CMU</t>
  </si>
  <si>
    <t>Nail Fin Fasteners are sufficient</t>
  </si>
  <si>
    <t>Product/
Joint Type/
Substrate</t>
  </si>
  <si>
    <t>End Anchor Capacity (lbs)</t>
  </si>
  <si>
    <t>Do not use ATC wind speeds. Reference local wind codes or state code documentation.</t>
  </si>
  <si>
    <t>Verify ATC wind speeds with local wind codes or state code documentation.</t>
  </si>
  <si>
    <t>Mississippi*</t>
  </si>
  <si>
    <t>Missouri*</t>
  </si>
  <si>
    <t>New York (Except NYC)*</t>
  </si>
  <si>
    <t>Washington (Except Seattle)*</t>
  </si>
  <si>
    <t>Reference local wind codes or state code documentation for large urban and suburban areas specified.</t>
  </si>
  <si>
    <t>Pennsylvania (Except Philly and Pittsburgh)*</t>
  </si>
  <si>
    <t>Must use ATC wind speeds</t>
  </si>
  <si>
    <t>New Jersey*</t>
  </si>
  <si>
    <t>Pennsylvania (Except Philadelphia and Alleghany County)*</t>
  </si>
  <si>
    <t>Review state or county codes to validate correct ASCE standard or wind speed</t>
  </si>
  <si>
    <t>Illinois*</t>
  </si>
  <si>
    <t>New York*</t>
  </si>
  <si>
    <t>Pennsylvania*</t>
  </si>
  <si>
    <t>Washington*</t>
  </si>
  <si>
    <t>New Jersey</t>
  </si>
  <si>
    <t>DO NOT USE ATC WIND SPEEDS. REFERENCE LOCAL WIND CODES OR STATE CODE DOCUMENTATION.</t>
  </si>
  <si>
    <t>VERIFY ATC WIND SPEEDS WITH LOCAL WIND CODES OR STATE CODE DOCUMENTATION.</t>
  </si>
  <si>
    <t>REFERENCE LOCAL WIND CODES FOR CHICAGO, DUPAGE COUNTY, AND SOUTH HOLLAND COUNTY</t>
  </si>
  <si>
    <t>REFERENCE LOCAL WIND CODES FOR PHILADELPHIA AND ALLEGHANY COUNTY</t>
  </si>
  <si>
    <t>REFERENCE LOCAL WIND CODES FOR SEATTLE</t>
  </si>
  <si>
    <t>Ground Elevation &amp; Ke Factor :</t>
  </si>
  <si>
    <t>ft</t>
  </si>
  <si>
    <t>Ground Elevation &amp; Factor</t>
  </si>
  <si>
    <t>Update to Effective Wind Area (remove combination width/height)</t>
  </si>
  <si>
    <t>Misc Formatting</t>
  </si>
  <si>
    <t>Added Ultimate &amp; Allowable Wind Speeds &amp; DP Charts</t>
  </si>
  <si>
    <t>IMPERVIA - As Tested 2 Way</t>
  </si>
  <si>
    <t>IMPERVIA - As Tested 4 Way</t>
  </si>
  <si>
    <t>1'' Structural mullion*</t>
  </si>
  <si>
    <t>IAMT2</t>
  </si>
  <si>
    <t>IAMT4</t>
  </si>
  <si>
    <t>IAEIT2</t>
  </si>
  <si>
    <t>IAEIT4</t>
  </si>
  <si>
    <t>IAMMxT2</t>
  </si>
  <si>
    <t>IAEIyT2</t>
  </si>
  <si>
    <t>IAMMyT2</t>
  </si>
  <si>
    <t>IAMMxT4</t>
  </si>
  <si>
    <t>IAEIyT4</t>
  </si>
  <si>
    <t>IAMMyT4</t>
  </si>
  <si>
    <t>3.0</t>
  </si>
  <si>
    <t>Removed Pre-Feb 2021 Impervia Window Mull Options</t>
  </si>
  <si>
    <t>Added "As-Tested" Impervia Window Mull Options &amp; Functionality</t>
  </si>
  <si>
    <t>MMx values are not given, assumed to be a nonfactor</t>
  </si>
  <si>
    <t>"As-Tested" changed to "As Tested - 3.25" Frame", formula changes included</t>
  </si>
  <si>
    <t>MMx values changed as to assume no effect on frame strength validation</t>
  </si>
  <si>
    <t>As Tested - 3.25" Frames</t>
  </si>
  <si>
    <t>"As Tested - 3.25" Frame" changed "Frames" to plural</t>
  </si>
  <si>
    <t>Fixed error with calculated DP pressures;  ground elevation factor could lower pressures below min/max of 10 psf</t>
  </si>
  <si>
    <t>If this project information is no longer current, it may have an impact on this report. Please contact PAS with any updated project information.</t>
  </si>
  <si>
    <t>Project Elevation</t>
  </si>
  <si>
    <t>Fixed error on Importance Factor III/IV for ASCE 7-05</t>
  </si>
  <si>
    <t xml:space="preserve"> *reference print #DES-000071858 for frame strength values</t>
  </si>
  <si>
    <t>1" Structural Door Mullion</t>
  </si>
  <si>
    <t>1/2" Structural Door Mullion</t>
  </si>
  <si>
    <t>1-3/4"x5-1/2" Microllam LVL</t>
  </si>
  <si>
    <t>WSMMy</t>
  </si>
  <si>
    <t>Weight (lb/ft)</t>
  </si>
  <si>
    <t>https://www.chapelsteel.com/weight-steel-plate.html</t>
  </si>
  <si>
    <t>Steel weights:</t>
  </si>
  <si>
    <t>https://roofonline.com/weight-of-dimensional-lumber</t>
  </si>
  <si>
    <t>Weight of studs:  douglas fir</t>
  </si>
  <si>
    <t>https://www.engineersedge.com/standard_material/astm-hhs-structural-rectangle.htm</t>
  </si>
  <si>
    <t>Weight per foot of steel tube:</t>
  </si>
  <si>
    <t>https://www.engineeringtoolbox.com/square-hollow-structural-sections-hss-d_1478.html</t>
  </si>
  <si>
    <t>Changed names of Impervia door mullions</t>
  </si>
  <si>
    <t>Updated state wind codes from Taylor Krumwiede's notes</t>
  </si>
  <si>
    <t>Added nail fin option for Impervia doors (potentially note about no sill fin)</t>
  </si>
  <si>
    <t>Changed nail fin only strength to 350 lbs (per evaluation plan #5146, tests 40-48)</t>
  </si>
  <si>
    <t>Added weights of field structure (lb/ft) to allow using structure weights in deadload calculations; added column to calculate weight of the structure based on deadload member length, added to the right of all items in the Project Mull Review tab</t>
  </si>
  <si>
    <t>NA</t>
  </si>
  <si>
    <t>Mullion Reinforcement Weight (lbs)</t>
  </si>
  <si>
    <t>Updated the Impervia sliding door information, including frame strength, anchors, and mullions</t>
  </si>
  <si>
    <t>1/2" Structural Door Mullion w/ 1 Reinforcement</t>
  </si>
  <si>
    <t>1" Structural Door Mullion w/ 1 Reinforcement</t>
  </si>
  <si>
    <t>1" Structural Door Mullion w/ 2 Reinforcements</t>
  </si>
  <si>
    <t>Removed 350 Series Vinyl Options</t>
  </si>
  <si>
    <t>EIy &amp; MMy are same as Engineered (L/175)</t>
  </si>
  <si>
    <t>ALSO REFERENCE AMAA TIR-A15-14 FOR MORE DIRECTION</t>
  </si>
  <si>
    <t>Ground Elevation Factor (Ke)</t>
  </si>
  <si>
    <t>Changed EI for As-Tested Impervia Tight Mull from 5,179,200 to 8,770,357 per Brandon Pace</t>
  </si>
  <si>
    <t>Partial/Complete/None</t>
  </si>
  <si>
    <t>XX/XX/XXXX</t>
  </si>
  <si>
    <t>XXXXXX</t>
  </si>
  <si>
    <t>Updated Zone 4/5 Diagram</t>
  </si>
  <si>
    <t>Updated Impervia mull type options to allow using door mullions when in a 4 way mull joint</t>
  </si>
  <si>
    <t>None with Door</t>
  </si>
  <si>
    <t>End Anchor stuff</t>
  </si>
  <si>
    <t>M1.1</t>
  </si>
  <si>
    <t>M1.2</t>
  </si>
  <si>
    <t>M1.3</t>
  </si>
  <si>
    <t>M1.4</t>
  </si>
  <si>
    <t>M1.5</t>
  </si>
  <si>
    <t>M1.6</t>
  </si>
  <si>
    <t>M1.7</t>
  </si>
  <si>
    <t>M1.8</t>
  </si>
  <si>
    <t>M1.9</t>
  </si>
  <si>
    <t>M1.10</t>
  </si>
  <si>
    <t>M1.11</t>
  </si>
  <si>
    <t>M1.12</t>
  </si>
  <si>
    <t>M1.13</t>
  </si>
  <si>
    <t>M1.14</t>
  </si>
  <si>
    <t>M1.15</t>
  </si>
  <si>
    <t>M1.16</t>
  </si>
  <si>
    <t>M1.17</t>
  </si>
  <si>
    <t>M1.18</t>
  </si>
  <si>
    <t>M1.19</t>
  </si>
  <si>
    <t>M1.20</t>
  </si>
  <si>
    <t>M1.21</t>
  </si>
  <si>
    <t>M1.22</t>
  </si>
  <si>
    <t>M2.1</t>
  </si>
  <si>
    <t>M2.2</t>
  </si>
  <si>
    <t>M2.3</t>
  </si>
  <si>
    <t>M2.4</t>
  </si>
  <si>
    <t>M2.5</t>
  </si>
  <si>
    <t>M2.6</t>
  </si>
  <si>
    <t>M2.7</t>
  </si>
  <si>
    <t>M3.1</t>
  </si>
  <si>
    <t>M3.2</t>
  </si>
  <si>
    <t>M3.3</t>
  </si>
  <si>
    <t>M3.4</t>
  </si>
  <si>
    <t>M3.5</t>
  </si>
  <si>
    <t>M3.6</t>
  </si>
  <si>
    <t>M3.7</t>
  </si>
  <si>
    <t>M3.8</t>
  </si>
  <si>
    <t>M3.9</t>
  </si>
  <si>
    <t>M3.10</t>
  </si>
  <si>
    <t>M3.11</t>
  </si>
  <si>
    <t>M3.12</t>
  </si>
  <si>
    <t>M3.13</t>
  </si>
  <si>
    <t>M3.14</t>
  </si>
  <si>
    <t>M3.15</t>
  </si>
  <si>
    <t>M3.16</t>
  </si>
  <si>
    <t>M3.17</t>
  </si>
  <si>
    <t>M4.1</t>
  </si>
  <si>
    <t>M4.2</t>
  </si>
  <si>
    <t>M4.3</t>
  </si>
  <si>
    <t>M4.4</t>
  </si>
  <si>
    <t>M4.5</t>
  </si>
  <si>
    <t>M4.6</t>
  </si>
  <si>
    <t>M4.7</t>
  </si>
  <si>
    <t>M4.8</t>
  </si>
  <si>
    <t>M4.9</t>
  </si>
  <si>
    <t>M4.10</t>
  </si>
  <si>
    <t>M4.11</t>
  </si>
  <si>
    <t>M4.12</t>
  </si>
  <si>
    <t>M4.13</t>
  </si>
  <si>
    <t>M4.14</t>
  </si>
  <si>
    <t>M4.15</t>
  </si>
  <si>
    <t>M4.16</t>
  </si>
  <si>
    <t>M4.17</t>
  </si>
  <si>
    <t>M5.1</t>
  </si>
  <si>
    <t>M5.2</t>
  </si>
  <si>
    <t>M5.3</t>
  </si>
  <si>
    <t>M5.4</t>
  </si>
  <si>
    <t>M5.5</t>
  </si>
  <si>
    <t>M5.6</t>
  </si>
  <si>
    <t>M6.1</t>
  </si>
  <si>
    <t>M6.2</t>
  </si>
  <si>
    <t>M6.3</t>
  </si>
  <si>
    <t>M6.4</t>
  </si>
  <si>
    <t>M6.5</t>
  </si>
  <si>
    <t>M6.6</t>
  </si>
  <si>
    <t>M6.7</t>
  </si>
  <si>
    <t>M6.8</t>
  </si>
  <si>
    <t>M6.9</t>
  </si>
  <si>
    <t>M6.10</t>
  </si>
  <si>
    <t>M6.11</t>
  </si>
  <si>
    <t>M6.12</t>
  </si>
  <si>
    <t>M6.13</t>
  </si>
  <si>
    <t>M6.14</t>
  </si>
  <si>
    <t>M7.1</t>
  </si>
  <si>
    <t>M7.2</t>
  </si>
  <si>
    <t>M7.3</t>
  </si>
  <si>
    <t>M7.4</t>
  </si>
  <si>
    <t>M7.5</t>
  </si>
  <si>
    <t>M8.1</t>
  </si>
  <si>
    <t>M8.2</t>
  </si>
  <si>
    <t>M8.3</t>
  </si>
  <si>
    <t>M8.4</t>
  </si>
  <si>
    <t>M8.5</t>
  </si>
  <si>
    <t>M8.6</t>
  </si>
  <si>
    <t>M8.7</t>
  </si>
  <si>
    <t>M8.8</t>
  </si>
  <si>
    <t>M8.9</t>
  </si>
  <si>
    <t>M8.10</t>
  </si>
  <si>
    <t>M8.11</t>
  </si>
  <si>
    <t>M8.12</t>
  </si>
  <si>
    <t>M8.13</t>
  </si>
  <si>
    <t>M8.14</t>
  </si>
  <si>
    <t>M8.15</t>
  </si>
  <si>
    <t>M8.16</t>
  </si>
  <si>
    <t>M8.17</t>
  </si>
  <si>
    <t>*1x3 with steel insert</t>
  </si>
  <si>
    <t>Generic</t>
  </si>
  <si>
    <t>Unpunched NSS</t>
  </si>
  <si>
    <t>LVL</t>
  </si>
  <si>
    <t>Unpunched NSS with Wood Infill</t>
  </si>
  <si>
    <t>*same but field</t>
  </si>
  <si>
    <t>*different</t>
  </si>
  <si>
    <t>Table</t>
  </si>
  <si>
    <t>No LVL matches</t>
  </si>
  <si>
    <t>Used punched values</t>
  </si>
  <si>
    <t>***For M values, we might need to do M1.01 and such for single numbers</t>
  </si>
  <si>
    <t>Mullion Reinforcement</t>
  </si>
  <si>
    <t>End Anchor Type</t>
  </si>
  <si>
    <t>End Load Reference</t>
  </si>
  <si>
    <t>(5) #10 Screws Thru High Performance Fin Anchor, 1-1/2" emb. [PA5]</t>
  </si>
  <si>
    <t>(5) #10 Screws Thru Fin Mullion Anchor, 1-1/2" emb. [PA5]</t>
  </si>
  <si>
    <t>(8) #10 Screws Thru Frame or 8 Clips, 3" emb. [AS8]</t>
  </si>
  <si>
    <t>(8) #10 Screws Thru Frame or 8 Clips, 1-1/2" emb. [AS8]</t>
  </si>
  <si>
    <t>(6) #10 Screws Thru Frame or 6 Clips, 3" emb. [AS6]</t>
  </si>
  <si>
    <t>(6) #10 Screws Thru Frame or 6 Clips, 1-1/2" emb. [AS6]</t>
  </si>
  <si>
    <t>(3) #10 Screws Thru High Performance Fin Anchor, 1-1/2" emb. [PA3]</t>
  </si>
  <si>
    <t>(3) #10 Screws Thru Fin Mullion Anchor, 1-1/2" emb. [PA3]</t>
  </si>
  <si>
    <t>(4) #10 Screws Thru Frame or 4 Clips, 3" emb. [AS4]</t>
  </si>
  <si>
    <t>(4) #10 Screws Thru Clip Mullion Anchor, 1-1/2" emb. [PA4]</t>
  </si>
  <si>
    <t>(3) #10 Screws Thru Subsill Mullion Anchor, 3" emb. [PA3]</t>
  </si>
  <si>
    <t>(4) #10 Screws Thru Frame or 4 Clips, 1-1/2" emb. [AS4]</t>
  </si>
  <si>
    <t>(4) #10 Screws Thru Clip Mullion Anchor, 3" emb. [PA4]</t>
  </si>
  <si>
    <t>(3) #10 Screws Thru Subsill Mullion Anchor, 1-1/2" emb. [PA3]</t>
  </si>
  <si>
    <t>(2) #10 Screws Thru Frame or 2 Clips, 3" emb. [AS2]</t>
  </si>
  <si>
    <t>(2) #10 Screws Thru Frame or 2 Clips, 1-1/2" emb. [AS2]</t>
  </si>
  <si>
    <t>1 Structural Mullion Head and  Sill Anchor Pair, 3" emb. [PA3]</t>
  </si>
  <si>
    <t>(5) #10 Screws Thru Block Frame Anchor, 3" emb. [PA5]</t>
  </si>
  <si>
    <t>(5) #10 Screws Thru Block Frame Anchor, 1-1/2" emb. [PA5]</t>
  </si>
  <si>
    <t>(3) #10 Screws Thru Block Frame Anchor, 3" emb. [PA3]</t>
  </si>
  <si>
    <t>(3) #10 Screws Thru Block Frame Anchor, 1-1/2" emb. [PA3]</t>
  </si>
  <si>
    <t>(6) #10 Screws Thru Vinyl 250 Block Frame Anchor, 3" emb. [PA6]</t>
  </si>
  <si>
    <t>(6) #10 Screws Thru Vinyl 250 Block Frame Anchor, 1-1/2" emb. [PA6]</t>
  </si>
  <si>
    <t>(3) #10 Screws Thru Vinyl 250 Block Frame Anchor, 3" emb. [PA3]</t>
  </si>
  <si>
    <t>(3) #10 Screws Thru Vinyl 250 Block Frame Anchor, 1-1/2" emb. [PA3]</t>
  </si>
  <si>
    <t>(8) 3/16" Masonry Screws Thru Frame or 8 Clips, 1-3/4" emb. [AS8]</t>
  </si>
  <si>
    <t>(8) 3/16" Masonry Screws Thru Frame or 8 Clips, 1-1/4" emb. [AS8]</t>
  </si>
  <si>
    <t>(6) 3/16" Masonry Screws Thru Frame or 6 Clips, 1-3/4" emb. [AS6]</t>
  </si>
  <si>
    <t>(6) 3/16" Masonry Screws Thru Frame or 6 Clips, 1-1/4" emb. [AS6]</t>
  </si>
  <si>
    <t>(4) 3/16" Masonry Screws Thru Frame or 4 Clips, 1-3/4" emb. [AS4]</t>
  </si>
  <si>
    <t>(4) 3/16" Masonry Screws Thru Frame or 4 Clips, 1-1/4" emb. [AS4]</t>
  </si>
  <si>
    <t>(2) 3/16" Masonry Screws Thru Frame or 2 Clips, 1-3/4" emb. [AS2]</t>
  </si>
  <si>
    <t>(2) 3/16" Masonry Screws Thru Clip Mullion Anchor, 1-3/4" emb. [PA2]</t>
  </si>
  <si>
    <t>(2) 3/16" Masonry Screws Thru Subsill Mullion Anchor, 1-3/4" emb. [PA2]</t>
  </si>
  <si>
    <t>(2) 3/16" Masonry Screws Thru Frame or 2 Clips, 1-1/4" emb. [AS2]</t>
  </si>
  <si>
    <t>(2) 3/16" Masonry Screws Thru Clip Mullion Anchor, 1-1/4" emb. [PA2]</t>
  </si>
  <si>
    <t>(2) 3/16" Masonry Screws Thru Subsill Mullion Anchor, 1-1/4" emb. [PA2]</t>
  </si>
  <si>
    <t>2 Structural Mullion Head and Sill Anchor Pairs, 1-1/4" emb. [PA2]</t>
  </si>
  <si>
    <t>1 Structural Mullion Head and Sill Anchor Pair, 1-3/4" emb. [PA2]</t>
  </si>
  <si>
    <t>1 Structural Mullion Head and Sill Anchor Pair, 1-1/4" emb. [PA2]</t>
  </si>
  <si>
    <t>(2) 3/16" Masonry Screws Thru Vinyl 250 Block Frame Anchor, 1-3/4" emb. [PA2]</t>
  </si>
  <si>
    <t>(2) 3/16" Masonry Screws Thru Vinyl 250 Block Frame Anchor, 1-1/4" emb. [PA2]</t>
  </si>
  <si>
    <t>END ANCHOR NAMING CONVENTION ANCHORED TO THIS SHEET</t>
  </si>
  <si>
    <t>(8) #10-16 Self-Drilling Screws Thru Frame or 8 Clips [AS8]</t>
  </si>
  <si>
    <t>(6) #10-16 Self-Drilling Screws Thru Frame or 6 Clips [AS6]</t>
  </si>
  <si>
    <t>(4) #10-16 Self-Drilling Screws Thru Clip Mullion Anchor [PA4]</t>
  </si>
  <si>
    <t>(4) #10-16 Self-Drilling Screws Thru Frame or 4 Clips [AS4]</t>
  </si>
  <si>
    <t>(3) #10-16 Self-Drilling Screws Thru Subsill Mullion Anchor [PA3]</t>
  </si>
  <si>
    <t>(5) #10-16 Self-Drilling Screws Thru Fin Mullion Anchor [PA5]</t>
  </si>
  <si>
    <t>(5) #10-16 Self-Drilling Screws Thru High Performance Fin Anchor [PA5]</t>
  </si>
  <si>
    <t>(2) #10-16 Self-Drilling Screws Thru Frame or 2 Clips [AS2]</t>
  </si>
  <si>
    <t>(3) #10-16 Self-Drilling Screws Thru Fin Mullion Anchor [PA3]</t>
  </si>
  <si>
    <t>(3) #10-16 Self-Drilling Screws Thru High Performance Fin Anchor [PA3]</t>
  </si>
  <si>
    <t>2 Structural Mullion Head and  Sill Anchor Pairs [PA6]</t>
  </si>
  <si>
    <t>1 Structural Mullion Head and Sill Anchor Pair [PA3]</t>
  </si>
  <si>
    <t>2 Structural Mullion Head and Sill Anchor Pairs, 1-3/4" emb. [PA2]</t>
  </si>
  <si>
    <t>1 Structural Mullion Head and Sill Anchor Pair, 1-1/2" emb. [PA3]</t>
  </si>
  <si>
    <t>2 Structural Mullion Head and Sill Anchor Pairs, 1-1/2" emb. [PA6]</t>
  </si>
  <si>
    <t>2 Structural Mullion Head and Sill Anchor Pairs, 3" emb. [PA6]</t>
  </si>
  <si>
    <t>(5) #10-16 Self-Drilling Screws Thru Block Frame Anchor [PA5]</t>
  </si>
  <si>
    <t>(6+2) #10-16 Self-Drilling Screws Thru Fin Anchor [PA8]</t>
  </si>
  <si>
    <t>(3) #10-16 Self-Drilling Screws Thru Block Frame Anchor [PA3]</t>
  </si>
  <si>
    <t>(3) #10-16 Self-Drilling Screws Thru Fin Anchor [PA3]</t>
  </si>
  <si>
    <t>(4) #10-16 Self-Drilling Screws Thru Fin Anchor [PA4]</t>
  </si>
  <si>
    <t>(5) #10 Screws Thru Fin Anchor, 1-1/2" emb. [PA5]</t>
  </si>
  <si>
    <t>(3) #10 Screws Thru Fin Anchor, 1-1/2" emb. [PA3]</t>
  </si>
  <si>
    <t>(6) #10-16 Self-Drilling Screws Thru Fin Anchor [PA6]</t>
  </si>
  <si>
    <t>(5) #10-16 Self-Drilling Screws Thru Fin Anchor [PA5]</t>
  </si>
  <si>
    <t>1 Structural Mullion Head and Sill Anchor Pair, 1-3/4" emb. [PA1]</t>
  </si>
  <si>
    <t>1 Structural Mullion Head and Sill Anchor Pair, 1-1/4" emb. [PA1]</t>
  </si>
  <si>
    <t>1 Structural Mullion Head and Sill Anchor Pair, 3" emb. [PA3]</t>
  </si>
  <si>
    <t>(6) #10-16 Self-Drilling Screws Thru Viny 250 Block Frame Anchor [PA6]</t>
  </si>
  <si>
    <t>(3) #10-16 Self-Drilling Screws Thru Viny 250 Block Frame Anchor [PA3]</t>
  </si>
  <si>
    <t>**Change to unpunched</t>
  </si>
  <si>
    <t>Adjusted Single Cell</t>
  </si>
  <si>
    <t>The Fun Box</t>
  </si>
  <si>
    <t>Left Cell</t>
  </si>
  <si>
    <t>Right Cell</t>
  </si>
  <si>
    <t>Top Cells</t>
  </si>
  <si>
    <t>Bottom Cells</t>
  </si>
  <si>
    <t>Top Row</t>
  </si>
  <si>
    <t>Bottom Row</t>
  </si>
  <si>
    <t>Total Rows</t>
  </si>
  <si>
    <t>Sorting 1</t>
  </si>
  <si>
    <t>Middle Cell</t>
  </si>
  <si>
    <t>Row</t>
  </si>
  <si>
    <t>Partial</t>
  </si>
  <si>
    <t>Sorting Final</t>
  </si>
  <si>
    <t>Mullion</t>
  </si>
  <si>
    <t>Capacity</t>
  </si>
  <si>
    <t>Data 1</t>
  </si>
  <si>
    <t>Data 0</t>
  </si>
  <si>
    <t>Combined with Row</t>
  </si>
  <si>
    <t>Combined</t>
  </si>
  <si>
    <t>Sorted 1</t>
  </si>
  <si>
    <t>Sorted 0</t>
  </si>
  <si>
    <t>Values from DP Calc Main Sheet</t>
  </si>
  <si>
    <t>Max End Load</t>
  </si>
  <si>
    <t>Column</t>
  </si>
  <si>
    <t>Sorting Formula for DP Calc Main Sheet</t>
  </si>
  <si>
    <t>FORMULA CAN BE ADJUSTED TO ALLOW FOR VLOOKUP USING CELL ROW AND MULLION REINFORCEMENT NAME</t>
  </si>
  <si>
    <t>DO NOT DELETE OR ADD ANY ROWS; FORMULAS ARE ANCHORED IN DOUBLE DIGITS
 IF ALL ROWS FOR THE SHOP DRAWING TABLES ARE NOT FROM 10-99, ERRORS WILL EXIST</t>
  </si>
  <si>
    <t>Ranges for Matched Mullion Formula</t>
  </si>
  <si>
    <t>Sorting Row</t>
  </si>
  <si>
    <t>Upper Sort Range</t>
  </si>
  <si>
    <t>Lower Sort Range</t>
  </si>
  <si>
    <t>"Sorting 1" separates the Mullion/Anchor combinations that are identical ("Data 1") and the combinations that have no identical match ("Data 0"). 
"Sorted 1" and "Sorted 0" sort values so all empty spaces are removed. 
"Partial" and "Row" separate the Mullion/Anchor combined name with the row value at the end. Row values are needed to reference back to the original "Values from DP Calc Main Sheet" table so all values are connected to a single row.
Note that sorting at "Partial" and "Row" is now separated between the matched and no-match mullion/anchor combined names.</t>
  </si>
  <si>
    <t>The IF function creates an array that has either blank values (for blank cells) or the row index number (IE A38 row is 38)
The SMALL function creates a single number per cell that indicates the 1st, 2nd, etc. value that is not zero in the indicated fixed column (in this case, the mullion anchor names)
The INDEX function uses the SMALL row value to find it in the specified column (AF, or mullion anchor names)</t>
  </si>
  <si>
    <t>1A</t>
  </si>
  <si>
    <t>1B</t>
  </si>
  <si>
    <t>1C</t>
  </si>
  <si>
    <t>1D</t>
  </si>
  <si>
    <t>1E</t>
  </si>
  <si>
    <t>1F</t>
  </si>
  <si>
    <t>1G</t>
  </si>
  <si>
    <t>1H</t>
  </si>
  <si>
    <t>1I</t>
  </si>
  <si>
    <t xml:space="preserve">"Sorting Final" recombines all information. 
"Mullion" is the sorted column "1G", including all matched and unmatched mullion names (from row 55 and below). Row numbers are still attached to the end of mullion names. 
"End Anchor" and "Capacity" are found by using VLOOKUP on the "1G" column. 
BE AWARE that the row values on the end of the "Mullion" data is required to use the VLOOKUP function, otherwise similar mullion names pull the wrong end anchor names.  </t>
  </si>
  <si>
    <t xml:space="preserve">Columns "1A" through "1I" sort out the identical mullion/anchor names. 
"1A" uses MATCH to find groups of identical mullion/anchor names, indicated by the value 0. 
"1B" includes the end anchor capacities for sorting. 
"1C" finds the row and column of the end anchor cells. 
"1D" uses VLOOKUP to find the 0 values from column "1A", and groups all identical names with a single cell value. 
"1E" uses MATCH to count the amount of identical values in a group. 
"1F" uses finds the maximum capacity from groupings using information found in "1E", which indicates the size of the capacities needed to sort through for maximum value. 
"1G" through "1I" find the mullion name and the attached end anchor and capacity using the values in column "1F". Note that row values are attached to the mullion names in "1G" to ensure all mullion names are identical. 
Note that the non-identical mullion/anchor names are sorted in rows 55 and below for symmetry. All names are in same columns for sorting in the "Sorting Final" section. </t>
  </si>
  <si>
    <t>"The Fun Box" is used to allow for movement in the sheet (adding or deleting rows and columns). All values in this box define the dimensions and cell addresses of "Values from DP Calc Main Sheet". Don't ask why this is fun.</t>
  </si>
  <si>
    <t>"Column box" necessary to indicate ranges (see "Ranges for Matched Mullion Formula" section); this box allows the sheet to move (adding or deleting rows or columns) and not crash
"Combined" is the combined Mullion and End Anchor names; "Combined with Rows" is "Combined" with  row number attached at end; Both are used to find matches
"Adjusted Single Cell" uses ranges to indicate if there is an identical Mull/Anchor combo (1) or if there is not (0)
Sorting done with all Mullion/Anchor combos</t>
  </si>
  <si>
    <t xml:space="preserve">Ranges are created to find the mullion/end anchor options that are identical. Upper and lower ranges are required so that all options EXCEPT the one used to sort are searched. If using a single range, there is always a match since the option used to search always matches itself.
Note that this is only required for the mullion/anchor names that have identical matches. These ranges are not used for names with no identical matches. </t>
  </si>
  <si>
    <t>Notes</t>
  </si>
  <si>
    <t xml:space="preserve">Added end anchor for shops page </t>
  </si>
  <si>
    <t>Scrubbed 350 Series out of calculator (formulas)</t>
  </si>
  <si>
    <t>Added 250 Series end anchors for 1" and 1/2" (separated in end anchor options page)</t>
  </si>
  <si>
    <t>#8 SS Wood Screws</t>
  </si>
  <si>
    <t>MULLION NAMING CONVENTION IS ANCHORED TO THIS SHEET; IF UPDATING MULLION NAMES HERE, NAMES MUST ALSO BE UPDATED IN THE END ANCHOR SHEET</t>
  </si>
  <si>
    <t>(8) #10 Screws Thru 2 Long L Anchors, 3" emb. [OA8]</t>
  </si>
  <si>
    <t>(8) #10 Screws Thru 2 Long L Anchors, 1-1/2" emb. [OA8]</t>
  </si>
  <si>
    <t>(6) #10 Screws Thru 2 Short L Anchors, 3" emb. [OA6]</t>
  </si>
  <si>
    <t>(6) #10 Screws Thru 2 Short L Anchors, 1-1/2" emb. [OA6]</t>
  </si>
  <si>
    <t>(5) #10 Screws Thru 6" NSS end connection, 3" emb. [OA5]</t>
  </si>
  <si>
    <t>(4) #10 Screws Thru 1 Long L Anchor, 3" emb. [OA4]</t>
  </si>
  <si>
    <t>(5) #10 Screws Thru 6" NSS end connection, 1-1/2" emb. [OA5]</t>
  </si>
  <si>
    <t>(4) #10 Screws Thru 1 Long L Anchor, 1-1/2" emb. [OA4]</t>
  </si>
  <si>
    <t>(3) #10 Screws Thru 1 Short L Anchor, 3" emb. [OA3]</t>
  </si>
  <si>
    <t>(3) #10 Screws Thru 1 Short L Anchor, 1-1/2" emb. [OA3]</t>
  </si>
  <si>
    <t>(4) #10 Screws Thru 3-5/8" NSS end connection, 3" emb. [OA4]</t>
  </si>
  <si>
    <t>(4) #10 Screws Thru 3-5/8" NSS end connection, 1-1/2" emb. [OA4]</t>
  </si>
  <si>
    <t>(8) 3/16" Masonry Screws Thru 2 Long L Anchors, 1-3/4" emb. [OA8]</t>
  </si>
  <si>
    <t>(8) 3/16" Masonry Screws Thru 2 Long L Anchors, 1-1/4" emb. [OA8]</t>
  </si>
  <si>
    <t>(4) 3/16" Masonry Screws Thru 1 Long L Anchor, 1-3/4" emb. [OA4]</t>
  </si>
  <si>
    <t>(4) 3/16" Masonry Screws Thru 2 Short L Anchors, 1-3/4" emb. [OA4]</t>
  </si>
  <si>
    <t>(4) 3/16" Masonry Screws Thru 1 Long L Anchor, 1-1/4" emb. [OA4]</t>
  </si>
  <si>
    <t>(4) 3/16" Masonry Screws Thru 2 Short L Anchors, 1-1/4" emb. [OA4]</t>
  </si>
  <si>
    <t>(2) 3/16" Masonry Screws Thru 1 Short L Anchor, 1-3/4" emb. [OA2]</t>
  </si>
  <si>
    <t>(2) 3/16" Masonry Screws Thru 1 Short L Anchor, 1-1/4" emb. [OA2]</t>
  </si>
  <si>
    <t>(8) #10-16 Self-Drilling Screws Thru 2 Long L Anchors [OA8]</t>
  </si>
  <si>
    <t>(6) #10-16 Self-Drilling Screws Thru 2 Short L Anchors [OA6]</t>
  </si>
  <si>
    <t>(5) #10-16 Self-Drilling Screws Thru 6" NSS end connection [OA5]</t>
  </si>
  <si>
    <t>(4) #10-16 Self-Drilling Screws Thru 1 Long L Anchor [OA4]</t>
  </si>
  <si>
    <t>(3) #10-16 Self-Drilling Screws Thru 1 Short L Anchor [OA3]</t>
  </si>
  <si>
    <t>(4) #10-16 Self-Drilling Screws Thru 3-5/8" NSS end connection [OA4]</t>
  </si>
  <si>
    <t>(16) #10 Screws Thru 2 JA7 Mitek Anchors, 1-1/2" emb. [OA16]</t>
  </si>
  <si>
    <t>(12) #10 Screws Thru 2 JA5 Mitek Anchors, 1-1/2" emb. [OA12]</t>
  </si>
  <si>
    <t>(8) #10 Screws Thru 2 ML26Z Simpson Ties, 1-1/2" emb. [OA8]</t>
  </si>
  <si>
    <t>(8) #10 Screws Thru 1 JA7 Mitek Anchor, 1-1/2" emb. [OA8]</t>
  </si>
  <si>
    <t>(6) #10 Screws Thru 2 ML24Z Simpson Ties, 1-1/2" emb. [OA6]</t>
  </si>
  <si>
    <t>(4) #10 Screws Thru 1 ML26Z Simpson Tie, 1-1/2" emb. [OA4]</t>
  </si>
  <si>
    <t>(8) #10 Screws Thru 2 A3 Mitek Anchors, 1-1/2" emb. [OA8]</t>
  </si>
  <si>
    <t>(6) #10 Screws Thru 1 JA5 Mitek Anchor, 1-1/2" emb. [OA6]</t>
  </si>
  <si>
    <t>(4) #10 Screws Thru 2 ML23Z Simpson Ties, 1-1/2" emb. [OA4]</t>
  </si>
  <si>
    <t>(4) #10 Screws Thru 1 A3 Mitek Anchor, 1-1/2" emb. [OA4]</t>
  </si>
  <si>
    <t>(3) #10 Screws Thru 1 ML24Z Simpson Tie, 1-1/2" emb. [OA3]</t>
  </si>
  <si>
    <t>(2) #10 Screws Thru 1 ML23Z Simpson Tie, 1-1/2" emb. [OA2]</t>
  </si>
  <si>
    <t>(8) #10 Screws Thru 2 JA3 Mitek Anchors, 1-1/2" emb. [OA8]</t>
  </si>
  <si>
    <t>(4) #10 Screws Thru 1 JA3 Mitek Anchor, 1-1/2" emb. [OA4]</t>
  </si>
  <si>
    <t>(32) #10 Screws Thru 4 JA7 Mitek Anchors, 1-1/2" emb. [OA32]</t>
  </si>
  <si>
    <t>(24) #10 Screws Thru 4 JA5 Mitek Anchors, 1-1/2" emb. [OA24]</t>
  </si>
  <si>
    <t>(16) #10 Screws Thru 4 ML26Z Simpson Ties, 1-1/2" emb. [OA16]</t>
  </si>
  <si>
    <t>(12) #10 Screws Thru 4 ML24Z Simpson Ties, 1-1/2" emb. [OA12]</t>
  </si>
  <si>
    <t>(12) #10 Screws Thru 2 JA5 Mitek Anchor, 1-1/2" emb. [OA12]</t>
  </si>
  <si>
    <t>(8) 3/16" Masonry Screws Thru 2 ML26Z Simpson Ties, 1-3/4" emb. [OA8]</t>
  </si>
  <si>
    <t>(6) 3/16" Masonry Screws Thru 2 ML24Z Simpson Ties, 1-3/4" emb. [OA6]</t>
  </si>
  <si>
    <t>(4) 3/16" Masonry Screws Thru 1 ML26Z Simpson Tie, 1-3/4" emb. [OA4]</t>
  </si>
  <si>
    <t>(4) 3/16" Masonry Screws Thru 2 A3 Mitek Anchors, 1-3/4" emb. [OA4]</t>
  </si>
  <si>
    <t>(4) 3/16" Masonry Screws Thru 2 ML23Z Simpson Ties, 1-3/4" emb. [OA4]</t>
  </si>
  <si>
    <t>(3) 3/16" Masonry Screws Thru 1 ML24Z Simpson Tie, 1-3/4" emb. [OA3]</t>
  </si>
  <si>
    <t>(2) 3/16" Masonry Screws Thru A3 Mitek Anchor, 1-3/4" emb. [OA2]</t>
  </si>
  <si>
    <t>(2) 3/16" Masonry Screws Thru 1 ML23Z Simpson Tie, 1-3/4" emb. [OA2]</t>
  </si>
  <si>
    <t>(2) 3/16" Masonry Screws Thru 1 A3 Mitek Anchor, 1-3/4" emb. [OA2]</t>
  </si>
  <si>
    <t>(6) 3/16" Masonry Screws Thru 2 JA3 Mitek Anchors, 1-3/4" emb. [OA6]</t>
  </si>
  <si>
    <t>(3) 3/16" Masonry Screws Thru 1 JA3 Mitek Anchor, 1-3/4" emb. [OA3]</t>
  </si>
  <si>
    <t>(16) 3/16" Masonry Screws Thru 4 ML26Z Simpson Ties, 1-3/4" emb. [OA16]</t>
  </si>
  <si>
    <t>(12) 3/16" Masonry Screws Thru 4 ML24Z Simpson Ties, 1-3/4" emb. [OA12]</t>
  </si>
  <si>
    <t>(16) #10-16 Self-Drilling Screws Thru 2 JA7 Mitek Anchors [OA16]</t>
  </si>
  <si>
    <t>(12) #10-16 Self-Drilling Screws Thru 2 JA5 Mitek Anchors [OA12]</t>
  </si>
  <si>
    <t>(8) #10-16 Self-Drilling Screws Thru 1 JA7 Mitek Anchor [OA8]</t>
  </si>
  <si>
    <t>(8) #10-16 Self-Drilling Screws Thru 2 ML26Z Simpson Ties [OA8]</t>
  </si>
  <si>
    <t>(6) #10-16 Self-Drilling Screws Thru 2 ML24Z Simpson Ties [OA6]</t>
  </si>
  <si>
    <t>(4) #10-16 Self-Drilling Screws Thru 1 ML26Z Simpson Tie [OA4]</t>
  </si>
  <si>
    <t>(6) #10-16 Self-Drilling Screws Thru 1 JA5 Mitek Anchor [OA6]</t>
  </si>
  <si>
    <t>(4) #10-16 Self-Drilling Screws Thru 2 ML23Z Simpson Ties [OA4]</t>
  </si>
  <si>
    <t>(8) #10-16 Self-Drilling Screws Thru 2 A3 Mitek Anchors [OA8]</t>
  </si>
  <si>
    <t>(3) #10-16 Self-Drilling Screws Thru 1 ML24Z Simpson Tie [OA3]</t>
  </si>
  <si>
    <t>(4) #10-16 Self-Drilling Screws Thru 1 A3 Mitek Anchor [OA4]</t>
  </si>
  <si>
    <t>(2) #10-16 Self-Drilling Screws Thru 1 ML23Z Simpson Tie [OA2]</t>
  </si>
  <si>
    <t>(8) #10-16 Self-Drilling Screws Thru 2 JA3 Mitek Anchors [OA8]</t>
  </si>
  <si>
    <t>(4) #10-16 Self-Drilling Screws Thru 1 JA3 Mitek Anchor [OA4]</t>
  </si>
  <si>
    <t>(32) #10-16 Self-Drilling Screws Thru 4 JA7 Mitek Anchors [OA32]</t>
  </si>
  <si>
    <t>(24) #10-16 Self-Drilling Screws Thru 4 JA5 Mitek Anchors [OA24]</t>
  </si>
  <si>
    <t>(16) #10-16 Self-Drilling Screws Thru 4 ML26Z Simpson Ties [OA16]</t>
  </si>
  <si>
    <t>(12) #10-16 Self-Drilling Screws Thru 4 ML24Z Simpson Ties [OA12]</t>
  </si>
  <si>
    <t>(8) #10-16 Self-Drilling Screws Thru 2 ML26Z Simpson Tie [OA8]</t>
  </si>
  <si>
    <t>(12) #10-16 Self-Drilling Screws Thru 2 JA5 Mitek Anchor [OA12]</t>
  </si>
  <si>
    <t>(8) #10-16 Self-Drilling Screws Thru 2 ML26Z Simpson Tie (8) [OA8]</t>
  </si>
  <si>
    <t>(6) #10-16 Self-Drilling Screws Thru 2 ML24Z Simpson Tie [OA6]</t>
  </si>
  <si>
    <t>Adjusted mullion end anchor names to have number of screws first</t>
  </si>
  <si>
    <t>Removed 1" tube mullions from calculator</t>
  </si>
  <si>
    <t>Fixed LVL and PWS anchor validation</t>
  </si>
  <si>
    <t>Building Height (ft)</t>
  </si>
  <si>
    <t>ASCE 7-22</t>
  </si>
  <si>
    <t>7-22.</t>
  </si>
  <si>
    <t>The ASCE 7-10 LRFD component and cladding pressures listed above have been multiplied by 0.6 (In accordance with, Figure 1609.3.1 Wind Speed Conversion in the International Building Code.) to obtain the un-factored Allowable Stress Design (ASD) pressures.</t>
  </si>
  <si>
    <t>Qz</t>
  </si>
  <si>
    <t>Ke</t>
  </si>
  <si>
    <t>Building Type</t>
  </si>
  <si>
    <t>Degree</t>
  </si>
  <si>
    <t>Reduction</t>
  </si>
  <si>
    <t>Bldg Type</t>
  </si>
  <si>
    <t>Minimum DP</t>
  </si>
  <si>
    <t>Building Area</t>
  </si>
  <si>
    <t>a</t>
  </si>
  <si>
    <t>Tornado speed</t>
  </si>
  <si>
    <t>Vt</t>
  </si>
  <si>
    <t>Ae</t>
  </si>
  <si>
    <t>Tornado VP coef.</t>
  </si>
  <si>
    <t>KzTor</t>
  </si>
  <si>
    <t>Qzt</t>
  </si>
  <si>
    <t>Tornado VP</t>
  </si>
  <si>
    <t>Ground elev.</t>
  </si>
  <si>
    <t>Building Height</t>
  </si>
  <si>
    <t>Building Width</t>
  </si>
  <si>
    <t>Building Length</t>
  </si>
  <si>
    <t>Exposure</t>
  </si>
  <si>
    <t>Wind speed</t>
  </si>
  <si>
    <t>https://asce7hazardtool.online/</t>
  </si>
  <si>
    <t>Bldg A round up</t>
  </si>
  <si>
    <t>Ae(rd)</t>
  </si>
  <si>
    <t>Tornado pressure</t>
  </si>
  <si>
    <t>Pt</t>
  </si>
  <si>
    <t>(Also Qht)</t>
  </si>
  <si>
    <t>Kdt</t>
  </si>
  <si>
    <t>Kvt</t>
  </si>
  <si>
    <t>Tdo Directional</t>
  </si>
  <si>
    <t>Tdo int pres coef</t>
  </si>
  <si>
    <t>Tdo pres Coef adj</t>
  </si>
  <si>
    <t>Gcpit+</t>
  </si>
  <si>
    <t>Gcpit-</t>
  </si>
  <si>
    <t>Gcp-</t>
  </si>
  <si>
    <t>Gcp+</t>
  </si>
  <si>
    <t>Qz formula</t>
  </si>
  <si>
    <t>GCpiT coefficient</t>
  </si>
  <si>
    <t>KzTor coefficient</t>
  </si>
  <si>
    <t>Kdt coefficient</t>
  </si>
  <si>
    <t>Kvt coefficient</t>
  </si>
  <si>
    <t>7-22 Kz</t>
  </si>
  <si>
    <t>Opening area?</t>
  </si>
  <si>
    <t>Pt low rise</t>
  </si>
  <si>
    <t>Pt high rise</t>
  </si>
  <si>
    <t>Pt low rise formula</t>
  </si>
  <si>
    <t>Qi</t>
  </si>
  <si>
    <t>Main Sheet Data</t>
  </si>
  <si>
    <t>???</t>
  </si>
  <si>
    <t>Qi height?</t>
  </si>
  <si>
    <t>Pt high rise formula</t>
  </si>
  <si>
    <t>Tornado Design Load</t>
  </si>
  <si>
    <t>C&amp;C Requirements</t>
  </si>
  <si>
    <t>Ext pres coef</t>
  </si>
  <si>
    <t>Reduction factor</t>
  </si>
  <si>
    <t>Tornado Factor</t>
  </si>
  <si>
    <t>Reference Data</t>
  </si>
  <si>
    <t>Standard DP</t>
  </si>
  <si>
    <t>Added Tornado risk for 7-22</t>
  </si>
  <si>
    <t>Added ASCE 7-22 calculations</t>
  </si>
  <si>
    <t>Added and removed mullion options in generic mull page</t>
  </si>
  <si>
    <t>(3) #10 Screws Thru PWS Nail Fin Anchor, 3" emb. [PA3]</t>
  </si>
  <si>
    <t>(3) #10 Screws Thru PWS Nail Fin Anchor, 1-1/2" emb. [PA3]</t>
  </si>
  <si>
    <t>(4) #10-16 Self-Drilling Screws Thru PWS Nail Fin Anchor [PA4]</t>
  </si>
  <si>
    <t>Updated NSS and others end anchor sheet (values)</t>
  </si>
  <si>
    <t>https://up.codes/codes/missouri</t>
  </si>
  <si>
    <t>International Codes-Adoption by State</t>
  </si>
  <si>
    <t>Updated wind codes per state</t>
  </si>
  <si>
    <t>Ultimate Pt</t>
  </si>
  <si>
    <t>Reduced Pt</t>
  </si>
  <si>
    <t>***Qi and Qzt are assumed to be the same for high rise building formula</t>
  </si>
  <si>
    <t>Kztor</t>
  </si>
  <si>
    <t>Tornado Variables</t>
  </si>
  <si>
    <t>Risk Validation</t>
  </si>
  <si>
    <t>Tornado Loading Design Pressures</t>
  </si>
  <si>
    <t>Kdt/Kvt/Reduct.</t>
  </si>
  <si>
    <t>Top of Football</t>
  </si>
  <si>
    <t>ID String</t>
  </si>
  <si>
    <t>Pulled Data</t>
  </si>
  <si>
    <t>Cell Address</t>
  </si>
  <si>
    <t>Address with no $</t>
  </si>
  <si>
    <t>Reference Cell 1</t>
  </si>
  <si>
    <t>Reference Cell 2</t>
  </si>
  <si>
    <t>ID Cell</t>
  </si>
  <si>
    <t>'Project Mull Review'!</t>
  </si>
  <si>
    <t>Sheet ID</t>
  </si>
  <si>
    <t>Cell ID</t>
  </si>
  <si>
    <t>P10</t>
  </si>
  <si>
    <t>Revised Tornado Risk pages</t>
  </si>
  <si>
    <t>Revised RMEAT table</t>
  </si>
  <si>
    <t>Combined Names</t>
  </si>
  <si>
    <t>Matched Values 1</t>
  </si>
  <si>
    <t>Matched Values 2</t>
  </si>
  <si>
    <t>Matched Values 3</t>
  </si>
  <si>
    <t>Matched Values 4</t>
  </si>
  <si>
    <t>Matched Values 5</t>
  </si>
  <si>
    <t>Matched Values 6</t>
  </si>
  <si>
    <t>Empty Combo</t>
  </si>
  <si>
    <t>Matched Values 7</t>
  </si>
  <si>
    <t>Matched Values 8</t>
  </si>
  <si>
    <t>Matched Values 9</t>
  </si>
  <si>
    <t>Matched Values 10</t>
  </si>
  <si>
    <t>Do we need to find zone 4/5? I don't think we do, should be applicable for all cases
Names:  we don' t have the numbers for lots of mullions, do we need to have new names?
For M values, we might need to do the M1.01 instead of M1.1 to match in Excel</t>
  </si>
  <si>
    <t>Mullion/Anchor Locations in "Project Mull Review"</t>
  </si>
  <si>
    <t>Proper Address</t>
  </si>
  <si>
    <t>G1</t>
  </si>
  <si>
    <t>G2</t>
  </si>
  <si>
    <t>G3</t>
  </si>
  <si>
    <t>G4</t>
  </si>
  <si>
    <t>G5</t>
  </si>
  <si>
    <t>G6</t>
  </si>
  <si>
    <t>G7</t>
  </si>
  <si>
    <t>G8</t>
  </si>
  <si>
    <t>G9</t>
  </si>
  <si>
    <t>Matching Sorter</t>
  </si>
  <si>
    <t xml:space="preserve">G1 - sorts the main sheet to find mullion reinforcement options and pulls the cell address of mullion reinforcements chosen. 
G2/G3 - sorts out the specific address string and removes dollar signs "$"
G4 - converts mullion reinforcement to the address of the Unit ID cell connected to that mullion reinforcement. See "MainCell" table below left. 
G5 - organizes the proper addresses to a list, where the Unit ID values are put in a numerical order per the main sheet organization
G6/G7 - create a search function to pull the ID strings from the Unit ID and Mullion ID cells from the main sheet
G8 - is the complete ID string from the mullion reinforcement origin, concatenated together, where Unit ID is first and Mullion ID follows
G9 - recombines the final list so it can be sorted. This is done to align with the final outputs and also ensure we find all the matched values per mullion reinforcement/end anchor combination. </t>
  </si>
  <si>
    <r>
      <t xml:space="preserve">G1:  
</t>
    </r>
    <r>
      <rPr>
        <b/>
        <sz val="12"/>
        <color theme="1"/>
        <rFont val="Calibri"/>
        <family val="2"/>
        <scheme val="minor"/>
      </rPr>
      <t>"If/Row"</t>
    </r>
    <r>
      <rPr>
        <sz val="12"/>
        <color theme="1"/>
        <rFont val="Calibri"/>
        <family val="2"/>
        <scheme val="minor"/>
      </rPr>
      <t xml:space="preserve"> numbers the mull reinforcement column, where each non-blank cell is assigned a number equal to its row. Blank cells show no number
</t>
    </r>
    <r>
      <rPr>
        <b/>
        <sz val="12"/>
        <color theme="1"/>
        <rFont val="Calibri"/>
        <family val="2"/>
        <scheme val="minor"/>
      </rPr>
      <t>"Rows"</t>
    </r>
    <r>
      <rPr>
        <sz val="12"/>
        <color theme="1"/>
        <rFont val="Calibri"/>
        <family val="2"/>
        <scheme val="minor"/>
      </rPr>
      <t xml:space="preserve"> gives an output that allows the Small function to progressively search from the 1st smallest to 2nd smallest, and down the line
</t>
    </r>
    <r>
      <rPr>
        <b/>
        <sz val="12"/>
        <color theme="1"/>
        <rFont val="Calibri"/>
        <family val="2"/>
        <scheme val="minor"/>
      </rPr>
      <t>"Small"</t>
    </r>
    <r>
      <rPr>
        <sz val="12"/>
        <color theme="1"/>
        <rFont val="Calibri"/>
        <family val="2"/>
        <scheme val="minor"/>
      </rPr>
      <t xml:space="preserve"> sorts the defined Row outputs and finds the smallest number in reference to the Rows output, which aligns to find the first and/or next mull reinforcement on the sheet. It outputs a numerical value that is the mull reinforcement row ID
</t>
    </r>
    <r>
      <rPr>
        <b/>
        <sz val="12"/>
        <color theme="1"/>
        <rFont val="Calibri"/>
        <family val="2"/>
        <scheme val="minor"/>
      </rPr>
      <t>"Index"</t>
    </r>
    <r>
      <rPr>
        <sz val="12"/>
        <color theme="1"/>
        <rFont val="Calibri"/>
        <family val="2"/>
        <scheme val="minor"/>
      </rPr>
      <t xml:space="preserve"> takes the Small output (row number) and finds the contents of the cell in the row of the specified column (in formula). There are no copies due to the Small function sorting out all potential matches and giving independent row numbers
</t>
    </r>
    <r>
      <rPr>
        <b/>
        <sz val="12"/>
        <color theme="1"/>
        <rFont val="Calibri"/>
        <family val="2"/>
        <scheme val="minor"/>
      </rPr>
      <t>"Cell"</t>
    </r>
    <r>
      <rPr>
        <sz val="12"/>
        <color theme="1"/>
        <rFont val="Calibri"/>
        <family val="2"/>
        <scheme val="minor"/>
      </rPr>
      <t xml:space="preserve"> is used to return a full reference to the occupied cell (mostly to get numerical address). Index value is exact to the address, as it comes from a previously specified cell</t>
    </r>
  </si>
  <si>
    <t>Building risk category III or IV?</t>
  </si>
  <si>
    <t>Building in Tornado-prone region per Figure 32.2-1?</t>
  </si>
  <si>
    <r>
      <t>Wind speed V</t>
    </r>
    <r>
      <rPr>
        <sz val="14"/>
        <color theme="1"/>
        <rFont val="Calibri"/>
        <family val="2"/>
      </rPr>
      <t>τ</t>
    </r>
    <r>
      <rPr>
        <sz val="14"/>
        <color theme="1"/>
        <rFont val="Calibri"/>
        <family val="2"/>
        <scheme val="minor"/>
      </rPr>
      <t xml:space="preserve"> </t>
    </r>
    <r>
      <rPr>
        <sz val="14"/>
        <color theme="1"/>
        <rFont val="Calibri"/>
        <family val="2"/>
      </rPr>
      <t>≥</t>
    </r>
    <r>
      <rPr>
        <sz val="14"/>
        <color theme="1"/>
        <rFont val="Calibri"/>
        <family val="2"/>
        <scheme val="minor"/>
      </rPr>
      <t xml:space="preserve"> 60 mph per section 32.5.2?</t>
    </r>
  </si>
  <si>
    <t>Tornado Factor Requirement</t>
  </si>
  <si>
    <t>Figure 32.2-1:  Tornado Prone Regions</t>
  </si>
  <si>
    <t>Section 32.5.2:  Vt exposure formula</t>
  </si>
  <si>
    <t>Tornado Wind Speed (Vt)</t>
  </si>
  <si>
    <t>Tornado Wind Speed Lookup Tool</t>
  </si>
  <si>
    <t>Tornado Design Pressures (PSF)</t>
  </si>
  <si>
    <t>Tornado Wind Speeds (mph)</t>
  </si>
  <si>
    <t>Revised ASCE 7-05 calculations on main page</t>
  </si>
  <si>
    <r>
      <t xml:space="preserve">MAX LOAD
</t>
    </r>
    <r>
      <rPr>
        <b/>
        <sz val="12"/>
        <color theme="1"/>
        <rFont val="Calibri"/>
        <family val="2"/>
        <scheme val="minor"/>
      </rPr>
      <t>(LBS)</t>
    </r>
  </si>
  <si>
    <t>Bottom of Football</t>
  </si>
  <si>
    <t>Football Input</t>
  </si>
  <si>
    <t>1 - 2x4 wood stud [OM2.]</t>
  </si>
  <si>
    <t>2 - 2x4 wood studs [OM2.]</t>
  </si>
  <si>
    <t>3 - 2x12 Wood Studs [OM2.]</t>
  </si>
  <si>
    <t>2 - 2x12 Wood Studs [OM2.]</t>
  </si>
  <si>
    <t>3 - 2x10 Wood Studs [OM2.]</t>
  </si>
  <si>
    <t>2 - 2x10 Wood Studs [OM2.]</t>
  </si>
  <si>
    <t>1 - 2x12 Wood Stud [OM2.]</t>
  </si>
  <si>
    <t>3 - 2x8 Wood Studs [OM2.]</t>
  </si>
  <si>
    <t>6 - 2x6 Wood Studs [OM2.]</t>
  </si>
  <si>
    <t>5 - 2x6 Wood Studs [OM2.]</t>
  </si>
  <si>
    <t>1 - 2x10 Wood Stud [OM2.]</t>
  </si>
  <si>
    <t>2 - 2x8 Wood Studs [OM2.]</t>
  </si>
  <si>
    <t>4 - 2x6 Wood Studs [OM2.]</t>
  </si>
  <si>
    <t>3 - 2x6 Wood Studs [OM2.]</t>
  </si>
  <si>
    <t>1 - 2x8 Wood Stud [OM2.]</t>
  </si>
  <si>
    <t>2 - 2x6 Wood Studs [OM2.]</t>
  </si>
  <si>
    <t>6 - 2x4 Wood Studs [OM2.]</t>
  </si>
  <si>
    <t>2 - 1-1/2x4-7/8 wood studs [OM2.]</t>
  </si>
  <si>
    <t>5 - 2x4 Wood Studs [OM2.]</t>
  </si>
  <si>
    <t>4 - 2x4 Wood Studs [OM2.]</t>
  </si>
  <si>
    <t>1 - 2x6 wood stud [OM2.]</t>
  </si>
  <si>
    <t>3 - 2x4 Wood Studs [OM2.]</t>
  </si>
  <si>
    <t>1 - 1-1/2x4-7/8 wood stud [OM2.]</t>
  </si>
  <si>
    <t>14 Ga 1-5/8x6 NSS [OM3.]</t>
  </si>
  <si>
    <t>10 Ga 1-5/8x6 NSS [OM3.]</t>
  </si>
  <si>
    <t>12 Ga 1-5/8x6 NSS [OM3.]</t>
  </si>
  <si>
    <t>14 Ga 1-3/8x6 NSS [OM3.]</t>
  </si>
  <si>
    <t>16 Ga 1-5/8x6 NSS [OM3.]</t>
  </si>
  <si>
    <t>16 Ga 1-3/8x6 NSS [OM3.]</t>
  </si>
  <si>
    <t>18 Ga 1-5/8x6 NSS [OM3.]</t>
  </si>
  <si>
    <t>18 Ga 1-3/8x6 NSS [OM3.]</t>
  </si>
  <si>
    <t>20 Ga 1-5/8x6 NSS [OM3.]</t>
  </si>
  <si>
    <t>20 Ga 1-3/8x6 NSS [OM3.]</t>
  </si>
  <si>
    <t>12 Ga 1-5/8x3-5/8 NSS [OM3.]</t>
  </si>
  <si>
    <t>14 Ga 1-5/8x3-5/8 NSS [OM3.]</t>
  </si>
  <si>
    <t>14 Ga 1-3/8x3-5/8 NSS [OM3.]</t>
  </si>
  <si>
    <t>16 Ga 1-5/8x3-5/8 NSS [OM3.]</t>
  </si>
  <si>
    <t>16 Ga 1-3/8x3-5/8 NSS [OM3.]</t>
  </si>
  <si>
    <t>18 Ga 1-5/8x3-5/8 NSS [OM3.]</t>
  </si>
  <si>
    <t>18 Ga 1-3/8x3-5/8 NSS [OM3.]</t>
  </si>
  <si>
    <t>20 Ga 1-5/8x3-5/8 NSS [OM3.]</t>
  </si>
  <si>
    <t>20 Ga 1-3/8x3-5/8 NSS [OM3.]</t>
  </si>
  <si>
    <t>HSS 2x12x1/4 (steel tube) [OM4.]</t>
  </si>
  <si>
    <t>HSS 2x12x3/16 (steel tube) [OM4.]</t>
  </si>
  <si>
    <t>HSS 2x10x1/4  (steel tube) [OM4.]</t>
  </si>
  <si>
    <t>HSS 2x10x3/16 (steel tube) [OM4.]</t>
  </si>
  <si>
    <t>HSS 4x6x1/2 (steel tube) [OM4.]</t>
  </si>
  <si>
    <t>HSS 2x8x1/4 (steel tube) [OM4.]</t>
  </si>
  <si>
    <t>HSS 4x6x3/8 (steel tube) [OM4.]</t>
  </si>
  <si>
    <t>HSS 3x6x1/2 (steel tube) [OM4.]</t>
  </si>
  <si>
    <t>HSS 4x6x5/16 (steel tube) [OM4.]</t>
  </si>
  <si>
    <t>HSS 3x6x3/8  (steel tube) [OM4.]</t>
  </si>
  <si>
    <t>HSS 2x8x3/16 (steel tube) [OM4.]</t>
  </si>
  <si>
    <t>HSS 4x5x1/2 (steel tube) [OM4.]</t>
  </si>
  <si>
    <t>HSS 4x6x1/4 (steel tube) [OM4.]</t>
  </si>
  <si>
    <t>HSS 3x6x5/16  (steel tube) [OM4.]</t>
  </si>
  <si>
    <t>HSS 4x5x3/8 (steel tube) [OM4.]</t>
  </si>
  <si>
    <t>HSS 2x6x3/8 (steel tube) [OM4.]</t>
  </si>
  <si>
    <t>HSS 3x6x1/4 (steel tube) [OM4.]</t>
  </si>
  <si>
    <t>HSS 3x5x1/2 (steel tube) [OM4.]</t>
  </si>
  <si>
    <t>HSS 4x6x3/16 (steel tube) [OM4.]</t>
  </si>
  <si>
    <t>HSS 4x5x5/16 (steel tube) [OM4.]</t>
  </si>
  <si>
    <t>HSS 2x8x1/8 (steel tube) [OM4.]</t>
  </si>
  <si>
    <t>HSS 2x6x5/16 (steel tube) [OM4.]</t>
  </si>
  <si>
    <t>HSS 3x5x3/8 (steel tube) [OM4.]</t>
  </si>
  <si>
    <t>HSS 3x6x3/16 (steel tube) [OM4.]</t>
  </si>
  <si>
    <t>HSS 4x5x1/4 (steel tube) [OM4.]</t>
  </si>
  <si>
    <t>HSS 2x6x1/4 (steel tube) [OM4.]</t>
  </si>
  <si>
    <t>HSS 3x5x5/16 (steel tube) [OM4.]</t>
  </si>
  <si>
    <t>HSS 4x6x1/8 (steel tube) [OM4.]</t>
  </si>
  <si>
    <t>HSS 3x5x1/4 (steel tube) [OM4.]</t>
  </si>
  <si>
    <t>HSS 4x5x3/16 (steel tube) [OM4.]</t>
  </si>
  <si>
    <t>HSS 2x6x3/16 (steel tube) [OM4.]</t>
  </si>
  <si>
    <t>HSS 3x6x1/8 (steel tube) [OM4.]</t>
  </si>
  <si>
    <t>HSS 2-1/2x5x1/4 (steel tube) [OM4.]</t>
  </si>
  <si>
    <t>HSS 2x5x5/16 (steel tube) [OM4.]</t>
  </si>
  <si>
    <t>HSS 3x5x3/16 (steel tube) [OM4.]</t>
  </si>
  <si>
    <t>HSS 2x5x1/4 (steel tube) [OM4.]</t>
  </si>
  <si>
    <t>HSS 2-1/2x5x3/16 (steel tube) [OM4.]</t>
  </si>
  <si>
    <t>HSS 2x5x3/16 (steel tube) [OM4.]</t>
  </si>
  <si>
    <t>HSS 2-1/2x4x5/16 (steel tube) [OM4.]</t>
  </si>
  <si>
    <t>HSS 3x5x1/8 (steel tube) [OM4.]</t>
  </si>
  <si>
    <t>HSS 2x4x3/8 (steel tube) [OM4.]</t>
  </si>
  <si>
    <t>HSS 2-1/2x5x1/8  (steel tube) [OM4.]</t>
  </si>
  <si>
    <t>HSS 2-1/2x4x1/4 (steel tube) [OM4.]</t>
  </si>
  <si>
    <t>HSS 2x4x5/16 (steel tube) [OM4.]</t>
  </si>
  <si>
    <t>HSS 2x5x1/8 (steel tube) [OM4.]</t>
  </si>
  <si>
    <t>HSS 2x4x1/4 (steel tube) [OM4.]</t>
  </si>
  <si>
    <t>HSS 2-1/2x4x3/16 (steel tube) [OM4.]</t>
  </si>
  <si>
    <t>HSS 3 x 3 x 3/8 (Steel tube) [OM4.]</t>
  </si>
  <si>
    <t>HSS 2x4x3/16 (steel tube) [OM4.]</t>
  </si>
  <si>
    <t>HSS 3 x 3x 5/16 (Steel tube) [OM4.]</t>
  </si>
  <si>
    <t>HSS 3 x 3 x 1/4 (Steel tube) [OM4.]</t>
  </si>
  <si>
    <t>HSS 2x4x1/8 (steel tube) [OM4.]</t>
  </si>
  <si>
    <t>HSS 3 x 3 x 3/16 (Steel tube) [OM4.]</t>
  </si>
  <si>
    <t>HSS 2x3x5/16 steel tube [OM4.]</t>
  </si>
  <si>
    <t>HSS 2x3x1/4  (steel tube) [OM4.]</t>
  </si>
  <si>
    <t>HSS 1-1/2x4x.120 (11 Ga. steel tube) [OM4.]</t>
  </si>
  <si>
    <t>HSS 3 x 3 x 1/8  (Steel tube) [OM4.]</t>
  </si>
  <si>
    <t>HSS 2x3x3/16  (steel tube) [OM4.]</t>
  </si>
  <si>
    <t>HSS 1-1/2x3x1/4 (steel tube) [OM4.]</t>
  </si>
  <si>
    <t>HSS 1-1/2x3x3/16  (steel tube) [OM4.]</t>
  </si>
  <si>
    <t>HSS 2x3x1/8  (steel tube) [OM4.]</t>
  </si>
  <si>
    <t>HSS 1-1/2x3x1/8 (steel tube) [OM4.]</t>
  </si>
  <si>
    <t>HSS 1x3x1/8 (steel tube) [OM4.]</t>
  </si>
  <si>
    <t>HSS 2x6x1/8 (steel tube) [OM4.]</t>
  </si>
  <si>
    <t>3/16x5 Steel Plate [OM5.]</t>
  </si>
  <si>
    <t>3/4x5.5 Steel Plate [OM5.]</t>
  </si>
  <si>
    <t>5/8x5.5 Steel Plate [OM5.]</t>
  </si>
  <si>
    <t>3/4x5 Steel Plate [OM5.]</t>
  </si>
  <si>
    <t>1/2x5.5 Steel Plate [OM5.]</t>
  </si>
  <si>
    <t>5/8x5 Steel Plate [OM5.]</t>
  </si>
  <si>
    <t>7/16x5.5 Steel Plate [OM5.]</t>
  </si>
  <si>
    <t>3/4x4.5 Steel Plate [OM5.]</t>
  </si>
  <si>
    <t>1/2x5 Steel Plate [OM5.]</t>
  </si>
  <si>
    <t>3/8x5.5 Steel Plate [OM5.]</t>
  </si>
  <si>
    <t>5/8x4.5 Steel Plate [OM5.]</t>
  </si>
  <si>
    <t>7/16x5 Steel Plate [OM5.]</t>
  </si>
  <si>
    <t>5/16x5.5 Steel Plate [OM5.]</t>
  </si>
  <si>
    <t>3/4x4 Steel Plate [OM5.]</t>
  </si>
  <si>
    <t>3/8x5 Steel Plate [OM5.]</t>
  </si>
  <si>
    <t>1/2x4.5 Steel Plate [OM5.]</t>
  </si>
  <si>
    <t>1/4x5.5 Steel Plate [OM5.]</t>
  </si>
  <si>
    <t>5/8x4 Steel Plate [OM5.]</t>
  </si>
  <si>
    <t>7/16x4.5 Steel Plate [OM5.]</t>
  </si>
  <si>
    <t>5/16x5 Steel Plate [OM5.]</t>
  </si>
  <si>
    <t>3/8x4.5 Steel Plate [OM5.]</t>
  </si>
  <si>
    <t>1/2x4 Steel Plate [OM5.]</t>
  </si>
  <si>
    <t>1/4x5 Steel Plate [OM5.]</t>
  </si>
  <si>
    <t>3/16x5.5 Steel Plate [OM5.]</t>
  </si>
  <si>
    <t>5/16x4.5 Steel Plate [OM5.]</t>
  </si>
  <si>
    <t>7/16x4 Steel Plate [OM5.]</t>
  </si>
  <si>
    <t>3/8x4 Steel Plate [OM5.]</t>
  </si>
  <si>
    <t>1/4x4.5 Steel Plate [OM5.]</t>
  </si>
  <si>
    <t>5/16x4 Steel Plate [OM5.]</t>
  </si>
  <si>
    <t>3/16x4.5 Steel Plate [OM5.]</t>
  </si>
  <si>
    <t>1/4x4 Steel Plate [OM5.]</t>
  </si>
  <si>
    <t>3/16x4 Steel Plate [OM5.]</t>
  </si>
  <si>
    <t>Steel Plate / PWS</t>
  </si>
  <si>
    <t>SPPWS</t>
  </si>
  <si>
    <t>SPEIW</t>
  </si>
  <si>
    <t>Pella Spread</t>
  </si>
  <si>
    <t>3 - 1-3/4x20 1.9E LVL [OM7.]</t>
  </si>
  <si>
    <t>3 - 1-3/4x18 1.9E LVL [OM7.]</t>
  </si>
  <si>
    <t>2 - 1-3/4x20 1.9E LVL [OM7.]</t>
  </si>
  <si>
    <t>3 - 1-3/4x16 1.9E LVL [OM7.]</t>
  </si>
  <si>
    <t>2 - 1-3/4x18 1.9E LVL [OM7.]</t>
  </si>
  <si>
    <t>3 - 1-3/4x14 1.9E LVL [OM7.]</t>
  </si>
  <si>
    <t>2 - 1-3/4x16 1.9E LVL [OM7.]</t>
  </si>
  <si>
    <t>1-3/4x20 1.9E LVL [OM7.]</t>
  </si>
  <si>
    <t>1-3/4x18 1.9E LVL [OM7.]</t>
  </si>
  <si>
    <t>2 - 1-3/4x14 1.9E LVL [OM7.]</t>
  </si>
  <si>
    <t>3 - 1-3/4x11-1/4 1.9E LVL [OM7.]</t>
  </si>
  <si>
    <t>1-3/4x16 1.9E LVL [OM7.]</t>
  </si>
  <si>
    <t>2 - 1-3/4x11-1/4 1.9E LVL [OM7.]</t>
  </si>
  <si>
    <t>1-3/4x14 1.9E LVL [OM7.]</t>
  </si>
  <si>
    <t>3 - 1-3/4x9-1/4 1.9E LVL [OM7.]</t>
  </si>
  <si>
    <t>2 - 1-3/4x9-1/4 1.9E LVL [OM7.]</t>
  </si>
  <si>
    <t>1-3/4x11-1/4 1.9E LVL [OM7.]</t>
  </si>
  <si>
    <t>2 - 1-3/4"x7-1/4" Microllam LVL [OM7.]</t>
  </si>
  <si>
    <t>1-3/4x9-1/4 1.9E LVL [OM7.]</t>
  </si>
  <si>
    <t>3 - 1-3/4"x5-1/2" Microllam LVL [OM7.]</t>
  </si>
  <si>
    <t>1-3/4"x7-1/4" Microllam LVL [OM7.]</t>
  </si>
  <si>
    <t>2 - 1-3/4"x5-1/2" Microllam LVL [OM7.]</t>
  </si>
  <si>
    <t>1-3/4"x5-1/2" Microllam LVL [OM7.]</t>
  </si>
  <si>
    <t>3-1/2"x4-3/8" Timberstrand LSL [OM7.]</t>
  </si>
  <si>
    <t>FIELD 1/2" Mullion for 4-9/16" with steel reinforcement [OM1.]</t>
  </si>
  <si>
    <t>FIELD 2" Structural Receptor Mullion w/ Steel [OM1.]</t>
  </si>
  <si>
    <t>1/2" Mullion for 4-9/16" [PM1.]</t>
  </si>
  <si>
    <t>FIELD 1/2" Mullion for 4-9/16" [OM1.]</t>
  </si>
  <si>
    <t>FIELD 2" Structural Receptor Mullion [OM1.]</t>
  </si>
  <si>
    <t>1/2" Mullion for 3-9/16" [PM1.]</t>
  </si>
  <si>
    <t>FIELD 1/2" Mullion for 3-9/16" [OM1.]</t>
  </si>
  <si>
    <t>(2) Reinforcing Plates (ONLY Factory 4 Way Joints) [PM1.]</t>
  </si>
  <si>
    <t>(1) Reinforcing Plate (ONLY Factory 3 Way Joints) [PM1.]</t>
  </si>
  <si>
    <t>Standard Joining Mullion [PM1.]</t>
  </si>
  <si>
    <t>FIELD 1" Structural Mullion w/ 2 Reinforcements (Steel) [OM1.]</t>
  </si>
  <si>
    <t>1" Structural mullion w/ 2 Reinforcements* [PM1.]</t>
  </si>
  <si>
    <t>FIELD 1" Structural mullion w/ 2 Reinforcements* [OM1.]</t>
  </si>
  <si>
    <t>1" Structural mullion w/ 1 Reinforcements* [PM1.]</t>
  </si>
  <si>
    <t>FIELD 1" Structural mullion w/ 1 Reinforcements* [OM1.]</t>
  </si>
  <si>
    <t>1'' Structural mullion* [PM1.]</t>
  </si>
  <si>
    <t>FIELD 1'' Structural mullion* [OM1.]</t>
  </si>
  <si>
    <t>1/2" Structural Mullion* [PM1.]</t>
  </si>
  <si>
    <t>FIELD 1/2" Structural Mullion* [OM1.]</t>
  </si>
  <si>
    <t>1/2" Joining Mullion (53.5", DP20 Max) [PM1.]</t>
  </si>
  <si>
    <t>1" Structural Mullion w/ 2 Reinforcements [PM1.]</t>
  </si>
  <si>
    <t>FIELD 1" Structural Mullion w/ 2 Reinforcements [OM1.]</t>
  </si>
  <si>
    <t>FIELD 2" Receptor Custom Mullion w/ 1 Steel [OM1.]</t>
  </si>
  <si>
    <t>1" Structural Mullion w/ 1 Reinforcement [PM1.]</t>
  </si>
  <si>
    <t>FIELD 1" Structural Mullion w/ 1 Reinforcement [OM1.]</t>
  </si>
  <si>
    <t>FIELD 2" Receptor Custom Mullion w/ 1 Aluminum [OM1.]</t>
  </si>
  <si>
    <t>FIELD 2" Receptor Custom Mullion [OM1.]</t>
  </si>
  <si>
    <t>1/2" Structural Mullion w/ 1 Reinforcement [PM1.]</t>
  </si>
  <si>
    <t>FIELD 1/2" Structural Mullion w/ 1 Reinforcement [OM1.]</t>
  </si>
  <si>
    <t>1" Structural Mullion [PM1.]</t>
  </si>
  <si>
    <t>FIELD 1" Structural Mullion [OM1.]</t>
  </si>
  <si>
    <t>1/2" Structural Mullion [PM1.]</t>
  </si>
  <si>
    <t>FIELD 1/2" Structural Mullion [OM1.]</t>
  </si>
  <si>
    <t>1" Structural Door Mullion w/ 2 Reinforcements [PM1.]</t>
  </si>
  <si>
    <t>FIELD 1" Structural Door Mullion w/ 2 Reinforcements [OM1.]</t>
  </si>
  <si>
    <t>1" Structural Door Mullion w/ 1 Reinforcement [PM1.]</t>
  </si>
  <si>
    <t>FIELD 1" Structural Door Mullion w/ 1 Reinforcement [OM1.]</t>
  </si>
  <si>
    <t>FIELD 1" Structural Door Mullion [OM1.]</t>
  </si>
  <si>
    <t>1" Structural Door Mullion [PM1.]</t>
  </si>
  <si>
    <t>FIELD 1/2" Structural Door Mullion w/ 1 Reinforcement [OM1.]</t>
  </si>
  <si>
    <t>1/2" Structural Door Mullion w/ 1 Reinforcement [PM1.]</t>
  </si>
  <si>
    <t>FIELD 1/2" Structural Door Mullion [OM1.]</t>
  </si>
  <si>
    <t>1/2" Structural Door Mullion [PM1.]</t>
  </si>
  <si>
    <t>Sort for PM/OM issue</t>
  </si>
  <si>
    <t>Sort 1</t>
  </si>
  <si>
    <t>Tag</t>
  </si>
  <si>
    <t>Control+Copy+Paste; pasting values and not formulas in cell</t>
  </si>
  <si>
    <t>Mullion name reduced</t>
  </si>
  <si>
    <t>Piece</t>
  </si>
  <si>
    <t>(3) #8 Screw Nail Fin Cluster [AS3]</t>
  </si>
  <si>
    <t>(3) #10-16 Self-Drilling Screws as Nail Fin Cluster [AS3]</t>
  </si>
  <si>
    <t>Issue:  the names in G9 are different than the ones that match up, due to the PM1.1 eg. Mullion tag</t>
  </si>
  <si>
    <t>Combo 10.43</t>
  </si>
  <si>
    <t>Fixed RMEAT to have [PM/OM] tags retro number</t>
  </si>
  <si>
    <t>Fixed RMEAT to allow for sorting along with tags</t>
  </si>
  <si>
    <t>IBC 2021</t>
  </si>
  <si>
    <t>IBC 2012</t>
  </si>
  <si>
    <t>IBC 2018</t>
  </si>
  <si>
    <t>IBC 2015</t>
  </si>
  <si>
    <t>IBC 2009</t>
  </si>
  <si>
    <t>IBC 2003</t>
  </si>
  <si>
    <t>IBC 2006</t>
  </si>
  <si>
    <t>Updates to State code IBC, ASCE 7-05 error, ATC link, end anchor listing, mullion listing, Tornado tab</t>
  </si>
  <si>
    <t>Qz Total</t>
  </si>
  <si>
    <t>(4) #12-24 Self-Tapping Screws Thru Welded Plate Anchor [OA4]</t>
  </si>
  <si>
    <t>(8) #12-24 Self-Tapping Screws Thru Welded Plate Anchor [OA8]</t>
  </si>
  <si>
    <t>#12-24 Self-Tapping Screws</t>
  </si>
  <si>
    <t>Adjusted calculations to use 1/2 area (tributary area) for combinations</t>
  </si>
  <si>
    <t>Added calculation levels for product only</t>
  </si>
  <si>
    <t>Mullion Reinforcement choices are static. New dimensions or product/joint types can change the type of mullions available. 
Verify that all chosen options are valid.</t>
  </si>
  <si>
    <t>Risk Category/Importance Factor</t>
  </si>
  <si>
    <t>Single Unit Design Pressures</t>
  </si>
  <si>
    <t>Zone 4 Max Pressure (psf)</t>
  </si>
  <si>
    <t>Zone 5 Max Pressure (psf)</t>
  </si>
  <si>
    <t>Unit Length (in)</t>
  </si>
  <si>
    <t>Unit Width (in)</t>
  </si>
  <si>
    <t>Unit Area (sqft)</t>
  </si>
  <si>
    <t>Updated State Building Codes</t>
  </si>
  <si>
    <t>IBC 2015 for state owned facilities</t>
  </si>
  <si>
    <r>
      <t xml:space="preserve">END ANCHOR TYPE
</t>
    </r>
    <r>
      <rPr>
        <b/>
        <sz val="10"/>
        <color theme="1"/>
        <rFont val="Calibri"/>
        <family val="2"/>
        <scheme val="minor"/>
      </rPr>
      <t>"PA":  Mull End anchor supplied by Pella, anchored to wall B.O.
"AS":  Additional screws or clips supplied and installed B.O.
"OA":  End anchor supplied and installed B.O.</t>
    </r>
  </si>
  <si>
    <t>"Sort for PM/OM issue" moves OM/PM tag in front to sort as that way to align the OM4, 7, etc.
"Sort 1" finds the number after the period to assign to specific mullion structure
"Piece" and "Tag" find the proper full tag for mullion structure</t>
  </si>
  <si>
    <t>Lots of small changes</t>
  </si>
  <si>
    <t>Added NSS with wood infill option</t>
  </si>
  <si>
    <t>Updated RMEAT OM2.1-2-3 options</t>
  </si>
  <si>
    <t>steel stud with wood infill</t>
  </si>
  <si>
    <t>10 Ga 1-5/8x6 NSS with wood infill [OM3.]</t>
  </si>
  <si>
    <t>12 Ga 1-5/8x6 NSS with wood infill [OM3.]</t>
  </si>
  <si>
    <t>14 Ga 1-5/8x6 NSS with wood infill [OM3.]</t>
  </si>
  <si>
    <t>16 Ga 1-5/8x6 NSS with wood infill [OM3.]</t>
  </si>
  <si>
    <t>18 Ga 1-5/8x6 NSS with wood infill [OM3.]</t>
  </si>
  <si>
    <t>20 Ga 1-5/8x6 NSS with wood infill [OM3.]</t>
  </si>
  <si>
    <t>12 Ga 1-5/8x3-5/8 NSS with wood infill [OM3.]</t>
  </si>
  <si>
    <t>14 Ga 1-5/8x3-5/8 NSS with wood infill [OM3.]</t>
  </si>
  <si>
    <t>16 Ga 1-5/8x3-5/8 NSS with wood infill [OM3.]</t>
  </si>
  <si>
    <t>18 Ga 1-5/8x3-5/8 NSS with wood infill [OM3.]</t>
  </si>
  <si>
    <t>20 Ga 1-5/8x3-5/8 NSS with wood infill [OM3.]</t>
  </si>
  <si>
    <t>SSWI</t>
  </si>
  <si>
    <t>SSW</t>
  </si>
  <si>
    <t>Nested Steel Stud (wood infill)</t>
  </si>
  <si>
    <t>Effective Wind Area (sqft)</t>
  </si>
  <si>
    <t>Effective wind areas for mullions updated</t>
  </si>
  <si>
    <t>(8) 1/4" Lag Screws Thru 1/4" Welded Plate Anchor [OA8]</t>
  </si>
  <si>
    <t>(4) 1/4" Lag Screws Thru 1/4" Welded Plate Anchor [OA4]</t>
  </si>
  <si>
    <t>(18) 1/4" Lag Screws Thru 1/4" Welded Plate Anchor [OA18]</t>
  </si>
  <si>
    <t>(4) 3/16" Masonry Screws Thru 1/4" Welded Plate Anchor [OA4]</t>
  </si>
  <si>
    <t>(16) 1/4" Lag Screws Thru 1/4" Welded Plate Anchor [OA16]</t>
  </si>
  <si>
    <t>(14) 1/4" Lag Screws Thru 1/4" Welded Plate Anchor [OA14]</t>
  </si>
  <si>
    <t>(12) 1/4" Lag Screws Thru 1/4" Welded Plate Anchor [OA12]</t>
  </si>
  <si>
    <t>(12) 3/16" Masonry Screws Thru 1/4" Welded Plate Anchor [OA12]</t>
  </si>
  <si>
    <t>(10) 1/4" Lag Screws Thru 1/4" Welded Plate Anchor [OA10]</t>
  </si>
  <si>
    <t>(8) 3/16" Masonry Screws Thru 1/4" Welded Plate Anchor [OA8]</t>
  </si>
  <si>
    <t>(6) 1/4" Lag Screws Thru 1/4" Welded Plate Anchor [OA6]</t>
  </si>
  <si>
    <t>(8) 1/4" Lag Screws Thru 1/8" Welded Plate Anchor [OA8]</t>
  </si>
  <si>
    <t>(4) 1/4" Lag Screws Thru 1/8" Welded Plate Anchor [OA4]</t>
  </si>
  <si>
    <t>(18) 1/4" Lag Screws Thru 1/8" Welded Plate Anchor [OA18]</t>
  </si>
  <si>
    <t>(4) 3/16" Masonry Screws Thru 1/8" Welded Plate Anchor [OA4]</t>
  </si>
  <si>
    <t>(16) 1/4" Lag Screws Thru 1/8" Welded Plate Anchor [OA16]</t>
  </si>
  <si>
    <t>(14) 1/4" Lag Screws Thru 1/8" Welded Plate Anchor [OA14]</t>
  </si>
  <si>
    <t>(12) 3/16" Masonry Screws Thru 1/8" Welded Plate Anchor [OA12]</t>
  </si>
  <si>
    <t>(12) 1/4" Lag Screws Thru 1/8" Welded Plate Anchor [OA12]</t>
  </si>
  <si>
    <t>(10) 1/4" Lag Screws Thru 1/8" Welded Plate Anchor [OA10]</t>
  </si>
  <si>
    <t>(8) 3/16" Masonry Screws Thru 1/8" Welded Plate Anchor [OA8]</t>
  </si>
  <si>
    <t>(6) 1/4" Lag Screws Thru 1/8" Welded Plate Anchor [OA6]</t>
  </si>
  <si>
    <t>Window with Door</t>
  </si>
  <si>
    <r>
      <t xml:space="preserve">MULLION REINFORCEMENT TYPE
</t>
    </r>
    <r>
      <rPr>
        <b/>
        <sz val="10"/>
        <color theme="1"/>
        <rFont val="Calibri"/>
        <family val="2"/>
        <scheme val="minor"/>
      </rPr>
      <t>"PM": Pella Factory Assembled Mullion
"OM": Mullion Field Assembled B.O.</t>
    </r>
  </si>
  <si>
    <t>4.3.1</t>
  </si>
  <si>
    <t>Added 250 Series SPD end anchor options</t>
  </si>
  <si>
    <t>Removed dashed mullion bubble on RMEAT</t>
  </si>
  <si>
    <t>Product Clip/Thru-Frame Fasteners are sufficient</t>
  </si>
  <si>
    <t>Removed invalid Structural Receptor Mullion end anchor options</t>
  </si>
  <si>
    <t>Add "Product Clip/Thru-Frame Fasteners are sufficient" End Anchors</t>
  </si>
  <si>
    <t>Add Logic to remove "Product Clip/Thru-Frame Fasteners are sufficient" in RMEAT</t>
  </si>
  <si>
    <t>4.3.2</t>
  </si>
  <si>
    <t>Change periods in selection</t>
  </si>
  <si>
    <t>Adjusted 250 Series end anchors</t>
  </si>
  <si>
    <t>Fixed steel plate anchor issue</t>
  </si>
  <si>
    <t>Design Wind Speed Website:</t>
  </si>
  <si>
    <t>Removed ATC Hazard site links</t>
  </si>
  <si>
    <t>RMEAT update in sorting columns</t>
  </si>
  <si>
    <t>4.3.3</t>
  </si>
  <si>
    <t>IBC 2024</t>
  </si>
  <si>
    <t xml:space="preserve">ASCE 7-22 in 2023 Florida Building Code </t>
  </si>
  <si>
    <t xml:space="preserve">ASCE 7-22 in 2021 Virginia Construction Code </t>
  </si>
  <si>
    <t xml:space="preserve">Both ASCE 7-16 and 7-22 in 2021 Washington Sate Building Code </t>
  </si>
  <si>
    <t>Updated state wind codes</t>
  </si>
  <si>
    <t>Added note for HA glazing</t>
  </si>
  <si>
    <t>Issue with zone 5 MMx values fixed</t>
  </si>
  <si>
    <t>Added none with door into Vinyl lookup cells</t>
  </si>
  <si>
    <t>Removed anchor to allow fin anchor into top 8 choices for 1/2"x3-9/16"</t>
  </si>
  <si>
    <t>Add option?</t>
  </si>
  <si>
    <t>Custom end anchor options</t>
  </si>
  <si>
    <t>(4) #10 Screws Thru 1 Long L Anchor + (4) #10 Screws Thru 3-5/8" NSS end connection, 1-1/2" emb. [OA8]</t>
  </si>
  <si>
    <t>(2) 3/16" Masonry Screws Thru 1 Short L Anchor + (3) 3/16" Masonry Screws Thru 3-5/8" NSS end connection, 1-1/4" emb. [OA5]</t>
  </si>
  <si>
    <t>(4) 3/16" Masonry Screws Thru 1 Long L Anchor + (3) 3/16" Masonry Screws Thru 3-5/8" NSS end connection, 1-1/4" emb. [OA7]</t>
  </si>
  <si>
    <t>(4) #10-16 Self-Drilling Screws Thru 1 Long L Anchor + (4) #10-16 Self-Drilling Screws Thru 3-5/8" NSS end connection [OA8]</t>
  </si>
  <si>
    <t>3-5/8" NSS:  Long L-anchor + NSS end connection (for door jambs)</t>
  </si>
  <si>
    <t>3-5/8" NSS:  Short L-anchor + NSS end connection (for door jambs)</t>
  </si>
  <si>
    <t>6" NSS:  Short L-anchor + NSS end connection (for door jambs)</t>
  </si>
  <si>
    <t>6" NSS:  Long L-anchor + NSS end connection (for door jambs)</t>
  </si>
  <si>
    <t>(3) #10 Screws Thru 1 Short L Anchor + (5) #10 Screws Thru 6" NSS end connection, 1-1/2" emb. [OA8]</t>
  </si>
  <si>
    <t>(3) #10-16 Self-Drilling Screws Thru 1 Short L Anchor + (5) #10-16 Self-Drilling Screws Thru 6" NSS end connection [OA8]</t>
  </si>
  <si>
    <t>(4) #10 Screws Thru 1 Long L Anchor + (5) #10 Screws Thru 6" NSS end connection, 1-1/2" emb. [OA9]</t>
  </si>
  <si>
    <t>(3) #10 Screws Thru 1 Short L Anchor + (4) #10 Screws Thru 3-5/8" NSS end connection, 1-1/2" emb. [OA7]</t>
  </si>
  <si>
    <t>(2) 3/16" Masonry Screws Thru 1 Short L Anchor + (4) 3/16" Masonry Screws Thru 6" NSS end connection, 1-1/4" emb. [OA6]</t>
  </si>
  <si>
    <t>(4) 3/16" Masonry Screws Thru 1 Long L Anchor + (4) 3/16" Masonry Screws Thru 6" NSS end connection, 1-1/4" emb. [OA8]</t>
  </si>
  <si>
    <t>(3) #10-16 Self-Drilling Screws Thru 1 Short L Anchor + (4) #10-16 Self-Drilling Screws Thru 3-5/8" NSS end connection [OA3]</t>
  </si>
  <si>
    <t>(4) #10-16 Self-Drilling Screws Thru 1 Long L Anchor + (5) #10-16 Self-Drilling Screws Thru 6" NSS end connection [OA9]</t>
  </si>
  <si>
    <t>To find project wind speed:</t>
  </si>
  <si>
    <t>ASCE Hazard Tool</t>
  </si>
  <si>
    <t>Basic ASCE Wind Velocity</t>
  </si>
  <si>
    <t>1) use link:</t>
  </si>
  <si>
    <t>2) use link:</t>
  </si>
  <si>
    <t>3) Use ASCE 7 code:</t>
  </si>
  <si>
    <t>a)</t>
  </si>
  <si>
    <t>Find proper ASCE code from PAS Reference Library; use wind speed maps in Chapter 26, using the proper risk category map</t>
  </si>
  <si>
    <t>PAS Ref Lib:  ASCE 7</t>
  </si>
  <si>
    <t>4) Search online for state, county, and region building codes</t>
  </si>
  <si>
    <t>PAS Ref Lib:  State and Region Codes</t>
  </si>
  <si>
    <t>NSS</t>
  </si>
  <si>
    <t>Added option to add special end anchors in End Anchor Options</t>
  </si>
  <si>
    <t>Clad / Wood Hinged Door</t>
  </si>
  <si>
    <t>Clad / Wood Sliding Door</t>
  </si>
  <si>
    <t>*need to confirm these values, only have EI</t>
  </si>
  <si>
    <t>4.3.4</t>
  </si>
  <si>
    <t>Window-SPD</t>
  </si>
  <si>
    <t>Window-HPD</t>
  </si>
  <si>
    <t>Window-Model 6</t>
  </si>
  <si>
    <t>SPD-SPD</t>
  </si>
  <si>
    <t>SPD-HPD</t>
  </si>
  <si>
    <t>HPD-HPD</t>
  </si>
  <si>
    <t>Model 6-Model 6</t>
  </si>
  <si>
    <t>SPD</t>
  </si>
  <si>
    <t>HPD</t>
  </si>
  <si>
    <t>Model 6</t>
  </si>
  <si>
    <t>Updated list of clad wood mull options to include sliding and hinged doors</t>
  </si>
  <si>
    <t>Added strength values for clad wood hinged doors and updated strengths for windows and sliding doors</t>
  </si>
  <si>
    <t>1/2" mullion steel:  0.105"x3.75" steel reinforcement (third party)</t>
  </si>
  <si>
    <t>Deflection:</t>
  </si>
  <si>
    <t>Horizontal</t>
  </si>
  <si>
    <t>Vertical, &gt;162"</t>
  </si>
  <si>
    <t>Vertical, &lt;162"</t>
  </si>
  <si>
    <t>Minimum of L/175 and 0.75"</t>
  </si>
  <si>
    <t>L/240 + 0.25"</t>
  </si>
  <si>
    <t>Minimum of 0.125", or 1/8"</t>
  </si>
  <si>
    <t>Bonelli</t>
  </si>
  <si>
    <t>Vista</t>
  </si>
  <si>
    <t>Bonelli Window</t>
  </si>
  <si>
    <t>Bonelli Door</t>
  </si>
  <si>
    <t>Vista Window</t>
  </si>
  <si>
    <t>Vista Door</t>
  </si>
  <si>
    <t>**do not have MX</t>
  </si>
  <si>
    <t>Single Clad Frame Properties</t>
  </si>
  <si>
    <t>EIx list</t>
  </si>
  <si>
    <t>MMxy and EIy list</t>
  </si>
  <si>
    <t>EI and MM list</t>
  </si>
  <si>
    <t>CWAEIx</t>
  </si>
  <si>
    <t>TENVAIA</t>
  </si>
  <si>
    <t>250 Series Door</t>
  </si>
  <si>
    <t>TWOVAEI</t>
  </si>
  <si>
    <t>VDAEIx</t>
  </si>
  <si>
    <t>As Tested - 3.25'' Frames</t>
  </si>
  <si>
    <t>Uses 2 ''</t>
  </si>
  <si>
    <t>Uses 1 "</t>
  </si>
  <si>
    <t>Bnli</t>
  </si>
  <si>
    <t>Vsta</t>
  </si>
  <si>
    <t>Aluminum - Clad / Wood</t>
  </si>
  <si>
    <t>Aluminum - Impervia Door</t>
  </si>
  <si>
    <t>Aluminum - Impervia</t>
  </si>
  <si>
    <t>Aluminum - Vinyl 250 Door</t>
  </si>
  <si>
    <t>Aluminum - Vinyl 250</t>
  </si>
  <si>
    <t>Aluminum - Therm/Encomp</t>
  </si>
  <si>
    <t>Aluminum - Bonelli</t>
  </si>
  <si>
    <t>Aluminum / Steel - Vista</t>
  </si>
  <si>
    <t>BonEIx</t>
  </si>
  <si>
    <t>BonMMx</t>
  </si>
  <si>
    <t>BonEIy</t>
  </si>
  <si>
    <t>BonMMy</t>
  </si>
  <si>
    <t>1" structural mullion</t>
  </si>
  <si>
    <t>Direct mullion</t>
  </si>
  <si>
    <t>BonMull</t>
  </si>
  <si>
    <t>Added Bonelli and Vista to the window options</t>
  </si>
  <si>
    <t>Updated and simplified equations for searching mullion types</t>
  </si>
  <si>
    <t>Added Bonelli and Vista end anchors</t>
  </si>
  <si>
    <t>Added Bonelli and Vista mullion options</t>
  </si>
  <si>
    <t>1/2"x3-1/2" aluminum reinforcement</t>
  </si>
  <si>
    <t>Installation clip reinforcing plates</t>
  </si>
  <si>
    <t>VistaMull</t>
  </si>
  <si>
    <t>VistaEIx</t>
  </si>
  <si>
    <t>VistaMMx</t>
  </si>
  <si>
    <t>VistaEIy</t>
  </si>
  <si>
    <t>VistaMMy</t>
  </si>
  <si>
    <t>Clad
Bonelli</t>
  </si>
  <si>
    <t>Imp
Vista</t>
  </si>
  <si>
    <t>(8) #10 Screws Thru Frame, 3" emb. [AS8]</t>
  </si>
  <si>
    <t>(8) #10 Screws Thru Frame, 1-1/2" emb. [AS8]</t>
  </si>
  <si>
    <t>(6) #10 Screws Thru Frame, 3" emb. [AS6]</t>
  </si>
  <si>
    <t>(8) 3/16" Masonry Screws Thru Frame, 1-3/4" emb. [AS8]</t>
  </si>
  <si>
    <t>(8) #10-16 Self-Drilling Screws Thru Frame [AS8]</t>
  </si>
  <si>
    <t>(8) 3/16" Masonry Screws Thru Frame, 1-1/4" emb. [AS8]</t>
  </si>
  <si>
    <t>(6) #10-16 Self-Drilling Screws Thru Frame [AS6]</t>
  </si>
  <si>
    <t>(6) 3/16" Masonry Screws Thru Frame, 1-3/4" emb. [AS6]</t>
  </si>
  <si>
    <t>(6) #10 Screws Thru Frame, 1-1/2" emb. [AS6]</t>
  </si>
  <si>
    <t>(6) 3/16" Masonry Screws Thru Frame, 1-1/4" emb. [AS6]</t>
  </si>
  <si>
    <t>(4) #10-16 Self-Drilling Screws Thru Frame [AS4]</t>
  </si>
  <si>
    <t>(4) #10 Screws Thru Frame, 3" emb. [AS4]</t>
  </si>
  <si>
    <t>(4) 3/16" Masonry Screws Thru Frame, 1-3/4" emb. [AS4]</t>
  </si>
  <si>
    <t>(4) #10 Screws Thru Frame, 1-1/2" emb. [AS4]</t>
  </si>
  <si>
    <t>(4) 3/16" Masonry Screws Thru Frame, 1-1/4" emb. [AS4]</t>
  </si>
  <si>
    <t>(2) #10-16 Self-Drilling Screws Thru Frame [AS2]</t>
  </si>
  <si>
    <t>(2) #10 Screws Thru Frame, 3" emb. [AS2]</t>
  </si>
  <si>
    <t>(2) 3/16" Masonry Screws Thru Frame, 1-3/4" emb. [AS2]</t>
  </si>
  <si>
    <t>(2) #10 Screws Thru Frame, 1-1/2" emb. [AS2]</t>
  </si>
  <si>
    <t>(2) 3/16" Masonry Screws Thru Frame, 1-1/4" emb. [AS2]</t>
  </si>
  <si>
    <t>1/2"x3-1/2" steel reinforcement</t>
  </si>
  <si>
    <t>Rect</t>
  </si>
  <si>
    <t>Area</t>
  </si>
  <si>
    <t>Area Loading Method</t>
  </si>
  <si>
    <t>Rectangular</t>
  </si>
  <si>
    <t>Trapezoidal</t>
  </si>
  <si>
    <t>Added trapezoidal loading instead of rectangular loading</t>
  </si>
  <si>
    <t>#12 SS Wood Screws</t>
  </si>
  <si>
    <t>1/2" steel bar reinforcement</t>
  </si>
  <si>
    <t>1" steel bar reinforcement</t>
  </si>
  <si>
    <t>**steel reinforcement like aluminum? Need values</t>
  </si>
  <si>
    <t>wx</t>
  </si>
  <si>
    <t>cx</t>
  </si>
  <si>
    <t>sx</t>
  </si>
  <si>
    <t>Updated and simplified equations for searching end anchor types</t>
  </si>
  <si>
    <t>5.0.0</t>
  </si>
  <si>
    <t>REFERENCE LOCAL WIND CODES FOR NEW YORK CITY METROPOLITAN AREA; FOR RESIDENTIAL PROJECTS, REFERENCE HCR GUIDELINE 3.2.2C</t>
  </si>
  <si>
    <t>Added 2750 and 3750 Windor door strengths and mulls</t>
  </si>
  <si>
    <t>Windor 2750 Door</t>
  </si>
  <si>
    <t>Windor 3750 Door</t>
  </si>
  <si>
    <t>Window-2750 Door</t>
  </si>
  <si>
    <t>Window-3750 Door</t>
  </si>
  <si>
    <t>2750 Door-2750 Door</t>
  </si>
  <si>
    <t>3750 Door-3750 Door</t>
  </si>
  <si>
    <t>2750 Door</t>
  </si>
  <si>
    <t>3750 Door</t>
  </si>
  <si>
    <t>**make note of restrictions of mulls with the email</t>
  </si>
  <si>
    <t>L/130 values</t>
  </si>
  <si>
    <t>Standard door joining mullion (ONLY Two Way doors)* [OM1.]</t>
  </si>
  <si>
    <t>Vinyl 2750/3750 doors</t>
  </si>
  <si>
    <t>1/2" Structural Door Mullion [OM1.]</t>
  </si>
  <si>
    <t>Vinyl 250 SPD (reference only)</t>
  </si>
  <si>
    <t>Reference</t>
  </si>
  <si>
    <t>EIx</t>
  </si>
  <si>
    <t>MMx</t>
  </si>
  <si>
    <t>MMy</t>
  </si>
  <si>
    <t>Total Loading (lbs)</t>
  </si>
  <si>
    <t>Trap/Tri</t>
  </si>
  <si>
    <t>Deflection calculations based on triangular areas (see DP/trap calculator)</t>
  </si>
  <si>
    <t>Vista_2</t>
  </si>
  <si>
    <t>Vista_1</t>
  </si>
  <si>
    <t>BonAnchor</t>
  </si>
  <si>
    <t>v250_d</t>
  </si>
  <si>
    <t>v250_2</t>
  </si>
  <si>
    <t>v250_1</t>
  </si>
  <si>
    <t>impdoor</t>
  </si>
  <si>
    <t>imp_3</t>
  </si>
  <si>
    <t>imp_2</t>
  </si>
  <si>
    <t>imp_1</t>
  </si>
  <si>
    <t>pwspls</t>
  </si>
  <si>
    <t>pws_1</t>
  </si>
  <si>
    <t>pws_2</t>
  </si>
  <si>
    <t>pws_3</t>
  </si>
  <si>
    <t>cwm_1</t>
  </si>
  <si>
    <t>cwm_2</t>
  </si>
  <si>
    <t>cwm_3</t>
  </si>
  <si>
    <t>nss_6</t>
  </si>
  <si>
    <t>nss_3</t>
  </si>
  <si>
    <t>studs12</t>
  </si>
  <si>
    <t>studs10</t>
  </si>
  <si>
    <t>studs8</t>
  </si>
  <si>
    <t>studs6</t>
  </si>
  <si>
    <t>studs4</t>
  </si>
  <si>
    <t>lvl_20</t>
  </si>
  <si>
    <t>lvl_18</t>
  </si>
  <si>
    <t>lvl_16</t>
  </si>
  <si>
    <t>lvl_14</t>
  </si>
  <si>
    <t>lvl_11</t>
  </si>
  <si>
    <t>lvl_9</t>
  </si>
  <si>
    <t>lvl_7</t>
  </si>
  <si>
    <t>lvl_5</t>
  </si>
  <si>
    <t>lvl_3</t>
  </si>
  <si>
    <t>plate1</t>
  </si>
  <si>
    <t>tube7</t>
  </si>
  <si>
    <t>tube6</t>
  </si>
  <si>
    <t>tube5</t>
  </si>
  <si>
    <t>tube4</t>
  </si>
  <si>
    <t>tube3</t>
  </si>
  <si>
    <t>tube2</t>
  </si>
  <si>
    <t>tube1</t>
  </si>
  <si>
    <t>Updated the search function of end anchors to be more simplified</t>
  </si>
  <si>
    <t>I hate this</t>
  </si>
  <si>
    <t>(6) additional #10 Screws Thru Frame, 3" emb. [AS6]</t>
  </si>
  <si>
    <t>(6) additional #10 Screws Thru Frame, 1-1/2" emb. [AS6]</t>
  </si>
  <si>
    <t>(4) additional #10 Screws Thru Frame, 3" emb. [AS4]</t>
  </si>
  <si>
    <t>(4) additional #10 Screws Thru Frame, 1-1/2" emb. [AS4]</t>
  </si>
  <si>
    <t>(2) additional #10 Screws Thru Frame, 3" emb. [AS2]</t>
  </si>
  <si>
    <t>(2) additional #10 Screws Thru Frame, 1-1/2" emb. [AS2]</t>
  </si>
  <si>
    <t>(6) additional 3/16" Masonry Screws Thru Frame, 1-1/4" emb. [AS6]</t>
  </si>
  <si>
    <t>(4) additional 3/16" Masonry Screws Thru Frame, 1-1/4" emb. [AS4]</t>
  </si>
  <si>
    <t>(2) additional 3/16" Masonry Screws Thru Frame, 1-1/4" emb. [AS2]</t>
  </si>
  <si>
    <t>(6) additional 3/16" Masonry Screws Thru Frame, 1-3/4" emb. [AS6]</t>
  </si>
  <si>
    <t>(4) additional 3/16" Masonry Screws Thru Frame, 1-3/4" emb. [AS4]</t>
  </si>
  <si>
    <t>(2) additional 3/16" Masonry Screws Thru Frame, 1-3/4" emb. [AS2]</t>
  </si>
  <si>
    <t>(6) additional #10-16 Self-Drilling Screws Thru Frame [AS6]</t>
  </si>
  <si>
    <t>(4) additional #10-16 Self-Drilling Screws Thru Frame [AS4]</t>
  </si>
  <si>
    <t>(2) additional #10-16 Self-Drilling Screws Thru Frame [AS2]</t>
  </si>
  <si>
    <t>additional #10 SS Wood Screws</t>
  </si>
  <si>
    <t>3/16" Dewalt Ultracons</t>
  </si>
  <si>
    <t>(4) 3/16" Masonry Screws Thru Impervia Block Frame Anchor, 1-3/4" emb. [PA4]</t>
  </si>
  <si>
    <t>(4) 3/16" Masonry Screws Thru Impervia Block Frame Anchor, 1-1/4" emb. [PA4]</t>
  </si>
  <si>
    <t>(3) #12 Wood Screws Thru Steel Plate End Anchor, 1-3/4" emb. [PA3]</t>
  </si>
  <si>
    <t>(2) #12 Wood Screws Thru Steel Plate End Anchor, 1-3/4" emb. [PA2]</t>
  </si>
  <si>
    <t>(2) 3/16" Masonry Screws Thru Steel Plate End Anchor, 1-3/4" emb. [PA2]</t>
  </si>
  <si>
    <t>(2) 3/16" Masonry Screws Thru Steel Plate End Anchor, 1-1/4" emb. [PA2]</t>
  </si>
  <si>
    <t>(3) #10-16 Self-Drilling Screws Thru Steel Plate End Anchor, 1-3/4" emb. [PA3]</t>
  </si>
  <si>
    <t>(2) #10-16 Self-Drilling Screws Thru Steel Plate End Anchor, 1-3/4" emb. [PA2]</t>
  </si>
  <si>
    <t>W</t>
  </si>
  <si>
    <t>S</t>
  </si>
  <si>
    <t>(6+1) #10-16 Self-Drilling Screws Thru Fin Anchor [PA7]</t>
  </si>
  <si>
    <t>(3) 3/16" Masonry Screws Thru 6" NSS end connection, 1-3/4" emb. [OA3]</t>
  </si>
  <si>
    <t>(3) 3/16" Masonry Screws Thru 6" NSS end connection, 1-1/4" emb. [OA3]</t>
  </si>
  <si>
    <t>(2) 3/16" Masonry Screws Thru 3-5/8" NSS end connection, 1-3/4" emb. [OA2]</t>
  </si>
  <si>
    <t>(2) 3/16" Masonry Screws Thru 3-5/8" NSS end connection, 1-1/4" emb. [OA2]</t>
  </si>
  <si>
    <t>(10) 3/16" Masonry Screws Thru 2 JA7 Mitek Anchors, 1-3/4" emb. [OA12]</t>
  </si>
  <si>
    <t>(8) 3/16" Masonry Screws Thru 2 JA5 Mitek Anchors, 1-3/4" emb. [OA8]</t>
  </si>
  <si>
    <t>(5) 3/16" Masonry Screws Thru 1 JA7 Mitek Anchor, 1-3/4" emb. [OA5]</t>
  </si>
  <si>
    <t>(4) 3/16" Masonry Screws Thru 1 JA5 Mitek Anchor, 1-3/4" emb. [OA4]</t>
  </si>
  <si>
    <t>(20) 3/16" Masonry Screws Thru 4 JA7 Mitek Anchors, 1-3/4" emb. [OA20]</t>
  </si>
  <si>
    <t>(16) 3/16" Masonry Screws Thru 4 JA5 Mitek Anchors, 1-3/4" emb. [OA16]</t>
  </si>
  <si>
    <t>(10) 3/16" Masonry Screws Thru 2 JA7 Mitek Anchors, 1-3/4" emb. [OA10]</t>
  </si>
  <si>
    <t>(5) #10 Screws as Toe Nail Screws, 1-1/2" emb. [AS5]</t>
  </si>
  <si>
    <t>(5) 10D Nails as Toe Nail Nails, 1-1/2" emb. [AS5]</t>
  </si>
  <si>
    <t>(2) #10 Screws as Toe Nail Screws, 1-1/2" emb. [AS2]</t>
  </si>
  <si>
    <t>(2) 10D Nails as Toe Nail Nails, 1-1/2" emb. [AS2]</t>
  </si>
  <si>
    <t>(2) 3/16" Masonry Screws Thru 1/4" Welded Plate Anchor [OA2]</t>
  </si>
  <si>
    <t>(2) 3/16" Masonry Screws Thru 1/8" Welded Plate Anchor [OA2]</t>
  </si>
  <si>
    <t>Updated concrete end anchors to Dewalt values</t>
  </si>
  <si>
    <t>**values based on no edge spacing issues</t>
  </si>
  <si>
    <t>3 - 1-1/2"x3-1/2" 1.3E LSL</t>
  </si>
  <si>
    <t>2 - 1-1/2"x3-1/2" 1.3E LSL</t>
  </si>
  <si>
    <t>1-1/2"x3-1/2" 1.3E LSL</t>
  </si>
  <si>
    <t>Added RMEAT values to the Struc Calc tab for end anchor loading</t>
  </si>
  <si>
    <t>Updated steel tube weight per foot and EI/MM values</t>
  </si>
  <si>
    <t>Updated State Wind Code</t>
  </si>
  <si>
    <t>Georgia</t>
  </si>
  <si>
    <t>^^Illinois does not have statewide code</t>
  </si>
  <si>
    <t>1/8/2025</t>
  </si>
  <si>
    <t>Industrial housing and buildings are to follow IBC 2021, ASCE 7-16</t>
  </si>
  <si>
    <t xml:space="preserve">3 - 1-3/4"x7-1/4" Microllam LVL </t>
  </si>
  <si>
    <t>Added LVL and LSL options</t>
  </si>
  <si>
    <t>(2) #8 Screw Nail Fin Cluster [AS2]</t>
  </si>
  <si>
    <t>PQM Quote Number:</t>
  </si>
  <si>
    <t>OMNI Quote Number:</t>
  </si>
  <si>
    <t>PQM Quote Number:
OMNI Quote Number:</t>
  </si>
  <si>
    <t>VISTA DELAYED</t>
  </si>
  <si>
    <t>Added optional PQM/OMNI quote</t>
  </si>
  <si>
    <t>4 - 1-3/4"x5-1/2" Microllam LVL [OM7.]</t>
  </si>
  <si>
    <t>4 - 1-3/4"x7-1/4" Microllam LVL [OM7.]</t>
  </si>
  <si>
    <t>Use MRI - 1700 to 3000 Years</t>
  </si>
  <si>
    <t>CHANGED; JUST RECTANGULAR WITH TRAP OPTION</t>
  </si>
  <si>
    <t>Changed NSS with wood infill strength options</t>
  </si>
  <si>
    <t>Not known</t>
  </si>
  <si>
    <t>4" Wood Spread Mullion [PM6.]</t>
  </si>
  <si>
    <t>3-1/2" Wood Spread Mullion [PM6.]</t>
  </si>
  <si>
    <t>3" Wood Spread Mullion [PM6.]</t>
  </si>
  <si>
    <t>2-1/2" Wood Spread Mullion [PM6.]</t>
  </si>
  <si>
    <t>2" Wood Spread Mullion [PM6.]</t>
  </si>
  <si>
    <t>1-1/2" Wood Spread Mullion [PM6.]</t>
  </si>
  <si>
    <t>1" Wood Spread Mullion [PM6.]</t>
  </si>
  <si>
    <t>Building Area Size Reference</t>
  </si>
  <si>
    <t>Total Building Square Footage</t>
  </si>
  <si>
    <t>Building Area per Zone 5 Parameters:</t>
  </si>
  <si>
    <t>sqft</t>
  </si>
  <si>
    <t>Small revisions; updated Tornado calc values to add to main page when necessary</t>
  </si>
  <si>
    <t>Wind Loading</t>
  </si>
  <si>
    <t>Tornado Loading</t>
  </si>
  <si>
    <t>DP Loading Type</t>
  </si>
  <si>
    <t>Wind   [Single Unit DP]   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</si>
</sst>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0"/>
    <numFmt numFmtId="165" formatCode="0.000"/>
    <numFmt numFmtId="166" formatCode="#,##0.000"/>
    <numFmt numFmtId="167" formatCode="_(* #,##0_);_(* \(#,##0\);_(* &quot;-&quot;??_);_(@_)"/>
    <numFmt numFmtId="168" formatCode="0.0000"/>
    <numFmt numFmtId="169" formatCode="#,##0.0"/>
    <numFmt numFmtId="170" formatCode="_(* #,##0.000_);_(* \(#,##0.000\);_(* &quot;-&quot;??_);_(@_)"/>
  </numFmts>
  <fonts count="85" x14ac:knownFonts="1">
    <font>
      <sz val="11"/>
      <color theme="1"/>
      <name val="Calibri"/>
      <family val="2"/>
      <scheme val="minor"/>
    </font>
    <font>
      <sz val="8"/>
      <color theme="1"/>
      <name val="Calibri"/>
      <family val="2"/>
      <scheme val="minor"/>
    </font>
    <font>
      <sz val="11"/>
      <color theme="1"/>
      <name val="Calibri"/>
      <family val="2"/>
      <scheme val="minor"/>
    </font>
    <font>
      <sz val="11"/>
      <color rgb="FFFF0000"/>
      <name val="Calibri"/>
      <family val="2"/>
      <scheme val="minor"/>
    </font>
    <font>
      <sz val="10"/>
      <name val="Arial"/>
      <family val="2"/>
    </font>
    <font>
      <sz val="11"/>
      <name val="Calibri"/>
      <family val="2"/>
      <scheme val="minor"/>
    </font>
    <font>
      <b/>
      <sz val="11"/>
      <name val="Calibri"/>
      <family val="2"/>
      <scheme val="minor"/>
    </font>
    <font>
      <sz val="11"/>
      <color theme="0"/>
      <name val="Calibri"/>
      <family val="2"/>
      <scheme val="minor"/>
    </font>
    <font>
      <b/>
      <sz val="11"/>
      <color theme="1"/>
      <name val="Calibri"/>
      <family val="2"/>
      <scheme val="minor"/>
    </font>
    <font>
      <sz val="10"/>
      <color rgb="FF000000"/>
      <name val="Times New Roman"/>
      <family val="1"/>
    </font>
    <font>
      <sz val="8"/>
      <name val="Arial"/>
      <family val="2"/>
    </font>
    <font>
      <sz val="8"/>
      <name val="Calibri"/>
      <family val="2"/>
      <scheme val="minor"/>
    </font>
    <font>
      <sz val="10"/>
      <color theme="0"/>
      <name val="Calibri"/>
      <family val="2"/>
      <scheme val="minor"/>
    </font>
    <font>
      <u/>
      <sz val="11"/>
      <color theme="10"/>
      <name val="Calibri"/>
      <family val="2"/>
      <scheme val="minor"/>
    </font>
    <font>
      <sz val="12"/>
      <name val="Calibri"/>
      <family val="2"/>
      <scheme val="minor"/>
    </font>
    <font>
      <sz val="10"/>
      <name val="Calibri"/>
      <family val="2"/>
      <scheme val="minor"/>
    </font>
    <font>
      <b/>
      <sz val="10"/>
      <color theme="1"/>
      <name val="Calibri"/>
      <family val="2"/>
      <scheme val="minor"/>
    </font>
    <font>
      <b/>
      <sz val="10"/>
      <color theme="0"/>
      <name val="Calibri"/>
      <family val="2"/>
      <scheme val="minor"/>
    </font>
    <font>
      <sz val="12"/>
      <color theme="1"/>
      <name val="Calibri"/>
      <family val="2"/>
      <scheme val="minor"/>
    </font>
    <font>
      <u/>
      <sz val="12"/>
      <color theme="10"/>
      <name val="Calibri"/>
      <family val="2"/>
      <scheme val="minor"/>
    </font>
    <font>
      <b/>
      <sz val="10"/>
      <name val="Arial"/>
      <family val="2"/>
    </font>
    <font>
      <b/>
      <sz val="12"/>
      <name val="Calibri"/>
      <family val="2"/>
      <scheme val="minor"/>
    </font>
    <font>
      <b/>
      <sz val="14"/>
      <color theme="1"/>
      <name val="Calibri"/>
      <family val="2"/>
      <scheme val="minor"/>
    </font>
    <font>
      <sz val="9"/>
      <color indexed="81"/>
      <name val="Tahoma"/>
      <family val="2"/>
    </font>
    <font>
      <b/>
      <sz val="9"/>
      <color indexed="81"/>
      <name val="Tahoma"/>
      <family val="2"/>
    </font>
    <font>
      <b/>
      <sz val="12"/>
      <color theme="1"/>
      <name val="Calibri"/>
      <family val="2"/>
      <scheme val="minor"/>
    </font>
    <font>
      <u/>
      <sz val="22"/>
      <color theme="10"/>
      <name val="Calibri"/>
      <family val="2"/>
      <scheme val="minor"/>
    </font>
    <font>
      <sz val="14"/>
      <color theme="1"/>
      <name val="Calibri"/>
      <family val="2"/>
      <scheme val="minor"/>
    </font>
    <font>
      <sz val="22"/>
      <color theme="1"/>
      <name val="Calibri"/>
      <family val="2"/>
      <scheme val="minor"/>
    </font>
    <font>
      <sz val="14"/>
      <name val="Calibri"/>
      <family val="2"/>
      <scheme val="minor"/>
    </font>
    <font>
      <sz val="20"/>
      <color theme="1"/>
      <name val="Calibri"/>
      <family val="2"/>
      <scheme val="minor"/>
    </font>
    <font>
      <b/>
      <sz val="18"/>
      <color rgb="FFFF0000"/>
      <name val="Calibri"/>
      <family val="2"/>
      <scheme val="minor"/>
    </font>
    <font>
      <b/>
      <sz val="14"/>
      <name val="Arial"/>
      <family val="2"/>
    </font>
    <font>
      <sz val="18"/>
      <color theme="1"/>
      <name val="Calibri"/>
      <family val="2"/>
      <scheme val="minor"/>
    </font>
    <font>
      <b/>
      <sz val="16"/>
      <color theme="1"/>
      <name val="Calibri"/>
      <family val="2"/>
      <scheme val="minor"/>
    </font>
    <font>
      <b/>
      <sz val="18"/>
      <color rgb="FF000000"/>
      <name val="Trebuchet MS"/>
      <family val="2"/>
    </font>
    <font>
      <b/>
      <sz val="18"/>
      <color rgb="FF000000"/>
      <name val="Symbol"/>
      <family val="1"/>
      <charset val="2"/>
    </font>
    <font>
      <b/>
      <sz val="10"/>
      <color rgb="FF000000"/>
      <name val="Symbol"/>
      <family val="1"/>
      <charset val="2"/>
    </font>
    <font>
      <b/>
      <sz val="11"/>
      <name val="Arial"/>
      <family val="2"/>
    </font>
    <font>
      <b/>
      <u/>
      <sz val="11"/>
      <color theme="1"/>
      <name val="Calibri"/>
      <family val="2"/>
      <scheme val="minor"/>
    </font>
    <font>
      <sz val="11"/>
      <color rgb="FF1A1A1A"/>
      <name val="Calibri"/>
      <family val="2"/>
      <scheme val="minor"/>
    </font>
    <font>
      <sz val="11"/>
      <color rgb="FF000000"/>
      <name val="Calibri"/>
      <family val="2"/>
      <scheme val="minor"/>
    </font>
    <font>
      <sz val="11"/>
      <color rgb="FF0000FF"/>
      <name val="Calibri"/>
      <family val="2"/>
      <scheme val="minor"/>
    </font>
    <font>
      <sz val="11"/>
      <color rgb="FF9C0006"/>
      <name val="Calibri"/>
      <family val="2"/>
      <scheme val="minor"/>
    </font>
    <font>
      <b/>
      <u/>
      <sz val="8"/>
      <color theme="1"/>
      <name val="Arial"/>
      <family val="2"/>
    </font>
    <font>
      <sz val="8"/>
      <color theme="1"/>
      <name val="Arial"/>
      <family val="2"/>
    </font>
    <font>
      <b/>
      <sz val="11"/>
      <color rgb="FF000000"/>
      <name val="Calibri"/>
      <family val="2"/>
      <scheme val="minor"/>
    </font>
    <font>
      <sz val="11"/>
      <color theme="1"/>
      <name val="Calibri"/>
      <family val="2"/>
      <scheme val="minor"/>
    </font>
    <font>
      <sz val="11"/>
      <name val="Calibri"/>
      <family val="2"/>
      <scheme val="minor"/>
    </font>
    <font>
      <sz val="10"/>
      <color theme="1"/>
      <name val="Calibri"/>
      <family val="2"/>
      <scheme val="minor"/>
    </font>
    <font>
      <b/>
      <u/>
      <sz val="12"/>
      <color theme="1"/>
      <name val="Calibri"/>
      <family val="2"/>
      <scheme val="minor"/>
    </font>
    <font>
      <sz val="12"/>
      <color rgb="FF000000"/>
      <name val="Calibri"/>
      <family val="2"/>
      <scheme val="minor"/>
    </font>
    <font>
      <b/>
      <sz val="12"/>
      <color rgb="FF000000"/>
      <name val="Calibri"/>
      <family val="2"/>
      <scheme val="minor"/>
    </font>
    <font>
      <sz val="9"/>
      <color theme="1"/>
      <name val="Calibri"/>
      <family val="2"/>
      <scheme val="minor"/>
    </font>
    <font>
      <b/>
      <u/>
      <sz val="16"/>
      <color theme="1"/>
      <name val="Calibri"/>
      <family val="2"/>
      <scheme val="minor"/>
    </font>
    <font>
      <sz val="10"/>
      <color theme="0"/>
      <name val="Times New Roman"/>
      <family val="1"/>
    </font>
    <font>
      <b/>
      <sz val="20"/>
      <color theme="10"/>
      <name val="Calibri"/>
      <family val="2"/>
      <scheme val="minor"/>
    </font>
    <font>
      <b/>
      <sz val="22"/>
      <color theme="10"/>
      <name val="Calibri"/>
      <family val="2"/>
      <scheme val="minor"/>
    </font>
    <font>
      <b/>
      <sz val="24"/>
      <color theme="1"/>
      <name val="Calibri"/>
      <family val="2"/>
      <scheme val="minor"/>
    </font>
    <font>
      <b/>
      <sz val="11"/>
      <color rgb="FFFF0000"/>
      <name val="Calibri"/>
      <family val="2"/>
      <scheme val="minor"/>
    </font>
    <font>
      <b/>
      <sz val="12.5"/>
      <color rgb="FFFF0000"/>
      <name val="Calibri"/>
      <family val="2"/>
      <scheme val="minor"/>
    </font>
    <font>
      <sz val="16"/>
      <color theme="1"/>
      <name val="Calibri"/>
      <family val="2"/>
      <scheme val="minor"/>
    </font>
    <font>
      <vertAlign val="superscript"/>
      <sz val="11"/>
      <color theme="0"/>
      <name val="Calibri"/>
      <family val="2"/>
      <scheme val="minor"/>
    </font>
    <font>
      <u/>
      <sz val="48"/>
      <color theme="10"/>
      <name val="Calibri"/>
      <family val="2"/>
      <scheme val="minor"/>
    </font>
    <font>
      <sz val="18"/>
      <name val="Calibri"/>
      <family val="2"/>
      <scheme val="minor"/>
    </font>
    <font>
      <b/>
      <sz val="12"/>
      <color indexed="81"/>
      <name val="Calibri"/>
      <family val="2"/>
      <scheme val="minor"/>
    </font>
    <font>
      <b/>
      <sz val="72"/>
      <color theme="1"/>
      <name val="Calibri"/>
      <family val="2"/>
      <scheme val="minor"/>
    </font>
    <font>
      <b/>
      <u/>
      <sz val="18"/>
      <color theme="10"/>
      <name val="Calibri"/>
      <family val="2"/>
      <scheme val="minor"/>
    </font>
    <font>
      <b/>
      <sz val="20"/>
      <color theme="1"/>
      <name val="Calibri"/>
      <family val="2"/>
      <scheme val="minor"/>
    </font>
    <font>
      <u/>
      <sz val="36"/>
      <color theme="10"/>
      <name val="Calibri"/>
      <family val="2"/>
      <scheme val="minor"/>
    </font>
    <font>
      <sz val="11"/>
      <color theme="1"/>
      <name val="Arial"/>
      <family val="2"/>
    </font>
    <font>
      <sz val="22"/>
      <name val="Calibri"/>
      <family val="2"/>
      <scheme val="minor"/>
    </font>
    <font>
      <b/>
      <sz val="10"/>
      <name val="Calibri"/>
      <family val="2"/>
      <scheme val="minor"/>
    </font>
    <font>
      <b/>
      <sz val="18"/>
      <color theme="1"/>
      <name val="Calibri"/>
      <family val="2"/>
      <scheme val="minor"/>
    </font>
    <font>
      <b/>
      <sz val="16"/>
      <name val="Calibri"/>
      <family val="2"/>
      <scheme val="minor"/>
    </font>
    <font>
      <b/>
      <sz val="14"/>
      <color rgb="FFFF0000"/>
      <name val="Calibri"/>
      <family val="2"/>
      <scheme val="minor"/>
    </font>
    <font>
      <b/>
      <sz val="26"/>
      <color theme="1"/>
      <name val="Calibri"/>
      <family val="2"/>
      <scheme val="minor"/>
    </font>
    <font>
      <b/>
      <sz val="10"/>
      <color rgb="FF000000"/>
      <name val="Times New Roman"/>
      <family val="1"/>
    </font>
    <font>
      <sz val="11"/>
      <color theme="0" tint="-0.249977111117893"/>
      <name val="Calibri"/>
      <family val="2"/>
      <scheme val="minor"/>
    </font>
    <font>
      <b/>
      <sz val="18"/>
      <color theme="0"/>
      <name val="Calibri"/>
      <family val="2"/>
      <scheme val="minor"/>
    </font>
    <font>
      <b/>
      <sz val="10"/>
      <color theme="0"/>
      <name val="Abadi"/>
      <family val="2"/>
    </font>
    <font>
      <b/>
      <sz val="18"/>
      <name val="Calibri"/>
      <family val="2"/>
      <scheme val="minor"/>
    </font>
    <font>
      <sz val="14"/>
      <color theme="1"/>
      <name val="Calibri"/>
      <family val="2"/>
    </font>
    <font>
      <u/>
      <sz val="14"/>
      <color theme="10"/>
      <name val="Calibri"/>
      <family val="2"/>
      <scheme val="minor"/>
    </font>
    <font>
      <i/>
      <sz val="11"/>
      <color theme="1"/>
      <name val="Calibri"/>
      <family val="2"/>
      <scheme val="minor"/>
    </font>
  </fonts>
  <fills count="38">
    <fill>
      <patternFill patternType="none"/>
    </fill>
    <fill>
      <patternFill patternType="gray125"/>
    </fill>
    <fill>
      <patternFill patternType="solid">
        <fgColor theme="6" tint="0.39997558519241921"/>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indexed="43"/>
        <bgColor indexed="64"/>
      </patternFill>
    </fill>
    <fill>
      <patternFill patternType="solid">
        <fgColor theme="2" tint="-0.89999084444715716"/>
        <bgColor indexed="64"/>
      </patternFill>
    </fill>
    <fill>
      <patternFill patternType="solid">
        <fgColor theme="1"/>
        <bgColor indexed="64"/>
      </patternFill>
    </fill>
    <fill>
      <patternFill patternType="solid">
        <fgColor rgb="FFFFFF0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rgb="FFAF8ED0"/>
        <bgColor indexed="64"/>
      </patternFill>
    </fill>
    <fill>
      <patternFill patternType="solid">
        <fgColor rgb="FFE0DDED"/>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theme="0"/>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rgb="FFFFC7CE"/>
      </patternFill>
    </fill>
    <fill>
      <patternFill patternType="solid">
        <fgColor theme="5"/>
        <bgColor indexed="64"/>
      </patternFill>
    </fill>
    <fill>
      <patternFill patternType="solid">
        <fgColor theme="2"/>
        <bgColor indexed="64"/>
      </patternFill>
    </fill>
    <fill>
      <patternFill patternType="solid">
        <fgColor theme="7" tint="0.39997558519241921"/>
        <bgColor indexed="64"/>
      </patternFill>
    </fill>
    <fill>
      <patternFill patternType="solid">
        <fgColor rgb="FFFFC000"/>
        <bgColor indexed="64"/>
      </patternFill>
    </fill>
    <fill>
      <patternFill patternType="solid">
        <fgColor rgb="FF92D050"/>
        <bgColor indexed="64"/>
      </patternFill>
    </fill>
    <fill>
      <patternFill patternType="solid">
        <fgColor theme="6"/>
        <bgColor indexed="64"/>
      </patternFill>
    </fill>
    <fill>
      <patternFill patternType="solid">
        <fgColor theme="7"/>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F0000"/>
        <bgColor indexed="64"/>
      </patternFill>
    </fill>
    <fill>
      <patternFill patternType="solid">
        <fgColor theme="9" tint="-0.249977111117893"/>
        <bgColor indexed="64"/>
      </patternFill>
    </fill>
    <fill>
      <patternFill patternType="solid">
        <fgColor rgb="FFFF7171"/>
        <bgColor indexed="64"/>
      </patternFill>
    </fill>
    <fill>
      <patternFill patternType="solid">
        <fgColor theme="2" tint="-0.249977111117893"/>
        <bgColor indexed="64"/>
      </patternFill>
    </fill>
  </fills>
  <borders count="23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right style="hair">
        <color indexed="64"/>
      </right>
      <top style="medium">
        <color indexed="64"/>
      </top>
      <bottom/>
      <diagonal/>
    </border>
    <border>
      <left/>
      <right style="hair">
        <color indexed="64"/>
      </right>
      <top/>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top style="medium">
        <color indexed="64"/>
      </top>
      <bottom/>
      <diagonal/>
    </border>
    <border>
      <left style="hair">
        <color indexed="64"/>
      </left>
      <right/>
      <top/>
      <bottom/>
      <diagonal/>
    </border>
    <border>
      <left/>
      <right style="hair">
        <color indexed="64"/>
      </right>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medium">
        <color indexed="64"/>
      </left>
      <right style="hair">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bottom style="thick">
        <color indexed="64"/>
      </bottom>
      <diagonal/>
    </border>
    <border>
      <left style="hair">
        <color indexed="64"/>
      </left>
      <right/>
      <top/>
      <bottom style="thick">
        <color indexed="64"/>
      </bottom>
      <diagonal/>
    </border>
    <border>
      <left style="medium">
        <color indexed="64"/>
      </left>
      <right style="hair">
        <color indexed="64"/>
      </right>
      <top/>
      <bottom style="thick">
        <color indexed="64"/>
      </bottom>
      <diagonal/>
    </border>
    <border>
      <left style="hair">
        <color indexed="64"/>
      </left>
      <right style="hair">
        <color indexed="64"/>
      </right>
      <top/>
      <bottom style="thick">
        <color indexed="64"/>
      </bottom>
      <diagonal/>
    </border>
    <border>
      <left style="hair">
        <color indexed="64"/>
      </left>
      <right style="medium">
        <color indexed="64"/>
      </right>
      <top/>
      <bottom style="thick">
        <color indexed="64"/>
      </bottom>
      <diagonal/>
    </border>
    <border>
      <left/>
      <right style="hair">
        <color indexed="64"/>
      </right>
      <top/>
      <bottom style="thick">
        <color indexed="64"/>
      </bottom>
      <diagonal/>
    </border>
    <border>
      <left style="thick">
        <color indexed="64"/>
      </left>
      <right/>
      <top/>
      <bottom/>
      <diagonal/>
    </border>
    <border>
      <left style="thick">
        <color theme="4" tint="-0.499984740745262"/>
      </left>
      <right/>
      <top style="thick">
        <color theme="4" tint="-0.499984740745262"/>
      </top>
      <bottom/>
      <diagonal/>
    </border>
    <border>
      <left/>
      <right/>
      <top style="thick">
        <color theme="4" tint="-0.499984740745262"/>
      </top>
      <bottom/>
      <diagonal/>
    </border>
    <border>
      <left/>
      <right style="thick">
        <color theme="4" tint="-0.499984740745262"/>
      </right>
      <top style="thick">
        <color theme="4" tint="-0.499984740745262"/>
      </top>
      <bottom/>
      <diagonal/>
    </border>
    <border>
      <left style="thick">
        <color theme="4" tint="-0.499984740745262"/>
      </left>
      <right/>
      <top/>
      <bottom/>
      <diagonal/>
    </border>
    <border>
      <left/>
      <right style="thick">
        <color theme="4" tint="-0.499984740745262"/>
      </right>
      <top/>
      <bottom/>
      <diagonal/>
    </border>
    <border>
      <left style="thick">
        <color theme="4" tint="-0.499984740745262"/>
      </left>
      <right/>
      <top/>
      <bottom style="thick">
        <color theme="4" tint="-0.499984740745262"/>
      </bottom>
      <diagonal/>
    </border>
    <border>
      <left/>
      <right/>
      <top/>
      <bottom style="thick">
        <color theme="4" tint="-0.499984740745262"/>
      </bottom>
      <diagonal/>
    </border>
    <border>
      <left/>
      <right style="thick">
        <color theme="4" tint="-0.499984740745262"/>
      </right>
      <top/>
      <bottom style="thick">
        <color theme="4" tint="-0.499984740745262"/>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style="thick">
        <color indexed="64"/>
      </right>
      <top/>
      <bottom style="thick">
        <color indexed="64"/>
      </bottom>
      <diagonal/>
    </border>
    <border>
      <left style="hair">
        <color indexed="64"/>
      </left>
      <right style="thick">
        <color indexed="64"/>
      </right>
      <top style="medium">
        <color indexed="64"/>
      </top>
      <bottom/>
      <diagonal/>
    </border>
    <border>
      <left style="hair">
        <color indexed="64"/>
      </left>
      <right style="thick">
        <color indexed="64"/>
      </right>
      <top/>
      <bottom/>
      <diagonal/>
    </border>
    <border>
      <left style="hair">
        <color indexed="64"/>
      </left>
      <right style="thick">
        <color indexed="64"/>
      </right>
      <top/>
      <bottom style="thick">
        <color indexed="64"/>
      </bottom>
      <diagonal/>
    </border>
    <border>
      <left style="hair">
        <color indexed="64"/>
      </left>
      <right style="hair">
        <color indexed="64"/>
      </right>
      <top style="thick">
        <color indexed="64"/>
      </top>
      <bottom/>
      <diagonal/>
    </border>
    <border>
      <left style="thick">
        <color theme="8" tint="-0.499984740745262"/>
      </left>
      <right/>
      <top style="thick">
        <color theme="8" tint="-0.499984740745262"/>
      </top>
      <bottom/>
      <diagonal/>
    </border>
    <border>
      <left/>
      <right/>
      <top style="thick">
        <color theme="8" tint="-0.499984740745262"/>
      </top>
      <bottom/>
      <diagonal/>
    </border>
    <border>
      <left/>
      <right style="thick">
        <color theme="8" tint="-0.499984740745262"/>
      </right>
      <top style="thick">
        <color theme="8" tint="-0.499984740745262"/>
      </top>
      <bottom/>
      <diagonal/>
    </border>
    <border>
      <left style="thick">
        <color theme="8" tint="-0.499984740745262"/>
      </left>
      <right/>
      <top/>
      <bottom/>
      <diagonal/>
    </border>
    <border>
      <left/>
      <right style="thick">
        <color theme="8" tint="-0.499984740745262"/>
      </right>
      <top/>
      <bottom/>
      <diagonal/>
    </border>
    <border>
      <left style="thick">
        <color theme="8" tint="-0.499984740745262"/>
      </left>
      <right/>
      <top/>
      <bottom style="thick">
        <color theme="8" tint="-0.499984740745262"/>
      </bottom>
      <diagonal/>
    </border>
    <border>
      <left/>
      <right/>
      <top/>
      <bottom style="thick">
        <color theme="8" tint="-0.499984740745262"/>
      </bottom>
      <diagonal/>
    </border>
    <border>
      <left/>
      <right style="thick">
        <color theme="8" tint="-0.499984740745262"/>
      </right>
      <top/>
      <bottom style="thick">
        <color theme="8" tint="-0.499984740745262"/>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style="medium">
        <color indexed="64"/>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
      <left style="medium">
        <color theme="8" tint="-0.499984740745262"/>
      </left>
      <right/>
      <top/>
      <bottom style="medium">
        <color theme="8" tint="-0.499984740745262"/>
      </bottom>
      <diagonal/>
    </border>
    <border>
      <left/>
      <right/>
      <top/>
      <bottom style="medium">
        <color theme="8" tint="-0.499984740745262"/>
      </bottom>
      <diagonal/>
    </border>
    <border>
      <left/>
      <right style="medium">
        <color theme="8" tint="-0.499984740745262"/>
      </right>
      <top/>
      <bottom style="medium">
        <color theme="8" tint="-0.499984740745262"/>
      </bottom>
      <diagonal/>
    </border>
    <border>
      <left style="medium">
        <color theme="8" tint="-0.499984740745262"/>
      </left>
      <right/>
      <top style="thick">
        <color theme="8" tint="-0.499984740745262"/>
      </top>
      <bottom/>
      <diagonal/>
    </border>
    <border>
      <left/>
      <right style="medium">
        <color theme="8" tint="-0.499984740745262"/>
      </right>
      <top style="thick">
        <color theme="8" tint="-0.499984740745262"/>
      </top>
      <bottom/>
      <diagonal/>
    </border>
    <border>
      <left style="medium">
        <color theme="8" tint="-0.24994659260841701"/>
      </left>
      <right/>
      <top style="thick">
        <color theme="8" tint="-0.24994659260841701"/>
      </top>
      <bottom style="medium">
        <color theme="8" tint="-0.24994659260841701"/>
      </bottom>
      <diagonal/>
    </border>
    <border>
      <left/>
      <right/>
      <top style="thick">
        <color theme="8" tint="-0.24994659260841701"/>
      </top>
      <bottom style="medium">
        <color theme="8" tint="-0.24994659260841701"/>
      </bottom>
      <diagonal/>
    </border>
    <border>
      <left/>
      <right style="medium">
        <color theme="8" tint="-0.24994659260841701"/>
      </right>
      <top style="thick">
        <color theme="8" tint="-0.24994659260841701"/>
      </top>
      <bottom style="medium">
        <color theme="8" tint="-0.24994659260841701"/>
      </bottom>
      <diagonal/>
    </border>
    <border>
      <left/>
      <right style="thick">
        <color auto="1"/>
      </right>
      <top/>
      <bottom/>
      <diagonal/>
    </border>
    <border>
      <left/>
      <right style="thick">
        <color auto="1"/>
      </right>
      <top/>
      <bottom style="thin">
        <color indexed="64"/>
      </bottom>
      <diagonal/>
    </border>
    <border>
      <left style="thin">
        <color indexed="64"/>
      </left>
      <right/>
      <top style="medium">
        <color indexed="64"/>
      </top>
      <bottom style="medium">
        <color indexed="64"/>
      </bottom>
      <diagonal/>
    </border>
    <border>
      <left/>
      <right style="medium">
        <color indexed="64"/>
      </right>
      <top/>
      <bottom style="thick">
        <color indexed="64"/>
      </bottom>
      <diagonal/>
    </border>
    <border>
      <left style="thin">
        <color indexed="64"/>
      </left>
      <right style="thin">
        <color indexed="64"/>
      </right>
      <top/>
      <bottom/>
      <diagonal/>
    </border>
    <border>
      <left style="hair">
        <color indexed="64"/>
      </left>
      <right/>
      <top style="hair">
        <color indexed="64"/>
      </top>
      <bottom/>
      <diagonal/>
    </border>
    <border>
      <left/>
      <right style="medium">
        <color indexed="64"/>
      </right>
      <top/>
      <bottom style="hair">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hair">
        <color indexed="64"/>
      </left>
      <right/>
      <top/>
      <bottom style="hair">
        <color indexed="64"/>
      </bottom>
      <diagonal/>
    </border>
    <border>
      <left style="medium">
        <color indexed="64"/>
      </left>
      <right style="thick">
        <color theme="8" tint="-0.24994659260841701"/>
      </right>
      <top/>
      <bottom/>
      <diagonal/>
    </border>
    <border>
      <left style="thin">
        <color indexed="64"/>
      </left>
      <right style="thin">
        <color indexed="64"/>
      </right>
      <top/>
      <bottom style="medium">
        <color indexed="64"/>
      </bottom>
      <diagonal/>
    </border>
    <border>
      <left style="thin">
        <color indexed="64"/>
      </left>
      <right style="thick">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medium">
        <color indexed="64"/>
      </left>
      <right/>
      <top style="thin">
        <color indexed="64"/>
      </top>
      <bottom style="thick">
        <color indexed="64"/>
      </bottom>
      <diagonal/>
    </border>
    <border>
      <left/>
      <right/>
      <top/>
      <bottom style="thin">
        <color theme="1"/>
      </bottom>
      <diagonal/>
    </border>
    <border>
      <left style="medium">
        <color indexed="64"/>
      </left>
      <right/>
      <top style="thin">
        <color indexed="64"/>
      </top>
      <bottom/>
      <diagonal/>
    </border>
    <border>
      <left/>
      <right style="hair">
        <color indexed="64"/>
      </right>
      <top style="thick">
        <color indexed="64"/>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ck">
        <color indexed="64"/>
      </left>
      <right/>
      <top style="thin">
        <color indexed="64"/>
      </top>
      <bottom style="thin">
        <color indexed="64"/>
      </bottom>
      <diagonal/>
    </border>
    <border>
      <left style="thick">
        <color indexed="64"/>
      </left>
      <right/>
      <top/>
      <bottom style="thin">
        <color indexed="64"/>
      </bottom>
      <diagonal/>
    </border>
    <border>
      <left style="thick">
        <color indexed="64"/>
      </left>
      <right/>
      <top style="thin">
        <color indexed="64"/>
      </top>
      <bottom style="medium">
        <color indexed="64"/>
      </bottom>
      <diagonal/>
    </border>
    <border>
      <left style="thick">
        <color indexed="64"/>
      </left>
      <right/>
      <top style="thin">
        <color indexed="64"/>
      </top>
      <bottom style="thick">
        <color indexed="64"/>
      </bottom>
      <diagonal/>
    </border>
    <border>
      <left/>
      <right style="thin">
        <color indexed="64"/>
      </right>
      <top style="thick">
        <color indexed="64"/>
      </top>
      <bottom style="thick">
        <color indexed="64"/>
      </bottom>
      <diagonal/>
    </border>
    <border>
      <left/>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medium">
        <color indexed="64"/>
      </right>
      <top style="thick">
        <color indexed="64"/>
      </top>
      <bottom style="thick">
        <color indexed="64"/>
      </bottom>
      <diagonal/>
    </border>
    <border>
      <left style="thin">
        <color indexed="64"/>
      </left>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hair">
        <color indexed="64"/>
      </top>
      <bottom/>
      <diagonal/>
    </border>
    <border>
      <left style="thick">
        <color indexed="64"/>
      </left>
      <right/>
      <top style="medium">
        <color indexed="64"/>
      </top>
      <bottom/>
      <diagonal/>
    </border>
    <border>
      <left style="thick">
        <color indexed="64"/>
      </left>
      <right/>
      <top/>
      <bottom style="hair">
        <color indexed="64"/>
      </bottom>
      <diagonal/>
    </border>
    <border>
      <left style="hair">
        <color indexed="64"/>
      </left>
      <right style="thick">
        <color indexed="64"/>
      </right>
      <top/>
      <bottom style="medium">
        <color indexed="64"/>
      </bottom>
      <diagonal/>
    </border>
    <border>
      <left style="hair">
        <color indexed="64"/>
      </left>
      <right style="hair">
        <color indexed="64"/>
      </right>
      <top style="thick">
        <color indexed="64"/>
      </top>
      <bottom style="thick">
        <color indexed="64"/>
      </bottom>
      <diagonal/>
    </border>
    <border>
      <left style="hair">
        <color indexed="64"/>
      </left>
      <right style="medium">
        <color indexed="64"/>
      </right>
      <top style="thick">
        <color indexed="64"/>
      </top>
      <bottom style="thick">
        <color indexed="64"/>
      </bottom>
      <diagonal/>
    </border>
    <border>
      <left style="medium">
        <color indexed="64"/>
      </left>
      <right style="hair">
        <color indexed="64"/>
      </right>
      <top style="thick">
        <color indexed="64"/>
      </top>
      <bottom style="thick">
        <color indexed="64"/>
      </bottom>
      <diagonal/>
    </border>
    <border>
      <left style="hair">
        <color indexed="64"/>
      </left>
      <right style="thick">
        <color indexed="64"/>
      </right>
      <top style="thick">
        <color indexed="64"/>
      </top>
      <bottom style="thick">
        <color indexed="64"/>
      </bottom>
      <diagonal/>
    </border>
    <border>
      <left style="hair">
        <color indexed="64"/>
      </left>
      <right/>
      <top style="thick">
        <color indexed="64"/>
      </top>
      <bottom style="thick">
        <color indexed="64"/>
      </bottom>
      <diagonal/>
    </border>
    <border>
      <left/>
      <right style="medium">
        <color indexed="64"/>
      </right>
      <top style="thick">
        <color indexed="64"/>
      </top>
      <bottom style="thick">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thick">
        <color indexed="64"/>
      </bottom>
      <diagonal/>
    </border>
    <border>
      <left/>
      <right style="medium">
        <color indexed="64"/>
      </right>
      <top style="thick">
        <color indexed="64"/>
      </top>
      <bottom/>
      <diagonal/>
    </border>
    <border>
      <left style="thin">
        <color indexed="64"/>
      </left>
      <right style="medium">
        <color indexed="64"/>
      </right>
      <top style="thin">
        <color indexed="64"/>
      </top>
      <bottom/>
      <diagonal/>
    </border>
    <border>
      <left/>
      <right style="thin">
        <color indexed="64"/>
      </right>
      <top/>
      <bottom style="thick">
        <color indexed="64"/>
      </bottom>
      <diagonal/>
    </border>
    <border>
      <left style="thin">
        <color indexed="64"/>
      </left>
      <right style="thick">
        <color indexed="64"/>
      </right>
      <top/>
      <bottom style="thick">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hair">
        <color indexed="64"/>
      </left>
      <right/>
      <top style="thick">
        <color indexed="64"/>
      </top>
      <bottom/>
      <diagonal/>
    </border>
    <border>
      <left/>
      <right/>
      <top/>
      <bottom style="hair">
        <color indexed="64"/>
      </bottom>
      <diagonal/>
    </border>
    <border>
      <left style="thick">
        <color indexed="64"/>
      </left>
      <right/>
      <top style="thick">
        <color indexed="64"/>
      </top>
      <bottom style="thin">
        <color indexed="64"/>
      </bottom>
      <diagonal/>
    </border>
    <border>
      <left/>
      <right style="medium">
        <color indexed="64"/>
      </right>
      <top style="thick">
        <color indexed="64"/>
      </top>
      <bottom style="thin">
        <color indexed="64"/>
      </bottom>
      <diagonal/>
    </border>
    <border>
      <left style="hair">
        <color indexed="64"/>
      </left>
      <right style="thick">
        <color indexed="64"/>
      </right>
      <top style="thick">
        <color indexed="64"/>
      </top>
      <bottom/>
      <diagonal/>
    </border>
    <border>
      <left style="thin">
        <color indexed="64"/>
      </left>
      <right style="medium">
        <color indexed="64"/>
      </right>
      <top style="thick">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thick">
        <color indexed="64"/>
      </top>
      <bottom style="thick">
        <color indexed="64"/>
      </bottom>
      <diagonal/>
    </border>
    <border>
      <left style="medium">
        <color indexed="64"/>
      </left>
      <right/>
      <top style="thick">
        <color indexed="64"/>
      </top>
      <bottom/>
      <diagonal/>
    </border>
    <border>
      <left style="medium">
        <color indexed="64"/>
      </left>
      <right/>
      <top/>
      <bottom style="thick">
        <color indexed="64"/>
      </bottom>
      <diagonal/>
    </border>
    <border>
      <left style="thick">
        <color auto="1"/>
      </left>
      <right style="thin">
        <color indexed="64"/>
      </right>
      <top style="thick">
        <color indexed="64"/>
      </top>
      <bottom/>
      <diagonal/>
    </border>
    <border>
      <left/>
      <right style="thick">
        <color indexed="64"/>
      </right>
      <top/>
      <bottom style="medium">
        <color indexed="64"/>
      </bottom>
      <diagonal/>
    </border>
    <border>
      <left style="thick">
        <color auto="1"/>
      </left>
      <right style="thin">
        <color indexed="64"/>
      </right>
      <top/>
      <bottom/>
      <diagonal/>
    </border>
    <border>
      <left style="thick">
        <color auto="1"/>
      </left>
      <right style="thin">
        <color indexed="64"/>
      </right>
      <top/>
      <bottom style="medium">
        <color indexed="64"/>
      </bottom>
      <diagonal/>
    </border>
    <border>
      <left style="medium">
        <color indexed="64"/>
      </left>
      <right/>
      <top style="thick">
        <color indexed="64"/>
      </top>
      <bottom style="thick">
        <color indexed="64"/>
      </bottom>
      <diagonal/>
    </border>
    <border>
      <left/>
      <right style="hair">
        <color indexed="64"/>
      </right>
      <top style="thick">
        <color indexed="64"/>
      </top>
      <bottom style="thick">
        <color indexed="64"/>
      </bottom>
      <diagonal/>
    </border>
    <border>
      <left style="thick">
        <color indexed="64"/>
      </left>
      <right/>
      <top style="medium">
        <color indexed="64"/>
      </top>
      <bottom style="thin">
        <color indexed="64"/>
      </bottom>
      <diagonal/>
    </border>
    <border>
      <left style="medium">
        <color indexed="64"/>
      </left>
      <right/>
      <top style="thick">
        <color indexed="64"/>
      </top>
      <bottom style="thin">
        <color indexed="64"/>
      </bottom>
      <diagonal/>
    </border>
    <border>
      <left style="hair">
        <color indexed="64"/>
      </left>
      <right style="medium">
        <color indexed="64"/>
      </right>
      <top style="thick">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ck">
        <color indexed="64"/>
      </right>
      <top style="thick">
        <color indexed="64"/>
      </top>
      <bottom style="thick">
        <color indexed="64"/>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medium">
        <color indexed="64"/>
      </left>
      <right style="thick">
        <color indexed="64"/>
      </right>
      <top/>
      <bottom style="medium">
        <color indexed="64"/>
      </bottom>
      <diagonal/>
    </border>
    <border>
      <left/>
      <right style="thin">
        <color indexed="64"/>
      </right>
      <top style="medium">
        <color indexed="64"/>
      </top>
      <bottom/>
      <diagonal/>
    </border>
    <border>
      <left style="thick">
        <color indexed="64"/>
      </left>
      <right style="thin">
        <color indexed="64"/>
      </right>
      <top style="thick">
        <color indexed="64"/>
      </top>
      <bottom style="medium">
        <color indexed="64"/>
      </bottom>
      <diagonal/>
    </border>
    <border>
      <left/>
      <right/>
      <top style="thick">
        <color indexed="64"/>
      </top>
      <bottom style="medium">
        <color indexed="64"/>
      </bottom>
      <diagonal/>
    </border>
    <border>
      <left style="thin">
        <color indexed="64"/>
      </left>
      <right style="thick">
        <color indexed="64"/>
      </right>
      <top style="thick">
        <color indexed="64"/>
      </top>
      <bottom style="medium">
        <color indexed="64"/>
      </bottom>
      <diagonal/>
    </border>
    <border>
      <left style="thick">
        <color indexed="64"/>
      </left>
      <right style="thin">
        <color indexed="64"/>
      </right>
      <top style="medium">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thick">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right/>
      <top style="thick">
        <color indexed="64"/>
      </top>
      <bottom style="thin">
        <color indexed="64"/>
      </bottom>
      <diagonal/>
    </border>
    <border>
      <left/>
      <right/>
      <top style="thin">
        <color indexed="64"/>
      </top>
      <bottom style="thick">
        <color indexed="64"/>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thin">
        <color indexed="64"/>
      </left>
      <right style="dotted">
        <color indexed="64"/>
      </right>
      <top/>
      <bottom style="double">
        <color indexed="64"/>
      </bottom>
      <diagonal/>
    </border>
    <border>
      <left style="dotted">
        <color indexed="64"/>
      </left>
      <right style="dotted">
        <color indexed="64"/>
      </right>
      <top/>
      <bottom style="double">
        <color indexed="64"/>
      </bottom>
      <diagonal/>
    </border>
    <border>
      <left/>
      <right style="thin">
        <color indexed="64"/>
      </right>
      <top/>
      <bottom style="double">
        <color indexed="64"/>
      </bottom>
      <diagonal/>
    </border>
    <border>
      <left style="hair">
        <color indexed="64"/>
      </left>
      <right style="medium">
        <color indexed="64"/>
      </right>
      <top style="thin">
        <color indexed="64"/>
      </top>
      <bottom/>
      <diagonal/>
    </border>
    <border>
      <left style="hair">
        <color indexed="64"/>
      </left>
      <right style="medium">
        <color indexed="64"/>
      </right>
      <top/>
      <bottom style="thin">
        <color indexed="64"/>
      </bottom>
      <diagonal/>
    </border>
  </borders>
  <cellStyleXfs count="16">
    <xf numFmtId="0" fontId="0" fillId="0" borderId="0"/>
    <xf numFmtId="0" fontId="4" fillId="0" borderId="0"/>
    <xf numFmtId="0" fontId="2" fillId="0" borderId="0"/>
    <xf numFmtId="0" fontId="4" fillId="0" borderId="0"/>
    <xf numFmtId="0" fontId="4" fillId="0" borderId="0"/>
    <xf numFmtId="0" fontId="4" fillId="0" borderId="0"/>
    <xf numFmtId="0" fontId="9" fillId="0" borderId="0"/>
    <xf numFmtId="0" fontId="13" fillId="0" borderId="0" applyNumberFormat="0" applyFill="0" applyBorder="0" applyAlignment="0" applyProtection="0"/>
    <xf numFmtId="43" fontId="2" fillId="0" borderId="0" applyFont="0" applyFill="0" applyBorder="0" applyAlignment="0" applyProtection="0"/>
    <xf numFmtId="0" fontId="4" fillId="0" borderId="0"/>
    <xf numFmtId="0" fontId="4" fillId="0" borderId="0"/>
    <xf numFmtId="0" fontId="2" fillId="0" borderId="0"/>
    <xf numFmtId="0" fontId="4" fillId="0" borderId="0"/>
    <xf numFmtId="0" fontId="4" fillId="0" borderId="0"/>
    <xf numFmtId="43" fontId="2" fillId="0" borderId="0" applyFont="0" applyFill="0" applyBorder="0" applyAlignment="0" applyProtection="0"/>
    <xf numFmtId="0" fontId="43" fillId="24" borderId="0" applyNumberFormat="0" applyBorder="0" applyAlignment="0" applyProtection="0"/>
  </cellStyleXfs>
  <cellXfs count="1586">
    <xf numFmtId="0" fontId="0" fillId="0" borderId="0" xfId="0"/>
    <xf numFmtId="0" fontId="5" fillId="0" borderId="0" xfId="0" applyFont="1"/>
    <xf numFmtId="0" fontId="9" fillId="0" borderId="0" xfId="6" applyAlignment="1">
      <alignment horizontal="left" vertical="top"/>
    </xf>
    <xf numFmtId="0" fontId="5" fillId="0" borderId="0" xfId="0" applyFont="1" applyAlignment="1">
      <alignment horizontal="center"/>
    </xf>
    <xf numFmtId="0" fontId="0" fillId="0" borderId="0" xfId="0" applyAlignment="1">
      <alignment horizontal="center"/>
    </xf>
    <xf numFmtId="166" fontId="21" fillId="0" borderId="30" xfId="1" applyNumberFormat="1" applyFont="1" applyBorder="1" applyAlignment="1">
      <alignment horizontal="left" vertical="center"/>
    </xf>
    <xf numFmtId="166" fontId="21" fillId="0" borderId="26" xfId="1" applyNumberFormat="1" applyFont="1" applyBorder="1" applyAlignment="1">
      <alignment horizontal="center"/>
    </xf>
    <xf numFmtId="166" fontId="21" fillId="0" borderId="31" xfId="1" applyNumberFormat="1" applyFont="1" applyBorder="1" applyAlignment="1">
      <alignment horizontal="center"/>
    </xf>
    <xf numFmtId="166" fontId="14" fillId="0" borderId="4" xfId="1" applyNumberFormat="1" applyFont="1" applyBorder="1" applyAlignment="1">
      <alignment horizontal="left" vertical="center"/>
    </xf>
    <xf numFmtId="166" fontId="14" fillId="0" borderId="1" xfId="1" applyNumberFormat="1" applyFont="1" applyBorder="1" applyAlignment="1">
      <alignment horizontal="center"/>
    </xf>
    <xf numFmtId="166" fontId="14" fillId="0" borderId="4" xfId="1" applyNumberFormat="1" applyFont="1" applyBorder="1" applyAlignment="1">
      <alignment horizontal="left"/>
    </xf>
    <xf numFmtId="166" fontId="14" fillId="0" borderId="5" xfId="1" applyNumberFormat="1" applyFont="1" applyBorder="1" applyAlignment="1">
      <alignment horizontal="left"/>
    </xf>
    <xf numFmtId="166" fontId="14" fillId="0" borderId="6" xfId="1" applyNumberFormat="1" applyFont="1" applyBorder="1" applyAlignment="1">
      <alignment horizontal="center"/>
    </xf>
    <xf numFmtId="0" fontId="20" fillId="0" borderId="0" xfId="0" applyFont="1" applyAlignment="1">
      <alignment horizontal="right"/>
    </xf>
    <xf numFmtId="3" fontId="4" fillId="0" borderId="1" xfId="1" applyNumberFormat="1" applyBorder="1" applyAlignment="1">
      <alignment horizontal="center"/>
    </xf>
    <xf numFmtId="3" fontId="14" fillId="0" borderId="1" xfId="1" applyNumberFormat="1" applyFont="1" applyBorder="1" applyAlignment="1">
      <alignment horizontal="center"/>
    </xf>
    <xf numFmtId="3" fontId="14" fillId="0" borderId="20" xfId="1" applyNumberFormat="1" applyFont="1" applyBorder="1" applyAlignment="1">
      <alignment horizontal="center"/>
    </xf>
    <xf numFmtId="3" fontId="14" fillId="0" borderId="6" xfId="1" applyNumberFormat="1" applyFont="1" applyBorder="1" applyAlignment="1">
      <alignment horizontal="center"/>
    </xf>
    <xf numFmtId="3" fontId="14" fillId="0" borderId="22" xfId="1" applyNumberFormat="1" applyFont="1" applyBorder="1" applyAlignment="1">
      <alignment horizontal="center"/>
    </xf>
    <xf numFmtId="4" fontId="8" fillId="0" borderId="2" xfId="0" applyNumberFormat="1" applyFont="1" applyBorder="1" applyAlignment="1">
      <alignment horizontal="center"/>
    </xf>
    <xf numFmtId="4" fontId="8" fillId="0" borderId="3" xfId="0" applyNumberFormat="1" applyFont="1" applyBorder="1" applyAlignment="1">
      <alignment horizontal="center"/>
    </xf>
    <xf numFmtId="4" fontId="8" fillId="0" borderId="19" xfId="0" applyNumberFormat="1" applyFont="1" applyBorder="1" applyAlignment="1">
      <alignment horizontal="center"/>
    </xf>
    <xf numFmtId="0" fontId="4" fillId="9" borderId="0" xfId="0" applyFont="1" applyFill="1" applyAlignment="1">
      <alignment horizontal="center"/>
    </xf>
    <xf numFmtId="4" fontId="4" fillId="9" borderId="0" xfId="0" applyNumberFormat="1" applyFont="1" applyFill="1" applyAlignment="1">
      <alignment horizontal="center"/>
    </xf>
    <xf numFmtId="4" fontId="4" fillId="9" borderId="33" xfId="0" quotePrefix="1" applyNumberFormat="1" applyFont="1" applyFill="1" applyBorder="1" applyAlignment="1">
      <alignment horizontal="center"/>
    </xf>
    <xf numFmtId="4" fontId="4" fillId="9" borderId="33" xfId="0" applyNumberFormat="1" applyFont="1" applyFill="1" applyBorder="1" applyAlignment="1">
      <alignment horizontal="center"/>
    </xf>
    <xf numFmtId="4" fontId="4" fillId="9" borderId="34" xfId="0" applyNumberFormat="1" applyFont="1" applyFill="1" applyBorder="1" applyAlignment="1">
      <alignment horizontal="center"/>
    </xf>
    <xf numFmtId="0" fontId="4" fillId="9" borderId="35" xfId="0" applyFont="1" applyFill="1" applyBorder="1" applyAlignment="1">
      <alignment horizontal="left"/>
    </xf>
    <xf numFmtId="0" fontId="7" fillId="0" borderId="0" xfId="0" applyFont="1"/>
    <xf numFmtId="0" fontId="5" fillId="8" borderId="28" xfId="0" applyFont="1" applyFill="1" applyBorder="1" applyAlignment="1" applyProtection="1">
      <alignment horizontal="center" vertical="center" wrapText="1"/>
      <protection locked="0"/>
    </xf>
    <xf numFmtId="0" fontId="0" fillId="19" borderId="28" xfId="0" applyFill="1" applyBorder="1" applyAlignment="1" applyProtection="1">
      <alignment horizontal="center" vertical="center"/>
      <protection locked="0"/>
    </xf>
    <xf numFmtId="0" fontId="0" fillId="21" borderId="28" xfId="0" applyFill="1" applyBorder="1" applyAlignment="1" applyProtection="1">
      <alignment horizontal="center" vertical="center"/>
      <protection locked="0"/>
    </xf>
    <xf numFmtId="0" fontId="0" fillId="22" borderId="28" xfId="0" applyFill="1" applyBorder="1" applyAlignment="1" applyProtection="1">
      <alignment horizontal="center" vertical="center"/>
      <protection locked="0"/>
    </xf>
    <xf numFmtId="0" fontId="38" fillId="12" borderId="1" xfId="1" applyFont="1" applyFill="1" applyBorder="1" applyAlignment="1">
      <alignment horizontal="center"/>
    </xf>
    <xf numFmtId="0" fontId="8" fillId="12" borderId="1" xfId="0" applyFont="1" applyFill="1" applyBorder="1" applyAlignment="1">
      <alignment horizontal="center"/>
    </xf>
    <xf numFmtId="0" fontId="39" fillId="12" borderId="1" xfId="0" applyFont="1" applyFill="1" applyBorder="1" applyAlignment="1">
      <alignment horizontal="center"/>
    </xf>
    <xf numFmtId="0" fontId="3" fillId="12" borderId="1" xfId="0" applyFont="1" applyFill="1" applyBorder="1" applyAlignment="1">
      <alignment horizontal="center"/>
    </xf>
    <xf numFmtId="0" fontId="13" fillId="0" borderId="0" xfId="7"/>
    <xf numFmtId="0" fontId="13" fillId="0" borderId="0" xfId="7" applyAlignment="1">
      <alignment horizontal="left" vertical="top"/>
    </xf>
    <xf numFmtId="0" fontId="42" fillId="0" borderId="0" xfId="0" applyFont="1"/>
    <xf numFmtId="0" fontId="18" fillId="19" borderId="2" xfId="0" applyFont="1" applyFill="1" applyBorder="1" applyAlignment="1" applyProtection="1">
      <alignment horizontal="center" vertical="center"/>
      <protection locked="0"/>
    </xf>
    <xf numFmtId="0" fontId="14" fillId="8" borderId="3" xfId="0" applyFont="1" applyFill="1" applyBorder="1" applyAlignment="1" applyProtection="1">
      <alignment vertical="center" wrapText="1"/>
      <protection locked="0"/>
    </xf>
    <xf numFmtId="0" fontId="18" fillId="21" borderId="3" xfId="0" applyFont="1" applyFill="1" applyBorder="1" applyAlignment="1" applyProtection="1">
      <alignment horizontal="center" vertical="center"/>
      <protection locked="0"/>
    </xf>
    <xf numFmtId="0" fontId="18" fillId="22" borderId="3" xfId="0" applyFont="1" applyFill="1" applyBorder="1" applyAlignment="1" applyProtection="1">
      <alignment horizontal="center" vertical="center"/>
      <protection locked="0"/>
    </xf>
    <xf numFmtId="0" fontId="18" fillId="19" borderId="4" xfId="0" applyFont="1" applyFill="1" applyBorder="1" applyAlignment="1" applyProtection="1">
      <alignment horizontal="center" vertical="center"/>
      <protection locked="0"/>
    </xf>
    <xf numFmtId="0" fontId="14" fillId="8" borderId="1" xfId="0" applyFont="1" applyFill="1" applyBorder="1" applyAlignment="1" applyProtection="1">
      <alignment vertical="center" wrapText="1"/>
      <protection locked="0"/>
    </xf>
    <xf numFmtId="0" fontId="18" fillId="21" borderId="1" xfId="0" applyFont="1" applyFill="1" applyBorder="1" applyAlignment="1" applyProtection="1">
      <alignment horizontal="center" vertical="center"/>
      <protection locked="0"/>
    </xf>
    <xf numFmtId="0" fontId="18" fillId="22" borderId="1" xfId="0" applyFont="1" applyFill="1" applyBorder="1" applyAlignment="1" applyProtection="1">
      <alignment horizontal="center" vertical="center"/>
      <protection locked="0"/>
    </xf>
    <xf numFmtId="0" fontId="18" fillId="19" borderId="5" xfId="0" applyFont="1" applyFill="1" applyBorder="1" applyAlignment="1" applyProtection="1">
      <alignment horizontal="center" vertical="center"/>
      <protection locked="0"/>
    </xf>
    <xf numFmtId="0" fontId="14" fillId="8" borderId="6" xfId="0" applyFont="1" applyFill="1" applyBorder="1" applyAlignment="1" applyProtection="1">
      <alignment vertical="center" wrapText="1"/>
      <protection locked="0"/>
    </xf>
    <xf numFmtId="0" fontId="18" fillId="21" borderId="6" xfId="0" applyFont="1" applyFill="1" applyBorder="1" applyAlignment="1" applyProtection="1">
      <alignment horizontal="center" vertical="center"/>
      <protection locked="0"/>
    </xf>
    <xf numFmtId="0" fontId="18" fillId="22" borderId="6" xfId="0" applyFont="1" applyFill="1" applyBorder="1" applyAlignment="1" applyProtection="1">
      <alignment horizontal="center" vertical="center"/>
      <protection locked="0"/>
    </xf>
    <xf numFmtId="0" fontId="55" fillId="0" borderId="0" xfId="6" applyFont="1" applyAlignment="1">
      <alignment horizontal="left" vertical="top"/>
    </xf>
    <xf numFmtId="0" fontId="38" fillId="0" borderId="0" xfId="0" applyFont="1" applyAlignment="1">
      <alignment vertical="top"/>
    </xf>
    <xf numFmtId="0" fontId="55" fillId="0" borderId="60" xfId="6" applyFont="1" applyBorder="1" applyAlignment="1">
      <alignment horizontal="center" vertical="center"/>
    </xf>
    <xf numFmtId="0" fontId="55" fillId="0" borderId="58" xfId="6" applyFont="1" applyBorder="1" applyAlignment="1">
      <alignment horizontal="center" vertical="center"/>
    </xf>
    <xf numFmtId="0" fontId="9" fillId="0" borderId="29" xfId="6" applyBorder="1" applyAlignment="1">
      <alignment horizontal="center" vertical="center"/>
    </xf>
    <xf numFmtId="0" fontId="9" fillId="0" borderId="21" xfId="6" applyBorder="1" applyAlignment="1">
      <alignment horizontal="center" vertical="center"/>
    </xf>
    <xf numFmtId="0" fontId="9" fillId="0" borderId="56" xfId="6" applyBorder="1" applyAlignment="1">
      <alignment horizontal="center" vertical="center"/>
    </xf>
    <xf numFmtId="0" fontId="9" fillId="0" borderId="54" xfId="6" applyBorder="1" applyAlignment="1">
      <alignment horizontal="center" vertical="center"/>
    </xf>
    <xf numFmtId="0" fontId="9" fillId="0" borderId="0" xfId="6" applyAlignment="1">
      <alignment horizontal="center" vertical="top"/>
    </xf>
    <xf numFmtId="0" fontId="7" fillId="0" borderId="0" xfId="0" applyFont="1" applyAlignment="1">
      <alignment horizontal="center"/>
    </xf>
    <xf numFmtId="0" fontId="55" fillId="0" borderId="0" xfId="6" applyFont="1" applyAlignment="1">
      <alignment horizontal="center" vertical="top"/>
    </xf>
    <xf numFmtId="0" fontId="5" fillId="12" borderId="1" xfId="0" applyFont="1" applyFill="1" applyBorder="1" applyAlignment="1">
      <alignment horizontal="center"/>
    </xf>
    <xf numFmtId="0" fontId="0" fillId="0" borderId="0" xfId="0" applyAlignment="1">
      <alignment vertical="center"/>
    </xf>
    <xf numFmtId="0" fontId="0" fillId="20" borderId="0" xfId="0" applyFill="1"/>
    <xf numFmtId="0" fontId="0" fillId="20" borderId="0" xfId="0" applyFill="1" applyAlignment="1">
      <alignment vertical="top" wrapText="1"/>
    </xf>
    <xf numFmtId="0" fontId="0" fillId="20" borderId="0" xfId="0" applyFill="1" applyAlignment="1">
      <alignment vertical="top"/>
    </xf>
    <xf numFmtId="0" fontId="54" fillId="20" borderId="0" xfId="0" applyFont="1" applyFill="1"/>
    <xf numFmtId="0" fontId="53" fillId="20" borderId="0" xfId="0" applyFont="1" applyFill="1" applyAlignment="1">
      <alignment vertical="top" wrapText="1"/>
    </xf>
    <xf numFmtId="0" fontId="8" fillId="20" borderId="0" xfId="0" applyFont="1" applyFill="1"/>
    <xf numFmtId="0" fontId="22" fillId="20" borderId="0" xfId="0" applyFont="1" applyFill="1"/>
    <xf numFmtId="0" fontId="13" fillId="20" borderId="0" xfId="7" applyFill="1"/>
    <xf numFmtId="0" fontId="26" fillId="20" borderId="0" xfId="7" applyFont="1" applyFill="1" applyAlignment="1"/>
    <xf numFmtId="0" fontId="26" fillId="20" borderId="0" xfId="7" applyFont="1" applyFill="1" applyAlignment="1">
      <alignment vertical="center"/>
    </xf>
    <xf numFmtId="0" fontId="33" fillId="20" borderId="0" xfId="0" applyFont="1" applyFill="1" applyAlignment="1">
      <alignment horizontal="left"/>
    </xf>
    <xf numFmtId="0" fontId="0" fillId="20" borderId="0" xfId="0" applyFill="1" applyAlignment="1">
      <alignment horizontal="left"/>
    </xf>
    <xf numFmtId="0" fontId="0" fillId="0" borderId="0" xfId="0" applyAlignment="1">
      <alignment horizontal="left" indent="1"/>
    </xf>
    <xf numFmtId="3" fontId="0" fillId="0" borderId="0" xfId="8" applyNumberFormat="1" applyFont="1"/>
    <xf numFmtId="3" fontId="0" fillId="0" borderId="0" xfId="0" applyNumberFormat="1"/>
    <xf numFmtId="0" fontId="0" fillId="0" borderId="8" xfId="0" applyBorder="1" applyAlignment="1">
      <alignment horizontal="left" indent="1"/>
    </xf>
    <xf numFmtId="3" fontId="0" fillId="0" borderId="8" xfId="8" applyNumberFormat="1" applyFont="1" applyBorder="1"/>
    <xf numFmtId="3" fontId="0" fillId="0" borderId="9" xfId="8" applyNumberFormat="1" applyFont="1" applyBorder="1"/>
    <xf numFmtId="3" fontId="0" fillId="0" borderId="0" xfId="8" applyNumberFormat="1" applyFont="1" applyBorder="1"/>
    <xf numFmtId="3" fontId="0" fillId="0" borderId="11" xfId="8" applyNumberFormat="1" applyFont="1" applyBorder="1"/>
    <xf numFmtId="0" fontId="0" fillId="0" borderId="13" xfId="0" applyBorder="1" applyAlignment="1">
      <alignment horizontal="left" indent="1"/>
    </xf>
    <xf numFmtId="3" fontId="0" fillId="0" borderId="13" xfId="8" applyNumberFormat="1" applyFont="1" applyBorder="1"/>
    <xf numFmtId="3" fontId="0" fillId="0" borderId="14" xfId="8" applyNumberFormat="1" applyFont="1" applyBorder="1"/>
    <xf numFmtId="0" fontId="8" fillId="0" borderId="59" xfId="0" applyFont="1" applyBorder="1" applyAlignment="1">
      <alignment horizontal="center"/>
    </xf>
    <xf numFmtId="1" fontId="21" fillId="13" borderId="28" xfId="1" applyNumberFormat="1" applyFont="1" applyFill="1" applyBorder="1" applyAlignment="1">
      <alignment horizontal="center" vertical="center" wrapText="1"/>
    </xf>
    <xf numFmtId="2" fontId="25" fillId="21" borderId="32" xfId="0" applyNumberFormat="1" applyFont="1" applyFill="1" applyBorder="1" applyAlignment="1">
      <alignment horizontal="center" vertical="center"/>
    </xf>
    <xf numFmtId="1" fontId="21" fillId="13" borderId="1" xfId="1" applyNumberFormat="1" applyFont="1" applyFill="1" applyBorder="1" applyAlignment="1">
      <alignment horizontal="center" vertical="center" wrapText="1"/>
    </xf>
    <xf numFmtId="2" fontId="25" fillId="21" borderId="20" xfId="0" applyNumberFormat="1" applyFont="1" applyFill="1" applyBorder="1" applyAlignment="1">
      <alignment horizontal="center" vertical="center"/>
    </xf>
    <xf numFmtId="1" fontId="21" fillId="13" borderId="6" xfId="1" applyNumberFormat="1" applyFont="1" applyFill="1" applyBorder="1" applyAlignment="1">
      <alignment horizontal="center" vertical="center" wrapText="1"/>
    </xf>
    <xf numFmtId="2" fontId="25" fillId="21" borderId="22" xfId="0" applyNumberFormat="1" applyFont="1" applyFill="1" applyBorder="1" applyAlignment="1">
      <alignment horizontal="center" vertical="center"/>
    </xf>
    <xf numFmtId="0" fontId="5" fillId="0" borderId="0" xfId="0" applyFont="1" applyAlignment="1">
      <alignment horizontal="center" wrapText="1"/>
    </xf>
    <xf numFmtId="0" fontId="0" fillId="0" borderId="0" xfId="0" applyAlignment="1">
      <alignment horizontal="center" wrapText="1"/>
    </xf>
    <xf numFmtId="0" fontId="30" fillId="29" borderId="7" xfId="0" applyFont="1" applyFill="1" applyBorder="1" applyAlignment="1">
      <alignment horizontal="left"/>
    </xf>
    <xf numFmtId="0" fontId="30" fillId="29" borderId="8" xfId="0" applyFont="1" applyFill="1" applyBorder="1" applyAlignment="1">
      <alignment horizontal="left"/>
    </xf>
    <xf numFmtId="0" fontId="30" fillId="29" borderId="9" xfId="0" applyFont="1" applyFill="1" applyBorder="1" applyAlignment="1">
      <alignment horizontal="left"/>
    </xf>
    <xf numFmtId="0" fontId="30" fillId="29" borderId="0" xfId="0" applyFont="1" applyFill="1" applyAlignment="1">
      <alignment horizontal="left"/>
    </xf>
    <xf numFmtId="0" fontId="30" fillId="29" borderId="11" xfId="0" applyFont="1" applyFill="1" applyBorder="1" applyAlignment="1">
      <alignment horizontal="left"/>
    </xf>
    <xf numFmtId="0" fontId="30" fillId="29" borderId="13" xfId="0" applyFont="1" applyFill="1" applyBorder="1" applyAlignment="1">
      <alignment horizontal="left"/>
    </xf>
    <xf numFmtId="0" fontId="30" fillId="29" borderId="14" xfId="0" applyFont="1" applyFill="1" applyBorder="1" applyAlignment="1">
      <alignment horizontal="left"/>
    </xf>
    <xf numFmtId="0" fontId="30" fillId="29" borderId="10" xfId="0" applyFont="1" applyFill="1" applyBorder="1" applyAlignment="1">
      <alignment horizontal="left" indent="2"/>
    </xf>
    <xf numFmtId="0" fontId="30" fillId="29" borderId="12" xfId="0" applyFont="1" applyFill="1" applyBorder="1" applyAlignment="1">
      <alignment horizontal="left" indent="2"/>
    </xf>
    <xf numFmtId="0" fontId="9" fillId="0" borderId="132" xfId="6" applyBorder="1" applyAlignment="1">
      <alignment horizontal="center" vertical="top"/>
    </xf>
    <xf numFmtId="2" fontId="13" fillId="0" borderId="0" xfId="7" applyNumberFormat="1" applyBorder="1" applyAlignment="1">
      <alignment horizontal="left" vertical="top"/>
    </xf>
    <xf numFmtId="0" fontId="63" fillId="0" borderId="0" xfId="7" applyFont="1" applyAlignment="1" applyProtection="1">
      <alignment vertical="center" wrapText="1"/>
    </xf>
    <xf numFmtId="0" fontId="64" fillId="0" borderId="0" xfId="7" applyFont="1" applyAlignment="1" applyProtection="1">
      <alignment vertical="top" wrapText="1"/>
    </xf>
    <xf numFmtId="0" fontId="64" fillId="0" borderId="0" xfId="7" applyFont="1" applyBorder="1" applyAlignment="1" applyProtection="1">
      <alignment vertical="top" wrapText="1"/>
    </xf>
    <xf numFmtId="166" fontId="14" fillId="0" borderId="27" xfId="1" applyNumberFormat="1" applyFont="1" applyBorder="1" applyAlignment="1">
      <alignment horizontal="left" vertical="center"/>
    </xf>
    <xf numFmtId="166" fontId="14" fillId="0" borderId="28" xfId="1" applyNumberFormat="1" applyFont="1" applyBorder="1" applyAlignment="1">
      <alignment horizontal="center"/>
    </xf>
    <xf numFmtId="3" fontId="14" fillId="0" borderId="28" xfId="1" applyNumberFormat="1" applyFont="1" applyBorder="1" applyAlignment="1">
      <alignment horizontal="center"/>
    </xf>
    <xf numFmtId="3" fontId="14" fillId="0" borderId="32" xfId="1" applyNumberFormat="1" applyFont="1" applyBorder="1" applyAlignment="1">
      <alignment horizontal="center"/>
    </xf>
    <xf numFmtId="0" fontId="0" fillId="19" borderId="1" xfId="0" applyFill="1" applyBorder="1" applyAlignment="1" applyProtection="1">
      <alignment horizontal="center" vertical="center"/>
      <protection locked="0"/>
    </xf>
    <xf numFmtId="0" fontId="22" fillId="0" borderId="0" xfId="0" applyFont="1"/>
    <xf numFmtId="0" fontId="68" fillId="21" borderId="24" xfId="0" applyFont="1" applyFill="1" applyBorder="1"/>
    <xf numFmtId="0" fontId="68" fillId="0" borderId="24" xfId="0" applyFont="1" applyBorder="1" applyAlignment="1">
      <alignment horizontal="center"/>
    </xf>
    <xf numFmtId="0" fontId="22" fillId="0" borderId="17"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25" xfId="0" applyFont="1" applyBorder="1" applyAlignment="1">
      <alignment horizontal="center" vertical="center" wrapText="1"/>
    </xf>
    <xf numFmtId="0" fontId="0" fillId="0" borderId="0" xfId="0" applyAlignment="1">
      <alignment horizontal="center" vertical="center" wrapText="1"/>
    </xf>
    <xf numFmtId="0" fontId="49" fillId="0" borderId="0" xfId="0" applyFont="1" applyAlignment="1">
      <alignment horizontal="left" vertical="center"/>
    </xf>
    <xf numFmtId="0" fontId="0" fillId="0" borderId="15" xfId="0" applyBorder="1" applyAlignment="1">
      <alignment vertical="center"/>
    </xf>
    <xf numFmtId="0" fontId="0" fillId="0" borderId="0" xfId="0" applyAlignment="1">
      <alignment horizontal="right" vertical="center"/>
    </xf>
    <xf numFmtId="0" fontId="0" fillId="0" borderId="9" xfId="0" applyBorder="1" applyAlignment="1">
      <alignment vertical="center"/>
    </xf>
    <xf numFmtId="0" fontId="0" fillId="0" borderId="11" xfId="0" applyBorder="1" applyAlignment="1">
      <alignment vertical="center"/>
    </xf>
    <xf numFmtId="0" fontId="49" fillId="0" borderId="0" xfId="0" applyFont="1"/>
    <xf numFmtId="0" fontId="0" fillId="0" borderId="16" xfId="0" applyBorder="1" applyAlignment="1">
      <alignment vertical="center"/>
    </xf>
    <xf numFmtId="0" fontId="0" fillId="0" borderId="135" xfId="0" applyBorder="1" applyAlignment="1">
      <alignment vertical="center"/>
    </xf>
    <xf numFmtId="0" fontId="0" fillId="0" borderId="122" xfId="0" applyBorder="1" applyAlignment="1">
      <alignment vertical="center"/>
    </xf>
    <xf numFmtId="0" fontId="0" fillId="0" borderId="59" xfId="0" applyBorder="1" applyAlignment="1">
      <alignment vertical="center"/>
    </xf>
    <xf numFmtId="0" fontId="0" fillId="0" borderId="59" xfId="0" applyBorder="1" applyAlignment="1">
      <alignment horizontal="right" vertical="center"/>
    </xf>
    <xf numFmtId="0" fontId="0" fillId="0" borderId="136" xfId="0" applyBorder="1" applyAlignment="1">
      <alignment vertical="center"/>
    </xf>
    <xf numFmtId="0" fontId="0" fillId="0" borderId="18" xfId="0" applyBorder="1" applyAlignment="1">
      <alignment vertical="center"/>
    </xf>
    <xf numFmtId="0" fontId="0" fillId="0" borderId="13" xfId="0" applyBorder="1" applyAlignment="1">
      <alignment vertical="center"/>
    </xf>
    <xf numFmtId="0" fontId="0" fillId="0" borderId="13" xfId="0" applyBorder="1" applyAlignment="1">
      <alignment horizontal="right" vertical="center"/>
    </xf>
    <xf numFmtId="0" fontId="0" fillId="0" borderId="14" xfId="0" applyBorder="1" applyAlignment="1">
      <alignment vertical="center"/>
    </xf>
    <xf numFmtId="0" fontId="0" fillId="0" borderId="10" xfId="0" applyBorder="1" applyAlignment="1">
      <alignment vertical="center"/>
    </xf>
    <xf numFmtId="0" fontId="0" fillId="0" borderId="10" xfId="0" applyBorder="1"/>
    <xf numFmtId="0" fontId="0" fillId="0" borderId="8" xfId="0" applyBorder="1" applyAlignment="1">
      <alignment vertical="center"/>
    </xf>
    <xf numFmtId="0" fontId="0" fillId="0" borderId="12" xfId="0" applyBorder="1" applyAlignment="1">
      <alignment vertical="center"/>
    </xf>
    <xf numFmtId="0" fontId="0" fillId="0" borderId="7" xfId="0" applyBorder="1" applyAlignment="1">
      <alignment vertical="center"/>
    </xf>
    <xf numFmtId="0" fontId="0" fillId="0" borderId="11" xfId="0" applyBorder="1"/>
    <xf numFmtId="0" fontId="0" fillId="0" borderId="9" xfId="0" applyBorder="1" applyAlignment="1">
      <alignment horizontal="left" vertical="center"/>
    </xf>
    <xf numFmtId="0" fontId="0" fillId="0" borderId="11" xfId="0" applyBorder="1" applyAlignment="1">
      <alignment horizontal="left" vertical="center"/>
    </xf>
    <xf numFmtId="0" fontId="0" fillId="0" borderId="136"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xf>
    <xf numFmtId="0" fontId="18" fillId="0" borderId="0" xfId="0" applyFont="1" applyAlignment="1">
      <alignment vertical="center"/>
    </xf>
    <xf numFmtId="0" fontId="19" fillId="0" borderId="0" xfId="7" applyFont="1" applyFill="1" applyBorder="1" applyAlignment="1" applyProtection="1">
      <alignment vertical="top"/>
    </xf>
    <xf numFmtId="0" fontId="13" fillId="0" borderId="0" xfId="7" applyBorder="1" applyAlignment="1" applyProtection="1">
      <alignment horizontal="center" vertical="top"/>
    </xf>
    <xf numFmtId="0" fontId="13" fillId="0" borderId="0" xfId="7" applyFill="1" applyBorder="1" applyAlignment="1" applyProtection="1">
      <alignment vertical="top"/>
    </xf>
    <xf numFmtId="0" fontId="0" fillId="0" borderId="11" xfId="8" applyNumberFormat="1" applyFont="1" applyBorder="1" applyAlignment="1" applyProtection="1">
      <alignment horizontal="center" vertical="center"/>
    </xf>
    <xf numFmtId="0" fontId="0" fillId="0" borderId="0" xfId="0" applyAlignment="1">
      <alignment horizontal="center" vertical="center"/>
    </xf>
    <xf numFmtId="0" fontId="0" fillId="0" borderId="163" xfId="8" applyNumberFormat="1" applyFont="1" applyBorder="1" applyAlignment="1" applyProtection="1">
      <alignment horizontal="center" vertical="center"/>
    </xf>
    <xf numFmtId="0" fontId="0" fillId="0" borderId="118" xfId="0" applyBorder="1" applyAlignment="1">
      <alignment horizontal="center" vertical="center"/>
    </xf>
    <xf numFmtId="0" fontId="0" fillId="0" borderId="11" xfId="0" applyBorder="1" applyAlignment="1">
      <alignment horizontal="center"/>
    </xf>
    <xf numFmtId="0" fontId="0" fillId="0" borderId="139" xfId="8" applyNumberFormat="1" applyFont="1" applyBorder="1" applyAlignment="1" applyProtection="1">
      <alignment horizontal="center" vertical="center"/>
    </xf>
    <xf numFmtId="0" fontId="0" fillId="0" borderId="13" xfId="0" applyBorder="1" applyAlignment="1">
      <alignment horizontal="center"/>
    </xf>
    <xf numFmtId="0" fontId="0" fillId="0" borderId="14" xfId="0" applyBorder="1" applyAlignment="1">
      <alignment horizontal="center"/>
    </xf>
    <xf numFmtId="0" fontId="0" fillId="0" borderId="9" xfId="8" applyNumberFormat="1" applyFont="1" applyBorder="1" applyAlignment="1" applyProtection="1">
      <alignment horizontal="center" vertical="center"/>
    </xf>
    <xf numFmtId="0" fontId="0" fillId="0" borderId="164" xfId="8" applyNumberFormat="1" applyFont="1" applyBorder="1" applyAlignment="1" applyProtection="1">
      <alignment horizontal="center" vertical="center"/>
    </xf>
    <xf numFmtId="0" fontId="6" fillId="0" borderId="0" xfId="0" applyFont="1"/>
    <xf numFmtId="0" fontId="5" fillId="0" borderId="0" xfId="0" applyFont="1" applyAlignment="1">
      <alignment horizontal="center" vertical="center" wrapText="1"/>
    </xf>
    <xf numFmtId="0" fontId="5" fillId="0" borderId="7" xfId="0" applyFont="1" applyBorder="1" applyAlignment="1">
      <alignment horizontal="center"/>
    </xf>
    <xf numFmtId="3" fontId="5" fillId="0" borderId="0" xfId="0" applyNumberFormat="1" applyFont="1" applyAlignment="1">
      <alignment horizontal="center"/>
    </xf>
    <xf numFmtId="0" fontId="5" fillId="0" borderId="10" xfId="0" applyFont="1" applyBorder="1" applyAlignment="1">
      <alignment horizontal="center"/>
    </xf>
    <xf numFmtId="167" fontId="5" fillId="0" borderId="11" xfId="8" applyNumberFormat="1" applyFont="1" applyFill="1" applyBorder="1" applyAlignment="1" applyProtection="1">
      <alignment horizontal="right" vertical="center"/>
    </xf>
    <xf numFmtId="0" fontId="5" fillId="0" borderId="10" xfId="0" applyFont="1" applyBorder="1" applyAlignment="1">
      <alignment horizontal="center" wrapText="1"/>
    </xf>
    <xf numFmtId="0" fontId="5" fillId="0" borderId="12" xfId="0" applyFont="1" applyBorder="1" applyAlignment="1">
      <alignment horizontal="center"/>
    </xf>
    <xf numFmtId="0" fontId="5" fillId="0" borderId="13" xfId="0" applyFont="1" applyBorder="1"/>
    <xf numFmtId="0" fontId="5" fillId="0" borderId="10" xfId="0" applyFont="1" applyBorder="1"/>
    <xf numFmtId="167" fontId="5" fillId="0" borderId="0" xfId="8" applyNumberFormat="1" applyFont="1" applyFill="1" applyProtection="1"/>
    <xf numFmtId="0" fontId="5" fillId="0" borderId="12" xfId="0" applyFont="1" applyBorder="1"/>
    <xf numFmtId="167" fontId="5" fillId="0" borderId="13" xfId="8" applyNumberFormat="1" applyFont="1" applyFill="1" applyBorder="1" applyProtection="1"/>
    <xf numFmtId="167" fontId="5" fillId="0" borderId="14" xfId="8" applyNumberFormat="1" applyFont="1" applyFill="1" applyBorder="1" applyProtection="1"/>
    <xf numFmtId="0" fontId="5" fillId="0" borderId="24" xfId="0" applyFont="1" applyBorder="1" applyAlignment="1">
      <alignment horizontal="left" indent="1"/>
    </xf>
    <xf numFmtId="3" fontId="5" fillId="0" borderId="8" xfId="0" applyNumberFormat="1" applyFont="1" applyBorder="1" applyAlignment="1">
      <alignment horizontal="center"/>
    </xf>
    <xf numFmtId="0" fontId="6" fillId="0" borderId="0" xfId="0" applyFont="1" applyAlignment="1">
      <alignment horizontal="left"/>
    </xf>
    <xf numFmtId="167" fontId="5" fillId="0" borderId="3" xfId="8" applyNumberFormat="1" applyFont="1" applyFill="1" applyBorder="1" applyProtection="1"/>
    <xf numFmtId="0" fontId="5" fillId="0" borderId="7" xfId="0" applyFont="1" applyBorder="1"/>
    <xf numFmtId="0" fontId="5" fillId="0" borderId="14" xfId="0" applyFont="1" applyBorder="1" applyAlignment="1">
      <alignment horizontal="left" indent="1"/>
    </xf>
    <xf numFmtId="0" fontId="5" fillId="0" borderId="0" xfId="15" applyFont="1" applyFill="1" applyAlignment="1" applyProtection="1">
      <alignment horizontal="center"/>
    </xf>
    <xf numFmtId="0" fontId="5" fillId="0" borderId="0" xfId="15" applyFont="1" applyFill="1" applyProtection="1"/>
    <xf numFmtId="0" fontId="8" fillId="0" borderId="0" xfId="0" applyFont="1" applyAlignment="1">
      <alignment horizontal="center"/>
    </xf>
    <xf numFmtId="0" fontId="8" fillId="0" borderId="0" xfId="0" applyFont="1" applyAlignment="1">
      <alignment horizontal="right"/>
    </xf>
    <xf numFmtId="167" fontId="0" fillId="0" borderId="1" xfId="8" applyNumberFormat="1" applyFont="1" applyFill="1" applyBorder="1" applyProtection="1"/>
    <xf numFmtId="167" fontId="5" fillId="0" borderId="2" xfId="8" applyNumberFormat="1" applyFont="1" applyFill="1" applyBorder="1" applyAlignment="1" applyProtection="1">
      <alignment horizontal="center"/>
    </xf>
    <xf numFmtId="167" fontId="5" fillId="0" borderId="3" xfId="8" applyNumberFormat="1" applyFont="1" applyFill="1" applyBorder="1" applyAlignment="1" applyProtection="1">
      <alignment horizontal="center"/>
    </xf>
    <xf numFmtId="0" fontId="5" fillId="0" borderId="2" xfId="0" applyFont="1" applyBorder="1" applyAlignment="1">
      <alignment horizontal="center"/>
    </xf>
    <xf numFmtId="167" fontId="5" fillId="0" borderId="4" xfId="8" applyNumberFormat="1" applyFont="1" applyFill="1" applyBorder="1" applyAlignment="1" applyProtection="1">
      <alignment horizontal="center"/>
    </xf>
    <xf numFmtId="167" fontId="5" fillId="0" borderId="1" xfId="8" applyNumberFormat="1" applyFont="1" applyFill="1" applyBorder="1" applyAlignment="1" applyProtection="1">
      <alignment horizontal="center"/>
    </xf>
    <xf numFmtId="0" fontId="5" fillId="0" borderId="4" xfId="0" applyFont="1" applyBorder="1" applyAlignment="1">
      <alignment horizontal="center"/>
    </xf>
    <xf numFmtId="167" fontId="5" fillId="0" borderId="1" xfId="8" applyNumberFormat="1" applyFont="1" applyFill="1" applyBorder="1" applyAlignment="1" applyProtection="1">
      <alignment horizontal="right"/>
    </xf>
    <xf numFmtId="167" fontId="5" fillId="0" borderId="5" xfId="8" applyNumberFormat="1" applyFont="1" applyFill="1" applyBorder="1" applyAlignment="1" applyProtection="1">
      <alignment horizontal="center"/>
    </xf>
    <xf numFmtId="167" fontId="5" fillId="0" borderId="6" xfId="8" applyNumberFormat="1" applyFont="1" applyFill="1" applyBorder="1" applyAlignment="1" applyProtection="1">
      <alignment horizontal="center"/>
    </xf>
    <xf numFmtId="0" fontId="5" fillId="0" borderId="13" xfId="0" applyFont="1" applyBorder="1" applyAlignment="1">
      <alignment horizontal="left" indent="1"/>
    </xf>
    <xf numFmtId="0" fontId="5" fillId="0" borderId="5" xfId="0" applyFont="1" applyBorder="1" applyAlignment="1">
      <alignment horizontal="center"/>
    </xf>
    <xf numFmtId="0" fontId="0" fillId="21" borderId="90" xfId="0" applyFill="1" applyBorder="1"/>
    <xf numFmtId="0" fontId="0" fillId="21" borderId="82" xfId="0" applyFill="1" applyBorder="1"/>
    <xf numFmtId="0" fontId="56" fillId="21" borderId="91" xfId="7" applyFont="1" applyFill="1" applyBorder="1" applyAlignment="1" applyProtection="1">
      <alignment vertical="center"/>
    </xf>
    <xf numFmtId="0" fontId="0" fillId="21" borderId="92" xfId="0" applyFill="1" applyBorder="1"/>
    <xf numFmtId="0" fontId="0" fillId="21" borderId="93" xfId="0" applyFill="1" applyBorder="1"/>
    <xf numFmtId="0" fontId="56" fillId="21" borderId="0" xfId="7" applyFont="1" applyFill="1" applyBorder="1" applyAlignment="1" applyProtection="1">
      <alignment vertical="center"/>
    </xf>
    <xf numFmtId="0" fontId="0" fillId="21" borderId="94" xfId="0" applyFill="1" applyBorder="1"/>
    <xf numFmtId="0" fontId="70" fillId="20" borderId="0" xfId="0" applyFont="1" applyFill="1"/>
    <xf numFmtId="0" fontId="4" fillId="30" borderId="0" xfId="1" applyFill="1" applyAlignment="1">
      <alignment horizontal="center" vertical="center" wrapText="1"/>
    </xf>
    <xf numFmtId="0" fontId="0" fillId="21" borderId="0" xfId="0" applyFill="1"/>
    <xf numFmtId="0" fontId="20" fillId="15" borderId="1" xfId="1" applyFont="1" applyFill="1" applyBorder="1" applyAlignment="1">
      <alignment horizontal="center" vertical="center" wrapText="1"/>
    </xf>
    <xf numFmtId="0" fontId="4" fillId="13" borderId="1" xfId="1" applyFill="1" applyBorder="1" applyAlignment="1">
      <alignment horizontal="center" vertical="center" wrapText="1"/>
    </xf>
    <xf numFmtId="0" fontId="4" fillId="13" borderId="0" xfId="1" applyFill="1" applyAlignment="1">
      <alignment horizontal="center" vertical="center" wrapText="1"/>
    </xf>
    <xf numFmtId="1" fontId="32" fillId="13" borderId="1" xfId="1" applyNumberFormat="1" applyFont="1" applyFill="1" applyBorder="1" applyAlignment="1">
      <alignment horizontal="center" vertical="center" wrapText="1"/>
    </xf>
    <xf numFmtId="0" fontId="4" fillId="23" borderId="1" xfId="1" applyFill="1" applyBorder="1" applyAlignment="1">
      <alignment horizontal="center" vertical="center"/>
    </xf>
    <xf numFmtId="165" fontId="4" fillId="23" borderId="1" xfId="1" applyNumberFormat="1" applyFill="1" applyBorder="1" applyAlignment="1">
      <alignment horizontal="center" vertical="center"/>
    </xf>
    <xf numFmtId="0" fontId="70" fillId="23" borderId="1" xfId="0" applyFont="1" applyFill="1" applyBorder="1" applyAlignment="1">
      <alignment horizontal="center" vertical="center"/>
    </xf>
    <xf numFmtId="1" fontId="4" fillId="23" borderId="0" xfId="1" applyNumberFormat="1" applyFill="1" applyAlignment="1">
      <alignment horizontal="center" vertical="center"/>
    </xf>
    <xf numFmtId="0" fontId="0" fillId="21" borderId="0" xfId="0" applyFill="1" applyAlignment="1">
      <alignment horizontal="left" wrapText="1"/>
    </xf>
    <xf numFmtId="0" fontId="10" fillId="23" borderId="1" xfId="1" applyFont="1" applyFill="1" applyBorder="1" applyAlignment="1">
      <alignment horizontal="center" vertical="center"/>
    </xf>
    <xf numFmtId="0" fontId="0" fillId="21" borderId="54" xfId="0" applyFill="1" applyBorder="1"/>
    <xf numFmtId="0" fontId="0" fillId="21" borderId="55" xfId="0" applyFill="1" applyBorder="1"/>
    <xf numFmtId="0" fontId="0" fillId="21" borderId="56" xfId="0" applyFill="1" applyBorder="1"/>
    <xf numFmtId="0" fontId="0" fillId="21" borderId="53" xfId="0" applyFill="1" applyBorder="1"/>
    <xf numFmtId="0" fontId="0" fillId="21" borderId="57" xfId="0" applyFill="1" applyBorder="1"/>
    <xf numFmtId="0" fontId="0" fillId="21" borderId="58" xfId="0" applyFill="1" applyBorder="1"/>
    <xf numFmtId="0" fontId="0" fillId="21" borderId="59" xfId="0" applyFill="1" applyBorder="1"/>
    <xf numFmtId="0" fontId="0" fillId="21" borderId="60" xfId="0" applyFill="1" applyBorder="1"/>
    <xf numFmtId="0" fontId="0" fillId="21" borderId="95" xfId="0" applyFill="1" applyBorder="1"/>
    <xf numFmtId="0" fontId="0" fillId="21" borderId="96" xfId="0" applyFill="1" applyBorder="1"/>
    <xf numFmtId="0" fontId="0" fillId="21" borderId="97" xfId="0" applyFill="1" applyBorder="1"/>
    <xf numFmtId="0" fontId="0" fillId="21" borderId="73" xfId="0" applyFill="1" applyBorder="1"/>
    <xf numFmtId="0" fontId="26" fillId="21" borderId="98" xfId="7" applyFont="1" applyFill="1" applyBorder="1" applyAlignment="1" applyProtection="1">
      <alignment vertical="center"/>
    </xf>
    <xf numFmtId="0" fontId="26" fillId="21" borderId="99" xfId="7" applyFont="1" applyFill="1" applyBorder="1" applyAlignment="1" applyProtection="1">
      <alignment vertical="center"/>
    </xf>
    <xf numFmtId="0" fontId="18" fillId="21" borderId="100" xfId="0" applyFont="1" applyFill="1" applyBorder="1"/>
    <xf numFmtId="0" fontId="19" fillId="21" borderId="0" xfId="7" applyFont="1" applyFill="1" applyBorder="1" applyProtection="1"/>
    <xf numFmtId="0" fontId="19" fillId="21" borderId="101" xfId="7" applyFont="1" applyFill="1" applyBorder="1" applyProtection="1"/>
    <xf numFmtId="0" fontId="19" fillId="20" borderId="0" xfId="7" applyFont="1" applyFill="1" applyProtection="1"/>
    <xf numFmtId="0" fontId="25" fillId="21" borderId="0" xfId="0" applyFont="1" applyFill="1"/>
    <xf numFmtId="0" fontId="25" fillId="21" borderId="77" xfId="0" applyFont="1" applyFill="1" applyBorder="1"/>
    <xf numFmtId="0" fontId="18" fillId="21" borderId="0" xfId="0" applyFont="1" applyFill="1"/>
    <xf numFmtId="0" fontId="18" fillId="21" borderId="101" xfId="0" applyFont="1" applyFill="1" applyBorder="1"/>
    <xf numFmtId="0" fontId="18" fillId="20" borderId="0" xfId="0" applyFont="1" applyFill="1"/>
    <xf numFmtId="0" fontId="0" fillId="21" borderId="77" xfId="0" applyFill="1" applyBorder="1" applyAlignment="1">
      <alignment wrapText="1"/>
    </xf>
    <xf numFmtId="0" fontId="21" fillId="15" borderId="61" xfId="1" applyFont="1" applyFill="1" applyBorder="1" applyAlignment="1">
      <alignment horizontal="center" vertical="center" wrapText="1"/>
    </xf>
    <xf numFmtId="0" fontId="21" fillId="15" borderId="62" xfId="1" applyFont="1" applyFill="1" applyBorder="1" applyAlignment="1">
      <alignment horizontal="center" vertical="center" wrapText="1"/>
    </xf>
    <xf numFmtId="0" fontId="21" fillId="15" borderId="63" xfId="1" applyFont="1" applyFill="1" applyBorder="1" applyAlignment="1">
      <alignment horizontal="center" vertical="center" wrapText="1"/>
    </xf>
    <xf numFmtId="0" fontId="21" fillId="15" borderId="26" xfId="1" applyFont="1" applyFill="1" applyBorder="1" applyAlignment="1">
      <alignment horizontal="center" vertical="center" wrapText="1"/>
    </xf>
    <xf numFmtId="0" fontId="21" fillId="15" borderId="116" xfId="1" applyFont="1" applyFill="1" applyBorder="1" applyAlignment="1">
      <alignment horizontal="center" vertical="center" wrapText="1"/>
    </xf>
    <xf numFmtId="0" fontId="18" fillId="21" borderId="124" xfId="0" applyFont="1" applyFill="1" applyBorder="1"/>
    <xf numFmtId="0" fontId="14" fillId="13" borderId="1" xfId="1" applyFont="1" applyFill="1" applyBorder="1" applyAlignment="1">
      <alignment horizontal="center" vertical="center"/>
    </xf>
    <xf numFmtId="0" fontId="14" fillId="13" borderId="1" xfId="1" applyFont="1" applyFill="1" applyBorder="1" applyAlignment="1">
      <alignment horizontal="center" vertical="center" wrapText="1"/>
    </xf>
    <xf numFmtId="0" fontId="0" fillId="21" borderId="77" xfId="0" applyFill="1" applyBorder="1" applyAlignment="1">
      <alignment vertical="center" wrapText="1"/>
    </xf>
    <xf numFmtId="0" fontId="14" fillId="23" borderId="1" xfId="1" applyFont="1" applyFill="1" applyBorder="1" applyAlignment="1">
      <alignment horizontal="right" vertical="center" indent="1"/>
    </xf>
    <xf numFmtId="0" fontId="14" fillId="23" borderId="1" xfId="1" applyFont="1" applyFill="1" applyBorder="1" applyAlignment="1">
      <alignment horizontal="center" vertical="center"/>
    </xf>
    <xf numFmtId="165" fontId="14" fillId="23" borderId="1" xfId="1" applyNumberFormat="1" applyFont="1" applyFill="1" applyBorder="1" applyAlignment="1">
      <alignment horizontal="center" vertical="center"/>
    </xf>
    <xf numFmtId="0" fontId="18" fillId="23" borderId="1" xfId="0" applyFont="1" applyFill="1" applyBorder="1" applyAlignment="1">
      <alignment horizontal="center" vertical="center"/>
    </xf>
    <xf numFmtId="0" fontId="14" fillId="23" borderId="1" xfId="1" applyFont="1" applyFill="1" applyBorder="1" applyAlignment="1">
      <alignment vertical="center"/>
    </xf>
    <xf numFmtId="0" fontId="39" fillId="21" borderId="0" xfId="0" applyFont="1" applyFill="1"/>
    <xf numFmtId="0" fontId="0" fillId="21" borderId="77" xfId="0" applyFill="1" applyBorder="1"/>
    <xf numFmtId="0" fontId="0" fillId="21" borderId="76" xfId="0" applyFill="1" applyBorder="1"/>
    <xf numFmtId="0" fontId="41" fillId="21" borderId="0" xfId="0" applyFont="1" applyFill="1"/>
    <xf numFmtId="0" fontId="18" fillId="20" borderId="0" xfId="0" applyFont="1" applyFill="1" applyAlignment="1">
      <alignment horizontal="right" indent="2"/>
    </xf>
    <xf numFmtId="0" fontId="18" fillId="20" borderId="0" xfId="0" applyFont="1" applyFill="1" applyAlignment="1">
      <alignment horizontal="center" vertical="center"/>
    </xf>
    <xf numFmtId="0" fontId="18" fillId="21" borderId="10" xfId="0" applyFont="1" applyFill="1" applyBorder="1"/>
    <xf numFmtId="0" fontId="18" fillId="21" borderId="0" xfId="0" applyFont="1" applyFill="1" applyAlignment="1">
      <alignment vertical="top" wrapText="1"/>
    </xf>
    <xf numFmtId="0" fontId="18" fillId="21" borderId="101" xfId="0" applyFont="1" applyFill="1" applyBorder="1" applyAlignment="1">
      <alignment vertical="top" wrapText="1"/>
    </xf>
    <xf numFmtId="0" fontId="45" fillId="21" borderId="0" xfId="0" applyFont="1" applyFill="1" applyAlignment="1">
      <alignment horizontal="left" vertical="center"/>
    </xf>
    <xf numFmtId="0" fontId="8" fillId="21" borderId="0" xfId="0" applyFont="1" applyFill="1"/>
    <xf numFmtId="0" fontId="41" fillId="21" borderId="0" xfId="0" applyFont="1" applyFill="1" applyAlignment="1">
      <alignment horizontal="left" vertical="top"/>
    </xf>
    <xf numFmtId="168" fontId="18" fillId="20" borderId="0" xfId="0" applyNumberFormat="1" applyFont="1" applyFill="1" applyAlignment="1">
      <alignment horizontal="center" vertical="center"/>
    </xf>
    <xf numFmtId="0" fontId="0" fillId="21" borderId="0" xfId="0" applyFill="1" applyAlignment="1">
      <alignment horizontal="center" vertical="center"/>
    </xf>
    <xf numFmtId="0" fontId="0" fillId="21" borderId="0" xfId="0" applyFill="1" applyAlignment="1">
      <alignment horizontal="left" vertical="center"/>
    </xf>
    <xf numFmtId="0" fontId="0" fillId="21" borderId="0" xfId="0" quotePrefix="1" applyFill="1" applyAlignment="1">
      <alignment horizontal="left" vertical="center" indent="3"/>
    </xf>
    <xf numFmtId="0" fontId="41" fillId="21" borderId="76" xfId="0" applyFont="1" applyFill="1" applyBorder="1" applyAlignment="1">
      <alignment horizontal="left" vertical="top"/>
    </xf>
    <xf numFmtId="0" fontId="41" fillId="21" borderId="0" xfId="0" applyFont="1" applyFill="1" applyAlignment="1">
      <alignment vertical="top"/>
    </xf>
    <xf numFmtId="0" fontId="0" fillId="21" borderId="77" xfId="0" applyFill="1" applyBorder="1" applyAlignment="1">
      <alignment horizontal="center" vertical="center"/>
    </xf>
    <xf numFmtId="0" fontId="50" fillId="21" borderId="0" xfId="0" applyFont="1" applyFill="1" applyAlignment="1">
      <alignment horizontal="right"/>
    </xf>
    <xf numFmtId="0" fontId="50" fillId="21" borderId="0" xfId="0" applyFont="1" applyFill="1" applyAlignment="1">
      <alignment horizontal="right" vertical="center" indent="1"/>
    </xf>
    <xf numFmtId="0" fontId="18" fillId="21" borderId="0" xfId="0" applyFont="1" applyFill="1" applyAlignment="1">
      <alignment horizontal="right" vertical="center"/>
    </xf>
    <xf numFmtId="0" fontId="18" fillId="21" borderId="0" xfId="0" applyFont="1" applyFill="1" applyAlignment="1">
      <alignment horizontal="center" vertical="center"/>
    </xf>
    <xf numFmtId="0" fontId="52" fillId="21" borderId="0" xfId="0" applyFont="1" applyFill="1" applyAlignment="1">
      <alignment horizontal="right" vertical="top"/>
    </xf>
    <xf numFmtId="0" fontId="41" fillId="21" borderId="77" xfId="0" applyFont="1" applyFill="1" applyBorder="1" applyAlignment="1">
      <alignment vertical="top"/>
    </xf>
    <xf numFmtId="0" fontId="44" fillId="21" borderId="0" xfId="0" applyFont="1" applyFill="1" applyAlignment="1">
      <alignment horizontal="right" vertical="center"/>
    </xf>
    <xf numFmtId="0" fontId="0" fillId="21" borderId="0" xfId="0" applyFill="1" applyAlignment="1">
      <alignment horizontal="center"/>
    </xf>
    <xf numFmtId="0" fontId="0" fillId="21" borderId="0" xfId="0" quotePrefix="1" applyFill="1" applyAlignment="1">
      <alignment horizontal="center"/>
    </xf>
    <xf numFmtId="0" fontId="0" fillId="21" borderId="76" xfId="0" applyFill="1" applyBorder="1" applyAlignment="1">
      <alignment vertical="center"/>
    </xf>
    <xf numFmtId="0" fontId="0" fillId="21" borderId="0" xfId="0" applyFill="1" applyAlignment="1">
      <alignment vertical="center"/>
    </xf>
    <xf numFmtId="0" fontId="41" fillId="21" borderId="0" xfId="0" applyFont="1" applyFill="1" applyAlignment="1">
      <alignment vertical="center"/>
    </xf>
    <xf numFmtId="0" fontId="0" fillId="21" borderId="0" xfId="0" applyFill="1" applyAlignment="1">
      <alignment vertical="top"/>
    </xf>
    <xf numFmtId="0" fontId="18" fillId="21" borderId="77" xfId="0" applyFont="1" applyFill="1" applyBorder="1"/>
    <xf numFmtId="0" fontId="0" fillId="21" borderId="78" xfId="0" applyFill="1" applyBorder="1"/>
    <xf numFmtId="0" fontId="0" fillId="21" borderId="79" xfId="0" applyFill="1" applyBorder="1"/>
    <xf numFmtId="0" fontId="0" fillId="21" borderId="80" xfId="0" applyFill="1" applyBorder="1"/>
    <xf numFmtId="0" fontId="51" fillId="20" borderId="0" xfId="0" applyFont="1" applyFill="1" applyAlignment="1">
      <alignment horizontal="left" vertical="top" wrapText="1"/>
    </xf>
    <xf numFmtId="0" fontId="25" fillId="20" borderId="0" xfId="0" applyFont="1" applyFill="1"/>
    <xf numFmtId="0" fontId="52" fillId="21" borderId="0" xfId="0" applyFont="1" applyFill="1" applyAlignment="1">
      <alignment horizontal="left" vertical="top"/>
    </xf>
    <xf numFmtId="0" fontId="18" fillId="21" borderId="0" xfId="0" applyFont="1" applyFill="1" applyAlignment="1">
      <alignment horizontal="right"/>
    </xf>
    <xf numFmtId="0" fontId="18" fillId="20" borderId="0" xfId="0" applyFont="1" applyFill="1" applyAlignment="1">
      <alignment wrapText="1"/>
    </xf>
    <xf numFmtId="0" fontId="18" fillId="20" borderId="0" xfId="0" applyFont="1" applyFill="1" applyAlignment="1">
      <alignment vertical="top" wrapText="1"/>
    </xf>
    <xf numFmtId="0" fontId="18" fillId="20" borderId="0" xfId="0" applyFont="1" applyFill="1" applyAlignment="1">
      <alignment vertical="center"/>
    </xf>
    <xf numFmtId="0" fontId="18" fillId="21" borderId="102" xfId="0" applyFont="1" applyFill="1" applyBorder="1"/>
    <xf numFmtId="0" fontId="18" fillId="21" borderId="103" xfId="0" applyFont="1" applyFill="1" applyBorder="1"/>
    <xf numFmtId="0" fontId="18" fillId="21" borderId="104" xfId="0" applyFont="1" applyFill="1" applyBorder="1"/>
    <xf numFmtId="0" fontId="18" fillId="21" borderId="105" xfId="0" applyFont="1" applyFill="1" applyBorder="1"/>
    <xf numFmtId="0" fontId="21" fillId="26" borderId="0" xfId="0" applyFont="1" applyFill="1" applyAlignment="1" applyProtection="1">
      <alignment horizontal="left" vertical="center" indent="1"/>
      <protection locked="0"/>
    </xf>
    <xf numFmtId="0" fontId="18" fillId="8" borderId="21" xfId="0" applyFont="1" applyFill="1" applyBorder="1" applyAlignment="1" applyProtection="1">
      <alignment horizontal="center" vertical="center"/>
      <protection locked="0"/>
    </xf>
    <xf numFmtId="0" fontId="77" fillId="0" borderId="0" xfId="6" applyFont="1" applyAlignment="1">
      <alignment horizontal="left" vertical="top"/>
    </xf>
    <xf numFmtId="167" fontId="5" fillId="0" borderId="9" xfId="8" applyNumberFormat="1" applyFont="1" applyFill="1" applyBorder="1" applyAlignment="1" applyProtection="1">
      <alignment horizontal="right" vertical="center"/>
    </xf>
    <xf numFmtId="0" fontId="0" fillId="0" borderId="0" xfId="0" applyAlignment="1">
      <alignment vertical="top" wrapText="1"/>
    </xf>
    <xf numFmtId="0" fontId="0" fillId="0" borderId="0" xfId="0" applyAlignment="1">
      <alignment horizontal="left" vertical="top" wrapText="1"/>
    </xf>
    <xf numFmtId="14" fontId="0" fillId="0" borderId="0" xfId="0" applyNumberFormat="1" applyAlignment="1">
      <alignment vertical="top"/>
    </xf>
    <xf numFmtId="14" fontId="0" fillId="0" borderId="0" xfId="0" applyNumberFormat="1" applyAlignment="1">
      <alignment horizontal="right" vertical="top"/>
    </xf>
    <xf numFmtId="0" fontId="0" fillId="0" borderId="0" xfId="0" applyAlignment="1">
      <alignment vertical="top"/>
    </xf>
    <xf numFmtId="0" fontId="0" fillId="0" borderId="0" xfId="0" applyAlignment="1">
      <alignment horizontal="left" vertical="top"/>
    </xf>
    <xf numFmtId="0" fontId="0" fillId="0" borderId="0" xfId="0" quotePrefix="1" applyAlignment="1">
      <alignment horizontal="left" vertical="top"/>
    </xf>
    <xf numFmtId="49" fontId="0" fillId="0" borderId="0" xfId="0" applyNumberFormat="1" applyAlignment="1">
      <alignment horizontal="left" vertical="top"/>
    </xf>
    <xf numFmtId="167" fontId="5" fillId="0" borderId="192" xfId="8" applyNumberFormat="1" applyFont="1" applyFill="1" applyBorder="1" applyAlignment="1" applyProtection="1">
      <alignment horizontal="center"/>
    </xf>
    <xf numFmtId="167" fontId="5" fillId="0" borderId="21" xfId="8" applyNumberFormat="1" applyFont="1" applyFill="1" applyBorder="1" applyAlignment="1" applyProtection="1">
      <alignment horizontal="center"/>
    </xf>
    <xf numFmtId="167" fontId="5" fillId="0" borderId="193" xfId="8" applyNumberFormat="1" applyFont="1" applyFill="1" applyBorder="1" applyAlignment="1" applyProtection="1">
      <alignment horizontal="center"/>
    </xf>
    <xf numFmtId="0" fontId="0" fillId="0" borderId="2" xfId="0" applyBorder="1" applyAlignment="1">
      <alignment horizontal="center"/>
    </xf>
    <xf numFmtId="3" fontId="0" fillId="0" borderId="3" xfId="0" applyNumberFormat="1" applyBorder="1" applyAlignment="1">
      <alignment horizontal="center"/>
    </xf>
    <xf numFmtId="0" fontId="0" fillId="0" borderId="64" xfId="0" applyBorder="1" applyAlignment="1">
      <alignment horizontal="center"/>
    </xf>
    <xf numFmtId="167" fontId="5" fillId="0" borderId="1" xfId="8" applyNumberFormat="1" applyFont="1" applyFill="1" applyBorder="1" applyProtection="1"/>
    <xf numFmtId="3" fontId="5" fillId="0" borderId="3" xfId="1" applyNumberFormat="1" applyFont="1" applyBorder="1" applyAlignment="1">
      <alignment horizontal="right"/>
    </xf>
    <xf numFmtId="3" fontId="5" fillId="0" borderId="192" xfId="1" applyNumberFormat="1" applyFont="1" applyBorder="1" applyAlignment="1">
      <alignment horizontal="right"/>
    </xf>
    <xf numFmtId="0" fontId="0" fillId="0" borderId="4" xfId="0" applyBorder="1" applyAlignment="1">
      <alignment horizontal="center"/>
    </xf>
    <xf numFmtId="3" fontId="0" fillId="0" borderId="1" xfId="0" applyNumberFormat="1" applyBorder="1" applyAlignment="1">
      <alignment horizontal="center"/>
    </xf>
    <xf numFmtId="0" fontId="0" fillId="0" borderId="65" xfId="0" applyBorder="1" applyAlignment="1">
      <alignment horizontal="center"/>
    </xf>
    <xf numFmtId="3" fontId="5" fillId="0" borderId="1" xfId="1" applyNumberFormat="1" applyFont="1" applyBorder="1" applyAlignment="1">
      <alignment horizontal="right"/>
    </xf>
    <xf numFmtId="3" fontId="5" fillId="0" borderId="21" xfId="1" applyNumberFormat="1" applyFont="1" applyBorder="1" applyAlignment="1">
      <alignment horizontal="right"/>
    </xf>
    <xf numFmtId="0" fontId="0" fillId="0" borderId="5" xfId="0" applyBorder="1" applyAlignment="1">
      <alignment horizontal="center"/>
    </xf>
    <xf numFmtId="3" fontId="0" fillId="0" borderId="6" xfId="0" applyNumberFormat="1" applyBorder="1" applyAlignment="1">
      <alignment horizontal="center"/>
    </xf>
    <xf numFmtId="0" fontId="0" fillId="0" borderId="6" xfId="0" applyBorder="1" applyAlignment="1">
      <alignment horizontal="center"/>
    </xf>
    <xf numFmtId="0" fontId="0" fillId="0" borderId="22" xfId="0" applyBorder="1" applyAlignment="1">
      <alignment horizontal="center"/>
    </xf>
    <xf numFmtId="0" fontId="0" fillId="0" borderId="193" xfId="0" applyBorder="1" applyAlignment="1">
      <alignment horizontal="center"/>
    </xf>
    <xf numFmtId="4" fontId="0" fillId="0" borderId="22" xfId="0" applyNumberFormat="1" applyBorder="1" applyAlignment="1">
      <alignment horizontal="center"/>
    </xf>
    <xf numFmtId="167" fontId="0" fillId="0" borderId="0" xfId="8" applyNumberFormat="1" applyFont="1" applyFill="1" applyBorder="1" applyAlignment="1" applyProtection="1">
      <alignment horizontal="center"/>
    </xf>
    <xf numFmtId="3" fontId="5" fillId="0" borderId="6" xfId="1" applyNumberFormat="1" applyFont="1" applyBorder="1" applyAlignment="1">
      <alignment horizontal="right"/>
    </xf>
    <xf numFmtId="3" fontId="5" fillId="0" borderId="193" xfId="1" applyNumberFormat="1" applyFont="1" applyBorder="1" applyAlignment="1">
      <alignment horizontal="right"/>
    </xf>
    <xf numFmtId="3" fontId="0" fillId="0" borderId="0" xfId="0" applyNumberFormat="1" applyAlignment="1">
      <alignment horizontal="center"/>
    </xf>
    <xf numFmtId="169" fontId="0" fillId="0" borderId="0" xfId="0" applyNumberFormat="1" applyAlignment="1">
      <alignment horizontal="center"/>
    </xf>
    <xf numFmtId="0" fontId="0" fillId="0" borderId="16" xfId="8" applyNumberFormat="1" applyFont="1" applyBorder="1" applyAlignment="1" applyProtection="1">
      <alignment horizontal="center" vertical="center"/>
    </xf>
    <xf numFmtId="164" fontId="0" fillId="0" borderId="195" xfId="8" applyNumberFormat="1" applyFont="1" applyBorder="1" applyAlignment="1" applyProtection="1">
      <alignment horizontal="center" vertical="center"/>
    </xf>
    <xf numFmtId="164" fontId="0" fillId="0" borderId="16" xfId="8" applyNumberFormat="1" applyFont="1" applyBorder="1" applyAlignment="1" applyProtection="1">
      <alignment horizontal="center" vertical="center"/>
    </xf>
    <xf numFmtId="164" fontId="0" fillId="0" borderId="137" xfId="8" applyNumberFormat="1" applyFont="1" applyBorder="1" applyAlignment="1" applyProtection="1">
      <alignment horizontal="center" vertical="center"/>
    </xf>
    <xf numFmtId="0" fontId="78" fillId="0" borderId="0" xfId="0" applyFont="1"/>
    <xf numFmtId="3" fontId="5" fillId="0" borderId="3" xfId="1" applyNumberFormat="1" applyFont="1" applyBorder="1" applyAlignment="1">
      <alignment horizontal="center"/>
    </xf>
    <xf numFmtId="3" fontId="5" fillId="0" borderId="192" xfId="1" applyNumberFormat="1" applyFont="1" applyBorder="1" applyAlignment="1">
      <alignment horizontal="center"/>
    </xf>
    <xf numFmtId="4" fontId="5" fillId="0" borderId="19" xfId="1" applyNumberFormat="1" applyFont="1" applyBorder="1" applyAlignment="1">
      <alignment horizontal="center"/>
    </xf>
    <xf numFmtId="3" fontId="5" fillId="0" borderId="19" xfId="1" applyNumberFormat="1" applyFont="1" applyBorder="1" applyAlignment="1">
      <alignment horizontal="center"/>
    </xf>
    <xf numFmtId="3" fontId="5" fillId="0" borderId="1" xfId="1" applyNumberFormat="1" applyFont="1" applyBorder="1" applyAlignment="1">
      <alignment horizontal="center"/>
    </xf>
    <xf numFmtId="3" fontId="5" fillId="0" borderId="21" xfId="1" applyNumberFormat="1" applyFont="1" applyBorder="1" applyAlignment="1">
      <alignment horizontal="center"/>
    </xf>
    <xf numFmtId="4" fontId="5" fillId="0" borderId="20" xfId="1" applyNumberFormat="1" applyFont="1" applyBorder="1" applyAlignment="1">
      <alignment horizontal="center"/>
    </xf>
    <xf numFmtId="3" fontId="5" fillId="0" borderId="20" xfId="1" applyNumberFormat="1" applyFont="1" applyBorder="1" applyAlignment="1">
      <alignment horizontal="center"/>
    </xf>
    <xf numFmtId="0" fontId="13" fillId="0" borderId="0" xfId="7" applyFill="1" applyAlignment="1" applyProtection="1">
      <alignment horizontal="left"/>
    </xf>
    <xf numFmtId="167" fontId="0" fillId="0" borderId="3" xfId="8" applyNumberFormat="1" applyFont="1" applyFill="1" applyBorder="1" applyProtection="1"/>
    <xf numFmtId="169" fontId="5" fillId="0" borderId="19" xfId="8" applyNumberFormat="1" applyFont="1" applyFill="1" applyBorder="1" applyAlignment="1" applyProtection="1">
      <alignment horizontal="center"/>
    </xf>
    <xf numFmtId="169" fontId="5" fillId="0" borderId="20" xfId="8" applyNumberFormat="1" applyFont="1" applyFill="1" applyBorder="1" applyAlignment="1" applyProtection="1">
      <alignment horizontal="center"/>
    </xf>
    <xf numFmtId="169" fontId="0" fillId="0" borderId="20" xfId="8" applyNumberFormat="1" applyFont="1" applyFill="1" applyBorder="1" applyAlignment="1" applyProtection="1">
      <alignment horizontal="center"/>
    </xf>
    <xf numFmtId="0" fontId="0" fillId="0" borderId="121" xfId="0" applyBorder="1" applyAlignment="1">
      <alignment horizontal="center"/>
    </xf>
    <xf numFmtId="0" fontId="0" fillId="0" borderId="6" xfId="0" applyBorder="1"/>
    <xf numFmtId="3" fontId="5" fillId="0" borderId="6" xfId="1" applyNumberFormat="1" applyFont="1" applyBorder="1"/>
    <xf numFmtId="169" fontId="5" fillId="0" borderId="22" xfId="1" applyNumberFormat="1" applyFont="1" applyBorder="1" applyAlignment="1">
      <alignment horizontal="center"/>
    </xf>
    <xf numFmtId="0" fontId="5" fillId="0" borderId="6" xfId="0" applyFont="1" applyBorder="1" applyAlignment="1">
      <alignment horizontal="left" indent="1"/>
    </xf>
    <xf numFmtId="169" fontId="5" fillId="0" borderId="19" xfId="1" applyNumberFormat="1" applyFont="1" applyBorder="1" applyAlignment="1">
      <alignment horizontal="center"/>
    </xf>
    <xf numFmtId="169" fontId="5" fillId="0" borderId="20" xfId="1" applyNumberFormat="1" applyFont="1" applyBorder="1" applyAlignment="1">
      <alignment horizontal="center"/>
    </xf>
    <xf numFmtId="167" fontId="0" fillId="0" borderId="1" xfId="8" applyNumberFormat="1" applyFont="1" applyFill="1" applyBorder="1" applyAlignment="1" applyProtection="1">
      <alignment horizontal="center"/>
    </xf>
    <xf numFmtId="167" fontId="0" fillId="0" borderId="2" xfId="8" applyNumberFormat="1" applyFont="1" applyFill="1" applyBorder="1" applyAlignment="1" applyProtection="1">
      <alignment horizontal="center"/>
    </xf>
    <xf numFmtId="167" fontId="0" fillId="0" borderId="3" xfId="8" applyNumberFormat="1" applyFont="1" applyFill="1" applyBorder="1" applyAlignment="1" applyProtection="1">
      <alignment horizontal="center"/>
    </xf>
    <xf numFmtId="167" fontId="0" fillId="0" borderId="4" xfId="8" applyNumberFormat="1" applyFont="1" applyFill="1" applyBorder="1" applyAlignment="1" applyProtection="1">
      <alignment horizontal="center"/>
    </xf>
    <xf numFmtId="167" fontId="0" fillId="0" borderId="5" xfId="8" applyNumberFormat="1" applyFont="1" applyFill="1" applyBorder="1" applyAlignment="1" applyProtection="1">
      <alignment horizontal="center"/>
    </xf>
    <xf numFmtId="167" fontId="0" fillId="0" borderId="6" xfId="8" applyNumberFormat="1" applyFont="1" applyFill="1" applyBorder="1" applyAlignment="1" applyProtection="1">
      <alignment horizontal="center"/>
    </xf>
    <xf numFmtId="169" fontId="5" fillId="0" borderId="32" xfId="1" applyNumberFormat="1" applyFont="1" applyBorder="1" applyAlignment="1">
      <alignment horizontal="center"/>
    </xf>
    <xf numFmtId="0" fontId="8" fillId="0" borderId="0" xfId="0" applyFont="1"/>
    <xf numFmtId="0" fontId="0" fillId="0" borderId="8" xfId="0" applyBorder="1"/>
    <xf numFmtId="0" fontId="0" fillId="0" borderId="9" xfId="0" applyBorder="1"/>
    <xf numFmtId="0" fontId="0" fillId="0" borderId="13" xfId="0" applyBorder="1"/>
    <xf numFmtId="0" fontId="0" fillId="0" borderId="14" xfId="0" applyBorder="1"/>
    <xf numFmtId="0" fontId="0" fillId="0" borderId="3" xfId="0" applyBorder="1" applyAlignment="1">
      <alignment horizontal="left" indent="1"/>
    </xf>
    <xf numFmtId="0" fontId="0" fillId="0" borderId="1" xfId="0" applyBorder="1" applyAlignment="1">
      <alignment horizontal="left" indent="1"/>
    </xf>
    <xf numFmtId="0" fontId="5" fillId="0" borderId="3" xfId="0" applyFont="1" applyBorder="1" applyAlignment="1">
      <alignment horizontal="left" indent="1"/>
    </xf>
    <xf numFmtId="0" fontId="5" fillId="0" borderId="1" xfId="0" applyFont="1" applyBorder="1" applyAlignment="1">
      <alignment horizontal="left" indent="1"/>
    </xf>
    <xf numFmtId="167" fontId="0" fillId="0" borderId="3" xfId="8" applyNumberFormat="1" applyFont="1" applyFill="1" applyBorder="1" applyAlignment="1" applyProtection="1">
      <alignment horizontal="left" indent="1"/>
    </xf>
    <xf numFmtId="167" fontId="0" fillId="0" borderId="1" xfId="8" applyNumberFormat="1" applyFont="1" applyFill="1" applyBorder="1" applyAlignment="1" applyProtection="1">
      <alignment horizontal="left" indent="1"/>
    </xf>
    <xf numFmtId="167" fontId="5" fillId="0" borderId="3" xfId="8" applyNumberFormat="1" applyFont="1" applyFill="1" applyBorder="1" applyAlignment="1" applyProtection="1">
      <alignment horizontal="left" indent="1"/>
    </xf>
    <xf numFmtId="167" fontId="5" fillId="0" borderId="1" xfId="8" applyNumberFormat="1" applyFont="1" applyFill="1" applyBorder="1" applyAlignment="1" applyProtection="1">
      <alignment horizontal="left" indent="1"/>
    </xf>
    <xf numFmtId="167" fontId="5" fillId="0" borderId="1" xfId="8" quotePrefix="1" applyNumberFormat="1" applyFont="1" applyFill="1" applyBorder="1" applyAlignment="1" applyProtection="1">
      <alignment horizontal="left" indent="1"/>
    </xf>
    <xf numFmtId="0" fontId="0" fillId="0" borderId="63" xfId="0" applyBorder="1" applyAlignment="1">
      <alignment horizontal="left" indent="1"/>
    </xf>
    <xf numFmtId="0" fontId="0" fillId="0" borderId="118" xfId="0" applyBorder="1" applyAlignment="1">
      <alignment horizontal="left" indent="1"/>
    </xf>
    <xf numFmtId="0" fontId="5" fillId="0" borderId="61" xfId="0" applyFont="1" applyBorder="1" applyAlignment="1">
      <alignment horizontal="center"/>
    </xf>
    <xf numFmtId="0" fontId="5" fillId="0" borderId="179" xfId="0" applyFont="1" applyBorder="1" applyAlignment="1">
      <alignment horizontal="center"/>
    </xf>
    <xf numFmtId="0" fontId="5" fillId="0" borderId="179" xfId="0" applyFont="1" applyBorder="1" applyAlignment="1">
      <alignment horizontal="center" wrapText="1"/>
    </xf>
    <xf numFmtId="0" fontId="5" fillId="0" borderId="197" xfId="0" applyFont="1" applyBorder="1" applyAlignment="1">
      <alignment horizontal="center"/>
    </xf>
    <xf numFmtId="0" fontId="5" fillId="0" borderId="118" xfId="0" applyFont="1" applyBorder="1" applyAlignment="1">
      <alignment horizontal="left" indent="1"/>
    </xf>
    <xf numFmtId="0" fontId="5" fillId="0" borderId="125" xfId="0" applyFont="1" applyBorder="1"/>
    <xf numFmtId="167" fontId="5" fillId="0" borderId="63" xfId="8" applyNumberFormat="1" applyFont="1" applyFill="1" applyBorder="1" applyAlignment="1" applyProtection="1">
      <alignment horizontal="right" vertical="center"/>
    </xf>
    <xf numFmtId="167" fontId="5" fillId="0" borderId="118" xfId="8" applyNumberFormat="1" applyFont="1" applyFill="1" applyBorder="1" applyAlignment="1" applyProtection="1">
      <alignment horizontal="right" vertical="center"/>
    </xf>
    <xf numFmtId="167" fontId="5" fillId="0" borderId="125" xfId="8" applyNumberFormat="1" applyFont="1" applyFill="1" applyBorder="1" applyProtection="1"/>
    <xf numFmtId="167" fontId="5" fillId="0" borderId="202" xfId="8" applyNumberFormat="1" applyFont="1" applyFill="1" applyBorder="1" applyAlignment="1" applyProtection="1">
      <alignment horizontal="right"/>
    </xf>
    <xf numFmtId="167" fontId="5" fillId="0" borderId="57" xfId="8" applyNumberFormat="1" applyFont="1" applyFill="1" applyBorder="1" applyAlignment="1" applyProtection="1">
      <alignment horizontal="right"/>
    </xf>
    <xf numFmtId="0" fontId="5" fillId="0" borderId="30" xfId="0" applyFont="1" applyBorder="1" applyAlignment="1">
      <alignment horizontal="center"/>
    </xf>
    <xf numFmtId="167" fontId="5" fillId="0" borderId="11" xfId="8" applyNumberFormat="1" applyFont="1" applyFill="1" applyBorder="1" applyAlignment="1" applyProtection="1">
      <alignment horizontal="right"/>
    </xf>
    <xf numFmtId="0" fontId="5" fillId="0" borderId="118" xfId="0" applyFont="1" applyBorder="1"/>
    <xf numFmtId="167" fontId="5" fillId="0" borderId="118" xfId="8" applyNumberFormat="1" applyFont="1" applyFill="1" applyBorder="1" applyAlignment="1" applyProtection="1">
      <alignment horizontal="right"/>
    </xf>
    <xf numFmtId="167" fontId="5" fillId="0" borderId="63" xfId="8" applyNumberFormat="1" applyFont="1" applyFill="1" applyBorder="1" applyAlignment="1" applyProtection="1"/>
    <xf numFmtId="167" fontId="5" fillId="0" borderId="9" xfId="8" applyNumberFormat="1" applyFont="1" applyFill="1" applyBorder="1" applyAlignment="1" applyProtection="1"/>
    <xf numFmtId="167" fontId="5" fillId="0" borderId="118" xfId="8" applyNumberFormat="1" applyFont="1" applyFill="1" applyBorder="1" applyAlignment="1" applyProtection="1"/>
    <xf numFmtId="167" fontId="5" fillId="0" borderId="11" xfId="8" applyNumberFormat="1" applyFont="1" applyFill="1" applyBorder="1" applyAlignment="1" applyProtection="1"/>
    <xf numFmtId="167" fontId="5" fillId="0" borderId="118" xfId="8" applyNumberFormat="1" applyFont="1" applyFill="1" applyBorder="1" applyAlignment="1" applyProtection="1">
      <alignment horizontal="center"/>
    </xf>
    <xf numFmtId="167" fontId="5" fillId="0" borderId="11" xfId="8" applyNumberFormat="1" applyFont="1" applyFill="1" applyBorder="1" applyAlignment="1" applyProtection="1">
      <alignment horizontal="center"/>
    </xf>
    <xf numFmtId="167" fontId="5" fillId="0" borderId="26" xfId="8" applyNumberFormat="1" applyFont="1" applyFill="1" applyBorder="1" applyAlignment="1" applyProtection="1">
      <alignment horizontal="right"/>
    </xf>
    <xf numFmtId="167" fontId="5" fillId="0" borderId="24" xfId="8" applyNumberFormat="1" applyFont="1" applyFill="1" applyBorder="1" applyAlignment="1" applyProtection="1">
      <alignment horizontal="right"/>
    </xf>
    <xf numFmtId="167" fontId="5" fillId="0" borderId="116" xfId="8" applyNumberFormat="1" applyFont="1" applyFill="1" applyBorder="1" applyAlignment="1" applyProtection="1">
      <alignment horizontal="right"/>
    </xf>
    <xf numFmtId="167" fontId="5" fillId="0" borderId="31" xfId="8" applyNumberFormat="1" applyFont="1" applyFill="1" applyBorder="1" applyAlignment="1" applyProtection="1">
      <alignment horizontal="right"/>
    </xf>
    <xf numFmtId="167" fontId="5" fillId="0" borderId="63" xfId="8" applyNumberFormat="1" applyFont="1" applyFill="1" applyBorder="1" applyAlignment="1" applyProtection="1">
      <alignment horizontal="right"/>
    </xf>
    <xf numFmtId="167" fontId="5" fillId="0" borderId="125" xfId="8" applyNumberFormat="1" applyFont="1" applyFill="1" applyBorder="1" applyAlignment="1" applyProtection="1">
      <alignment horizontal="right"/>
    </xf>
    <xf numFmtId="167" fontId="5" fillId="0" borderId="14" xfId="8" applyNumberFormat="1" applyFont="1" applyFill="1" applyBorder="1" applyAlignment="1" applyProtection="1">
      <alignment horizontal="right"/>
    </xf>
    <xf numFmtId="167" fontId="5" fillId="0" borderId="127" xfId="8" applyNumberFormat="1" applyFont="1" applyFill="1" applyBorder="1" applyProtection="1"/>
    <xf numFmtId="167" fontId="5" fillId="0" borderId="63" xfId="8" applyNumberFormat="1" applyFont="1" applyFill="1" applyBorder="1" applyAlignment="1" applyProtection="1">
      <alignment horizontal="center"/>
    </xf>
    <xf numFmtId="167" fontId="5" fillId="0" borderId="202" xfId="8" applyNumberFormat="1" applyFont="1" applyFill="1" applyBorder="1" applyAlignment="1" applyProtection="1">
      <alignment horizontal="center"/>
    </xf>
    <xf numFmtId="167" fontId="5" fillId="0" borderId="9" xfId="8" applyNumberFormat="1" applyFont="1" applyFill="1" applyBorder="1" applyAlignment="1" applyProtection="1">
      <alignment horizontal="center"/>
    </xf>
    <xf numFmtId="167" fontId="5" fillId="0" borderId="57" xfId="8" applyNumberFormat="1" applyFont="1" applyFill="1" applyBorder="1" applyAlignment="1" applyProtection="1">
      <alignment horizontal="center"/>
    </xf>
    <xf numFmtId="167" fontId="5" fillId="0" borderId="13" xfId="8" applyNumberFormat="1" applyFont="1" applyFill="1" applyBorder="1" applyAlignment="1" applyProtection="1">
      <alignment horizontal="center"/>
    </xf>
    <xf numFmtId="167" fontId="5" fillId="0" borderId="125" xfId="8" applyNumberFormat="1" applyFont="1" applyFill="1" applyBorder="1" applyAlignment="1" applyProtection="1">
      <alignment horizontal="center"/>
    </xf>
    <xf numFmtId="167" fontId="5" fillId="0" borderId="14" xfId="8" applyNumberFormat="1" applyFont="1" applyFill="1" applyBorder="1" applyAlignment="1" applyProtection="1">
      <alignment horizontal="center"/>
    </xf>
    <xf numFmtId="167" fontId="5" fillId="0" borderId="15" xfId="8" applyNumberFormat="1" applyFont="1" applyFill="1" applyBorder="1" applyAlignment="1" applyProtection="1">
      <alignment horizontal="center"/>
    </xf>
    <xf numFmtId="167" fontId="5" fillId="0" borderId="16" xfId="8" applyNumberFormat="1" applyFont="1" applyFill="1" applyBorder="1" applyAlignment="1" applyProtection="1">
      <alignment horizontal="center"/>
    </xf>
    <xf numFmtId="167" fontId="5" fillId="0" borderId="18" xfId="8" applyNumberFormat="1" applyFont="1" applyFill="1" applyBorder="1" applyAlignment="1" applyProtection="1">
      <alignment horizontal="center"/>
    </xf>
    <xf numFmtId="167" fontId="5" fillId="0" borderId="9" xfId="8" applyNumberFormat="1" applyFont="1" applyFill="1" applyBorder="1" applyAlignment="1" applyProtection="1">
      <alignment horizontal="right"/>
    </xf>
    <xf numFmtId="0" fontId="80" fillId="35" borderId="17" xfId="0" applyFont="1" applyFill="1" applyBorder="1" applyAlignment="1">
      <alignment horizontal="center" vertical="center"/>
    </xf>
    <xf numFmtId="0" fontId="5" fillId="0" borderId="63" xfId="0" applyFont="1" applyBorder="1" applyAlignment="1">
      <alignment horizontal="left" indent="1"/>
    </xf>
    <xf numFmtId="0" fontId="5" fillId="0" borderId="202" xfId="0" applyFont="1" applyBorder="1" applyAlignment="1">
      <alignment horizontal="left" indent="1"/>
    </xf>
    <xf numFmtId="0" fontId="5" fillId="0" borderId="57" xfId="0" applyFont="1" applyBorder="1" applyAlignment="1">
      <alignment horizontal="left" indent="1"/>
    </xf>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12" xfId="0" applyBorder="1" applyAlignment="1">
      <alignment horizontal="center"/>
    </xf>
    <xf numFmtId="0" fontId="0" fillId="0" borderId="203" xfId="0" applyBorder="1" applyAlignment="1">
      <alignment horizontal="center" vertical="center"/>
    </xf>
    <xf numFmtId="0" fontId="0" fillId="0" borderId="204" xfId="0" applyBorder="1" applyAlignment="1">
      <alignment horizontal="center" vertical="center"/>
    </xf>
    <xf numFmtId="0" fontId="0" fillId="0" borderId="205" xfId="0" applyBorder="1" applyAlignment="1">
      <alignment horizontal="center" vertical="center"/>
    </xf>
    <xf numFmtId="0" fontId="0" fillId="0" borderId="206" xfId="0" applyBorder="1" applyAlignment="1">
      <alignment horizontal="left" indent="1"/>
    </xf>
    <xf numFmtId="1" fontId="0" fillId="0" borderId="114" xfId="0" applyNumberFormat="1" applyBorder="1" applyAlignment="1">
      <alignment horizontal="center"/>
    </xf>
    <xf numFmtId="0" fontId="0" fillId="0" borderId="185" xfId="0" applyBorder="1" applyAlignment="1">
      <alignment horizontal="left" indent="1"/>
    </xf>
    <xf numFmtId="0" fontId="0" fillId="0" borderId="207" xfId="0" applyBorder="1" applyAlignment="1">
      <alignment horizontal="left" indent="1"/>
    </xf>
    <xf numFmtId="0" fontId="0" fillId="0" borderId="208" xfId="0" applyBorder="1" applyAlignment="1">
      <alignment horizontal="left" indent="1"/>
    </xf>
    <xf numFmtId="1" fontId="0" fillId="0" borderId="85" xfId="0" applyNumberFormat="1" applyBorder="1" applyAlignment="1">
      <alignment horizontal="center"/>
    </xf>
    <xf numFmtId="0" fontId="0" fillId="0" borderId="7" xfId="0" applyBorder="1"/>
    <xf numFmtId="0" fontId="0" fillId="0" borderId="12" xfId="0" applyBorder="1"/>
    <xf numFmtId="0" fontId="0" fillId="0" borderId="17" xfId="0" applyBorder="1" applyAlignment="1">
      <alignment horizontal="center"/>
    </xf>
    <xf numFmtId="0" fontId="0" fillId="0" borderId="0" xfId="0" applyAlignment="1">
      <alignment wrapText="1"/>
    </xf>
    <xf numFmtId="0" fontId="18" fillId="0" borderId="0" xfId="0" applyFont="1" applyAlignment="1">
      <alignment horizontal="left" vertical="top"/>
    </xf>
    <xf numFmtId="0" fontId="18" fillId="0" borderId="0" xfId="0" applyFont="1" applyAlignment="1">
      <alignment vertical="top" wrapText="1"/>
    </xf>
    <xf numFmtId="0" fontId="0" fillId="36" borderId="0" xfId="0" applyFill="1" applyAlignment="1">
      <alignment horizontal="center"/>
    </xf>
    <xf numFmtId="0" fontId="8" fillId="36" borderId="118" xfId="0" applyFont="1" applyFill="1" applyBorder="1" applyAlignment="1">
      <alignment horizontal="center"/>
    </xf>
    <xf numFmtId="0" fontId="5" fillId="0" borderId="8" xfId="0" applyFont="1" applyBorder="1" applyAlignment="1">
      <alignment horizontal="left" indent="1"/>
    </xf>
    <xf numFmtId="0" fontId="5" fillId="0" borderId="0" xfId="0" applyFont="1" applyAlignment="1">
      <alignment horizontal="left" indent="1"/>
    </xf>
    <xf numFmtId="0" fontId="5" fillId="0" borderId="9" xfId="0" applyFont="1" applyBorder="1" applyAlignment="1">
      <alignment horizontal="left" indent="1"/>
    </xf>
    <xf numFmtId="0" fontId="0" fillId="0" borderId="136" xfId="0" applyBorder="1"/>
    <xf numFmtId="167" fontId="5" fillId="0" borderId="8" xfId="8" applyNumberFormat="1" applyFont="1" applyFill="1" applyBorder="1" applyProtection="1"/>
    <xf numFmtId="167" fontId="5" fillId="0" borderId="0" xfId="8" applyNumberFormat="1" applyFont="1" applyFill="1" applyBorder="1" applyAlignment="1" applyProtection="1">
      <alignment horizontal="right"/>
    </xf>
    <xf numFmtId="167" fontId="5" fillId="0" borderId="9" xfId="8" applyNumberFormat="1" applyFont="1" applyFill="1" applyBorder="1" applyProtection="1"/>
    <xf numFmtId="0" fontId="0" fillId="0" borderId="1" xfId="0" applyBorder="1" applyAlignment="1">
      <alignment horizontal="center"/>
    </xf>
    <xf numFmtId="0" fontId="0" fillId="0" borderId="20"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0" borderId="32" xfId="0" applyBorder="1" applyAlignment="1">
      <alignment horizontal="center"/>
    </xf>
    <xf numFmtId="0" fontId="0" fillId="0" borderId="118" xfId="0" applyBorder="1" applyAlignment="1">
      <alignment horizontal="center"/>
    </xf>
    <xf numFmtId="14" fontId="55" fillId="0" borderId="0" xfId="6" applyNumberFormat="1" applyFont="1" applyAlignment="1">
      <alignment horizontal="left" vertical="top"/>
    </xf>
    <xf numFmtId="0" fontId="0" fillId="20" borderId="0" xfId="0" applyFill="1" applyProtection="1">
      <protection locked="0"/>
    </xf>
    <xf numFmtId="0" fontId="68" fillId="20" borderId="0" xfId="0" applyFont="1" applyFill="1" applyAlignment="1" applyProtection="1">
      <alignment horizontal="center" vertical="center" wrapText="1"/>
      <protection locked="0"/>
    </xf>
    <xf numFmtId="0" fontId="0" fillId="0" borderId="21" xfId="0" applyBorder="1" applyAlignment="1">
      <alignment horizontal="center" vertical="center"/>
    </xf>
    <xf numFmtId="0" fontId="0" fillId="0" borderId="3" xfId="0" applyBorder="1" applyAlignment="1">
      <alignment horizontal="center" vertical="center"/>
    </xf>
    <xf numFmtId="0" fontId="0" fillId="0" borderId="20" xfId="0" applyBorder="1" applyAlignment="1">
      <alignment horizontal="center" vertical="center"/>
    </xf>
    <xf numFmtId="0" fontId="0" fillId="0" borderId="193" xfId="0" applyBorder="1" applyAlignment="1">
      <alignment horizontal="center" vertical="center"/>
    </xf>
    <xf numFmtId="0" fontId="0" fillId="0" borderId="22" xfId="0" applyBorder="1" applyAlignment="1">
      <alignment horizontal="center" vertical="center"/>
    </xf>
    <xf numFmtId="0" fontId="0" fillId="0" borderId="13" xfId="0" applyBorder="1" applyAlignment="1">
      <alignment horizontal="center" vertical="center"/>
    </xf>
    <xf numFmtId="0" fontId="0" fillId="0" borderId="0" xfId="0" applyAlignment="1">
      <alignment horizontal="left" vertical="center"/>
    </xf>
    <xf numFmtId="0" fontId="0" fillId="0" borderId="10" xfId="0" applyBorder="1" applyAlignment="1">
      <alignment horizontal="center" vertical="center"/>
    </xf>
    <xf numFmtId="0" fontId="0" fillId="0" borderId="11" xfId="0" applyBorder="1" applyAlignment="1">
      <alignment horizontal="center" vertical="center"/>
    </xf>
    <xf numFmtId="0" fontId="18" fillId="0" borderId="0" xfId="0" quotePrefix="1" applyFont="1" applyAlignment="1">
      <alignment horizontal="left" vertical="top"/>
    </xf>
    <xf numFmtId="0" fontId="0" fillId="0" borderId="7" xfId="0" applyBorder="1" applyAlignment="1">
      <alignment horizontal="center"/>
    </xf>
    <xf numFmtId="0" fontId="0" fillId="0" borderId="9" xfId="0" applyBorder="1" applyAlignment="1">
      <alignment horizontal="center" vertical="center"/>
    </xf>
    <xf numFmtId="0" fontId="0" fillId="0" borderId="10" xfId="0" applyBorder="1" applyAlignment="1">
      <alignment horizontal="center"/>
    </xf>
    <xf numFmtId="0" fontId="0" fillId="0" borderId="14" xfId="0" applyBorder="1" applyAlignment="1">
      <alignment horizontal="center" vertical="center"/>
    </xf>
    <xf numFmtId="0" fontId="0" fillId="0" borderId="63" xfId="0" applyBorder="1" applyAlignment="1">
      <alignment horizontal="center" vertical="center"/>
    </xf>
    <xf numFmtId="0" fontId="0" fillId="0" borderId="125" xfId="0" applyBorder="1" applyAlignment="1">
      <alignment horizontal="center" vertical="center"/>
    </xf>
    <xf numFmtId="0" fontId="0" fillId="0" borderId="0" xfId="0" quotePrefix="1" applyAlignment="1">
      <alignment horizontal="center" vertical="center"/>
    </xf>
    <xf numFmtId="0" fontId="0" fillId="0" borderId="12" xfId="0" applyBorder="1" applyAlignment="1">
      <alignment horizontal="center" vertical="center"/>
    </xf>
    <xf numFmtId="0" fontId="18" fillId="0" borderId="0" xfId="0" applyFont="1" applyAlignment="1">
      <alignment vertical="top"/>
    </xf>
    <xf numFmtId="0" fontId="0" fillId="0" borderId="19" xfId="0"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167" fontId="0" fillId="21" borderId="0" xfId="8" applyNumberFormat="1" applyFont="1" applyFill="1" applyBorder="1" applyProtection="1"/>
    <xf numFmtId="0" fontId="78" fillId="0" borderId="0" xfId="0" applyFont="1" applyAlignment="1">
      <alignment horizontal="right" indent="1"/>
    </xf>
    <xf numFmtId="0" fontId="78" fillId="0" borderId="0" xfId="0" applyFont="1" applyAlignment="1">
      <alignment horizontal="left"/>
    </xf>
    <xf numFmtId="2" fontId="78" fillId="0" borderId="0" xfId="0" applyNumberFormat="1" applyFont="1" applyAlignment="1">
      <alignment horizontal="center"/>
    </xf>
    <xf numFmtId="0" fontId="78" fillId="0" borderId="0" xfId="0" applyFont="1" applyAlignment="1">
      <alignment vertical="center"/>
    </xf>
    <xf numFmtId="0" fontId="78" fillId="0" borderId="0" xfId="0" applyFont="1" applyAlignment="1">
      <alignment vertical="center" wrapText="1"/>
    </xf>
    <xf numFmtId="14" fontId="78" fillId="0" borderId="0" xfId="0" applyNumberFormat="1" applyFont="1" applyAlignment="1">
      <alignment horizontal="center"/>
    </xf>
    <xf numFmtId="0" fontId="78" fillId="0" borderId="0" xfId="0" applyFont="1" applyAlignment="1">
      <alignment horizontal="center"/>
    </xf>
    <xf numFmtId="168" fontId="78" fillId="0" borderId="0" xfId="0" applyNumberFormat="1" applyFont="1"/>
    <xf numFmtId="0" fontId="0" fillId="0" borderId="2" xfId="0" applyBorder="1" applyAlignment="1">
      <alignment horizontal="left" vertical="center"/>
    </xf>
    <xf numFmtId="0" fontId="0" fillId="0" borderId="3" xfId="0" applyBorder="1" applyAlignment="1">
      <alignment horizontal="left" vertical="center"/>
    </xf>
    <xf numFmtId="0" fontId="0" fillId="0" borderId="19" xfId="0" applyBorder="1" applyAlignment="1">
      <alignment horizontal="left" vertical="center"/>
    </xf>
    <xf numFmtId="0" fontId="0" fillId="0" borderId="4" xfId="0" applyBorder="1" applyAlignment="1">
      <alignment horizontal="left" vertical="center"/>
    </xf>
    <xf numFmtId="0" fontId="0" fillId="0" borderId="1" xfId="0" applyBorder="1" applyAlignment="1">
      <alignment horizontal="left" vertical="center"/>
    </xf>
    <xf numFmtId="0" fontId="0" fillId="0" borderId="20"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22" xfId="0" applyBorder="1" applyAlignment="1">
      <alignment horizontal="left" vertical="center"/>
    </xf>
    <xf numFmtId="0" fontId="0" fillId="0" borderId="6" xfId="0" applyBorder="1" applyAlignment="1">
      <alignment horizontal="left" indent="1"/>
    </xf>
    <xf numFmtId="3" fontId="5" fillId="0" borderId="6" xfId="1" applyNumberFormat="1" applyFont="1" applyBorder="1" applyAlignment="1">
      <alignment horizontal="center"/>
    </xf>
    <xf numFmtId="3" fontId="5" fillId="0" borderId="22" xfId="1" applyNumberFormat="1" applyFont="1" applyBorder="1" applyAlignment="1">
      <alignment horizontal="center"/>
    </xf>
    <xf numFmtId="167" fontId="0" fillId="0" borderId="6" xfId="8" applyNumberFormat="1" applyFont="1" applyFill="1" applyBorder="1" applyAlignment="1" applyProtection="1">
      <alignment horizontal="left" indent="1"/>
    </xf>
    <xf numFmtId="0" fontId="5" fillId="0" borderId="213" xfId="0" applyFont="1" applyBorder="1" applyAlignment="1">
      <alignment horizontal="center"/>
    </xf>
    <xf numFmtId="0" fontId="5" fillId="0" borderId="36" xfId="0" applyFont="1" applyBorder="1" applyAlignment="1">
      <alignment horizontal="left" indent="1"/>
    </xf>
    <xf numFmtId="167" fontId="5" fillId="0" borderId="36" xfId="8" applyNumberFormat="1" applyFont="1" applyFill="1" applyBorder="1" applyAlignment="1" applyProtection="1">
      <alignment horizontal="center"/>
    </xf>
    <xf numFmtId="3" fontId="5" fillId="0" borderId="36" xfId="1" applyNumberFormat="1" applyFont="1" applyBorder="1" applyAlignment="1">
      <alignment horizontal="right"/>
    </xf>
    <xf numFmtId="3" fontId="5" fillId="0" borderId="54" xfId="1" applyNumberFormat="1" applyFont="1" applyBorder="1" applyAlignment="1">
      <alignment horizontal="right"/>
    </xf>
    <xf numFmtId="169" fontId="5" fillId="0" borderId="166" xfId="1" applyNumberFormat="1" applyFont="1" applyBorder="1" applyAlignment="1">
      <alignment horizontal="center"/>
    </xf>
    <xf numFmtId="0" fontId="0" fillId="36" borderId="25" xfId="0" applyFill="1" applyBorder="1" applyAlignment="1">
      <alignment horizontal="center"/>
    </xf>
    <xf numFmtId="0" fontId="7" fillId="0" borderId="0" xfId="0" applyFont="1" applyAlignment="1">
      <alignment horizontal="center" vertical="center"/>
    </xf>
    <xf numFmtId="0" fontId="5" fillId="0" borderId="0" xfId="0" applyFont="1" applyAlignment="1">
      <alignment horizontal="center" vertical="center"/>
    </xf>
    <xf numFmtId="0" fontId="0" fillId="0" borderId="202" xfId="0" applyBorder="1"/>
    <xf numFmtId="0" fontId="0" fillId="0" borderId="57" xfId="0" applyBorder="1"/>
    <xf numFmtId="0" fontId="0" fillId="0" borderId="127" xfId="0" applyBorder="1"/>
    <xf numFmtId="0" fontId="5" fillId="0" borderId="63" xfId="0" applyFont="1" applyBorder="1" applyAlignment="1">
      <alignment horizontal="center" vertical="center"/>
    </xf>
    <xf numFmtId="0" fontId="5" fillId="0" borderId="118" xfId="0" applyFont="1" applyBorder="1" applyAlignment="1">
      <alignment horizontal="center" vertical="center"/>
    </xf>
    <xf numFmtId="0" fontId="5" fillId="0" borderId="63" xfId="0" applyFont="1" applyBorder="1" applyAlignment="1">
      <alignment horizontal="left" vertical="center"/>
    </xf>
    <xf numFmtId="0" fontId="0" fillId="0" borderId="63" xfId="0" applyBorder="1" applyAlignment="1">
      <alignment horizontal="left" vertical="center"/>
    </xf>
    <xf numFmtId="0" fontId="5" fillId="0" borderId="118" xfId="0" applyFont="1" applyBorder="1" applyAlignment="1">
      <alignment horizontal="left" vertical="center"/>
    </xf>
    <xf numFmtId="0" fontId="0" fillId="0" borderId="118" xfId="0" applyBorder="1" applyAlignment="1">
      <alignment horizontal="left" vertical="center"/>
    </xf>
    <xf numFmtId="0" fontId="0" fillId="0" borderId="118" xfId="0" applyBorder="1" applyAlignment="1">
      <alignment horizontal="left"/>
    </xf>
    <xf numFmtId="0" fontId="0" fillId="0" borderId="125" xfId="0" applyBorder="1" applyAlignment="1">
      <alignment horizontal="left"/>
    </xf>
    <xf numFmtId="0" fontId="0" fillId="0" borderId="125" xfId="0" applyBorder="1" applyAlignment="1">
      <alignment horizontal="center"/>
    </xf>
    <xf numFmtId="0" fontId="18" fillId="0" borderId="1" xfId="0" applyFont="1" applyBorder="1" applyAlignment="1">
      <alignment horizontal="center" vertical="center"/>
    </xf>
    <xf numFmtId="0" fontId="25" fillId="21" borderId="1" xfId="0" applyFont="1" applyFill="1" applyBorder="1" applyAlignment="1">
      <alignment horizontal="center" vertical="center" wrapText="1"/>
    </xf>
    <xf numFmtId="0" fontId="2" fillId="7" borderId="19" xfId="0" applyFont="1" applyFill="1" applyBorder="1" applyAlignment="1" applyProtection="1">
      <alignment horizontal="center" vertical="center" wrapText="1"/>
      <protection locked="0"/>
    </xf>
    <xf numFmtId="0" fontId="59" fillId="0" borderId="55" xfId="0" applyFont="1" applyBorder="1" applyAlignment="1">
      <alignment horizontal="left" vertical="center"/>
    </xf>
    <xf numFmtId="0" fontId="59" fillId="0" borderId="55" xfId="0" applyFont="1" applyBorder="1" applyAlignment="1">
      <alignment vertical="center"/>
    </xf>
    <xf numFmtId="0" fontId="5" fillId="0" borderId="55" xfId="0" applyFont="1" applyBorder="1" applyAlignment="1">
      <alignment horizontal="center" wrapText="1"/>
    </xf>
    <xf numFmtId="0" fontId="47" fillId="0" borderId="0" xfId="0" applyFont="1" applyAlignment="1">
      <alignment horizontal="center" wrapText="1"/>
    </xf>
    <xf numFmtId="0" fontId="47" fillId="0" borderId="0" xfId="0" applyFont="1"/>
    <xf numFmtId="0" fontId="2" fillId="0" borderId="0" xfId="0" applyFont="1"/>
    <xf numFmtId="0" fontId="25" fillId="26" borderId="0" xfId="0" applyFont="1" applyFill="1" applyAlignment="1">
      <alignment vertical="center"/>
    </xf>
    <xf numFmtId="0" fontId="25" fillId="26" borderId="0" xfId="0" applyFont="1" applyFill="1" applyAlignment="1">
      <alignment horizontal="right" vertical="center"/>
    </xf>
    <xf numFmtId="0" fontId="21" fillId="26" borderId="0" xfId="0" applyFont="1" applyFill="1" applyAlignment="1">
      <alignment horizontal="left" vertical="center" indent="1"/>
    </xf>
    <xf numFmtId="0" fontId="21" fillId="26" borderId="0" xfId="0" applyFont="1" applyFill="1" applyAlignment="1">
      <alignment horizontal="left" vertical="center" indent="2"/>
    </xf>
    <xf numFmtId="0" fontId="18" fillId="26" borderId="0" xfId="0" applyFont="1" applyFill="1" applyAlignment="1">
      <alignment horizontal="left" wrapText="1" indent="1"/>
    </xf>
    <xf numFmtId="0" fontId="18" fillId="26" borderId="0" xfId="0" applyFont="1" applyFill="1"/>
    <xf numFmtId="0" fontId="25" fillId="26" borderId="0" xfId="0" applyFont="1" applyFill="1" applyAlignment="1">
      <alignment horizontal="right" vertical="center" indent="1"/>
    </xf>
    <xf numFmtId="14" fontId="25" fillId="26" borderId="0" xfId="0" applyNumberFormat="1" applyFont="1" applyFill="1" applyAlignment="1">
      <alignment vertical="center"/>
    </xf>
    <xf numFmtId="0" fontId="0" fillId="0" borderId="36" xfId="0" applyBorder="1" applyAlignment="1">
      <alignment horizontal="center"/>
    </xf>
    <xf numFmtId="0" fontId="12" fillId="11" borderId="36" xfId="0" applyFont="1" applyFill="1" applyBorder="1" applyAlignment="1">
      <alignment horizontal="center" wrapText="1"/>
    </xf>
    <xf numFmtId="0" fontId="5" fillId="0" borderId="2" xfId="1" applyFont="1" applyBorder="1" applyAlignment="1">
      <alignment horizontal="center"/>
    </xf>
    <xf numFmtId="0" fontId="5" fillId="0" borderId="3" xfId="1" applyFont="1" applyBorder="1" applyAlignment="1">
      <alignment horizontal="center"/>
    </xf>
    <xf numFmtId="0" fontId="5" fillId="0" borderId="19" xfId="1" applyFont="1" applyBorder="1" applyAlignment="1">
      <alignment horizontal="center"/>
    </xf>
    <xf numFmtId="0" fontId="34" fillId="0" borderId="0" xfId="0" applyFont="1" applyAlignment="1">
      <alignment horizontal="center" vertical="center"/>
    </xf>
    <xf numFmtId="0" fontId="49" fillId="0" borderId="0" xfId="0" applyFont="1" applyAlignment="1">
      <alignment horizontal="center" wrapText="1"/>
    </xf>
    <xf numFmtId="0" fontId="5" fillId="0" borderId="36" xfId="0" applyFont="1" applyBorder="1" applyAlignment="1">
      <alignment horizontal="center" wrapText="1"/>
    </xf>
    <xf numFmtId="0" fontId="5" fillId="0" borderId="4" xfId="1" applyFont="1" applyBorder="1" applyAlignment="1">
      <alignment horizontal="center"/>
    </xf>
    <xf numFmtId="0" fontId="5" fillId="0" borderId="1" xfId="1" applyFont="1" applyBorder="1" applyAlignment="1">
      <alignment horizontal="center"/>
    </xf>
    <xf numFmtId="0" fontId="5" fillId="0" borderId="20" xfId="1" applyFont="1" applyBorder="1" applyAlignment="1">
      <alignment horizontal="center"/>
    </xf>
    <xf numFmtId="0" fontId="21" fillId="26" borderId="0" xfId="0" applyFont="1" applyFill="1" applyAlignment="1">
      <alignment vertical="center"/>
    </xf>
    <xf numFmtId="0" fontId="5" fillId="0" borderId="28" xfId="0" applyFont="1" applyBorder="1" applyAlignment="1">
      <alignment horizontal="left"/>
    </xf>
    <xf numFmtId="0" fontId="5" fillId="0" borderId="28" xfId="0" applyFont="1" applyBorder="1" applyAlignment="1">
      <alignment horizontal="center" wrapText="1"/>
    </xf>
    <xf numFmtId="0" fontId="5" fillId="0" borderId="5" xfId="1" applyFont="1" applyBorder="1" applyAlignment="1">
      <alignment horizontal="center"/>
    </xf>
    <xf numFmtId="0" fontId="5" fillId="0" borderId="6" xfId="1" applyFont="1" applyBorder="1" applyAlignment="1">
      <alignment horizontal="center"/>
    </xf>
    <xf numFmtId="0" fontId="5" fillId="0" borderId="22" xfId="1" applyFont="1" applyBorder="1" applyAlignment="1">
      <alignment horizontal="center"/>
    </xf>
    <xf numFmtId="0" fontId="25" fillId="26" borderId="13" xfId="0" applyFont="1" applyFill="1" applyBorder="1" applyAlignment="1">
      <alignment vertical="center"/>
    </xf>
    <xf numFmtId="0" fontId="25" fillId="26" borderId="13" xfId="0" applyFont="1" applyFill="1" applyBorder="1" applyAlignment="1">
      <alignment horizontal="right" vertical="center"/>
    </xf>
    <xf numFmtId="0" fontId="21" fillId="26" borderId="13" xfId="0" applyFont="1" applyFill="1" applyBorder="1" applyAlignment="1">
      <alignment vertical="center"/>
    </xf>
    <xf numFmtId="0" fontId="0" fillId="0" borderId="36" xfId="0" applyBorder="1" applyAlignment="1">
      <alignment horizontal="right"/>
    </xf>
    <xf numFmtId="165" fontId="2" fillId="0" borderId="56" xfId="0" applyNumberFormat="1" applyFont="1" applyBorder="1" applyAlignment="1">
      <alignment horizontal="center" wrapText="1"/>
    </xf>
    <xf numFmtId="0" fontId="2" fillId="0" borderId="118" xfId="0" applyFont="1" applyBorder="1" applyAlignment="1">
      <alignment horizontal="right"/>
    </xf>
    <xf numFmtId="0" fontId="5" fillId="0" borderId="57" xfId="1" applyFont="1" applyBorder="1" applyAlignment="1">
      <alignment horizontal="center"/>
    </xf>
    <xf numFmtId="0" fontId="0" fillId="0" borderId="36" xfId="0" applyBorder="1" applyAlignment="1">
      <alignment horizontal="center" wrapText="1"/>
    </xf>
    <xf numFmtId="0" fontId="31" fillId="0" borderId="0" xfId="0" applyFont="1" applyAlignment="1">
      <alignment vertical="center" wrapText="1"/>
    </xf>
    <xf numFmtId="0" fontId="5" fillId="0" borderId="118" xfId="0" applyFont="1" applyBorder="1" applyAlignment="1">
      <alignment horizontal="right" wrapText="1"/>
    </xf>
    <xf numFmtId="0" fontId="5" fillId="0" borderId="0" xfId="0" applyFont="1" applyAlignment="1">
      <alignment wrapText="1"/>
    </xf>
    <xf numFmtId="0" fontId="2" fillId="3" borderId="2" xfId="0" applyFont="1" applyFill="1" applyBorder="1" applyAlignment="1">
      <alignment horizontal="center" vertical="center"/>
    </xf>
    <xf numFmtId="0" fontId="25" fillId="26" borderId="13" xfId="0" applyFont="1" applyFill="1" applyBorder="1" applyAlignment="1">
      <alignment horizontal="left" vertical="center" indent="1"/>
    </xf>
    <xf numFmtId="0" fontId="1" fillId="26" borderId="13" xfId="0" applyFont="1" applyFill="1" applyBorder="1" applyAlignment="1">
      <alignment horizontal="center" vertical="center"/>
    </xf>
    <xf numFmtId="0" fontId="47" fillId="26" borderId="13" xfId="0" applyFont="1" applyFill="1" applyBorder="1" applyAlignment="1">
      <alignment horizontal="center" wrapText="1"/>
    </xf>
    <xf numFmtId="0" fontId="1" fillId="26" borderId="13" xfId="0" applyFont="1" applyFill="1" applyBorder="1" applyAlignment="1">
      <alignment vertical="center"/>
    </xf>
    <xf numFmtId="0" fontId="5" fillId="0" borderId="28" xfId="0" applyFont="1" applyBorder="1" applyAlignment="1">
      <alignment horizontal="right" wrapText="1"/>
    </xf>
    <xf numFmtId="0" fontId="0" fillId="0" borderId="60" xfId="0" applyBorder="1" applyAlignment="1">
      <alignment horizontal="center" wrapText="1"/>
    </xf>
    <xf numFmtId="1" fontId="47" fillId="0" borderId="0" xfId="0" applyNumberFormat="1" applyFont="1"/>
    <xf numFmtId="0" fontId="47" fillId="0" borderId="0" xfId="0" applyFont="1" applyAlignment="1">
      <alignment vertical="center"/>
    </xf>
    <xf numFmtId="0" fontId="47" fillId="0" borderId="0" xfId="0" applyFont="1" applyAlignment="1">
      <alignment vertical="center" wrapText="1"/>
    </xf>
    <xf numFmtId="0" fontId="47" fillId="0" borderId="0" xfId="0" applyFont="1" applyAlignment="1">
      <alignment horizontal="center" vertical="center" wrapText="1"/>
    </xf>
    <xf numFmtId="0" fontId="2" fillId="0" borderId="1" xfId="0" applyFont="1" applyBorder="1" applyAlignment="1">
      <alignment horizontal="center" vertical="center" wrapText="1"/>
    </xf>
    <xf numFmtId="165" fontId="0" fillId="0" borderId="0" xfId="0" applyNumberFormat="1" applyAlignment="1">
      <alignment horizontal="center" vertical="center"/>
    </xf>
    <xf numFmtId="2" fontId="47" fillId="0" borderId="0" xfId="0" applyNumberFormat="1" applyFont="1"/>
    <xf numFmtId="0" fontId="34" fillId="0" borderId="0" xfId="0" applyFont="1" applyAlignment="1">
      <alignment vertical="center"/>
    </xf>
    <xf numFmtId="0" fontId="5" fillId="37" borderId="1" xfId="0" applyFont="1" applyFill="1" applyBorder="1" applyAlignment="1">
      <alignment horizontal="center" vertical="center" wrapText="1"/>
    </xf>
    <xf numFmtId="0" fontId="5" fillId="37" borderId="36" xfId="0" applyFont="1" applyFill="1" applyBorder="1" applyAlignment="1">
      <alignment horizontal="center" vertical="center" wrapText="1"/>
    </xf>
    <xf numFmtId="0" fontId="0" fillId="37" borderId="56" xfId="0" applyFill="1" applyBorder="1" applyAlignment="1">
      <alignment horizontal="center" vertical="center" wrapText="1"/>
    </xf>
    <xf numFmtId="0" fontId="0" fillId="0" borderId="53" xfId="0" applyBorder="1" applyAlignment="1">
      <alignment horizontal="center" vertical="center"/>
    </xf>
    <xf numFmtId="165" fontId="5" fillId="0" borderId="36" xfId="1" applyNumberFormat="1" applyFont="1" applyBorder="1" applyAlignment="1">
      <alignment horizontal="center" vertical="center"/>
    </xf>
    <xf numFmtId="0" fontId="5" fillId="0" borderId="36" xfId="1" applyFont="1" applyBorder="1" applyAlignment="1">
      <alignment horizontal="center" vertical="center"/>
    </xf>
    <xf numFmtId="165" fontId="47" fillId="0" borderId="56" xfId="0" applyNumberFormat="1" applyFont="1" applyBorder="1" applyAlignment="1">
      <alignment horizontal="center" vertical="center" wrapText="1"/>
    </xf>
    <xf numFmtId="0" fontId="0" fillId="0" borderId="1" xfId="0" applyBorder="1" applyAlignment="1">
      <alignment horizontal="right" vertical="center"/>
    </xf>
    <xf numFmtId="2" fontId="47" fillId="0" borderId="29" xfId="0" applyNumberFormat="1" applyFont="1" applyBorder="1" applyAlignment="1">
      <alignment vertical="center"/>
    </xf>
    <xf numFmtId="0" fontId="0" fillId="26" borderId="53" xfId="0" applyFill="1" applyBorder="1" applyAlignment="1">
      <alignment horizontal="center" vertical="center"/>
    </xf>
    <xf numFmtId="165" fontId="5" fillId="26" borderId="118" xfId="1" applyNumberFormat="1" applyFont="1" applyFill="1" applyBorder="1" applyAlignment="1">
      <alignment horizontal="center" vertical="center"/>
    </xf>
    <xf numFmtId="165" fontId="2" fillId="26" borderId="118" xfId="0" applyNumberFormat="1" applyFont="1" applyFill="1" applyBorder="1" applyAlignment="1">
      <alignment horizontal="center" vertical="center" wrapText="1"/>
    </xf>
    <xf numFmtId="165" fontId="47" fillId="26" borderId="57" xfId="0" applyNumberFormat="1" applyFont="1" applyFill="1" applyBorder="1" applyAlignment="1">
      <alignment horizontal="center" vertical="center" wrapText="1"/>
    </xf>
    <xf numFmtId="0" fontId="18" fillId="14" borderId="1" xfId="0" applyFont="1" applyFill="1" applyBorder="1" applyAlignment="1">
      <alignment horizontal="center" vertical="center"/>
    </xf>
    <xf numFmtId="0" fontId="0" fillId="0" borderId="118" xfId="0" applyBorder="1" applyAlignment="1">
      <alignment horizontal="right" vertical="center"/>
    </xf>
    <xf numFmtId="2" fontId="47" fillId="0" borderId="57" xfId="0" applyNumberFormat="1" applyFont="1" applyBorder="1" applyAlignment="1">
      <alignment vertical="center"/>
    </xf>
    <xf numFmtId="165" fontId="5" fillId="0" borderId="118" xfId="1" applyNumberFormat="1" applyFont="1" applyBorder="1" applyAlignment="1">
      <alignment horizontal="center" vertical="center"/>
    </xf>
    <xf numFmtId="165" fontId="2" fillId="0" borderId="118" xfId="0" applyNumberFormat="1" applyFont="1" applyBorder="1" applyAlignment="1">
      <alignment horizontal="center" vertical="center" wrapText="1"/>
    </xf>
    <xf numFmtId="165" fontId="0" fillId="0" borderId="57" xfId="0" applyNumberFormat="1" applyBorder="1" applyAlignment="1">
      <alignment horizontal="center" vertical="center"/>
    </xf>
    <xf numFmtId="0" fontId="47" fillId="0" borderId="29" xfId="0" applyFont="1" applyBorder="1" applyAlignment="1">
      <alignment vertical="center"/>
    </xf>
    <xf numFmtId="0" fontId="0" fillId="26" borderId="58" xfId="0" applyFill="1" applyBorder="1" applyAlignment="1">
      <alignment horizontal="center" vertical="center"/>
    </xf>
    <xf numFmtId="165" fontId="5" fillId="26" borderId="28" xfId="1" applyNumberFormat="1" applyFont="1" applyFill="1" applyBorder="1" applyAlignment="1">
      <alignment horizontal="center" vertical="center"/>
    </xf>
    <xf numFmtId="165" fontId="2" fillId="26" borderId="28" xfId="0" applyNumberFormat="1" applyFont="1" applyFill="1" applyBorder="1" applyAlignment="1">
      <alignment horizontal="center" vertical="center" wrapText="1"/>
    </xf>
    <xf numFmtId="165" fontId="0" fillId="26" borderId="60" xfId="0" applyNumberFormat="1" applyFill="1" applyBorder="1" applyAlignment="1">
      <alignment horizontal="center" vertical="center"/>
    </xf>
    <xf numFmtId="0" fontId="0" fillId="0" borderId="28" xfId="0" applyBorder="1" applyAlignment="1">
      <alignment horizontal="right" vertical="center"/>
    </xf>
    <xf numFmtId="0" fontId="47" fillId="0" borderId="60" xfId="0" applyFont="1" applyBorder="1" applyAlignment="1">
      <alignment vertical="center"/>
    </xf>
    <xf numFmtId="0" fontId="18" fillId="0" borderId="0" xfId="0" applyFont="1" applyAlignment="1">
      <alignment vertical="center" wrapText="1"/>
    </xf>
    <xf numFmtId="0" fontId="18" fillId="26" borderId="29" xfId="0" applyFont="1" applyFill="1" applyBorder="1" applyAlignment="1">
      <alignment vertical="center"/>
    </xf>
    <xf numFmtId="165" fontId="18" fillId="26" borderId="29" xfId="0" applyNumberFormat="1" applyFont="1" applyFill="1" applyBorder="1" applyAlignment="1">
      <alignment horizontal="center" vertical="center"/>
    </xf>
    <xf numFmtId="2" fontId="47" fillId="0" borderId="54" xfId="0" applyNumberFormat="1" applyFont="1" applyBorder="1" applyAlignment="1">
      <alignment horizontal="center" vertical="center"/>
    </xf>
    <xf numFmtId="2" fontId="47" fillId="0" borderId="36" xfId="0" applyNumberFormat="1" applyFont="1" applyBorder="1" applyAlignment="1">
      <alignment horizontal="center" vertical="center"/>
    </xf>
    <xf numFmtId="2" fontId="47" fillId="0" borderId="56" xfId="0" applyNumberFormat="1" applyFont="1" applyBorder="1" applyAlignment="1">
      <alignment horizontal="center" vertical="center"/>
    </xf>
    <xf numFmtId="0" fontId="2" fillId="0" borderId="0" xfId="0" applyFont="1" applyAlignment="1">
      <alignment vertical="center"/>
    </xf>
    <xf numFmtId="164" fontId="47" fillId="0" borderId="0" xfId="0" applyNumberFormat="1" applyFont="1" applyAlignment="1">
      <alignment vertical="center"/>
    </xf>
    <xf numFmtId="2" fontId="0" fillId="23" borderId="53" xfId="0" applyNumberFormat="1" applyFill="1" applyBorder="1" applyAlignment="1">
      <alignment horizontal="center" vertical="center"/>
    </xf>
    <xf numFmtId="2" fontId="0" fillId="23" borderId="118" xfId="0" applyNumberFormat="1" applyFill="1" applyBorder="1" applyAlignment="1">
      <alignment horizontal="center" vertical="center"/>
    </xf>
    <xf numFmtId="2" fontId="0" fillId="23" borderId="57" xfId="0" applyNumberFormat="1" applyFill="1" applyBorder="1" applyAlignment="1">
      <alignment horizontal="center" vertical="center"/>
    </xf>
    <xf numFmtId="2" fontId="0" fillId="0" borderId="53" xfId="0" applyNumberFormat="1" applyBorder="1" applyAlignment="1">
      <alignment horizontal="center" vertical="center"/>
    </xf>
    <xf numFmtId="2" fontId="0" fillId="0" borderId="118" xfId="0" applyNumberFormat="1" applyBorder="1" applyAlignment="1">
      <alignment horizontal="center" vertical="center"/>
    </xf>
    <xf numFmtId="2" fontId="0" fillId="0" borderId="57" xfId="0" applyNumberFormat="1" applyBorder="1" applyAlignment="1">
      <alignment horizontal="center" vertical="center"/>
    </xf>
    <xf numFmtId="0" fontId="48" fillId="0" borderId="0" xfId="0" applyFont="1"/>
    <xf numFmtId="0" fontId="5" fillId="0" borderId="57" xfId="1" applyFont="1" applyBorder="1" applyAlignment="1">
      <alignment horizontal="center" vertical="center"/>
    </xf>
    <xf numFmtId="2" fontId="0" fillId="0" borderId="58" xfId="0" applyNumberFormat="1" applyBorder="1" applyAlignment="1">
      <alignment horizontal="center" vertical="center"/>
    </xf>
    <xf numFmtId="2" fontId="0" fillId="0" borderId="28" xfId="0" applyNumberFormat="1" applyBorder="1" applyAlignment="1">
      <alignment horizontal="center" vertical="center"/>
    </xf>
    <xf numFmtId="2" fontId="0" fillId="0" borderId="60" xfId="0" applyNumberFormat="1" applyBorder="1" applyAlignment="1">
      <alignment horizontal="center" vertical="center"/>
    </xf>
    <xf numFmtId="0" fontId="5" fillId="0" borderId="118" xfId="1" applyFont="1" applyBorder="1" applyAlignment="1">
      <alignment horizontal="center" vertical="center"/>
    </xf>
    <xf numFmtId="0" fontId="5" fillId="0" borderId="28" xfId="1" applyFont="1" applyBorder="1" applyAlignment="1">
      <alignment horizontal="center" vertical="center"/>
    </xf>
    <xf numFmtId="0" fontId="5" fillId="0" borderId="60" xfId="1" applyFont="1" applyBorder="1" applyAlignment="1">
      <alignment horizontal="center" vertical="center"/>
    </xf>
    <xf numFmtId="0" fontId="5" fillId="0" borderId="0" xfId="1" applyFont="1"/>
    <xf numFmtId="164" fontId="47" fillId="0" borderId="56" xfId="0" applyNumberFormat="1" applyFont="1" applyBorder="1" applyAlignment="1">
      <alignment horizontal="center" vertical="center"/>
    </xf>
    <xf numFmtId="0" fontId="40" fillId="0" borderId="0" xfId="0" applyFont="1" applyAlignment="1">
      <alignment vertical="center" wrapText="1"/>
    </xf>
    <xf numFmtId="164" fontId="0" fillId="23" borderId="57" xfId="0" applyNumberFormat="1" applyFill="1" applyBorder="1" applyAlignment="1">
      <alignment horizontal="center" vertical="center"/>
    </xf>
    <xf numFmtId="0" fontId="60" fillId="0" borderId="0" xfId="0" applyFont="1" applyAlignment="1">
      <alignment vertical="top" wrapText="1"/>
    </xf>
    <xf numFmtId="164" fontId="0" fillId="0" borderId="57" xfId="0" applyNumberFormat="1" applyBorder="1" applyAlignment="1">
      <alignment horizontal="center" vertical="center"/>
    </xf>
    <xf numFmtId="0" fontId="75" fillId="0" borderId="0" xfId="0" applyFont="1" applyAlignment="1">
      <alignment horizontal="center" vertical="center" wrapText="1"/>
    </xf>
    <xf numFmtId="0" fontId="75" fillId="0" borderId="0" xfId="0" applyFont="1" applyAlignment="1">
      <alignment vertical="center" wrapText="1"/>
    </xf>
    <xf numFmtId="0" fontId="2" fillId="0" borderId="21" xfId="0" applyFont="1" applyBorder="1" applyAlignment="1">
      <alignment horizontal="center" vertical="center" wrapText="1"/>
    </xf>
    <xf numFmtId="0" fontId="2" fillId="0" borderId="29" xfId="0" applyFont="1" applyBorder="1" applyAlignment="1">
      <alignment horizontal="center" vertical="center" wrapText="1"/>
    </xf>
    <xf numFmtId="0" fontId="0" fillId="0" borderId="0" xfId="0" applyAlignment="1">
      <alignment vertical="center" wrapText="1"/>
    </xf>
    <xf numFmtId="0" fontId="15" fillId="0" borderId="0" xfId="0" applyFont="1" applyAlignment="1">
      <alignment horizontal="center" wrapText="1"/>
    </xf>
    <xf numFmtId="0" fontId="3" fillId="0" borderId="0" xfId="0" applyFont="1"/>
    <xf numFmtId="0" fontId="16" fillId="5" borderId="161" xfId="0" applyFont="1" applyFill="1" applyBorder="1" applyAlignment="1">
      <alignment horizontal="center" vertical="center" wrapText="1"/>
    </xf>
    <xf numFmtId="0" fontId="16" fillId="25" borderId="159" xfId="0" applyFont="1" applyFill="1" applyBorder="1" applyAlignment="1">
      <alignment horizontal="center" vertical="center" wrapText="1"/>
    </xf>
    <xf numFmtId="0" fontId="16" fillId="25" borderId="157" xfId="0" applyFont="1" applyFill="1" applyBorder="1" applyAlignment="1">
      <alignment horizontal="center" vertical="center" wrapText="1"/>
    </xf>
    <xf numFmtId="0" fontId="16" fillId="25" borderId="158" xfId="0" applyFont="1" applyFill="1" applyBorder="1" applyAlignment="1">
      <alignment horizontal="center" vertical="center" wrapText="1"/>
    </xf>
    <xf numFmtId="0" fontId="16" fillId="5" borderId="25" xfId="0" applyFont="1" applyFill="1" applyBorder="1" applyAlignment="1">
      <alignment horizontal="center" vertical="center" wrapText="1"/>
    </xf>
    <xf numFmtId="0" fontId="16" fillId="17" borderId="159" xfId="0" applyFont="1" applyFill="1" applyBorder="1" applyAlignment="1">
      <alignment horizontal="center" vertical="center" wrapText="1"/>
    </xf>
    <xf numFmtId="0" fontId="16" fillId="17" borderId="158" xfId="0" applyFont="1" applyFill="1" applyBorder="1" applyAlignment="1">
      <alignment horizontal="center" vertical="center" wrapText="1"/>
    </xf>
    <xf numFmtId="0" fontId="72" fillId="20" borderId="145" xfId="0" applyFont="1" applyFill="1" applyBorder="1" applyAlignment="1">
      <alignment horizontal="center" vertical="center" wrapText="1"/>
    </xf>
    <xf numFmtId="0" fontId="16" fillId="20" borderId="52" xfId="0" applyFont="1" applyFill="1" applyBorder="1" applyAlignment="1">
      <alignment horizontal="center" vertical="center" wrapText="1"/>
    </xf>
    <xf numFmtId="0" fontId="17" fillId="10" borderId="24" xfId="0" applyFont="1" applyFill="1" applyBorder="1" applyAlignment="1">
      <alignment horizontal="center" vertical="center" wrapText="1"/>
    </xf>
    <xf numFmtId="0" fontId="72" fillId="27" borderId="145" xfId="0" applyFont="1" applyFill="1" applyBorder="1" applyAlignment="1">
      <alignment horizontal="center" vertical="center" wrapText="1"/>
    </xf>
    <xf numFmtId="0" fontId="16" fillId="27" borderId="160" xfId="0" applyFont="1" applyFill="1" applyBorder="1" applyAlignment="1">
      <alignment horizontal="center" vertical="center" wrapText="1"/>
    </xf>
    <xf numFmtId="0" fontId="8" fillId="33" borderId="145" xfId="0" applyFont="1" applyFill="1" applyBorder="1" applyAlignment="1">
      <alignment horizontal="center" vertical="center" wrapText="1"/>
    </xf>
    <xf numFmtId="0" fontId="16" fillId="20" borderId="187" xfId="0" applyFont="1" applyFill="1" applyBorder="1" applyAlignment="1">
      <alignment horizontal="center" vertical="center" wrapText="1"/>
    </xf>
    <xf numFmtId="0" fontId="16" fillId="22" borderId="194" xfId="0" applyFont="1" applyFill="1" applyBorder="1" applyAlignment="1">
      <alignment horizontal="center" vertical="center" wrapText="1"/>
    </xf>
    <xf numFmtId="0" fontId="0" fillId="0" borderId="144" xfId="0" applyBorder="1" applyAlignment="1">
      <alignment horizontal="center"/>
    </xf>
    <xf numFmtId="0" fontId="0" fillId="0" borderId="145" xfId="0" applyBorder="1" applyAlignment="1">
      <alignment horizontal="center"/>
    </xf>
    <xf numFmtId="0" fontId="0" fillId="0" borderId="198" xfId="0" applyBorder="1" applyAlignment="1">
      <alignment horizontal="center" wrapText="1"/>
    </xf>
    <xf numFmtId="0" fontId="0" fillId="0" borderId="147" xfId="0" applyBorder="1" applyAlignment="1">
      <alignment horizontal="center" wrapText="1"/>
    </xf>
    <xf numFmtId="0" fontId="0" fillId="0" borderId="148" xfId="0" applyBorder="1" applyAlignment="1">
      <alignment horizontal="center"/>
    </xf>
    <xf numFmtId="0" fontId="0" fillId="0" borderId="148" xfId="0" applyBorder="1" applyAlignment="1">
      <alignment horizontal="center" wrapText="1"/>
    </xf>
    <xf numFmtId="0" fontId="0" fillId="0" borderId="180" xfId="0" applyBorder="1" applyAlignment="1">
      <alignment horizontal="center"/>
    </xf>
    <xf numFmtId="0" fontId="0" fillId="0" borderId="149" xfId="0" applyBorder="1" applyAlignment="1">
      <alignment horizontal="center" wrapText="1"/>
    </xf>
    <xf numFmtId="0" fontId="0" fillId="0" borderId="150" xfId="0" applyBorder="1" applyAlignment="1">
      <alignment horizontal="center" wrapText="1"/>
    </xf>
    <xf numFmtId="0" fontId="0" fillId="0" borderId="1" xfId="0" applyBorder="1" applyAlignment="1">
      <alignment horizontal="center" vertical="center" wrapText="1"/>
    </xf>
    <xf numFmtId="0" fontId="0" fillId="0" borderId="21" xfId="0" applyBorder="1" applyAlignment="1">
      <alignment horizontal="center" vertical="center" wrapText="1"/>
    </xf>
    <xf numFmtId="0" fontId="0" fillId="0" borderId="57" xfId="0" applyBorder="1" applyAlignment="1">
      <alignment horizontal="center" vertical="center" wrapText="1"/>
    </xf>
    <xf numFmtId="1" fontId="0" fillId="0" borderId="199" xfId="0" applyNumberFormat="1" applyBorder="1" applyAlignment="1">
      <alignment horizontal="center" wrapText="1"/>
    </xf>
    <xf numFmtId="0" fontId="2" fillId="0" borderId="0" xfId="0" applyFont="1" applyAlignment="1">
      <alignment horizontal="center"/>
    </xf>
    <xf numFmtId="0" fontId="0" fillId="0" borderId="151" xfId="0" applyBorder="1" applyAlignment="1">
      <alignment horizontal="left"/>
    </xf>
    <xf numFmtId="0" fontId="0" fillId="0" borderId="183" xfId="0" applyBorder="1" applyAlignment="1">
      <alignment horizontal="left"/>
    </xf>
    <xf numFmtId="0" fontId="0" fillId="0" borderId="83" xfId="0" applyBorder="1" applyAlignment="1">
      <alignment horizontal="left"/>
    </xf>
    <xf numFmtId="2" fontId="8" fillId="0" borderId="0" xfId="0" applyNumberFormat="1" applyFont="1" applyAlignment="1">
      <alignment vertical="top" wrapText="1"/>
    </xf>
    <xf numFmtId="0" fontId="0" fillId="0" borderId="36" xfId="0" applyBorder="1" applyAlignment="1">
      <alignment horizontal="center" vertical="center"/>
    </xf>
    <xf numFmtId="0" fontId="0" fillId="0" borderId="53" xfId="0" applyBorder="1" applyAlignment="1">
      <alignment horizontal="center"/>
    </xf>
    <xf numFmtId="0" fontId="53" fillId="0" borderId="57" xfId="0" applyFont="1" applyBorder="1" applyAlignment="1">
      <alignment horizontal="left" indent="1"/>
    </xf>
    <xf numFmtId="0" fontId="53" fillId="0" borderId="114" xfId="0" applyFont="1" applyBorder="1" applyAlignment="1">
      <alignment horizontal="left" indent="1"/>
    </xf>
    <xf numFmtId="0" fontId="0" fillId="0" borderId="57" xfId="0" applyBorder="1" applyAlignment="1">
      <alignment horizontal="center" wrapText="1"/>
    </xf>
    <xf numFmtId="0" fontId="0" fillId="0" borderId="185" xfId="0" applyBorder="1" applyAlignment="1">
      <alignment horizontal="left"/>
    </xf>
    <xf numFmtId="0" fontId="0" fillId="0" borderId="114" xfId="0" applyBorder="1" applyAlignment="1">
      <alignment horizontal="left"/>
    </xf>
    <xf numFmtId="1" fontId="0" fillId="0" borderId="199" xfId="0" applyNumberFormat="1" applyBorder="1" applyAlignment="1">
      <alignment horizontal="center"/>
    </xf>
    <xf numFmtId="0" fontId="0" fillId="0" borderId="151" xfId="0" applyBorder="1"/>
    <xf numFmtId="0" fontId="0" fillId="0" borderId="13" xfId="0" applyBorder="1" applyAlignment="1">
      <alignment horizontal="center" vertical="center" wrapText="1"/>
    </xf>
    <xf numFmtId="0" fontId="0" fillId="0" borderId="127" xfId="0" applyBorder="1" applyAlignment="1">
      <alignment horizontal="center" vertical="center" wrapText="1"/>
    </xf>
    <xf numFmtId="1" fontId="0" fillId="0" borderId="201" xfId="0" applyNumberFormat="1" applyBorder="1" applyAlignment="1">
      <alignment horizontal="center"/>
    </xf>
    <xf numFmtId="0" fontId="0" fillId="0" borderId="179" xfId="0" applyBorder="1" applyAlignment="1">
      <alignment horizontal="center" wrapText="1"/>
    </xf>
    <xf numFmtId="0" fontId="0" fillId="0" borderId="186" xfId="0" applyBorder="1" applyAlignment="1">
      <alignment horizontal="left"/>
    </xf>
    <xf numFmtId="0" fontId="0" fillId="0" borderId="184" xfId="0" applyBorder="1" applyAlignment="1">
      <alignment horizontal="left"/>
    </xf>
    <xf numFmtId="2" fontId="0" fillId="0" borderId="0" xfId="0" applyNumberFormat="1"/>
    <xf numFmtId="0" fontId="8" fillId="0" borderId="0" xfId="0" applyFont="1" applyAlignment="1">
      <alignment vertical="top" wrapText="1"/>
    </xf>
    <xf numFmtId="1" fontId="0" fillId="0" borderId="200" xfId="0" applyNumberFormat="1" applyBorder="1" applyAlignment="1">
      <alignment horizontal="center"/>
    </xf>
    <xf numFmtId="0" fontId="0" fillId="0" borderId="167" xfId="0" applyBorder="1" applyAlignment="1">
      <alignment horizontal="center" wrapText="1"/>
    </xf>
    <xf numFmtId="0" fontId="0" fillId="0" borderId="172" xfId="0" applyBorder="1"/>
    <xf numFmtId="0" fontId="0" fillId="0" borderId="171" xfId="0" applyBorder="1" applyAlignment="1">
      <alignment horizontal="center" wrapText="1"/>
    </xf>
    <xf numFmtId="0" fontId="0" fillId="0" borderId="172" xfId="0" applyBorder="1" applyAlignment="1">
      <alignment horizontal="left"/>
    </xf>
    <xf numFmtId="0" fontId="0" fillId="0" borderId="168" xfId="0" applyBorder="1" applyAlignment="1">
      <alignment horizontal="left"/>
    </xf>
    <xf numFmtId="0" fontId="0" fillId="0" borderId="85" xfId="0" applyBorder="1" applyAlignment="1">
      <alignment horizontal="left"/>
    </xf>
    <xf numFmtId="0" fontId="0" fillId="0" borderId="58" xfId="0" applyBorder="1" applyAlignment="1">
      <alignment horizontal="center"/>
    </xf>
    <xf numFmtId="0" fontId="0" fillId="0" borderId="59" xfId="0" applyBorder="1" applyAlignment="1">
      <alignment horizontal="center"/>
    </xf>
    <xf numFmtId="0" fontId="53" fillId="0" borderId="60" xfId="0" applyFont="1" applyBorder="1" applyAlignment="1">
      <alignment horizontal="left" indent="1"/>
    </xf>
    <xf numFmtId="0" fontId="53" fillId="0" borderId="115" xfId="0" applyFont="1" applyBorder="1" applyAlignment="1">
      <alignment horizontal="left" indent="1"/>
    </xf>
    <xf numFmtId="0" fontId="0" fillId="0" borderId="28" xfId="0" applyBorder="1" applyAlignment="1">
      <alignment horizontal="center" vertical="center"/>
    </xf>
    <xf numFmtId="0" fontId="2" fillId="0" borderId="0" xfId="0" applyFont="1" applyAlignment="1">
      <alignment horizontal="center" wrapText="1"/>
    </xf>
    <xf numFmtId="0" fontId="0" fillId="0" borderId="55" xfId="0" applyBorder="1"/>
    <xf numFmtId="0" fontId="0" fillId="0" borderId="114" xfId="0" applyBorder="1"/>
    <xf numFmtId="1" fontId="28" fillId="3" borderId="0" xfId="0" applyNumberFormat="1" applyFont="1" applyFill="1" applyAlignment="1">
      <alignment horizontal="center" vertical="center" wrapText="1"/>
    </xf>
    <xf numFmtId="167" fontId="5" fillId="0" borderId="0" xfId="8" applyNumberFormat="1" applyFont="1" applyFill="1" applyBorder="1" applyAlignment="1" applyProtection="1">
      <alignment horizontal="center"/>
    </xf>
    <xf numFmtId="0" fontId="9" fillId="0" borderId="0" xfId="6" quotePrefix="1" applyAlignment="1">
      <alignment horizontal="left" vertical="top"/>
    </xf>
    <xf numFmtId="0" fontId="73" fillId="0" borderId="0" xfId="0" applyFont="1" applyAlignment="1">
      <alignment horizontal="center" vertical="center"/>
    </xf>
    <xf numFmtId="0" fontId="0" fillId="13" borderId="7" xfId="0" applyFill="1" applyBorder="1" applyProtection="1">
      <protection locked="0"/>
    </xf>
    <xf numFmtId="0" fontId="0" fillId="13" borderId="8" xfId="0" applyFill="1" applyBorder="1" applyProtection="1">
      <protection locked="0"/>
    </xf>
    <xf numFmtId="0" fontId="0" fillId="13" borderId="10" xfId="0" applyFill="1" applyBorder="1" applyProtection="1">
      <protection locked="0"/>
    </xf>
    <xf numFmtId="0" fontId="0" fillId="13" borderId="12" xfId="0" applyFill="1" applyBorder="1" applyProtection="1">
      <protection locked="0"/>
    </xf>
    <xf numFmtId="0" fontId="0" fillId="13" borderId="13" xfId="0" applyFill="1" applyBorder="1" applyProtection="1">
      <protection locked="0"/>
    </xf>
    <xf numFmtId="0" fontId="0" fillId="13" borderId="0" xfId="0" applyFill="1" applyProtection="1">
      <protection locked="0"/>
    </xf>
    <xf numFmtId="0" fontId="0" fillId="30" borderId="0" xfId="0" applyFill="1" applyProtection="1">
      <protection locked="0"/>
    </xf>
    <xf numFmtId="0" fontId="27" fillId="13" borderId="0" xfId="0" applyFont="1" applyFill="1" applyProtection="1">
      <protection locked="0"/>
    </xf>
    <xf numFmtId="0" fontId="73" fillId="13" borderId="0" xfId="0" applyFont="1" applyFill="1" applyProtection="1">
      <protection locked="0"/>
    </xf>
    <xf numFmtId="0" fontId="27" fillId="13" borderId="0" xfId="0" applyFont="1" applyFill="1" applyAlignment="1" applyProtection="1">
      <alignment horizontal="right"/>
      <protection locked="0"/>
    </xf>
    <xf numFmtId="0" fontId="27" fillId="30" borderId="0" xfId="0" applyFont="1" applyFill="1" applyProtection="1">
      <protection locked="0"/>
    </xf>
    <xf numFmtId="0" fontId="0" fillId="13" borderId="9" xfId="0" applyFill="1" applyBorder="1" applyProtection="1">
      <protection locked="0"/>
    </xf>
    <xf numFmtId="0" fontId="0" fillId="13" borderId="11" xfId="0" applyFill="1" applyBorder="1" applyProtection="1">
      <protection locked="0"/>
    </xf>
    <xf numFmtId="0" fontId="27" fillId="13" borderId="13" xfId="0" applyFont="1" applyFill="1" applyBorder="1" applyProtection="1">
      <protection locked="0"/>
    </xf>
    <xf numFmtId="0" fontId="0" fillId="13" borderId="14" xfId="0" applyFill="1" applyBorder="1" applyProtection="1">
      <protection locked="0"/>
    </xf>
    <xf numFmtId="0" fontId="0" fillId="0" borderId="54" xfId="0" applyBorder="1" applyAlignment="1">
      <alignment vertical="center"/>
    </xf>
    <xf numFmtId="0" fontId="0" fillId="0" borderId="55" xfId="0" applyBorder="1" applyAlignment="1">
      <alignment vertical="center"/>
    </xf>
    <xf numFmtId="0" fontId="0" fillId="0" borderId="56" xfId="0" applyBorder="1" applyAlignment="1">
      <alignment vertical="center"/>
    </xf>
    <xf numFmtId="0" fontId="0" fillId="0" borderId="53" xfId="0" applyBorder="1" applyAlignment="1">
      <alignment vertical="center"/>
    </xf>
    <xf numFmtId="0" fontId="0" fillId="0" borderId="57" xfId="0" applyBorder="1" applyAlignment="1">
      <alignment vertical="center"/>
    </xf>
    <xf numFmtId="0" fontId="0" fillId="0" borderId="56" xfId="0" applyBorder="1" applyAlignment="1">
      <alignment horizontal="left" vertical="center"/>
    </xf>
    <xf numFmtId="0" fontId="0" fillId="0" borderId="57" xfId="0" applyBorder="1" applyAlignment="1">
      <alignment horizontal="left" vertical="center"/>
    </xf>
    <xf numFmtId="0" fontId="18" fillId="0" borderId="56" xfId="0" applyFont="1" applyBorder="1" applyAlignment="1" applyProtection="1">
      <alignment horizontal="center" vertical="center" wrapText="1"/>
      <protection locked="0"/>
    </xf>
    <xf numFmtId="0" fontId="18" fillId="0" borderId="60" xfId="0" applyFont="1" applyBorder="1" applyAlignment="1">
      <alignment horizontal="center" vertical="center" wrapText="1"/>
    </xf>
    <xf numFmtId="0" fontId="18" fillId="0" borderId="29" xfId="0" applyFont="1" applyBorder="1" applyAlignment="1" applyProtection="1">
      <alignment horizontal="center" vertical="center" wrapText="1"/>
      <protection locked="0"/>
    </xf>
    <xf numFmtId="0" fontId="18" fillId="0" borderId="29" xfId="0" applyFont="1" applyBorder="1" applyAlignment="1">
      <alignment horizontal="center" vertical="center" wrapText="1"/>
    </xf>
    <xf numFmtId="0" fontId="0" fillId="0" borderId="36" xfId="0" applyBorder="1" applyAlignment="1" applyProtection="1">
      <alignment horizontal="center"/>
      <protection locked="0"/>
    </xf>
    <xf numFmtId="0" fontId="0" fillId="0" borderId="54" xfId="0" applyBorder="1" applyProtection="1">
      <protection locked="0"/>
    </xf>
    <xf numFmtId="0" fontId="0" fillId="0" borderId="55" xfId="0" applyBorder="1" applyProtection="1">
      <protection locked="0"/>
    </xf>
    <xf numFmtId="0" fontId="0" fillId="0" borderId="56" xfId="0" applyBorder="1" applyProtection="1">
      <protection locked="0"/>
    </xf>
    <xf numFmtId="0" fontId="0" fillId="0" borderId="36" xfId="0" applyBorder="1" applyProtection="1">
      <protection locked="0"/>
    </xf>
    <xf numFmtId="0" fontId="0" fillId="0" borderId="55" xfId="0" applyBorder="1" applyAlignment="1" applyProtection="1">
      <alignment horizontal="left"/>
      <protection locked="0"/>
    </xf>
    <xf numFmtId="0" fontId="0" fillId="0" borderId="118" xfId="0" applyBorder="1" applyAlignment="1" applyProtection="1">
      <alignment horizontal="center"/>
      <protection locked="0"/>
    </xf>
    <xf numFmtId="0" fontId="0" fillId="0" borderId="53" xfId="0" applyBorder="1" applyProtection="1">
      <protection locked="0"/>
    </xf>
    <xf numFmtId="0" fontId="0" fillId="0" borderId="0" xfId="0" applyProtection="1">
      <protection locked="0"/>
    </xf>
    <xf numFmtId="0" fontId="0" fillId="0" borderId="57" xfId="0" applyBorder="1" applyProtection="1">
      <protection locked="0"/>
    </xf>
    <xf numFmtId="0" fontId="0" fillId="0" borderId="118" xfId="0" applyBorder="1" applyProtection="1">
      <protection locked="0"/>
    </xf>
    <xf numFmtId="0" fontId="0" fillId="0" borderId="0" xfId="0" applyAlignment="1" applyProtection="1">
      <alignment horizontal="left"/>
      <protection locked="0"/>
    </xf>
    <xf numFmtId="0" fontId="0" fillId="0" borderId="28" xfId="0" applyBorder="1" applyProtection="1">
      <protection locked="0"/>
    </xf>
    <xf numFmtId="0" fontId="0" fillId="0" borderId="58" xfId="0" applyBorder="1" applyProtection="1">
      <protection locked="0"/>
    </xf>
    <xf numFmtId="0" fontId="0" fillId="0" borderId="59" xfId="0" applyBorder="1" applyProtection="1">
      <protection locked="0"/>
    </xf>
    <xf numFmtId="0" fontId="0" fillId="0" borderId="60" xfId="0" applyBorder="1" applyProtection="1">
      <protection locked="0"/>
    </xf>
    <xf numFmtId="0" fontId="0" fillId="0" borderId="59" xfId="0" applyBorder="1" applyAlignment="1" applyProtection="1">
      <alignment horizontal="left"/>
      <protection locked="0"/>
    </xf>
    <xf numFmtId="0" fontId="0" fillId="0" borderId="57" xfId="0" applyBorder="1" applyAlignment="1">
      <alignment horizontal="center" vertical="center"/>
    </xf>
    <xf numFmtId="167" fontId="0" fillId="0" borderId="0" xfId="0" applyNumberFormat="1" applyAlignment="1">
      <alignment horizontal="center"/>
    </xf>
    <xf numFmtId="43" fontId="0" fillId="0" borderId="0" xfId="0" applyNumberFormat="1" applyAlignment="1">
      <alignment horizontal="center"/>
    </xf>
    <xf numFmtId="167" fontId="0" fillId="12" borderId="1" xfId="8" applyNumberFormat="1" applyFont="1" applyFill="1" applyBorder="1" applyAlignment="1">
      <alignment horizontal="center" vertical="center"/>
    </xf>
    <xf numFmtId="170" fontId="0" fillId="12" borderId="1" xfId="8" applyNumberFormat="1" applyFont="1" applyFill="1" applyBorder="1" applyAlignment="1">
      <alignment horizontal="center" vertical="center"/>
    </xf>
    <xf numFmtId="166" fontId="21" fillId="0" borderId="0" xfId="1" applyNumberFormat="1" applyFont="1" applyAlignment="1">
      <alignment horizontal="center"/>
    </xf>
    <xf numFmtId="3" fontId="14" fillId="0" borderId="0" xfId="1" applyNumberFormat="1" applyFont="1" applyAlignment="1">
      <alignment horizontal="center"/>
    </xf>
    <xf numFmtId="4" fontId="8" fillId="0" borderId="0" xfId="0" applyNumberFormat="1" applyFont="1" applyAlignment="1">
      <alignment horizontal="center"/>
    </xf>
    <xf numFmtId="0" fontId="0" fillId="0" borderId="60" xfId="0" applyBorder="1" applyAlignment="1">
      <alignment horizontal="center" vertical="center"/>
    </xf>
    <xf numFmtId="0" fontId="0" fillId="0" borderId="54" xfId="0" applyBorder="1" applyAlignment="1">
      <alignment horizontal="left" indent="1"/>
    </xf>
    <xf numFmtId="0" fontId="0" fillId="0" borderId="56" xfId="0" applyBorder="1"/>
    <xf numFmtId="0" fontId="0" fillId="0" borderId="53" xfId="0" applyBorder="1" applyAlignment="1">
      <alignment horizontal="left" indent="1"/>
    </xf>
    <xf numFmtId="0" fontId="0" fillId="0" borderId="58" xfId="0" applyBorder="1" applyAlignment="1">
      <alignment horizontal="left" indent="1"/>
    </xf>
    <xf numFmtId="0" fontId="0" fillId="0" borderId="59" xfId="0" applyBorder="1"/>
    <xf numFmtId="0" fontId="0" fillId="0" borderId="60" xfId="0" applyBorder="1"/>
    <xf numFmtId="167" fontId="5" fillId="0" borderId="0" xfId="8" applyNumberFormat="1" applyFont="1" applyFill="1" applyBorder="1" applyProtection="1"/>
    <xf numFmtId="0" fontId="0" fillId="0" borderId="146" xfId="0" applyBorder="1" applyAlignment="1">
      <alignment horizontal="center" wrapText="1"/>
    </xf>
    <xf numFmtId="0" fontId="0" fillId="0" borderId="144" xfId="0" applyBorder="1" applyAlignment="1">
      <alignment horizontal="center" wrapText="1"/>
    </xf>
    <xf numFmtId="0" fontId="0" fillId="0" borderId="53" xfId="0" applyBorder="1" applyAlignment="1">
      <alignment horizontal="right"/>
    </xf>
    <xf numFmtId="0" fontId="0" fillId="0" borderId="57" xfId="0" applyBorder="1" applyAlignment="1">
      <alignment horizontal="left"/>
    </xf>
    <xf numFmtId="0" fontId="0" fillId="0" borderId="58" xfId="0" applyBorder="1" applyAlignment="1">
      <alignment horizontal="right"/>
    </xf>
    <xf numFmtId="0" fontId="0" fillId="0" borderId="60" xfId="0" applyBorder="1" applyAlignment="1">
      <alignment horizontal="left"/>
    </xf>
    <xf numFmtId="43" fontId="5" fillId="0" borderId="19" xfId="8" applyFont="1" applyFill="1" applyBorder="1" applyAlignment="1" applyProtection="1">
      <alignment horizontal="center"/>
    </xf>
    <xf numFmtId="43" fontId="5" fillId="0" borderId="20" xfId="8" applyFont="1" applyFill="1" applyBorder="1" applyAlignment="1" applyProtection="1">
      <alignment horizontal="center"/>
    </xf>
    <xf numFmtId="43" fontId="5" fillId="0" borderId="22" xfId="8" applyFont="1" applyFill="1" applyBorder="1" applyAlignment="1" applyProtection="1">
      <alignment horizontal="center"/>
    </xf>
    <xf numFmtId="0" fontId="49" fillId="0" borderId="0" xfId="0" applyFont="1" applyAlignment="1">
      <alignment horizontal="center" vertical="center"/>
    </xf>
    <xf numFmtId="0" fontId="49" fillId="8" borderId="0" xfId="0" applyFont="1" applyFill="1"/>
    <xf numFmtId="0" fontId="49" fillId="0" borderId="0" xfId="0" applyFont="1" applyAlignment="1">
      <alignment horizontal="center" vertical="center" wrapText="1"/>
    </xf>
    <xf numFmtId="0" fontId="42" fillId="0" borderId="0" xfId="7" applyFont="1"/>
    <xf numFmtId="0" fontId="0" fillId="0" borderId="0" xfId="0" applyAlignment="1">
      <alignment horizontal="right" vertical="center" wrapText="1" indent="1"/>
    </xf>
    <xf numFmtId="0" fontId="0" fillId="21" borderId="196" xfId="0" applyFill="1" applyBorder="1" applyAlignment="1">
      <alignment horizontal="center"/>
    </xf>
    <xf numFmtId="0" fontId="0" fillId="21" borderId="10" xfId="0" applyFill="1" applyBorder="1"/>
    <xf numFmtId="0" fontId="0" fillId="21" borderId="151" xfId="0" applyFill="1" applyBorder="1" applyAlignment="1">
      <alignment horizontal="right"/>
    </xf>
    <xf numFmtId="165" fontId="0" fillId="21" borderId="18" xfId="0" applyNumberFormat="1" applyFill="1" applyBorder="1" applyAlignment="1">
      <alignment horizontal="center"/>
    </xf>
    <xf numFmtId="0" fontId="0" fillId="21" borderId="133" xfId="0" applyFill="1" applyBorder="1" applyAlignment="1">
      <alignment horizontal="center"/>
    </xf>
    <xf numFmtId="0" fontId="0" fillId="21" borderId="56" xfId="0" applyFill="1" applyBorder="1" applyAlignment="1">
      <alignment horizontal="center"/>
    </xf>
    <xf numFmtId="0" fontId="0" fillId="21" borderId="55" xfId="0" applyFill="1" applyBorder="1" applyAlignment="1">
      <alignment horizontal="center"/>
    </xf>
    <xf numFmtId="0" fontId="0" fillId="21" borderId="209" xfId="0" applyFill="1" applyBorder="1" applyAlignment="1">
      <alignment horizontal="center"/>
    </xf>
    <xf numFmtId="165" fontId="0" fillId="21" borderId="7" xfId="0" applyNumberFormat="1" applyFill="1" applyBorder="1" applyAlignment="1">
      <alignment horizontal="right"/>
    </xf>
    <xf numFmtId="165" fontId="0" fillId="21" borderId="202" xfId="0" applyNumberFormat="1" applyFill="1" applyBorder="1" applyAlignment="1">
      <alignment horizontal="right"/>
    </xf>
    <xf numFmtId="165" fontId="0" fillId="21" borderId="8" xfId="0" applyNumberFormat="1" applyFill="1" applyBorder="1" applyAlignment="1">
      <alignment horizontal="right"/>
    </xf>
    <xf numFmtId="165" fontId="0" fillId="21" borderId="9" xfId="0" applyNumberFormat="1" applyFill="1" applyBorder="1" applyAlignment="1">
      <alignment horizontal="right"/>
    </xf>
    <xf numFmtId="0" fontId="0" fillId="21" borderId="72" xfId="0" applyFill="1" applyBorder="1"/>
    <xf numFmtId="0" fontId="0" fillId="21" borderId="114" xfId="0" applyFill="1" applyBorder="1"/>
    <xf numFmtId="165" fontId="0" fillId="21" borderId="122" xfId="0" applyNumberFormat="1" applyFill="1" applyBorder="1" applyAlignment="1">
      <alignment horizontal="right"/>
    </xf>
    <xf numFmtId="165" fontId="0" fillId="21" borderId="60" xfId="0" applyNumberFormat="1" applyFill="1" applyBorder="1" applyAlignment="1">
      <alignment horizontal="right"/>
    </xf>
    <xf numFmtId="165" fontId="0" fillId="21" borderId="59" xfId="0" applyNumberFormat="1" applyFill="1" applyBorder="1" applyAlignment="1">
      <alignment horizontal="right"/>
    </xf>
    <xf numFmtId="165" fontId="0" fillId="21" borderId="136" xfId="0" applyNumberFormat="1" applyFill="1" applyBorder="1" applyAlignment="1">
      <alignment horizontal="right"/>
    </xf>
    <xf numFmtId="165" fontId="0" fillId="21" borderId="133" xfId="0" applyNumberFormat="1" applyFill="1" applyBorder="1"/>
    <xf numFmtId="165" fontId="0" fillId="21" borderId="56" xfId="0" applyNumberFormat="1" applyFill="1" applyBorder="1"/>
    <xf numFmtId="165" fontId="0" fillId="21" borderId="55" xfId="0" applyNumberFormat="1" applyFill="1" applyBorder="1"/>
    <xf numFmtId="165" fontId="0" fillId="21" borderId="209" xfId="0" applyNumberFormat="1" applyFill="1" applyBorder="1"/>
    <xf numFmtId="165" fontId="0" fillId="21" borderId="12" xfId="0" applyNumberFormat="1" applyFill="1" applyBorder="1"/>
    <xf numFmtId="165" fontId="0" fillId="21" borderId="127" xfId="0" applyNumberFormat="1" applyFill="1" applyBorder="1"/>
    <xf numFmtId="165" fontId="0" fillId="21" borderId="13" xfId="0" applyNumberFormat="1" applyFill="1" applyBorder="1"/>
    <xf numFmtId="165" fontId="0" fillId="21" borderId="14" xfId="0" applyNumberFormat="1" applyFill="1" applyBorder="1"/>
    <xf numFmtId="165" fontId="0" fillId="21" borderId="151" xfId="0" applyNumberFormat="1" applyFill="1" applyBorder="1" applyAlignment="1">
      <alignment horizontal="right"/>
    </xf>
    <xf numFmtId="0" fontId="0" fillId="21" borderId="15" xfId="0" applyFill="1" applyBorder="1"/>
    <xf numFmtId="0" fontId="0" fillId="21" borderId="16" xfId="0" applyFill="1" applyBorder="1"/>
    <xf numFmtId="165" fontId="0" fillId="21" borderId="10" xfId="0" applyNumberFormat="1" applyFill="1" applyBorder="1"/>
    <xf numFmtId="165" fontId="0" fillId="21" borderId="57" xfId="0" applyNumberFormat="1" applyFill="1" applyBorder="1"/>
    <xf numFmtId="165" fontId="0" fillId="21" borderId="0" xfId="0" applyNumberFormat="1" applyFill="1"/>
    <xf numFmtId="165" fontId="0" fillId="21" borderId="11" xfId="0" applyNumberFormat="1" applyFill="1" applyBorder="1"/>
    <xf numFmtId="0" fontId="0" fillId="21" borderId="12" xfId="0" applyFill="1" applyBorder="1"/>
    <xf numFmtId="0" fontId="0" fillId="21" borderId="13" xfId="0" applyFill="1" applyBorder="1"/>
    <xf numFmtId="0" fontId="0" fillId="21" borderId="152" xfId="0" applyFill="1" applyBorder="1"/>
    <xf numFmtId="0" fontId="0" fillId="21" borderId="18" xfId="0" applyFill="1" applyBorder="1"/>
    <xf numFmtId="0" fontId="8" fillId="21" borderId="0" xfId="0" applyFont="1" applyFill="1" applyAlignment="1">
      <alignment horizontal="center"/>
    </xf>
    <xf numFmtId="0" fontId="0" fillId="21" borderId="11" xfId="0" applyFill="1" applyBorder="1"/>
    <xf numFmtId="2" fontId="0" fillId="21" borderId="0" xfId="0" applyNumberFormat="1" applyFill="1"/>
    <xf numFmtId="0" fontId="0" fillId="21" borderId="84" xfId="0" applyFill="1" applyBorder="1"/>
    <xf numFmtId="0" fontId="0" fillId="21" borderId="66" xfId="0" applyFill="1" applyBorder="1"/>
    <xf numFmtId="0" fontId="0" fillId="21" borderId="85" xfId="0" applyFill="1" applyBorder="1"/>
    <xf numFmtId="0" fontId="0" fillId="21" borderId="0" xfId="0" applyFill="1" applyAlignment="1">
      <alignment wrapText="1"/>
    </xf>
    <xf numFmtId="0" fontId="0" fillId="21" borderId="21" xfId="0" applyFill="1" applyBorder="1"/>
    <xf numFmtId="0" fontId="0" fillId="21" borderId="163" xfId="0" applyFill="1" applyBorder="1"/>
    <xf numFmtId="0" fontId="0" fillId="21" borderId="133" xfId="0" applyFill="1" applyBorder="1"/>
    <xf numFmtId="0" fontId="0" fillId="21" borderId="122" xfId="0" applyFill="1" applyBorder="1"/>
    <xf numFmtId="165" fontId="0" fillId="21" borderId="59" xfId="0" applyNumberFormat="1" applyFill="1" applyBorder="1"/>
    <xf numFmtId="165" fontId="0" fillId="21" borderId="136" xfId="0" applyNumberFormat="1" applyFill="1" applyBorder="1"/>
    <xf numFmtId="0" fontId="0" fillId="21" borderId="14" xfId="0" applyFill="1" applyBorder="1"/>
    <xf numFmtId="0" fontId="18" fillId="8" borderId="21" xfId="0" applyFont="1" applyFill="1" applyBorder="1" applyAlignment="1">
      <alignment horizontal="center" vertical="center"/>
    </xf>
    <xf numFmtId="1" fontId="18" fillId="14" borderId="1" xfId="0" applyNumberFormat="1" applyFont="1" applyFill="1" applyBorder="1" applyAlignment="1">
      <alignment horizontal="center" vertical="center"/>
    </xf>
    <xf numFmtId="0" fontId="18" fillId="21" borderId="29" xfId="0" applyFont="1" applyFill="1" applyBorder="1" applyAlignment="1">
      <alignment vertical="center"/>
    </xf>
    <xf numFmtId="165" fontId="18" fillId="21" borderId="29" xfId="0" applyNumberFormat="1" applyFont="1" applyFill="1" applyBorder="1" applyAlignment="1">
      <alignment horizontal="center" vertical="center"/>
    </xf>
    <xf numFmtId="0" fontId="58" fillId="21" borderId="0" xfId="0" applyFont="1" applyFill="1"/>
    <xf numFmtId="164" fontId="0" fillId="23" borderId="60" xfId="0" applyNumberFormat="1" applyFill="1" applyBorder="1" applyAlignment="1">
      <alignment horizontal="center" vertical="center"/>
    </xf>
    <xf numFmtId="164" fontId="47" fillId="0" borderId="222" xfId="0" applyNumberFormat="1" applyFont="1" applyBorder="1" applyAlignment="1">
      <alignment horizontal="center" vertical="center"/>
    </xf>
    <xf numFmtId="164" fontId="0" fillId="23" borderId="223" xfId="0" applyNumberFormat="1" applyFill="1" applyBorder="1" applyAlignment="1">
      <alignment horizontal="center" vertical="center"/>
    </xf>
    <xf numFmtId="164" fontId="0" fillId="0" borderId="223" xfId="0" applyNumberFormat="1" applyBorder="1" applyAlignment="1">
      <alignment horizontal="center" vertical="center"/>
    </xf>
    <xf numFmtId="164" fontId="0" fillId="23" borderId="224" xfId="0" applyNumberFormat="1" applyFill="1" applyBorder="1" applyAlignment="1">
      <alignment horizontal="center" vertical="center"/>
    </xf>
    <xf numFmtId="164" fontId="47" fillId="0" borderId="225" xfId="0" applyNumberFormat="1" applyFont="1" applyBorder="1" applyAlignment="1">
      <alignment horizontal="center" vertical="center"/>
    </xf>
    <xf numFmtId="164" fontId="0" fillId="23" borderId="226" xfId="0" applyNumberFormat="1" applyFill="1" applyBorder="1" applyAlignment="1">
      <alignment horizontal="center" vertical="center"/>
    </xf>
    <xf numFmtId="164" fontId="0" fillId="0" borderId="226" xfId="0" applyNumberFormat="1" applyBorder="1" applyAlignment="1">
      <alignment horizontal="center" vertical="center"/>
    </xf>
    <xf numFmtId="164" fontId="0" fillId="23" borderId="227" xfId="0" applyNumberFormat="1" applyFill="1" applyBorder="1" applyAlignment="1">
      <alignment horizontal="center" vertical="center"/>
    </xf>
    <xf numFmtId="164" fontId="0" fillId="23" borderId="228" xfId="0" applyNumberFormat="1" applyFill="1" applyBorder="1" applyAlignment="1">
      <alignment horizontal="center" vertical="center"/>
    </xf>
    <xf numFmtId="164" fontId="0" fillId="23" borderId="229" xfId="0" applyNumberFormat="1" applyFill="1" applyBorder="1" applyAlignment="1">
      <alignment horizontal="center" vertical="center"/>
    </xf>
    <xf numFmtId="164" fontId="0" fillId="23" borderId="230" xfId="0" applyNumberFormat="1" applyFill="1" applyBorder="1" applyAlignment="1">
      <alignment horizontal="center" vertical="center"/>
    </xf>
    <xf numFmtId="0" fontId="25" fillId="17" borderId="7" xfId="0" applyFont="1" applyFill="1" applyBorder="1" applyAlignment="1">
      <alignment horizontal="center" vertical="center"/>
    </xf>
    <xf numFmtId="0" fontId="25" fillId="17" borderId="9" xfId="0" applyFont="1" applyFill="1" applyBorder="1" applyAlignment="1">
      <alignment horizontal="center" vertical="center"/>
    </xf>
    <xf numFmtId="0" fontId="47" fillId="18" borderId="121" xfId="0" applyFont="1" applyFill="1" applyBorder="1" applyAlignment="1" applyProtection="1">
      <alignment horizontal="center" vertical="center"/>
      <protection locked="0"/>
    </xf>
    <xf numFmtId="0" fontId="47" fillId="18" borderId="139" xfId="0" applyFont="1" applyFill="1" applyBorder="1" applyAlignment="1" applyProtection="1">
      <alignment horizontal="center" vertical="center"/>
      <protection locked="0"/>
    </xf>
    <xf numFmtId="0" fontId="75" fillId="0" borderId="0" xfId="0" applyFont="1" applyAlignment="1">
      <alignment horizontal="center" vertical="center" wrapText="1"/>
    </xf>
    <xf numFmtId="0" fontId="0" fillId="20" borderId="21" xfId="0" applyFill="1" applyBorder="1" applyAlignment="1">
      <alignment horizontal="center" vertical="center"/>
    </xf>
    <xf numFmtId="0" fontId="0" fillId="20" borderId="37" xfId="0" applyFill="1" applyBorder="1" applyAlignment="1">
      <alignment horizontal="center" vertical="center"/>
    </xf>
    <xf numFmtId="0" fontId="0" fillId="20" borderId="29" xfId="0" applyFill="1" applyBorder="1" applyAlignment="1">
      <alignment horizontal="center" vertical="center"/>
    </xf>
    <xf numFmtId="0" fontId="0" fillId="0" borderId="58" xfId="0" applyBorder="1" applyAlignment="1">
      <alignment horizontal="center" vertical="center"/>
    </xf>
    <xf numFmtId="0" fontId="0" fillId="0" borderId="60" xfId="0" applyBorder="1" applyAlignment="1">
      <alignment horizontal="center" vertical="center"/>
    </xf>
    <xf numFmtId="3" fontId="14" fillId="2" borderId="49" xfId="0" applyNumberFormat="1" applyFont="1" applyFill="1" applyBorder="1" applyAlignment="1">
      <alignment horizontal="center" vertical="center" wrapText="1"/>
    </xf>
    <xf numFmtId="3" fontId="14" fillId="2" borderId="50" xfId="0" applyNumberFormat="1" applyFont="1" applyFill="1" applyBorder="1" applyAlignment="1">
      <alignment horizontal="center" vertical="center" wrapText="1"/>
    </xf>
    <xf numFmtId="3" fontId="14" fillId="2" borderId="68" xfId="0" applyNumberFormat="1" applyFont="1" applyFill="1" applyBorder="1" applyAlignment="1">
      <alignment horizontal="center" vertical="center" wrapText="1"/>
    </xf>
    <xf numFmtId="0" fontId="12" fillId="11" borderId="38" xfId="0" applyFont="1" applyFill="1" applyBorder="1" applyAlignment="1">
      <alignment horizontal="center" vertical="center" wrapText="1"/>
    </xf>
    <xf numFmtId="0" fontId="12" fillId="11" borderId="39" xfId="0" applyFont="1" applyFill="1" applyBorder="1" applyAlignment="1">
      <alignment horizontal="center" vertical="center" wrapText="1"/>
    </xf>
    <xf numFmtId="0" fontId="12" fillId="11" borderId="69" xfId="0" applyFont="1" applyFill="1" applyBorder="1" applyAlignment="1">
      <alignment horizontal="center" vertical="center" wrapText="1"/>
    </xf>
    <xf numFmtId="165" fontId="12" fillId="11" borderId="38" xfId="0" applyNumberFormat="1" applyFont="1" applyFill="1" applyBorder="1" applyAlignment="1">
      <alignment horizontal="center" vertical="center" wrapText="1"/>
    </xf>
    <xf numFmtId="165" fontId="12" fillId="11" borderId="39" xfId="0" applyNumberFormat="1" applyFont="1" applyFill="1" applyBorder="1" applyAlignment="1">
      <alignment horizontal="center" vertical="center" wrapText="1"/>
    </xf>
    <xf numFmtId="165" fontId="12" fillId="11" borderId="69" xfId="0" applyNumberFormat="1" applyFont="1" applyFill="1" applyBorder="1" applyAlignment="1">
      <alignment horizontal="center" vertical="center" wrapText="1"/>
    </xf>
    <xf numFmtId="3" fontId="12" fillId="11" borderId="38" xfId="0" applyNumberFormat="1" applyFont="1" applyFill="1" applyBorder="1" applyAlignment="1">
      <alignment horizontal="center" vertical="center" wrapText="1"/>
    </xf>
    <xf numFmtId="3" fontId="12" fillId="11" borderId="39" xfId="0" applyNumberFormat="1" applyFont="1" applyFill="1" applyBorder="1" applyAlignment="1">
      <alignment horizontal="center" vertical="center" wrapText="1"/>
    </xf>
    <xf numFmtId="3" fontId="12" fillId="11" borderId="69" xfId="0" applyNumberFormat="1" applyFont="1" applyFill="1" applyBorder="1" applyAlignment="1">
      <alignment horizontal="center" vertical="center" wrapText="1"/>
    </xf>
    <xf numFmtId="165" fontId="12" fillId="11" borderId="44" xfId="0" applyNumberFormat="1" applyFont="1" applyFill="1" applyBorder="1" applyAlignment="1">
      <alignment horizontal="center" vertical="center" wrapText="1"/>
    </xf>
    <xf numFmtId="3" fontId="12" fillId="11" borderId="44" xfId="0" applyNumberFormat="1" applyFont="1" applyFill="1" applyBorder="1" applyAlignment="1">
      <alignment horizontal="center" vertical="center" wrapText="1"/>
    </xf>
    <xf numFmtId="0" fontId="25" fillId="8" borderId="21" xfId="0" applyFont="1" applyFill="1" applyBorder="1" applyAlignment="1">
      <alignment horizontal="center" vertical="center"/>
    </xf>
    <xf numFmtId="0" fontId="25" fillId="8" borderId="37" xfId="0" applyFont="1" applyFill="1" applyBorder="1" applyAlignment="1">
      <alignment horizontal="center" vertical="center"/>
    </xf>
    <xf numFmtId="0" fontId="25" fillId="8" borderId="29" xfId="0" applyFont="1" applyFill="1" applyBorder="1" applyAlignment="1">
      <alignment horizontal="center" vertical="center"/>
    </xf>
    <xf numFmtId="164" fontId="18" fillId="8" borderId="21" xfId="0" applyNumberFormat="1" applyFont="1" applyFill="1" applyBorder="1" applyAlignment="1">
      <alignment horizontal="center" vertical="center"/>
    </xf>
    <xf numFmtId="164" fontId="18" fillId="8" borderId="29" xfId="0" applyNumberFormat="1" applyFont="1" applyFill="1" applyBorder="1" applyAlignment="1">
      <alignment horizontal="center" vertical="center"/>
    </xf>
    <xf numFmtId="0" fontId="34" fillId="32" borderId="15" xfId="0" applyFont="1" applyFill="1" applyBorder="1" applyAlignment="1">
      <alignment horizontal="center" vertical="center" wrapText="1"/>
    </xf>
    <xf numFmtId="0" fontId="34" fillId="32" borderId="16" xfId="0" applyFont="1" applyFill="1" applyBorder="1" applyAlignment="1">
      <alignment horizontal="center" vertical="center" wrapText="1"/>
    </xf>
    <xf numFmtId="0" fontId="34" fillId="32" borderId="18" xfId="0" applyFont="1" applyFill="1" applyBorder="1" applyAlignment="1">
      <alignment horizontal="center" vertical="center" wrapText="1"/>
    </xf>
    <xf numFmtId="0" fontId="13" fillId="0" borderId="219" xfId="7" applyFill="1" applyBorder="1" applyAlignment="1" applyProtection="1">
      <alignment horizontal="center" vertical="center"/>
    </xf>
    <xf numFmtId="0" fontId="13" fillId="0" borderId="220" xfId="7" applyFill="1" applyBorder="1" applyAlignment="1" applyProtection="1">
      <alignment horizontal="center" vertical="center"/>
    </xf>
    <xf numFmtId="0" fontId="13" fillId="0" borderId="221" xfId="7" applyFill="1" applyBorder="1" applyAlignment="1" applyProtection="1">
      <alignment horizontal="center" vertical="center"/>
    </xf>
    <xf numFmtId="0" fontId="27" fillId="8" borderId="47" xfId="0" applyFont="1" applyFill="1" applyBorder="1" applyAlignment="1" applyProtection="1">
      <alignment horizontal="center" vertical="center" wrapText="1"/>
      <protection locked="0"/>
    </xf>
    <xf numFmtId="0" fontId="27" fillId="8" borderId="11" xfId="0" applyFont="1" applyFill="1" applyBorder="1" applyAlignment="1" applyProtection="1">
      <alignment horizontal="center" vertical="center" wrapText="1"/>
      <protection locked="0"/>
    </xf>
    <xf numFmtId="0" fontId="27" fillId="8" borderId="67" xfId="0" applyFont="1" applyFill="1" applyBorder="1" applyAlignment="1" applyProtection="1">
      <alignment horizontal="center" vertical="center" wrapText="1"/>
      <protection locked="0"/>
    </xf>
    <xf numFmtId="0" fontId="27" fillId="8" borderId="117" xfId="0" applyFont="1" applyFill="1" applyBorder="1" applyAlignment="1" applyProtection="1">
      <alignment horizontal="center" vertical="center" wrapText="1"/>
      <protection locked="0"/>
    </xf>
    <xf numFmtId="0" fontId="29" fillId="8" borderId="46" xfId="0" applyFont="1" applyFill="1" applyBorder="1" applyAlignment="1" applyProtection="1">
      <alignment horizontal="center" vertical="center" wrapText="1"/>
      <protection locked="0"/>
    </xf>
    <xf numFmtId="0" fontId="29" fillId="8" borderId="9" xfId="0" applyFont="1" applyFill="1" applyBorder="1" applyAlignment="1" applyProtection="1">
      <alignment horizontal="center" vertical="center" wrapText="1"/>
      <protection locked="0"/>
    </xf>
    <xf numFmtId="0" fontId="29" fillId="8" borderId="47" xfId="0" applyFont="1" applyFill="1" applyBorder="1" applyAlignment="1" applyProtection="1">
      <alignment horizontal="center" vertical="center" wrapText="1"/>
      <protection locked="0"/>
    </xf>
    <xf numFmtId="0" fontId="29" fillId="8" borderId="11" xfId="0" applyFont="1" applyFill="1" applyBorder="1" applyAlignment="1" applyProtection="1">
      <alignment horizontal="center" vertical="center" wrapText="1"/>
      <protection locked="0"/>
    </xf>
    <xf numFmtId="0" fontId="29" fillId="8" borderId="119" xfId="0" applyFont="1" applyFill="1" applyBorder="1" applyAlignment="1" applyProtection="1">
      <alignment horizontal="center" vertical="center" wrapText="1"/>
      <protection locked="0"/>
    </xf>
    <xf numFmtId="0" fontId="29" fillId="8" borderId="153" xfId="0" applyFont="1" applyFill="1" applyBorder="1" applyAlignment="1" applyProtection="1">
      <alignment horizontal="center" vertical="center" wrapText="1"/>
      <protection locked="0"/>
    </xf>
    <xf numFmtId="0" fontId="29" fillId="8" borderId="123" xfId="0" applyFont="1" applyFill="1" applyBorder="1" applyAlignment="1" applyProtection="1">
      <alignment horizontal="center" vertical="center" wrapText="1"/>
      <protection locked="0"/>
    </xf>
    <xf numFmtId="0" fontId="29" fillId="8" borderId="120" xfId="0" applyFont="1" applyFill="1" applyBorder="1" applyAlignment="1" applyProtection="1">
      <alignment horizontal="center" vertical="center" wrapText="1"/>
      <protection locked="0"/>
    </xf>
    <xf numFmtId="0" fontId="28" fillId="8" borderId="217" xfId="0" applyFont="1" applyFill="1" applyBorder="1" applyAlignment="1" applyProtection="1">
      <alignment horizontal="center" vertical="center" wrapText="1"/>
      <protection locked="0"/>
    </xf>
    <xf numFmtId="0" fontId="28" fillId="8" borderId="216" xfId="0" applyFont="1" applyFill="1" applyBorder="1" applyAlignment="1" applyProtection="1">
      <alignment horizontal="center" vertical="center" wrapText="1"/>
      <protection locked="0"/>
    </xf>
    <xf numFmtId="0" fontId="28" fillId="8" borderId="50" xfId="0" applyFont="1" applyFill="1" applyBorder="1" applyAlignment="1" applyProtection="1">
      <alignment horizontal="center" vertical="center" wrapText="1"/>
      <protection locked="0"/>
    </xf>
    <xf numFmtId="0" fontId="28" fillId="8" borderId="51" xfId="0" applyFont="1" applyFill="1" applyBorder="1" applyAlignment="1" applyProtection="1">
      <alignment horizontal="center" vertical="center" wrapText="1"/>
      <protection locked="0"/>
    </xf>
    <xf numFmtId="0" fontId="28" fillId="8" borderId="9" xfId="0" applyFont="1" applyFill="1" applyBorder="1" applyAlignment="1" applyProtection="1">
      <alignment horizontal="center" vertical="center" wrapText="1"/>
      <protection locked="0"/>
    </xf>
    <xf numFmtId="0" fontId="28" fillId="8" borderId="136" xfId="0" applyFont="1" applyFill="1" applyBorder="1" applyAlignment="1" applyProtection="1">
      <alignment horizontal="center" vertical="center" wrapText="1"/>
      <protection locked="0"/>
    </xf>
    <xf numFmtId="0" fontId="28" fillId="8" borderId="11" xfId="0" applyFont="1" applyFill="1" applyBorder="1" applyAlignment="1" applyProtection="1">
      <alignment horizontal="center" vertical="center" wrapText="1"/>
      <protection locked="0"/>
    </xf>
    <xf numFmtId="0" fontId="28" fillId="8" borderId="209" xfId="0" applyFont="1" applyFill="1" applyBorder="1" applyAlignment="1" applyProtection="1">
      <alignment horizontal="center" vertical="center" wrapText="1"/>
      <protection locked="0"/>
    </xf>
    <xf numFmtId="0" fontId="28" fillId="8" borderId="14" xfId="0" applyFont="1" applyFill="1" applyBorder="1" applyAlignment="1" applyProtection="1">
      <alignment horizontal="center" vertical="center" wrapText="1"/>
      <protection locked="0"/>
    </xf>
    <xf numFmtId="1" fontId="28" fillId="3" borderId="39" xfId="0" applyNumberFormat="1" applyFont="1" applyFill="1" applyBorder="1" applyAlignment="1">
      <alignment horizontal="center" vertical="center" wrapText="1"/>
    </xf>
    <xf numFmtId="1" fontId="28" fillId="3" borderId="44" xfId="0" applyNumberFormat="1" applyFont="1" applyFill="1" applyBorder="1" applyAlignment="1">
      <alignment horizontal="center" vertical="center" wrapText="1"/>
    </xf>
    <xf numFmtId="0" fontId="33" fillId="6" borderId="72" xfId="0" applyFont="1" applyFill="1" applyBorder="1" applyAlignment="1" applyProtection="1">
      <alignment horizontal="center" vertical="center" wrapText="1"/>
      <protection locked="0"/>
    </xf>
    <xf numFmtId="0" fontId="33" fillId="6" borderId="0" xfId="0" applyFont="1" applyFill="1" applyAlignment="1" applyProtection="1">
      <alignment horizontal="center" vertical="center" wrapText="1"/>
      <protection locked="0"/>
    </xf>
    <xf numFmtId="0" fontId="33" fillId="6" borderId="11" xfId="0" applyFont="1" applyFill="1" applyBorder="1" applyAlignment="1" applyProtection="1">
      <alignment horizontal="center" vertical="center" wrapText="1"/>
      <protection locked="0"/>
    </xf>
    <xf numFmtId="0" fontId="33" fillId="6" borderId="84" xfId="0" applyFont="1" applyFill="1" applyBorder="1" applyAlignment="1" applyProtection="1">
      <alignment horizontal="center" vertical="center" wrapText="1"/>
      <protection locked="0"/>
    </xf>
    <xf numFmtId="0" fontId="33" fillId="6" borderId="66" xfId="0" applyFont="1" applyFill="1" applyBorder="1" applyAlignment="1" applyProtection="1">
      <alignment horizontal="center" vertical="center" wrapText="1"/>
      <protection locked="0"/>
    </xf>
    <xf numFmtId="0" fontId="33" fillId="6" borderId="117" xfId="0" applyFont="1" applyFill="1" applyBorder="1" applyAlignment="1" applyProtection="1">
      <alignment horizontal="center" vertical="center" wrapText="1"/>
      <protection locked="0"/>
    </xf>
    <xf numFmtId="0" fontId="33" fillId="6" borderId="154" xfId="0" applyFont="1" applyFill="1" applyBorder="1" applyAlignment="1" applyProtection="1">
      <alignment horizontal="center" vertical="center" wrapText="1"/>
      <protection locked="0"/>
    </xf>
    <xf numFmtId="0" fontId="33" fillId="6" borderId="8" xfId="0" applyFont="1" applyFill="1" applyBorder="1" applyAlignment="1" applyProtection="1">
      <alignment horizontal="center" vertical="center" wrapText="1"/>
      <protection locked="0"/>
    </xf>
    <xf numFmtId="0" fontId="33" fillId="6" borderId="9" xfId="0" applyFont="1" applyFill="1" applyBorder="1" applyAlignment="1" applyProtection="1">
      <alignment horizontal="center" vertical="center" wrapText="1"/>
      <protection locked="0"/>
    </xf>
    <xf numFmtId="0" fontId="33" fillId="6" borderId="155" xfId="0" applyFont="1" applyFill="1" applyBorder="1" applyAlignment="1" applyProtection="1">
      <alignment horizontal="center" vertical="center" wrapText="1"/>
      <protection locked="0"/>
    </xf>
    <xf numFmtId="0" fontId="33" fillId="6" borderId="174" xfId="0" applyFont="1" applyFill="1" applyBorder="1" applyAlignment="1" applyProtection="1">
      <alignment horizontal="center" vertical="center" wrapText="1"/>
      <protection locked="0"/>
    </xf>
    <xf numFmtId="0" fontId="33" fillId="6" borderId="120" xfId="0" applyFont="1" applyFill="1" applyBorder="1" applyAlignment="1" applyProtection="1">
      <alignment horizontal="center" vertical="center" wrapText="1"/>
      <protection locked="0"/>
    </xf>
    <xf numFmtId="0" fontId="76" fillId="0" borderId="181" xfId="0" applyFont="1" applyBorder="1" applyAlignment="1">
      <alignment horizontal="center" vertical="center"/>
    </xf>
    <xf numFmtId="0" fontId="76" fillId="0" borderId="82" xfId="0" applyFont="1" applyBorder="1" applyAlignment="1">
      <alignment horizontal="center" vertical="center"/>
    </xf>
    <xf numFmtId="0" fontId="76" fillId="0" borderId="83" xfId="0" applyFont="1" applyBorder="1" applyAlignment="1">
      <alignment horizontal="center" vertical="center"/>
    </xf>
    <xf numFmtId="0" fontId="76" fillId="0" borderId="10" xfId="0" applyFont="1" applyBorder="1" applyAlignment="1">
      <alignment horizontal="center" vertical="center"/>
    </xf>
    <xf numFmtId="0" fontId="76" fillId="0" borderId="0" xfId="0" applyFont="1" applyAlignment="1">
      <alignment horizontal="center" vertical="center"/>
    </xf>
    <xf numFmtId="0" fontId="76" fillId="0" borderId="114" xfId="0" applyFont="1" applyBorder="1" applyAlignment="1">
      <alignment horizontal="center" vertical="center"/>
    </xf>
    <xf numFmtId="0" fontId="76" fillId="0" borderId="182" xfId="0" applyFont="1" applyBorder="1" applyAlignment="1">
      <alignment horizontal="center" vertical="center"/>
    </xf>
    <xf numFmtId="0" fontId="76" fillId="0" borderId="66" xfId="0" applyFont="1" applyBorder="1" applyAlignment="1">
      <alignment horizontal="center" vertical="center"/>
    </xf>
    <xf numFmtId="0" fontId="76" fillId="0" borderId="85" xfId="0" applyFont="1" applyBorder="1" applyAlignment="1">
      <alignment horizontal="center" vertical="center"/>
    </xf>
    <xf numFmtId="0" fontId="25" fillId="26" borderId="36" xfId="0" applyFont="1" applyFill="1" applyBorder="1" applyAlignment="1">
      <alignment horizontal="center" vertical="center" wrapText="1"/>
    </xf>
    <xf numFmtId="0" fontId="25" fillId="26" borderId="28" xfId="0" applyFont="1" applyFill="1" applyBorder="1" applyAlignment="1">
      <alignment horizontal="center" vertical="center" wrapText="1"/>
    </xf>
    <xf numFmtId="0" fontId="76" fillId="0" borderId="81" xfId="0" applyFont="1" applyBorder="1" applyAlignment="1">
      <alignment horizontal="center" vertical="center"/>
    </xf>
    <xf numFmtId="0" fontId="76" fillId="0" borderId="72" xfId="0" applyFont="1" applyBorder="1" applyAlignment="1">
      <alignment horizontal="center" vertical="center"/>
    </xf>
    <xf numFmtId="0" fontId="76" fillId="0" borderId="84" xfId="0" applyFont="1" applyBorder="1" applyAlignment="1">
      <alignment horizontal="center" vertical="center"/>
    </xf>
    <xf numFmtId="0" fontId="25" fillId="26" borderId="21" xfId="0" applyFont="1" applyFill="1" applyBorder="1" applyAlignment="1">
      <alignment horizontal="center" vertical="center"/>
    </xf>
    <xf numFmtId="0" fontId="25" fillId="26" borderId="29" xfId="0" applyFont="1" applyFill="1" applyBorder="1" applyAlignment="1">
      <alignment horizontal="center" vertical="center"/>
    </xf>
    <xf numFmtId="0" fontId="0" fillId="0" borderId="21" xfId="0" applyBorder="1" applyAlignment="1">
      <alignment horizontal="center" vertical="center"/>
    </xf>
    <xf numFmtId="0" fontId="0" fillId="0" borderId="29" xfId="0" applyBorder="1" applyAlignment="1">
      <alignment horizontal="center" vertical="center"/>
    </xf>
    <xf numFmtId="0" fontId="5" fillId="0" borderId="21" xfId="0" applyFont="1" applyBorder="1" applyAlignment="1">
      <alignment horizontal="center" vertical="center"/>
    </xf>
    <xf numFmtId="0" fontId="5" fillId="0" borderId="29" xfId="0" applyFont="1" applyBorder="1" applyAlignment="1">
      <alignment horizontal="center" vertical="center"/>
    </xf>
    <xf numFmtId="0" fontId="25" fillId="21" borderId="58" xfId="0" applyFont="1" applyFill="1" applyBorder="1" applyAlignment="1">
      <alignment horizontal="center" vertical="center"/>
    </xf>
    <xf numFmtId="0" fontId="25" fillId="21" borderId="59" xfId="0" applyFont="1" applyFill="1" applyBorder="1" applyAlignment="1">
      <alignment horizontal="center" vertical="center"/>
    </xf>
    <xf numFmtId="0" fontId="25" fillId="21" borderId="60" xfId="0" applyFont="1" applyFill="1" applyBorder="1" applyAlignment="1">
      <alignment horizontal="center" vertical="center"/>
    </xf>
    <xf numFmtId="0" fontId="5" fillId="0" borderId="21" xfId="0" applyFont="1" applyBorder="1" applyAlignment="1">
      <alignment horizontal="center" vertical="center" wrapText="1"/>
    </xf>
    <xf numFmtId="0" fontId="5" fillId="0" borderId="29" xfId="0" applyFont="1" applyBorder="1" applyAlignment="1">
      <alignment horizontal="center" vertical="center" wrapText="1"/>
    </xf>
    <xf numFmtId="164" fontId="18" fillId="14" borderId="21" xfId="0" applyNumberFormat="1" applyFont="1" applyFill="1" applyBorder="1" applyAlignment="1">
      <alignment horizontal="center" vertical="center"/>
    </xf>
    <xf numFmtId="164" fontId="18" fillId="14" borderId="29" xfId="0" applyNumberFormat="1" applyFont="1" applyFill="1" applyBorder="1" applyAlignment="1">
      <alignment horizontal="center" vertical="center"/>
    </xf>
    <xf numFmtId="0" fontId="28" fillId="8" borderId="49" xfId="0" applyFont="1" applyFill="1" applyBorder="1" applyAlignment="1" applyProtection="1">
      <alignment horizontal="center" vertical="center" wrapText="1"/>
      <protection locked="0"/>
    </xf>
    <xf numFmtId="0" fontId="25" fillId="25" borderId="9" xfId="0" applyFont="1" applyFill="1" applyBorder="1" applyAlignment="1">
      <alignment horizontal="center" vertical="center" wrapText="1"/>
    </xf>
    <xf numFmtId="0" fontId="25" fillId="25" borderId="14" xfId="0" applyFont="1" applyFill="1" applyBorder="1" applyAlignment="1">
      <alignment horizontal="center" vertical="center" wrapText="1"/>
    </xf>
    <xf numFmtId="164" fontId="27" fillId="3" borderId="9" xfId="0" applyNumberFormat="1" applyFont="1" applyFill="1" applyBorder="1" applyAlignment="1">
      <alignment horizontal="center" vertical="center" wrapText="1"/>
    </xf>
    <xf numFmtId="164" fontId="27" fillId="3" borderId="136" xfId="0" applyNumberFormat="1" applyFont="1" applyFill="1" applyBorder="1" applyAlignment="1">
      <alignment horizontal="center" vertical="center" wrapText="1"/>
    </xf>
    <xf numFmtId="164" fontId="27" fillId="3" borderId="231" xfId="0" applyNumberFormat="1" applyFont="1" applyFill="1" applyBorder="1" applyAlignment="1">
      <alignment horizontal="center" vertical="center" wrapText="1"/>
    </xf>
    <xf numFmtId="164" fontId="27" fillId="3" borderId="232" xfId="0" applyNumberFormat="1" applyFont="1" applyFill="1" applyBorder="1" applyAlignment="1">
      <alignment horizontal="center" vertical="center" wrapText="1"/>
    </xf>
    <xf numFmtId="0" fontId="75" fillId="0" borderId="0" xfId="0" applyFont="1" applyAlignment="1">
      <alignment horizontal="left" vertical="center"/>
    </xf>
    <xf numFmtId="0" fontId="25" fillId="26" borderId="1" xfId="0" applyFont="1" applyFill="1" applyBorder="1" applyAlignment="1">
      <alignment horizontal="right" vertical="center"/>
    </xf>
    <xf numFmtId="0" fontId="18" fillId="26" borderId="21" xfId="0" applyFont="1" applyFill="1" applyBorder="1" applyAlignment="1" applyProtection="1">
      <alignment horizontal="center" vertical="center"/>
      <protection locked="0"/>
    </xf>
    <xf numFmtId="0" fontId="18" fillId="26" borderId="37" xfId="0" applyFont="1" applyFill="1" applyBorder="1" applyAlignment="1" applyProtection="1">
      <alignment horizontal="center" vertical="center"/>
      <protection locked="0"/>
    </xf>
    <xf numFmtId="0" fontId="18" fillId="26" borderId="29" xfId="0" applyFont="1" applyFill="1" applyBorder="1" applyAlignment="1" applyProtection="1">
      <alignment horizontal="center" vertical="center"/>
      <protection locked="0"/>
    </xf>
    <xf numFmtId="0" fontId="34" fillId="25" borderId="7" xfId="0" applyFont="1" applyFill="1" applyBorder="1" applyAlignment="1">
      <alignment horizontal="center" vertical="center"/>
    </xf>
    <xf numFmtId="0" fontId="34" fillId="25" borderId="8" xfId="0" applyFont="1" applyFill="1" applyBorder="1" applyAlignment="1">
      <alignment horizontal="center" vertical="center"/>
    </xf>
    <xf numFmtId="0" fontId="34" fillId="25" borderId="9" xfId="0" applyFont="1" applyFill="1" applyBorder="1" applyAlignment="1">
      <alignment horizontal="center" vertical="center"/>
    </xf>
    <xf numFmtId="0" fontId="34" fillId="25" borderId="12" xfId="0" applyFont="1" applyFill="1" applyBorder="1" applyAlignment="1">
      <alignment horizontal="center" vertical="center"/>
    </xf>
    <xf numFmtId="0" fontId="34" fillId="25" borderId="13" xfId="0" applyFont="1" applyFill="1" applyBorder="1" applyAlignment="1">
      <alignment horizontal="center" vertical="center"/>
    </xf>
    <xf numFmtId="0" fontId="34" fillId="25" borderId="14" xfId="0" applyFont="1" applyFill="1" applyBorder="1" applyAlignment="1">
      <alignment horizontal="center" vertical="center"/>
    </xf>
    <xf numFmtId="0" fontId="22" fillId="3" borderId="7" xfId="0" applyFont="1" applyFill="1" applyBorder="1" applyAlignment="1">
      <alignment horizontal="center" vertical="center"/>
    </xf>
    <xf numFmtId="0" fontId="22" fillId="3" borderId="202" xfId="0" applyFont="1" applyFill="1" applyBorder="1" applyAlignment="1">
      <alignment horizontal="center" vertical="center"/>
    </xf>
    <xf numFmtId="0" fontId="22" fillId="3" borderId="122" xfId="0" applyFont="1" applyFill="1" applyBorder="1" applyAlignment="1">
      <alignment horizontal="center" vertical="center"/>
    </xf>
    <xf numFmtId="0" fontId="22" fillId="3" borderId="60" xfId="0" applyFont="1" applyFill="1" applyBorder="1" applyAlignment="1">
      <alignment horizontal="center" vertical="center"/>
    </xf>
    <xf numFmtId="0" fontId="28" fillId="18" borderId="181" xfId="0" applyFont="1" applyFill="1" applyBorder="1" applyAlignment="1" applyProtection="1">
      <alignment horizontal="center" vertical="center" wrapText="1"/>
      <protection locked="0"/>
    </xf>
    <xf numFmtId="0" fontId="28" fillId="18" borderId="10" xfId="0" applyFont="1" applyFill="1" applyBorder="1" applyAlignment="1" applyProtection="1">
      <alignment horizontal="center" vertical="center" wrapText="1"/>
      <protection locked="0"/>
    </xf>
    <xf numFmtId="0" fontId="28" fillId="18" borderId="182" xfId="0" applyFont="1" applyFill="1" applyBorder="1" applyAlignment="1" applyProtection="1">
      <alignment horizontal="center" vertical="center" wrapText="1"/>
      <protection locked="0"/>
    </xf>
    <xf numFmtId="1" fontId="28" fillId="8" borderId="89" xfId="0" applyNumberFormat="1" applyFont="1" applyFill="1" applyBorder="1" applyAlignment="1" applyProtection="1">
      <alignment horizontal="center" vertical="center" wrapText="1"/>
      <protection locked="0"/>
    </xf>
    <xf numFmtId="1" fontId="28" fillId="8" borderId="39" xfId="0" applyNumberFormat="1" applyFont="1" applyFill="1" applyBorder="1" applyAlignment="1" applyProtection="1">
      <alignment horizontal="center" vertical="center" wrapText="1"/>
      <protection locked="0"/>
    </xf>
    <xf numFmtId="1" fontId="28" fillId="8" borderId="69" xfId="0" applyNumberFormat="1" applyFont="1" applyFill="1" applyBorder="1" applyAlignment="1" applyProtection="1">
      <alignment horizontal="center" vertical="center" wrapText="1"/>
      <protection locked="0"/>
    </xf>
    <xf numFmtId="1" fontId="28" fillId="8" borderId="181" xfId="0" applyNumberFormat="1" applyFont="1" applyFill="1" applyBorder="1" applyAlignment="1" applyProtection="1">
      <alignment horizontal="center" vertical="center" wrapText="1"/>
      <protection locked="0"/>
    </xf>
    <xf numFmtId="1" fontId="28" fillId="8" borderId="82" xfId="0" applyNumberFormat="1" applyFont="1" applyFill="1" applyBorder="1" applyAlignment="1" applyProtection="1">
      <alignment horizontal="center" vertical="center" wrapText="1"/>
      <protection locked="0"/>
    </xf>
    <xf numFmtId="1" fontId="28" fillId="8" borderId="134" xfId="0" applyNumberFormat="1" applyFont="1" applyFill="1" applyBorder="1" applyAlignment="1" applyProtection="1">
      <alignment horizontal="center" vertical="center" wrapText="1"/>
      <protection locked="0"/>
    </xf>
    <xf numFmtId="1" fontId="28" fillId="8" borderId="10" xfId="0" applyNumberFormat="1" applyFont="1" applyFill="1" applyBorder="1" applyAlignment="1" applyProtection="1">
      <alignment horizontal="center" vertical="center" wrapText="1"/>
      <protection locked="0"/>
    </xf>
    <xf numFmtId="1" fontId="28" fillId="8" borderId="0" xfId="0" applyNumberFormat="1" applyFont="1" applyFill="1" applyAlignment="1" applyProtection="1">
      <alignment horizontal="center" vertical="center" wrapText="1"/>
      <protection locked="0"/>
    </xf>
    <xf numFmtId="1" fontId="28" fillId="8" borderId="41" xfId="0" applyNumberFormat="1" applyFont="1" applyFill="1" applyBorder="1" applyAlignment="1" applyProtection="1">
      <alignment horizontal="center" vertical="center" wrapText="1"/>
      <protection locked="0"/>
    </xf>
    <xf numFmtId="1" fontId="28" fillId="8" borderId="182" xfId="0" applyNumberFormat="1" applyFont="1" applyFill="1" applyBorder="1" applyAlignment="1" applyProtection="1">
      <alignment horizontal="center" vertical="center" wrapText="1"/>
      <protection locked="0"/>
    </xf>
    <xf numFmtId="1" fontId="28" fillId="8" borderId="66" xfId="0" applyNumberFormat="1" applyFont="1" applyFill="1" applyBorder="1" applyAlignment="1" applyProtection="1">
      <alignment horizontal="center" vertical="center" wrapText="1"/>
      <protection locked="0"/>
    </xf>
    <xf numFmtId="1" fontId="28" fillId="8" borderId="71" xfId="0" applyNumberFormat="1" applyFont="1" applyFill="1" applyBorder="1" applyAlignment="1" applyProtection="1">
      <alignment horizontal="center" vertical="center" wrapText="1"/>
      <protection locked="0"/>
    </xf>
    <xf numFmtId="0" fontId="28" fillId="3" borderId="49" xfId="0" applyFont="1" applyFill="1" applyBorder="1" applyAlignment="1">
      <alignment horizontal="center" vertical="center" wrapText="1"/>
    </xf>
    <xf numFmtId="0" fontId="28" fillId="3" borderId="50" xfId="0" applyFont="1" applyFill="1" applyBorder="1" applyAlignment="1">
      <alignment horizontal="center" vertical="center" wrapText="1"/>
    </xf>
    <xf numFmtId="0" fontId="28" fillId="3" borderId="68" xfId="0" applyFont="1" applyFill="1" applyBorder="1" applyAlignment="1">
      <alignment horizontal="center" vertical="center" wrapText="1"/>
    </xf>
    <xf numFmtId="3" fontId="14" fillId="2" borderId="173" xfId="0" applyNumberFormat="1" applyFont="1" applyFill="1" applyBorder="1" applyAlignment="1">
      <alignment horizontal="center" vertical="center" wrapText="1"/>
    </xf>
    <xf numFmtId="3" fontId="14" fillId="2" borderId="165" xfId="0" applyNumberFormat="1" applyFont="1" applyFill="1" applyBorder="1" applyAlignment="1">
      <alignment horizontal="center" vertical="center" wrapText="1"/>
    </xf>
    <xf numFmtId="3" fontId="14" fillId="2" borderId="47" xfId="0" applyNumberFormat="1" applyFont="1" applyFill="1" applyBorder="1" applyAlignment="1">
      <alignment horizontal="center" vertical="center" wrapText="1"/>
    </xf>
    <xf numFmtId="3" fontId="14" fillId="2" borderId="11" xfId="0" applyNumberFormat="1" applyFont="1" applyFill="1" applyBorder="1" applyAlignment="1">
      <alignment horizontal="center" vertical="center" wrapText="1"/>
    </xf>
    <xf numFmtId="3" fontId="14" fillId="2" borderId="67" xfId="0" applyNumberFormat="1" applyFont="1" applyFill="1" applyBorder="1" applyAlignment="1">
      <alignment horizontal="center" vertical="center" wrapText="1"/>
    </xf>
    <xf numFmtId="3" fontId="14" fillId="2" borderId="117" xfId="0" applyNumberFormat="1" applyFont="1" applyFill="1" applyBorder="1" applyAlignment="1">
      <alignment horizontal="center" vertical="center" wrapText="1"/>
    </xf>
    <xf numFmtId="0" fontId="28" fillId="3" borderId="51" xfId="0" applyFont="1" applyFill="1" applyBorder="1" applyAlignment="1">
      <alignment horizontal="center" vertical="center" wrapText="1"/>
    </xf>
    <xf numFmtId="3" fontId="14" fillId="2" borderId="40" xfId="0" applyNumberFormat="1" applyFont="1" applyFill="1" applyBorder="1" applyAlignment="1">
      <alignment horizontal="center" vertical="center" wrapText="1"/>
    </xf>
    <xf numFmtId="3" fontId="14" fillId="2" borderId="41" xfId="0" applyNumberFormat="1" applyFont="1" applyFill="1" applyBorder="1" applyAlignment="1">
      <alignment horizontal="center" vertical="center" wrapText="1"/>
    </xf>
    <xf numFmtId="3" fontId="14" fillId="2" borderId="71" xfId="0" applyNumberFormat="1" applyFont="1" applyFill="1" applyBorder="1" applyAlignment="1">
      <alignment horizontal="center" vertical="center" wrapText="1"/>
    </xf>
    <xf numFmtId="0" fontId="28" fillId="18" borderId="191" xfId="0" applyFont="1" applyFill="1" applyBorder="1" applyAlignment="1" applyProtection="1">
      <alignment horizontal="center" vertical="center" wrapText="1"/>
      <protection locked="0"/>
    </xf>
    <xf numFmtId="0" fontId="28" fillId="18" borderId="43" xfId="0" applyFont="1" applyFill="1" applyBorder="1" applyAlignment="1" applyProtection="1">
      <alignment horizontal="center" vertical="center" wrapText="1"/>
      <protection locked="0"/>
    </xf>
    <xf numFmtId="0" fontId="28" fillId="18" borderId="70" xfId="0" applyFont="1" applyFill="1" applyBorder="1" applyAlignment="1" applyProtection="1">
      <alignment horizontal="center" vertical="center" wrapText="1"/>
      <protection locked="0"/>
    </xf>
    <xf numFmtId="1" fontId="71" fillId="8" borderId="9" xfId="0" applyNumberFormat="1" applyFont="1" applyFill="1" applyBorder="1" applyAlignment="1">
      <alignment horizontal="center" vertical="center" wrapText="1"/>
    </xf>
    <xf numFmtId="1" fontId="71" fillId="8" borderId="11" xfId="0" applyNumberFormat="1" applyFont="1" applyFill="1" applyBorder="1" applyAlignment="1">
      <alignment horizontal="center" vertical="center" wrapText="1"/>
    </xf>
    <xf numFmtId="1" fontId="71" fillId="8" borderId="117" xfId="0" applyNumberFormat="1" applyFont="1" applyFill="1" applyBorder="1" applyAlignment="1">
      <alignment horizontal="center" vertical="center" wrapText="1"/>
    </xf>
    <xf numFmtId="0" fontId="66" fillId="12" borderId="81" xfId="0" applyFont="1" applyFill="1" applyBorder="1" applyAlignment="1">
      <alignment horizontal="center" vertical="center"/>
    </xf>
    <xf numFmtId="0" fontId="66" fillId="12" borderId="82" xfId="0" applyFont="1" applyFill="1" applyBorder="1" applyAlignment="1">
      <alignment horizontal="center" vertical="center"/>
    </xf>
    <xf numFmtId="0" fontId="66" fillId="12" borderId="83" xfId="0" applyFont="1" applyFill="1" applyBorder="1" applyAlignment="1">
      <alignment horizontal="center" vertical="center"/>
    </xf>
    <xf numFmtId="0" fontId="66" fillId="12" borderId="72" xfId="0" applyFont="1" applyFill="1" applyBorder="1" applyAlignment="1">
      <alignment horizontal="center" vertical="center"/>
    </xf>
    <xf numFmtId="0" fontId="66" fillId="12" borderId="0" xfId="0" applyFont="1" applyFill="1" applyAlignment="1">
      <alignment horizontal="center" vertical="center"/>
    </xf>
    <xf numFmtId="0" fontId="66" fillId="12" borderId="114" xfId="0" applyFont="1" applyFill="1" applyBorder="1" applyAlignment="1">
      <alignment horizontal="center" vertical="center"/>
    </xf>
    <xf numFmtId="0" fontId="66" fillId="12" borderId="84" xfId="0" applyFont="1" applyFill="1" applyBorder="1" applyAlignment="1">
      <alignment horizontal="center" vertical="center"/>
    </xf>
    <xf numFmtId="0" fontId="66" fillId="12" borderId="66" xfId="0" applyFont="1" applyFill="1" applyBorder="1" applyAlignment="1">
      <alignment horizontal="center" vertical="center"/>
    </xf>
    <xf numFmtId="0" fontId="66" fillId="12" borderId="85" xfId="0" applyFont="1" applyFill="1" applyBorder="1" applyAlignment="1">
      <alignment horizontal="center" vertical="center"/>
    </xf>
    <xf numFmtId="0" fontId="66" fillId="28" borderId="81" xfId="0" applyFont="1" applyFill="1" applyBorder="1" applyAlignment="1">
      <alignment horizontal="center" vertical="center"/>
    </xf>
    <xf numFmtId="0" fontId="66" fillId="28" borderId="82" xfId="0" applyFont="1" applyFill="1" applyBorder="1" applyAlignment="1">
      <alignment horizontal="center" vertical="center"/>
    </xf>
    <xf numFmtId="0" fontId="66" fillId="28" borderId="83" xfId="0" applyFont="1" applyFill="1" applyBorder="1" applyAlignment="1">
      <alignment horizontal="center" vertical="center"/>
    </xf>
    <xf numFmtId="0" fontId="66" fillId="28" borderId="72" xfId="0" applyFont="1" applyFill="1" applyBorder="1" applyAlignment="1">
      <alignment horizontal="center" vertical="center"/>
    </xf>
    <xf numFmtId="0" fontId="66" fillId="28" borderId="0" xfId="0" applyFont="1" applyFill="1" applyAlignment="1">
      <alignment horizontal="center" vertical="center"/>
    </xf>
    <xf numFmtId="0" fontId="66" fillId="28" borderId="114" xfId="0" applyFont="1" applyFill="1" applyBorder="1" applyAlignment="1">
      <alignment horizontal="center" vertical="center"/>
    </xf>
    <xf numFmtId="0" fontId="66" fillId="28" borderId="84" xfId="0" applyFont="1" applyFill="1" applyBorder="1" applyAlignment="1">
      <alignment horizontal="center" vertical="center"/>
    </xf>
    <xf numFmtId="0" fontId="66" fillId="28" borderId="66" xfId="0" applyFont="1" applyFill="1" applyBorder="1" applyAlignment="1">
      <alignment horizontal="center" vertical="center"/>
    </xf>
    <xf numFmtId="0" fontId="66" fillId="28" borderId="85" xfId="0" applyFont="1" applyFill="1" applyBorder="1" applyAlignment="1">
      <alignment horizontal="center" vertical="center"/>
    </xf>
    <xf numFmtId="1" fontId="74" fillId="2" borderId="211" xfId="0" applyNumberFormat="1" applyFont="1" applyFill="1" applyBorder="1" applyAlignment="1">
      <alignment horizontal="center" vertical="center" wrapText="1"/>
    </xf>
    <xf numFmtId="1" fontId="74" fillId="2" borderId="16" xfId="0" applyNumberFormat="1" applyFont="1" applyFill="1" applyBorder="1" applyAlignment="1">
      <alignment horizontal="center" vertical="center" wrapText="1"/>
    </xf>
    <xf numFmtId="1" fontId="74" fillId="2" borderId="18" xfId="0" applyNumberFormat="1" applyFont="1" applyFill="1" applyBorder="1" applyAlignment="1">
      <alignment horizontal="center" vertical="center" wrapText="1"/>
    </xf>
    <xf numFmtId="1" fontId="28" fillId="3" borderId="42" xfId="0" applyNumberFormat="1" applyFont="1" applyFill="1" applyBorder="1" applyAlignment="1">
      <alignment horizontal="center" vertical="center" wrapText="1"/>
    </xf>
    <xf numFmtId="1" fontId="28" fillId="3" borderId="43" xfId="0" applyNumberFormat="1" applyFont="1" applyFill="1" applyBorder="1" applyAlignment="1">
      <alignment horizontal="center" vertical="center" wrapText="1"/>
    </xf>
    <xf numFmtId="1" fontId="28" fillId="3" borderId="70" xfId="0" applyNumberFormat="1" applyFont="1" applyFill="1" applyBorder="1" applyAlignment="1">
      <alignment horizontal="center" vertical="center" wrapText="1"/>
    </xf>
    <xf numFmtId="1" fontId="28" fillId="3" borderId="45" xfId="0" applyNumberFormat="1" applyFont="1" applyFill="1" applyBorder="1" applyAlignment="1">
      <alignment horizontal="center" vertical="center" wrapText="1"/>
    </xf>
    <xf numFmtId="0" fontId="58" fillId="0" borderId="130" xfId="0" applyFont="1" applyBorder="1" applyAlignment="1">
      <alignment horizontal="center"/>
    </xf>
    <xf numFmtId="0" fontId="58" fillId="0" borderId="178" xfId="0" applyFont="1" applyBorder="1" applyAlignment="1">
      <alignment horizontal="center"/>
    </xf>
    <xf numFmtId="0" fontId="58" fillId="0" borderId="125" xfId="0" applyFont="1" applyBorder="1" applyAlignment="1">
      <alignment horizontal="center"/>
    </xf>
    <xf numFmtId="0" fontId="58" fillId="0" borderId="128" xfId="0" applyFont="1" applyBorder="1" applyAlignment="1">
      <alignment horizontal="center"/>
    </xf>
    <xf numFmtId="0" fontId="58" fillId="0" borderId="127" xfId="0" applyFont="1" applyBorder="1" applyAlignment="1">
      <alignment horizontal="center"/>
    </xf>
    <xf numFmtId="0" fontId="53" fillId="0" borderId="190" xfId="0" applyFont="1" applyBorder="1" applyAlignment="1" applyProtection="1">
      <alignment horizontal="center" vertical="center"/>
      <protection locked="0"/>
    </xf>
    <xf numFmtId="0" fontId="53" fillId="0" borderId="214" xfId="0" applyFont="1" applyBorder="1" applyAlignment="1" applyProtection="1">
      <alignment horizontal="center" vertical="center"/>
      <protection locked="0"/>
    </xf>
    <xf numFmtId="0" fontId="53" fillId="0" borderId="65" xfId="0" applyFont="1" applyBorder="1" applyAlignment="1" applyProtection="1">
      <alignment horizontal="center" vertical="center"/>
      <protection locked="0"/>
    </xf>
    <xf numFmtId="0" fontId="53" fillId="0" borderId="37" xfId="0" applyFont="1" applyBorder="1" applyAlignment="1" applyProtection="1">
      <alignment horizontal="center" vertical="center"/>
      <protection locked="0"/>
    </xf>
    <xf numFmtId="0" fontId="53" fillId="0" borderId="121" xfId="0" applyFont="1" applyBorder="1" applyAlignment="1" applyProtection="1">
      <alignment horizontal="center" vertical="center"/>
      <protection locked="0"/>
    </xf>
    <xf numFmtId="0" fontId="53" fillId="0" borderId="138" xfId="0" applyFont="1" applyBorder="1" applyAlignment="1" applyProtection="1">
      <alignment horizontal="center" vertical="center"/>
      <protection locked="0"/>
    </xf>
    <xf numFmtId="0" fontId="53" fillId="0" borderId="64" xfId="0" applyFont="1" applyBorder="1" applyAlignment="1" applyProtection="1">
      <alignment horizontal="center" vertical="center"/>
      <protection locked="0"/>
    </xf>
    <xf numFmtId="0" fontId="53" fillId="0" borderId="169" xfId="0" applyFont="1" applyBorder="1" applyAlignment="1" applyProtection="1">
      <alignment horizontal="center" vertical="center"/>
      <protection locked="0"/>
    </xf>
    <xf numFmtId="1" fontId="74" fillId="2" borderId="46" xfId="0" applyNumberFormat="1" applyFont="1" applyFill="1" applyBorder="1" applyAlignment="1">
      <alignment horizontal="center" vertical="center" wrapText="1"/>
    </xf>
    <xf numFmtId="1" fontId="74" fillId="2" borderId="47" xfId="0" applyNumberFormat="1" applyFont="1" applyFill="1" applyBorder="1" applyAlignment="1">
      <alignment horizontal="center" vertical="center" wrapText="1"/>
    </xf>
    <xf numFmtId="1" fontId="74" fillId="2" borderId="67" xfId="0" applyNumberFormat="1" applyFont="1" applyFill="1" applyBorder="1" applyAlignment="1">
      <alignment horizontal="center" vertical="center" wrapText="1"/>
    </xf>
    <xf numFmtId="1" fontId="28" fillId="8" borderId="173" xfId="0" applyNumberFormat="1" applyFont="1" applyFill="1" applyBorder="1" applyAlignment="1" applyProtection="1">
      <alignment horizontal="center" vertical="center" wrapText="1"/>
      <protection locked="0"/>
    </xf>
    <xf numFmtId="1" fontId="28" fillId="8" borderId="47" xfId="0" applyNumberFormat="1" applyFont="1" applyFill="1" applyBorder="1" applyAlignment="1" applyProtection="1">
      <alignment horizontal="center" vertical="center" wrapText="1"/>
      <protection locked="0"/>
    </xf>
    <xf numFmtId="1" fontId="28" fillId="8" borderId="67" xfId="0" applyNumberFormat="1" applyFont="1" applyFill="1" applyBorder="1" applyAlignment="1" applyProtection="1">
      <alignment horizontal="center" vertical="center" wrapText="1"/>
      <protection locked="0"/>
    </xf>
    <xf numFmtId="1" fontId="28" fillId="3" borderId="38" xfId="0" applyNumberFormat="1" applyFont="1" applyFill="1" applyBorder="1" applyAlignment="1">
      <alignment horizontal="center" vertical="center" wrapText="1"/>
    </xf>
    <xf numFmtId="1" fontId="28" fillId="3" borderId="69" xfId="0" applyNumberFormat="1" applyFont="1" applyFill="1" applyBorder="1" applyAlignment="1">
      <alignment horizontal="center" vertical="center" wrapText="1"/>
    </xf>
    <xf numFmtId="0" fontId="53" fillId="0" borderId="140" xfId="0" applyFont="1" applyBorder="1" applyAlignment="1" applyProtection="1">
      <alignment horizontal="center" vertical="center"/>
      <protection locked="0"/>
    </xf>
    <xf numFmtId="0" fontId="53" fillId="0" borderId="163" xfId="0" applyFont="1" applyBorder="1" applyAlignment="1" applyProtection="1">
      <alignment horizontal="center" vertical="center"/>
      <protection locked="0"/>
    </xf>
    <xf numFmtId="0" fontId="53" fillId="0" borderId="141" xfId="0" applyFont="1" applyBorder="1" applyAlignment="1" applyProtection="1">
      <alignment horizontal="center" vertical="center"/>
      <protection locked="0"/>
    </xf>
    <xf numFmtId="0" fontId="53" fillId="0" borderId="136" xfId="0" applyFont="1" applyBorder="1" applyAlignment="1" applyProtection="1">
      <alignment horizontal="center" vertical="center"/>
      <protection locked="0"/>
    </xf>
    <xf numFmtId="0" fontId="53" fillId="14" borderId="140" xfId="0" applyFont="1" applyFill="1" applyBorder="1" applyAlignment="1">
      <alignment horizontal="left" vertical="center"/>
    </xf>
    <xf numFmtId="0" fontId="53" fillId="14" borderId="163" xfId="0" applyFont="1" applyFill="1" applyBorder="1" applyAlignment="1">
      <alignment horizontal="left" vertical="center"/>
    </xf>
    <xf numFmtId="0" fontId="53" fillId="14" borderId="142" xfId="0" applyFont="1" applyFill="1" applyBorder="1" applyAlignment="1">
      <alignment horizontal="left" vertical="center"/>
    </xf>
    <xf numFmtId="0" fontId="53" fillId="14" borderId="139" xfId="0" applyFont="1" applyFill="1" applyBorder="1" applyAlignment="1">
      <alignment horizontal="left" vertical="center"/>
    </xf>
    <xf numFmtId="0" fontId="53" fillId="14" borderId="189" xfId="0" applyFont="1" applyFill="1" applyBorder="1" applyAlignment="1">
      <alignment horizontal="left" vertical="center"/>
    </xf>
    <xf numFmtId="0" fontId="53" fillId="14" borderId="170" xfId="0" applyFont="1" applyFill="1" applyBorder="1" applyAlignment="1">
      <alignment horizontal="left" vertical="center"/>
    </xf>
    <xf numFmtId="1" fontId="28" fillId="8" borderId="38" xfId="0" applyNumberFormat="1" applyFont="1" applyFill="1" applyBorder="1" applyAlignment="1" applyProtection="1">
      <alignment horizontal="center" vertical="center" wrapText="1"/>
      <protection locked="0"/>
    </xf>
    <xf numFmtId="3" fontId="14" fillId="14" borderId="177" xfId="0" applyNumberFormat="1" applyFont="1" applyFill="1" applyBorder="1" applyAlignment="1">
      <alignment horizontal="center" vertical="center" wrapText="1"/>
    </xf>
    <xf numFmtId="3" fontId="14" fillId="14" borderId="87" xfId="0" applyNumberFormat="1" applyFont="1" applyFill="1" applyBorder="1" applyAlignment="1">
      <alignment horizontal="center" vertical="center" wrapText="1"/>
    </xf>
    <xf numFmtId="3" fontId="14" fillId="14" borderId="156" xfId="0" applyNumberFormat="1" applyFont="1" applyFill="1" applyBorder="1" applyAlignment="1">
      <alignment horizontal="center" vertical="center" wrapText="1"/>
    </xf>
    <xf numFmtId="3" fontId="14" fillId="14" borderId="40" xfId="0" applyNumberFormat="1" applyFont="1" applyFill="1" applyBorder="1" applyAlignment="1">
      <alignment horizontal="center" vertical="center" wrapText="1"/>
    </xf>
    <xf numFmtId="3" fontId="14" fillId="14" borderId="41" xfId="0" applyNumberFormat="1" applyFont="1" applyFill="1" applyBorder="1" applyAlignment="1">
      <alignment horizontal="center" vertical="center" wrapText="1"/>
    </xf>
    <xf numFmtId="3" fontId="14" fillId="14" borderId="71" xfId="0" applyNumberFormat="1" applyFont="1" applyFill="1" applyBorder="1" applyAlignment="1">
      <alignment horizontal="center" vertical="center" wrapText="1"/>
    </xf>
    <xf numFmtId="3" fontId="14" fillId="14" borderId="134" xfId="0" applyNumberFormat="1" applyFont="1" applyFill="1" applyBorder="1" applyAlignment="1">
      <alignment horizontal="center" vertical="center" wrapText="1"/>
    </xf>
    <xf numFmtId="3" fontId="14" fillId="14" borderId="48" xfId="0" applyNumberFormat="1" applyFont="1" applyFill="1" applyBorder="1" applyAlignment="1">
      <alignment horizontal="center" vertical="center" wrapText="1"/>
    </xf>
    <xf numFmtId="1" fontId="7" fillId="0" borderId="0" xfId="0" applyNumberFormat="1" applyFont="1" applyAlignment="1">
      <alignment horizontal="center"/>
    </xf>
    <xf numFmtId="3" fontId="14" fillId="14" borderId="86" xfId="0" applyNumberFormat="1" applyFont="1" applyFill="1" applyBorder="1" applyAlignment="1">
      <alignment horizontal="center" vertical="center" wrapText="1"/>
    </xf>
    <xf numFmtId="3" fontId="14" fillId="14" borderId="88" xfId="0" applyNumberFormat="1" applyFont="1" applyFill="1" applyBorder="1" applyAlignment="1">
      <alignment horizontal="center" vertical="center" wrapText="1"/>
    </xf>
    <xf numFmtId="0" fontId="53" fillId="0" borderId="72" xfId="0" applyFont="1" applyBorder="1" applyAlignment="1" applyProtection="1">
      <alignment horizontal="center" vertical="center"/>
      <protection locked="0"/>
    </xf>
    <xf numFmtId="0" fontId="53" fillId="0" borderId="11" xfId="0" applyFont="1" applyBorder="1" applyAlignment="1" applyProtection="1">
      <alignment horizontal="center" vertical="center"/>
      <protection locked="0"/>
    </xf>
    <xf numFmtId="1" fontId="62" fillId="0" borderId="0" xfId="0" applyNumberFormat="1" applyFont="1" applyAlignment="1">
      <alignment horizontal="center"/>
    </xf>
    <xf numFmtId="3" fontId="14" fillId="2" borderId="134" xfId="0" applyNumberFormat="1" applyFont="1" applyFill="1" applyBorder="1" applyAlignment="1">
      <alignment horizontal="center" vertical="center" wrapText="1"/>
    </xf>
    <xf numFmtId="0" fontId="53" fillId="0" borderId="142" xfId="0" applyFont="1" applyBorder="1" applyAlignment="1" applyProtection="1">
      <alignment horizontal="center" vertical="center"/>
      <protection locked="0"/>
    </xf>
    <xf numFmtId="0" fontId="53" fillId="0" borderId="139" xfId="0" applyFont="1" applyBorder="1" applyAlignment="1" applyProtection="1">
      <alignment horizontal="center" vertical="center"/>
      <protection locked="0"/>
    </xf>
    <xf numFmtId="0" fontId="53" fillId="0" borderId="143" xfId="0" applyFont="1" applyBorder="1" applyAlignment="1" applyProtection="1">
      <alignment horizontal="center" vertical="center"/>
      <protection locked="0"/>
    </xf>
    <xf numFmtId="0" fontId="53" fillId="0" borderId="164" xfId="0" applyFont="1" applyBorder="1" applyAlignment="1" applyProtection="1">
      <alignment horizontal="center" vertical="center"/>
      <protection locked="0"/>
    </xf>
    <xf numFmtId="0" fontId="53" fillId="0" borderId="131" xfId="0" applyFont="1" applyBorder="1" applyAlignment="1" applyProtection="1">
      <alignment horizontal="center" vertical="center"/>
      <protection locked="0"/>
    </xf>
    <xf numFmtId="0" fontId="53" fillId="0" borderId="215" xfId="0" applyFont="1" applyBorder="1" applyAlignment="1" applyProtection="1">
      <alignment horizontal="center" vertical="center"/>
      <protection locked="0"/>
    </xf>
    <xf numFmtId="0" fontId="53" fillId="14" borderId="143" xfId="0" applyFont="1" applyFill="1" applyBorder="1" applyAlignment="1">
      <alignment horizontal="left" vertical="center"/>
    </xf>
    <xf numFmtId="0" fontId="53" fillId="14" borderId="164" xfId="0" applyFont="1" applyFill="1" applyBorder="1" applyAlignment="1">
      <alignment horizontal="left" vertical="center"/>
    </xf>
    <xf numFmtId="0" fontId="53" fillId="14" borderId="175" xfId="0" applyFont="1" applyFill="1" applyBorder="1" applyAlignment="1">
      <alignment horizontal="left" vertical="center"/>
    </xf>
    <xf numFmtId="0" fontId="53" fillId="14" borderId="176" xfId="0" applyFont="1" applyFill="1" applyBorder="1" applyAlignment="1">
      <alignment horizontal="left" vertical="center"/>
    </xf>
    <xf numFmtId="0" fontId="53" fillId="22" borderId="140" xfId="0" applyFont="1" applyFill="1" applyBorder="1" applyAlignment="1" applyProtection="1">
      <alignment horizontal="left" vertical="center"/>
      <protection locked="0"/>
    </xf>
    <xf numFmtId="0" fontId="53" fillId="22" borderId="163" xfId="0" applyFont="1" applyFill="1" applyBorder="1" applyAlignment="1" applyProtection="1">
      <alignment horizontal="left" vertical="center"/>
      <protection locked="0"/>
    </xf>
    <xf numFmtId="0" fontId="58" fillId="0" borderId="126" xfId="0" applyFont="1" applyBorder="1" applyAlignment="1">
      <alignment horizontal="center"/>
    </xf>
    <xf numFmtId="0" fontId="58" fillId="0" borderId="129" xfId="0" applyFont="1" applyBorder="1" applyAlignment="1">
      <alignment horizontal="center"/>
    </xf>
    <xf numFmtId="0" fontId="25" fillId="32" borderId="150" xfId="0" applyFont="1" applyFill="1" applyBorder="1" applyAlignment="1">
      <alignment horizontal="center" vertical="center" wrapText="1"/>
    </xf>
    <xf numFmtId="0" fontId="25" fillId="32" borderId="162" xfId="0" applyFont="1" applyFill="1" applyBorder="1" applyAlignment="1">
      <alignment horizontal="center" vertical="center" wrapText="1"/>
    </xf>
    <xf numFmtId="0" fontId="53" fillId="0" borderId="175" xfId="0" applyFont="1" applyBorder="1" applyAlignment="1" applyProtection="1">
      <alignment horizontal="center" vertical="center"/>
      <protection locked="0"/>
    </xf>
    <xf numFmtId="0" fontId="53" fillId="0" borderId="176" xfId="0" applyFont="1" applyBorder="1" applyAlignment="1" applyProtection="1">
      <alignment horizontal="center" vertical="center"/>
      <protection locked="0"/>
    </xf>
    <xf numFmtId="0" fontId="0" fillId="0" borderId="57" xfId="0" applyBorder="1" applyAlignment="1">
      <alignment horizontal="center" vertical="center"/>
    </xf>
    <xf numFmtId="0" fontId="0" fillId="0" borderId="36" xfId="0" applyBorder="1" applyAlignment="1">
      <alignment horizontal="center" vertical="center"/>
    </xf>
    <xf numFmtId="0" fontId="0" fillId="0" borderId="118" xfId="0" applyBorder="1" applyAlignment="1">
      <alignment horizontal="center" vertical="center"/>
    </xf>
    <xf numFmtId="0" fontId="0" fillId="0" borderId="28" xfId="0" applyBorder="1" applyAlignment="1">
      <alignment horizontal="center" vertical="center"/>
    </xf>
    <xf numFmtId="0" fontId="18" fillId="0" borderId="21" xfId="0" applyFont="1" applyBorder="1" applyAlignment="1" applyProtection="1">
      <alignment horizontal="center" vertical="center"/>
      <protection locked="0"/>
    </xf>
    <xf numFmtId="0" fontId="18" fillId="0" borderId="37" xfId="0" applyFont="1" applyBorder="1" applyAlignment="1" applyProtection="1">
      <alignment horizontal="center" vertical="center"/>
      <protection locked="0"/>
    </xf>
    <xf numFmtId="0" fontId="18" fillId="0" borderId="29" xfId="0" applyFont="1" applyBorder="1" applyAlignment="1" applyProtection="1">
      <alignment horizontal="center" vertical="center"/>
      <protection locked="0"/>
    </xf>
    <xf numFmtId="0" fontId="25" fillId="0" borderId="1" xfId="0" applyFont="1" applyBorder="1" applyAlignment="1">
      <alignment horizontal="right" vertical="center"/>
    </xf>
    <xf numFmtId="0" fontId="25" fillId="0" borderId="2" xfId="0" applyFont="1" applyBorder="1" applyAlignment="1">
      <alignment horizontal="center"/>
    </xf>
    <xf numFmtId="0" fontId="25" fillId="0" borderId="3" xfId="0" applyFont="1" applyBorder="1" applyAlignment="1">
      <alignment horizontal="center"/>
    </xf>
    <xf numFmtId="0" fontId="25" fillId="0" borderId="19" xfId="0" applyFont="1" applyBorder="1" applyAlignment="1">
      <alignment horizontal="center"/>
    </xf>
    <xf numFmtId="0" fontId="13" fillId="0" borderId="213" xfId="7" applyFill="1" applyBorder="1" applyAlignment="1" applyProtection="1">
      <alignment horizontal="center" vertical="center"/>
    </xf>
    <xf numFmtId="0" fontId="13" fillId="0" borderId="36" xfId="7" applyFill="1" applyBorder="1" applyAlignment="1" applyProtection="1">
      <alignment horizontal="center" vertical="center"/>
    </xf>
    <xf numFmtId="0" fontId="13" fillId="0" borderId="166" xfId="7" applyFill="1" applyBorder="1" applyAlignment="1" applyProtection="1">
      <alignment horizontal="center" vertical="center"/>
    </xf>
    <xf numFmtId="0" fontId="21" fillId="26" borderId="0" xfId="0" applyFont="1" applyFill="1" applyAlignment="1" applyProtection="1">
      <alignment horizontal="left" vertical="center" indent="1"/>
      <protection locked="0"/>
    </xf>
    <xf numFmtId="0" fontId="2" fillId="3" borderId="213" xfId="0" applyFont="1" applyFill="1" applyBorder="1" applyAlignment="1">
      <alignment horizontal="center" vertical="center" wrapText="1"/>
    </xf>
    <xf numFmtId="0" fontId="2" fillId="3" borderId="197" xfId="0" applyFont="1" applyFill="1" applyBorder="1" applyAlignment="1">
      <alignment horizontal="center" vertical="center" wrapText="1"/>
    </xf>
    <xf numFmtId="0" fontId="2" fillId="7" borderId="209" xfId="0" applyFont="1" applyFill="1" applyBorder="1" applyAlignment="1" applyProtection="1">
      <alignment horizontal="center" vertical="center" wrapText="1"/>
      <protection locked="0"/>
    </xf>
    <xf numFmtId="0" fontId="2" fillId="7" borderId="14" xfId="0" applyFont="1" applyFill="1" applyBorder="1" applyAlignment="1" applyProtection="1">
      <alignment horizontal="center" vertical="center" wrapText="1"/>
      <protection locked="0"/>
    </xf>
    <xf numFmtId="14" fontId="25" fillId="26" borderId="0" xfId="0" applyNumberFormat="1" applyFont="1" applyFill="1" applyAlignment="1">
      <alignment horizontal="left" vertical="center"/>
    </xf>
    <xf numFmtId="0" fontId="25" fillId="21" borderId="21" xfId="0" applyFont="1" applyFill="1" applyBorder="1" applyAlignment="1">
      <alignment horizontal="center" vertical="center"/>
    </xf>
    <xf numFmtId="0" fontId="25" fillId="21" borderId="37" xfId="0" applyFont="1" applyFill="1" applyBorder="1" applyAlignment="1">
      <alignment horizontal="center" vertical="center"/>
    </xf>
    <xf numFmtId="0" fontId="25" fillId="21" borderId="29" xfId="0" applyFont="1" applyFill="1" applyBorder="1" applyAlignment="1">
      <alignment horizontal="center" vertical="center"/>
    </xf>
    <xf numFmtId="0" fontId="25" fillId="14" borderId="21" xfId="0" applyFont="1" applyFill="1" applyBorder="1" applyAlignment="1">
      <alignment horizontal="center" vertical="center"/>
    </xf>
    <xf numFmtId="0" fontId="25" fillId="14" borderId="37" xfId="0" applyFont="1" applyFill="1" applyBorder="1" applyAlignment="1">
      <alignment horizontal="center" vertical="center"/>
    </xf>
    <xf numFmtId="0" fontId="25" fillId="14" borderId="29" xfId="0" applyFont="1" applyFill="1" applyBorder="1" applyAlignment="1">
      <alignment horizontal="center" vertical="center"/>
    </xf>
    <xf numFmtId="0" fontId="18" fillId="0" borderId="55" xfId="0" applyFont="1" applyBorder="1" applyAlignment="1">
      <alignment horizontal="center" vertical="center" wrapText="1"/>
    </xf>
    <xf numFmtId="0" fontId="18" fillId="0" borderId="0" xfId="0" applyFont="1" applyAlignment="1">
      <alignment horizontal="center" vertical="center" wrapText="1"/>
    </xf>
    <xf numFmtId="14" fontId="21" fillId="26" borderId="0" xfId="0" applyNumberFormat="1" applyFont="1" applyFill="1" applyAlignment="1" applyProtection="1">
      <alignment horizontal="left" vertical="center" indent="1"/>
      <protection locked="0"/>
    </xf>
    <xf numFmtId="0" fontId="16" fillId="20" borderId="161" xfId="0" applyFont="1" applyFill="1" applyBorder="1" applyAlignment="1">
      <alignment horizontal="center" vertical="center" wrapText="1"/>
    </xf>
    <xf numFmtId="0" fontId="16" fillId="20" borderId="162" xfId="0" applyFont="1" applyFill="1" applyBorder="1" applyAlignment="1">
      <alignment horizontal="center" vertical="center" wrapText="1"/>
    </xf>
    <xf numFmtId="0" fontId="25" fillId="26" borderId="0" xfId="0" applyFont="1" applyFill="1" applyAlignment="1" applyProtection="1">
      <alignment horizontal="left" vertical="center"/>
      <protection locked="0"/>
    </xf>
    <xf numFmtId="0" fontId="18" fillId="8" borderId="37" xfId="0" applyFont="1" applyFill="1" applyBorder="1" applyAlignment="1">
      <alignment horizontal="center" vertical="center"/>
    </xf>
    <xf numFmtId="0" fontId="18" fillId="8" borderId="29" xfId="0" applyFont="1" applyFill="1" applyBorder="1" applyAlignment="1">
      <alignment horizontal="center" vertical="center"/>
    </xf>
    <xf numFmtId="0" fontId="16" fillId="5" borderId="161" xfId="0" applyFont="1" applyFill="1" applyBorder="1" applyAlignment="1">
      <alignment horizontal="center" vertical="center" wrapText="1"/>
    </xf>
    <xf numFmtId="0" fontId="16" fillId="5" borderId="145" xfId="0" applyFont="1" applyFill="1" applyBorder="1" applyAlignment="1">
      <alignment horizontal="center" vertical="center" wrapText="1"/>
    </xf>
    <xf numFmtId="0" fontId="25" fillId="26" borderId="0" xfId="0" applyFont="1" applyFill="1" applyAlignment="1" applyProtection="1">
      <alignment horizontal="left" vertical="top" wrapText="1"/>
      <protection locked="0"/>
    </xf>
    <xf numFmtId="0" fontId="25" fillId="26" borderId="13" xfId="0" applyFont="1" applyFill="1" applyBorder="1" applyAlignment="1" applyProtection="1">
      <alignment horizontal="left" vertical="top" wrapText="1"/>
      <protection locked="0"/>
    </xf>
    <xf numFmtId="0" fontId="18" fillId="0" borderId="21" xfId="0" applyFont="1" applyBorder="1" applyAlignment="1">
      <alignment horizontal="center" vertical="center"/>
    </xf>
    <xf numFmtId="0" fontId="18" fillId="0" borderId="37" xfId="0" applyFont="1" applyBorder="1" applyAlignment="1">
      <alignment horizontal="center" vertical="center"/>
    </xf>
    <xf numFmtId="0" fontId="18" fillId="0" borderId="29" xfId="0" applyFont="1" applyBorder="1" applyAlignment="1">
      <alignment horizontal="center" vertical="center"/>
    </xf>
    <xf numFmtId="0" fontId="21" fillId="17" borderId="7" xfId="7" applyFont="1" applyFill="1" applyBorder="1" applyAlignment="1" applyProtection="1">
      <alignment horizontal="center" vertical="center" wrapText="1"/>
    </xf>
    <xf numFmtId="0" fontId="21" fillId="17" borderId="9" xfId="7" applyFont="1" applyFill="1" applyBorder="1" applyAlignment="1" applyProtection="1">
      <alignment horizontal="center" vertical="center" wrapText="1"/>
    </xf>
    <xf numFmtId="0" fontId="21" fillId="17" borderId="12" xfId="7" applyFont="1" applyFill="1" applyBorder="1" applyAlignment="1" applyProtection="1">
      <alignment horizontal="center" vertical="center" wrapText="1"/>
    </xf>
    <xf numFmtId="0" fontId="21" fillId="17" borderId="14" xfId="7" applyFont="1" applyFill="1" applyBorder="1" applyAlignment="1" applyProtection="1">
      <alignment horizontal="center" vertical="center" wrapText="1"/>
    </xf>
    <xf numFmtId="0" fontId="25" fillId="21" borderId="54" xfId="0" applyFont="1" applyFill="1" applyBorder="1" applyAlignment="1">
      <alignment horizontal="center" vertical="center"/>
    </xf>
    <xf numFmtId="0" fontId="25" fillId="21" borderId="55" xfId="0" applyFont="1" applyFill="1" applyBorder="1" applyAlignment="1">
      <alignment horizontal="center" vertical="center"/>
    </xf>
    <xf numFmtId="0" fontId="25" fillId="21" borderId="56" xfId="0" applyFont="1" applyFill="1" applyBorder="1" applyAlignment="1">
      <alignment horizontal="center" vertical="center"/>
    </xf>
    <xf numFmtId="0" fontId="18" fillId="0" borderId="8" xfId="0" applyFont="1" applyBorder="1" applyAlignment="1">
      <alignment horizontal="center" vertical="center" wrapText="1"/>
    </xf>
    <xf numFmtId="0" fontId="25" fillId="21" borderId="1" xfId="0" applyFont="1" applyFill="1" applyBorder="1" applyAlignment="1">
      <alignment horizontal="right" vertical="center"/>
    </xf>
    <xf numFmtId="0" fontId="16" fillId="4" borderId="150" xfId="0" applyFont="1" applyFill="1" applyBorder="1" applyAlignment="1">
      <alignment horizontal="center" vertical="center" wrapText="1"/>
    </xf>
    <xf numFmtId="0" fontId="16" fillId="4" borderId="145" xfId="0" applyFont="1" applyFill="1" applyBorder="1" applyAlignment="1">
      <alignment horizontal="center" vertical="center" wrapText="1"/>
    </xf>
    <xf numFmtId="0" fontId="16" fillId="5" borderId="187" xfId="0" applyFont="1" applyFill="1" applyBorder="1" applyAlignment="1">
      <alignment horizontal="center" vertical="center" wrapText="1"/>
    </xf>
    <xf numFmtId="0" fontId="16" fillId="5" borderId="188" xfId="0" applyFont="1" applyFill="1" applyBorder="1" applyAlignment="1">
      <alignment horizontal="center" vertical="center" wrapText="1"/>
    </xf>
    <xf numFmtId="0" fontId="22" fillId="3" borderId="133" xfId="0" applyFont="1" applyFill="1" applyBorder="1" applyAlignment="1">
      <alignment horizontal="center" vertical="center"/>
    </xf>
    <xf numFmtId="0" fontId="22" fillId="3" borderId="56" xfId="0" applyFont="1" applyFill="1" applyBorder="1" applyAlignment="1">
      <alignment horizontal="center" vertical="center"/>
    </xf>
    <xf numFmtId="0" fontId="22" fillId="3" borderId="12" xfId="0" applyFont="1" applyFill="1" applyBorder="1" applyAlignment="1">
      <alignment horizontal="center" vertical="center"/>
    </xf>
    <xf numFmtId="0" fontId="22" fillId="3" borderId="127" xfId="0" applyFont="1" applyFill="1" applyBorder="1" applyAlignment="1">
      <alignment horizontal="center" vertical="center"/>
    </xf>
    <xf numFmtId="0" fontId="25" fillId="5" borderId="49" xfId="0" applyFont="1" applyFill="1" applyBorder="1" applyAlignment="1">
      <alignment horizontal="center" vertical="center" wrapText="1"/>
    </xf>
    <xf numFmtId="0" fontId="25" fillId="5" borderId="51" xfId="0" applyFont="1" applyFill="1" applyBorder="1" applyAlignment="1">
      <alignment horizontal="center" vertical="center" wrapText="1"/>
    </xf>
    <xf numFmtId="0" fontId="61" fillId="7" borderId="212" xfId="0" applyFont="1" applyFill="1" applyBorder="1" applyAlignment="1" applyProtection="1">
      <alignment horizontal="center" vertical="center" wrapText="1"/>
      <protection locked="0"/>
    </xf>
    <xf numFmtId="0" fontId="61" fillId="7" borderId="32" xfId="0" applyFont="1" applyFill="1" applyBorder="1" applyAlignment="1" applyProtection="1">
      <alignment horizontal="center" vertical="center" wrapText="1"/>
      <protection locked="0"/>
    </xf>
    <xf numFmtId="0" fontId="61" fillId="7" borderId="166" xfId="0" applyFont="1" applyFill="1" applyBorder="1" applyAlignment="1" applyProtection="1">
      <alignment horizontal="center" vertical="center" wrapText="1"/>
      <protection locked="0"/>
    </xf>
    <xf numFmtId="0" fontId="61" fillId="7" borderId="152" xfId="0" applyFont="1" applyFill="1" applyBorder="1" applyAlignment="1" applyProtection="1">
      <alignment horizontal="center" vertical="center" wrapText="1"/>
      <protection locked="0"/>
    </xf>
    <xf numFmtId="0" fontId="25" fillId="31" borderId="150" xfId="0" applyFont="1" applyFill="1" applyBorder="1" applyAlignment="1">
      <alignment horizontal="center" vertical="center" wrapText="1"/>
    </xf>
    <xf numFmtId="0" fontId="25" fillId="31" borderId="145" xfId="0" applyFont="1" applyFill="1" applyBorder="1" applyAlignment="1">
      <alignment horizontal="center" vertical="center" wrapText="1"/>
    </xf>
    <xf numFmtId="164" fontId="27" fillId="3" borderId="217" xfId="0" applyNumberFormat="1" applyFont="1" applyFill="1" applyBorder="1" applyAlignment="1">
      <alignment horizontal="center" vertical="center" wrapText="1"/>
    </xf>
    <xf numFmtId="164" fontId="27" fillId="3" borderId="216" xfId="0" applyNumberFormat="1" applyFont="1" applyFill="1" applyBorder="1" applyAlignment="1">
      <alignment horizontal="center" vertical="center" wrapText="1"/>
    </xf>
    <xf numFmtId="164" fontId="27" fillId="3" borderId="51" xfId="0" applyNumberFormat="1" applyFont="1" applyFill="1" applyBorder="1" applyAlignment="1">
      <alignment horizontal="center" vertical="center" wrapText="1"/>
    </xf>
    <xf numFmtId="0" fontId="25" fillId="32" borderId="9" xfId="0" applyFont="1" applyFill="1" applyBorder="1" applyAlignment="1">
      <alignment horizontal="center" vertical="center" wrapText="1"/>
    </xf>
    <xf numFmtId="0" fontId="25" fillId="32" borderId="14" xfId="0" applyFont="1" applyFill="1" applyBorder="1" applyAlignment="1">
      <alignment horizontal="center" vertical="center" wrapText="1"/>
    </xf>
    <xf numFmtId="0" fontId="25" fillId="25" borderId="49" xfId="0" applyFont="1" applyFill="1" applyBorder="1" applyAlignment="1">
      <alignment horizontal="center" vertical="center" wrapText="1"/>
    </xf>
    <xf numFmtId="0" fontId="25" fillId="25" borderId="51" xfId="0" applyFont="1" applyFill="1" applyBorder="1" applyAlignment="1">
      <alignment horizontal="center" vertical="center" wrapText="1"/>
    </xf>
    <xf numFmtId="164" fontId="27" fillId="3" borderId="49" xfId="0" applyNumberFormat="1" applyFont="1" applyFill="1" applyBorder="1" applyAlignment="1">
      <alignment horizontal="center" vertical="center" wrapText="1"/>
    </xf>
    <xf numFmtId="164" fontId="27" fillId="3" borderId="45" xfId="0" applyNumberFormat="1" applyFont="1" applyFill="1" applyBorder="1" applyAlignment="1">
      <alignment horizontal="center" vertical="center" wrapText="1"/>
    </xf>
    <xf numFmtId="164" fontId="28" fillId="19" borderId="9" xfId="0" applyNumberFormat="1" applyFont="1" applyFill="1" applyBorder="1" applyAlignment="1">
      <alignment horizontal="center" vertical="center" wrapText="1"/>
    </xf>
    <xf numFmtId="164" fontId="28" fillId="19" borderId="136" xfId="0" applyNumberFormat="1" applyFont="1" applyFill="1" applyBorder="1" applyAlignment="1">
      <alignment horizontal="center" vertical="center" wrapText="1"/>
    </xf>
    <xf numFmtId="164" fontId="28" fillId="19" borderId="218" xfId="0" applyNumberFormat="1" applyFont="1" applyFill="1" applyBorder="1" applyAlignment="1">
      <alignment horizontal="center" vertical="center" wrapText="1"/>
    </xf>
    <xf numFmtId="164" fontId="28" fillId="19" borderId="135" xfId="0" applyNumberFormat="1" applyFont="1" applyFill="1" applyBorder="1" applyAlignment="1">
      <alignment horizontal="center" vertical="center" wrapText="1"/>
    </xf>
    <xf numFmtId="164" fontId="28" fillId="19" borderId="18" xfId="0" applyNumberFormat="1" applyFont="1" applyFill="1" applyBorder="1" applyAlignment="1">
      <alignment horizontal="center" vertical="center" wrapText="1"/>
    </xf>
    <xf numFmtId="0" fontId="13" fillId="0" borderId="10" xfId="7" applyBorder="1" applyAlignment="1" applyProtection="1">
      <alignment horizontal="center" vertical="top"/>
    </xf>
    <xf numFmtId="0" fontId="13" fillId="0" borderId="11" xfId="7" applyBorder="1" applyAlignment="1" applyProtection="1">
      <alignment horizontal="center" vertical="top"/>
    </xf>
    <xf numFmtId="0" fontId="13" fillId="0" borderId="133" xfId="7" applyBorder="1" applyAlignment="1" applyProtection="1">
      <alignment horizontal="center" vertical="top"/>
    </xf>
    <xf numFmtId="0" fontId="13" fillId="0" borderId="209" xfId="7" applyBorder="1" applyAlignment="1" applyProtection="1">
      <alignment horizontal="center" vertical="top"/>
    </xf>
    <xf numFmtId="0" fontId="13" fillId="0" borderId="121" xfId="7" applyBorder="1" applyAlignment="1" applyProtection="1">
      <alignment horizontal="center" vertical="top"/>
    </xf>
    <xf numFmtId="0" fontId="13" fillId="0" borderId="139" xfId="7" applyBorder="1" applyAlignment="1" applyProtection="1">
      <alignment horizontal="center" vertical="top"/>
    </xf>
    <xf numFmtId="0" fontId="34" fillId="0" borderId="7" xfId="0" applyFont="1" applyBorder="1" applyAlignment="1">
      <alignment horizontal="center" vertical="center"/>
    </xf>
    <xf numFmtId="0" fontId="34" fillId="0" borderId="9" xfId="0" applyFont="1" applyBorder="1" applyAlignment="1">
      <alignment horizontal="center" vertical="center"/>
    </xf>
    <xf numFmtId="0" fontId="34" fillId="0" borderId="12" xfId="0" applyFont="1" applyBorder="1" applyAlignment="1">
      <alignment horizontal="center" vertical="center"/>
    </xf>
    <xf numFmtId="0" fontId="34" fillId="0" borderId="14" xfId="0" applyFont="1" applyBorder="1" applyAlignment="1">
      <alignment horizontal="center" vertical="center"/>
    </xf>
    <xf numFmtId="0" fontId="25" fillId="5" borderId="9" xfId="0" applyFont="1" applyFill="1" applyBorder="1" applyAlignment="1">
      <alignment horizontal="center" vertical="center" wrapText="1"/>
    </xf>
    <xf numFmtId="0" fontId="25" fillId="5" borderId="14" xfId="0" applyFont="1" applyFill="1" applyBorder="1" applyAlignment="1">
      <alignment horizontal="center" vertical="center" wrapText="1"/>
    </xf>
    <xf numFmtId="0" fontId="25" fillId="26" borderId="0" xfId="0" applyFont="1" applyFill="1" applyAlignment="1" applyProtection="1">
      <alignment horizontal="right" vertical="top" wrapText="1" indent="1"/>
      <protection locked="0"/>
    </xf>
    <xf numFmtId="0" fontId="25" fillId="26" borderId="0" xfId="0" applyFont="1" applyFill="1" applyAlignment="1" applyProtection="1">
      <alignment horizontal="right" vertical="top" indent="1"/>
      <protection locked="0"/>
    </xf>
    <xf numFmtId="0" fontId="25" fillId="26" borderId="13" xfId="0" applyFont="1" applyFill="1" applyBorder="1" applyAlignment="1" applyProtection="1">
      <alignment horizontal="right" vertical="top" indent="1"/>
      <protection locked="0"/>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47" fillId="7" borderId="121" xfId="0" applyFont="1" applyFill="1" applyBorder="1" applyAlignment="1" applyProtection="1">
      <alignment horizontal="center" vertical="center"/>
      <protection locked="0"/>
    </xf>
    <xf numFmtId="0" fontId="47" fillId="7" borderId="139" xfId="0" applyFont="1" applyFill="1" applyBorder="1" applyAlignment="1" applyProtection="1">
      <alignment horizontal="center" vertical="center"/>
      <protection locked="0"/>
    </xf>
    <xf numFmtId="0" fontId="35" fillId="12" borderId="84" xfId="0" applyFont="1" applyFill="1" applyBorder="1" applyAlignment="1">
      <alignment horizontal="left" vertical="top" wrapText="1" indent="1"/>
    </xf>
    <xf numFmtId="0" fontId="36" fillId="12" borderId="66" xfId="0" applyFont="1" applyFill="1" applyBorder="1" applyAlignment="1">
      <alignment horizontal="left" vertical="top" wrapText="1" indent="1"/>
    </xf>
    <xf numFmtId="0" fontId="36" fillId="12" borderId="85" xfId="0" applyFont="1" applyFill="1" applyBorder="1" applyAlignment="1">
      <alignment horizontal="left" vertical="top" wrapText="1" indent="1"/>
    </xf>
    <xf numFmtId="0" fontId="35" fillId="12" borderId="81" xfId="0" applyFont="1" applyFill="1" applyBorder="1" applyAlignment="1">
      <alignment horizontal="left" wrapText="1" indent="1"/>
    </xf>
    <xf numFmtId="0" fontId="36" fillId="12" borderId="82" xfId="0" applyFont="1" applyFill="1" applyBorder="1" applyAlignment="1">
      <alignment horizontal="left" wrapText="1" indent="1"/>
    </xf>
    <xf numFmtId="0" fontId="36" fillId="12" borderId="83" xfId="0" applyFont="1" applyFill="1" applyBorder="1" applyAlignment="1">
      <alignment horizontal="left" wrapText="1" indent="1"/>
    </xf>
    <xf numFmtId="0" fontId="37" fillId="12" borderId="72" xfId="0" applyFont="1" applyFill="1" applyBorder="1" applyAlignment="1">
      <alignment horizontal="left" vertical="center" wrapText="1" indent="1"/>
    </xf>
    <xf numFmtId="0" fontId="37" fillId="12" borderId="0" xfId="0" applyFont="1" applyFill="1" applyAlignment="1">
      <alignment horizontal="left" vertical="center" wrapText="1" indent="1"/>
    </xf>
    <xf numFmtId="0" fontId="37" fillId="12" borderId="114" xfId="0" applyFont="1" applyFill="1" applyBorder="1" applyAlignment="1">
      <alignment horizontal="left" vertical="center" wrapText="1" indent="1"/>
    </xf>
    <xf numFmtId="0" fontId="35" fillId="12" borderId="72" xfId="0" applyFont="1" applyFill="1" applyBorder="1" applyAlignment="1">
      <alignment horizontal="left" vertical="center" wrapText="1" indent="1"/>
    </xf>
    <xf numFmtId="0" fontId="36" fillId="12" borderId="0" xfId="0" applyFont="1" applyFill="1" applyAlignment="1">
      <alignment horizontal="left" vertical="center" wrapText="1" indent="1"/>
    </xf>
    <xf numFmtId="0" fontId="36" fillId="12" borderId="114" xfId="0" applyFont="1" applyFill="1" applyBorder="1" applyAlignment="1">
      <alignment horizontal="left" vertical="center" wrapText="1" indent="1"/>
    </xf>
    <xf numFmtId="0" fontId="69" fillId="0" borderId="7" xfId="7" applyFont="1" applyBorder="1" applyAlignment="1" applyProtection="1">
      <alignment horizontal="center" vertical="center" wrapText="1"/>
    </xf>
    <xf numFmtId="0" fontId="69" fillId="0" borderId="8" xfId="7" applyFont="1" applyBorder="1" applyAlignment="1" applyProtection="1">
      <alignment horizontal="center" vertical="center" wrapText="1"/>
    </xf>
    <xf numFmtId="0" fontId="69" fillId="0" borderId="9" xfId="7" applyFont="1" applyBorder="1" applyAlignment="1" applyProtection="1">
      <alignment horizontal="center" vertical="center" wrapText="1"/>
    </xf>
    <xf numFmtId="0" fontId="69" fillId="0" borderId="10" xfId="7" applyFont="1" applyBorder="1" applyAlignment="1" applyProtection="1">
      <alignment horizontal="center" vertical="center" wrapText="1"/>
    </xf>
    <xf numFmtId="0" fontId="69" fillId="0" borderId="0" xfId="7" applyFont="1" applyBorder="1" applyAlignment="1" applyProtection="1">
      <alignment horizontal="center" vertical="center" wrapText="1"/>
    </xf>
    <xf numFmtId="0" fontId="69" fillId="0" borderId="11" xfId="7" applyFont="1" applyBorder="1" applyAlignment="1" applyProtection="1">
      <alignment horizontal="center" vertical="center" wrapText="1"/>
    </xf>
    <xf numFmtId="0" fontId="69" fillId="0" borderId="12" xfId="7" applyFont="1" applyBorder="1" applyAlignment="1" applyProtection="1">
      <alignment horizontal="center" vertical="center" wrapText="1"/>
    </xf>
    <xf numFmtId="0" fontId="69" fillId="0" borderId="13" xfId="7" applyFont="1" applyBorder="1" applyAlignment="1" applyProtection="1">
      <alignment horizontal="center" vertical="center" wrapText="1"/>
    </xf>
    <xf numFmtId="0" fontId="69" fillId="0" borderId="14" xfId="7" applyFont="1" applyBorder="1" applyAlignment="1" applyProtection="1">
      <alignment horizontal="center" vertical="center" wrapText="1"/>
    </xf>
    <xf numFmtId="0" fontId="64" fillId="0" borderId="7" xfId="7" applyFont="1" applyBorder="1" applyAlignment="1" applyProtection="1">
      <alignment horizontal="left" vertical="top" wrapText="1"/>
    </xf>
    <xf numFmtId="0" fontId="64" fillId="0" borderId="8" xfId="7" applyFont="1" applyBorder="1" applyAlignment="1" applyProtection="1">
      <alignment horizontal="left" vertical="top" wrapText="1"/>
    </xf>
    <xf numFmtId="0" fontId="64" fillId="0" borderId="9" xfId="7" applyFont="1" applyBorder="1" applyAlignment="1" applyProtection="1">
      <alignment horizontal="left" vertical="top" wrapText="1"/>
    </xf>
    <xf numFmtId="0" fontId="64" fillId="0" borderId="10" xfId="7" applyFont="1" applyBorder="1" applyAlignment="1" applyProtection="1">
      <alignment horizontal="left" vertical="top" wrapText="1"/>
    </xf>
    <xf numFmtId="0" fontId="64" fillId="0" borderId="0" xfId="7" applyFont="1" applyBorder="1" applyAlignment="1" applyProtection="1">
      <alignment horizontal="left" vertical="top" wrapText="1"/>
    </xf>
    <xf numFmtId="0" fontId="64" fillId="0" borderId="11" xfId="7" applyFont="1" applyBorder="1" applyAlignment="1" applyProtection="1">
      <alignment horizontal="left" vertical="top" wrapText="1"/>
    </xf>
    <xf numFmtId="0" fontId="64" fillId="0" borderId="12" xfId="7" applyFont="1" applyBorder="1" applyAlignment="1" applyProtection="1">
      <alignment horizontal="left" vertical="top" wrapText="1"/>
    </xf>
    <xf numFmtId="0" fontId="64" fillId="0" borderId="13" xfId="7" applyFont="1" applyBorder="1" applyAlignment="1" applyProtection="1">
      <alignment horizontal="left" vertical="top" wrapText="1"/>
    </xf>
    <xf numFmtId="0" fontId="64" fillId="0" borderId="14" xfId="7" applyFont="1" applyBorder="1" applyAlignment="1" applyProtection="1">
      <alignment horizontal="left" vertical="top" wrapText="1"/>
    </xf>
    <xf numFmtId="0" fontId="64" fillId="12" borderId="8" xfId="7" applyFont="1" applyFill="1" applyBorder="1" applyAlignment="1" applyProtection="1">
      <alignment horizontal="center" vertical="top" wrapText="1"/>
    </xf>
    <xf numFmtId="0" fontId="64" fillId="12" borderId="0" xfId="7" applyFont="1" applyFill="1" applyBorder="1" applyAlignment="1" applyProtection="1">
      <alignment horizontal="center" vertical="top" wrapText="1"/>
    </xf>
    <xf numFmtId="0" fontId="0" fillId="0" borderId="196" xfId="0" applyBorder="1" applyAlignment="1">
      <alignment horizontal="center" vertical="center" textRotation="90"/>
    </xf>
    <xf numFmtId="0" fontId="0" fillId="0" borderId="195" xfId="0" applyBorder="1" applyAlignment="1">
      <alignment horizontal="center" vertical="center" textRotation="90"/>
    </xf>
    <xf numFmtId="0" fontId="0" fillId="0" borderId="137" xfId="0" applyBorder="1" applyAlignment="1">
      <alignment horizontal="center" vertical="center" textRotation="90"/>
    </xf>
    <xf numFmtId="0" fontId="22" fillId="0" borderId="15" xfId="0" applyFont="1" applyBorder="1" applyAlignment="1">
      <alignment horizontal="center" vertical="center" textRotation="90"/>
    </xf>
    <xf numFmtId="0" fontId="22" fillId="0" borderId="16" xfId="0" applyFont="1" applyBorder="1" applyAlignment="1">
      <alignment horizontal="center" vertical="center" textRotation="90"/>
    </xf>
    <xf numFmtId="0" fontId="22" fillId="0" borderId="18" xfId="0" applyFont="1" applyBorder="1" applyAlignment="1">
      <alignment horizontal="center" vertical="center" textRotation="90"/>
    </xf>
    <xf numFmtId="0" fontId="0" fillId="0" borderId="54" xfId="0" applyBorder="1" applyAlignment="1">
      <alignment horizontal="center"/>
    </xf>
    <xf numFmtId="0" fontId="0" fillId="0" borderId="56" xfId="0" applyBorder="1" applyAlignment="1">
      <alignment horizontal="center"/>
    </xf>
    <xf numFmtId="0" fontId="0" fillId="0" borderId="21" xfId="0" applyBorder="1" applyAlignment="1">
      <alignment horizontal="center"/>
    </xf>
    <xf numFmtId="0" fontId="0" fillId="0" borderId="37" xfId="0" applyBorder="1" applyAlignment="1">
      <alignment horizontal="center"/>
    </xf>
    <xf numFmtId="0" fontId="0" fillId="0" borderId="29" xfId="0" applyBorder="1" applyAlignment="1">
      <alignment horizontal="center"/>
    </xf>
    <xf numFmtId="0" fontId="0" fillId="0" borderId="0" xfId="0" applyAlignment="1">
      <alignment horizontal="center" vertical="center" wrapText="1"/>
    </xf>
    <xf numFmtId="0" fontId="0" fillId="0" borderId="15" xfId="0" applyBorder="1" applyAlignment="1">
      <alignment horizontal="center" vertical="center" textRotation="90"/>
    </xf>
    <xf numFmtId="0" fontId="0" fillId="0" borderId="16" xfId="0" applyBorder="1" applyAlignment="1">
      <alignment horizontal="center" vertical="center" textRotation="90"/>
    </xf>
    <xf numFmtId="0" fontId="0" fillId="0" borderId="18" xfId="0" applyBorder="1" applyAlignment="1">
      <alignment horizontal="center" vertical="center" textRotation="90"/>
    </xf>
    <xf numFmtId="0" fontId="13" fillId="13" borderId="0" xfId="7" applyFill="1" applyBorder="1" applyAlignment="1" applyProtection="1">
      <alignment horizontal="left"/>
      <protection locked="0"/>
    </xf>
    <xf numFmtId="0" fontId="68" fillId="23" borderId="23" xfId="0" applyFont="1" applyFill="1" applyBorder="1" applyAlignment="1">
      <alignment horizontal="center" vertical="center" wrapText="1"/>
    </xf>
    <xf numFmtId="0" fontId="68" fillId="23" borderId="24" xfId="0" applyFont="1" applyFill="1" applyBorder="1" applyAlignment="1">
      <alignment horizontal="center" vertical="center" wrapText="1"/>
    </xf>
    <xf numFmtId="0" fontId="68" fillId="23" borderId="25" xfId="0" applyFont="1" applyFill="1" applyBorder="1" applyAlignment="1">
      <alignment horizontal="center" vertical="center" wrapText="1"/>
    </xf>
    <xf numFmtId="0" fontId="67" fillId="20" borderId="0" xfId="7" applyFont="1" applyFill="1" applyAlignment="1" applyProtection="1">
      <alignment horizontal="center"/>
    </xf>
    <xf numFmtId="0" fontId="0" fillId="13" borderId="7" xfId="0" applyFill="1" applyBorder="1" applyAlignment="1" applyProtection="1">
      <alignment horizontal="center"/>
      <protection locked="0"/>
    </xf>
    <xf numFmtId="0" fontId="0" fillId="13" borderId="8" xfId="0" applyFill="1" applyBorder="1" applyAlignment="1" applyProtection="1">
      <alignment horizontal="center"/>
      <protection locked="0"/>
    </xf>
    <xf numFmtId="0" fontId="0" fillId="13" borderId="9" xfId="0" applyFill="1" applyBorder="1" applyAlignment="1" applyProtection="1">
      <alignment horizontal="center"/>
      <protection locked="0"/>
    </xf>
    <xf numFmtId="0" fontId="0" fillId="13" borderId="10" xfId="0" applyFill="1" applyBorder="1" applyAlignment="1" applyProtection="1">
      <alignment horizontal="center"/>
      <protection locked="0"/>
    </xf>
    <xf numFmtId="0" fontId="0" fillId="13" borderId="0" xfId="0" applyFill="1" applyAlignment="1" applyProtection="1">
      <alignment horizontal="center"/>
      <protection locked="0"/>
    </xf>
    <xf numFmtId="0" fontId="0" fillId="13" borderId="11" xfId="0" applyFill="1" applyBorder="1" applyAlignment="1" applyProtection="1">
      <alignment horizontal="center"/>
      <protection locked="0"/>
    </xf>
    <xf numFmtId="0" fontId="0" fillId="13" borderId="12" xfId="0" applyFill="1" applyBorder="1" applyAlignment="1" applyProtection="1">
      <alignment horizontal="center"/>
      <protection locked="0"/>
    </xf>
    <xf numFmtId="0" fontId="0" fillId="13" borderId="13" xfId="0" applyFill="1" applyBorder="1" applyAlignment="1" applyProtection="1">
      <alignment horizontal="center"/>
      <protection locked="0"/>
    </xf>
    <xf numFmtId="0" fontId="0" fillId="13" borderId="14" xfId="0" applyFill="1" applyBorder="1" applyAlignment="1" applyProtection="1">
      <alignment horizontal="center"/>
      <protection locked="0"/>
    </xf>
    <xf numFmtId="0" fontId="27" fillId="13" borderId="0" xfId="0" applyFont="1" applyFill="1" applyAlignment="1" applyProtection="1">
      <alignment horizontal="left"/>
      <protection locked="0"/>
    </xf>
    <xf numFmtId="0" fontId="83" fillId="13" borderId="0" xfId="7" applyFont="1" applyFill="1" applyBorder="1" applyAlignment="1" applyProtection="1">
      <alignment horizontal="left"/>
      <protection locked="0"/>
    </xf>
    <xf numFmtId="0" fontId="27" fillId="13" borderId="0" xfId="0" applyFont="1" applyFill="1" applyAlignment="1" applyProtection="1">
      <alignment horizontal="left" wrapText="1"/>
      <protection locked="0"/>
    </xf>
    <xf numFmtId="0" fontId="56" fillId="16" borderId="7" xfId="7" applyFont="1" applyFill="1" applyBorder="1" applyAlignment="1" applyProtection="1">
      <alignment horizontal="center" vertical="center"/>
    </xf>
    <xf numFmtId="0" fontId="56" fillId="16" borderId="8" xfId="7" applyFont="1" applyFill="1" applyBorder="1" applyAlignment="1" applyProtection="1">
      <alignment horizontal="center" vertical="center"/>
    </xf>
    <xf numFmtId="0" fontId="56" fillId="16" borderId="9" xfId="7" applyFont="1" applyFill="1" applyBorder="1" applyAlignment="1" applyProtection="1">
      <alignment horizontal="center" vertical="center"/>
    </xf>
    <xf numFmtId="0" fontId="56" fillId="16" borderId="12" xfId="7" applyFont="1" applyFill="1" applyBorder="1" applyAlignment="1" applyProtection="1">
      <alignment horizontal="center" vertical="center"/>
    </xf>
    <xf numFmtId="0" fontId="56" fillId="16" borderId="13" xfId="7" applyFont="1" applyFill="1" applyBorder="1" applyAlignment="1" applyProtection="1">
      <alignment horizontal="center" vertical="center"/>
    </xf>
    <xf numFmtId="0" fontId="56" fillId="16" borderId="14" xfId="7" applyFont="1" applyFill="1" applyBorder="1" applyAlignment="1" applyProtection="1">
      <alignment horizontal="center" vertical="center"/>
    </xf>
    <xf numFmtId="0" fontId="0" fillId="0" borderId="0" xfId="0" applyAlignment="1">
      <alignment horizontal="left" vertical="top" wrapText="1"/>
    </xf>
    <xf numFmtId="0" fontId="73" fillId="0" borderId="7" xfId="0" applyFont="1" applyBorder="1" applyAlignment="1">
      <alignment horizontal="left" vertical="center" indent="1"/>
    </xf>
    <xf numFmtId="0" fontId="73" fillId="0" borderId="8" xfId="0" applyFont="1" applyBorder="1" applyAlignment="1">
      <alignment horizontal="left" vertical="center" indent="1"/>
    </xf>
    <xf numFmtId="0" fontId="73" fillId="0" borderId="9" xfId="0" applyFont="1" applyBorder="1" applyAlignment="1">
      <alignment horizontal="left" vertical="center" indent="1"/>
    </xf>
    <xf numFmtId="0" fontId="73" fillId="0" borderId="12" xfId="0" applyFont="1" applyBorder="1" applyAlignment="1">
      <alignment horizontal="left" vertical="center" indent="1"/>
    </xf>
    <xf numFmtId="0" fontId="73" fillId="0" borderId="13" xfId="0" applyFont="1" applyBorder="1" applyAlignment="1">
      <alignment horizontal="left" vertical="center" indent="1"/>
    </xf>
    <xf numFmtId="0" fontId="73" fillId="0" borderId="14" xfId="0" applyFont="1" applyBorder="1" applyAlignment="1">
      <alignment horizontal="left" vertical="center" indent="1"/>
    </xf>
    <xf numFmtId="0" fontId="0" fillId="0" borderId="8" xfId="0" applyBorder="1" applyAlignment="1">
      <alignment horizontal="center" vertical="center" wrapText="1"/>
    </xf>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18" fillId="0" borderId="54" xfId="0" applyFont="1" applyBorder="1" applyAlignment="1">
      <alignment horizontal="left" vertical="top" wrapText="1"/>
    </xf>
    <xf numFmtId="0" fontId="18" fillId="0" borderId="55" xfId="0" applyFont="1" applyBorder="1" applyAlignment="1">
      <alignment horizontal="left" vertical="top" wrapText="1"/>
    </xf>
    <xf numFmtId="0" fontId="18" fillId="0" borderId="56" xfId="0" applyFont="1" applyBorder="1" applyAlignment="1">
      <alignment horizontal="left" vertical="top" wrapText="1"/>
    </xf>
    <xf numFmtId="0" fontId="18" fillId="0" borderId="53" xfId="0" applyFont="1" applyBorder="1" applyAlignment="1">
      <alignment horizontal="left" vertical="top" wrapText="1"/>
    </xf>
    <xf numFmtId="0" fontId="18" fillId="0" borderId="0" xfId="0" applyFont="1" applyAlignment="1">
      <alignment horizontal="left" vertical="top" wrapText="1"/>
    </xf>
    <xf numFmtId="0" fontId="18" fillId="0" borderId="57" xfId="0" applyFont="1" applyBorder="1" applyAlignment="1">
      <alignment horizontal="left" vertical="top" wrapText="1"/>
    </xf>
    <xf numFmtId="0" fontId="18" fillId="0" borderId="58" xfId="0" applyFont="1" applyBorder="1" applyAlignment="1">
      <alignment horizontal="left" vertical="top" wrapText="1"/>
    </xf>
    <xf numFmtId="0" fontId="18" fillId="0" borderId="59" xfId="0" applyFont="1" applyBorder="1" applyAlignment="1">
      <alignment horizontal="left" vertical="top" wrapText="1"/>
    </xf>
    <xf numFmtId="0" fontId="18" fillId="0" borderId="60" xfId="0" applyFont="1" applyBorder="1" applyAlignment="1">
      <alignment horizontal="left" vertical="top" wrapText="1"/>
    </xf>
    <xf numFmtId="0" fontId="27" fillId="0" borderId="81" xfId="0" applyFont="1" applyBorder="1" applyAlignment="1">
      <alignment horizontal="center" vertical="center"/>
    </xf>
    <xf numFmtId="0" fontId="27" fillId="0" borderId="82" xfId="0" applyFont="1" applyBorder="1" applyAlignment="1">
      <alignment horizontal="center" vertical="center"/>
    </xf>
    <xf numFmtId="0" fontId="27" fillId="0" borderId="83" xfId="0" applyFont="1" applyBorder="1" applyAlignment="1">
      <alignment horizontal="center" vertical="center"/>
    </xf>
    <xf numFmtId="0" fontId="27" fillId="0" borderId="84" xfId="0" applyFont="1" applyBorder="1" applyAlignment="1">
      <alignment horizontal="center" vertical="center"/>
    </xf>
    <xf numFmtId="0" fontId="27" fillId="0" borderId="66" xfId="0" applyFont="1" applyBorder="1" applyAlignment="1">
      <alignment horizontal="center" vertical="center"/>
    </xf>
    <xf numFmtId="0" fontId="27" fillId="0" borderId="85" xfId="0" applyFont="1" applyBorder="1" applyAlignment="1">
      <alignment horizontal="center" vertical="center"/>
    </xf>
    <xf numFmtId="0" fontId="81" fillId="36" borderId="0" xfId="0" applyFont="1" applyFill="1" applyAlignment="1">
      <alignment horizontal="left" vertical="center" wrapText="1"/>
    </xf>
    <xf numFmtId="0" fontId="8" fillId="36" borderId="0" xfId="0" applyFont="1" applyFill="1" applyAlignment="1">
      <alignment horizontal="center" vertical="center" wrapText="1"/>
    </xf>
    <xf numFmtId="0" fontId="73" fillId="0" borderId="61" xfId="0" applyFont="1" applyBorder="1" applyAlignment="1">
      <alignment horizontal="center" vertical="center" wrapText="1"/>
    </xf>
    <xf numFmtId="0" fontId="73" fillId="0" borderId="179" xfId="0" applyFont="1" applyBorder="1" applyAlignment="1">
      <alignment horizontal="center" vertical="center" wrapText="1"/>
    </xf>
    <xf numFmtId="0" fontId="73" fillId="0" borderId="197" xfId="0" applyFont="1" applyBorder="1" applyAlignment="1">
      <alignment horizontal="center" vertical="center" wrapText="1"/>
    </xf>
    <xf numFmtId="0" fontId="73" fillId="0" borderId="63" xfId="0" applyFont="1" applyBorder="1" applyAlignment="1">
      <alignment horizontal="center" vertical="center" wrapText="1"/>
    </xf>
    <xf numFmtId="0" fontId="73" fillId="0" borderId="118" xfId="0" applyFont="1" applyBorder="1" applyAlignment="1">
      <alignment horizontal="center" vertical="center" wrapText="1"/>
    </xf>
    <xf numFmtId="0" fontId="73" fillId="0" borderId="125" xfId="0" applyFont="1" applyBorder="1" applyAlignment="1">
      <alignment horizontal="center" vertical="center" wrapText="1"/>
    </xf>
    <xf numFmtId="0" fontId="73" fillId="0" borderId="212" xfId="0" applyFont="1" applyBorder="1" applyAlignment="1">
      <alignment horizontal="center" vertical="center" wrapText="1"/>
    </xf>
    <xf numFmtId="0" fontId="73" fillId="0" borderId="151" xfId="0" applyFont="1" applyBorder="1" applyAlignment="1">
      <alignment horizontal="center" vertical="center" wrapText="1"/>
    </xf>
    <xf numFmtId="0" fontId="73" fillId="0" borderId="152" xfId="0" applyFont="1" applyBorder="1" applyAlignment="1">
      <alignment horizontal="center" vertical="center" wrapText="1"/>
    </xf>
    <xf numFmtId="0" fontId="84" fillId="19" borderId="213" xfId="0" applyFont="1" applyFill="1" applyBorder="1" applyAlignment="1">
      <alignment horizontal="center" vertical="center"/>
    </xf>
    <xf numFmtId="0" fontId="84" fillId="19" borderId="197" xfId="0" applyFont="1" applyFill="1" applyBorder="1" applyAlignment="1">
      <alignment horizontal="center" vertical="center"/>
    </xf>
    <xf numFmtId="0" fontId="84" fillId="19" borderId="11" xfId="0" applyFont="1" applyFill="1" applyBorder="1" applyAlignment="1">
      <alignment horizontal="center" vertical="center"/>
    </xf>
    <xf numFmtId="0" fontId="84" fillId="19" borderId="14" xfId="0" applyFont="1" applyFill="1" applyBorder="1" applyAlignment="1">
      <alignment horizontal="center" vertical="center"/>
    </xf>
    <xf numFmtId="0" fontId="73" fillId="0" borderId="64" xfId="0" applyFont="1" applyBorder="1" applyAlignment="1">
      <alignment horizontal="center" vertical="center"/>
    </xf>
    <xf numFmtId="0" fontId="73" fillId="0" borderId="170" xfId="0" applyFont="1" applyBorder="1" applyAlignment="1">
      <alignment horizontal="center" vertical="center"/>
    </xf>
    <xf numFmtId="0" fontId="0" fillId="0" borderId="15" xfId="0" applyBorder="1" applyAlignment="1">
      <alignment horizontal="center" wrapText="1"/>
    </xf>
    <xf numFmtId="0" fontId="0" fillId="0" borderId="18" xfId="0" applyBorder="1" applyAlignment="1">
      <alignment horizontal="center" wrapText="1"/>
    </xf>
    <xf numFmtId="0" fontId="0" fillId="0" borderId="10" xfId="0" applyBorder="1" applyAlignment="1">
      <alignment horizontal="center" vertical="center"/>
    </xf>
    <xf numFmtId="0" fontId="0" fillId="0" borderId="0" xfId="0" applyAlignment="1">
      <alignment horizontal="center" vertical="center"/>
    </xf>
    <xf numFmtId="0" fontId="0" fillId="0" borderId="63" xfId="0" applyBorder="1" applyAlignment="1">
      <alignment horizontal="center" vertical="center"/>
    </xf>
    <xf numFmtId="0" fontId="0" fillId="0" borderId="125" xfId="0" applyBorder="1" applyAlignment="1">
      <alignment horizontal="center" vertical="center"/>
    </xf>
    <xf numFmtId="0" fontId="0" fillId="0" borderId="8" xfId="0" applyBorder="1" applyAlignment="1">
      <alignment horizontal="center" vertical="center"/>
    </xf>
    <xf numFmtId="0" fontId="0" fillId="0" borderId="13" xfId="0" applyBorder="1" applyAlignment="1">
      <alignment horizontal="center" vertical="center"/>
    </xf>
    <xf numFmtId="0" fontId="0" fillId="0" borderId="212" xfId="0" applyBorder="1" applyAlignment="1">
      <alignment horizontal="center" vertical="center"/>
    </xf>
    <xf numFmtId="0" fontId="0" fillId="0" borderId="152" xfId="0" applyBorder="1" applyAlignment="1">
      <alignment horizontal="center" vertical="center"/>
    </xf>
    <xf numFmtId="0" fontId="0" fillId="0" borderId="62" xfId="0" applyBorder="1" applyAlignment="1">
      <alignment horizontal="center" vertical="center"/>
    </xf>
    <xf numFmtId="0" fontId="0" fillId="0" borderId="128" xfId="0" applyBorder="1" applyAlignment="1">
      <alignment horizontal="center" vertical="center"/>
    </xf>
    <xf numFmtId="0" fontId="0" fillId="0" borderId="7" xfId="0" applyBorder="1" applyAlignment="1">
      <alignment horizontal="center" vertical="center"/>
    </xf>
    <xf numFmtId="0" fontId="0" fillId="0" borderId="202" xfId="0" applyBorder="1" applyAlignment="1">
      <alignment horizontal="center" vertical="center"/>
    </xf>
    <xf numFmtId="0" fontId="0" fillId="0" borderId="12" xfId="0" applyBorder="1" applyAlignment="1">
      <alignment horizontal="center" vertical="center"/>
    </xf>
    <xf numFmtId="0" fontId="0" fillId="0" borderId="127" xfId="0" applyBorder="1" applyAlignment="1">
      <alignment horizontal="center" vertical="center"/>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79" fillId="34" borderId="7" xfId="0" applyFont="1" applyFill="1" applyBorder="1" applyAlignment="1">
      <alignment horizontal="center" vertical="center" wrapText="1"/>
    </xf>
    <xf numFmtId="0" fontId="79" fillId="34" borderId="8" xfId="0" applyFont="1" applyFill="1" applyBorder="1" applyAlignment="1">
      <alignment horizontal="center" vertical="center" wrapText="1"/>
    </xf>
    <xf numFmtId="0" fontId="79" fillId="34" borderId="9" xfId="0" applyFont="1" applyFill="1" applyBorder="1" applyAlignment="1">
      <alignment horizontal="center" vertical="center" wrapText="1"/>
    </xf>
    <xf numFmtId="0" fontId="79" fillId="34" borderId="10" xfId="0" applyFont="1" applyFill="1" applyBorder="1" applyAlignment="1">
      <alignment horizontal="center" vertical="center" wrapText="1"/>
    </xf>
    <xf numFmtId="0" fontId="79" fillId="34" borderId="0" xfId="0" applyFont="1" applyFill="1" applyAlignment="1">
      <alignment horizontal="center" vertical="center" wrapText="1"/>
    </xf>
    <xf numFmtId="0" fontId="79" fillId="34" borderId="11" xfId="0" applyFont="1" applyFill="1" applyBorder="1" applyAlignment="1">
      <alignment horizontal="center" vertical="center" wrapText="1"/>
    </xf>
    <xf numFmtId="0" fontId="79" fillId="34" borderId="12" xfId="0" applyFont="1" applyFill="1" applyBorder="1" applyAlignment="1">
      <alignment horizontal="center" vertical="center" wrapText="1"/>
    </xf>
    <xf numFmtId="0" fontId="79" fillId="34" borderId="13" xfId="0" applyFont="1" applyFill="1" applyBorder="1" applyAlignment="1">
      <alignment horizontal="center" vertical="center" wrapText="1"/>
    </xf>
    <xf numFmtId="0" fontId="79" fillId="34" borderId="14" xfId="0" applyFont="1" applyFill="1" applyBorder="1" applyAlignment="1">
      <alignment horizontal="center" vertical="center" wrapText="1"/>
    </xf>
    <xf numFmtId="0" fontId="73" fillId="0" borderId="15" xfId="0" applyFont="1" applyBorder="1" applyAlignment="1">
      <alignment horizontal="center" vertical="center" textRotation="90" wrapText="1"/>
    </xf>
    <xf numFmtId="0" fontId="73" fillId="0" borderId="16" xfId="0" applyFont="1" applyBorder="1" applyAlignment="1">
      <alignment horizontal="center" vertical="center" textRotation="90" wrapText="1"/>
    </xf>
    <xf numFmtId="0" fontId="0" fillId="21" borderId="7" xfId="0" applyFill="1" applyBorder="1" applyAlignment="1">
      <alignment horizontal="center"/>
    </xf>
    <xf numFmtId="0" fontId="0" fillId="21" borderId="18" xfId="0" applyFill="1" applyBorder="1" applyAlignment="1">
      <alignment horizontal="center"/>
    </xf>
    <xf numFmtId="0" fontId="68" fillId="0" borderId="24" xfId="0" applyFont="1" applyBorder="1" applyAlignment="1">
      <alignment horizontal="center"/>
    </xf>
    <xf numFmtId="0" fontId="68" fillId="0" borderId="25" xfId="0" applyFont="1" applyBorder="1" applyAlignment="1">
      <alignment horizontal="center"/>
    </xf>
    <xf numFmtId="0" fontId="73" fillId="0" borderId="15" xfId="0" applyFont="1" applyBorder="1" applyAlignment="1">
      <alignment horizontal="center" vertical="center" textRotation="90"/>
    </xf>
    <xf numFmtId="0" fontId="73" fillId="0" borderId="16" xfId="0" applyFont="1" applyBorder="1" applyAlignment="1">
      <alignment horizontal="center" vertical="center" textRotation="90"/>
    </xf>
    <xf numFmtId="0" fontId="73" fillId="0" borderId="18" xfId="0" applyFont="1" applyBorder="1" applyAlignment="1">
      <alignment horizontal="center" vertical="center" textRotation="90" wrapText="1"/>
    </xf>
    <xf numFmtId="0" fontId="8" fillId="0" borderId="15" xfId="0" applyFont="1" applyBorder="1" applyAlignment="1">
      <alignment horizontal="center" textRotation="90" wrapText="1"/>
    </xf>
    <xf numFmtId="0" fontId="8" fillId="0" borderId="16" xfId="0" applyFont="1" applyBorder="1" applyAlignment="1">
      <alignment horizontal="center" textRotation="90" wrapText="1"/>
    </xf>
    <xf numFmtId="0" fontId="8" fillId="0" borderId="18" xfId="0" applyFont="1" applyBorder="1" applyAlignment="1">
      <alignment horizontal="center" textRotation="90" wrapText="1"/>
    </xf>
    <xf numFmtId="0" fontId="4" fillId="13" borderId="0" xfId="1" applyFill="1" applyAlignment="1">
      <alignment horizontal="center" vertical="center" wrapText="1"/>
    </xf>
    <xf numFmtId="0" fontId="4" fillId="13" borderId="59" xfId="1" applyFill="1" applyBorder="1" applyAlignment="1">
      <alignment horizontal="center" vertical="center" wrapText="1"/>
    </xf>
    <xf numFmtId="0" fontId="30" fillId="15" borderId="21" xfId="0" applyFont="1" applyFill="1" applyBorder="1" applyAlignment="1">
      <alignment horizontal="center" vertical="center"/>
    </xf>
    <xf numFmtId="0" fontId="30" fillId="15" borderId="37" xfId="0" applyFont="1" applyFill="1" applyBorder="1" applyAlignment="1">
      <alignment horizontal="center" vertical="center"/>
    </xf>
    <xf numFmtId="0" fontId="30" fillId="15" borderId="29" xfId="0" applyFont="1" applyFill="1" applyBorder="1" applyAlignment="1">
      <alignment horizontal="center" vertical="center"/>
    </xf>
    <xf numFmtId="0" fontId="56" fillId="16" borderId="109" xfId="7" applyFont="1" applyFill="1" applyBorder="1" applyAlignment="1" applyProtection="1">
      <alignment horizontal="center" vertical="center"/>
    </xf>
    <xf numFmtId="0" fontId="56" fillId="16" borderId="91" xfId="7" applyFont="1" applyFill="1" applyBorder="1" applyAlignment="1" applyProtection="1">
      <alignment horizontal="center" vertical="center"/>
    </xf>
    <xf numFmtId="0" fontId="56" fillId="16" borderId="110" xfId="7" applyFont="1" applyFill="1" applyBorder="1" applyAlignment="1" applyProtection="1">
      <alignment horizontal="center" vertical="center"/>
    </xf>
    <xf numFmtId="0" fontId="56" fillId="16" borderId="106" xfId="7" applyFont="1" applyFill="1" applyBorder="1" applyAlignment="1" applyProtection="1">
      <alignment horizontal="center" vertical="center"/>
    </xf>
    <xf numFmtId="0" fontId="56" fillId="16" borderId="107" xfId="7" applyFont="1" applyFill="1" applyBorder="1" applyAlignment="1" applyProtection="1">
      <alignment horizontal="center" vertical="center"/>
    </xf>
    <xf numFmtId="0" fontId="56" fillId="16" borderId="108" xfId="7" applyFont="1" applyFill="1" applyBorder="1" applyAlignment="1" applyProtection="1">
      <alignment horizontal="center" vertical="center"/>
    </xf>
    <xf numFmtId="0" fontId="30" fillId="15" borderId="1" xfId="0" applyFont="1" applyFill="1" applyBorder="1" applyAlignment="1">
      <alignment horizontal="center" vertical="center"/>
    </xf>
    <xf numFmtId="0" fontId="0" fillId="13" borderId="1" xfId="0" applyFill="1" applyBorder="1" applyAlignment="1">
      <alignment horizontal="left" wrapText="1"/>
    </xf>
    <xf numFmtId="0" fontId="0" fillId="13" borderId="1" xfId="0" applyFill="1" applyBorder="1" applyAlignment="1">
      <alignment horizontal="left" vertical="top" wrapText="1"/>
    </xf>
    <xf numFmtId="0" fontId="11" fillId="13" borderId="21" xfId="0" applyFont="1" applyFill="1" applyBorder="1" applyAlignment="1">
      <alignment horizontal="center" vertical="center" wrapText="1"/>
    </xf>
    <xf numFmtId="0" fontId="11" fillId="13" borderId="37" xfId="0" applyFont="1" applyFill="1" applyBorder="1" applyAlignment="1">
      <alignment horizontal="center" vertical="center" wrapText="1"/>
    </xf>
    <xf numFmtId="0" fontId="11" fillId="13" borderId="29" xfId="0" applyFont="1" applyFill="1" applyBorder="1" applyAlignment="1">
      <alignment horizontal="center" vertical="center" wrapText="1"/>
    </xf>
    <xf numFmtId="0" fontId="51" fillId="21" borderId="0" xfId="0" applyFont="1" applyFill="1" applyAlignment="1">
      <alignment horizontal="left" vertical="top" wrapText="1"/>
    </xf>
    <xf numFmtId="0" fontId="18" fillId="21" borderId="0" xfId="0" applyFont="1" applyFill="1" applyAlignment="1">
      <alignment horizontal="left" vertical="top" wrapText="1"/>
    </xf>
    <xf numFmtId="0" fontId="14" fillId="13" borderId="12" xfId="0" applyFont="1" applyFill="1" applyBorder="1" applyAlignment="1">
      <alignment horizontal="left" vertical="center" wrapText="1"/>
    </xf>
    <xf numFmtId="0" fontId="14" fillId="13" borderId="13" xfId="0" applyFont="1" applyFill="1" applyBorder="1" applyAlignment="1">
      <alignment horizontal="left" vertical="center" wrapText="1"/>
    </xf>
    <xf numFmtId="0" fontId="14" fillId="13" borderId="14" xfId="0" applyFont="1" applyFill="1" applyBorder="1" applyAlignment="1">
      <alignment horizontal="left" vertical="center" wrapText="1"/>
    </xf>
    <xf numFmtId="0" fontId="30" fillId="13" borderId="23" xfId="0" applyFont="1" applyFill="1" applyBorder="1" applyAlignment="1">
      <alignment horizontal="center" vertical="center"/>
    </xf>
    <xf numFmtId="0" fontId="30" fillId="13" borderId="24" xfId="0" applyFont="1" applyFill="1" applyBorder="1" applyAlignment="1">
      <alignment horizontal="center" vertical="center"/>
    </xf>
    <xf numFmtId="0" fontId="30" fillId="13" borderId="25" xfId="0" applyFont="1" applyFill="1" applyBorder="1" applyAlignment="1">
      <alignment horizontal="center" vertical="center"/>
    </xf>
    <xf numFmtId="0" fontId="18" fillId="21" borderId="10" xfId="0" applyFont="1" applyFill="1" applyBorder="1" applyAlignment="1">
      <alignment horizontal="left" vertical="center" wrapText="1"/>
    </xf>
    <xf numFmtId="0" fontId="18" fillId="21" borderId="0" xfId="0" applyFont="1" applyFill="1" applyAlignment="1">
      <alignment horizontal="left" vertical="center" wrapText="1"/>
    </xf>
    <xf numFmtId="0" fontId="18" fillId="21" borderId="101" xfId="0" applyFont="1" applyFill="1" applyBorder="1" applyAlignment="1">
      <alignment horizontal="left" vertical="center" wrapText="1"/>
    </xf>
    <xf numFmtId="0" fontId="51" fillId="21" borderId="101" xfId="0" applyFont="1" applyFill="1" applyBorder="1" applyAlignment="1">
      <alignment horizontal="left" vertical="top" wrapText="1"/>
    </xf>
    <xf numFmtId="0" fontId="22" fillId="13" borderId="73" xfId="0" applyFont="1" applyFill="1" applyBorder="1" applyAlignment="1">
      <alignment horizontal="center" vertical="center"/>
    </xf>
    <xf numFmtId="0" fontId="22" fillId="13" borderId="74" xfId="0" applyFont="1" applyFill="1" applyBorder="1" applyAlignment="1">
      <alignment horizontal="center" vertical="center"/>
    </xf>
    <xf numFmtId="0" fontId="22" fillId="13" borderId="75" xfId="0" applyFont="1" applyFill="1" applyBorder="1" applyAlignment="1">
      <alignment horizontal="center" vertical="center"/>
    </xf>
    <xf numFmtId="0" fontId="25" fillId="21" borderId="76" xfId="0" applyFont="1" applyFill="1" applyBorder="1" applyAlignment="1">
      <alignment horizontal="center" wrapText="1"/>
    </xf>
    <xf numFmtId="0" fontId="25" fillId="21" borderId="0" xfId="0" applyFont="1" applyFill="1" applyAlignment="1">
      <alignment horizontal="center"/>
    </xf>
    <xf numFmtId="0" fontId="41" fillId="21" borderId="76" xfId="0" applyFont="1" applyFill="1" applyBorder="1" applyAlignment="1">
      <alignment horizontal="left" wrapText="1" indent="1"/>
    </xf>
    <xf numFmtId="0" fontId="41" fillId="21" borderId="0" xfId="0" applyFont="1" applyFill="1" applyAlignment="1">
      <alignment horizontal="left" wrapText="1" indent="1"/>
    </xf>
    <xf numFmtId="0" fontId="41" fillId="21" borderId="77" xfId="0" applyFont="1" applyFill="1" applyBorder="1" applyAlignment="1">
      <alignment horizontal="left" wrapText="1" indent="1"/>
    </xf>
    <xf numFmtId="0" fontId="0" fillId="21" borderId="76" xfId="0" applyFill="1" applyBorder="1" applyAlignment="1">
      <alignment horizontal="left" vertical="top" wrapText="1" indent="1"/>
    </xf>
    <xf numFmtId="0" fontId="0" fillId="21" borderId="0" xfId="0" applyFill="1" applyAlignment="1">
      <alignment horizontal="left" vertical="top" wrapText="1" indent="1"/>
    </xf>
    <xf numFmtId="0" fontId="0" fillId="21" borderId="77" xfId="0" applyFill="1" applyBorder="1" applyAlignment="1">
      <alignment horizontal="left" vertical="top" wrapText="1" indent="1"/>
    </xf>
    <xf numFmtId="0" fontId="41" fillId="21" borderId="0" xfId="0" applyFont="1" applyFill="1" applyAlignment="1">
      <alignment horizontal="left" vertical="top"/>
    </xf>
    <xf numFmtId="0" fontId="41" fillId="21" borderId="77" xfId="0" applyFont="1" applyFill="1" applyBorder="1" applyAlignment="1">
      <alignment horizontal="left" vertical="top"/>
    </xf>
    <xf numFmtId="0" fontId="0" fillId="21" borderId="76" xfId="0" applyFill="1" applyBorder="1" applyAlignment="1">
      <alignment horizontal="left" vertical="center" wrapText="1" indent="1"/>
    </xf>
    <xf numFmtId="0" fontId="0" fillId="21" borderId="0" xfId="0" applyFill="1" applyAlignment="1">
      <alignment horizontal="left" vertical="center" wrapText="1" indent="1"/>
    </xf>
    <xf numFmtId="0" fontId="39" fillId="21" borderId="76" xfId="0" applyFont="1" applyFill="1" applyBorder="1" applyAlignment="1">
      <alignment horizontal="center"/>
    </xf>
    <xf numFmtId="0" fontId="39" fillId="21" borderId="0" xfId="0" applyFont="1" applyFill="1" applyAlignment="1">
      <alignment horizontal="center"/>
    </xf>
    <xf numFmtId="0" fontId="0" fillId="21" borderId="76" xfId="0" applyFill="1" applyBorder="1" applyAlignment="1">
      <alignment horizontal="right" vertical="top"/>
    </xf>
    <xf numFmtId="0" fontId="57" fillId="16" borderId="111" xfId="7" applyFont="1" applyFill="1" applyBorder="1" applyAlignment="1" applyProtection="1">
      <alignment horizontal="center" vertical="center"/>
    </xf>
    <xf numFmtId="0" fontId="57" fillId="16" borderId="112" xfId="7" applyFont="1" applyFill="1" applyBorder="1" applyAlignment="1" applyProtection="1">
      <alignment horizontal="center" vertical="center"/>
    </xf>
    <xf numFmtId="0" fontId="57" fillId="16" borderId="113" xfId="7" applyFont="1" applyFill="1" applyBorder="1" applyAlignment="1" applyProtection="1">
      <alignment horizontal="center" vertical="center"/>
    </xf>
    <xf numFmtId="0" fontId="41" fillId="21" borderId="0" xfId="0" applyFont="1" applyFill="1" applyAlignment="1">
      <alignment horizontal="left" vertical="top" indent="8"/>
    </xf>
    <xf numFmtId="0" fontId="0" fillId="21" borderId="0" xfId="0" applyFill="1" applyAlignment="1">
      <alignment horizontal="right"/>
    </xf>
    <xf numFmtId="0" fontId="46" fillId="21" borderId="0" xfId="0" applyFont="1" applyFill="1" applyAlignment="1">
      <alignment horizontal="left" vertical="top"/>
    </xf>
    <xf numFmtId="0" fontId="44" fillId="21" borderId="76" xfId="0" applyFont="1" applyFill="1" applyBorder="1" applyAlignment="1">
      <alignment horizontal="center" vertical="center"/>
    </xf>
    <xf numFmtId="0" fontId="44" fillId="21" borderId="0" xfId="0" applyFont="1" applyFill="1" applyAlignment="1">
      <alignment horizontal="center" vertical="center"/>
    </xf>
    <xf numFmtId="0" fontId="0" fillId="21" borderId="0" xfId="0" applyFill="1" applyAlignment="1">
      <alignment horizontal="right" vertical="center"/>
    </xf>
    <xf numFmtId="0" fontId="25" fillId="21" borderId="76" xfId="0" applyFont="1" applyFill="1" applyBorder="1" applyAlignment="1">
      <alignment horizontal="center"/>
    </xf>
    <xf numFmtId="0" fontId="22" fillId="7" borderId="81" xfId="0" applyFont="1" applyFill="1" applyBorder="1" applyAlignment="1">
      <alignment horizontal="center" vertical="center" wrapText="1"/>
    </xf>
    <xf numFmtId="0" fontId="22" fillId="7" borderId="82" xfId="0" applyFont="1" applyFill="1" applyBorder="1" applyAlignment="1">
      <alignment horizontal="center" vertical="center" wrapText="1"/>
    </xf>
    <xf numFmtId="0" fontId="22" fillId="7" borderId="84" xfId="0" applyFont="1" applyFill="1" applyBorder="1" applyAlignment="1">
      <alignment horizontal="center" vertical="center" wrapText="1"/>
    </xf>
    <xf numFmtId="0" fontId="22" fillId="7" borderId="66" xfId="0" applyFont="1" applyFill="1" applyBorder="1" applyAlignment="1">
      <alignment horizontal="center" vertical="center" wrapText="1"/>
    </xf>
    <xf numFmtId="0" fontId="27" fillId="7" borderId="173" xfId="0" applyFont="1" applyFill="1" applyBorder="1" applyAlignment="1">
      <alignment horizontal="right" vertical="center"/>
    </xf>
    <xf numFmtId="0" fontId="27" fillId="7" borderId="82" xfId="0" applyFont="1" applyFill="1" applyBorder="1" applyAlignment="1">
      <alignment horizontal="right" vertical="center"/>
    </xf>
    <xf numFmtId="0" fontId="27" fillId="7" borderId="67" xfId="0" applyFont="1" applyFill="1" applyBorder="1" applyAlignment="1">
      <alignment horizontal="right" vertical="center"/>
    </xf>
    <xf numFmtId="0" fontId="27" fillId="7" borderId="66" xfId="0" applyFont="1" applyFill="1" applyBorder="1" applyAlignment="1">
      <alignment horizontal="right" vertical="center"/>
    </xf>
    <xf numFmtId="0" fontId="27" fillId="7" borderId="82" xfId="0" applyFont="1" applyFill="1" applyBorder="1" applyAlignment="1">
      <alignment horizontal="left" vertical="center"/>
    </xf>
    <xf numFmtId="0" fontId="27" fillId="7" borderId="83" xfId="0" applyFont="1" applyFill="1" applyBorder="1" applyAlignment="1">
      <alignment horizontal="left" vertical="center"/>
    </xf>
    <xf numFmtId="0" fontId="27" fillId="7" borderId="66" xfId="0" applyFont="1" applyFill="1" applyBorder="1" applyAlignment="1">
      <alignment horizontal="left" vertical="center"/>
    </xf>
    <xf numFmtId="0" fontId="27" fillId="7" borderId="85" xfId="0" applyFont="1" applyFill="1" applyBorder="1" applyAlignment="1">
      <alignment horizontal="left" vertical="center"/>
    </xf>
    <xf numFmtId="0" fontId="68" fillId="25" borderId="7" xfId="0" applyFont="1" applyFill="1" applyBorder="1" applyAlignment="1">
      <alignment horizontal="center" vertical="center"/>
    </xf>
    <xf numFmtId="0" fontId="68" fillId="25" borderId="8" xfId="0" applyFont="1" applyFill="1" applyBorder="1" applyAlignment="1">
      <alignment horizontal="center" vertical="center"/>
    </xf>
    <xf numFmtId="0" fontId="68" fillId="25" borderId="9" xfId="0" applyFont="1" applyFill="1" applyBorder="1" applyAlignment="1">
      <alignment horizontal="center" vertical="center"/>
    </xf>
    <xf numFmtId="0" fontId="68" fillId="25" borderId="12" xfId="0" applyFont="1" applyFill="1" applyBorder="1" applyAlignment="1">
      <alignment horizontal="center" vertical="center"/>
    </xf>
    <xf numFmtId="0" fontId="68" fillId="25" borderId="13" xfId="0" applyFont="1" applyFill="1" applyBorder="1" applyAlignment="1">
      <alignment horizontal="center" vertical="center"/>
    </xf>
    <xf numFmtId="0" fontId="68" fillId="25" borderId="14" xfId="0" applyFont="1" applyFill="1" applyBorder="1" applyAlignment="1">
      <alignment horizontal="center" vertical="center"/>
    </xf>
    <xf numFmtId="0" fontId="27" fillId="16" borderId="7" xfId="0" applyFont="1" applyFill="1" applyBorder="1" applyAlignment="1">
      <alignment horizontal="center" vertical="center"/>
    </xf>
    <xf numFmtId="0" fontId="27" fillId="16" borderId="8" xfId="0" applyFont="1" applyFill="1" applyBorder="1" applyAlignment="1">
      <alignment horizontal="center" vertical="center"/>
    </xf>
    <xf numFmtId="0" fontId="27" fillId="16" borderId="202" xfId="0" applyFont="1" applyFill="1" applyBorder="1" applyAlignment="1">
      <alignment horizontal="center" vertical="center"/>
    </xf>
    <xf numFmtId="0" fontId="27" fillId="16" borderId="10" xfId="0" applyFont="1" applyFill="1" applyBorder="1" applyAlignment="1">
      <alignment horizontal="center" vertical="center"/>
    </xf>
    <xf numFmtId="0" fontId="27" fillId="16" borderId="0" xfId="0" applyFont="1" applyFill="1" applyAlignment="1">
      <alignment horizontal="center" vertical="center"/>
    </xf>
    <xf numFmtId="0" fontId="27" fillId="16" borderId="57" xfId="0" applyFont="1" applyFill="1" applyBorder="1" applyAlignment="1">
      <alignment horizontal="center" vertical="center"/>
    </xf>
    <xf numFmtId="0" fontId="27" fillId="16" borderId="122" xfId="0" applyFont="1" applyFill="1" applyBorder="1" applyAlignment="1">
      <alignment horizontal="center" vertical="center"/>
    </xf>
    <xf numFmtId="0" fontId="27" fillId="16" borderId="59" xfId="0" applyFont="1" applyFill="1" applyBorder="1" applyAlignment="1">
      <alignment horizontal="center" vertical="center"/>
    </xf>
    <xf numFmtId="0" fontId="27" fillId="16" borderId="60" xfId="0" applyFont="1" applyFill="1" applyBorder="1" applyAlignment="1">
      <alignment horizontal="center" vertical="center"/>
    </xf>
    <xf numFmtId="0" fontId="27" fillId="16" borderId="133" xfId="0" applyFont="1" applyFill="1" applyBorder="1" applyAlignment="1">
      <alignment horizontal="center" vertical="center" wrapText="1"/>
    </xf>
    <xf numFmtId="0" fontId="27" fillId="16" borderId="55" xfId="0" applyFont="1" applyFill="1" applyBorder="1" applyAlignment="1">
      <alignment horizontal="center" vertical="center" wrapText="1"/>
    </xf>
    <xf numFmtId="0" fontId="27" fillId="16" borderId="56" xfId="0" applyFont="1" applyFill="1" applyBorder="1" applyAlignment="1">
      <alignment horizontal="center" vertical="center" wrapText="1"/>
    </xf>
    <xf numFmtId="0" fontId="27" fillId="16" borderId="10" xfId="0" applyFont="1" applyFill="1" applyBorder="1" applyAlignment="1">
      <alignment horizontal="center" vertical="center" wrapText="1"/>
    </xf>
    <xf numFmtId="0" fontId="27" fillId="16" borderId="0" xfId="0" applyFont="1" applyFill="1" applyAlignment="1">
      <alignment horizontal="center" vertical="center" wrapText="1"/>
    </xf>
    <xf numFmtId="0" fontId="27" fillId="16" borderId="57" xfId="0" applyFont="1" applyFill="1" applyBorder="1" applyAlignment="1">
      <alignment horizontal="center" vertical="center" wrapText="1"/>
    </xf>
    <xf numFmtId="0" fontId="27" fillId="16" borderId="122" xfId="0" applyFont="1" applyFill="1" applyBorder="1" applyAlignment="1">
      <alignment horizontal="center" vertical="center" wrapText="1"/>
    </xf>
    <xf numFmtId="0" fontId="27" fillId="16" borderId="59" xfId="0" applyFont="1" applyFill="1" applyBorder="1" applyAlignment="1">
      <alignment horizontal="center" vertical="center" wrapText="1"/>
    </xf>
    <xf numFmtId="0" fontId="27" fillId="16" borderId="60" xfId="0" applyFont="1" applyFill="1" applyBorder="1" applyAlignment="1">
      <alignment horizontal="center" vertical="center" wrapText="1"/>
    </xf>
    <xf numFmtId="0" fontId="27" fillId="16" borderId="12" xfId="0" applyFont="1" applyFill="1" applyBorder="1" applyAlignment="1">
      <alignment horizontal="center" vertical="center" wrapText="1"/>
    </xf>
    <xf numFmtId="0" fontId="27" fillId="16" borderId="13" xfId="0" applyFont="1" applyFill="1" applyBorder="1" applyAlignment="1">
      <alignment horizontal="center" vertical="center" wrapText="1"/>
    </xf>
    <xf numFmtId="0" fontId="27" fillId="16" borderId="127" xfId="0" applyFont="1" applyFill="1" applyBorder="1" applyAlignment="1">
      <alignment horizontal="center" vertical="center" wrapText="1"/>
    </xf>
    <xf numFmtId="0" fontId="61" fillId="7" borderId="62" xfId="0" applyFont="1" applyFill="1" applyBorder="1" applyAlignment="1">
      <alignment horizontal="center" vertical="center"/>
    </xf>
    <xf numFmtId="0" fontId="61" fillId="7" borderId="9" xfId="0" applyFont="1" applyFill="1" applyBorder="1" applyAlignment="1">
      <alignment horizontal="center" vertical="center"/>
    </xf>
    <xf numFmtId="0" fontId="61" fillId="7" borderId="53" xfId="0" applyFont="1" applyFill="1" applyBorder="1" applyAlignment="1">
      <alignment horizontal="center" vertical="center"/>
    </xf>
    <xf numFmtId="0" fontId="61" fillId="7" borderId="11" xfId="0" applyFont="1" applyFill="1" applyBorder="1" applyAlignment="1">
      <alignment horizontal="center" vertical="center"/>
    </xf>
    <xf numFmtId="0" fontId="61" fillId="7" borderId="58" xfId="0" applyFont="1" applyFill="1" applyBorder="1" applyAlignment="1">
      <alignment horizontal="center" vertical="center"/>
    </xf>
    <xf numFmtId="0" fontId="61" fillId="7" borderId="136" xfId="0" applyFont="1" applyFill="1" applyBorder="1" applyAlignment="1">
      <alignment horizontal="center" vertical="center"/>
    </xf>
    <xf numFmtId="0" fontId="61" fillId="7" borderId="54" xfId="0" applyFont="1" applyFill="1" applyBorder="1" applyAlignment="1">
      <alignment horizontal="center" vertical="center"/>
    </xf>
    <xf numFmtId="0" fontId="61" fillId="7" borderId="209" xfId="0" applyFont="1" applyFill="1" applyBorder="1" applyAlignment="1">
      <alignment horizontal="center" vertical="center"/>
    </xf>
    <xf numFmtId="0" fontId="61" fillId="7" borderId="128" xfId="0" applyFont="1" applyFill="1" applyBorder="1" applyAlignment="1">
      <alignment horizontal="center" vertical="center"/>
    </xf>
    <xf numFmtId="0" fontId="61" fillId="7" borderId="14" xfId="0" applyFont="1" applyFill="1" applyBorder="1" applyAlignment="1">
      <alignment horizontal="center" vertical="center"/>
    </xf>
    <xf numFmtId="0" fontId="8" fillId="21" borderId="23" xfId="0" applyFont="1" applyFill="1" applyBorder="1" applyAlignment="1">
      <alignment horizontal="center"/>
    </xf>
    <xf numFmtId="0" fontId="8" fillId="21" borderId="24" xfId="0" applyFont="1" applyFill="1" applyBorder="1" applyAlignment="1">
      <alignment horizontal="center"/>
    </xf>
    <xf numFmtId="0" fontId="8" fillId="21" borderId="25" xfId="0" applyFont="1" applyFill="1" applyBorder="1" applyAlignment="1">
      <alignment horizontal="center"/>
    </xf>
    <xf numFmtId="0" fontId="58" fillId="21" borderId="81" xfId="0" applyFont="1" applyFill="1" applyBorder="1" applyAlignment="1">
      <alignment horizontal="center"/>
    </xf>
    <xf numFmtId="0" fontId="58" fillId="21" borderId="82" xfId="0" applyFont="1" applyFill="1" applyBorder="1" applyAlignment="1">
      <alignment horizontal="center"/>
    </xf>
    <xf numFmtId="0" fontId="58" fillId="21" borderId="83" xfId="0" applyFont="1" applyFill="1" applyBorder="1" applyAlignment="1">
      <alignment horizontal="center"/>
    </xf>
    <xf numFmtId="0" fontId="58" fillId="21" borderId="84" xfId="0" applyFont="1" applyFill="1" applyBorder="1" applyAlignment="1">
      <alignment horizontal="center"/>
    </xf>
    <xf numFmtId="0" fontId="58" fillId="21" borderId="66" xfId="0" applyFont="1" applyFill="1" applyBorder="1" applyAlignment="1">
      <alignment horizontal="center"/>
    </xf>
    <xf numFmtId="0" fontId="58" fillId="21" borderId="85" xfId="0" applyFont="1" applyFill="1" applyBorder="1" applyAlignment="1">
      <alignment horizontal="center"/>
    </xf>
    <xf numFmtId="0" fontId="58" fillId="21" borderId="81" xfId="0" applyFont="1" applyFill="1" applyBorder="1" applyAlignment="1">
      <alignment horizontal="left" indent="3"/>
    </xf>
    <xf numFmtId="0" fontId="58" fillId="21" borderId="82" xfId="0" applyFont="1" applyFill="1" applyBorder="1" applyAlignment="1">
      <alignment horizontal="left" indent="3"/>
    </xf>
    <xf numFmtId="0" fontId="58" fillId="21" borderId="83" xfId="0" applyFont="1" applyFill="1" applyBorder="1" applyAlignment="1">
      <alignment horizontal="left" indent="3"/>
    </xf>
    <xf numFmtId="0" fontId="58" fillId="21" borderId="72" xfId="0" applyFont="1" applyFill="1" applyBorder="1" applyAlignment="1">
      <alignment horizontal="left" indent="3"/>
    </xf>
    <xf numFmtId="0" fontId="58" fillId="21" borderId="0" xfId="0" applyFont="1" applyFill="1" applyAlignment="1">
      <alignment horizontal="left" indent="3"/>
    </xf>
    <xf numFmtId="0" fontId="58" fillId="21" borderId="114" xfId="0" applyFont="1" applyFill="1" applyBorder="1" applyAlignment="1">
      <alignment horizontal="left" indent="3"/>
    </xf>
    <xf numFmtId="0" fontId="58" fillId="21" borderId="84" xfId="0" applyFont="1" applyFill="1" applyBorder="1" applyAlignment="1">
      <alignment horizontal="left" indent="3"/>
    </xf>
    <xf numFmtId="0" fontId="58" fillId="21" borderId="66" xfId="0" applyFont="1" applyFill="1" applyBorder="1" applyAlignment="1">
      <alignment horizontal="left" indent="3"/>
    </xf>
    <xf numFmtId="0" fontId="58" fillId="21" borderId="85" xfId="0" applyFont="1" applyFill="1" applyBorder="1" applyAlignment="1">
      <alignment horizontal="left" indent="3"/>
    </xf>
    <xf numFmtId="0" fontId="0" fillId="21" borderId="0" xfId="0" applyFill="1" applyAlignment="1">
      <alignment horizontal="left" wrapText="1"/>
    </xf>
    <xf numFmtId="0" fontId="58" fillId="21" borderId="81" xfId="0" applyFont="1" applyFill="1" applyBorder="1" applyAlignment="1">
      <alignment horizontal="left" indent="4"/>
    </xf>
    <xf numFmtId="0" fontId="58" fillId="21" borderId="82" xfId="0" applyFont="1" applyFill="1" applyBorder="1" applyAlignment="1">
      <alignment horizontal="left" indent="4"/>
    </xf>
    <xf numFmtId="0" fontId="58" fillId="21" borderId="83" xfId="0" applyFont="1" applyFill="1" applyBorder="1" applyAlignment="1">
      <alignment horizontal="left" indent="4"/>
    </xf>
    <xf numFmtId="0" fontId="58" fillId="21" borderId="84" xfId="0" applyFont="1" applyFill="1" applyBorder="1" applyAlignment="1">
      <alignment horizontal="left" indent="4"/>
    </xf>
    <xf numFmtId="0" fontId="58" fillId="21" borderId="66" xfId="0" applyFont="1" applyFill="1" applyBorder="1" applyAlignment="1">
      <alignment horizontal="left" indent="4"/>
    </xf>
    <xf numFmtId="0" fontId="58" fillId="21" borderId="85" xfId="0" applyFont="1" applyFill="1" applyBorder="1" applyAlignment="1">
      <alignment horizontal="left" indent="4"/>
    </xf>
    <xf numFmtId="0" fontId="0" fillId="21" borderId="64" xfId="0" applyFill="1" applyBorder="1" applyAlignment="1">
      <alignment horizontal="center"/>
    </xf>
    <xf numFmtId="0" fontId="0" fillId="21" borderId="210" xfId="0" applyFill="1" applyBorder="1" applyAlignment="1">
      <alignment horizontal="center"/>
    </xf>
    <xf numFmtId="0" fontId="0" fillId="21" borderId="8" xfId="0" applyFill="1" applyBorder="1" applyAlignment="1">
      <alignment horizontal="center"/>
    </xf>
    <xf numFmtId="0" fontId="0" fillId="21" borderId="9" xfId="0" applyFill="1" applyBorder="1" applyAlignment="1">
      <alignment horizontal="center"/>
    </xf>
    <xf numFmtId="0" fontId="0" fillId="21" borderId="169" xfId="0" applyFill="1" applyBorder="1" applyAlignment="1">
      <alignment horizontal="center"/>
    </xf>
    <xf numFmtId="0" fontId="0" fillId="21" borderId="170" xfId="0" applyFill="1" applyBorder="1" applyAlignment="1">
      <alignment horizontal="center"/>
    </xf>
    <xf numFmtId="0" fontId="58" fillId="21" borderId="81" xfId="0" applyFont="1" applyFill="1" applyBorder="1" applyAlignment="1">
      <alignment horizontal="left" indent="5"/>
    </xf>
    <xf numFmtId="0" fontId="58" fillId="21" borderId="82" xfId="0" applyFont="1" applyFill="1" applyBorder="1" applyAlignment="1">
      <alignment horizontal="left" indent="5"/>
    </xf>
    <xf numFmtId="0" fontId="58" fillId="21" borderId="83" xfId="0" applyFont="1" applyFill="1" applyBorder="1" applyAlignment="1">
      <alignment horizontal="left" indent="5"/>
    </xf>
    <xf numFmtId="0" fontId="58" fillId="21" borderId="84" xfId="0" applyFont="1" applyFill="1" applyBorder="1" applyAlignment="1">
      <alignment horizontal="left" indent="5"/>
    </xf>
    <xf numFmtId="0" fontId="58" fillId="21" borderId="66" xfId="0" applyFont="1" applyFill="1" applyBorder="1" applyAlignment="1">
      <alignment horizontal="left" indent="5"/>
    </xf>
    <xf numFmtId="0" fontId="58" fillId="21" borderId="85" xfId="0" applyFont="1" applyFill="1" applyBorder="1" applyAlignment="1">
      <alignment horizontal="left" indent="5"/>
    </xf>
    <xf numFmtId="0" fontId="0" fillId="21" borderId="121" xfId="0" applyFill="1" applyBorder="1" applyAlignment="1">
      <alignment horizontal="center"/>
    </xf>
    <xf numFmtId="0" fontId="0" fillId="21" borderId="138" xfId="0" applyFill="1" applyBorder="1" applyAlignment="1">
      <alignment horizontal="center"/>
    </xf>
    <xf numFmtId="0" fontId="0" fillId="21" borderId="139" xfId="0" applyFill="1" applyBorder="1" applyAlignment="1">
      <alignment horizontal="center"/>
    </xf>
    <xf numFmtId="0" fontId="25" fillId="26" borderId="28" xfId="0" applyFont="1" applyFill="1" applyBorder="1" applyAlignment="1">
      <alignment horizontal="right" vertical="center"/>
    </xf>
    <xf numFmtId="0" fontId="18" fillId="26" borderId="58" xfId="0" applyFont="1" applyFill="1" applyBorder="1" applyAlignment="1">
      <alignment horizontal="center" vertical="center"/>
    </xf>
    <xf numFmtId="0" fontId="18" fillId="26" borderId="59" xfId="0" applyFont="1" applyFill="1" applyBorder="1" applyAlignment="1">
      <alignment horizontal="center" vertical="center"/>
    </xf>
    <xf numFmtId="0" fontId="18" fillId="26" borderId="60" xfId="0" applyFont="1" applyFill="1" applyBorder="1" applyAlignment="1">
      <alignment horizontal="center" vertical="center"/>
    </xf>
    <xf numFmtId="0" fontId="18" fillId="26" borderId="21" xfId="0" applyFont="1" applyFill="1" applyBorder="1" applyAlignment="1">
      <alignment horizontal="center" vertical="center"/>
    </xf>
    <xf numFmtId="0" fontId="18" fillId="26" borderId="37" xfId="0" applyFont="1" applyFill="1" applyBorder="1" applyAlignment="1">
      <alignment horizontal="center" vertical="center"/>
    </xf>
    <xf numFmtId="0" fontId="18" fillId="26" borderId="29" xfId="0" applyFont="1" applyFill="1" applyBorder="1" applyAlignment="1">
      <alignment horizontal="center" vertical="center"/>
    </xf>
    <xf numFmtId="0" fontId="83" fillId="7" borderId="133" xfId="7" applyFont="1" applyFill="1" applyBorder="1" applyAlignment="1" applyProtection="1">
      <alignment horizontal="center" vertical="center"/>
    </xf>
    <xf numFmtId="0" fontId="83" fillId="7" borderId="55" xfId="7" applyFont="1" applyFill="1" applyBorder="1" applyAlignment="1" applyProtection="1">
      <alignment horizontal="center" vertical="center"/>
    </xf>
    <xf numFmtId="0" fontId="83" fillId="7" borderId="209" xfId="7" applyFont="1" applyFill="1" applyBorder="1" applyAlignment="1" applyProtection="1">
      <alignment horizontal="center" vertical="center"/>
    </xf>
    <xf numFmtId="0" fontId="83" fillId="7" borderId="122" xfId="7" applyFont="1" applyFill="1" applyBorder="1" applyAlignment="1" applyProtection="1">
      <alignment horizontal="center" vertical="center"/>
    </xf>
    <xf numFmtId="0" fontId="83" fillId="7" borderId="59" xfId="7" applyFont="1" applyFill="1" applyBorder="1" applyAlignment="1" applyProtection="1">
      <alignment horizontal="center" vertical="center"/>
    </xf>
    <xf numFmtId="0" fontId="83" fillId="7" borderId="136" xfId="7" applyFont="1" applyFill="1" applyBorder="1" applyAlignment="1" applyProtection="1">
      <alignment horizontal="center" vertical="center"/>
    </xf>
    <xf numFmtId="0" fontId="22" fillId="3" borderId="55" xfId="0" applyFont="1" applyFill="1" applyBorder="1" applyAlignment="1">
      <alignment horizontal="center" vertical="center"/>
    </xf>
    <xf numFmtId="0" fontId="22" fillId="3" borderId="209" xfId="0" applyFont="1" applyFill="1" applyBorder="1" applyAlignment="1">
      <alignment horizontal="center" vertical="center"/>
    </xf>
    <xf numFmtId="0" fontId="22" fillId="3" borderId="13" xfId="0" applyFont="1" applyFill="1" applyBorder="1" applyAlignment="1">
      <alignment horizontal="center" vertical="center"/>
    </xf>
    <xf numFmtId="0" fontId="22" fillId="3" borderId="14" xfId="0" applyFont="1" applyFill="1" applyBorder="1" applyAlignment="1">
      <alignment horizontal="center" vertical="center"/>
    </xf>
    <xf numFmtId="0" fontId="18" fillId="21" borderId="21" xfId="0" applyFont="1" applyFill="1" applyBorder="1" applyAlignment="1">
      <alignment horizontal="center" vertical="center"/>
    </xf>
    <xf numFmtId="0" fontId="18" fillId="21" borderId="37" xfId="0" applyFont="1" applyFill="1" applyBorder="1" applyAlignment="1">
      <alignment horizontal="center" vertical="center"/>
    </xf>
    <xf numFmtId="0" fontId="34" fillId="0" borderId="54" xfId="0" applyFont="1" applyBorder="1" applyAlignment="1">
      <alignment horizontal="center" vertical="center"/>
    </xf>
    <xf numFmtId="0" fontId="34" fillId="0" borderId="55" xfId="0" applyFont="1" applyBorder="1" applyAlignment="1">
      <alignment horizontal="center" vertical="center"/>
    </xf>
    <xf numFmtId="0" fontId="34" fillId="0" borderId="56" xfId="0" applyFont="1" applyBorder="1" applyAlignment="1">
      <alignment horizontal="center" vertical="center"/>
    </xf>
    <xf numFmtId="0" fontId="34" fillId="0" borderId="58" xfId="0" applyFont="1" applyBorder="1" applyAlignment="1">
      <alignment horizontal="center" vertical="center"/>
    </xf>
    <xf numFmtId="0" fontId="34" fillId="0" borderId="59" xfId="0" applyFont="1" applyBorder="1" applyAlignment="1">
      <alignment horizontal="center" vertical="center"/>
    </xf>
    <xf numFmtId="0" fontId="34" fillId="0" borderId="60" xfId="0" applyFont="1" applyBorder="1" applyAlignment="1">
      <alignment horizontal="center" vertical="center"/>
    </xf>
    <xf numFmtId="0" fontId="22" fillId="16" borderId="10" xfId="0" applyFont="1" applyFill="1" applyBorder="1" applyAlignment="1">
      <alignment horizontal="center" vertical="center" wrapText="1"/>
    </xf>
    <xf numFmtId="0" fontId="22" fillId="16" borderId="0" xfId="0" applyFont="1" applyFill="1" applyAlignment="1">
      <alignment horizontal="center" vertical="center" wrapText="1"/>
    </xf>
    <xf numFmtId="0" fontId="22" fillId="16" borderId="57" xfId="0" applyFont="1" applyFill="1" applyBorder="1" applyAlignment="1">
      <alignment horizontal="center" vertical="center" wrapText="1"/>
    </xf>
    <xf numFmtId="0" fontId="22" fillId="16" borderId="122" xfId="0" applyFont="1" applyFill="1" applyBorder="1" applyAlignment="1">
      <alignment horizontal="center" vertical="center" wrapText="1"/>
    </xf>
    <xf numFmtId="0" fontId="22" fillId="16" borderId="59" xfId="0" applyFont="1" applyFill="1" applyBorder="1" applyAlignment="1">
      <alignment horizontal="center" vertical="center" wrapText="1"/>
    </xf>
    <xf numFmtId="0" fontId="22" fillId="16" borderId="60" xfId="0" applyFont="1" applyFill="1" applyBorder="1" applyAlignment="1">
      <alignment horizontal="center" vertical="center" wrapText="1"/>
    </xf>
    <xf numFmtId="167" fontId="34" fillId="7" borderId="53" xfId="8" applyNumberFormat="1" applyFont="1" applyFill="1" applyBorder="1" applyAlignment="1" applyProtection="1">
      <alignment horizontal="center" vertical="center"/>
    </xf>
    <xf numFmtId="167" fontId="34" fillId="7" borderId="11" xfId="8" applyNumberFormat="1" applyFont="1" applyFill="1" applyBorder="1" applyAlignment="1" applyProtection="1">
      <alignment horizontal="center" vertical="center"/>
    </xf>
    <xf numFmtId="167" fontId="34" fillId="7" borderId="58" xfId="8" applyNumberFormat="1" applyFont="1" applyFill="1" applyBorder="1" applyAlignment="1" applyProtection="1">
      <alignment horizontal="center" vertical="center"/>
    </xf>
    <xf numFmtId="167" fontId="34" fillId="7" borderId="136" xfId="8" applyNumberFormat="1" applyFont="1" applyFill="1" applyBorder="1" applyAlignment="1" applyProtection="1">
      <alignment horizontal="center" vertical="center"/>
    </xf>
    <xf numFmtId="0" fontId="22" fillId="16" borderId="133" xfId="0" applyFont="1" applyFill="1" applyBorder="1" applyAlignment="1">
      <alignment horizontal="center" vertical="center" wrapText="1"/>
    </xf>
    <xf numFmtId="0" fontId="22" fillId="16" borderId="55" xfId="0" applyFont="1" applyFill="1" applyBorder="1" applyAlignment="1">
      <alignment horizontal="center" vertical="center" wrapText="1"/>
    </xf>
    <xf numFmtId="0" fontId="22" fillId="16" borderId="56" xfId="0" applyFont="1" applyFill="1" applyBorder="1" applyAlignment="1">
      <alignment horizontal="center" vertical="center" wrapText="1"/>
    </xf>
    <xf numFmtId="0" fontId="22" fillId="16" borderId="7" xfId="0" applyFont="1" applyFill="1" applyBorder="1" applyAlignment="1">
      <alignment horizontal="center" vertical="center" wrapText="1"/>
    </xf>
    <xf numFmtId="0" fontId="22" fillId="16" borderId="8" xfId="0" applyFont="1" applyFill="1" applyBorder="1" applyAlignment="1">
      <alignment horizontal="center" vertical="center" wrapText="1"/>
    </xf>
    <xf numFmtId="0" fontId="22" fillId="16" borderId="202" xfId="0" applyFont="1" applyFill="1" applyBorder="1" applyAlignment="1">
      <alignment horizontal="center" vertical="center" wrapText="1"/>
    </xf>
    <xf numFmtId="167" fontId="34" fillId="8" borderId="62" xfId="8" applyNumberFormat="1" applyFont="1" applyFill="1" applyBorder="1" applyAlignment="1" applyProtection="1">
      <alignment vertical="center" wrapText="1"/>
      <protection locked="0"/>
    </xf>
    <xf numFmtId="167" fontId="34" fillId="8" borderId="9" xfId="8" applyNumberFormat="1" applyFont="1" applyFill="1" applyBorder="1" applyAlignment="1" applyProtection="1">
      <alignment vertical="center" wrapText="1"/>
      <protection locked="0"/>
    </xf>
    <xf numFmtId="167" fontId="34" fillId="8" borderId="58" xfId="8" applyNumberFormat="1" applyFont="1" applyFill="1" applyBorder="1" applyAlignment="1" applyProtection="1">
      <alignment vertical="center" wrapText="1"/>
      <protection locked="0"/>
    </xf>
    <xf numFmtId="167" fontId="34" fillId="8" borderId="136" xfId="8" applyNumberFormat="1" applyFont="1" applyFill="1" applyBorder="1" applyAlignment="1" applyProtection="1">
      <alignment vertical="center" wrapText="1"/>
      <protection locked="0"/>
    </xf>
    <xf numFmtId="0" fontId="22" fillId="16" borderId="12" xfId="0" applyFont="1" applyFill="1" applyBorder="1" applyAlignment="1">
      <alignment horizontal="center" vertical="center" wrapText="1"/>
    </xf>
    <xf numFmtId="0" fontId="22" fillId="16" borderId="13" xfId="0" applyFont="1" applyFill="1" applyBorder="1" applyAlignment="1">
      <alignment horizontal="center" vertical="center" wrapText="1"/>
    </xf>
    <xf numFmtId="0" fontId="22" fillId="16" borderId="127" xfId="0" applyFont="1" applyFill="1" applyBorder="1" applyAlignment="1">
      <alignment horizontal="center" vertical="center" wrapText="1"/>
    </xf>
    <xf numFmtId="0" fontId="22" fillId="3" borderId="8"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59" xfId="0" applyFont="1" applyFill="1" applyBorder="1" applyAlignment="1">
      <alignment horizontal="center" vertical="center"/>
    </xf>
    <xf numFmtId="0" fontId="22" fillId="3" borderId="136" xfId="0" applyFont="1" applyFill="1" applyBorder="1" applyAlignment="1">
      <alignment horizontal="center" vertical="center"/>
    </xf>
    <xf numFmtId="0" fontId="22" fillId="8" borderId="54" xfId="0" applyFont="1" applyFill="1" applyBorder="1" applyAlignment="1" applyProtection="1">
      <alignment horizontal="center" vertical="center" wrapText="1"/>
      <protection locked="0"/>
    </xf>
    <xf numFmtId="0" fontId="22" fillId="8" borderId="209" xfId="0" applyFont="1" applyFill="1" applyBorder="1" applyAlignment="1" applyProtection="1">
      <alignment horizontal="center" vertical="center" wrapText="1"/>
      <protection locked="0"/>
    </xf>
    <xf numFmtId="0" fontId="22" fillId="8" borderId="53" xfId="0" applyFont="1" applyFill="1" applyBorder="1" applyAlignment="1" applyProtection="1">
      <alignment horizontal="center" vertical="center" wrapText="1"/>
      <protection locked="0"/>
    </xf>
    <xf numFmtId="0" fontId="22" fillId="8" borderId="11" xfId="0" applyFont="1" applyFill="1" applyBorder="1" applyAlignment="1" applyProtection="1">
      <alignment horizontal="center" vertical="center" wrapText="1"/>
      <protection locked="0"/>
    </xf>
    <xf numFmtId="0" fontId="22" fillId="8" borderId="128" xfId="0" applyFont="1" applyFill="1" applyBorder="1" applyAlignment="1" applyProtection="1">
      <alignment horizontal="center" vertical="center" wrapText="1"/>
      <protection locked="0"/>
    </xf>
    <xf numFmtId="0" fontId="22" fillId="8" borderId="14" xfId="0" applyFont="1" applyFill="1" applyBorder="1" applyAlignment="1" applyProtection="1">
      <alignment horizontal="center" vertical="center" wrapText="1"/>
      <protection locked="0"/>
    </xf>
    <xf numFmtId="0" fontId="22" fillId="8" borderId="58" xfId="0" applyFont="1" applyFill="1" applyBorder="1" applyAlignment="1" applyProtection="1">
      <alignment horizontal="center" vertical="center" wrapText="1"/>
      <protection locked="0"/>
    </xf>
    <xf numFmtId="0" fontId="22" fillId="8" borderId="136" xfId="0" applyFont="1" applyFill="1" applyBorder="1" applyAlignment="1" applyProtection="1">
      <alignment horizontal="center" vertical="center" wrapText="1"/>
      <protection locked="0"/>
    </xf>
    <xf numFmtId="0" fontId="73" fillId="3" borderId="7" xfId="0" applyFont="1" applyFill="1" applyBorder="1" applyAlignment="1">
      <alignment horizontal="center" vertical="center"/>
    </xf>
    <xf numFmtId="0" fontId="73" fillId="3" borderId="8" xfId="0" applyFont="1" applyFill="1" applyBorder="1" applyAlignment="1">
      <alignment horizontal="center" vertical="center"/>
    </xf>
    <xf numFmtId="0" fontId="73" fillId="3" borderId="9" xfId="0" applyFont="1" applyFill="1" applyBorder="1" applyAlignment="1">
      <alignment horizontal="center" vertical="center"/>
    </xf>
    <xf numFmtId="0" fontId="73" fillId="3" borderId="12" xfId="0" applyFont="1" applyFill="1" applyBorder="1" applyAlignment="1">
      <alignment horizontal="center" vertical="center"/>
    </xf>
    <xf numFmtId="0" fontId="73" fillId="3" borderId="13" xfId="0" applyFont="1" applyFill="1" applyBorder="1" applyAlignment="1">
      <alignment horizontal="center" vertical="center"/>
    </xf>
    <xf numFmtId="0" fontId="73" fillId="3" borderId="14" xfId="0" applyFont="1" applyFill="1" applyBorder="1" applyAlignment="1">
      <alignment horizontal="center" vertical="center"/>
    </xf>
    <xf numFmtId="0" fontId="57" fillId="16" borderId="7" xfId="7" applyFont="1" applyFill="1" applyBorder="1" applyAlignment="1">
      <alignment horizontal="center" vertical="center"/>
    </xf>
    <xf numFmtId="0" fontId="57" fillId="16" borderId="8" xfId="7" applyFont="1" applyFill="1" applyBorder="1" applyAlignment="1">
      <alignment horizontal="center" vertical="center"/>
    </xf>
    <xf numFmtId="0" fontId="57" fillId="16" borderId="9" xfId="7" applyFont="1" applyFill="1" applyBorder="1" applyAlignment="1">
      <alignment horizontal="center" vertical="center"/>
    </xf>
    <xf numFmtId="0" fontId="57" fillId="16" borderId="12" xfId="7" applyFont="1" applyFill="1" applyBorder="1" applyAlignment="1">
      <alignment horizontal="center" vertical="center"/>
    </xf>
    <xf numFmtId="0" fontId="57" fillId="16" borderId="13" xfId="7" applyFont="1" applyFill="1" applyBorder="1" applyAlignment="1">
      <alignment horizontal="center" vertical="center"/>
    </xf>
    <xf numFmtId="0" fontId="57" fillId="16" borderId="14" xfId="7" applyFont="1" applyFill="1" applyBorder="1" applyAlignment="1">
      <alignment horizontal="center" vertical="center"/>
    </xf>
    <xf numFmtId="0" fontId="57" fillId="16" borderId="10" xfId="7" applyFont="1" applyFill="1" applyBorder="1" applyAlignment="1">
      <alignment horizontal="center" vertical="center"/>
    </xf>
    <xf numFmtId="0" fontId="57" fillId="16" borderId="0" xfId="7" applyFont="1" applyFill="1" applyBorder="1" applyAlignment="1">
      <alignment horizontal="center" vertical="center"/>
    </xf>
    <xf numFmtId="0" fontId="57" fillId="16" borderId="11" xfId="7" applyFont="1" applyFill="1" applyBorder="1" applyAlignment="1">
      <alignment horizontal="center" vertical="center"/>
    </xf>
    <xf numFmtId="0" fontId="8" fillId="20" borderId="0" xfId="0" applyFont="1" applyFill="1" applyAlignment="1">
      <alignment horizontal="center"/>
    </xf>
    <xf numFmtId="0" fontId="0" fillId="20" borderId="0" xfId="0" applyFill="1" applyAlignment="1">
      <alignment horizontal="center"/>
    </xf>
  </cellXfs>
  <cellStyles count="16">
    <cellStyle name="Bad" xfId="15" builtinId="27"/>
    <cellStyle name="Comma" xfId="8" builtinId="3"/>
    <cellStyle name="Comma 2" xfId="14" xr:uid="{5AA3A199-3B80-4398-B824-90D14478B861}"/>
    <cellStyle name="Hyperlink" xfId="7" builtinId="8"/>
    <cellStyle name="Normal" xfId="0" builtinId="0"/>
    <cellStyle name="Normal 2" xfId="1" xr:uid="{00000000-0005-0000-0000-000003000000}"/>
    <cellStyle name="Normal 2 2" xfId="10" xr:uid="{00000000-0005-0000-0000-000004000000}"/>
    <cellStyle name="Normal 2 3" xfId="2" xr:uid="{00000000-0005-0000-0000-000005000000}"/>
    <cellStyle name="Normal 3" xfId="5" xr:uid="{00000000-0005-0000-0000-000006000000}"/>
    <cellStyle name="Normal 4" xfId="6" xr:uid="{00000000-0005-0000-0000-000007000000}"/>
    <cellStyle name="Normal 4 2" xfId="11" xr:uid="{00000000-0005-0000-0000-000008000000}"/>
    <cellStyle name="Normal 5" xfId="12" xr:uid="{00000000-0005-0000-0000-000009000000}"/>
    <cellStyle name="Normal 6" xfId="13" xr:uid="{00000000-0005-0000-0000-00000A000000}"/>
    <cellStyle name="Normal 7" xfId="9" xr:uid="{00000000-0005-0000-0000-00000B000000}"/>
    <cellStyle name="Normal 8" xfId="3" xr:uid="{00000000-0005-0000-0000-00000C000000}"/>
    <cellStyle name="Normal 9" xfId="4" xr:uid="{00000000-0005-0000-0000-00000D000000}"/>
  </cellStyles>
  <dxfs count="35">
    <dxf>
      <fill>
        <patternFill>
          <bgColor theme="2"/>
        </patternFill>
      </fill>
    </dxf>
    <dxf>
      <fill>
        <patternFill>
          <bgColor theme="7" tint="0.79998168889431442"/>
        </patternFill>
      </fill>
    </dxf>
    <dxf>
      <fill>
        <patternFill>
          <bgColor theme="7" tint="-0.24994659260841701"/>
        </patternFill>
      </fill>
    </dxf>
    <dxf>
      <fill>
        <patternFill>
          <bgColor theme="7" tint="-0.24994659260841701"/>
        </patternFill>
      </fill>
    </dxf>
    <dxf>
      <fill>
        <patternFill>
          <bgColor theme="9" tint="-0.24994659260841701"/>
        </patternFill>
      </fill>
    </dxf>
    <dxf>
      <fill>
        <patternFill>
          <bgColor theme="9" tint="0.59996337778862885"/>
        </patternFill>
      </fill>
    </dxf>
    <dxf>
      <fill>
        <patternFill>
          <bgColor rgb="FFFF6969"/>
        </patternFill>
      </fill>
    </dxf>
    <dxf>
      <fill>
        <patternFill>
          <bgColor rgb="FFF2F8EE"/>
        </patternFill>
      </fill>
    </dxf>
    <dxf>
      <fill>
        <patternFill>
          <bgColor theme="9" tint="0.79998168889431442"/>
        </patternFill>
      </fill>
    </dxf>
    <dxf>
      <fill>
        <patternFill>
          <bgColor rgb="FFFF0000"/>
        </patternFill>
      </fill>
    </dxf>
    <dxf>
      <fill>
        <patternFill>
          <bgColor rgb="FFFF0000"/>
        </patternFill>
      </fill>
    </dxf>
    <dxf>
      <fill>
        <patternFill>
          <bgColor rgb="FFFF0000"/>
        </patternFill>
      </fill>
    </dxf>
    <dxf>
      <fill>
        <patternFill>
          <bgColor theme="7" tint="0.39994506668294322"/>
        </patternFill>
      </fill>
    </dxf>
    <dxf>
      <fill>
        <patternFill>
          <bgColor theme="7" tint="0.3999450666829432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2"/>
        </patternFill>
      </fill>
    </dxf>
    <dxf>
      <fill>
        <patternFill>
          <bgColor theme="7" tint="0.79998168889431442"/>
        </patternFill>
      </fill>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border>
    </dxf>
    <dxf>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thin">
          <color indexed="64"/>
        </bottom>
      </border>
    </dxf>
    <dxf>
      <font>
        <strike val="0"/>
        <outline val="0"/>
        <shadow val="0"/>
        <u val="none"/>
        <vertAlign val="baseline"/>
        <sz val="10"/>
        <color theme="0"/>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center" vertical="top" textRotation="0" wrapText="0"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font>
        <strike val="0"/>
        <outline val="0"/>
        <shadow val="0"/>
        <u val="none"/>
        <vertAlign val="baseline"/>
        <color theme="0"/>
      </font>
    </dxf>
  </dxfs>
  <tableStyles count="0" defaultTableStyle="TableStyleMedium2" defaultPivotStyle="PivotStyleLight16"/>
  <colors>
    <mruColors>
      <color rgb="FFE0DDED"/>
      <color rgb="FFAF8ED0"/>
      <color rgb="FFFF6969"/>
      <color rgb="FFF2F8EE"/>
      <color rgb="FFFF7171"/>
      <color rgb="FFFF5B5B"/>
      <color rgb="FFFFFF99"/>
      <color rgb="FFFFFFCC"/>
      <color rgb="FF9468C0"/>
      <color rgb="FFBFC8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7.xml.rels><?xml version="1.0" encoding="UTF-8" standalone="yes"?>
<Relationships xmlns="http://schemas.openxmlformats.org/package/2006/relationships"><Relationship Id="rId8" Type="http://schemas.openxmlformats.org/officeDocument/2006/relationships/image" Target="../media/image21.png"/><Relationship Id="rId3" Type="http://schemas.openxmlformats.org/officeDocument/2006/relationships/image" Target="../media/image16.png"/><Relationship Id="rId7" Type="http://schemas.openxmlformats.org/officeDocument/2006/relationships/image" Target="../media/image20.png"/><Relationship Id="rId2" Type="http://schemas.openxmlformats.org/officeDocument/2006/relationships/image" Target="../media/image15.png"/><Relationship Id="rId1" Type="http://schemas.openxmlformats.org/officeDocument/2006/relationships/image" Target="../media/image14.png"/><Relationship Id="rId6" Type="http://schemas.openxmlformats.org/officeDocument/2006/relationships/image" Target="../media/image19.png"/><Relationship Id="rId11" Type="http://schemas.openxmlformats.org/officeDocument/2006/relationships/image" Target="../media/image24.png"/><Relationship Id="rId5" Type="http://schemas.openxmlformats.org/officeDocument/2006/relationships/image" Target="../media/image18.png"/><Relationship Id="rId10" Type="http://schemas.openxmlformats.org/officeDocument/2006/relationships/image" Target="../media/image23.png"/><Relationship Id="rId4" Type="http://schemas.openxmlformats.org/officeDocument/2006/relationships/image" Target="../media/image17.png"/><Relationship Id="rId9" Type="http://schemas.openxmlformats.org/officeDocument/2006/relationships/image" Target="../media/image22.png"/></Relationships>
</file>

<file path=xl/drawings/_rels/drawing8.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drawings/_rels/drawing9.xml.rels><?xml version="1.0" encoding="UTF-8" standalone="yes"?>
<Relationships xmlns="http://schemas.openxmlformats.org/package/2006/relationships"><Relationship Id="rId3" Type="http://schemas.openxmlformats.org/officeDocument/2006/relationships/image" Target="../media/image29.png"/><Relationship Id="rId2" Type="http://schemas.openxmlformats.org/officeDocument/2006/relationships/image" Target="../media/image28.png"/><Relationship Id="rId1" Type="http://schemas.openxmlformats.org/officeDocument/2006/relationships/image" Target="../media/image27.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2.png"/><Relationship Id="rId2" Type="http://schemas.openxmlformats.org/officeDocument/2006/relationships/image" Target="../media/image31.png"/><Relationship Id="rId1" Type="http://schemas.openxmlformats.org/officeDocument/2006/relationships/image" Target="../media/image30.wmf"/><Relationship Id="rId4" Type="http://schemas.openxmlformats.org/officeDocument/2006/relationships/image" Target="../media/image33.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6.png"/><Relationship Id="rId2" Type="http://schemas.openxmlformats.org/officeDocument/2006/relationships/image" Target="../media/image35.png"/><Relationship Id="rId1" Type="http://schemas.openxmlformats.org/officeDocument/2006/relationships/image" Target="../media/image34.png"/><Relationship Id="rId4" Type="http://schemas.openxmlformats.org/officeDocument/2006/relationships/image" Target="../media/image37.png"/></Relationships>
</file>

<file path=xl/drawings/_rels/drawing12.xml.rels><?xml version="1.0" encoding="UTF-8" standalone="yes"?>
<Relationships xmlns="http://schemas.openxmlformats.org/package/2006/relationships"><Relationship Id="rId3" Type="http://schemas.openxmlformats.org/officeDocument/2006/relationships/image" Target="../media/image40.PNG"/><Relationship Id="rId2" Type="http://schemas.openxmlformats.org/officeDocument/2006/relationships/image" Target="../media/image39.PNG"/><Relationship Id="rId1" Type="http://schemas.openxmlformats.org/officeDocument/2006/relationships/image" Target="../media/image38.PNG"/></Relationships>
</file>

<file path=xl/drawings/drawing1.xml><?xml version="1.0" encoding="utf-8"?>
<xdr:wsDr xmlns:xdr="http://schemas.openxmlformats.org/drawingml/2006/spreadsheetDrawing" xmlns:a="http://schemas.openxmlformats.org/drawingml/2006/main">
  <xdr:twoCellAnchor editAs="oneCell">
    <xdr:from>
      <xdr:col>0</xdr:col>
      <xdr:colOff>147205</xdr:colOff>
      <xdr:row>15</xdr:row>
      <xdr:rowOff>86592</xdr:rowOff>
    </xdr:from>
    <xdr:to>
      <xdr:col>9</xdr:col>
      <xdr:colOff>161763</xdr:colOff>
      <xdr:row>404</xdr:row>
      <xdr:rowOff>112060</xdr:rowOff>
    </xdr:to>
    <xdr:pic>
      <xdr:nvPicPr>
        <xdr:cNvPr id="2" name="Picture 1">
          <a:extLst>
            <a:ext uri="{FF2B5EF4-FFF2-40B4-BE49-F238E27FC236}">
              <a16:creationId xmlns:a16="http://schemas.microsoft.com/office/drawing/2014/main" id="{2B6E3AD9-1E98-4656-8C9A-2266E522C6F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47205" y="3096492"/>
          <a:ext cx="6548708" cy="3454468"/>
        </a:xfrm>
        <a:prstGeom prst="rect">
          <a:avLst/>
        </a:prstGeom>
      </xdr:spPr>
    </xdr:pic>
    <xdr:clientData/>
  </xdr:twoCellAnchor>
  <xdr:twoCellAnchor>
    <xdr:from>
      <xdr:col>1</xdr:col>
      <xdr:colOff>228599</xdr:colOff>
      <xdr:row>407</xdr:row>
      <xdr:rowOff>179002</xdr:rowOff>
    </xdr:from>
    <xdr:to>
      <xdr:col>8</xdr:col>
      <xdr:colOff>350520</xdr:colOff>
      <xdr:row>417</xdr:row>
      <xdr:rowOff>0</xdr:rowOff>
    </xdr:to>
    <xdr:pic>
      <xdr:nvPicPr>
        <xdr:cNvPr id="3" name="Picture 1">
          <a:extLst>
            <a:ext uri="{FF2B5EF4-FFF2-40B4-BE49-F238E27FC236}">
              <a16:creationId xmlns:a16="http://schemas.microsoft.com/office/drawing/2014/main" id="{D88C7C7C-F0E6-48A2-B743-D4122328B035}"/>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val="0"/>
            </a:ext>
          </a:extLst>
        </a:blip>
        <a:srcRect/>
        <a:stretch>
          <a:fillRect/>
        </a:stretch>
      </xdr:blipFill>
      <xdr:spPr bwMode="auto">
        <a:xfrm>
          <a:off x="411479" y="7090342"/>
          <a:ext cx="6027421" cy="16574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336177</xdr:colOff>
      <xdr:row>7</xdr:row>
      <xdr:rowOff>179295</xdr:rowOff>
    </xdr:from>
    <xdr:to>
      <xdr:col>20</xdr:col>
      <xdr:colOff>364382</xdr:colOff>
      <xdr:row>416</xdr:row>
      <xdr:rowOff>180417</xdr:rowOff>
    </xdr:to>
    <xdr:pic>
      <xdr:nvPicPr>
        <xdr:cNvPr id="4" name="Picture 4">
          <a:extLst>
            <a:ext uri="{FF2B5EF4-FFF2-40B4-BE49-F238E27FC236}">
              <a16:creationId xmlns:a16="http://schemas.microsoft.com/office/drawing/2014/main" id="{1ADBFEDD-EA0B-488B-A52F-4AAE1935EE6F}"/>
            </a:ext>
          </a:extLst>
        </xdr:cNvPr>
        <xdr:cNvPicPr>
          <a:picLocks noChangeAspect="1" noChangeArrowheads="1"/>
        </xdr:cNvPicPr>
      </xdr:nvPicPr>
      <xdr:blipFill>
        <a:blip xmlns:r="http://schemas.openxmlformats.org/officeDocument/2006/relationships" r:embed="rId3" cstate="email">
          <a:extLst>
            <a:ext uri="{28A0092B-C50C-407E-A947-70E740481C1C}">
              <a14:useLocalDpi xmlns:a14="http://schemas.microsoft.com/office/drawing/2010/main" val="0"/>
            </a:ext>
          </a:extLst>
        </a:blip>
        <a:srcRect/>
        <a:stretch>
          <a:fillRect/>
        </a:stretch>
      </xdr:blipFill>
      <xdr:spPr bwMode="auto">
        <a:xfrm>
          <a:off x="6835589" y="1669677"/>
          <a:ext cx="7267205" cy="71616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466725</xdr:colOff>
      <xdr:row>32</xdr:row>
      <xdr:rowOff>66675</xdr:rowOff>
    </xdr:from>
    <xdr:to>
      <xdr:col>11</xdr:col>
      <xdr:colOff>554355</xdr:colOff>
      <xdr:row>44</xdr:row>
      <xdr:rowOff>76200</xdr:rowOff>
    </xdr:to>
    <xdr:pic>
      <xdr:nvPicPr>
        <xdr:cNvPr id="2" name="Picture 1">
          <a:extLst>
            <a:ext uri="{FF2B5EF4-FFF2-40B4-BE49-F238E27FC236}">
              <a16:creationId xmlns:a16="http://schemas.microsoft.com/office/drawing/2014/main" id="{981B86CD-3C17-45C3-BD04-320C82448D0E}"/>
            </a:ext>
          </a:extLst>
        </xdr:cNvPr>
        <xdr:cNvPicPr/>
      </xdr:nvPicPr>
      <xdr:blipFill>
        <a:blip xmlns:r="http://schemas.openxmlformats.org/officeDocument/2006/relationships" r:embed="rId1"/>
        <a:stretch>
          <a:fillRect/>
        </a:stretch>
      </xdr:blipFill>
      <xdr:spPr>
        <a:xfrm>
          <a:off x="9991725" y="6734175"/>
          <a:ext cx="2522220" cy="2676525"/>
        </a:xfrm>
        <a:prstGeom prst="rect">
          <a:avLst/>
        </a:prstGeom>
      </xdr:spPr>
    </xdr:pic>
    <xdr:clientData/>
  </xdr:twoCellAnchor>
  <xdr:twoCellAnchor editAs="oneCell">
    <xdr:from>
      <xdr:col>7</xdr:col>
      <xdr:colOff>419100</xdr:colOff>
      <xdr:row>43</xdr:row>
      <xdr:rowOff>38100</xdr:rowOff>
    </xdr:from>
    <xdr:to>
      <xdr:col>12</xdr:col>
      <xdr:colOff>76200</xdr:colOff>
      <xdr:row>47</xdr:row>
      <xdr:rowOff>152400</xdr:rowOff>
    </xdr:to>
    <xdr:pic>
      <xdr:nvPicPr>
        <xdr:cNvPr id="3" name="Picture 2">
          <a:extLst>
            <a:ext uri="{FF2B5EF4-FFF2-40B4-BE49-F238E27FC236}">
              <a16:creationId xmlns:a16="http://schemas.microsoft.com/office/drawing/2014/main" id="{10BFF869-7B01-4605-87FD-42CAD707F2C7}"/>
            </a:ext>
          </a:extLst>
        </xdr:cNvPr>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t="5036"/>
        <a:stretch/>
      </xdr:blipFill>
      <xdr:spPr>
        <a:xfrm>
          <a:off x="10191750" y="8991600"/>
          <a:ext cx="2705100" cy="12573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34</xdr:col>
      <xdr:colOff>625831</xdr:colOff>
      <xdr:row>2</xdr:row>
      <xdr:rowOff>82128</xdr:rowOff>
    </xdr:from>
    <xdr:to>
      <xdr:col>38</xdr:col>
      <xdr:colOff>873068</xdr:colOff>
      <xdr:row>27</xdr:row>
      <xdr:rowOff>128857</xdr:rowOff>
    </xdr:to>
    <xdr:pic>
      <xdr:nvPicPr>
        <xdr:cNvPr id="11" name="Picture 10">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22768655" y="507952"/>
          <a:ext cx="5065766" cy="5366348"/>
        </a:xfrm>
        <a:prstGeom prst="rect">
          <a:avLst/>
        </a:prstGeom>
      </xdr:spPr>
    </xdr:pic>
    <xdr:clientData/>
  </xdr:twoCellAnchor>
  <xdr:twoCellAnchor>
    <xdr:from>
      <xdr:col>31</xdr:col>
      <xdr:colOff>775821</xdr:colOff>
      <xdr:row>10</xdr:row>
      <xdr:rowOff>36792</xdr:rowOff>
    </xdr:from>
    <xdr:to>
      <xdr:col>34</xdr:col>
      <xdr:colOff>226732</xdr:colOff>
      <xdr:row>15</xdr:row>
      <xdr:rowOff>186206</xdr:rowOff>
    </xdr:to>
    <xdr:sp macro="" textlink="">
      <xdr:nvSpPr>
        <xdr:cNvPr id="2" name="Rectangle 1">
          <a:extLst>
            <a:ext uri="{FF2B5EF4-FFF2-40B4-BE49-F238E27FC236}">
              <a16:creationId xmlns:a16="http://schemas.microsoft.com/office/drawing/2014/main" id="{2974B9AD-65C3-4B8E-A6EC-3915FBCA845D}"/>
            </a:ext>
          </a:extLst>
        </xdr:cNvPr>
        <xdr:cNvSpPr/>
      </xdr:nvSpPr>
      <xdr:spPr>
        <a:xfrm>
          <a:off x="14525439" y="2165910"/>
          <a:ext cx="2476499" cy="1213972"/>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33618</xdr:colOff>
      <xdr:row>18</xdr:row>
      <xdr:rowOff>90770</xdr:rowOff>
    </xdr:from>
    <xdr:to>
      <xdr:col>8</xdr:col>
      <xdr:colOff>459442</xdr:colOff>
      <xdr:row>26</xdr:row>
      <xdr:rowOff>188896</xdr:rowOff>
    </xdr:to>
    <xdr:pic>
      <xdr:nvPicPr>
        <xdr:cNvPr id="4" name="Picture 3">
          <a:extLst>
            <a:ext uri="{FF2B5EF4-FFF2-40B4-BE49-F238E27FC236}">
              <a16:creationId xmlns:a16="http://schemas.microsoft.com/office/drawing/2014/main" id="{D07EF624-379C-4E47-BA4B-9A1C3E83A1FB}"/>
            </a:ext>
          </a:extLst>
        </xdr:cNvPr>
        <xdr:cNvPicPr>
          <a:picLocks noChangeAspect="1"/>
        </xdr:cNvPicPr>
      </xdr:nvPicPr>
      <xdr:blipFill>
        <a:blip xmlns:r="http://schemas.openxmlformats.org/officeDocument/2006/relationships" r:embed="rId2"/>
        <a:stretch>
          <a:fillRect/>
        </a:stretch>
      </xdr:blipFill>
      <xdr:spPr>
        <a:xfrm>
          <a:off x="145677" y="3923182"/>
          <a:ext cx="4179794" cy="18014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3749040</xdr:colOff>
      <xdr:row>6</xdr:row>
      <xdr:rowOff>47625</xdr:rowOff>
    </xdr:from>
    <xdr:to>
      <xdr:col>2</xdr:col>
      <xdr:colOff>630944</xdr:colOff>
      <xdr:row>7</xdr:row>
      <xdr:rowOff>86457</xdr:rowOff>
    </xdr:to>
    <xdr:pic>
      <xdr:nvPicPr>
        <xdr:cNvPr id="2" name="Picture 1">
          <a:extLst>
            <a:ext uri="{FF2B5EF4-FFF2-40B4-BE49-F238E27FC236}">
              <a16:creationId xmlns:a16="http://schemas.microsoft.com/office/drawing/2014/main" id="{9AE6F454-1FB0-49EC-82C5-A6F1D17BC9DA}"/>
            </a:ext>
          </a:extLst>
        </xdr:cNvPr>
        <xdr:cNvPicPr>
          <a:picLocks noChangeAspect="1"/>
        </xdr:cNvPicPr>
      </xdr:nvPicPr>
      <xdr:blipFill>
        <a:blip xmlns:r="http://schemas.openxmlformats.org/officeDocument/2006/relationships" r:embed="rId1"/>
        <a:stretch>
          <a:fillRect/>
        </a:stretch>
      </xdr:blipFill>
      <xdr:spPr>
        <a:xfrm>
          <a:off x="4000500" y="3095625"/>
          <a:ext cx="1042424" cy="610332"/>
        </a:xfrm>
        <a:prstGeom prst="rect">
          <a:avLst/>
        </a:prstGeom>
      </xdr:spPr>
    </xdr:pic>
    <xdr:clientData/>
  </xdr:twoCellAnchor>
  <xdr:twoCellAnchor>
    <xdr:from>
      <xdr:col>1</xdr:col>
      <xdr:colOff>3280410</xdr:colOff>
      <xdr:row>6</xdr:row>
      <xdr:rowOff>251460</xdr:rowOff>
    </xdr:from>
    <xdr:to>
      <xdr:col>1</xdr:col>
      <xdr:colOff>4099560</xdr:colOff>
      <xdr:row>6</xdr:row>
      <xdr:rowOff>388327</xdr:rowOff>
    </xdr:to>
    <xdr:cxnSp macro="">
      <xdr:nvCxnSpPr>
        <xdr:cNvPr id="6" name="Straight Arrow Connector 5">
          <a:extLst>
            <a:ext uri="{FF2B5EF4-FFF2-40B4-BE49-F238E27FC236}">
              <a16:creationId xmlns:a16="http://schemas.microsoft.com/office/drawing/2014/main" id="{51E4B696-201F-45B4-AE4E-351EA3BB1EA9}"/>
            </a:ext>
          </a:extLst>
        </xdr:cNvPr>
        <xdr:cNvCxnSpPr/>
      </xdr:nvCxnSpPr>
      <xdr:spPr>
        <a:xfrm flipV="1">
          <a:off x="3531870" y="3299460"/>
          <a:ext cx="819150" cy="13686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342900</xdr:colOff>
      <xdr:row>6</xdr:row>
      <xdr:rowOff>388327</xdr:rowOff>
    </xdr:from>
    <xdr:to>
      <xdr:col>2</xdr:col>
      <xdr:colOff>1168791</xdr:colOff>
      <xdr:row>6</xdr:row>
      <xdr:rowOff>495300</xdr:rowOff>
    </xdr:to>
    <xdr:cxnSp macro="">
      <xdr:nvCxnSpPr>
        <xdr:cNvPr id="7" name="Straight Arrow Connector 6">
          <a:extLst>
            <a:ext uri="{FF2B5EF4-FFF2-40B4-BE49-F238E27FC236}">
              <a16:creationId xmlns:a16="http://schemas.microsoft.com/office/drawing/2014/main" id="{6A9C3C1F-31E7-4F1F-AC5A-1A4192379AC3}"/>
            </a:ext>
          </a:extLst>
        </xdr:cNvPr>
        <xdr:cNvCxnSpPr/>
      </xdr:nvCxnSpPr>
      <xdr:spPr>
        <a:xfrm flipH="1">
          <a:off x="4754880" y="3436327"/>
          <a:ext cx="825891" cy="10697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486575</xdr:colOff>
      <xdr:row>18</xdr:row>
      <xdr:rowOff>320</xdr:rowOff>
    </xdr:from>
    <xdr:to>
      <xdr:col>10</xdr:col>
      <xdr:colOff>358827</xdr:colOff>
      <xdr:row>39</xdr:row>
      <xdr:rowOff>17129</xdr:rowOff>
    </xdr:to>
    <xdr:grpSp>
      <xdr:nvGrpSpPr>
        <xdr:cNvPr id="24" name="Group 23">
          <a:extLst>
            <a:ext uri="{FF2B5EF4-FFF2-40B4-BE49-F238E27FC236}">
              <a16:creationId xmlns:a16="http://schemas.microsoft.com/office/drawing/2014/main" id="{4C60F27E-1C55-4DB6-B70C-56F8FF541E02}"/>
            </a:ext>
          </a:extLst>
        </xdr:cNvPr>
        <xdr:cNvGrpSpPr/>
      </xdr:nvGrpSpPr>
      <xdr:grpSpPr>
        <a:xfrm>
          <a:off x="952242" y="5207320"/>
          <a:ext cx="5661335" cy="4154892"/>
          <a:chOff x="1091693" y="4389104"/>
          <a:chExt cx="5598458" cy="4200525"/>
        </a:xfrm>
      </xdr:grpSpPr>
      <xdr:pic>
        <xdr:nvPicPr>
          <xdr:cNvPr id="25" name="Picture 5" descr="image004">
            <a:extLst>
              <a:ext uri="{FF2B5EF4-FFF2-40B4-BE49-F238E27FC236}">
                <a16:creationId xmlns:a16="http://schemas.microsoft.com/office/drawing/2014/main" id="{6E55856E-0EB2-4F29-959B-D2228DCCA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1091693" y="4389104"/>
            <a:ext cx="5598458" cy="420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6" name="Picture 25">
            <a:extLst>
              <a:ext uri="{FF2B5EF4-FFF2-40B4-BE49-F238E27FC236}">
                <a16:creationId xmlns:a16="http://schemas.microsoft.com/office/drawing/2014/main" id="{FB92065F-BD31-4712-B2A7-30DCC7DAE90C}"/>
              </a:ext>
            </a:extLst>
          </xdr:cNvPr>
          <xdr:cNvPicPr>
            <a:picLocks noChangeAspect="1"/>
          </xdr:cNvPicPr>
        </xdr:nvPicPr>
        <xdr:blipFill>
          <a:blip xmlns:r="http://schemas.openxmlformats.org/officeDocument/2006/relationships" r:embed="rId2"/>
          <a:stretch>
            <a:fillRect/>
          </a:stretch>
        </xdr:blipFill>
        <xdr:spPr>
          <a:xfrm>
            <a:off x="1591236" y="5042647"/>
            <a:ext cx="780952" cy="333333"/>
          </a:xfrm>
          <a:prstGeom prst="rect">
            <a:avLst/>
          </a:prstGeom>
        </xdr:spPr>
      </xdr:pic>
    </xdr:grpSp>
    <xdr:clientData/>
  </xdr:twoCellAnchor>
  <xdr:twoCellAnchor>
    <xdr:from>
      <xdr:col>2</xdr:col>
      <xdr:colOff>561975</xdr:colOff>
      <xdr:row>40</xdr:row>
      <xdr:rowOff>99172</xdr:rowOff>
    </xdr:from>
    <xdr:to>
      <xdr:col>10</xdr:col>
      <xdr:colOff>819150</xdr:colOff>
      <xdr:row>62</xdr:row>
      <xdr:rowOff>80122</xdr:rowOff>
    </xdr:to>
    <xdr:grpSp>
      <xdr:nvGrpSpPr>
        <xdr:cNvPr id="27" name="Group 26">
          <a:extLst>
            <a:ext uri="{FF2B5EF4-FFF2-40B4-BE49-F238E27FC236}">
              <a16:creationId xmlns:a16="http://schemas.microsoft.com/office/drawing/2014/main" id="{F7D26914-8C61-4BEE-8AC8-692515CDC1AE}"/>
            </a:ext>
          </a:extLst>
        </xdr:cNvPr>
        <xdr:cNvGrpSpPr/>
      </xdr:nvGrpSpPr>
      <xdr:grpSpPr>
        <a:xfrm>
          <a:off x="1027642" y="9634755"/>
          <a:ext cx="6046258" cy="4171950"/>
          <a:chOff x="1111063" y="9041466"/>
          <a:chExt cx="5996828" cy="4171950"/>
        </a:xfrm>
      </xdr:grpSpPr>
      <xdr:pic>
        <xdr:nvPicPr>
          <xdr:cNvPr id="28" name="Picture 4" descr="image003">
            <a:extLst>
              <a:ext uri="{FF2B5EF4-FFF2-40B4-BE49-F238E27FC236}">
                <a16:creationId xmlns:a16="http://schemas.microsoft.com/office/drawing/2014/main" id="{7B544C46-D04A-451A-9521-7A4AE27EDD5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1111063" y="9041466"/>
            <a:ext cx="5996828" cy="417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9" name="Picture 28">
            <a:extLst>
              <a:ext uri="{FF2B5EF4-FFF2-40B4-BE49-F238E27FC236}">
                <a16:creationId xmlns:a16="http://schemas.microsoft.com/office/drawing/2014/main" id="{9BD3D762-B562-4567-BEA4-7D94722DC9BE}"/>
              </a:ext>
            </a:extLst>
          </xdr:cNvPr>
          <xdr:cNvPicPr>
            <a:picLocks noChangeAspect="1"/>
          </xdr:cNvPicPr>
        </xdr:nvPicPr>
        <xdr:blipFill>
          <a:blip xmlns:r="http://schemas.openxmlformats.org/officeDocument/2006/relationships" r:embed="rId2"/>
          <a:stretch>
            <a:fillRect/>
          </a:stretch>
        </xdr:blipFill>
        <xdr:spPr>
          <a:xfrm>
            <a:off x="1864899" y="10754045"/>
            <a:ext cx="780952" cy="333333"/>
          </a:xfrm>
          <a:prstGeom prst="rect">
            <a:avLst/>
          </a:prstGeom>
        </xdr:spPr>
      </xdr:pic>
    </xdr:grpSp>
    <xdr:clientData/>
  </xdr:twoCellAnchor>
  <xdr:twoCellAnchor>
    <xdr:from>
      <xdr:col>3</xdr:col>
      <xdr:colOff>392207</xdr:colOff>
      <xdr:row>38</xdr:row>
      <xdr:rowOff>168089</xdr:rowOff>
    </xdr:from>
    <xdr:to>
      <xdr:col>4</xdr:col>
      <xdr:colOff>560295</xdr:colOff>
      <xdr:row>41</xdr:row>
      <xdr:rowOff>33618</xdr:rowOff>
    </xdr:to>
    <xdr:sp macro="" textlink="">
      <xdr:nvSpPr>
        <xdr:cNvPr id="30" name="TextBox 29">
          <a:extLst>
            <a:ext uri="{FF2B5EF4-FFF2-40B4-BE49-F238E27FC236}">
              <a16:creationId xmlns:a16="http://schemas.microsoft.com/office/drawing/2014/main" id="{FC95AE19-1DEB-471F-A3C4-2CAE41C39903}"/>
            </a:ext>
          </a:extLst>
        </xdr:cNvPr>
        <xdr:cNvSpPr txBox="1"/>
      </xdr:nvSpPr>
      <xdr:spPr>
        <a:xfrm>
          <a:off x="1278032" y="9245414"/>
          <a:ext cx="777688" cy="4370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FF0000"/>
              </a:solidFill>
            </a:rPr>
            <a:t>NO</a:t>
          </a:r>
        </a:p>
      </xdr:txBody>
    </xdr:sp>
    <xdr:clientData/>
  </xdr:twoCellAnchor>
  <xdr:twoCellAnchor>
    <xdr:from>
      <xdr:col>4</xdr:col>
      <xdr:colOff>33618</xdr:colOff>
      <xdr:row>62</xdr:row>
      <xdr:rowOff>44824</xdr:rowOff>
    </xdr:from>
    <xdr:to>
      <xdr:col>5</xdr:col>
      <xdr:colOff>201706</xdr:colOff>
      <xdr:row>64</xdr:row>
      <xdr:rowOff>85725</xdr:rowOff>
    </xdr:to>
    <xdr:sp macro="" textlink="">
      <xdr:nvSpPr>
        <xdr:cNvPr id="31" name="TextBox 30">
          <a:extLst>
            <a:ext uri="{FF2B5EF4-FFF2-40B4-BE49-F238E27FC236}">
              <a16:creationId xmlns:a16="http://schemas.microsoft.com/office/drawing/2014/main" id="{B1FCBC6C-7A85-483A-879C-475A47CE4EE6}"/>
            </a:ext>
          </a:extLst>
        </xdr:cNvPr>
        <xdr:cNvSpPr txBox="1"/>
      </xdr:nvSpPr>
      <xdr:spPr>
        <a:xfrm>
          <a:off x="1529043" y="12684499"/>
          <a:ext cx="777688" cy="4219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FF0000"/>
              </a:solidFill>
            </a:rPr>
            <a:t>NO</a:t>
          </a:r>
        </a:p>
      </xdr:txBody>
    </xdr:sp>
    <xdr:clientData/>
  </xdr:twoCellAnchor>
  <xdr:twoCellAnchor>
    <xdr:from>
      <xdr:col>9</xdr:col>
      <xdr:colOff>360270</xdr:colOff>
      <xdr:row>38</xdr:row>
      <xdr:rowOff>143994</xdr:rowOff>
    </xdr:from>
    <xdr:to>
      <xdr:col>9</xdr:col>
      <xdr:colOff>1133476</xdr:colOff>
      <xdr:row>41</xdr:row>
      <xdr:rowOff>9523</xdr:rowOff>
    </xdr:to>
    <xdr:sp macro="" textlink="">
      <xdr:nvSpPr>
        <xdr:cNvPr id="32" name="TextBox 31">
          <a:extLst>
            <a:ext uri="{FF2B5EF4-FFF2-40B4-BE49-F238E27FC236}">
              <a16:creationId xmlns:a16="http://schemas.microsoft.com/office/drawing/2014/main" id="{9C40F2B0-984B-4BB5-9D9F-BCF7E7B24EF8}"/>
            </a:ext>
          </a:extLst>
        </xdr:cNvPr>
        <xdr:cNvSpPr txBox="1"/>
      </xdr:nvSpPr>
      <xdr:spPr>
        <a:xfrm>
          <a:off x="4903695" y="9221319"/>
          <a:ext cx="773206" cy="4370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chemeClr val="accent6">
                  <a:lumMod val="75000"/>
                </a:schemeClr>
              </a:solidFill>
            </a:rPr>
            <a:t>YES</a:t>
          </a:r>
        </a:p>
      </xdr:txBody>
    </xdr:sp>
    <xdr:clientData/>
  </xdr:twoCellAnchor>
  <xdr:twoCellAnchor>
    <xdr:from>
      <xdr:col>9</xdr:col>
      <xdr:colOff>78442</xdr:colOff>
      <xdr:row>62</xdr:row>
      <xdr:rowOff>44823</xdr:rowOff>
    </xdr:from>
    <xdr:to>
      <xdr:col>9</xdr:col>
      <xdr:colOff>851648</xdr:colOff>
      <xdr:row>64</xdr:row>
      <xdr:rowOff>76200</xdr:rowOff>
    </xdr:to>
    <xdr:sp macro="" textlink="">
      <xdr:nvSpPr>
        <xdr:cNvPr id="33" name="TextBox 32">
          <a:extLst>
            <a:ext uri="{FF2B5EF4-FFF2-40B4-BE49-F238E27FC236}">
              <a16:creationId xmlns:a16="http://schemas.microsoft.com/office/drawing/2014/main" id="{1BDFF204-AFB3-4A07-A105-A99C6D2601AA}"/>
            </a:ext>
          </a:extLst>
        </xdr:cNvPr>
        <xdr:cNvSpPr txBox="1"/>
      </xdr:nvSpPr>
      <xdr:spPr>
        <a:xfrm>
          <a:off x="4621867" y="12684498"/>
          <a:ext cx="773206" cy="4123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chemeClr val="accent6">
                  <a:lumMod val="75000"/>
                </a:schemeClr>
              </a:solidFill>
            </a:rPr>
            <a:t>YES</a:t>
          </a:r>
        </a:p>
      </xdr:txBody>
    </xdr:sp>
    <xdr:clientData/>
  </xdr:twoCellAnchor>
  <xdr:twoCellAnchor>
    <xdr:from>
      <xdr:col>10</xdr:col>
      <xdr:colOff>918882</xdr:colOff>
      <xdr:row>18</xdr:row>
      <xdr:rowOff>201706</xdr:rowOff>
    </xdr:from>
    <xdr:to>
      <xdr:col>15</xdr:col>
      <xdr:colOff>336176</xdr:colOff>
      <xdr:row>62</xdr:row>
      <xdr:rowOff>44824</xdr:rowOff>
    </xdr:to>
    <xdr:sp macro="" textlink="">
      <xdr:nvSpPr>
        <xdr:cNvPr id="34" name="TextBox 33">
          <a:extLst>
            <a:ext uri="{FF2B5EF4-FFF2-40B4-BE49-F238E27FC236}">
              <a16:creationId xmlns:a16="http://schemas.microsoft.com/office/drawing/2014/main" id="{364E0CA2-72F3-4E1D-9290-CD1324A8C68E}"/>
            </a:ext>
          </a:extLst>
        </xdr:cNvPr>
        <xdr:cNvSpPr txBox="1"/>
      </xdr:nvSpPr>
      <xdr:spPr>
        <a:xfrm>
          <a:off x="6957732" y="5335681"/>
          <a:ext cx="3789269" cy="83584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ln>
                <a:noFill/>
              </a:ln>
            </a:rPr>
            <a:t>Window installation is not</a:t>
          </a:r>
          <a:r>
            <a:rPr lang="en-US" sz="1600" baseline="0">
              <a:ln>
                <a:noFill/>
              </a:ln>
            </a:rPr>
            <a:t> designed and engineered to hang windows off of a header support but rather held plumb and square by shimming and support at the jambs and sill.  </a:t>
          </a:r>
          <a:r>
            <a:rPr lang="en-US" sz="1600" b="1" baseline="0">
              <a:ln>
                <a:noFill/>
              </a:ln>
            </a:rPr>
            <a:t>When there is no or limited support provided by the window or doors below at the sill of a mullion; deadload reinforcement must be considered.</a:t>
          </a:r>
        </a:p>
        <a:p>
          <a:endParaRPr lang="en-US" sz="1600" b="1" baseline="0">
            <a:ln>
              <a:noFill/>
            </a:ln>
          </a:endParaRPr>
        </a:p>
        <a:p>
          <a:r>
            <a:rPr lang="en-US" sz="1600" b="0" baseline="0">
              <a:ln>
                <a:noFill/>
              </a:ln>
            </a:rPr>
            <a:t>This support from window or doors below includes jambs as shown in the lower left example or support from fixed panels as shown in the upper left example.</a:t>
          </a:r>
        </a:p>
        <a:p>
          <a:endParaRPr lang="en-US" sz="1600" b="0" baseline="0">
            <a:ln>
              <a:noFill/>
            </a:ln>
          </a:endParaRPr>
        </a:p>
        <a:p>
          <a:r>
            <a:rPr lang="en-US" sz="1600" b="0" baseline="0">
              <a:ln>
                <a:noFill/>
              </a:ln>
            </a:rPr>
            <a:t>The examples on the right are both cases were the mullion of units above does not have supporting structure below it and will have sagging issues either at installation or over time that will inhibit either the upper units and / or the lower units from functioning properly.  This is a very costly to fix as it will require new units to be ordered to allow clearance for horizontal structure to be added.  </a:t>
          </a:r>
        </a:p>
        <a:p>
          <a:endParaRPr lang="en-US" sz="1600" b="0" baseline="0">
            <a:ln>
              <a:noFill/>
            </a:ln>
          </a:endParaRPr>
        </a:p>
        <a:p>
          <a:r>
            <a:rPr lang="en-US" sz="1600" b="0" baseline="0">
              <a:ln>
                <a:noFill/>
              </a:ln>
            </a:rPr>
            <a:t>Shimming between the lower units and deadload supporting structure will be required at the edges of the deadload span.</a:t>
          </a:r>
        </a:p>
        <a:p>
          <a:endParaRPr lang="en-US" sz="1600" b="1" baseline="0">
            <a:ln>
              <a:noFill/>
            </a:ln>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92227</xdr:colOff>
      <xdr:row>16</xdr:row>
      <xdr:rowOff>3932</xdr:rowOff>
    </xdr:from>
    <xdr:to>
      <xdr:col>10</xdr:col>
      <xdr:colOff>1423</xdr:colOff>
      <xdr:row>63</xdr:row>
      <xdr:rowOff>44976</xdr:rowOff>
    </xdr:to>
    <xdr:grpSp>
      <xdr:nvGrpSpPr>
        <xdr:cNvPr id="18" name="Group 17">
          <a:extLst>
            <a:ext uri="{FF2B5EF4-FFF2-40B4-BE49-F238E27FC236}">
              <a16:creationId xmlns:a16="http://schemas.microsoft.com/office/drawing/2014/main" id="{B0DED8B2-5FA1-4F54-A920-19B83128B243}"/>
            </a:ext>
          </a:extLst>
        </xdr:cNvPr>
        <xdr:cNvGrpSpPr/>
      </xdr:nvGrpSpPr>
      <xdr:grpSpPr>
        <a:xfrm>
          <a:off x="628008" y="5171245"/>
          <a:ext cx="9184165" cy="9220762"/>
          <a:chOff x="366071" y="5342695"/>
          <a:chExt cx="9050815" cy="9692250"/>
        </a:xfrm>
      </xdr:grpSpPr>
      <xdr:pic>
        <xdr:nvPicPr>
          <xdr:cNvPr id="19" name="Picture 18">
            <a:extLst>
              <a:ext uri="{FF2B5EF4-FFF2-40B4-BE49-F238E27FC236}">
                <a16:creationId xmlns:a16="http://schemas.microsoft.com/office/drawing/2014/main" id="{0C171C76-754D-4AEC-BCEF-52323D14C42F}"/>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b="11779"/>
          <a:stretch/>
        </xdr:blipFill>
        <xdr:spPr>
          <a:xfrm>
            <a:off x="440531" y="5866714"/>
            <a:ext cx="6410189" cy="4122630"/>
          </a:xfrm>
          <a:prstGeom prst="rect">
            <a:avLst/>
          </a:prstGeom>
        </xdr:spPr>
      </xdr:pic>
      <xdr:pic>
        <xdr:nvPicPr>
          <xdr:cNvPr id="20" name="Picture 19">
            <a:extLst>
              <a:ext uri="{FF2B5EF4-FFF2-40B4-BE49-F238E27FC236}">
                <a16:creationId xmlns:a16="http://schemas.microsoft.com/office/drawing/2014/main" id="{E0D828F7-A73A-4A22-BFC1-DEB6D5FBE37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366071" y="10660081"/>
            <a:ext cx="6555314" cy="4374864"/>
          </a:xfrm>
          <a:prstGeom prst="rect">
            <a:avLst/>
          </a:prstGeom>
        </xdr:spPr>
      </xdr:pic>
      <xdr:sp macro="" textlink="">
        <xdr:nvSpPr>
          <xdr:cNvPr id="21" name="TextBox 20">
            <a:extLst>
              <a:ext uri="{FF2B5EF4-FFF2-40B4-BE49-F238E27FC236}">
                <a16:creationId xmlns:a16="http://schemas.microsoft.com/office/drawing/2014/main" id="{FFE82EEA-BCEF-436D-B327-129CA72370CF}"/>
              </a:ext>
            </a:extLst>
          </xdr:cNvPr>
          <xdr:cNvSpPr txBox="1"/>
        </xdr:nvSpPr>
        <xdr:spPr>
          <a:xfrm>
            <a:off x="372118" y="10184758"/>
            <a:ext cx="6548248" cy="462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600" b="1">
                <a:solidFill>
                  <a:sysClr val="windowText" lastClr="000000"/>
                </a:solidFill>
              </a:rPr>
              <a:t>BIFOLD DOOR SYSTEM</a:t>
            </a:r>
          </a:p>
        </xdr:txBody>
      </xdr:sp>
      <xdr:sp macro="" textlink="">
        <xdr:nvSpPr>
          <xdr:cNvPr id="22" name="TextBox 21">
            <a:extLst>
              <a:ext uri="{FF2B5EF4-FFF2-40B4-BE49-F238E27FC236}">
                <a16:creationId xmlns:a16="http://schemas.microsoft.com/office/drawing/2014/main" id="{3DC5F5EF-C492-4B42-B95C-35EEAF5EB4B9}"/>
              </a:ext>
            </a:extLst>
          </xdr:cNvPr>
          <xdr:cNvSpPr txBox="1"/>
        </xdr:nvSpPr>
        <xdr:spPr>
          <a:xfrm>
            <a:off x="631031" y="5342695"/>
            <a:ext cx="8198813" cy="430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600" b="1">
                <a:solidFill>
                  <a:sysClr val="windowText" lastClr="000000"/>
                </a:solidFill>
              </a:rPr>
              <a:t>MULTI-SLIDE DOOR</a:t>
            </a:r>
            <a:r>
              <a:rPr lang="en-US" sz="1600" b="1" baseline="0">
                <a:solidFill>
                  <a:sysClr val="windowText" lastClr="000000"/>
                </a:solidFill>
              </a:rPr>
              <a:t> SYSTEM</a:t>
            </a:r>
            <a:endParaRPr lang="en-US" sz="1600" b="1">
              <a:solidFill>
                <a:sysClr val="windowText" lastClr="000000"/>
              </a:solidFill>
            </a:endParaRPr>
          </a:p>
        </xdr:txBody>
      </xdr:sp>
      <xdr:sp macro="" textlink="">
        <xdr:nvSpPr>
          <xdr:cNvPr id="23" name="TextBox 22">
            <a:extLst>
              <a:ext uri="{FF2B5EF4-FFF2-40B4-BE49-F238E27FC236}">
                <a16:creationId xmlns:a16="http://schemas.microsoft.com/office/drawing/2014/main" id="{FA11D165-75A3-4EBF-955C-F60DA5E43463}"/>
              </a:ext>
            </a:extLst>
          </xdr:cNvPr>
          <xdr:cNvSpPr txBox="1"/>
        </xdr:nvSpPr>
        <xdr:spPr>
          <a:xfrm>
            <a:off x="6897425" y="11836134"/>
            <a:ext cx="2519461" cy="4608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b="1">
                <a:solidFill>
                  <a:sysClr val="windowText" lastClr="000000"/>
                </a:solidFill>
              </a:rPr>
              <a:t>Panels hung off of Header</a:t>
            </a:r>
          </a:p>
        </xdr:txBody>
      </xdr:sp>
      <xdr:cxnSp macro="">
        <xdr:nvCxnSpPr>
          <xdr:cNvPr id="24" name="Straight Arrow Connector 23">
            <a:extLst>
              <a:ext uri="{FF2B5EF4-FFF2-40B4-BE49-F238E27FC236}">
                <a16:creationId xmlns:a16="http://schemas.microsoft.com/office/drawing/2014/main" id="{5686FFEE-1D42-4549-8747-54FB1423AA33}"/>
              </a:ext>
            </a:extLst>
          </xdr:cNvPr>
          <xdr:cNvCxnSpPr/>
        </xdr:nvCxnSpPr>
        <xdr:spPr>
          <a:xfrm flipH="1">
            <a:off x="6465094" y="9906000"/>
            <a:ext cx="404812" cy="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5" name="Straight Arrow Connector 24">
            <a:extLst>
              <a:ext uri="{FF2B5EF4-FFF2-40B4-BE49-F238E27FC236}">
                <a16:creationId xmlns:a16="http://schemas.microsoft.com/office/drawing/2014/main" id="{CC5F2825-AF99-4B70-9548-9353F1147223}"/>
              </a:ext>
            </a:extLst>
          </xdr:cNvPr>
          <xdr:cNvCxnSpPr/>
        </xdr:nvCxnSpPr>
        <xdr:spPr>
          <a:xfrm flipH="1">
            <a:off x="6528331" y="11990916"/>
            <a:ext cx="404812" cy="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67</xdr:col>
      <xdr:colOff>161925</xdr:colOff>
      <xdr:row>3</xdr:row>
      <xdr:rowOff>57150</xdr:rowOff>
    </xdr:from>
    <xdr:to>
      <xdr:col>78</xdr:col>
      <xdr:colOff>466725</xdr:colOff>
      <xdr:row>30</xdr:row>
      <xdr:rowOff>141175</xdr:rowOff>
    </xdr:to>
    <xdr:pic>
      <xdr:nvPicPr>
        <xdr:cNvPr id="5" name="Picture 4">
          <a:extLst>
            <a:ext uri="{FF2B5EF4-FFF2-40B4-BE49-F238E27FC236}">
              <a16:creationId xmlns:a16="http://schemas.microsoft.com/office/drawing/2014/main" id="{0983C035-3A35-6B68-759E-71EBE6E299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623250" y="657225"/>
          <a:ext cx="7010400" cy="548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47625</xdr:colOff>
      <xdr:row>37</xdr:row>
      <xdr:rowOff>47625</xdr:rowOff>
    </xdr:from>
    <xdr:to>
      <xdr:col>38</xdr:col>
      <xdr:colOff>552450</xdr:colOff>
      <xdr:row>47</xdr:row>
      <xdr:rowOff>164148</xdr:rowOff>
    </xdr:to>
    <xdr:pic>
      <xdr:nvPicPr>
        <xdr:cNvPr id="6" name="Picture 5">
          <a:extLst>
            <a:ext uri="{FF2B5EF4-FFF2-40B4-BE49-F238E27FC236}">
              <a16:creationId xmlns:a16="http://schemas.microsoft.com/office/drawing/2014/main" id="{060B7F88-D0A0-7492-0D85-8BA575C9AE00}"/>
            </a:ext>
          </a:extLst>
        </xdr:cNvPr>
        <xdr:cNvPicPr>
          <a:picLocks noChangeAspect="1"/>
        </xdr:cNvPicPr>
      </xdr:nvPicPr>
      <xdr:blipFill>
        <a:blip xmlns:r="http://schemas.openxmlformats.org/officeDocument/2006/relationships" r:embed="rId2"/>
        <a:stretch>
          <a:fillRect/>
        </a:stretch>
      </xdr:blipFill>
      <xdr:spPr>
        <a:xfrm>
          <a:off x="10953750" y="7048500"/>
          <a:ext cx="5381625" cy="2116773"/>
        </a:xfrm>
        <a:prstGeom prst="rect">
          <a:avLst/>
        </a:prstGeom>
      </xdr:spPr>
    </xdr:pic>
    <xdr:clientData/>
  </xdr:twoCellAnchor>
  <xdr:twoCellAnchor editAs="oneCell">
    <xdr:from>
      <xdr:col>67</xdr:col>
      <xdr:colOff>57149</xdr:colOff>
      <xdr:row>55</xdr:row>
      <xdr:rowOff>47624</xdr:rowOff>
    </xdr:from>
    <xdr:to>
      <xdr:col>83</xdr:col>
      <xdr:colOff>561975</xdr:colOff>
      <xdr:row>71</xdr:row>
      <xdr:rowOff>95561</xdr:rowOff>
    </xdr:to>
    <xdr:pic>
      <xdr:nvPicPr>
        <xdr:cNvPr id="7" name="Picture 6">
          <a:extLst>
            <a:ext uri="{FF2B5EF4-FFF2-40B4-BE49-F238E27FC236}">
              <a16:creationId xmlns:a16="http://schemas.microsoft.com/office/drawing/2014/main" id="{EA1E63CE-698F-C5CB-1D20-7A0EFC23E397}"/>
            </a:ext>
          </a:extLst>
        </xdr:cNvPr>
        <xdr:cNvPicPr>
          <a:picLocks noChangeAspect="1"/>
        </xdr:cNvPicPr>
      </xdr:nvPicPr>
      <xdr:blipFill>
        <a:blip xmlns:r="http://schemas.openxmlformats.org/officeDocument/2006/relationships" r:embed="rId3"/>
        <a:stretch>
          <a:fillRect/>
        </a:stretch>
      </xdr:blipFill>
      <xdr:spPr>
        <a:xfrm>
          <a:off x="33518474" y="11048999"/>
          <a:ext cx="10258426" cy="3248337"/>
        </a:xfrm>
        <a:prstGeom prst="rect">
          <a:avLst/>
        </a:prstGeom>
      </xdr:spPr>
    </xdr:pic>
    <xdr:clientData/>
  </xdr:twoCellAnchor>
  <xdr:twoCellAnchor editAs="oneCell">
    <xdr:from>
      <xdr:col>48</xdr:col>
      <xdr:colOff>47625</xdr:colOff>
      <xdr:row>21</xdr:row>
      <xdr:rowOff>44964</xdr:rowOff>
    </xdr:from>
    <xdr:to>
      <xdr:col>56</xdr:col>
      <xdr:colOff>571500</xdr:colOff>
      <xdr:row>40</xdr:row>
      <xdr:rowOff>137020</xdr:rowOff>
    </xdr:to>
    <xdr:pic>
      <xdr:nvPicPr>
        <xdr:cNvPr id="8" name="Picture 7">
          <a:extLst>
            <a:ext uri="{FF2B5EF4-FFF2-40B4-BE49-F238E27FC236}">
              <a16:creationId xmlns:a16="http://schemas.microsoft.com/office/drawing/2014/main" id="{60138D03-8266-0D42-6EAA-1A9DCDA5FFC4}"/>
            </a:ext>
          </a:extLst>
        </xdr:cNvPr>
        <xdr:cNvPicPr>
          <a:picLocks noChangeAspect="1"/>
        </xdr:cNvPicPr>
      </xdr:nvPicPr>
      <xdr:blipFill>
        <a:blip xmlns:r="http://schemas.openxmlformats.org/officeDocument/2006/relationships" r:embed="rId4"/>
        <a:stretch>
          <a:fillRect/>
        </a:stretch>
      </xdr:blipFill>
      <xdr:spPr>
        <a:xfrm>
          <a:off x="21926550" y="4245489"/>
          <a:ext cx="5400675" cy="3892531"/>
        </a:xfrm>
        <a:prstGeom prst="rect">
          <a:avLst/>
        </a:prstGeom>
      </xdr:spPr>
    </xdr:pic>
    <xdr:clientData/>
  </xdr:twoCellAnchor>
  <xdr:twoCellAnchor editAs="oneCell">
    <xdr:from>
      <xdr:col>48</xdr:col>
      <xdr:colOff>85725</xdr:colOff>
      <xdr:row>3</xdr:row>
      <xdr:rowOff>38102</xdr:rowOff>
    </xdr:from>
    <xdr:to>
      <xdr:col>56</xdr:col>
      <xdr:colOff>514350</xdr:colOff>
      <xdr:row>18</xdr:row>
      <xdr:rowOff>176021</xdr:rowOff>
    </xdr:to>
    <xdr:pic>
      <xdr:nvPicPr>
        <xdr:cNvPr id="9" name="Picture 8">
          <a:extLst>
            <a:ext uri="{FF2B5EF4-FFF2-40B4-BE49-F238E27FC236}">
              <a16:creationId xmlns:a16="http://schemas.microsoft.com/office/drawing/2014/main" id="{493224DE-4988-9E71-EA5D-7280D9F636C5}"/>
            </a:ext>
          </a:extLst>
        </xdr:cNvPr>
        <xdr:cNvPicPr>
          <a:picLocks noChangeAspect="1"/>
        </xdr:cNvPicPr>
      </xdr:nvPicPr>
      <xdr:blipFill>
        <a:blip xmlns:r="http://schemas.openxmlformats.org/officeDocument/2006/relationships" r:embed="rId5"/>
        <a:stretch>
          <a:fillRect/>
        </a:stretch>
      </xdr:blipFill>
      <xdr:spPr>
        <a:xfrm>
          <a:off x="21964650" y="638177"/>
          <a:ext cx="5305425" cy="3138294"/>
        </a:xfrm>
        <a:prstGeom prst="rect">
          <a:avLst/>
        </a:prstGeom>
      </xdr:spPr>
    </xdr:pic>
    <xdr:clientData/>
  </xdr:twoCellAnchor>
  <xdr:twoCellAnchor editAs="oneCell">
    <xdr:from>
      <xdr:col>57</xdr:col>
      <xdr:colOff>85725</xdr:colOff>
      <xdr:row>3</xdr:row>
      <xdr:rowOff>66675</xdr:rowOff>
    </xdr:from>
    <xdr:to>
      <xdr:col>66</xdr:col>
      <xdr:colOff>552450</xdr:colOff>
      <xdr:row>24</xdr:row>
      <xdr:rowOff>133871</xdr:rowOff>
    </xdr:to>
    <xdr:pic>
      <xdr:nvPicPr>
        <xdr:cNvPr id="10" name="Picture 9">
          <a:extLst>
            <a:ext uri="{FF2B5EF4-FFF2-40B4-BE49-F238E27FC236}">
              <a16:creationId xmlns:a16="http://schemas.microsoft.com/office/drawing/2014/main" id="{0ECC4779-C61F-343E-67D0-E3CB20462588}"/>
            </a:ext>
          </a:extLst>
        </xdr:cNvPr>
        <xdr:cNvPicPr>
          <a:picLocks noChangeAspect="1"/>
        </xdr:cNvPicPr>
      </xdr:nvPicPr>
      <xdr:blipFill>
        <a:blip xmlns:r="http://schemas.openxmlformats.org/officeDocument/2006/relationships" r:embed="rId6"/>
        <a:stretch>
          <a:fillRect/>
        </a:stretch>
      </xdr:blipFill>
      <xdr:spPr>
        <a:xfrm>
          <a:off x="27451050" y="666750"/>
          <a:ext cx="5953125" cy="4267721"/>
        </a:xfrm>
        <a:prstGeom prst="rect">
          <a:avLst/>
        </a:prstGeom>
      </xdr:spPr>
    </xdr:pic>
    <xdr:clientData/>
  </xdr:twoCellAnchor>
  <xdr:twoCellAnchor editAs="oneCell">
    <xdr:from>
      <xdr:col>67</xdr:col>
      <xdr:colOff>47624</xdr:colOff>
      <xdr:row>74</xdr:row>
      <xdr:rowOff>47625</xdr:rowOff>
    </xdr:from>
    <xdr:to>
      <xdr:col>83</xdr:col>
      <xdr:colOff>424957</xdr:colOff>
      <xdr:row>79</xdr:row>
      <xdr:rowOff>114300</xdr:rowOff>
    </xdr:to>
    <xdr:pic>
      <xdr:nvPicPr>
        <xdr:cNvPr id="11" name="Picture 10">
          <a:extLst>
            <a:ext uri="{FF2B5EF4-FFF2-40B4-BE49-F238E27FC236}">
              <a16:creationId xmlns:a16="http://schemas.microsoft.com/office/drawing/2014/main" id="{F8AC7A11-86AA-D383-0105-6318D2B897C4}"/>
            </a:ext>
          </a:extLst>
        </xdr:cNvPr>
        <xdr:cNvPicPr>
          <a:picLocks noChangeAspect="1"/>
        </xdr:cNvPicPr>
      </xdr:nvPicPr>
      <xdr:blipFill rotWithShape="1">
        <a:blip xmlns:r="http://schemas.openxmlformats.org/officeDocument/2006/relationships" r:embed="rId7"/>
        <a:srcRect b="85479"/>
        <a:stretch/>
      </xdr:blipFill>
      <xdr:spPr>
        <a:xfrm>
          <a:off x="33508949" y="14849475"/>
          <a:ext cx="10130933" cy="1066800"/>
        </a:xfrm>
        <a:prstGeom prst="rect">
          <a:avLst/>
        </a:prstGeom>
      </xdr:spPr>
    </xdr:pic>
    <xdr:clientData/>
  </xdr:twoCellAnchor>
  <xdr:twoCellAnchor editAs="oneCell">
    <xdr:from>
      <xdr:col>67</xdr:col>
      <xdr:colOff>47624</xdr:colOff>
      <xdr:row>33</xdr:row>
      <xdr:rowOff>57150</xdr:rowOff>
    </xdr:from>
    <xdr:to>
      <xdr:col>83</xdr:col>
      <xdr:colOff>581025</xdr:colOff>
      <xdr:row>52</xdr:row>
      <xdr:rowOff>136299</xdr:rowOff>
    </xdr:to>
    <xdr:pic>
      <xdr:nvPicPr>
        <xdr:cNvPr id="12" name="Picture 11">
          <a:extLst>
            <a:ext uri="{FF2B5EF4-FFF2-40B4-BE49-F238E27FC236}">
              <a16:creationId xmlns:a16="http://schemas.microsoft.com/office/drawing/2014/main" id="{9ED6E672-85DB-6C64-D6D6-BDED672DA4A6}"/>
            </a:ext>
          </a:extLst>
        </xdr:cNvPr>
        <xdr:cNvPicPr>
          <a:picLocks noChangeAspect="1"/>
        </xdr:cNvPicPr>
      </xdr:nvPicPr>
      <xdr:blipFill>
        <a:blip xmlns:r="http://schemas.openxmlformats.org/officeDocument/2006/relationships" r:embed="rId8"/>
        <a:stretch>
          <a:fillRect/>
        </a:stretch>
      </xdr:blipFill>
      <xdr:spPr>
        <a:xfrm>
          <a:off x="33508949" y="6657975"/>
          <a:ext cx="10287001" cy="3879624"/>
        </a:xfrm>
        <a:prstGeom prst="rect">
          <a:avLst/>
        </a:prstGeom>
      </xdr:spPr>
    </xdr:pic>
    <xdr:clientData/>
  </xdr:twoCellAnchor>
  <xdr:twoCellAnchor editAs="oneCell">
    <xdr:from>
      <xdr:col>67</xdr:col>
      <xdr:colOff>47625</xdr:colOff>
      <xdr:row>79</xdr:row>
      <xdr:rowOff>114299</xdr:rowOff>
    </xdr:from>
    <xdr:to>
      <xdr:col>83</xdr:col>
      <xdr:colOff>428625</xdr:colOff>
      <xdr:row>83</xdr:row>
      <xdr:rowOff>106967</xdr:rowOff>
    </xdr:to>
    <xdr:pic>
      <xdr:nvPicPr>
        <xdr:cNvPr id="13" name="Picture 12">
          <a:extLst>
            <a:ext uri="{FF2B5EF4-FFF2-40B4-BE49-F238E27FC236}">
              <a16:creationId xmlns:a16="http://schemas.microsoft.com/office/drawing/2014/main" id="{98E5842D-5DB0-4C07-8D96-0DB7D0C1EE94}"/>
            </a:ext>
          </a:extLst>
        </xdr:cNvPr>
        <xdr:cNvPicPr>
          <a:picLocks noChangeAspect="1"/>
        </xdr:cNvPicPr>
      </xdr:nvPicPr>
      <xdr:blipFill rotWithShape="1">
        <a:blip xmlns:r="http://schemas.openxmlformats.org/officeDocument/2006/relationships" r:embed="rId7"/>
        <a:srcRect t="54349" b="34864"/>
        <a:stretch/>
      </xdr:blipFill>
      <xdr:spPr>
        <a:xfrm>
          <a:off x="33508950" y="15916274"/>
          <a:ext cx="10134600" cy="792768"/>
        </a:xfrm>
        <a:prstGeom prst="rect">
          <a:avLst/>
        </a:prstGeom>
      </xdr:spPr>
    </xdr:pic>
    <xdr:clientData/>
  </xdr:twoCellAnchor>
  <xdr:twoCellAnchor editAs="oneCell">
    <xdr:from>
      <xdr:col>57</xdr:col>
      <xdr:colOff>85725</xdr:colOff>
      <xdr:row>27</xdr:row>
      <xdr:rowOff>47625</xdr:rowOff>
    </xdr:from>
    <xdr:to>
      <xdr:col>66</xdr:col>
      <xdr:colOff>523875</xdr:colOff>
      <xdr:row>65</xdr:row>
      <xdr:rowOff>136819</xdr:rowOff>
    </xdr:to>
    <xdr:pic>
      <xdr:nvPicPr>
        <xdr:cNvPr id="15" name="Picture 14">
          <a:extLst>
            <a:ext uri="{FF2B5EF4-FFF2-40B4-BE49-F238E27FC236}">
              <a16:creationId xmlns:a16="http://schemas.microsoft.com/office/drawing/2014/main" id="{23BF8DD1-3FE7-EEB5-E8DC-5DE40496781C}"/>
            </a:ext>
          </a:extLst>
        </xdr:cNvPr>
        <xdr:cNvPicPr>
          <a:picLocks noChangeAspect="1"/>
        </xdr:cNvPicPr>
      </xdr:nvPicPr>
      <xdr:blipFill>
        <a:blip xmlns:r="http://schemas.openxmlformats.org/officeDocument/2006/relationships" r:embed="rId9"/>
        <a:stretch>
          <a:fillRect/>
        </a:stretch>
      </xdr:blipFill>
      <xdr:spPr>
        <a:xfrm>
          <a:off x="27451050" y="5448300"/>
          <a:ext cx="5924550" cy="7690144"/>
        </a:xfrm>
        <a:prstGeom prst="rect">
          <a:avLst/>
        </a:prstGeom>
      </xdr:spPr>
    </xdr:pic>
    <xdr:clientData/>
  </xdr:twoCellAnchor>
  <xdr:twoCellAnchor editAs="oneCell">
    <xdr:from>
      <xdr:col>30</xdr:col>
      <xdr:colOff>66674</xdr:colOff>
      <xdr:row>3</xdr:row>
      <xdr:rowOff>38101</xdr:rowOff>
    </xdr:from>
    <xdr:to>
      <xdr:col>45</xdr:col>
      <xdr:colOff>447675</xdr:colOff>
      <xdr:row>32</xdr:row>
      <xdr:rowOff>147890</xdr:rowOff>
    </xdr:to>
    <xdr:pic>
      <xdr:nvPicPr>
        <xdr:cNvPr id="18" name="Picture 17">
          <a:extLst>
            <a:ext uri="{FF2B5EF4-FFF2-40B4-BE49-F238E27FC236}">
              <a16:creationId xmlns:a16="http://schemas.microsoft.com/office/drawing/2014/main" id="{23C900A2-8F60-4B09-B4A7-A644293A08CA}"/>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972799" y="638176"/>
          <a:ext cx="9525001" cy="59105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66675</xdr:colOff>
      <xdr:row>43</xdr:row>
      <xdr:rowOff>38100</xdr:rowOff>
    </xdr:from>
    <xdr:to>
      <xdr:col>56</xdr:col>
      <xdr:colOff>560254</xdr:colOff>
      <xdr:row>71</xdr:row>
      <xdr:rowOff>123825</xdr:rowOff>
    </xdr:to>
    <xdr:pic>
      <xdr:nvPicPr>
        <xdr:cNvPr id="3" name="Picture 2">
          <a:extLst>
            <a:ext uri="{FF2B5EF4-FFF2-40B4-BE49-F238E27FC236}">
              <a16:creationId xmlns:a16="http://schemas.microsoft.com/office/drawing/2014/main" id="{E6E8A260-1751-4701-A584-E3981CAB1ED5}"/>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8992850" y="11858625"/>
          <a:ext cx="3541579" cy="5686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297658</xdr:colOff>
      <xdr:row>4</xdr:row>
      <xdr:rowOff>35718</xdr:rowOff>
    </xdr:from>
    <xdr:to>
      <xdr:col>10</xdr:col>
      <xdr:colOff>321469</xdr:colOff>
      <xdr:row>57</xdr:row>
      <xdr:rowOff>62930</xdr:rowOff>
    </xdr:to>
    <xdr:pic>
      <xdr:nvPicPr>
        <xdr:cNvPr id="3" name="Picture 2">
          <a:extLst>
            <a:ext uri="{FF2B5EF4-FFF2-40B4-BE49-F238E27FC236}">
              <a16:creationId xmlns:a16="http://schemas.microsoft.com/office/drawing/2014/main" id="{7364216C-D858-4CB1-BFBA-042413C0ABA3}"/>
            </a:ext>
          </a:extLst>
        </xdr:cNvPr>
        <xdr:cNvPicPr>
          <a:picLocks noChangeAspect="1"/>
        </xdr:cNvPicPr>
      </xdr:nvPicPr>
      <xdr:blipFill>
        <a:blip xmlns:r="http://schemas.openxmlformats.org/officeDocument/2006/relationships" r:embed="rId1"/>
        <a:stretch>
          <a:fillRect/>
        </a:stretch>
      </xdr:blipFill>
      <xdr:spPr>
        <a:xfrm>
          <a:off x="297658" y="809624"/>
          <a:ext cx="6095999" cy="10123712"/>
        </a:xfrm>
        <a:prstGeom prst="rect">
          <a:avLst/>
        </a:prstGeom>
      </xdr:spPr>
    </xdr:pic>
    <xdr:clientData/>
  </xdr:twoCellAnchor>
  <xdr:twoCellAnchor editAs="oneCell">
    <xdr:from>
      <xdr:col>11</xdr:col>
      <xdr:colOff>142875</xdr:colOff>
      <xdr:row>11</xdr:row>
      <xdr:rowOff>83344</xdr:rowOff>
    </xdr:from>
    <xdr:to>
      <xdr:col>26</xdr:col>
      <xdr:colOff>155988</xdr:colOff>
      <xdr:row>48</xdr:row>
      <xdr:rowOff>26194</xdr:rowOff>
    </xdr:to>
    <xdr:pic>
      <xdr:nvPicPr>
        <xdr:cNvPr id="4" name="Picture 3">
          <a:extLst>
            <a:ext uri="{FF2B5EF4-FFF2-40B4-BE49-F238E27FC236}">
              <a16:creationId xmlns:a16="http://schemas.microsoft.com/office/drawing/2014/main" id="{CD900A9A-3757-4B3E-8D02-64D1DAE1AB6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6822281" y="2190750"/>
          <a:ext cx="9121395" cy="6991350"/>
        </a:xfrm>
        <a:prstGeom prst="rect">
          <a:avLst/>
        </a:prstGeom>
        <a:noFill/>
        <a:ln w="12700" cap="flat" cmpd="sng">
          <a:solidFill>
            <a:schemeClr val="bg1"/>
          </a:solidFill>
          <a:prstDash val="solid"/>
          <a:miter lim="800000"/>
          <a:headEnd type="none" w="sm" len="sm"/>
          <a:tailEnd type="none" w="sm" len="sm"/>
        </a:ln>
        <a:effectLst>
          <a:outerShdw blurRad="50800" dist="38100" dir="2700000" algn="tl" rotWithShape="0">
            <a:prstClr val="black">
              <a:alpha val="40000"/>
            </a:prstClr>
          </a:outerShdw>
        </a:effec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1649</xdr:colOff>
      <xdr:row>4</xdr:row>
      <xdr:rowOff>37691</xdr:rowOff>
    </xdr:from>
    <xdr:to>
      <xdr:col>19</xdr:col>
      <xdr:colOff>133611</xdr:colOff>
      <xdr:row>42</xdr:row>
      <xdr:rowOff>141548</xdr:rowOff>
    </xdr:to>
    <xdr:pic>
      <xdr:nvPicPr>
        <xdr:cNvPr id="12" name="Picture 11">
          <a:extLst>
            <a:ext uri="{FF2B5EF4-FFF2-40B4-BE49-F238E27FC236}">
              <a16:creationId xmlns:a16="http://schemas.microsoft.com/office/drawing/2014/main" id="{93F90922-7A90-4D43-AE3B-614F7A15852F}"/>
            </a:ext>
          </a:extLst>
        </xdr:cNvPr>
        <xdr:cNvPicPr>
          <a:picLocks noChangeAspect="1"/>
        </xdr:cNvPicPr>
      </xdr:nvPicPr>
      <xdr:blipFill>
        <a:blip xmlns:r="http://schemas.openxmlformats.org/officeDocument/2006/relationships" r:embed="rId1"/>
        <a:stretch>
          <a:fillRect/>
        </a:stretch>
      </xdr:blipFill>
      <xdr:spPr>
        <a:xfrm>
          <a:off x="611249" y="1180691"/>
          <a:ext cx="11104762" cy="7342857"/>
        </a:xfrm>
        <a:prstGeom prst="rect">
          <a:avLst/>
        </a:prstGeom>
      </xdr:spPr>
    </xdr:pic>
    <xdr:clientData/>
  </xdr:twoCellAnchor>
  <xdr:twoCellAnchor>
    <xdr:from>
      <xdr:col>1</xdr:col>
      <xdr:colOff>404812</xdr:colOff>
      <xdr:row>27</xdr:row>
      <xdr:rowOff>0</xdr:rowOff>
    </xdr:from>
    <xdr:to>
      <xdr:col>4</xdr:col>
      <xdr:colOff>178594</xdr:colOff>
      <xdr:row>30</xdr:row>
      <xdr:rowOff>23812</xdr:rowOff>
    </xdr:to>
    <xdr:sp macro="" textlink="">
      <xdr:nvSpPr>
        <xdr:cNvPr id="13" name="TextBox 12">
          <a:extLst>
            <a:ext uri="{FF2B5EF4-FFF2-40B4-BE49-F238E27FC236}">
              <a16:creationId xmlns:a16="http://schemas.microsoft.com/office/drawing/2014/main" id="{EDC32066-B3DE-4780-A4F7-9D7E3F852175}"/>
            </a:ext>
          </a:extLst>
        </xdr:cNvPr>
        <xdr:cNvSpPr txBox="1"/>
      </xdr:nvSpPr>
      <xdr:spPr>
        <a:xfrm>
          <a:off x="1014412" y="5524500"/>
          <a:ext cx="1602582" cy="5953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5</xdr:col>
      <xdr:colOff>92867</xdr:colOff>
      <xdr:row>31</xdr:row>
      <xdr:rowOff>164306</xdr:rowOff>
    </xdr:from>
    <xdr:to>
      <xdr:col>15</xdr:col>
      <xdr:colOff>214312</xdr:colOff>
      <xdr:row>35</xdr:row>
      <xdr:rowOff>119062</xdr:rowOff>
    </xdr:to>
    <xdr:sp macro="" textlink="">
      <xdr:nvSpPr>
        <xdr:cNvPr id="14" name="TextBox 13">
          <a:extLst>
            <a:ext uri="{FF2B5EF4-FFF2-40B4-BE49-F238E27FC236}">
              <a16:creationId xmlns:a16="http://schemas.microsoft.com/office/drawing/2014/main" id="{D567EC5F-3F2B-483A-890B-28945160E9C2}"/>
            </a:ext>
          </a:extLst>
        </xdr:cNvPr>
        <xdr:cNvSpPr txBox="1"/>
      </xdr:nvSpPr>
      <xdr:spPr>
        <a:xfrm>
          <a:off x="3140867" y="6450806"/>
          <a:ext cx="6217445" cy="71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t>» For</a:t>
          </a:r>
          <a:r>
            <a:rPr lang="en-US" sz="1400" baseline="0"/>
            <a:t> all building heights, an area with roughness D for </a:t>
          </a:r>
          <a:r>
            <a:rPr lang="en-US" sz="1400" u="sng" baseline="0"/>
            <a:t>&gt;</a:t>
          </a:r>
          <a:r>
            <a:rPr lang="en-US" sz="1400" baseline="0"/>
            <a:t> greater of 5,000 ft. or 20h, starting ≤ greater of 600ft. or 20h away from building</a:t>
          </a:r>
        </a:p>
        <a:p>
          <a:endParaRPr lang="en-US" sz="1400"/>
        </a:p>
      </xdr:txBody>
    </xdr:sp>
    <xdr:clientData/>
  </xdr:twoCellAnchor>
  <xdr:twoCellAnchor>
    <xdr:from>
      <xdr:col>7</xdr:col>
      <xdr:colOff>509587</xdr:colOff>
      <xdr:row>26</xdr:row>
      <xdr:rowOff>176212</xdr:rowOff>
    </xdr:from>
    <xdr:to>
      <xdr:col>11</xdr:col>
      <xdr:colOff>83344</xdr:colOff>
      <xdr:row>28</xdr:row>
      <xdr:rowOff>119062</xdr:rowOff>
    </xdr:to>
    <xdr:sp macro="" textlink="">
      <xdr:nvSpPr>
        <xdr:cNvPr id="15" name="TextBox 14">
          <a:extLst>
            <a:ext uri="{FF2B5EF4-FFF2-40B4-BE49-F238E27FC236}">
              <a16:creationId xmlns:a16="http://schemas.microsoft.com/office/drawing/2014/main" id="{5C991D53-4504-4369-9A96-F6135694D985}"/>
            </a:ext>
          </a:extLst>
        </xdr:cNvPr>
        <xdr:cNvSpPr txBox="1"/>
      </xdr:nvSpPr>
      <xdr:spPr>
        <a:xfrm>
          <a:off x="4776787" y="5510212"/>
          <a:ext cx="2012157" cy="323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editAs="oneCell">
    <xdr:from>
      <xdr:col>5</xdr:col>
      <xdr:colOff>392906</xdr:colOff>
      <xdr:row>40</xdr:row>
      <xdr:rowOff>35719</xdr:rowOff>
    </xdr:from>
    <xdr:to>
      <xdr:col>14</xdr:col>
      <xdr:colOff>110260</xdr:colOff>
      <xdr:row>50</xdr:row>
      <xdr:rowOff>159827</xdr:rowOff>
    </xdr:to>
    <xdr:pic>
      <xdr:nvPicPr>
        <xdr:cNvPr id="16" name="Picture 15">
          <a:extLst>
            <a:ext uri="{FF2B5EF4-FFF2-40B4-BE49-F238E27FC236}">
              <a16:creationId xmlns:a16="http://schemas.microsoft.com/office/drawing/2014/main" id="{755227D8-1D86-4FAE-93E8-DB9215A96AA7}"/>
            </a:ext>
          </a:extLst>
        </xdr:cNvPr>
        <xdr:cNvPicPr>
          <a:picLocks noChangeAspect="1"/>
        </xdr:cNvPicPr>
      </xdr:nvPicPr>
      <xdr:blipFill>
        <a:blip xmlns:r="http://schemas.openxmlformats.org/officeDocument/2006/relationships" r:embed="rId2"/>
        <a:stretch>
          <a:fillRect/>
        </a:stretch>
      </xdr:blipFill>
      <xdr:spPr>
        <a:xfrm>
          <a:off x="3429000" y="7655719"/>
          <a:ext cx="5182323" cy="2029108"/>
        </a:xfrm>
        <a:prstGeom prst="rect">
          <a:avLst/>
        </a:prstGeom>
        <a:ln>
          <a:solidFill>
            <a:sysClr val="windowText" lastClr="000000"/>
          </a:solidFill>
        </a:ln>
      </xdr:spPr>
    </xdr:pic>
    <xdr:clientData/>
  </xdr:twoCellAnchor>
  <xdr:twoCellAnchor editAs="oneCell">
    <xdr:from>
      <xdr:col>20</xdr:col>
      <xdr:colOff>0</xdr:colOff>
      <xdr:row>4</xdr:row>
      <xdr:rowOff>0</xdr:rowOff>
    </xdr:from>
    <xdr:to>
      <xdr:col>45</xdr:col>
      <xdr:colOff>252185</xdr:colOff>
      <xdr:row>26</xdr:row>
      <xdr:rowOff>124427</xdr:rowOff>
    </xdr:to>
    <xdr:pic>
      <xdr:nvPicPr>
        <xdr:cNvPr id="2" name="Picture 1">
          <a:extLst>
            <a:ext uri="{FF2B5EF4-FFF2-40B4-BE49-F238E27FC236}">
              <a16:creationId xmlns:a16="http://schemas.microsoft.com/office/drawing/2014/main" id="{36C8D0E8-7C28-D326-4083-75DD979418E4}"/>
            </a:ext>
          </a:extLst>
        </xdr:cNvPr>
        <xdr:cNvPicPr>
          <a:picLocks noChangeAspect="1"/>
        </xdr:cNvPicPr>
      </xdr:nvPicPr>
      <xdr:blipFill>
        <a:blip xmlns:r="http://schemas.openxmlformats.org/officeDocument/2006/relationships" r:embed="rId3"/>
        <a:stretch>
          <a:fillRect/>
        </a:stretch>
      </xdr:blipFill>
      <xdr:spPr>
        <a:xfrm>
          <a:off x="12144375" y="762000"/>
          <a:ext cx="15432654" cy="431542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xdr:col>
      <xdr:colOff>567760</xdr:colOff>
      <xdr:row>44</xdr:row>
      <xdr:rowOff>15309</xdr:rowOff>
    </xdr:from>
    <xdr:to>
      <xdr:col>21</xdr:col>
      <xdr:colOff>241527</xdr:colOff>
      <xdr:row>47</xdr:row>
      <xdr:rowOff>96271</xdr:rowOff>
    </xdr:to>
    <xdr:pic>
      <xdr:nvPicPr>
        <xdr:cNvPr id="11" name="Picture 10">
          <a:extLst>
            <a:ext uri="{FF2B5EF4-FFF2-40B4-BE49-F238E27FC236}">
              <a16:creationId xmlns:a16="http://schemas.microsoft.com/office/drawing/2014/main" id="{6D24BA7C-A98C-4CF9-96BA-F627FD0FCAE9}"/>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t="79178"/>
        <a:stretch>
          <a:fillRect/>
        </a:stretch>
      </xdr:blipFill>
      <xdr:spPr bwMode="auto">
        <a:xfrm>
          <a:off x="7247166" y="8504465"/>
          <a:ext cx="5745955" cy="652462"/>
        </a:xfrm>
        <a:prstGeom prst="rect">
          <a:avLst/>
        </a:prstGeom>
        <a:solidFill>
          <a:schemeClr val="accent1"/>
        </a:solidFill>
        <a:ln w="25400">
          <a:solidFill>
            <a:srgbClr val="FF0000"/>
          </a:solidFill>
          <a:miter lim="800000"/>
          <a:headEnd type="none" w="sm" len="sm"/>
          <a:tailEnd type="none" w="sm" len="sm"/>
        </a:ln>
        <a:effectLst>
          <a:outerShdw dist="107763" dir="2700000" algn="ctr" rotWithShape="0">
            <a:schemeClr val="bg2">
              <a:alpha val="50000"/>
            </a:schemeClr>
          </a:outerShdw>
        </a:effectLst>
      </xdr:spPr>
    </xdr:pic>
    <xdr:clientData/>
  </xdr:twoCellAnchor>
  <xdr:twoCellAnchor>
    <xdr:from>
      <xdr:col>11</xdr:col>
      <xdr:colOff>548150</xdr:colOff>
      <xdr:row>11</xdr:row>
      <xdr:rowOff>31363</xdr:rowOff>
    </xdr:from>
    <xdr:to>
      <xdr:col>22</xdr:col>
      <xdr:colOff>238391</xdr:colOff>
      <xdr:row>36</xdr:row>
      <xdr:rowOff>10205</xdr:rowOff>
    </xdr:to>
    <xdr:pic>
      <xdr:nvPicPr>
        <xdr:cNvPr id="13" name="Picture 1" descr="image001">
          <a:extLst>
            <a:ext uri="{FF2B5EF4-FFF2-40B4-BE49-F238E27FC236}">
              <a16:creationId xmlns:a16="http://schemas.microsoft.com/office/drawing/2014/main" id="{6DDE4A38-EB15-40CB-9987-6A14A9D087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7227556" y="2222113"/>
          <a:ext cx="6369648" cy="47413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xdr:colOff>
      <xdr:row>10</xdr:row>
      <xdr:rowOff>0</xdr:rowOff>
    </xdr:from>
    <xdr:to>
      <xdr:col>11</xdr:col>
      <xdr:colOff>333376</xdr:colOff>
      <xdr:row>19</xdr:row>
      <xdr:rowOff>127622</xdr:rowOff>
    </xdr:to>
    <xdr:pic>
      <xdr:nvPicPr>
        <xdr:cNvPr id="12" name="Picture 6">
          <a:extLst>
            <a:ext uri="{FF2B5EF4-FFF2-40B4-BE49-F238E27FC236}">
              <a16:creationId xmlns:a16="http://schemas.microsoft.com/office/drawing/2014/main" id="{4E414E15-175A-11BA-133D-0EA6C6A1212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7220" y="2012156"/>
          <a:ext cx="6405562" cy="18421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19</xdr:row>
      <xdr:rowOff>107157</xdr:rowOff>
    </xdr:from>
    <xdr:to>
      <xdr:col>11</xdr:col>
      <xdr:colOff>337757</xdr:colOff>
      <xdr:row>44</xdr:row>
      <xdr:rowOff>145831</xdr:rowOff>
    </xdr:to>
    <xdr:pic>
      <xdr:nvPicPr>
        <xdr:cNvPr id="14" name="Picture 1">
          <a:extLst>
            <a:ext uri="{FF2B5EF4-FFF2-40B4-BE49-F238E27FC236}">
              <a16:creationId xmlns:a16="http://schemas.microsoft.com/office/drawing/2014/main" id="{3AA5C3CD-6113-4EB9-01E8-7E07223482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7219" y="3833813"/>
          <a:ext cx="6409944" cy="4801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13</xdr:col>
      <xdr:colOff>364840</xdr:colOff>
      <xdr:row>4</xdr:row>
      <xdr:rowOff>185740</xdr:rowOff>
    </xdr:from>
    <xdr:to>
      <xdr:col>24</xdr:col>
      <xdr:colOff>516731</xdr:colOff>
      <xdr:row>18</xdr:row>
      <xdr:rowOff>61915</xdr:rowOff>
    </xdr:to>
    <xdr:pic>
      <xdr:nvPicPr>
        <xdr:cNvPr id="2" name="table">
          <a:extLst>
            <a:ext uri="{FF2B5EF4-FFF2-40B4-BE49-F238E27FC236}">
              <a16:creationId xmlns:a16="http://schemas.microsoft.com/office/drawing/2014/main" id="{1A014B1B-46BB-4143-A727-1839EBB1B0A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8258684" y="947740"/>
          <a:ext cx="6831297" cy="2543175"/>
        </a:xfrm>
        <a:prstGeom prst="rect">
          <a:avLst/>
        </a:prstGeom>
        <a:ln w="28575">
          <a:solidFill>
            <a:sysClr val="windowText" lastClr="000000"/>
          </a:solidFill>
        </a:ln>
      </xdr:spPr>
    </xdr:pic>
    <xdr:clientData/>
  </xdr:twoCellAnchor>
  <xdr:twoCellAnchor editAs="oneCell">
    <xdr:from>
      <xdr:col>0</xdr:col>
      <xdr:colOff>114305</xdr:colOff>
      <xdr:row>0</xdr:row>
      <xdr:rowOff>83347</xdr:rowOff>
    </xdr:from>
    <xdr:to>
      <xdr:col>12</xdr:col>
      <xdr:colOff>530057</xdr:colOff>
      <xdr:row>52</xdr:row>
      <xdr:rowOff>96383</xdr:rowOff>
    </xdr:to>
    <xdr:pic>
      <xdr:nvPicPr>
        <xdr:cNvPr id="8" name="Picture 7">
          <a:extLst>
            <a:ext uri="{FF2B5EF4-FFF2-40B4-BE49-F238E27FC236}">
              <a16:creationId xmlns:a16="http://schemas.microsoft.com/office/drawing/2014/main" id="{E6A56CE0-4C57-40BF-B464-44A489E90761}"/>
            </a:ext>
          </a:extLst>
        </xdr:cNvPr>
        <xdr:cNvPicPr>
          <a:picLocks noChangeAspect="1"/>
        </xdr:cNvPicPr>
      </xdr:nvPicPr>
      <xdr:blipFill>
        <a:blip xmlns:r="http://schemas.openxmlformats.org/officeDocument/2006/relationships" r:embed="rId2"/>
        <a:stretch>
          <a:fillRect/>
        </a:stretch>
      </xdr:blipFill>
      <xdr:spPr>
        <a:xfrm rot="5400000">
          <a:off x="-1041649" y="1239301"/>
          <a:ext cx="10014286" cy="7702377"/>
        </a:xfrm>
        <a:prstGeom prst="rect">
          <a:avLst/>
        </a:prstGeom>
      </xdr:spPr>
    </xdr:pic>
    <xdr:clientData/>
  </xdr:twoCellAnchor>
  <xdr:twoCellAnchor editAs="oneCell">
    <xdr:from>
      <xdr:col>0</xdr:col>
      <xdr:colOff>2381</xdr:colOff>
      <xdr:row>53</xdr:row>
      <xdr:rowOff>11911</xdr:rowOff>
    </xdr:from>
    <xdr:to>
      <xdr:col>12</xdr:col>
      <xdr:colOff>580038</xdr:colOff>
      <xdr:row>105</xdr:row>
      <xdr:rowOff>67816</xdr:rowOff>
    </xdr:to>
    <xdr:pic>
      <xdr:nvPicPr>
        <xdr:cNvPr id="9" name="Picture 8">
          <a:extLst>
            <a:ext uri="{FF2B5EF4-FFF2-40B4-BE49-F238E27FC236}">
              <a16:creationId xmlns:a16="http://schemas.microsoft.com/office/drawing/2014/main" id="{9D8F378F-C5FE-489D-AFC4-B52C5CD7C8CF}"/>
            </a:ext>
          </a:extLst>
        </xdr:cNvPr>
        <xdr:cNvPicPr>
          <a:picLocks noChangeAspect="1"/>
        </xdr:cNvPicPr>
      </xdr:nvPicPr>
      <xdr:blipFill>
        <a:blip xmlns:r="http://schemas.openxmlformats.org/officeDocument/2006/relationships" r:embed="rId3"/>
        <a:stretch>
          <a:fillRect/>
        </a:stretch>
      </xdr:blipFill>
      <xdr:spPr>
        <a:xfrm rot="5400000">
          <a:off x="-1046431" y="11228661"/>
          <a:ext cx="9961905" cy="7864282"/>
        </a:xfrm>
        <a:prstGeom prst="rect">
          <a:avLst/>
        </a:prstGeom>
      </xdr:spPr>
    </xdr:pic>
    <xdr:clientData/>
  </xdr:twoCellAnchor>
  <xdr:twoCellAnchor editAs="oneCell">
    <xdr:from>
      <xdr:col>14</xdr:col>
      <xdr:colOff>471335</xdr:colOff>
      <xdr:row>20</xdr:row>
      <xdr:rowOff>154465</xdr:rowOff>
    </xdr:from>
    <xdr:to>
      <xdr:col>24</xdr:col>
      <xdr:colOff>330999</xdr:colOff>
      <xdr:row>61</xdr:row>
      <xdr:rowOff>13040</xdr:rowOff>
    </xdr:to>
    <xdr:pic>
      <xdr:nvPicPr>
        <xdr:cNvPr id="12" name="Picture 11">
          <a:extLst>
            <a:ext uri="{FF2B5EF4-FFF2-40B4-BE49-F238E27FC236}">
              <a16:creationId xmlns:a16="http://schemas.microsoft.com/office/drawing/2014/main" id="{E147FF60-DD9F-4FD1-88D0-11529CE29E58}"/>
            </a:ext>
          </a:extLst>
        </xdr:cNvPr>
        <xdr:cNvPicPr>
          <a:picLocks noChangeAspect="1"/>
        </xdr:cNvPicPr>
      </xdr:nvPicPr>
      <xdr:blipFill>
        <a:blip xmlns:r="http://schemas.openxmlformats.org/officeDocument/2006/relationships" r:embed="rId4"/>
        <a:stretch>
          <a:fillRect/>
        </a:stretch>
      </xdr:blipFill>
      <xdr:spPr>
        <a:xfrm rot="5400000">
          <a:off x="8103786" y="4916421"/>
          <a:ext cx="7669075" cy="5931851"/>
        </a:xfrm>
        <a:prstGeom prst="rect">
          <a:avLst/>
        </a:prstGeom>
        <a:ln w="19050">
          <a:solidFill>
            <a:schemeClr val="tx1"/>
          </a:solid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392850</xdr:colOff>
      <xdr:row>6</xdr:row>
      <xdr:rowOff>2325</xdr:rowOff>
    </xdr:from>
    <xdr:to>
      <xdr:col>18</xdr:col>
      <xdr:colOff>212786</xdr:colOff>
      <xdr:row>17</xdr:row>
      <xdr:rowOff>40723</xdr:rowOff>
    </xdr:to>
    <xdr:pic>
      <xdr:nvPicPr>
        <xdr:cNvPr id="9" name="Picture 8">
          <a:extLst>
            <a:ext uri="{FF2B5EF4-FFF2-40B4-BE49-F238E27FC236}">
              <a16:creationId xmlns:a16="http://schemas.microsoft.com/office/drawing/2014/main" id="{DD644473-8BF1-4A19-BEE1-729D8B48D2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4660050" y="1154850"/>
          <a:ext cx="6525536" cy="2133898"/>
        </a:xfrm>
        <a:prstGeom prst="rect">
          <a:avLst/>
        </a:prstGeom>
        <a:solidFill>
          <a:srgbClr val="000000">
            <a:shade val="95000"/>
          </a:srgbClr>
        </a:solidFill>
        <a:ln w="38100" cap="sq">
          <a:solidFill>
            <a:srgbClr val="000000"/>
          </a:solidFill>
          <a:miter lim="800000"/>
        </a:ln>
        <a:effectLst/>
      </xdr:spPr>
    </xdr:pic>
    <xdr:clientData/>
  </xdr:twoCellAnchor>
  <xdr:twoCellAnchor editAs="oneCell">
    <xdr:from>
      <xdr:col>7</xdr:col>
      <xdr:colOff>390450</xdr:colOff>
      <xdr:row>17</xdr:row>
      <xdr:rowOff>76125</xdr:rowOff>
    </xdr:from>
    <xdr:to>
      <xdr:col>18</xdr:col>
      <xdr:colOff>213666</xdr:colOff>
      <xdr:row>30</xdr:row>
      <xdr:rowOff>31684</xdr:rowOff>
    </xdr:to>
    <xdr:pic>
      <xdr:nvPicPr>
        <xdr:cNvPr id="11" name="Picture 10">
          <a:extLst>
            <a:ext uri="{FF2B5EF4-FFF2-40B4-BE49-F238E27FC236}">
              <a16:creationId xmlns:a16="http://schemas.microsoft.com/office/drawing/2014/main" id="{8A3B85AB-0222-4D8E-B5E6-9B06A6F94F0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57650" y="3505125"/>
          <a:ext cx="6528816" cy="2432059"/>
        </a:xfrm>
        <a:prstGeom prst="rect">
          <a:avLst/>
        </a:prstGeom>
        <a:ln w="38100">
          <a:solidFill>
            <a:schemeClr val="tx1"/>
          </a:solidFill>
        </a:ln>
      </xdr:spPr>
    </xdr:pic>
    <xdr:clientData/>
  </xdr:twoCellAnchor>
  <xdr:twoCellAnchor editAs="oneCell">
    <xdr:from>
      <xdr:col>0</xdr:col>
      <xdr:colOff>188025</xdr:colOff>
      <xdr:row>6</xdr:row>
      <xdr:rowOff>0</xdr:rowOff>
    </xdr:from>
    <xdr:to>
      <xdr:col>7</xdr:col>
      <xdr:colOff>312463</xdr:colOff>
      <xdr:row>32</xdr:row>
      <xdr:rowOff>10218</xdr:rowOff>
    </xdr:to>
    <xdr:pic>
      <xdr:nvPicPr>
        <xdr:cNvPr id="13" name="Picture 12">
          <a:extLst>
            <a:ext uri="{FF2B5EF4-FFF2-40B4-BE49-F238E27FC236}">
              <a16:creationId xmlns:a16="http://schemas.microsoft.com/office/drawing/2014/main" id="{EE2547CF-02B4-4A9F-B63D-5B1A7AD66E3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188025" y="1331025"/>
          <a:ext cx="4391638" cy="4963218"/>
        </a:xfrm>
        <a:prstGeom prst="rect">
          <a:avLst/>
        </a:prstGeom>
        <a:solidFill>
          <a:srgbClr val="000000">
            <a:shade val="95000"/>
          </a:srgbClr>
        </a:solidFill>
        <a:ln w="38100" cap="sq">
          <a:solidFill>
            <a:srgbClr val="000000"/>
          </a:solidFill>
          <a:miter lim="800000"/>
        </a:ln>
        <a:effec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C74331-9B60-4B96-A9F3-AB554AA8E675}" name="Table1" displayName="Table1" ref="B4:E63" totalsRowShown="0" headerRowDxfId="34">
  <autoFilter ref="B4:E63" xr:uid="{7E789CD8-CD97-4338-A044-56D4F16744CB}"/>
  <sortState xmlns:xlrd2="http://schemas.microsoft.com/office/spreadsheetml/2017/richdata2" ref="B5:E63">
    <sortCondition ref="B4:B63"/>
  </sortState>
  <tableColumns count="4">
    <tableColumn id="1" xr3:uid="{A91BB181-A823-4AB2-BC52-D513243E7D75}" name="State/Territory"/>
    <tableColumn id="2" xr3:uid="{9FF46CA5-2EC3-41FA-ABB6-42EFB99ED4FD}" name="ASCE Code" dataDxfId="33" dataCellStyle="Normal 4"/>
    <tableColumn id="3" xr3:uid="{B79C750F-6119-482D-B67E-2EC1E2AED157}" name="IBC Code" dataDxfId="32" dataCellStyle="Normal 4"/>
    <tableColumn id="4" xr3:uid="{43D3450E-C476-4631-816E-188896D7022B}" name="1/8/2025" dataDxfId="31" dataCellStyle="Normal 4"/>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665E0F5-15BD-4C58-8C39-4BA9E061FE35}" name="Table15" displayName="Table15" ref="G4:H12" totalsRowShown="0" headerRowDxfId="30" dataDxfId="28" headerRowBorderDxfId="29" tableBorderDxfId="27" totalsRowBorderDxfId="26" headerRowCellStyle="Normal 4">
  <autoFilter ref="G4:H12" xr:uid="{5F7A25F1-393B-467D-8DEA-FB972C4CC8C3}"/>
  <sortState xmlns:xlrd2="http://schemas.microsoft.com/office/spreadsheetml/2017/richdata2" ref="G5:H9">
    <sortCondition ref="G1:G6"/>
  </sortState>
  <tableColumns count="2">
    <tableColumn id="1" xr3:uid="{F2E15EDB-08F9-478D-84E6-ADBEEF485751}" name="IBC:" dataDxfId="25" dataCellStyle="Normal 4"/>
    <tableColumn id="2" xr3:uid="{744A6ADC-E353-4080-A360-460C52D4A78A}" name="ASCE:" dataDxfId="24" dataCellStyle="Normal 4"/>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fenestrationcanada.ca/calculator/a44os1-17/" TargetMode="External"/><Relationship Id="rId1" Type="http://schemas.openxmlformats.org/officeDocument/2006/relationships/hyperlink" Target="http://www.fenestrationcanada.ca/calculator"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ascehazardtool.org/" TargetMode="External"/><Relationship Id="rId7" Type="http://schemas.openxmlformats.org/officeDocument/2006/relationships/drawing" Target="../drawings/drawing3.xml"/><Relationship Id="rId2" Type="http://schemas.openxmlformats.org/officeDocument/2006/relationships/hyperlink" Target="https://asce7hazardtool.online/" TargetMode="External"/><Relationship Id="rId1" Type="http://schemas.openxmlformats.org/officeDocument/2006/relationships/hyperlink" Target="https://asce7hazardtool.online/" TargetMode="External"/><Relationship Id="rId6" Type="http://schemas.openxmlformats.org/officeDocument/2006/relationships/printerSettings" Target="../printerSettings/printerSettings4.bin"/><Relationship Id="rId5" Type="http://schemas.openxmlformats.org/officeDocument/2006/relationships/hyperlink" Target="https://www.dlubal.com/en/load-zones-for-snow-wind-earthquake/wind-asce-sei-7-16.html" TargetMode="External"/><Relationship Id="rId4" Type="http://schemas.openxmlformats.org/officeDocument/2006/relationships/hyperlink" Target="https://asce7hazardtool.online/"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3" Type="http://schemas.openxmlformats.org/officeDocument/2006/relationships/hyperlink" Target="https://www.dlubal.com/en/load-zones-for-snow-wind-earthquake/wind-asce-sei-7-16.html" TargetMode="External"/><Relationship Id="rId2" Type="http://schemas.openxmlformats.org/officeDocument/2006/relationships/hyperlink" Target="https://ascehazardtool.org/" TargetMode="External"/><Relationship Id="rId1" Type="http://schemas.openxmlformats.org/officeDocument/2006/relationships/hyperlink" Target="https://asce7hazardtool.online/" TargetMode="External"/><Relationship Id="rId6" Type="http://schemas.openxmlformats.org/officeDocument/2006/relationships/printerSettings" Target="../printerSettings/printerSettings5.bin"/><Relationship Id="rId5" Type="http://schemas.openxmlformats.org/officeDocument/2006/relationships/hyperlink" Target="https://pella.sharepoint.com/sites/ArchServices/Reference%20Library/Forms/AllItems.aspx?viewpath=%2Fsites%2FArchServices%2FReference%20Library%2FForms%2FAllItems%2Easpx&amp;xsdata=MDV8MDJ8VklTU0NIRVJFVEBQZWxsYS5jb218MTBlZTRlMDcxNGI3NDJkZTNiZTUwOGRkMzQwODRhNzh8YTY2YjBmNmJkOTUzNGYwOTk1Yjc1MjEzYmQyMzBjMTh8MHwwfDYzODcyMzkzMjM5MDk2MTMwN3xVbmtub3dufFRXRnBiR1pzYjNkOGV5SkZiWEIwZVUxaGNHa2lPblJ5ZFdVc0lsWWlPaUl3TGpBdU1EQXdNQ0lzSWxBaU9pSlhhVzR6TWlJc0lrRk9Jam9pVFdGcGJDSXNJbGRVSWpveWZRPT18MHx8fA%3D%3D&amp;sdata=VkJoU1RmYm82NVc3cnhzc2tLRVRlWDFtdExpOC9QZ3NjcDF6ZTBGcWsvMD0%3D&amp;CT=1742500055606&amp;OR=OWA%2DNT%2DMail&amp;CID=432c3887%2D313f%2D33bf%2Da556%2D8e2f8d1b89fe&amp;clickParams=eyJYLUFwcE5hbWUiOiJNaWNyb3NvZnQgT3V0bG9vayBXZWIgQXBwIiwiWC1BcHBWZXJzaW9uIjoiMjAyNTAzMDcwMDIuMTYiLCJPUyI6IldpbmRvd3MgMTEifQ%3D%3D&amp;id=%2Fsites%2FArchServices%2FReference%20Library%2FWind%20and%20Building%20Codes%2FState%20and%20Region%20Wind%20Codes&amp;viewid=e50d281b%2D1a87%2D4a1f%2D85a3%2Da3a9f386c729" TargetMode="External"/><Relationship Id="rId4" Type="http://schemas.openxmlformats.org/officeDocument/2006/relationships/hyperlink" Target="https://pella.sharepoint.com/sites/ArchServices/Reference%20Library/Forms/AllItems.aspx?viewpath=%2Fsites%2FArchServices%2FReference%20Library%2FForms%2FAllItems%2Easpx&amp;id=%2Fsites%2FArchServices%2FReference%20Library%2FWind%20and%20Building%20Codes%2FASCE%207&amp;viewid=e50d281b%2D1a87%2D4a1f%2D85a3%2Da3a9f386c729&amp;CT=1742500055606&amp;OR=OWA%2DNT%2DMail&amp;CID=432c3887%2D313f%2D33bf%2Da556%2D8e2f8d1b89fe&amp;clickParams=eyJYLUFwcE5hbWUiOiJNaWNyb3NvZnQgT3V0bG9vayBXZWIgQXBwIiwiWC1BcHBWZXJzaW9uIjoiMjAyNTAzMDcwMDIuMTYiLCJPUyI6IldpbmRvd3MgMTEifQ%3D%3D"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hyperlink" Target="https://roofonline.com/weight-of-dimensional-lumber" TargetMode="External"/><Relationship Id="rId2" Type="http://schemas.openxmlformats.org/officeDocument/2006/relationships/hyperlink" Target="https://www.engineeringtoolbox.com/square-hollow-structural-sections-hss-d_1478.html" TargetMode="External"/><Relationship Id="rId1" Type="http://schemas.openxmlformats.org/officeDocument/2006/relationships/hyperlink" Target="https://www.engineersedge.com/standard_material/astm-hhs-structural-rectangle.htm" TargetMode="External"/><Relationship Id="rId5" Type="http://schemas.openxmlformats.org/officeDocument/2006/relationships/printerSettings" Target="../printerSettings/printerSettings8.bin"/><Relationship Id="rId4" Type="http://schemas.openxmlformats.org/officeDocument/2006/relationships/hyperlink" Target="https://www.chapelsteel.com/weight-steel-plate.html"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3" Type="http://schemas.openxmlformats.org/officeDocument/2006/relationships/hyperlink" Target="https://www.iccsafe.org/about-icc/overview/international-code-adoptions/" TargetMode="External"/><Relationship Id="rId18" Type="http://schemas.openxmlformats.org/officeDocument/2006/relationships/hyperlink" Target="https://www.iccsafe.org/maryland/" TargetMode="External"/><Relationship Id="rId26" Type="http://schemas.openxmlformats.org/officeDocument/2006/relationships/hyperlink" Target="https://www.iccsafe.org/nevada/" TargetMode="External"/><Relationship Id="rId39" Type="http://schemas.openxmlformats.org/officeDocument/2006/relationships/hyperlink" Target="https://www.iccsafe.org/washington/" TargetMode="External"/><Relationship Id="rId21" Type="http://schemas.openxmlformats.org/officeDocument/2006/relationships/hyperlink" Target="https://www.iccsafe.org/minnesota/" TargetMode="External"/><Relationship Id="rId34" Type="http://schemas.openxmlformats.org/officeDocument/2006/relationships/hyperlink" Target="https://www.iccsafe.org/south-dakota/" TargetMode="External"/><Relationship Id="rId42" Type="http://schemas.openxmlformats.org/officeDocument/2006/relationships/hyperlink" Target="https://www.iccsafe.org/wyoming/" TargetMode="External"/><Relationship Id="rId47" Type="http://schemas.openxmlformats.org/officeDocument/2006/relationships/hyperlink" Target="https://www.iccsafe.org/texas/" TargetMode="External"/><Relationship Id="rId50" Type="http://schemas.openxmlformats.org/officeDocument/2006/relationships/hyperlink" Target="https://www.iccsafe.org/oregon/" TargetMode="External"/><Relationship Id="rId55" Type="http://schemas.openxmlformats.org/officeDocument/2006/relationships/hyperlink" Target="http://www.iccsafe.org/arizona/" TargetMode="External"/><Relationship Id="rId7" Type="http://schemas.openxmlformats.org/officeDocument/2006/relationships/hyperlink" Target="http://www.iccsafe.org/georgia/" TargetMode="External"/><Relationship Id="rId2" Type="http://schemas.openxmlformats.org/officeDocument/2006/relationships/hyperlink" Target="http://www.iccsafe.org/Colorado/" TargetMode="External"/><Relationship Id="rId16" Type="http://schemas.openxmlformats.org/officeDocument/2006/relationships/hyperlink" Target="https://www.iccsafe.org/maine/" TargetMode="External"/><Relationship Id="rId29" Type="http://schemas.openxmlformats.org/officeDocument/2006/relationships/hyperlink" Target="https://www.iccsafe.org/new-mexico/" TargetMode="External"/><Relationship Id="rId11" Type="http://schemas.openxmlformats.org/officeDocument/2006/relationships/hyperlink" Target="http://www.iccsafe.org/iowa/" TargetMode="External"/><Relationship Id="rId24" Type="http://schemas.openxmlformats.org/officeDocument/2006/relationships/hyperlink" Target="https://www.iccsafe.org/montana" TargetMode="External"/><Relationship Id="rId32" Type="http://schemas.openxmlformats.org/officeDocument/2006/relationships/hyperlink" Target="https://www.iccsafe.org/north-dakota/" TargetMode="External"/><Relationship Id="rId37" Type="http://schemas.openxmlformats.org/officeDocument/2006/relationships/hyperlink" Target="https://www.iccsafe.org/vermont/" TargetMode="External"/><Relationship Id="rId40" Type="http://schemas.openxmlformats.org/officeDocument/2006/relationships/hyperlink" Target="https://www.iccsafe.org/west-virginia/" TargetMode="External"/><Relationship Id="rId45" Type="http://schemas.openxmlformats.org/officeDocument/2006/relationships/hyperlink" Target="https://www.iccsafe.org/about-icc/government-relations/map/northern-mariana-islands/" TargetMode="External"/><Relationship Id="rId53" Type="http://schemas.openxmlformats.org/officeDocument/2006/relationships/hyperlink" Target="http://www.iccsafe.org/alabama/" TargetMode="External"/><Relationship Id="rId58" Type="http://schemas.openxmlformats.org/officeDocument/2006/relationships/table" Target="../tables/table1.xml"/><Relationship Id="rId5" Type="http://schemas.openxmlformats.org/officeDocument/2006/relationships/hyperlink" Target="https://www.iccsafe.org/about-icc/government-relations/map/district-of-columbia/" TargetMode="External"/><Relationship Id="rId19" Type="http://schemas.openxmlformats.org/officeDocument/2006/relationships/hyperlink" Target="https://www.iccsafe.org/massachusetts/" TargetMode="External"/><Relationship Id="rId4" Type="http://schemas.openxmlformats.org/officeDocument/2006/relationships/hyperlink" Target="http://www.iccsafe.org/delaware/" TargetMode="External"/><Relationship Id="rId9" Type="http://schemas.openxmlformats.org/officeDocument/2006/relationships/hyperlink" Target="http://www.iccsafe.org/idaho/" TargetMode="External"/><Relationship Id="rId14" Type="http://schemas.openxmlformats.org/officeDocument/2006/relationships/hyperlink" Target="http://www.iccsafe.org/kentucky/" TargetMode="External"/><Relationship Id="rId22" Type="http://schemas.openxmlformats.org/officeDocument/2006/relationships/hyperlink" Target="https://www.iccsafe.org/mississippi/" TargetMode="External"/><Relationship Id="rId27" Type="http://schemas.openxmlformats.org/officeDocument/2006/relationships/hyperlink" Target="https://www.iccsafe.org/new-hampshire/" TargetMode="External"/><Relationship Id="rId30" Type="http://schemas.openxmlformats.org/officeDocument/2006/relationships/hyperlink" Target="https://www.iccsafe.org/new-york/" TargetMode="External"/><Relationship Id="rId35" Type="http://schemas.openxmlformats.org/officeDocument/2006/relationships/hyperlink" Target="https://www.iccsafe.org/tennessee/" TargetMode="External"/><Relationship Id="rId43" Type="http://schemas.openxmlformats.org/officeDocument/2006/relationships/hyperlink" Target="https://www.iccsafe.org/guam/" TargetMode="External"/><Relationship Id="rId48" Type="http://schemas.openxmlformats.org/officeDocument/2006/relationships/hyperlink" Target="https://www.iccsafe.org/oklahoma/" TargetMode="External"/><Relationship Id="rId56" Type="http://schemas.openxmlformats.org/officeDocument/2006/relationships/hyperlink" Target="http://www.iccsafe.org/arkansas/" TargetMode="External"/><Relationship Id="rId8" Type="http://schemas.openxmlformats.org/officeDocument/2006/relationships/hyperlink" Target="http://www.iccsafe.org/hawaii/" TargetMode="External"/><Relationship Id="rId51" Type="http://schemas.openxmlformats.org/officeDocument/2006/relationships/hyperlink" Target="https://www.iccsafe.org/pennsylvania/" TargetMode="External"/><Relationship Id="rId3" Type="http://schemas.openxmlformats.org/officeDocument/2006/relationships/hyperlink" Target="http://www.iccsafe.org/connecticut/" TargetMode="External"/><Relationship Id="rId12" Type="http://schemas.openxmlformats.org/officeDocument/2006/relationships/hyperlink" Target="http://www.iccsafe.org/kansas/" TargetMode="External"/><Relationship Id="rId17" Type="http://schemas.openxmlformats.org/officeDocument/2006/relationships/hyperlink" Target="http://www.iccsafe.org/illinois/" TargetMode="External"/><Relationship Id="rId25" Type="http://schemas.openxmlformats.org/officeDocument/2006/relationships/hyperlink" Target="https://www.iccsafe.org/nebraska/" TargetMode="External"/><Relationship Id="rId33" Type="http://schemas.openxmlformats.org/officeDocument/2006/relationships/hyperlink" Target="https://www.iccsafe.org/south-carolina/" TargetMode="External"/><Relationship Id="rId38" Type="http://schemas.openxmlformats.org/officeDocument/2006/relationships/hyperlink" Target="https://www.iccsafe.org/virginia/" TargetMode="External"/><Relationship Id="rId46" Type="http://schemas.openxmlformats.org/officeDocument/2006/relationships/hyperlink" Target="https://www.iccsafe.org/about-icc/government-relations/map/us-virgin-islands/" TargetMode="External"/><Relationship Id="rId59" Type="http://schemas.openxmlformats.org/officeDocument/2006/relationships/table" Target="../tables/table2.xml"/><Relationship Id="rId20" Type="http://schemas.openxmlformats.org/officeDocument/2006/relationships/hyperlink" Target="https://www.iccsafe.org/michigan/" TargetMode="External"/><Relationship Id="rId41" Type="http://schemas.openxmlformats.org/officeDocument/2006/relationships/hyperlink" Target="https://www.iccsafe.org/wisconsin/" TargetMode="External"/><Relationship Id="rId54" Type="http://schemas.openxmlformats.org/officeDocument/2006/relationships/hyperlink" Target="http://www.iccsafe.org/alaska/" TargetMode="External"/><Relationship Id="rId1" Type="http://schemas.openxmlformats.org/officeDocument/2006/relationships/hyperlink" Target="http://www.iccsafe.org/california/" TargetMode="External"/><Relationship Id="rId6" Type="http://schemas.openxmlformats.org/officeDocument/2006/relationships/hyperlink" Target="http://www.iccsafe.org/florida/" TargetMode="External"/><Relationship Id="rId15" Type="http://schemas.openxmlformats.org/officeDocument/2006/relationships/hyperlink" Target="https://www.iccsafe.org/louisiana/" TargetMode="External"/><Relationship Id="rId23" Type="http://schemas.openxmlformats.org/officeDocument/2006/relationships/hyperlink" Target="https://www.iccsafe.org/missouri" TargetMode="External"/><Relationship Id="rId28" Type="http://schemas.openxmlformats.org/officeDocument/2006/relationships/hyperlink" Target="https://www.iccsafe.org/new-jersey/" TargetMode="External"/><Relationship Id="rId36" Type="http://schemas.openxmlformats.org/officeDocument/2006/relationships/hyperlink" Target="https://www.iccsafe.org/utah/" TargetMode="External"/><Relationship Id="rId49" Type="http://schemas.openxmlformats.org/officeDocument/2006/relationships/hyperlink" Target="https://www.iccsafe.org/advocacy/adoptions-map/ohio/" TargetMode="External"/><Relationship Id="rId57" Type="http://schemas.openxmlformats.org/officeDocument/2006/relationships/printerSettings" Target="../printerSettings/printerSettings10.bin"/><Relationship Id="rId10" Type="http://schemas.openxmlformats.org/officeDocument/2006/relationships/hyperlink" Target="http://www.iccsafe.org/indiana/" TargetMode="External"/><Relationship Id="rId31" Type="http://schemas.openxmlformats.org/officeDocument/2006/relationships/hyperlink" Target="https://www.iccsafe.org/north-carolina/" TargetMode="External"/><Relationship Id="rId44" Type="http://schemas.openxmlformats.org/officeDocument/2006/relationships/hyperlink" Target="https://www.iccsafe.org/puerto-rico/" TargetMode="External"/><Relationship Id="rId52" Type="http://schemas.openxmlformats.org/officeDocument/2006/relationships/hyperlink" Target="https://www.iccsafe.org/rhode-island/"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2.bin"/><Relationship Id="rId1" Type="http://schemas.openxmlformats.org/officeDocument/2006/relationships/hyperlink" Target="https://asce7hazardtool.online/"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ags.hawaii.gov/bcc/building-code-rules/" TargetMode="External"/><Relationship Id="rId1" Type="http://schemas.openxmlformats.org/officeDocument/2006/relationships/hyperlink" Target="http://www.seattle.gov/dpd/toolsresources/windloadfactors/default.htm" TargetMode="External"/><Relationship Id="rId4" Type="http://schemas.openxmlformats.org/officeDocument/2006/relationships/drawing" Target="../drawings/drawing10.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B3:T15"/>
  <sheetViews>
    <sheetView workbookViewId="0"/>
  </sheetViews>
  <sheetFormatPr defaultColWidth="9.140625" defaultRowHeight="15" x14ac:dyDescent="0.25"/>
  <cols>
    <col min="1" max="16384" width="9.140625" style="76"/>
  </cols>
  <sheetData>
    <row r="3" spans="2:20" ht="15.75" thickBot="1" x14ac:dyDescent="0.3"/>
    <row r="4" spans="2:20" s="75" customFormat="1" ht="99.95" customHeight="1" thickTop="1" x14ac:dyDescent="0.35">
      <c r="B4" s="1212" t="s">
        <v>0</v>
      </c>
      <c r="C4" s="1213"/>
      <c r="D4" s="1213"/>
      <c r="E4" s="1213"/>
      <c r="F4" s="1213"/>
      <c r="G4" s="1213"/>
      <c r="H4" s="1213"/>
      <c r="I4" s="1213"/>
      <c r="J4" s="1213"/>
      <c r="K4" s="1213"/>
      <c r="L4" s="1213"/>
      <c r="M4" s="1213"/>
      <c r="N4" s="1213"/>
      <c r="O4" s="1213"/>
      <c r="P4" s="1213"/>
      <c r="Q4" s="1213"/>
      <c r="R4" s="1214"/>
    </row>
    <row r="5" spans="2:20" x14ac:dyDescent="0.25">
      <c r="B5" s="1215"/>
      <c r="C5" s="1216"/>
      <c r="D5" s="1216"/>
      <c r="E5" s="1216"/>
      <c r="F5" s="1216"/>
      <c r="G5" s="1216"/>
      <c r="H5" s="1216"/>
      <c r="I5" s="1216"/>
      <c r="J5" s="1216"/>
      <c r="K5" s="1216"/>
      <c r="L5" s="1216"/>
      <c r="M5" s="1216"/>
      <c r="N5" s="1216"/>
      <c r="O5" s="1216"/>
      <c r="P5" s="1216"/>
      <c r="Q5" s="1216"/>
      <c r="R5" s="1217"/>
    </row>
    <row r="6" spans="2:20" s="75" customFormat="1" ht="99.95" customHeight="1" x14ac:dyDescent="0.35">
      <c r="B6" s="1218" t="s">
        <v>1</v>
      </c>
      <c r="C6" s="1219"/>
      <c r="D6" s="1219"/>
      <c r="E6" s="1219"/>
      <c r="F6" s="1219"/>
      <c r="G6" s="1219"/>
      <c r="H6" s="1219"/>
      <c r="I6" s="1219"/>
      <c r="J6" s="1219"/>
      <c r="K6" s="1219"/>
      <c r="L6" s="1219"/>
      <c r="M6" s="1219"/>
      <c r="N6" s="1219"/>
      <c r="O6" s="1219"/>
      <c r="P6" s="1219"/>
      <c r="Q6" s="1219"/>
      <c r="R6" s="1220"/>
    </row>
    <row r="7" spans="2:20" x14ac:dyDescent="0.25">
      <c r="B7" s="1215"/>
      <c r="C7" s="1216"/>
      <c r="D7" s="1216"/>
      <c r="E7" s="1216"/>
      <c r="F7" s="1216"/>
      <c r="G7" s="1216"/>
      <c r="H7" s="1216"/>
      <c r="I7" s="1216"/>
      <c r="J7" s="1216"/>
      <c r="K7" s="1216"/>
      <c r="L7" s="1216"/>
      <c r="M7" s="1216"/>
      <c r="N7" s="1216"/>
      <c r="O7" s="1216"/>
      <c r="P7" s="1216"/>
      <c r="Q7" s="1216"/>
      <c r="R7" s="1217"/>
    </row>
    <row r="8" spans="2:20" s="75" customFormat="1" ht="99.95" customHeight="1" x14ac:dyDescent="0.35">
      <c r="B8" s="1218" t="s">
        <v>2</v>
      </c>
      <c r="C8" s="1219"/>
      <c r="D8" s="1219"/>
      <c r="E8" s="1219"/>
      <c r="F8" s="1219"/>
      <c r="G8" s="1219"/>
      <c r="H8" s="1219"/>
      <c r="I8" s="1219"/>
      <c r="J8" s="1219"/>
      <c r="K8" s="1219"/>
      <c r="L8" s="1219"/>
      <c r="M8" s="1219"/>
      <c r="N8" s="1219"/>
      <c r="O8" s="1219"/>
      <c r="P8" s="1219"/>
      <c r="Q8" s="1219"/>
      <c r="R8" s="1220"/>
      <c r="T8" s="75" t="s">
        <v>133</v>
      </c>
    </row>
    <row r="9" spans="2:20" x14ac:dyDescent="0.25">
      <c r="B9" s="1215"/>
      <c r="C9" s="1216"/>
      <c r="D9" s="1216"/>
      <c r="E9" s="1216"/>
      <c r="F9" s="1216"/>
      <c r="G9" s="1216"/>
      <c r="H9" s="1216"/>
      <c r="I9" s="1216"/>
      <c r="J9" s="1216"/>
      <c r="K9" s="1216"/>
      <c r="L9" s="1216"/>
      <c r="M9" s="1216"/>
      <c r="N9" s="1216"/>
      <c r="O9" s="1216"/>
      <c r="P9" s="1216"/>
      <c r="Q9" s="1216"/>
      <c r="R9" s="1217"/>
    </row>
    <row r="10" spans="2:20" s="75" customFormat="1" ht="99.95" customHeight="1" thickBot="1" x14ac:dyDescent="0.4">
      <c r="B10" s="1209" t="s">
        <v>3</v>
      </c>
      <c r="C10" s="1210"/>
      <c r="D10" s="1210"/>
      <c r="E10" s="1210"/>
      <c r="F10" s="1210"/>
      <c r="G10" s="1210"/>
      <c r="H10" s="1210"/>
      <c r="I10" s="1210"/>
      <c r="J10" s="1210"/>
      <c r="K10" s="1210"/>
      <c r="L10" s="1210"/>
      <c r="M10" s="1210"/>
      <c r="N10" s="1210"/>
      <c r="O10" s="1210"/>
      <c r="P10" s="1210"/>
      <c r="Q10" s="1210"/>
      <c r="R10" s="1211"/>
    </row>
    <row r="11" spans="2:20" ht="15.75" thickTop="1" x14ac:dyDescent="0.25"/>
    <row r="13" spans="2:20" ht="26.25" hidden="1" x14ac:dyDescent="0.4">
      <c r="B13" s="97" t="s">
        <v>470</v>
      </c>
      <c r="C13" s="98"/>
      <c r="D13" s="98"/>
      <c r="E13" s="98"/>
      <c r="F13" s="98"/>
      <c r="G13" s="98"/>
      <c r="H13" s="98"/>
      <c r="I13" s="98"/>
      <c r="J13" s="98"/>
      <c r="K13" s="98"/>
      <c r="L13" s="98"/>
      <c r="M13" s="98"/>
      <c r="N13" s="98"/>
      <c r="O13" s="98"/>
      <c r="P13" s="98"/>
      <c r="Q13" s="98"/>
      <c r="R13" s="99"/>
    </row>
    <row r="14" spans="2:20" ht="26.25" hidden="1" x14ac:dyDescent="0.4">
      <c r="B14" s="104" t="s">
        <v>471</v>
      </c>
      <c r="C14" s="100"/>
      <c r="D14" s="100"/>
      <c r="E14" s="100"/>
      <c r="F14" s="100"/>
      <c r="G14" s="100"/>
      <c r="H14" s="100"/>
      <c r="I14" s="100"/>
      <c r="J14" s="100"/>
      <c r="K14" s="100"/>
      <c r="L14" s="100"/>
      <c r="M14" s="100"/>
      <c r="N14" s="100"/>
      <c r="O14" s="100"/>
      <c r="P14" s="100"/>
      <c r="Q14" s="100"/>
      <c r="R14" s="101"/>
    </row>
    <row r="15" spans="2:20" ht="27" hidden="1" thickBot="1" x14ac:dyDescent="0.45">
      <c r="B15" s="105" t="s">
        <v>469</v>
      </c>
      <c r="C15" s="102"/>
      <c r="D15" s="102"/>
      <c r="E15" s="102"/>
      <c r="F15" s="102"/>
      <c r="G15" s="102"/>
      <c r="H15" s="102"/>
      <c r="I15" s="102"/>
      <c r="J15" s="102"/>
      <c r="K15" s="102"/>
      <c r="L15" s="102"/>
      <c r="M15" s="102"/>
      <c r="N15" s="102"/>
      <c r="O15" s="102"/>
      <c r="P15" s="102"/>
      <c r="Q15" s="102"/>
      <c r="R15" s="103"/>
    </row>
  </sheetData>
  <sheetProtection algorithmName="SHA-512" hashValue="MjhA6WUrKQIBcg155dx1DZuSUoSRgoWJBwx79qAVOG/vfWvO6y4ZXFzq+0kZsDiLlsxK0RtN0wC8BDroaA41rA==" saltValue="B89sj+4IPSyHSnReAAIrNA==" spinCount="100000" sheet="1" selectLockedCells="1" selectUnlockedCells="1"/>
  <mergeCells count="7">
    <mergeCell ref="B10:R10"/>
    <mergeCell ref="B4:R4"/>
    <mergeCell ref="B5:R5"/>
    <mergeCell ref="B6:R6"/>
    <mergeCell ref="B7:R7"/>
    <mergeCell ref="B8:R8"/>
    <mergeCell ref="B9:R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3">
    <tabColor theme="4" tint="0.59999389629810485"/>
    <pageSetUpPr fitToPage="1"/>
  </sheetPr>
  <dimension ref="B1:W419"/>
  <sheetViews>
    <sheetView showGridLines="0" zoomScale="85" zoomScaleNormal="85" zoomScaleSheetLayoutView="70" workbookViewId="0">
      <selection activeCell="X412" sqref="X412"/>
    </sheetView>
  </sheetViews>
  <sheetFormatPr defaultColWidth="9.140625" defaultRowHeight="15" x14ac:dyDescent="0.25"/>
  <cols>
    <col min="1" max="1" width="2.7109375" customWidth="1"/>
    <col min="2" max="2" width="13.85546875" customWidth="1"/>
    <col min="3" max="3" width="23.42578125" customWidth="1"/>
    <col min="4" max="4" width="12.28515625" style="96" bestFit="1" customWidth="1"/>
    <col min="13" max="16" width="11.28515625" customWidth="1"/>
    <col min="17" max="111" width="9.140625" customWidth="1"/>
  </cols>
  <sheetData>
    <row r="1" spans="2:23" ht="15.75" thickBot="1" x14ac:dyDescent="0.3"/>
    <row r="2" spans="2:23" ht="26.25" customHeight="1" x14ac:dyDescent="0.25">
      <c r="B2" s="1221" t="s">
        <v>40</v>
      </c>
      <c r="C2" s="1222"/>
      <c r="D2" s="1222"/>
      <c r="E2" s="1222"/>
      <c r="F2" s="1222"/>
      <c r="G2" s="1222"/>
      <c r="H2" s="1222"/>
      <c r="I2" s="1223"/>
      <c r="J2" s="108"/>
      <c r="K2" s="108"/>
      <c r="L2" s="108"/>
    </row>
    <row r="3" spans="2:23" ht="15" customHeight="1" x14ac:dyDescent="0.25">
      <c r="B3" s="1224"/>
      <c r="C3" s="1225"/>
      <c r="D3" s="1225"/>
      <c r="E3" s="1225"/>
      <c r="F3" s="1225"/>
      <c r="G3" s="1225"/>
      <c r="H3" s="1225"/>
      <c r="I3" s="1226"/>
      <c r="J3" s="108"/>
      <c r="K3" s="108"/>
      <c r="L3" s="108"/>
      <c r="Q3" s="109"/>
      <c r="R3" s="109"/>
      <c r="S3" s="109"/>
      <c r="T3" s="109"/>
      <c r="U3" s="109"/>
      <c r="V3" s="109"/>
      <c r="W3" s="109"/>
    </row>
    <row r="4" spans="2:23" ht="15" customHeight="1" x14ac:dyDescent="0.25">
      <c r="B4" s="1224"/>
      <c r="C4" s="1225"/>
      <c r="D4" s="1225"/>
      <c r="E4" s="1225"/>
      <c r="F4" s="1225"/>
      <c r="G4" s="1225"/>
      <c r="H4" s="1225"/>
      <c r="I4" s="1226"/>
      <c r="J4" s="108"/>
      <c r="K4" s="108"/>
      <c r="L4" s="108"/>
      <c r="Q4" s="109"/>
      <c r="R4" s="109"/>
      <c r="S4" s="109"/>
      <c r="T4" s="109"/>
      <c r="U4" s="109"/>
      <c r="V4" s="109"/>
      <c r="W4" s="109"/>
    </row>
    <row r="5" spans="2:23" ht="15" customHeight="1" x14ac:dyDescent="0.25">
      <c r="B5" s="1224"/>
      <c r="C5" s="1225"/>
      <c r="D5" s="1225"/>
      <c r="E5" s="1225"/>
      <c r="F5" s="1225"/>
      <c r="G5" s="1225"/>
      <c r="H5" s="1225"/>
      <c r="I5" s="1226"/>
      <c r="J5" s="108"/>
      <c r="K5" s="108"/>
      <c r="L5" s="108"/>
      <c r="Q5" s="109"/>
      <c r="R5" s="109"/>
      <c r="S5" s="109"/>
      <c r="T5" s="109"/>
      <c r="U5" s="109"/>
      <c r="V5" s="109"/>
      <c r="W5" s="109"/>
    </row>
    <row r="6" spans="2:23" ht="15" customHeight="1" thickBot="1" x14ac:dyDescent="0.3">
      <c r="B6" s="1227"/>
      <c r="C6" s="1228"/>
      <c r="D6" s="1228"/>
      <c r="E6" s="1228"/>
      <c r="F6" s="1228"/>
      <c r="G6" s="1228"/>
      <c r="H6" s="1228"/>
      <c r="I6" s="1229"/>
      <c r="J6" s="108"/>
      <c r="K6" s="108"/>
      <c r="L6" s="108"/>
      <c r="Q6" s="109"/>
      <c r="R6" s="109"/>
      <c r="S6" s="109"/>
      <c r="T6" s="109"/>
      <c r="U6" s="109"/>
      <c r="V6" s="109"/>
      <c r="W6" s="109"/>
    </row>
    <row r="7" spans="2:23" ht="15" customHeight="1" x14ac:dyDescent="0.25">
      <c r="Q7" s="109"/>
      <c r="R7" s="109"/>
      <c r="S7" s="109"/>
      <c r="T7" s="109"/>
      <c r="U7" s="109"/>
      <c r="V7" s="109"/>
      <c r="W7" s="109"/>
    </row>
    <row r="8" spans="2:23" ht="15" customHeight="1" thickBot="1" x14ac:dyDescent="0.3">
      <c r="Q8" s="109"/>
      <c r="R8" s="109"/>
      <c r="S8" s="109"/>
      <c r="T8" s="109"/>
      <c r="U8" s="109"/>
      <c r="V8" s="109"/>
      <c r="W8" s="109"/>
    </row>
    <row r="9" spans="2:23" ht="15" customHeight="1" x14ac:dyDescent="0.25">
      <c r="B9" s="1230" t="s">
        <v>451</v>
      </c>
      <c r="C9" s="1231"/>
      <c r="D9" s="1231"/>
      <c r="E9" s="1231"/>
      <c r="F9" s="1231"/>
      <c r="G9" s="1231"/>
      <c r="H9" s="1231"/>
      <c r="I9" s="1232"/>
      <c r="Q9" s="109"/>
      <c r="R9" s="109"/>
      <c r="S9" s="109"/>
      <c r="T9" s="109"/>
      <c r="U9" s="109"/>
      <c r="V9" s="109"/>
      <c r="W9" s="109"/>
    </row>
    <row r="10" spans="2:23" ht="15" customHeight="1" x14ac:dyDescent="0.25">
      <c r="B10" s="1233"/>
      <c r="C10" s="1234"/>
      <c r="D10" s="1234"/>
      <c r="E10" s="1234"/>
      <c r="F10" s="1234"/>
      <c r="G10" s="1234"/>
      <c r="H10" s="1234"/>
      <c r="I10" s="1235"/>
      <c r="Q10" s="109"/>
      <c r="R10" s="109"/>
      <c r="S10" s="109"/>
      <c r="T10" s="109"/>
      <c r="U10" s="109"/>
      <c r="V10" s="109"/>
      <c r="W10" s="109"/>
    </row>
    <row r="11" spans="2:23" ht="15" customHeight="1" x14ac:dyDescent="0.25">
      <c r="B11" s="1233"/>
      <c r="C11" s="1234"/>
      <c r="D11" s="1234"/>
      <c r="E11" s="1234"/>
      <c r="F11" s="1234"/>
      <c r="G11" s="1234"/>
      <c r="H11" s="1234"/>
      <c r="I11" s="1235"/>
      <c r="Q11" s="109"/>
      <c r="R11" s="109"/>
      <c r="S11" s="109"/>
      <c r="T11" s="109"/>
      <c r="U11" s="109"/>
      <c r="V11" s="109"/>
      <c r="W11" s="109"/>
    </row>
    <row r="12" spans="2:23" ht="15" customHeight="1" x14ac:dyDescent="0.25">
      <c r="B12" s="1233"/>
      <c r="C12" s="1234"/>
      <c r="D12" s="1234"/>
      <c r="E12" s="1234"/>
      <c r="F12" s="1234"/>
      <c r="G12" s="1234"/>
      <c r="H12" s="1234"/>
      <c r="I12" s="1235"/>
      <c r="Q12" s="109"/>
      <c r="R12" s="109"/>
      <c r="S12" s="109"/>
      <c r="T12" s="109"/>
      <c r="U12" s="109"/>
      <c r="V12" s="109"/>
      <c r="W12" s="109"/>
    </row>
    <row r="13" spans="2:23" ht="15" customHeight="1" x14ac:dyDescent="0.25">
      <c r="B13" s="1233"/>
      <c r="C13" s="1234"/>
      <c r="D13" s="1234"/>
      <c r="E13" s="1234"/>
      <c r="F13" s="1234"/>
      <c r="G13" s="1234"/>
      <c r="H13" s="1234"/>
      <c r="I13" s="1235"/>
      <c r="Q13" s="109"/>
      <c r="R13" s="109"/>
      <c r="S13" s="109"/>
      <c r="T13" s="109"/>
      <c r="U13" s="109"/>
      <c r="V13" s="109"/>
      <c r="W13" s="109"/>
    </row>
    <row r="14" spans="2:23" ht="15" customHeight="1" x14ac:dyDescent="0.25">
      <c r="B14" s="1233"/>
      <c r="C14" s="1234"/>
      <c r="D14" s="1234"/>
      <c r="E14" s="1234"/>
      <c r="F14" s="1234"/>
      <c r="G14" s="1234"/>
      <c r="H14" s="1234"/>
      <c r="I14" s="1235"/>
      <c r="Q14" s="109"/>
      <c r="R14" s="109"/>
      <c r="S14" s="109"/>
      <c r="T14" s="109"/>
      <c r="U14" s="109"/>
      <c r="V14" s="109"/>
      <c r="W14" s="109"/>
    </row>
    <row r="15" spans="2:23" ht="15" customHeight="1" thickBot="1" x14ac:dyDescent="0.3">
      <c r="B15" s="1236"/>
      <c r="C15" s="1237"/>
      <c r="D15" s="1237"/>
      <c r="E15" s="1237"/>
      <c r="F15" s="1237"/>
      <c r="G15" s="1237"/>
      <c r="H15" s="1237"/>
      <c r="I15" s="1238"/>
      <c r="Q15" s="109"/>
      <c r="R15" s="109"/>
      <c r="S15" s="109"/>
      <c r="T15" s="109"/>
      <c r="U15" s="109"/>
      <c r="V15" s="109"/>
      <c r="W15" s="109"/>
    </row>
    <row r="16" spans="2:23" ht="15" customHeight="1" x14ac:dyDescent="0.25">
      <c r="B16" s="110"/>
      <c r="C16" s="110"/>
      <c r="D16" s="110"/>
      <c r="E16" s="110"/>
      <c r="Q16" s="109"/>
      <c r="R16" s="109"/>
      <c r="S16" s="109"/>
      <c r="T16" s="109"/>
      <c r="U16" s="109"/>
      <c r="V16" s="109"/>
      <c r="W16" s="109"/>
    </row>
    <row r="17" spans="2:23" ht="15" customHeight="1" x14ac:dyDescent="0.25">
      <c r="B17" s="110"/>
      <c r="C17" s="110"/>
      <c r="D17" s="110"/>
      <c r="E17" s="110"/>
      <c r="Q17" s="109"/>
      <c r="R17" s="109"/>
      <c r="S17" s="109"/>
      <c r="T17" s="109"/>
      <c r="U17" s="109"/>
      <c r="V17" s="109"/>
      <c r="W17" s="109"/>
    </row>
    <row r="18" spans="2:23" ht="15" customHeight="1" x14ac:dyDescent="0.25">
      <c r="B18" s="110"/>
      <c r="C18" s="110"/>
      <c r="D18" s="110"/>
      <c r="E18" s="110"/>
      <c r="M18" s="109"/>
      <c r="N18" s="109"/>
      <c r="O18" s="109"/>
      <c r="P18" s="109"/>
      <c r="Q18" s="109"/>
      <c r="R18" s="109"/>
      <c r="S18" s="109"/>
      <c r="T18" s="109"/>
      <c r="U18" s="109"/>
      <c r="V18" s="109"/>
      <c r="W18" s="109"/>
    </row>
    <row r="19" spans="2:23" ht="15" customHeight="1" x14ac:dyDescent="0.25">
      <c r="B19" s="110"/>
      <c r="C19" s="110"/>
      <c r="D19" s="110"/>
      <c r="E19" s="110"/>
      <c r="M19" s="109"/>
      <c r="N19" s="109"/>
      <c r="O19" s="109"/>
      <c r="P19" s="109"/>
      <c r="Q19" s="109"/>
      <c r="R19" s="109"/>
      <c r="S19" s="109"/>
      <c r="T19" s="109"/>
      <c r="U19" s="109"/>
      <c r="V19" s="109"/>
      <c r="W19" s="109"/>
    </row>
    <row r="20" spans="2:23" ht="15" customHeight="1" x14ac:dyDescent="0.25">
      <c r="B20" s="110"/>
      <c r="C20" s="110"/>
      <c r="D20" s="110"/>
      <c r="E20" s="110"/>
    </row>
    <row r="21" spans="2:23" ht="15" customHeight="1" x14ac:dyDescent="0.25">
      <c r="B21" s="110"/>
      <c r="C21" s="110"/>
      <c r="D21" s="110"/>
      <c r="E21" s="110"/>
    </row>
    <row r="22" spans="2:23" ht="15" customHeight="1" x14ac:dyDescent="0.25">
      <c r="B22" s="110"/>
      <c r="C22" s="110"/>
      <c r="D22" s="110"/>
      <c r="E22" s="110"/>
    </row>
    <row r="23" spans="2:23" ht="15" customHeight="1" x14ac:dyDescent="0.25">
      <c r="B23" s="110"/>
      <c r="C23" s="110"/>
      <c r="D23" s="110"/>
      <c r="E23" s="110"/>
    </row>
    <row r="24" spans="2:23" ht="15" customHeight="1" x14ac:dyDescent="0.25">
      <c r="B24" s="110"/>
      <c r="C24" s="110"/>
      <c r="D24" s="110"/>
      <c r="E24" s="110"/>
    </row>
    <row r="27" spans="2:23" hidden="1" x14ac:dyDescent="0.25"/>
    <row r="28" spans="2:23" hidden="1" x14ac:dyDescent="0.25"/>
    <row r="29" spans="2:23" hidden="1" x14ac:dyDescent="0.25"/>
    <row r="30" spans="2:23" hidden="1" x14ac:dyDescent="0.25"/>
    <row r="31" spans="2:23" hidden="1" x14ac:dyDescent="0.25"/>
    <row r="32" spans="2:23" hidden="1" x14ac:dyDescent="0.25"/>
    <row r="33" hidden="1" x14ac:dyDescent="0.25"/>
    <row r="34" hidden="1" x14ac:dyDescent="0.25"/>
    <row r="35" hidden="1" x14ac:dyDescent="0.25"/>
    <row r="36" hidden="1" x14ac:dyDescent="0.25"/>
    <row r="37" hidden="1" x14ac:dyDescent="0.25"/>
    <row r="38" hidden="1" x14ac:dyDescent="0.25"/>
    <row r="39" hidden="1" x14ac:dyDescent="0.25"/>
    <row r="40" hidden="1" x14ac:dyDescent="0.25"/>
    <row r="41" hidden="1" x14ac:dyDescent="0.25"/>
    <row r="42" hidden="1" x14ac:dyDescent="0.25"/>
    <row r="43" hidden="1" x14ac:dyDescent="0.25"/>
    <row r="44" hidden="1" x14ac:dyDescent="0.25"/>
    <row r="45" hidden="1" x14ac:dyDescent="0.25"/>
    <row r="46" hidden="1" x14ac:dyDescent="0.25"/>
    <row r="47" hidden="1" x14ac:dyDescent="0.25"/>
    <row r="48"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hidden="1" x14ac:dyDescent="0.25"/>
    <row r="318" hidden="1" x14ac:dyDescent="0.25"/>
    <row r="319" hidden="1" x14ac:dyDescent="0.25"/>
    <row r="320" hidden="1" x14ac:dyDescent="0.25"/>
    <row r="321" hidden="1" x14ac:dyDescent="0.25"/>
    <row r="322" hidden="1" x14ac:dyDescent="0.25"/>
    <row r="323" hidden="1" x14ac:dyDescent="0.25"/>
    <row r="324" hidden="1" x14ac:dyDescent="0.25"/>
    <row r="325" hidden="1" x14ac:dyDescent="0.25"/>
    <row r="326" hidden="1" x14ac:dyDescent="0.25"/>
    <row r="327" hidden="1" x14ac:dyDescent="0.25"/>
    <row r="328" hidden="1" x14ac:dyDescent="0.25"/>
    <row r="329" hidden="1" x14ac:dyDescent="0.25"/>
    <row r="330" hidden="1" x14ac:dyDescent="0.25"/>
    <row r="331" hidden="1" x14ac:dyDescent="0.25"/>
    <row r="332" hidden="1" x14ac:dyDescent="0.25"/>
    <row r="333" hidden="1" x14ac:dyDescent="0.25"/>
    <row r="334" hidden="1" x14ac:dyDescent="0.25"/>
    <row r="335" hidden="1" x14ac:dyDescent="0.25"/>
    <row r="336"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406" spans="2:9" ht="15.75" thickBot="1" x14ac:dyDescent="0.3"/>
    <row r="407" spans="2:9" ht="14.45" customHeight="1" x14ac:dyDescent="0.25">
      <c r="B407" s="1239" t="s">
        <v>481</v>
      </c>
      <c r="C407" s="1239"/>
      <c r="D407" s="1239"/>
      <c r="E407" s="1239"/>
      <c r="F407" s="1239"/>
      <c r="G407" s="1239"/>
      <c r="H407" s="1239"/>
      <c r="I407" s="1239"/>
    </row>
    <row r="408" spans="2:9" ht="14.45" customHeight="1" x14ac:dyDescent="0.25">
      <c r="B408" s="1240"/>
      <c r="C408" s="1240"/>
      <c r="D408" s="1240"/>
      <c r="E408" s="1240"/>
      <c r="F408" s="1240"/>
      <c r="G408" s="1240"/>
      <c r="H408" s="1240"/>
      <c r="I408" s="1240"/>
    </row>
    <row r="409" spans="2:9" ht="14.45" customHeight="1" x14ac:dyDescent="0.25">
      <c r="B409" s="1240"/>
      <c r="C409" s="1240"/>
      <c r="D409" s="1240"/>
      <c r="E409" s="1240"/>
      <c r="F409" s="1240"/>
      <c r="G409" s="1240"/>
      <c r="H409" s="1240"/>
      <c r="I409" s="1240"/>
    </row>
    <row r="410" spans="2:9" ht="14.45" customHeight="1" x14ac:dyDescent="0.25">
      <c r="B410" s="1240"/>
      <c r="C410" s="1240"/>
      <c r="D410" s="1240"/>
      <c r="E410" s="1240"/>
      <c r="F410" s="1240"/>
      <c r="G410" s="1240"/>
      <c r="H410" s="1240"/>
      <c r="I410" s="1240"/>
    </row>
    <row r="411" spans="2:9" ht="14.45" customHeight="1" x14ac:dyDescent="0.25">
      <c r="B411" s="1240"/>
      <c r="C411" s="1240"/>
      <c r="D411" s="1240"/>
      <c r="E411" s="1240"/>
      <c r="F411" s="1240"/>
      <c r="G411" s="1240"/>
      <c r="H411" s="1240"/>
      <c r="I411" s="1240"/>
    </row>
    <row r="412" spans="2:9" ht="14.45" customHeight="1" x14ac:dyDescent="0.25">
      <c r="B412" s="1240"/>
      <c r="C412" s="1240"/>
      <c r="D412" s="1240"/>
      <c r="E412" s="1240"/>
      <c r="F412" s="1240"/>
      <c r="G412" s="1240"/>
      <c r="H412" s="1240"/>
      <c r="I412" s="1240"/>
    </row>
    <row r="413" spans="2:9" ht="15" customHeight="1" x14ac:dyDescent="0.25">
      <c r="B413" s="1240"/>
      <c r="C413" s="1240"/>
      <c r="D413" s="1240"/>
      <c r="E413" s="1240"/>
      <c r="F413" s="1240"/>
      <c r="G413" s="1240"/>
      <c r="H413" s="1240"/>
      <c r="I413" s="1240"/>
    </row>
    <row r="414" spans="2:9" ht="14.45" customHeight="1" x14ac:dyDescent="0.25">
      <c r="B414" s="1240"/>
      <c r="C414" s="1240"/>
      <c r="D414" s="1240"/>
      <c r="E414" s="1240"/>
      <c r="F414" s="1240"/>
      <c r="G414" s="1240"/>
      <c r="H414" s="1240"/>
      <c r="I414" s="1240"/>
    </row>
    <row r="415" spans="2:9" ht="14.45" customHeight="1" x14ac:dyDescent="0.25">
      <c r="B415" s="1240"/>
      <c r="C415" s="1240"/>
      <c r="D415" s="1240"/>
      <c r="E415" s="1240"/>
      <c r="F415" s="1240"/>
      <c r="G415" s="1240"/>
      <c r="H415" s="1240"/>
      <c r="I415" s="1240"/>
    </row>
    <row r="416" spans="2:9" x14ac:dyDescent="0.25">
      <c r="B416" s="1240"/>
      <c r="C416" s="1240"/>
      <c r="D416" s="1240"/>
      <c r="E416" s="1240"/>
      <c r="F416" s="1240"/>
      <c r="G416" s="1240"/>
      <c r="H416" s="1240"/>
      <c r="I416" s="1240"/>
    </row>
    <row r="417" spans="2:9" x14ac:dyDescent="0.25">
      <c r="B417" s="1240"/>
      <c r="C417" s="1240"/>
      <c r="D417" s="1240"/>
      <c r="E417" s="1240"/>
      <c r="F417" s="1240"/>
      <c r="G417" s="1240"/>
      <c r="H417" s="1240"/>
      <c r="I417" s="1240"/>
    </row>
    <row r="418" spans="2:9" x14ac:dyDescent="0.25">
      <c r="B418" s="1240"/>
      <c r="C418" s="1240"/>
      <c r="D418" s="1240"/>
      <c r="E418" s="1240"/>
      <c r="F418" s="1240"/>
      <c r="G418" s="1240"/>
      <c r="H418" s="1240"/>
      <c r="I418" s="1240"/>
    </row>
    <row r="419" spans="2:9" ht="18.75" x14ac:dyDescent="0.3">
      <c r="D419" s="116" t="s">
        <v>513</v>
      </c>
    </row>
  </sheetData>
  <sheetProtection algorithmName="SHA-512" hashValue="pCi9nkc4Q9lbwhMnEOUYUtjoHltvLDzyrrNPr69cJdn8H8DFeQUYU1wi4nmWdk0aDdx7Hl/p+wLSxsn/RL+8IA==" saltValue="ksSveHI22tycn49ONm/AlA==" spinCount="100000" sheet="1" objects="1" scenarios="1"/>
  <dataConsolidate link="1"/>
  <mergeCells count="3">
    <mergeCell ref="B2:I6"/>
    <mergeCell ref="B9:I15"/>
    <mergeCell ref="B407:I418"/>
  </mergeCells>
  <hyperlinks>
    <hyperlink ref="B2:E2" r:id="rId1" display="Canadian Calculator Link" xr:uid="{00000000-0004-0000-0200-00000A000000}"/>
    <hyperlink ref="B2:I6" r:id="rId2" display="Canadian Calculator Link" xr:uid="{909E6882-C886-40C6-BFBB-85DDC5CE8E68}"/>
  </hyperlinks>
  <pageMargins left="0.25" right="0.25" top="0.75" bottom="0.75" header="0.3" footer="0.3"/>
  <pageSetup paperSize="152" scale="55" fitToHeight="2" orientation="landscape"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theme="1"/>
  </sheetPr>
  <dimension ref="B4:H190"/>
  <sheetViews>
    <sheetView topLeftCell="A158" workbookViewId="0">
      <selection activeCell="D188" sqref="D188"/>
    </sheetView>
  </sheetViews>
  <sheetFormatPr defaultRowHeight="15" x14ac:dyDescent="0.25"/>
  <cols>
    <col min="2" max="2" width="17.140625" style="314" customWidth="1"/>
    <col min="3" max="3" width="68.85546875" style="309" customWidth="1"/>
    <col min="4" max="4" width="14.28515625" style="311" customWidth="1"/>
    <col min="5" max="5" width="15.140625" style="313" bestFit="1" customWidth="1"/>
  </cols>
  <sheetData>
    <row r="4" spans="2:5" x14ac:dyDescent="0.25">
      <c r="B4" s="314" t="s">
        <v>218</v>
      </c>
      <c r="C4" s="309" t="s">
        <v>219</v>
      </c>
      <c r="D4" s="311" t="s">
        <v>220</v>
      </c>
      <c r="E4" s="313" t="s">
        <v>221</v>
      </c>
    </row>
    <row r="5" spans="2:5" x14ac:dyDescent="0.25">
      <c r="B5" s="314" t="s">
        <v>222</v>
      </c>
      <c r="C5" s="309" t="s">
        <v>223</v>
      </c>
      <c r="D5" s="311">
        <v>42172</v>
      </c>
      <c r="E5" s="313" t="s">
        <v>224</v>
      </c>
    </row>
    <row r="6" spans="2:5" x14ac:dyDescent="0.25">
      <c r="B6" s="314" t="s">
        <v>225</v>
      </c>
      <c r="C6" s="309" t="s">
        <v>226</v>
      </c>
      <c r="D6" s="311">
        <v>42172</v>
      </c>
      <c r="E6" s="313" t="s">
        <v>224</v>
      </c>
    </row>
    <row r="7" spans="2:5" x14ac:dyDescent="0.25">
      <c r="B7" s="314" t="s">
        <v>227</v>
      </c>
      <c r="C7" s="309" t="s">
        <v>228</v>
      </c>
      <c r="D7" s="311">
        <v>42173</v>
      </c>
      <c r="E7" s="313" t="s">
        <v>224</v>
      </c>
    </row>
    <row r="8" spans="2:5" x14ac:dyDescent="0.25">
      <c r="B8" s="314" t="s">
        <v>229</v>
      </c>
      <c r="C8" s="309" t="s">
        <v>230</v>
      </c>
      <c r="D8" s="311">
        <v>42178</v>
      </c>
      <c r="E8" s="313" t="s">
        <v>231</v>
      </c>
    </row>
    <row r="9" spans="2:5" x14ac:dyDescent="0.25">
      <c r="B9" s="314" t="s">
        <v>232</v>
      </c>
      <c r="C9" s="309" t="s">
        <v>233</v>
      </c>
      <c r="D9" s="311">
        <v>42179</v>
      </c>
      <c r="E9" s="313" t="s">
        <v>234</v>
      </c>
    </row>
    <row r="10" spans="2:5" ht="30" x14ac:dyDescent="0.25">
      <c r="B10" s="314" t="s">
        <v>235</v>
      </c>
      <c r="C10" s="310" t="s">
        <v>236</v>
      </c>
      <c r="D10" s="312">
        <v>42202</v>
      </c>
      <c r="E10" s="314" t="s">
        <v>224</v>
      </c>
    </row>
    <row r="11" spans="2:5" x14ac:dyDescent="0.25">
      <c r="B11" s="314" t="s">
        <v>237</v>
      </c>
    </row>
    <row r="12" spans="2:5" x14ac:dyDescent="0.25">
      <c r="B12" s="314" t="s">
        <v>238</v>
      </c>
    </row>
    <row r="13" spans="2:5" x14ac:dyDescent="0.25">
      <c r="B13" s="314" t="s">
        <v>239</v>
      </c>
    </row>
    <row r="14" spans="2:5" x14ac:dyDescent="0.25">
      <c r="B14" s="314" t="s">
        <v>240</v>
      </c>
      <c r="C14" s="309" t="s">
        <v>241</v>
      </c>
      <c r="D14" s="311">
        <v>42220</v>
      </c>
      <c r="E14" s="313" t="s">
        <v>224</v>
      </c>
    </row>
    <row r="15" spans="2:5" x14ac:dyDescent="0.25">
      <c r="B15" s="314" t="s">
        <v>242</v>
      </c>
      <c r="C15" s="309" t="s">
        <v>243</v>
      </c>
      <c r="D15" s="311">
        <v>42248</v>
      </c>
      <c r="E15" s="313" t="s">
        <v>224</v>
      </c>
    </row>
    <row r="17" spans="2:5" x14ac:dyDescent="0.25">
      <c r="B17" s="315" t="s">
        <v>244</v>
      </c>
      <c r="C17" s="309" t="s">
        <v>245</v>
      </c>
      <c r="E17" s="313" t="s">
        <v>224</v>
      </c>
    </row>
    <row r="18" spans="2:5" x14ac:dyDescent="0.25">
      <c r="B18" s="314">
        <v>2.1</v>
      </c>
      <c r="C18" s="309" t="s">
        <v>246</v>
      </c>
      <c r="D18" s="311">
        <v>42271</v>
      </c>
      <c r="E18" s="313" t="s">
        <v>224</v>
      </c>
    </row>
    <row r="19" spans="2:5" x14ac:dyDescent="0.25">
      <c r="B19" s="314">
        <v>2.2000000000000002</v>
      </c>
      <c r="C19" s="309" t="s">
        <v>247</v>
      </c>
      <c r="D19" s="311">
        <v>42304</v>
      </c>
      <c r="E19" s="313" t="s">
        <v>224</v>
      </c>
    </row>
    <row r="20" spans="2:5" ht="45" x14ac:dyDescent="0.25">
      <c r="B20" s="314">
        <v>2.2999999999999998</v>
      </c>
      <c r="C20" s="309" t="s">
        <v>336</v>
      </c>
      <c r="D20" s="311">
        <v>42311</v>
      </c>
      <c r="E20" s="313" t="s">
        <v>224</v>
      </c>
    </row>
    <row r="21" spans="2:5" x14ac:dyDescent="0.25">
      <c r="B21" s="314">
        <v>2.4</v>
      </c>
      <c r="C21" s="309" t="s">
        <v>337</v>
      </c>
      <c r="D21" s="311">
        <v>42347</v>
      </c>
      <c r="E21" s="313" t="s">
        <v>224</v>
      </c>
    </row>
    <row r="22" spans="2:5" x14ac:dyDescent="0.25">
      <c r="B22" s="314">
        <v>2.5</v>
      </c>
      <c r="C22" s="309" t="s">
        <v>248</v>
      </c>
      <c r="D22" s="311">
        <v>42702</v>
      </c>
      <c r="E22" s="313" t="s">
        <v>224</v>
      </c>
    </row>
    <row r="24" spans="2:5" x14ac:dyDescent="0.25">
      <c r="B24" s="314" t="s">
        <v>249</v>
      </c>
      <c r="C24" s="309" t="s">
        <v>250</v>
      </c>
      <c r="D24" s="311">
        <v>43143</v>
      </c>
      <c r="E24" s="309" t="s">
        <v>251</v>
      </c>
    </row>
    <row r="25" spans="2:5" x14ac:dyDescent="0.25">
      <c r="C25" s="309" t="s">
        <v>252</v>
      </c>
      <c r="D25" s="311">
        <v>43143</v>
      </c>
      <c r="E25" s="309" t="s">
        <v>251</v>
      </c>
    </row>
    <row r="26" spans="2:5" x14ac:dyDescent="0.25">
      <c r="C26" s="309" t="s">
        <v>338</v>
      </c>
      <c r="D26" s="311">
        <v>43143</v>
      </c>
      <c r="E26" s="309" t="s">
        <v>251</v>
      </c>
    </row>
    <row r="27" spans="2:5" x14ac:dyDescent="0.25">
      <c r="C27" s="309" t="s">
        <v>253</v>
      </c>
      <c r="D27" s="311">
        <v>43143</v>
      </c>
      <c r="E27" s="309" t="s">
        <v>251</v>
      </c>
    </row>
    <row r="28" spans="2:5" x14ac:dyDescent="0.25">
      <c r="C28" s="309" t="s">
        <v>254</v>
      </c>
      <c r="D28" s="311">
        <v>43143</v>
      </c>
      <c r="E28" s="309" t="s">
        <v>251</v>
      </c>
    </row>
    <row r="29" spans="2:5" x14ac:dyDescent="0.25">
      <c r="C29" s="309" t="s">
        <v>255</v>
      </c>
      <c r="D29" s="311">
        <v>43143</v>
      </c>
      <c r="E29" s="309" t="s">
        <v>251</v>
      </c>
    </row>
    <row r="30" spans="2:5" x14ac:dyDescent="0.25">
      <c r="C30" s="309" t="s">
        <v>256</v>
      </c>
      <c r="D30" s="311">
        <v>43143</v>
      </c>
      <c r="E30" s="309" t="s">
        <v>251</v>
      </c>
    </row>
    <row r="31" spans="2:5" x14ac:dyDescent="0.25">
      <c r="C31" s="309" t="s">
        <v>335</v>
      </c>
      <c r="D31" s="311">
        <v>43143</v>
      </c>
      <c r="E31" s="309" t="s">
        <v>251</v>
      </c>
    </row>
    <row r="34" spans="2:5" ht="30" x14ac:dyDescent="0.25">
      <c r="B34" s="314" t="s">
        <v>257</v>
      </c>
      <c r="C34" s="309" t="s">
        <v>258</v>
      </c>
      <c r="D34" s="311">
        <v>43219</v>
      </c>
      <c r="E34" s="313" t="s">
        <v>234</v>
      </c>
    </row>
    <row r="35" spans="2:5" x14ac:dyDescent="0.25">
      <c r="C35" s="309" t="s">
        <v>259</v>
      </c>
      <c r="D35" s="311">
        <v>43220</v>
      </c>
      <c r="E35" s="313" t="s">
        <v>234</v>
      </c>
    </row>
    <row r="36" spans="2:5" x14ac:dyDescent="0.25">
      <c r="C36" s="309" t="s">
        <v>260</v>
      </c>
      <c r="D36" s="311">
        <v>43220</v>
      </c>
      <c r="E36" s="313" t="s">
        <v>234</v>
      </c>
    </row>
    <row r="37" spans="2:5" x14ac:dyDescent="0.25">
      <c r="C37" s="309" t="s">
        <v>261</v>
      </c>
      <c r="D37" s="311">
        <v>43220</v>
      </c>
      <c r="E37" s="313" t="s">
        <v>234</v>
      </c>
    </row>
    <row r="38" spans="2:5" x14ac:dyDescent="0.25">
      <c r="C38" s="309" t="s">
        <v>262</v>
      </c>
      <c r="D38" s="311">
        <v>43228</v>
      </c>
      <c r="E38" s="313" t="s">
        <v>234</v>
      </c>
    </row>
    <row r="39" spans="2:5" x14ac:dyDescent="0.25">
      <c r="C39" s="309" t="s">
        <v>263</v>
      </c>
      <c r="D39" s="311">
        <v>43252</v>
      </c>
      <c r="E39" s="313" t="s">
        <v>224</v>
      </c>
    </row>
    <row r="41" spans="2:5" x14ac:dyDescent="0.25">
      <c r="B41" s="314" t="s">
        <v>331</v>
      </c>
      <c r="C41" s="309" t="s">
        <v>324</v>
      </c>
      <c r="D41" s="311">
        <v>43497</v>
      </c>
      <c r="E41" s="313" t="s">
        <v>325</v>
      </c>
    </row>
    <row r="42" spans="2:5" x14ac:dyDescent="0.25">
      <c r="C42" s="309" t="s">
        <v>339</v>
      </c>
      <c r="D42" s="311">
        <v>43497</v>
      </c>
      <c r="E42" s="313" t="s">
        <v>325</v>
      </c>
    </row>
    <row r="43" spans="2:5" x14ac:dyDescent="0.25">
      <c r="C43" s="309" t="s">
        <v>326</v>
      </c>
      <c r="D43" s="311">
        <v>43497</v>
      </c>
      <c r="E43" s="313" t="s">
        <v>325</v>
      </c>
    </row>
    <row r="44" spans="2:5" ht="30" x14ac:dyDescent="0.25">
      <c r="C44" s="309" t="s">
        <v>340</v>
      </c>
      <c r="D44" s="311">
        <v>43497</v>
      </c>
      <c r="E44" s="313" t="s">
        <v>325</v>
      </c>
    </row>
    <row r="45" spans="2:5" ht="30" x14ac:dyDescent="0.25">
      <c r="C45" s="309" t="s">
        <v>330</v>
      </c>
      <c r="D45" s="311">
        <v>43497</v>
      </c>
      <c r="E45" s="313" t="s">
        <v>325</v>
      </c>
    </row>
    <row r="46" spans="2:5" x14ac:dyDescent="0.25">
      <c r="C46" s="309" t="s">
        <v>341</v>
      </c>
      <c r="D46" s="311">
        <v>43524</v>
      </c>
      <c r="E46" s="313" t="s">
        <v>325</v>
      </c>
    </row>
    <row r="47" spans="2:5" x14ac:dyDescent="0.25">
      <c r="C47" s="309" t="s">
        <v>342</v>
      </c>
      <c r="D47" s="311">
        <v>43524</v>
      </c>
      <c r="E47" s="313" t="s">
        <v>325</v>
      </c>
    </row>
    <row r="48" spans="2:5" x14ac:dyDescent="0.25">
      <c r="C48" s="309" t="s">
        <v>334</v>
      </c>
      <c r="D48" s="311">
        <v>43524</v>
      </c>
      <c r="E48" s="313" t="s">
        <v>325</v>
      </c>
    </row>
    <row r="50" spans="2:5" x14ac:dyDescent="0.25">
      <c r="B50" s="314" t="s">
        <v>427</v>
      </c>
      <c r="C50" s="309" t="s">
        <v>429</v>
      </c>
      <c r="D50" s="311">
        <v>43672</v>
      </c>
      <c r="E50" s="313" t="s">
        <v>428</v>
      </c>
    </row>
    <row r="51" spans="2:5" x14ac:dyDescent="0.25">
      <c r="C51" s="309" t="s">
        <v>430</v>
      </c>
      <c r="D51" s="311">
        <v>43672</v>
      </c>
      <c r="E51" s="313" t="s">
        <v>428</v>
      </c>
    </row>
    <row r="52" spans="2:5" x14ac:dyDescent="0.25">
      <c r="C52" s="309" t="s">
        <v>431</v>
      </c>
      <c r="D52" s="311">
        <v>43672</v>
      </c>
      <c r="E52" s="313" t="s">
        <v>428</v>
      </c>
    </row>
    <row r="53" spans="2:5" x14ac:dyDescent="0.25">
      <c r="C53" s="309" t="s">
        <v>432</v>
      </c>
      <c r="D53" s="311">
        <v>43672</v>
      </c>
      <c r="E53" s="313" t="s">
        <v>428</v>
      </c>
    </row>
    <row r="54" spans="2:5" x14ac:dyDescent="0.25">
      <c r="C54" s="309" t="s">
        <v>433</v>
      </c>
      <c r="D54" s="311">
        <v>43672</v>
      </c>
      <c r="E54" s="313" t="s">
        <v>428</v>
      </c>
    </row>
    <row r="55" spans="2:5" x14ac:dyDescent="0.25">
      <c r="C55" s="309" t="s">
        <v>434</v>
      </c>
      <c r="D55" s="311">
        <v>43672</v>
      </c>
      <c r="E55" s="313" t="s">
        <v>428</v>
      </c>
    </row>
    <row r="56" spans="2:5" x14ac:dyDescent="0.25">
      <c r="C56" s="309" t="s">
        <v>435</v>
      </c>
      <c r="D56" s="311">
        <v>43672</v>
      </c>
      <c r="E56" s="313" t="s">
        <v>428</v>
      </c>
    </row>
    <row r="57" spans="2:5" x14ac:dyDescent="0.25">
      <c r="C57" s="309" t="s">
        <v>436</v>
      </c>
      <c r="D57" s="311">
        <v>43672</v>
      </c>
      <c r="E57" s="313" t="s">
        <v>428</v>
      </c>
    </row>
    <row r="58" spans="2:5" x14ac:dyDescent="0.25">
      <c r="C58" s="309" t="s">
        <v>437</v>
      </c>
      <c r="D58" s="311">
        <v>43672</v>
      </c>
      <c r="E58" s="313" t="s">
        <v>428</v>
      </c>
    </row>
    <row r="59" spans="2:5" x14ac:dyDescent="0.25">
      <c r="C59" s="309" t="s">
        <v>438</v>
      </c>
      <c r="D59" s="311">
        <v>43672</v>
      </c>
      <c r="E59" s="313" t="s">
        <v>428</v>
      </c>
    </row>
    <row r="60" spans="2:5" ht="30" x14ac:dyDescent="0.25">
      <c r="C60" s="309" t="s">
        <v>439</v>
      </c>
      <c r="D60" s="311">
        <v>43672</v>
      </c>
      <c r="E60" s="313" t="s">
        <v>428</v>
      </c>
    </row>
    <row r="61" spans="2:5" ht="30" x14ac:dyDescent="0.25">
      <c r="C61" s="309" t="s">
        <v>440</v>
      </c>
      <c r="D61" s="311">
        <v>43672</v>
      </c>
      <c r="E61" s="313" t="s">
        <v>428</v>
      </c>
    </row>
    <row r="62" spans="2:5" x14ac:dyDescent="0.25">
      <c r="C62" s="309" t="s">
        <v>448</v>
      </c>
      <c r="D62" s="311">
        <v>43676</v>
      </c>
      <c r="E62" s="313" t="s">
        <v>325</v>
      </c>
    </row>
    <row r="63" spans="2:5" x14ac:dyDescent="0.25">
      <c r="C63" s="309" t="s">
        <v>449</v>
      </c>
      <c r="D63" s="311">
        <v>43690</v>
      </c>
      <c r="E63" s="313" t="s">
        <v>428</v>
      </c>
    </row>
    <row r="64" spans="2:5" x14ac:dyDescent="0.25">
      <c r="C64" s="309" t="s">
        <v>450</v>
      </c>
      <c r="D64" s="311">
        <v>43690</v>
      </c>
      <c r="E64" s="313" t="s">
        <v>428</v>
      </c>
    </row>
    <row r="66" spans="2:5" x14ac:dyDescent="0.25">
      <c r="B66" s="314" t="s">
        <v>427</v>
      </c>
      <c r="C66" s="309" t="s">
        <v>467</v>
      </c>
      <c r="D66" s="311">
        <v>43711</v>
      </c>
      <c r="E66" s="313" t="s">
        <v>325</v>
      </c>
    </row>
    <row r="67" spans="2:5" x14ac:dyDescent="0.25">
      <c r="C67" s="309" t="s">
        <v>468</v>
      </c>
      <c r="D67" s="311">
        <v>43711</v>
      </c>
      <c r="E67" s="313" t="s">
        <v>325</v>
      </c>
    </row>
    <row r="68" spans="2:5" x14ac:dyDescent="0.25">
      <c r="C68" s="309" t="s">
        <v>477</v>
      </c>
      <c r="D68" s="311">
        <v>43725</v>
      </c>
      <c r="E68" s="313" t="s">
        <v>325</v>
      </c>
    </row>
    <row r="69" spans="2:5" x14ac:dyDescent="0.25">
      <c r="C69" s="309" t="s">
        <v>473</v>
      </c>
      <c r="D69" s="311">
        <v>43731</v>
      </c>
      <c r="E69" s="313" t="s">
        <v>325</v>
      </c>
    </row>
    <row r="70" spans="2:5" x14ac:dyDescent="0.25">
      <c r="C70" s="309" t="s">
        <v>476</v>
      </c>
      <c r="D70" s="311">
        <v>43742</v>
      </c>
      <c r="E70" s="313" t="s">
        <v>325</v>
      </c>
    </row>
    <row r="72" spans="2:5" x14ac:dyDescent="0.25">
      <c r="B72" s="314" t="s">
        <v>427</v>
      </c>
      <c r="C72" s="310" t="s">
        <v>515</v>
      </c>
      <c r="D72" s="311">
        <v>44008</v>
      </c>
      <c r="E72" s="313" t="s">
        <v>514</v>
      </c>
    </row>
    <row r="73" spans="2:5" x14ac:dyDescent="0.25">
      <c r="C73" s="310" t="s">
        <v>516</v>
      </c>
      <c r="D73" s="311">
        <v>44008</v>
      </c>
      <c r="E73" s="313" t="s">
        <v>514</v>
      </c>
    </row>
    <row r="74" spans="2:5" x14ac:dyDescent="0.25">
      <c r="C74" s="310" t="s">
        <v>517</v>
      </c>
      <c r="D74" s="311">
        <v>44008</v>
      </c>
      <c r="E74" s="313" t="s">
        <v>514</v>
      </c>
    </row>
    <row r="75" spans="2:5" x14ac:dyDescent="0.25">
      <c r="C75" s="310" t="s">
        <v>518</v>
      </c>
      <c r="D75" s="311">
        <v>44008</v>
      </c>
      <c r="E75" s="313" t="s">
        <v>514</v>
      </c>
    </row>
    <row r="76" spans="2:5" x14ac:dyDescent="0.25">
      <c r="C76" s="310" t="s">
        <v>519</v>
      </c>
      <c r="D76" s="311">
        <v>44008</v>
      </c>
      <c r="E76" s="313" t="s">
        <v>514</v>
      </c>
    </row>
    <row r="77" spans="2:5" x14ac:dyDescent="0.25">
      <c r="C77" s="310" t="s">
        <v>520</v>
      </c>
      <c r="D77" s="311">
        <v>44008</v>
      </c>
      <c r="E77" s="313" t="s">
        <v>514</v>
      </c>
    </row>
    <row r="78" spans="2:5" x14ac:dyDescent="0.25">
      <c r="C78" s="310" t="s">
        <v>521</v>
      </c>
      <c r="D78" s="311">
        <v>44008</v>
      </c>
      <c r="E78" s="313" t="s">
        <v>514</v>
      </c>
    </row>
    <row r="79" spans="2:5" x14ac:dyDescent="0.25">
      <c r="C79" s="310" t="s">
        <v>522</v>
      </c>
      <c r="D79" s="311">
        <v>44008</v>
      </c>
      <c r="E79" s="313" t="s">
        <v>514</v>
      </c>
    </row>
    <row r="80" spans="2:5" x14ac:dyDescent="0.25">
      <c r="C80" s="310" t="s">
        <v>523</v>
      </c>
      <c r="D80" s="311">
        <v>44008</v>
      </c>
      <c r="E80" s="313" t="s">
        <v>514</v>
      </c>
    </row>
    <row r="81" spans="2:5" x14ac:dyDescent="0.25">
      <c r="C81" s="310" t="s">
        <v>524</v>
      </c>
      <c r="D81" s="311">
        <v>44008</v>
      </c>
      <c r="E81" s="313" t="s">
        <v>514</v>
      </c>
    </row>
    <row r="82" spans="2:5" ht="30" x14ac:dyDescent="0.25">
      <c r="C82" s="310" t="s">
        <v>525</v>
      </c>
      <c r="D82" s="311">
        <v>44008</v>
      </c>
      <c r="E82" s="313" t="s">
        <v>514</v>
      </c>
    </row>
    <row r="83" spans="2:5" ht="30" x14ac:dyDescent="0.25">
      <c r="C83" s="309" t="s">
        <v>526</v>
      </c>
      <c r="D83" s="311">
        <v>44008</v>
      </c>
      <c r="E83" s="313" t="s">
        <v>514</v>
      </c>
    </row>
    <row r="84" spans="2:5" x14ac:dyDescent="0.25">
      <c r="C84" s="310" t="s">
        <v>527</v>
      </c>
      <c r="D84" s="311">
        <v>44008</v>
      </c>
      <c r="E84" s="313" t="s">
        <v>514</v>
      </c>
    </row>
    <row r="85" spans="2:5" ht="30" x14ac:dyDescent="0.25">
      <c r="C85" s="310" t="s">
        <v>528</v>
      </c>
      <c r="D85" s="311">
        <v>44008</v>
      </c>
      <c r="E85" s="313" t="s">
        <v>514</v>
      </c>
    </row>
    <row r="86" spans="2:5" x14ac:dyDescent="0.25">
      <c r="C86" s="310" t="s">
        <v>529</v>
      </c>
      <c r="D86" s="311">
        <v>44008</v>
      </c>
      <c r="E86" s="313" t="s">
        <v>514</v>
      </c>
    </row>
    <row r="87" spans="2:5" x14ac:dyDescent="0.25">
      <c r="C87" s="310" t="s">
        <v>530</v>
      </c>
      <c r="D87" s="311">
        <v>44008</v>
      </c>
      <c r="E87" s="313" t="s">
        <v>514</v>
      </c>
    </row>
    <row r="90" spans="2:5" x14ac:dyDescent="0.25">
      <c r="B90" s="316" t="s">
        <v>639</v>
      </c>
      <c r="C90" s="309" t="s">
        <v>551</v>
      </c>
      <c r="D90" s="311">
        <v>44044</v>
      </c>
      <c r="E90" s="313" t="s">
        <v>428</v>
      </c>
    </row>
    <row r="91" spans="2:5" x14ac:dyDescent="0.25">
      <c r="C91" s="310" t="s">
        <v>552</v>
      </c>
      <c r="D91" s="311">
        <v>44044</v>
      </c>
      <c r="E91" s="313" t="s">
        <v>428</v>
      </c>
    </row>
    <row r="92" spans="2:5" x14ac:dyDescent="0.25">
      <c r="C92" s="310" t="s">
        <v>553</v>
      </c>
      <c r="D92" s="311">
        <v>44044</v>
      </c>
      <c r="E92" s="313" t="s">
        <v>428</v>
      </c>
    </row>
    <row r="93" spans="2:5" x14ac:dyDescent="0.25">
      <c r="C93" s="309" t="s">
        <v>554</v>
      </c>
      <c r="D93" s="311">
        <v>44044</v>
      </c>
      <c r="E93" s="313" t="s">
        <v>428</v>
      </c>
    </row>
    <row r="94" spans="2:5" x14ac:dyDescent="0.25">
      <c r="C94" s="310" t="s">
        <v>581</v>
      </c>
      <c r="D94" s="311">
        <v>44044</v>
      </c>
      <c r="E94" s="313" t="s">
        <v>428</v>
      </c>
    </row>
    <row r="95" spans="2:5" ht="30" x14ac:dyDescent="0.25">
      <c r="C95" s="310" t="s">
        <v>582</v>
      </c>
      <c r="D95" s="311">
        <v>44044</v>
      </c>
      <c r="E95" s="313" t="s">
        <v>428</v>
      </c>
    </row>
    <row r="96" spans="2:5" x14ac:dyDescent="0.25">
      <c r="C96" s="309" t="s">
        <v>622</v>
      </c>
      <c r="D96" s="311">
        <v>44209</v>
      </c>
      <c r="E96" s="313" t="s">
        <v>428</v>
      </c>
    </row>
    <row r="97" spans="2:5" x14ac:dyDescent="0.25">
      <c r="C97" s="309" t="s">
        <v>623</v>
      </c>
      <c r="D97" s="311">
        <v>44209</v>
      </c>
      <c r="E97" s="313" t="s">
        <v>428</v>
      </c>
    </row>
    <row r="98" spans="2:5" x14ac:dyDescent="0.25">
      <c r="C98" s="309" t="s">
        <v>624</v>
      </c>
      <c r="D98" s="311">
        <v>44209</v>
      </c>
      <c r="E98" s="313" t="s">
        <v>428</v>
      </c>
    </row>
    <row r="99" spans="2:5" x14ac:dyDescent="0.25">
      <c r="C99" s="309" t="s">
        <v>625</v>
      </c>
      <c r="D99" s="311">
        <v>44209</v>
      </c>
      <c r="E99" s="313" t="s">
        <v>428</v>
      </c>
    </row>
    <row r="101" spans="2:5" x14ac:dyDescent="0.25">
      <c r="B101" s="314">
        <v>3.1</v>
      </c>
      <c r="C101" s="309" t="s">
        <v>640</v>
      </c>
      <c r="D101" s="311">
        <v>44272</v>
      </c>
      <c r="E101" s="313" t="s">
        <v>428</v>
      </c>
    </row>
    <row r="102" spans="2:5" x14ac:dyDescent="0.25">
      <c r="C102" s="309" t="s">
        <v>641</v>
      </c>
      <c r="D102" s="311">
        <v>44272</v>
      </c>
      <c r="E102" s="313" t="s">
        <v>428</v>
      </c>
    </row>
    <row r="103" spans="2:5" ht="30" x14ac:dyDescent="0.25">
      <c r="C103" s="309" t="s">
        <v>643</v>
      </c>
      <c r="D103" s="311">
        <v>44274</v>
      </c>
      <c r="E103" s="313" t="s">
        <v>428</v>
      </c>
    </row>
    <row r="104" spans="2:5" x14ac:dyDescent="0.25">
      <c r="C104" s="309" t="s">
        <v>644</v>
      </c>
      <c r="D104" s="311">
        <v>44274</v>
      </c>
      <c r="E104" s="313" t="s">
        <v>428</v>
      </c>
    </row>
    <row r="105" spans="2:5" x14ac:dyDescent="0.25">
      <c r="C105" s="309" t="s">
        <v>646</v>
      </c>
      <c r="D105" s="311">
        <v>44293</v>
      </c>
      <c r="E105" s="313" t="s">
        <v>428</v>
      </c>
    </row>
    <row r="106" spans="2:5" ht="30" x14ac:dyDescent="0.25">
      <c r="C106" s="309" t="s">
        <v>647</v>
      </c>
      <c r="D106" s="311">
        <v>44293</v>
      </c>
      <c r="E106" s="313" t="s">
        <v>428</v>
      </c>
    </row>
    <row r="107" spans="2:5" x14ac:dyDescent="0.25">
      <c r="C107" s="309" t="s">
        <v>650</v>
      </c>
      <c r="D107" s="311">
        <v>44322</v>
      </c>
      <c r="E107" s="313" t="s">
        <v>428</v>
      </c>
    </row>
    <row r="109" spans="2:5" ht="30" x14ac:dyDescent="0.25">
      <c r="B109" s="314">
        <v>3.2</v>
      </c>
      <c r="C109" s="309" t="s">
        <v>671</v>
      </c>
      <c r="D109" s="311">
        <v>44329</v>
      </c>
      <c r="E109" s="313" t="s">
        <v>428</v>
      </c>
    </row>
    <row r="110" spans="2:5" x14ac:dyDescent="0.25">
      <c r="C110" s="309" t="s">
        <v>664</v>
      </c>
      <c r="D110" s="311">
        <v>44344</v>
      </c>
      <c r="E110" s="313" t="s">
        <v>428</v>
      </c>
    </row>
    <row r="111" spans="2:5" ht="60" x14ac:dyDescent="0.25">
      <c r="C111" s="309" t="s">
        <v>668</v>
      </c>
      <c r="D111" s="311">
        <v>44435</v>
      </c>
      <c r="E111" s="313" t="s">
        <v>428</v>
      </c>
    </row>
    <row r="112" spans="2:5" x14ac:dyDescent="0.25">
      <c r="C112" s="309" t="s">
        <v>665</v>
      </c>
      <c r="D112" s="311">
        <v>44435</v>
      </c>
      <c r="E112" s="313" t="s">
        <v>428</v>
      </c>
    </row>
    <row r="113" spans="2:5" x14ac:dyDescent="0.25">
      <c r="C113" s="309" t="s">
        <v>666</v>
      </c>
      <c r="D113" s="311">
        <v>44435</v>
      </c>
      <c r="E113" s="313" t="s">
        <v>428</v>
      </c>
    </row>
    <row r="114" spans="2:5" ht="30" x14ac:dyDescent="0.25">
      <c r="C114" s="309" t="s">
        <v>667</v>
      </c>
      <c r="D114" s="311">
        <v>44435</v>
      </c>
      <c r="E114" s="313" t="s">
        <v>428</v>
      </c>
    </row>
    <row r="115" spans="2:5" x14ac:dyDescent="0.25">
      <c r="C115" s="309" t="s">
        <v>675</v>
      </c>
      <c r="D115" s="311">
        <v>44440</v>
      </c>
      <c r="E115" s="313" t="s">
        <v>325</v>
      </c>
    </row>
    <row r="117" spans="2:5" ht="30" x14ac:dyDescent="0.25">
      <c r="B117" s="314">
        <v>3.2</v>
      </c>
      <c r="C117" s="309" t="s">
        <v>679</v>
      </c>
      <c r="D117" s="311">
        <v>44473</v>
      </c>
      <c r="E117" s="313" t="s">
        <v>325</v>
      </c>
    </row>
    <row r="118" spans="2:5" x14ac:dyDescent="0.25">
      <c r="C118" s="309" t="s">
        <v>683</v>
      </c>
      <c r="D118" s="311">
        <v>44479</v>
      </c>
      <c r="E118" s="313" t="s">
        <v>325</v>
      </c>
    </row>
    <row r="119" spans="2:5" ht="30" x14ac:dyDescent="0.25">
      <c r="C119" s="309" t="s">
        <v>684</v>
      </c>
      <c r="D119" s="311">
        <v>44567</v>
      </c>
      <c r="E119" s="313" t="s">
        <v>428</v>
      </c>
    </row>
    <row r="122" spans="2:5" x14ac:dyDescent="0.25">
      <c r="B122" s="314">
        <v>4</v>
      </c>
      <c r="C122" s="309" t="s">
        <v>929</v>
      </c>
      <c r="D122" s="311">
        <v>44797</v>
      </c>
      <c r="E122" s="313" t="s">
        <v>428</v>
      </c>
    </row>
    <row r="123" spans="2:5" x14ac:dyDescent="0.25">
      <c r="C123" s="309" t="s">
        <v>930</v>
      </c>
      <c r="D123" s="311">
        <v>44797</v>
      </c>
      <c r="E123" s="313" t="s">
        <v>428</v>
      </c>
    </row>
    <row r="124" spans="2:5" ht="30" x14ac:dyDescent="0.25">
      <c r="C124" s="309" t="s">
        <v>931</v>
      </c>
      <c r="D124" s="311">
        <v>44797</v>
      </c>
      <c r="E124" s="313" t="s">
        <v>428</v>
      </c>
    </row>
    <row r="125" spans="2:5" x14ac:dyDescent="0.25">
      <c r="C125" s="309" t="s">
        <v>1014</v>
      </c>
      <c r="D125" s="311">
        <v>44869</v>
      </c>
      <c r="E125" s="313" t="s">
        <v>428</v>
      </c>
    </row>
    <row r="126" spans="2:5" x14ac:dyDescent="0.25">
      <c r="C126" s="309" t="s">
        <v>1015</v>
      </c>
      <c r="D126" s="311">
        <v>44869</v>
      </c>
      <c r="E126" s="313" t="s">
        <v>428</v>
      </c>
    </row>
    <row r="127" spans="2:5" x14ac:dyDescent="0.25">
      <c r="C127" s="309" t="s">
        <v>1016</v>
      </c>
      <c r="D127" s="311">
        <v>44869</v>
      </c>
      <c r="E127" s="313" t="s">
        <v>428</v>
      </c>
    </row>
    <row r="129" spans="2:5" x14ac:dyDescent="0.25">
      <c r="B129" s="314">
        <v>4.0999999999999996</v>
      </c>
      <c r="C129" s="309" t="s">
        <v>1080</v>
      </c>
      <c r="D129" s="311">
        <v>44966</v>
      </c>
      <c r="E129" s="313" t="s">
        <v>428</v>
      </c>
    </row>
    <row r="130" spans="2:5" x14ac:dyDescent="0.25">
      <c r="C130" s="309" t="s">
        <v>1081</v>
      </c>
      <c r="D130" s="311">
        <v>44966</v>
      </c>
      <c r="E130" s="313" t="s">
        <v>428</v>
      </c>
    </row>
    <row r="131" spans="2:5" x14ac:dyDescent="0.25">
      <c r="C131" s="309" t="s">
        <v>1086</v>
      </c>
      <c r="D131" s="311">
        <v>44966</v>
      </c>
      <c r="E131" s="313" t="s">
        <v>428</v>
      </c>
    </row>
    <row r="132" spans="2:5" x14ac:dyDescent="0.25">
      <c r="C132" s="309" t="s">
        <v>1082</v>
      </c>
      <c r="D132" s="311">
        <v>44966</v>
      </c>
      <c r="E132" s="313" t="s">
        <v>428</v>
      </c>
    </row>
    <row r="133" spans="2:5" x14ac:dyDescent="0.25">
      <c r="C133" s="309" t="s">
        <v>1089</v>
      </c>
      <c r="D133" s="311">
        <v>44966</v>
      </c>
      <c r="E133" s="313" t="s">
        <v>428</v>
      </c>
    </row>
    <row r="135" spans="2:5" x14ac:dyDescent="0.25">
      <c r="B135" s="314">
        <v>4.2</v>
      </c>
      <c r="C135" s="309" t="s">
        <v>1110</v>
      </c>
      <c r="D135" s="311">
        <v>45118</v>
      </c>
      <c r="E135" s="313" t="s">
        <v>428</v>
      </c>
    </row>
    <row r="136" spans="2:5" x14ac:dyDescent="0.25">
      <c r="C136" s="309" t="s">
        <v>1111</v>
      </c>
      <c r="D136" s="311">
        <v>45118</v>
      </c>
      <c r="E136" s="313" t="s">
        <v>428</v>
      </c>
    </row>
    <row r="137" spans="2:5" x14ac:dyDescent="0.25">
      <c r="C137" s="309" t="s">
        <v>1110</v>
      </c>
      <c r="D137" s="311">
        <v>45216</v>
      </c>
      <c r="E137" s="313" t="s">
        <v>428</v>
      </c>
    </row>
    <row r="138" spans="2:5" x14ac:dyDescent="0.25">
      <c r="C138" s="309" t="s">
        <v>1149</v>
      </c>
      <c r="D138" s="311">
        <v>45216</v>
      </c>
      <c r="E138" s="313" t="s">
        <v>428</v>
      </c>
    </row>
    <row r="139" spans="2:5" x14ac:dyDescent="0.25">
      <c r="C139" s="309" t="s">
        <v>1372</v>
      </c>
      <c r="D139" s="311">
        <v>45223</v>
      </c>
      <c r="E139" s="313" t="s">
        <v>428</v>
      </c>
    </row>
    <row r="140" spans="2:5" x14ac:dyDescent="0.25">
      <c r="C140" s="309" t="s">
        <v>1373</v>
      </c>
      <c r="D140" s="311">
        <v>45223</v>
      </c>
      <c r="E140" s="313" t="s">
        <v>428</v>
      </c>
    </row>
    <row r="141" spans="2:5" ht="30" x14ac:dyDescent="0.25">
      <c r="C141" s="309" t="s">
        <v>1381</v>
      </c>
      <c r="D141" s="311">
        <v>45233</v>
      </c>
      <c r="E141" s="313" t="s">
        <v>428</v>
      </c>
    </row>
    <row r="142" spans="2:5" x14ac:dyDescent="0.25">
      <c r="C142" s="309" t="s">
        <v>1386</v>
      </c>
      <c r="D142" s="311">
        <v>45327</v>
      </c>
      <c r="E142" s="313" t="s">
        <v>428</v>
      </c>
    </row>
    <row r="143" spans="2:5" x14ac:dyDescent="0.25">
      <c r="C143" s="309" t="s">
        <v>1387</v>
      </c>
      <c r="D143" s="311">
        <v>45327</v>
      </c>
      <c r="E143" s="313" t="s">
        <v>428</v>
      </c>
    </row>
    <row r="145" spans="2:5" x14ac:dyDescent="0.25">
      <c r="B145" s="314">
        <v>4.3</v>
      </c>
      <c r="C145" s="309" t="s">
        <v>1396</v>
      </c>
      <c r="D145" s="311">
        <v>45369</v>
      </c>
      <c r="E145" s="313" t="s">
        <v>428</v>
      </c>
    </row>
    <row r="146" spans="2:5" x14ac:dyDescent="0.25">
      <c r="C146" s="309" t="s">
        <v>1400</v>
      </c>
      <c r="D146" s="311">
        <v>45370</v>
      </c>
      <c r="E146" s="313" t="s">
        <v>428</v>
      </c>
    </row>
    <row r="147" spans="2:5" x14ac:dyDescent="0.25">
      <c r="C147" s="309" t="s">
        <v>1401</v>
      </c>
      <c r="D147" s="311">
        <v>45370</v>
      </c>
      <c r="E147" s="313" t="s">
        <v>428</v>
      </c>
    </row>
    <row r="148" spans="2:5" x14ac:dyDescent="0.25">
      <c r="C148" s="309" t="s">
        <v>1402</v>
      </c>
      <c r="D148" s="311">
        <v>45370</v>
      </c>
      <c r="E148" s="313" t="s">
        <v>428</v>
      </c>
    </row>
    <row r="149" spans="2:5" x14ac:dyDescent="0.25">
      <c r="C149" s="309" t="s">
        <v>1419</v>
      </c>
      <c r="D149" s="311">
        <v>45370</v>
      </c>
      <c r="E149" s="313" t="s">
        <v>428</v>
      </c>
    </row>
    <row r="151" spans="2:5" x14ac:dyDescent="0.25">
      <c r="B151" s="314" t="s">
        <v>1444</v>
      </c>
      <c r="C151" s="309" t="s">
        <v>1445</v>
      </c>
      <c r="D151" s="311">
        <v>45498</v>
      </c>
      <c r="E151" s="313" t="s">
        <v>428</v>
      </c>
    </row>
    <row r="152" spans="2:5" x14ac:dyDescent="0.25">
      <c r="C152" s="309" t="s">
        <v>1446</v>
      </c>
      <c r="D152" s="311">
        <v>45498</v>
      </c>
      <c r="E152" s="313" t="s">
        <v>428</v>
      </c>
    </row>
    <row r="154" spans="2:5" x14ac:dyDescent="0.25">
      <c r="B154" s="314" t="s">
        <v>1444</v>
      </c>
      <c r="C154" s="309" t="s">
        <v>1449</v>
      </c>
      <c r="D154" s="311">
        <v>45510</v>
      </c>
      <c r="E154" s="313" t="s">
        <v>325</v>
      </c>
    </row>
    <row r="155" spans="2:5" x14ac:dyDescent="0.25">
      <c r="C155" s="309" t="s">
        <v>1448</v>
      </c>
      <c r="D155" s="311">
        <v>45510</v>
      </c>
      <c r="E155" s="313" t="s">
        <v>325</v>
      </c>
    </row>
    <row r="156" spans="2:5" ht="30" x14ac:dyDescent="0.25">
      <c r="C156" s="309" t="s">
        <v>1450</v>
      </c>
      <c r="D156" s="311">
        <v>45511</v>
      </c>
      <c r="E156" s="313" t="s">
        <v>428</v>
      </c>
    </row>
    <row r="158" spans="2:5" x14ac:dyDescent="0.25">
      <c r="B158" s="314" t="s">
        <v>1451</v>
      </c>
      <c r="C158" s="309" t="s">
        <v>1452</v>
      </c>
      <c r="D158" s="311">
        <v>45561</v>
      </c>
      <c r="E158" s="313" t="s">
        <v>428</v>
      </c>
    </row>
    <row r="159" spans="2:5" x14ac:dyDescent="0.25">
      <c r="C159" s="309" t="s">
        <v>1453</v>
      </c>
      <c r="D159" s="311">
        <v>45561</v>
      </c>
      <c r="E159" s="313" t="s">
        <v>428</v>
      </c>
    </row>
    <row r="160" spans="2:5" x14ac:dyDescent="0.25">
      <c r="C160" s="309" t="s">
        <v>1454</v>
      </c>
      <c r="D160" s="311">
        <v>45561</v>
      </c>
      <c r="E160" s="313" t="s">
        <v>428</v>
      </c>
    </row>
    <row r="161" spans="2:6" x14ac:dyDescent="0.25">
      <c r="C161" s="309" t="s">
        <v>1456</v>
      </c>
      <c r="D161" s="311">
        <v>45629</v>
      </c>
      <c r="E161" s="313" t="s">
        <v>428</v>
      </c>
    </row>
    <row r="163" spans="2:6" x14ac:dyDescent="0.25">
      <c r="B163" s="314" t="s">
        <v>1458</v>
      </c>
      <c r="C163" s="309" t="s">
        <v>1457</v>
      </c>
      <c r="D163" s="311">
        <v>45736</v>
      </c>
      <c r="E163" s="313" t="s">
        <v>428</v>
      </c>
    </row>
    <row r="164" spans="2:6" x14ac:dyDescent="0.25">
      <c r="C164" s="309" t="s">
        <v>1463</v>
      </c>
      <c r="D164" s="311">
        <v>45736</v>
      </c>
      <c r="E164" s="313" t="s">
        <v>428</v>
      </c>
    </row>
    <row r="165" spans="2:6" x14ac:dyDescent="0.25">
      <c r="C165" s="309" t="s">
        <v>1464</v>
      </c>
      <c r="D165" s="311">
        <v>45736</v>
      </c>
      <c r="E165" s="313" t="s">
        <v>428</v>
      </c>
    </row>
    <row r="166" spans="2:6" x14ac:dyDescent="0.25">
      <c r="C166" s="309" t="s">
        <v>1465</v>
      </c>
      <c r="D166" s="311">
        <v>45736</v>
      </c>
      <c r="E166" s="313" t="s">
        <v>428</v>
      </c>
    </row>
    <row r="167" spans="2:6" x14ac:dyDescent="0.25">
      <c r="C167" s="309" t="s">
        <v>1466</v>
      </c>
      <c r="D167" s="311">
        <v>45736</v>
      </c>
      <c r="E167" s="313" t="s">
        <v>428</v>
      </c>
    </row>
    <row r="168" spans="2:6" x14ac:dyDescent="0.25">
      <c r="C168" s="309" t="s">
        <v>1467</v>
      </c>
      <c r="D168" s="311">
        <v>45736</v>
      </c>
      <c r="E168" s="313" t="s">
        <v>428</v>
      </c>
    </row>
    <row r="169" spans="2:6" x14ac:dyDescent="0.25">
      <c r="C169" s="309" t="s">
        <v>1498</v>
      </c>
      <c r="D169" s="311">
        <v>45736</v>
      </c>
      <c r="E169" s="313" t="s">
        <v>428</v>
      </c>
    </row>
    <row r="171" spans="2:6" x14ac:dyDescent="0.25">
      <c r="B171" s="314" t="s">
        <v>1502</v>
      </c>
      <c r="C171" s="309" t="s">
        <v>1513</v>
      </c>
      <c r="D171" s="311">
        <v>45869</v>
      </c>
      <c r="E171" s="313" t="s">
        <v>428</v>
      </c>
    </row>
    <row r="172" spans="2:6" ht="30" x14ac:dyDescent="0.25">
      <c r="C172" s="309" t="s">
        <v>1514</v>
      </c>
      <c r="D172" s="311">
        <v>45869</v>
      </c>
      <c r="E172" s="313" t="s">
        <v>428</v>
      </c>
    </row>
    <row r="174" spans="2:6" x14ac:dyDescent="0.25">
      <c r="B174" s="314" t="s">
        <v>1607</v>
      </c>
      <c r="C174" s="309" t="s">
        <v>1559</v>
      </c>
      <c r="D174" s="311">
        <v>45953</v>
      </c>
      <c r="E174" s="313" t="s">
        <v>428</v>
      </c>
      <c r="F174" t="s">
        <v>1737</v>
      </c>
    </row>
    <row r="175" spans="2:6" x14ac:dyDescent="0.25">
      <c r="C175" s="309" t="s">
        <v>1560</v>
      </c>
      <c r="D175" s="311">
        <v>45953</v>
      </c>
      <c r="E175" s="313" t="s">
        <v>428</v>
      </c>
    </row>
    <row r="176" spans="2:6" x14ac:dyDescent="0.25">
      <c r="C176" s="309" t="s">
        <v>1562</v>
      </c>
      <c r="D176" s="311">
        <v>45954</v>
      </c>
      <c r="E176" s="313" t="s">
        <v>428</v>
      </c>
      <c r="F176" t="s">
        <v>1737</v>
      </c>
    </row>
    <row r="177" spans="3:8" x14ac:dyDescent="0.25">
      <c r="C177" s="309" t="s">
        <v>1598</v>
      </c>
      <c r="D177" s="311">
        <v>45982</v>
      </c>
      <c r="E177" s="313" t="s">
        <v>428</v>
      </c>
      <c r="F177" t="s">
        <v>1742</v>
      </c>
    </row>
    <row r="178" spans="3:8" x14ac:dyDescent="0.25">
      <c r="C178" s="309" t="s">
        <v>1561</v>
      </c>
      <c r="D178" s="311">
        <v>45985</v>
      </c>
      <c r="E178" s="313" t="s">
        <v>428</v>
      </c>
      <c r="F178" t="s">
        <v>1737</v>
      </c>
    </row>
    <row r="179" spans="3:8" x14ac:dyDescent="0.25">
      <c r="C179" s="309" t="s">
        <v>1606</v>
      </c>
      <c r="D179" s="311">
        <v>45985</v>
      </c>
      <c r="E179" s="313" t="s">
        <v>428</v>
      </c>
    </row>
    <row r="180" spans="3:8" x14ac:dyDescent="0.25">
      <c r="C180" s="309" t="s">
        <v>1609</v>
      </c>
      <c r="D180" s="311">
        <v>45985</v>
      </c>
      <c r="E180" s="313" t="s">
        <v>428</v>
      </c>
      <c r="H180" t="s">
        <v>1618</v>
      </c>
    </row>
    <row r="181" spans="3:8" x14ac:dyDescent="0.25">
      <c r="C181" s="309" t="s">
        <v>1630</v>
      </c>
      <c r="D181" s="311">
        <v>45996</v>
      </c>
      <c r="E181" s="313" t="s">
        <v>1673</v>
      </c>
      <c r="F181" t="s">
        <v>1742</v>
      </c>
    </row>
    <row r="182" spans="3:8" x14ac:dyDescent="0.25">
      <c r="C182" s="309" t="s">
        <v>1672</v>
      </c>
      <c r="D182" s="311">
        <v>45996</v>
      </c>
      <c r="E182" s="313" t="s">
        <v>428</v>
      </c>
    </row>
    <row r="183" spans="3:8" x14ac:dyDescent="0.25">
      <c r="C183" s="309" t="s">
        <v>1719</v>
      </c>
      <c r="D183" s="311">
        <v>46001</v>
      </c>
      <c r="E183" s="313" t="s">
        <v>428</v>
      </c>
      <c r="H183" t="s">
        <v>1720</v>
      </c>
    </row>
    <row r="184" spans="3:8" x14ac:dyDescent="0.25">
      <c r="C184" s="309" t="s">
        <v>1724</v>
      </c>
      <c r="D184" s="311">
        <v>46030</v>
      </c>
      <c r="E184" s="313" t="s">
        <v>428</v>
      </c>
    </row>
    <row r="185" spans="3:8" x14ac:dyDescent="0.25">
      <c r="C185" s="309" t="s">
        <v>1725</v>
      </c>
      <c r="D185" s="311">
        <v>46030</v>
      </c>
      <c r="E185" s="313" t="s">
        <v>428</v>
      </c>
    </row>
    <row r="186" spans="3:8" x14ac:dyDescent="0.25">
      <c r="C186" s="309" t="s">
        <v>1726</v>
      </c>
      <c r="D186" s="311">
        <v>46030</v>
      </c>
      <c r="E186" s="313" t="s">
        <v>428</v>
      </c>
    </row>
    <row r="187" spans="3:8" x14ac:dyDescent="0.25">
      <c r="C187" s="309" t="s">
        <v>1732</v>
      </c>
      <c r="D187" s="311">
        <v>46030</v>
      </c>
      <c r="E187" s="313" t="s">
        <v>428</v>
      </c>
    </row>
    <row r="188" spans="3:8" x14ac:dyDescent="0.25">
      <c r="C188" s="309" t="s">
        <v>1738</v>
      </c>
      <c r="D188" s="311">
        <v>46148</v>
      </c>
      <c r="E188" s="313" t="s">
        <v>428</v>
      </c>
    </row>
    <row r="189" spans="3:8" x14ac:dyDescent="0.25">
      <c r="C189" s="309" t="s">
        <v>1743</v>
      </c>
      <c r="D189" s="311" t="s">
        <v>1744</v>
      </c>
      <c r="E189" s="313" t="s">
        <v>428</v>
      </c>
    </row>
    <row r="190" spans="3:8" ht="30" x14ac:dyDescent="0.25">
      <c r="C190" s="309" t="s">
        <v>1756</v>
      </c>
      <c r="D190" s="311">
        <v>46175</v>
      </c>
      <c r="E190" s="313" t="s">
        <v>428</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4" tint="-0.249977111117893"/>
    <pageSetUpPr fitToPage="1"/>
  </sheetPr>
  <dimension ref="A1:FU1630"/>
  <sheetViews>
    <sheetView showGridLines="0" tabSelected="1" zoomScale="85" zoomScaleNormal="85" zoomScaleSheetLayoutView="70" workbookViewId="0"/>
  </sheetViews>
  <sheetFormatPr defaultColWidth="9.140625" defaultRowHeight="15" outlineLevelCol="1" x14ac:dyDescent="0.25"/>
  <cols>
    <col min="1" max="1" width="1.7109375" style="28" customWidth="1"/>
    <col min="2" max="2" width="14.28515625" style="543" customWidth="1"/>
    <col min="3" max="3" width="5.7109375" style="543" customWidth="1"/>
    <col min="4" max="4" width="13" style="543" customWidth="1"/>
    <col min="5" max="5" width="5.7109375" style="542" customWidth="1"/>
    <col min="6" max="7" width="3.140625" style="542" customWidth="1"/>
    <col min="8" max="9" width="11.28515625" style="542" customWidth="1"/>
    <col min="10" max="10" width="9.42578125" style="542" customWidth="1"/>
    <col min="11" max="11" width="6.7109375" style="542" customWidth="1"/>
    <col min="12" max="12" width="9.42578125" style="542" customWidth="1"/>
    <col min="13" max="18" width="8.140625" style="542" customWidth="1"/>
    <col min="19" max="20" width="5.7109375" style="542" customWidth="1"/>
    <col min="21" max="21" width="15.28515625" style="559" hidden="1" customWidth="1" outlineLevel="1"/>
    <col min="22" max="22" width="12.85546875" style="542" hidden="1" customWidth="1" outlineLevel="1"/>
    <col min="23" max="23" width="10.28515625" style="542" hidden="1" customWidth="1" outlineLevel="1"/>
    <col min="24" max="24" width="11.28515625" style="542" hidden="1" customWidth="1" outlineLevel="1"/>
    <col min="25" max="27" width="10.28515625" style="542" hidden="1" customWidth="1" outlineLevel="1"/>
    <col min="28" max="28" width="10.28515625" style="542" customWidth="1" collapsed="1"/>
    <col min="29" max="29" width="13.7109375" style="542" customWidth="1"/>
    <col min="30" max="30" width="12.7109375" customWidth="1"/>
    <col min="31" max="31" width="14.7109375" customWidth="1"/>
    <col min="32" max="32" width="14.7109375" style="77" customWidth="1"/>
    <col min="33" max="34" width="15.28515625" style="77" customWidth="1"/>
    <col min="35" max="36" width="24.7109375" customWidth="1"/>
    <col min="37" max="37" width="13.28515625" style="77" customWidth="1"/>
    <col min="38" max="38" width="9.5703125" style="542" customWidth="1"/>
    <col min="39" max="39" width="15.42578125" customWidth="1"/>
    <col min="40" max="40" width="9.5703125" customWidth="1"/>
    <col min="41" max="41" width="12" customWidth="1"/>
    <col min="42" max="42" width="13.140625" hidden="1" customWidth="1" outlineLevel="1"/>
    <col min="43" max="43" width="17" hidden="1" customWidth="1" outlineLevel="1"/>
    <col min="44" max="45" width="9.28515625" hidden="1" customWidth="1" outlineLevel="1"/>
    <col min="46" max="46" width="11.7109375" hidden="1" customWidth="1" outlineLevel="1"/>
    <col min="47" max="47" width="5.7109375" hidden="1" customWidth="1" outlineLevel="1"/>
    <col min="48" max="48" width="17.28515625" hidden="1" customWidth="1" outlineLevel="1"/>
    <col min="49" max="49" width="5.7109375" hidden="1" customWidth="1" outlineLevel="1"/>
    <col min="50" max="50" width="17.28515625" hidden="1" customWidth="1" outlineLevel="1"/>
    <col min="51" max="51" width="5.7109375" hidden="1" customWidth="1" outlineLevel="1"/>
    <col min="52" max="52" width="17.28515625" hidden="1" customWidth="1" outlineLevel="1"/>
    <col min="53" max="53" width="5.7109375" hidden="1" customWidth="1" outlineLevel="1"/>
    <col min="54" max="54" width="17.28515625" hidden="1" customWidth="1" outlineLevel="1"/>
    <col min="55" max="55" width="5.7109375" hidden="1" customWidth="1" outlineLevel="1"/>
    <col min="56" max="56" width="17.28515625" hidden="1" customWidth="1" outlineLevel="1"/>
    <col min="57" max="57" width="5.7109375" hidden="1" customWidth="1" outlineLevel="1"/>
    <col min="58" max="58" width="17.28515625" hidden="1" customWidth="1" outlineLevel="1"/>
    <col min="59" max="59" width="5.7109375" hidden="1" customWidth="1" outlineLevel="1"/>
    <col min="60" max="60" width="17.28515625" hidden="1" customWidth="1" outlineLevel="1"/>
    <col min="61" max="61" width="5.7109375" hidden="1" customWidth="1" outlineLevel="1"/>
    <col min="62" max="62" width="17.28515625" hidden="1" customWidth="1" outlineLevel="1"/>
    <col min="63" max="63" width="5.7109375" hidden="1" customWidth="1" outlineLevel="1"/>
    <col min="64" max="64" width="17.28515625" hidden="1" customWidth="1" outlineLevel="1"/>
    <col min="65" max="65" width="5.7109375" hidden="1" customWidth="1" outlineLevel="1"/>
    <col min="66" max="66" width="17.28515625" hidden="1" customWidth="1" outlineLevel="1"/>
    <col min="67" max="67" width="5.7109375" hidden="1" customWidth="1" outlineLevel="1"/>
    <col min="68" max="68" width="17.28515625" hidden="1" customWidth="1" outlineLevel="1"/>
    <col min="69" max="69" width="5.7109375" hidden="1" customWidth="1" outlineLevel="1"/>
    <col min="70" max="70" width="17.28515625" hidden="1" customWidth="1" outlineLevel="1"/>
    <col min="71" max="71" width="7.7109375" hidden="1" customWidth="1" outlineLevel="1"/>
    <col min="72" max="72" width="9.5703125" hidden="1" customWidth="1" outlineLevel="1"/>
    <col min="73" max="73" width="9.140625" customWidth="1" collapsed="1"/>
    <col min="74" max="78" width="9.140625" hidden="1" customWidth="1" outlineLevel="1"/>
    <col min="79" max="82" width="9.42578125" style="4" hidden="1" customWidth="1" outlineLevel="1"/>
    <col min="83" max="83" width="40.7109375" style="77" hidden="1" customWidth="1" outlineLevel="1"/>
    <col min="84" max="84" width="9.42578125" hidden="1" customWidth="1" outlineLevel="1"/>
    <col min="85" max="87" width="9.42578125" style="636" hidden="1" customWidth="1" outlineLevel="1"/>
    <col min="88" max="88" width="40.7109375" style="636" hidden="1" customWidth="1" outlineLevel="1"/>
    <col min="89" max="89" width="9.42578125" style="4" hidden="1" customWidth="1" outlineLevel="1" collapsed="1"/>
    <col min="90" max="92" width="9.42578125" style="4" hidden="1" customWidth="1" outlineLevel="1"/>
    <col min="93" max="93" width="40.7109375" hidden="1" customWidth="1" outlineLevel="1"/>
    <col min="94" max="94" width="9.42578125" style="636" hidden="1" customWidth="1" outlineLevel="1"/>
    <col min="95" max="97" width="9.42578125" style="543" hidden="1" customWidth="1" outlineLevel="1"/>
    <col min="98" max="98" width="40.7109375" hidden="1" customWidth="1" outlineLevel="1"/>
    <col min="99" max="99" width="9.42578125" style="4" hidden="1" customWidth="1" outlineLevel="1"/>
    <col min="100" max="102" width="9.42578125" hidden="1" customWidth="1" outlineLevel="1"/>
    <col min="103" max="103" width="40.7109375" hidden="1" customWidth="1" outlineLevel="1"/>
    <col min="104" max="107" width="9.42578125" style="4" hidden="1" customWidth="1" outlineLevel="1"/>
    <col min="108" max="108" width="40.7109375" style="721" hidden="1" customWidth="1" outlineLevel="1"/>
    <col min="109" max="112" width="9.42578125" hidden="1" customWidth="1" outlineLevel="1"/>
    <col min="113" max="113" width="40.7109375" hidden="1" customWidth="1" outlineLevel="1"/>
    <col min="114" max="117" width="9.42578125" hidden="1" customWidth="1" outlineLevel="1"/>
    <col min="118" max="118" width="40.7109375" hidden="1" customWidth="1" outlineLevel="1"/>
    <col min="119" max="122" width="9.42578125" hidden="1" customWidth="1" outlineLevel="1"/>
    <col min="123" max="123" width="40.7109375" hidden="1" customWidth="1" outlineLevel="1"/>
    <col min="124" max="127" width="9.42578125" hidden="1" customWidth="1" outlineLevel="1"/>
    <col min="128" max="128" width="40.7109375" hidden="1" customWidth="1" outlineLevel="1"/>
    <col min="129" max="132" width="9.42578125" hidden="1" customWidth="1" outlineLevel="1"/>
    <col min="133" max="133" width="40.7109375" hidden="1" customWidth="1" outlineLevel="1"/>
    <col min="134" max="137" width="9.42578125" hidden="1" customWidth="1" outlineLevel="1"/>
    <col min="138" max="138" width="40.7109375" hidden="1" customWidth="1" outlineLevel="1"/>
    <col min="139" max="139" width="9.140625" style="543" customWidth="1" collapsed="1"/>
    <col min="140" max="162" width="9.140625" style="543" hidden="1" customWidth="1"/>
    <col min="163" max="177" width="0" hidden="1" customWidth="1"/>
    <col min="178" max="179" width="0" style="543" hidden="1" customWidth="1"/>
    <col min="180" max="16384" width="9.140625" style="543"/>
  </cols>
  <sheetData>
    <row r="1" spans="2:108" ht="17.100000000000001" customHeight="1" thickBot="1" x14ac:dyDescent="0.3">
      <c r="B1" s="539" t="str">
        <f>IF(RIGHT(E10,1)="*",VLOOKUP(E10,StarState,2,FALSE),"")</f>
        <v/>
      </c>
      <c r="C1" s="540"/>
      <c r="D1" s="540"/>
      <c r="E1" s="540"/>
      <c r="F1" s="540"/>
      <c r="G1" s="540"/>
      <c r="H1" s="540"/>
      <c r="I1" s="540"/>
      <c r="J1" s="540"/>
      <c r="K1" s="540"/>
      <c r="L1" s="540"/>
      <c r="M1" s="541"/>
      <c r="P1" s="543"/>
      <c r="R1" s="95"/>
      <c r="S1" s="96"/>
      <c r="T1" s="96"/>
      <c r="U1" s="543"/>
      <c r="V1" s="543"/>
      <c r="W1" s="543"/>
      <c r="X1" s="543"/>
      <c r="Y1" s="543"/>
      <c r="Z1" s="543"/>
      <c r="AA1"/>
      <c r="AB1" s="543"/>
      <c r="AC1" s="543"/>
      <c r="AG1" s="543"/>
      <c r="AH1" s="543"/>
      <c r="AL1" s="543"/>
      <c r="BT1" s="543"/>
      <c r="BU1" s="543"/>
      <c r="CG1" s="95"/>
      <c r="CH1" s="544"/>
      <c r="CI1" s="544"/>
      <c r="CJ1" s="544"/>
      <c r="CP1" s="544"/>
      <c r="DD1"/>
    </row>
    <row r="2" spans="2:108" ht="17.100000000000001" customHeight="1" x14ac:dyDescent="0.25">
      <c r="B2" s="545"/>
      <c r="C2" s="546" t="s">
        <v>374</v>
      </c>
      <c r="D2" s="305" t="s">
        <v>682</v>
      </c>
      <c r="E2" s="548"/>
      <c r="F2" s="548"/>
      <c r="G2" s="548"/>
      <c r="H2" s="547"/>
      <c r="I2" s="549"/>
      <c r="J2" s="545"/>
      <c r="K2" s="550"/>
      <c r="L2" s="550"/>
      <c r="M2" s="551"/>
      <c r="N2" s="551" t="s">
        <v>136</v>
      </c>
      <c r="O2" s="1129">
        <f ca="1">TODAY()</f>
        <v>46175</v>
      </c>
      <c r="P2" s="1129"/>
      <c r="Q2" s="552"/>
      <c r="R2" s="552"/>
      <c r="S2" s="543"/>
      <c r="T2" s="543"/>
      <c r="U2" s="553" t="s">
        <v>1023</v>
      </c>
      <c r="V2" s="553" t="s">
        <v>1024</v>
      </c>
      <c r="W2" s="554">
        <v>0</v>
      </c>
      <c r="X2" s="543"/>
      <c r="Y2" s="555" t="s">
        <v>12</v>
      </c>
      <c r="Z2" s="556">
        <v>7</v>
      </c>
      <c r="AA2" s="557">
        <v>1200</v>
      </c>
      <c r="AB2" s="543"/>
      <c r="AC2" s="1118" t="s">
        <v>1455</v>
      </c>
      <c r="AD2" s="1119"/>
      <c r="AE2" s="1120"/>
      <c r="AG2" s="1196" t="s">
        <v>380</v>
      </c>
      <c r="AH2" s="1197"/>
      <c r="AJ2" s="543"/>
      <c r="AK2" s="543"/>
      <c r="AO2" s="558"/>
      <c r="AR2" s="150"/>
      <c r="AS2" s="543"/>
      <c r="AT2" s="150"/>
      <c r="AU2" s="150"/>
      <c r="AV2" s="150"/>
      <c r="AW2" s="150"/>
      <c r="AX2" s="150"/>
      <c r="AY2" s="150"/>
      <c r="AZ2" s="150"/>
      <c r="BA2" s="150"/>
      <c r="BB2" s="150"/>
      <c r="BC2" s="150"/>
      <c r="BD2" s="150"/>
      <c r="BE2" s="150"/>
      <c r="BF2" s="150"/>
      <c r="BG2" s="150"/>
      <c r="BH2" s="150"/>
      <c r="BI2" s="150"/>
      <c r="BJ2" s="150"/>
      <c r="BK2" s="150"/>
      <c r="BL2" s="150"/>
      <c r="BM2" s="150"/>
      <c r="BN2" s="150"/>
      <c r="BO2" s="150"/>
      <c r="BP2" s="150"/>
      <c r="BQ2" s="150"/>
      <c r="BR2" s="150"/>
      <c r="BS2" s="150"/>
      <c r="BT2" s="543"/>
      <c r="BU2" s="543"/>
      <c r="CE2"/>
      <c r="CG2" s="95"/>
      <c r="CH2" s="544"/>
      <c r="CI2" s="544"/>
      <c r="CJ2" s="544"/>
      <c r="CP2" s="544"/>
      <c r="DD2"/>
    </row>
    <row r="3" spans="2:108" ht="17.100000000000001" customHeight="1" thickBot="1" x14ac:dyDescent="0.3">
      <c r="B3" s="545"/>
      <c r="C3" s="546" t="s">
        <v>4</v>
      </c>
      <c r="D3" s="305" t="s">
        <v>682</v>
      </c>
      <c r="E3" s="548"/>
      <c r="F3" s="548"/>
      <c r="G3" s="548"/>
      <c r="H3" s="547"/>
      <c r="I3" s="549"/>
      <c r="J3" s="545"/>
      <c r="K3" s="550"/>
      <c r="L3" s="545"/>
      <c r="M3" s="551"/>
      <c r="N3" s="551" t="s">
        <v>376</v>
      </c>
      <c r="O3" s="1141" t="s">
        <v>682</v>
      </c>
      <c r="P3" s="1141"/>
      <c r="Q3" s="1141"/>
      <c r="R3" s="1141"/>
      <c r="S3" s="543"/>
      <c r="T3" s="559"/>
      <c r="U3" s="560" t="s">
        <v>42</v>
      </c>
      <c r="V3" s="560" t="s">
        <v>368</v>
      </c>
      <c r="W3" s="467">
        <v>4</v>
      </c>
      <c r="X3" s="543"/>
      <c r="Y3" s="561" t="s">
        <v>13</v>
      </c>
      <c r="Z3" s="562">
        <v>9.5</v>
      </c>
      <c r="AA3" s="563">
        <v>900</v>
      </c>
      <c r="AB3" s="543"/>
      <c r="AC3" s="1121" t="s">
        <v>1487</v>
      </c>
      <c r="AD3" s="1122"/>
      <c r="AE3" s="1123"/>
      <c r="AF3" s="543"/>
      <c r="AG3" s="1198"/>
      <c r="AH3" s="1199"/>
      <c r="AJ3" s="543"/>
      <c r="AK3" s="543"/>
      <c r="AO3" s="558"/>
      <c r="AR3" s="151"/>
      <c r="AS3" s="543"/>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543"/>
      <c r="BU3" s="543"/>
      <c r="CE3"/>
      <c r="CG3" s="544"/>
      <c r="CH3" s="544"/>
      <c r="CI3" s="544"/>
      <c r="CJ3" s="544"/>
      <c r="CP3" s="544"/>
      <c r="DD3"/>
    </row>
    <row r="4" spans="2:108" ht="17.100000000000001" customHeight="1" thickBot="1" x14ac:dyDescent="0.3">
      <c r="B4" s="545"/>
      <c r="C4" s="546" t="s">
        <v>375</v>
      </c>
      <c r="D4" s="1124" t="s">
        <v>680</v>
      </c>
      <c r="E4" s="1124"/>
      <c r="F4" s="1124"/>
      <c r="G4" s="1124"/>
      <c r="H4" s="1138" t="s">
        <v>681</v>
      </c>
      <c r="I4" s="1124"/>
      <c r="J4" s="564"/>
      <c r="K4" s="564"/>
      <c r="L4" s="1202" t="s">
        <v>1734</v>
      </c>
      <c r="M4" s="1203"/>
      <c r="N4" s="1203"/>
      <c r="O4" s="1146" t="s">
        <v>682</v>
      </c>
      <c r="P4" s="1146"/>
      <c r="Q4" s="1146"/>
      <c r="R4" s="1146"/>
      <c r="S4" s="543"/>
      <c r="T4" s="559"/>
      <c r="U4" s="565" t="s">
        <v>472</v>
      </c>
      <c r="V4" s="566" t="s">
        <v>369</v>
      </c>
      <c r="W4" s="467">
        <v>5</v>
      </c>
      <c r="X4" s="543"/>
      <c r="Y4" s="567" t="s">
        <v>14</v>
      </c>
      <c r="Z4" s="568">
        <v>11.5</v>
      </c>
      <c r="AA4" s="569">
        <v>700</v>
      </c>
      <c r="AB4" s="543"/>
      <c r="AC4" s="899" t="s">
        <v>1488</v>
      </c>
      <c r="AD4" s="900"/>
      <c r="AE4" s="901"/>
      <c r="AF4" s="543"/>
      <c r="AG4" s="1190" t="s">
        <v>1389</v>
      </c>
      <c r="AH4" s="1191"/>
      <c r="AJ4" s="543"/>
      <c r="AK4" s="543"/>
      <c r="AO4" s="152"/>
      <c r="AR4" s="151"/>
      <c r="AS4" s="543"/>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543"/>
      <c r="BU4" s="543"/>
      <c r="CE4"/>
      <c r="CG4" s="95"/>
      <c r="CH4" s="544"/>
      <c r="CI4" s="544"/>
      <c r="CJ4" s="544"/>
      <c r="CP4" s="544"/>
      <c r="DD4"/>
    </row>
    <row r="5" spans="2:108" ht="17.100000000000001" customHeight="1" thickBot="1" x14ac:dyDescent="0.3">
      <c r="B5" s="570"/>
      <c r="C5" s="571" t="s">
        <v>377</v>
      </c>
      <c r="D5" s="1124" t="s">
        <v>680</v>
      </c>
      <c r="E5" s="1124"/>
      <c r="F5" s="1124"/>
      <c r="G5" s="1124"/>
      <c r="H5" s="1138" t="s">
        <v>681</v>
      </c>
      <c r="I5" s="1124"/>
      <c r="J5" s="572"/>
      <c r="K5" s="572"/>
      <c r="L5" s="1204"/>
      <c r="M5" s="1204"/>
      <c r="N5" s="1204"/>
      <c r="O5" s="1147"/>
      <c r="P5" s="1147"/>
      <c r="Q5" s="1147"/>
      <c r="R5" s="1147"/>
      <c r="S5" s="543"/>
      <c r="T5" s="543"/>
      <c r="U5" s="573" t="s">
        <v>571</v>
      </c>
      <c r="V5" s="574" t="str">
        <f>IF(ISBLANK(E14)=TRUE,"",ROUND(E14*SQRT(0.6),0))</f>
        <v/>
      </c>
      <c r="W5" s="566">
        <v>1</v>
      </c>
      <c r="X5" s="95"/>
      <c r="Y5" s="555" t="s">
        <v>12</v>
      </c>
      <c r="Z5" s="556">
        <v>7.5</v>
      </c>
      <c r="AA5" s="557">
        <v>3280</v>
      </c>
      <c r="AB5" s="543"/>
      <c r="AE5" s="543"/>
      <c r="AF5" s="543"/>
      <c r="AG5" s="1192" t="s">
        <v>381</v>
      </c>
      <c r="AH5" s="1193"/>
      <c r="AK5" s="543"/>
      <c r="AO5" s="152"/>
      <c r="AR5" s="151"/>
      <c r="AS5" s="543"/>
      <c r="AT5" s="151"/>
      <c r="AU5" s="151"/>
      <c r="AV5" s="151"/>
      <c r="AW5" s="151"/>
      <c r="AX5" s="151"/>
      <c r="AY5" s="151"/>
      <c r="AZ5" s="151"/>
      <c r="BA5" s="151"/>
      <c r="BB5" s="151"/>
      <c r="BC5" s="151"/>
      <c r="BD5" s="151"/>
      <c r="BE5" s="151"/>
      <c r="BF5" s="151"/>
      <c r="BG5" s="151"/>
      <c r="BH5" s="151"/>
      <c r="BI5" s="151"/>
      <c r="BJ5" s="151"/>
      <c r="BK5" s="151"/>
      <c r="BL5" s="151"/>
      <c r="BM5" s="151"/>
      <c r="BN5" s="151"/>
      <c r="BO5" s="151"/>
      <c r="BP5" s="151"/>
      <c r="BQ5" s="151"/>
      <c r="BR5" s="151"/>
      <c r="BS5" s="151"/>
      <c r="BT5" s="543"/>
      <c r="BU5" s="543"/>
      <c r="CE5"/>
      <c r="CG5" s="95"/>
      <c r="CH5" s="544"/>
      <c r="CI5" s="544"/>
      <c r="CJ5" s="544"/>
      <c r="CP5" s="544"/>
      <c r="DD5"/>
    </row>
    <row r="6" spans="2:108" ht="17.100000000000001" customHeight="1" thickBot="1" x14ac:dyDescent="0.3">
      <c r="B6" s="1158" t="s">
        <v>648</v>
      </c>
      <c r="C6" s="1158"/>
      <c r="D6" s="1158"/>
      <c r="E6" s="1158"/>
      <c r="F6" s="1158"/>
      <c r="G6" s="1158"/>
      <c r="H6" s="1158"/>
      <c r="I6" s="1158"/>
      <c r="J6" s="1158"/>
      <c r="K6" s="1158"/>
      <c r="L6" s="1158"/>
      <c r="M6" s="1158"/>
      <c r="N6" s="1158"/>
      <c r="O6" s="1158"/>
      <c r="P6" s="1158"/>
      <c r="Q6" s="1158"/>
      <c r="R6" s="1158"/>
      <c r="S6" s="543"/>
      <c r="T6" s="543"/>
      <c r="U6" s="575" t="s">
        <v>44</v>
      </c>
      <c r="V6" s="576">
        <f>IF(E15="B",IF(E12&gt;30,E12,30),IF(E12&gt;15,E12,15))</f>
        <v>15</v>
      </c>
      <c r="W6" s="577" t="s">
        <v>12</v>
      </c>
      <c r="Y6" s="561" t="s">
        <v>13</v>
      </c>
      <c r="Z6" s="562">
        <v>9.8000000000000007</v>
      </c>
      <c r="AA6" s="563">
        <v>2460</v>
      </c>
      <c r="AB6" s="543"/>
      <c r="AF6" s="543"/>
      <c r="AG6" s="1192" t="s">
        <v>41</v>
      </c>
      <c r="AH6" s="1193"/>
      <c r="AK6" s="543"/>
      <c r="AO6" s="152"/>
      <c r="AR6" s="151"/>
      <c r="AS6" s="543"/>
      <c r="AT6" s="151"/>
      <c r="AU6" s="151"/>
      <c r="AV6" s="151"/>
      <c r="AW6" s="151"/>
      <c r="AX6" s="151"/>
      <c r="AY6" s="151"/>
      <c r="AZ6" s="151"/>
      <c r="BA6" s="151"/>
      <c r="BB6" s="151"/>
      <c r="BC6" s="151"/>
      <c r="BD6" s="151"/>
      <c r="BE6" s="151"/>
      <c r="BF6" s="151"/>
      <c r="BG6" s="151"/>
      <c r="BH6" s="151"/>
      <c r="BI6" s="151"/>
      <c r="BJ6" s="151"/>
      <c r="BK6" s="151"/>
      <c r="BL6" s="151"/>
      <c r="BM6" s="151"/>
      <c r="BN6" s="151"/>
      <c r="BO6" s="151"/>
      <c r="BP6" s="151"/>
      <c r="BQ6" s="151"/>
      <c r="BR6" s="151"/>
      <c r="BS6" s="151"/>
      <c r="BT6" s="543"/>
      <c r="BU6" s="543"/>
      <c r="CE6"/>
      <c r="CG6" s="95"/>
      <c r="CH6" s="544"/>
      <c r="CI6" s="544"/>
      <c r="CJ6" s="544"/>
      <c r="CM6" s="543"/>
      <c r="CN6" s="543"/>
      <c r="CO6" s="543"/>
      <c r="CP6" s="544"/>
      <c r="DD6"/>
    </row>
    <row r="7" spans="2:108" ht="17.100000000000001" customHeight="1" thickBot="1" x14ac:dyDescent="0.3">
      <c r="B7" s="1137"/>
      <c r="C7" s="1137"/>
      <c r="D7" s="1137"/>
      <c r="E7" s="1137"/>
      <c r="F7" s="1137"/>
      <c r="G7" s="1137"/>
      <c r="H7" s="1137"/>
      <c r="I7" s="1137"/>
      <c r="J7" s="1137"/>
      <c r="K7" s="1137"/>
      <c r="L7" s="1137"/>
      <c r="M7" s="1137"/>
      <c r="N7" s="1137"/>
      <c r="O7" s="1137"/>
      <c r="P7" s="1137"/>
      <c r="Q7" s="1137"/>
      <c r="R7" s="1137"/>
      <c r="S7" s="543"/>
      <c r="T7" s="578"/>
      <c r="U7" s="579" t="s">
        <v>1025</v>
      </c>
      <c r="V7" s="576">
        <v>0.6</v>
      </c>
      <c r="W7" s="467" t="s">
        <v>13</v>
      </c>
      <c r="X7" s="580"/>
      <c r="Y7" s="567" t="s">
        <v>14</v>
      </c>
      <c r="Z7" s="568">
        <v>11.5</v>
      </c>
      <c r="AA7" s="569">
        <v>1935</v>
      </c>
      <c r="AB7" s="543"/>
      <c r="AC7" s="581" t="s">
        <v>43</v>
      </c>
      <c r="AD7" s="538">
        <v>0.85</v>
      </c>
      <c r="AF7" s="543"/>
      <c r="AG7" s="1192" t="s">
        <v>383</v>
      </c>
      <c r="AH7" s="1193"/>
      <c r="AJ7" s="543"/>
      <c r="AK7" s="543"/>
      <c r="AO7" s="152"/>
      <c r="AR7" s="151"/>
      <c r="AS7" s="543"/>
      <c r="AT7" s="151"/>
      <c r="AU7" s="151"/>
      <c r="AV7" s="151"/>
      <c r="AW7" s="151"/>
      <c r="AX7" s="151"/>
      <c r="AY7" s="151"/>
      <c r="AZ7" s="151"/>
      <c r="BA7" s="151"/>
      <c r="BB7" s="151"/>
      <c r="BC7" s="151"/>
      <c r="BD7" s="151"/>
      <c r="BE7" s="151"/>
      <c r="BF7" s="151"/>
      <c r="BG7" s="151"/>
      <c r="BH7" s="151"/>
      <c r="BI7" s="151"/>
      <c r="BJ7" s="151"/>
      <c r="BK7" s="151"/>
      <c r="BL7" s="151"/>
      <c r="BM7" s="151"/>
      <c r="BN7" s="151"/>
      <c r="BO7" s="151"/>
      <c r="BP7" s="151"/>
      <c r="BQ7" s="151"/>
      <c r="BR7" s="151"/>
      <c r="BS7" s="151"/>
      <c r="BT7" s="543"/>
      <c r="BU7" s="543"/>
      <c r="CE7"/>
      <c r="CG7" s="95"/>
      <c r="CH7" s="544"/>
      <c r="CI7" s="544"/>
      <c r="CJ7" s="544"/>
      <c r="CM7" s="543"/>
      <c r="CN7" s="543"/>
      <c r="CO7" s="543"/>
      <c r="CP7" s="544"/>
      <c r="DD7"/>
    </row>
    <row r="8" spans="2:108" ht="17.100000000000001" customHeight="1" thickBot="1" x14ac:dyDescent="0.3">
      <c r="B8" s="582" t="s">
        <v>378</v>
      </c>
      <c r="C8" s="582"/>
      <c r="D8" s="583"/>
      <c r="E8" s="583"/>
      <c r="F8" s="583"/>
      <c r="G8" s="583"/>
      <c r="H8" s="583"/>
      <c r="I8" s="584"/>
      <c r="J8" s="583"/>
      <c r="K8" s="585"/>
      <c r="L8" s="585"/>
      <c r="M8" s="585"/>
      <c r="N8" s="585"/>
      <c r="O8" s="585"/>
      <c r="P8" s="585"/>
      <c r="Q8" s="585"/>
      <c r="R8" s="585"/>
      <c r="S8" s="543"/>
      <c r="T8" s="578"/>
      <c r="U8" s="586" t="s">
        <v>1026</v>
      </c>
      <c r="V8" s="587">
        <f>IF(AD8= "Enclosed", 0.18, 0.55)</f>
        <v>0.18</v>
      </c>
      <c r="W8" s="465" t="s">
        <v>14</v>
      </c>
      <c r="X8" s="543"/>
      <c r="Y8" s="588"/>
      <c r="Z8" s="543"/>
      <c r="AA8" s="543"/>
      <c r="AB8" s="543"/>
      <c r="AC8" s="1125" t="s">
        <v>280</v>
      </c>
      <c r="AD8" s="1127" t="s">
        <v>42</v>
      </c>
      <c r="AF8" s="543"/>
      <c r="AG8" s="1192" t="s">
        <v>382</v>
      </c>
      <c r="AH8" s="1193"/>
      <c r="AJ8" s="543"/>
      <c r="AK8" s="543"/>
      <c r="AO8" s="152"/>
      <c r="AR8" s="151"/>
      <c r="AS8" s="543"/>
      <c r="AT8" s="151"/>
      <c r="AU8" s="151"/>
      <c r="AV8" s="151"/>
      <c r="AW8" s="151"/>
      <c r="AX8" s="151"/>
      <c r="AY8" s="151"/>
      <c r="AZ8" s="151"/>
      <c r="BA8" s="151"/>
      <c r="BB8" s="151"/>
      <c r="BC8" s="151"/>
      <c r="BD8" s="151"/>
      <c r="BE8" s="151"/>
      <c r="BF8" s="151"/>
      <c r="BG8" s="151"/>
      <c r="BH8" s="151"/>
      <c r="BI8" s="151"/>
      <c r="BJ8" s="151"/>
      <c r="BK8" s="151"/>
      <c r="BL8" s="151"/>
      <c r="BM8" s="151"/>
      <c r="BN8" s="151"/>
      <c r="BO8" s="151"/>
      <c r="BP8" s="151"/>
      <c r="BQ8" s="151"/>
      <c r="BR8" s="151"/>
      <c r="BS8" s="151"/>
      <c r="BT8" s="543"/>
      <c r="BU8" s="543"/>
      <c r="CE8"/>
      <c r="CG8" s="95"/>
      <c r="CH8" s="544"/>
      <c r="CI8" s="544"/>
      <c r="CJ8" s="544"/>
      <c r="CM8" s="543"/>
      <c r="CN8" s="543"/>
      <c r="CO8" s="543"/>
      <c r="CP8" s="544"/>
      <c r="DD8"/>
    </row>
    <row r="9" spans="2:108" ht="17.100000000000001" customHeight="1" thickBot="1" x14ac:dyDescent="0.3">
      <c r="B9" s="589"/>
      <c r="C9" s="589"/>
      <c r="D9" s="589"/>
      <c r="E9" s="589"/>
      <c r="F9" s="589"/>
      <c r="G9" s="589"/>
      <c r="H9" s="589"/>
      <c r="J9" s="64"/>
      <c r="K9" s="590"/>
      <c r="L9" s="590"/>
      <c r="M9" s="591"/>
      <c r="N9" s="591"/>
      <c r="O9" s="543"/>
      <c r="P9" s="543"/>
      <c r="Q9" s="543"/>
      <c r="R9" s="578"/>
      <c r="S9" s="543"/>
      <c r="T9" s="578"/>
      <c r="U9" s="592" t="s">
        <v>1382</v>
      </c>
      <c r="V9" s="593" t="e">
        <f>IF($E$11="ASCE 7-05",$AA$11,IF($E$11="ASCE 7-10",$AA$12,IF($E$11="ASCE 7-16",$AA$13,$AA$14)))</f>
        <v>#N/A</v>
      </c>
      <c r="W9" s="543"/>
      <c r="X9" s="594"/>
      <c r="Y9" s="543"/>
      <c r="Z9" s="543"/>
      <c r="AA9" s="543"/>
      <c r="AB9" s="543"/>
      <c r="AC9" s="1126"/>
      <c r="AD9" s="1128"/>
      <c r="AE9" s="543"/>
      <c r="AF9" s="543"/>
      <c r="AG9" s="1194" t="s">
        <v>405</v>
      </c>
      <c r="AH9" s="1195"/>
      <c r="AJ9" s="543"/>
      <c r="AK9" s="543"/>
      <c r="AO9" s="152"/>
      <c r="AR9" s="150"/>
      <c r="AS9" s="543"/>
      <c r="AT9" s="150"/>
      <c r="AU9" s="150"/>
      <c r="AV9" s="150"/>
      <c r="AW9" s="150"/>
      <c r="AX9" s="150"/>
      <c r="AY9" s="150"/>
      <c r="AZ9" s="150"/>
      <c r="BA9" s="150"/>
      <c r="BB9" s="150"/>
      <c r="BC9" s="150"/>
      <c r="BD9" s="150"/>
      <c r="BE9" s="150"/>
      <c r="BF9" s="150"/>
      <c r="BG9" s="150"/>
      <c r="BH9" s="150"/>
      <c r="BI9" s="150"/>
      <c r="BJ9" s="150"/>
      <c r="BK9" s="150"/>
      <c r="BL9" s="150"/>
      <c r="BM9" s="150"/>
      <c r="BN9" s="150"/>
      <c r="BO9" s="150"/>
      <c r="BP9" s="150"/>
      <c r="BQ9" s="150"/>
      <c r="BR9" s="150"/>
      <c r="BS9" s="150"/>
      <c r="BT9" s="543"/>
      <c r="BU9" s="543"/>
      <c r="CE9"/>
      <c r="CG9" s="544"/>
      <c r="CH9" s="544"/>
      <c r="CI9" s="544"/>
      <c r="CJ9" s="544"/>
      <c r="CM9" s="543"/>
      <c r="CN9" s="543"/>
      <c r="CO9" s="543"/>
      <c r="CP9" s="544"/>
      <c r="DD9"/>
    </row>
    <row r="10" spans="2:108" ht="17.100000000000001" customHeight="1" thickBot="1" x14ac:dyDescent="0.3">
      <c r="B10" s="972" t="s">
        <v>379</v>
      </c>
      <c r="C10" s="972"/>
      <c r="D10" s="972"/>
      <c r="E10" s="973"/>
      <c r="F10" s="974"/>
      <c r="G10" s="974"/>
      <c r="H10" s="975"/>
      <c r="I10"/>
      <c r="J10" s="1130" t="s">
        <v>426</v>
      </c>
      <c r="K10" s="1131"/>
      <c r="L10" s="1131"/>
      <c r="M10" s="1131"/>
      <c r="N10" s="1131"/>
      <c r="O10" s="1131"/>
      <c r="P10" s="1131"/>
      <c r="Q10" s="1131"/>
      <c r="R10" s="1132"/>
      <c r="S10" s="543"/>
      <c r="T10" s="543"/>
      <c r="U10" s="543"/>
      <c r="V10" s="543"/>
      <c r="W10" s="543"/>
      <c r="X10" s="596" t="s">
        <v>418</v>
      </c>
      <c r="Y10" s="596" t="s">
        <v>45</v>
      </c>
      <c r="Z10" s="597" t="s">
        <v>1022</v>
      </c>
      <c r="AA10" s="598" t="s">
        <v>1021</v>
      </c>
      <c r="AB10" s="543"/>
      <c r="AD10" s="595"/>
      <c r="AE10" s="595"/>
      <c r="AF10" s="543"/>
      <c r="AG10" s="543"/>
      <c r="AH10" s="543"/>
      <c r="AK10" s="152"/>
      <c r="AL10" s="543"/>
      <c r="AR10" s="150"/>
      <c r="AS10" s="543"/>
      <c r="AT10" s="150"/>
      <c r="AU10" s="150"/>
      <c r="AV10" s="150"/>
      <c r="AW10" s="150"/>
      <c r="AX10" s="150"/>
      <c r="AY10" s="150"/>
      <c r="AZ10" s="150"/>
      <c r="BA10" s="150"/>
      <c r="BB10" s="150"/>
      <c r="BC10" s="150"/>
      <c r="BD10" s="150"/>
      <c r="BE10" s="150"/>
      <c r="BF10" s="150"/>
      <c r="BG10" s="150"/>
      <c r="BH10" s="150"/>
      <c r="BI10" s="150"/>
      <c r="BJ10" s="150"/>
      <c r="BK10" s="150"/>
      <c r="BL10" s="150"/>
      <c r="BM10" s="150"/>
      <c r="BN10" s="150"/>
      <c r="BO10" s="150"/>
      <c r="BP10" s="150"/>
      <c r="BQ10" s="150"/>
      <c r="BR10" s="150"/>
      <c r="BS10" s="150"/>
      <c r="BT10" s="543"/>
      <c r="BU10" s="543"/>
      <c r="CE10" s="543"/>
      <c r="CG10" s="544"/>
      <c r="CH10" s="544"/>
      <c r="CI10" s="544"/>
      <c r="CJ10" s="544"/>
      <c r="CM10" s="543"/>
      <c r="CN10" s="543"/>
      <c r="CO10" s="543"/>
      <c r="CP10" s="544"/>
      <c r="DD10"/>
    </row>
    <row r="11" spans="2:108" ht="17.100000000000001" customHeight="1" x14ac:dyDescent="0.25">
      <c r="B11" s="1117" t="s">
        <v>570</v>
      </c>
      <c r="C11" s="1117"/>
      <c r="D11" s="1117"/>
      <c r="E11" s="1148" t="str">
        <f>IFERROR(VLOOKUP($E$10,StateCodes,2,FALSE),"")</f>
        <v/>
      </c>
      <c r="F11" s="1149"/>
      <c r="G11" s="1150"/>
      <c r="H11" s="536" t="str">
        <f>IFERROR(VLOOKUP($E$10,StateCodes,3,FALSE),"")</f>
        <v/>
      </c>
      <c r="I11"/>
      <c r="J11" s="946" t="s">
        <v>572</v>
      </c>
      <c r="K11" s="891" t="s">
        <v>592</v>
      </c>
      <c r="L11" s="892"/>
      <c r="M11" s="892"/>
      <c r="N11" s="893"/>
      <c r="O11" s="1133" t="s">
        <v>584</v>
      </c>
      <c r="P11" s="1134"/>
      <c r="Q11" s="1134"/>
      <c r="R11" s="1135"/>
      <c r="S11" s="543"/>
      <c r="T11" s="543"/>
      <c r="U11" s="543"/>
      <c r="V11" s="543"/>
      <c r="W11" s="543"/>
      <c r="X11" s="599" t="s">
        <v>86</v>
      </c>
      <c r="Y11" s="600" t="e">
        <f>2.01*(V6/VLOOKUP(E15,Y2:AA4,3))^(2/VLOOKUP(E15,Y2:AA4,2))</f>
        <v>#N/A</v>
      </c>
      <c r="Z11" s="601">
        <v>1</v>
      </c>
      <c r="AA11" s="602" t="e">
        <f>0.00256*Y11*E16*AD7*E14^2*U26</f>
        <v>#N/A</v>
      </c>
      <c r="AB11" s="543"/>
      <c r="AC11" s="976" t="s">
        <v>425</v>
      </c>
      <c r="AD11" s="977"/>
      <c r="AE11" s="978"/>
      <c r="AF11" s="543"/>
      <c r="AG11" s="543"/>
      <c r="AH11" s="543"/>
      <c r="AK11" s="152"/>
      <c r="AL11" s="543"/>
      <c r="AR11" s="153"/>
      <c r="AS11" s="543"/>
      <c r="AT11" s="153"/>
      <c r="AU11" s="153"/>
      <c r="AV11" s="153"/>
      <c r="AW11" s="153"/>
      <c r="AX11" s="153"/>
      <c r="AY11" s="153"/>
      <c r="AZ11" s="153"/>
      <c r="BA11" s="153"/>
      <c r="BB11" s="153"/>
      <c r="BC11" s="153"/>
      <c r="BD11" s="153"/>
      <c r="BE11" s="153"/>
      <c r="BF11" s="153"/>
      <c r="BG11" s="153"/>
      <c r="BH11" s="153"/>
      <c r="BI11" s="153"/>
      <c r="BJ11" s="153"/>
      <c r="BK11" s="153"/>
      <c r="BL11" s="153"/>
      <c r="BM11" s="153"/>
      <c r="BN11" s="153"/>
      <c r="BO11" s="153"/>
      <c r="BP11" s="153"/>
      <c r="BQ11" s="153"/>
      <c r="BR11" s="153"/>
      <c r="BS11" s="153"/>
      <c r="BT11" s="543"/>
      <c r="BU11" s="543"/>
      <c r="CG11"/>
      <c r="CH11"/>
      <c r="CI11"/>
      <c r="CJ11"/>
      <c r="CM11" s="543"/>
      <c r="CN11" s="543"/>
      <c r="CO11" s="543"/>
      <c r="CP11"/>
      <c r="CQ11"/>
      <c r="CR11"/>
      <c r="CS11"/>
      <c r="DD11"/>
    </row>
    <row r="12" spans="2:108" ht="17.100000000000001" customHeight="1" thickBot="1" x14ac:dyDescent="0.3">
      <c r="B12" s="972" t="s">
        <v>343</v>
      </c>
      <c r="C12" s="972"/>
      <c r="D12" s="972"/>
      <c r="E12" s="973"/>
      <c r="F12" s="974"/>
      <c r="G12" s="974"/>
      <c r="H12" s="975"/>
      <c r="I12"/>
      <c r="J12" s="947"/>
      <c r="K12" s="951" t="s">
        <v>441</v>
      </c>
      <c r="L12" s="952"/>
      <c r="M12" s="951" t="s">
        <v>442</v>
      </c>
      <c r="N12" s="952"/>
      <c r="O12" s="951" t="s">
        <v>441</v>
      </c>
      <c r="P12" s="952"/>
      <c r="Q12" s="951" t="s">
        <v>442</v>
      </c>
      <c r="R12" s="952"/>
      <c r="S12" s="543"/>
      <c r="T12" s="543"/>
      <c r="U12" s="953" t="s">
        <v>1094</v>
      </c>
      <c r="V12" s="954"/>
      <c r="W12" s="543"/>
      <c r="X12" s="605" t="s">
        <v>89</v>
      </c>
      <c r="Y12" s="606" t="e">
        <f>2.01*(V6/VLOOKUP(E15,Y2:AA4,3))^(2/VLOOKUP(E15,Y2:AA4,2))</f>
        <v>#N/A</v>
      </c>
      <c r="Z12" s="607">
        <f>EXP(-0.00003*E18)</f>
        <v>1</v>
      </c>
      <c r="AA12" s="608" t="e">
        <f>0.00256*Y12*E16*AD7*E14^2*Z12</f>
        <v>#N/A</v>
      </c>
      <c r="AB12" s="543"/>
      <c r="AC12" s="979"/>
      <c r="AD12" s="980"/>
      <c r="AE12" s="981"/>
      <c r="AF12" s="543"/>
      <c r="AG12" s="543"/>
      <c r="AH12" s="543"/>
      <c r="AK12" s="152"/>
      <c r="AL12" s="543"/>
      <c r="AR12" s="153"/>
      <c r="AS12" s="543"/>
      <c r="AT12" s="153"/>
      <c r="AU12" s="153"/>
      <c r="AV12" s="153"/>
      <c r="AW12" s="153"/>
      <c r="AX12" s="153"/>
      <c r="AY12" s="153"/>
      <c r="AZ12" s="153"/>
      <c r="BA12" s="153"/>
      <c r="BB12" s="153"/>
      <c r="BC12" s="153"/>
      <c r="BD12" s="153"/>
      <c r="BE12" s="153"/>
      <c r="BF12" s="153"/>
      <c r="BG12" s="153"/>
      <c r="BH12" s="153"/>
      <c r="BI12" s="153"/>
      <c r="BJ12" s="153"/>
      <c r="BK12" s="153"/>
      <c r="BL12" s="153"/>
      <c r="BM12" s="153"/>
      <c r="BN12" s="153"/>
      <c r="BO12" s="153"/>
      <c r="BP12" s="153"/>
      <c r="BQ12" s="153"/>
      <c r="BR12" s="153"/>
      <c r="BS12" s="153"/>
      <c r="BT12" s="543"/>
      <c r="BU12" s="543"/>
      <c r="CG12"/>
      <c r="CH12"/>
      <c r="CI12"/>
      <c r="CJ12"/>
      <c r="CM12" s="543"/>
      <c r="CN12" s="543"/>
      <c r="CO12" s="543"/>
      <c r="CP12"/>
      <c r="CQ12"/>
      <c r="CR12"/>
      <c r="CS12"/>
      <c r="DD12"/>
    </row>
    <row r="13" spans="2:108" ht="17.100000000000001" customHeight="1" x14ac:dyDescent="0.25">
      <c r="B13" s="1159" t="s">
        <v>593</v>
      </c>
      <c r="C13" s="1159"/>
      <c r="D13" s="1159"/>
      <c r="E13" s="1114"/>
      <c r="F13" s="1115"/>
      <c r="G13" s="1115"/>
      <c r="H13" s="1116"/>
      <c r="I13"/>
      <c r="J13" s="537">
        <v>10</v>
      </c>
      <c r="K13" s="894" t="str">
        <f>IF($E$11="ASCE 7-05","",CONCATENATE("+",X17," / ",Y17))</f>
        <v xml:space="preserve">+ / </v>
      </c>
      <c r="L13" s="895"/>
      <c r="M13" s="894" t="str">
        <f>IF($E$11="ASCE 7-05","",CONCATENATE("+",Z17," / ",AA17))</f>
        <v xml:space="preserve">+ / </v>
      </c>
      <c r="N13" s="895"/>
      <c r="O13" s="962" t="str">
        <f>IFERROR(CONCATENATE("+",FIXED(MAX(U$31,X17*IF($E$10="ASCE 7-05",1,V$7)),1)," / ",FIXED(MIN(V$31,Y17*IF($E$10="ASCE 7-05",1,V$7)),1)),"")</f>
        <v/>
      </c>
      <c r="P13" s="963"/>
      <c r="Q13" s="962" t="str">
        <f>IFERROR(CONCATENATE("+",FIXED(MAX(U$31,Z17*IF($E$10="ASCE 7-05",1,V$7)),1)," / ",FIXED(MIN(V$31,AA17*IF($E$10="ASCE 7-05",1,V$7)),1)),"")</f>
        <v/>
      </c>
      <c r="R13" s="963"/>
      <c r="S13" s="543"/>
      <c r="T13" s="543"/>
      <c r="U13" s="603" t="s">
        <v>1035</v>
      </c>
      <c r="V13" s="604" t="e">
        <f>Tornado!Y3</f>
        <v>#VALUE!</v>
      </c>
      <c r="W13" s="543"/>
      <c r="X13" s="599" t="s">
        <v>281</v>
      </c>
      <c r="Y13" s="612" t="e">
        <f>2.01*(V6/VLOOKUP(E15,Y2:AA4,3))^(2/VLOOKUP(E15,Y2:AA4,2))</f>
        <v>#N/A</v>
      </c>
      <c r="Z13" s="613">
        <f>EXP(-0.0000362*E18)</f>
        <v>1</v>
      </c>
      <c r="AA13" s="614" t="e">
        <f>0.00256*Y13*E16*AD7*E14^2*Z13</f>
        <v>#N/A</v>
      </c>
      <c r="AB13" s="543"/>
      <c r="AC13" s="982" t="s">
        <v>385</v>
      </c>
      <c r="AD13" s="983"/>
      <c r="AE13" s="1170"/>
      <c r="AF13" s="543"/>
      <c r="AG13" s="1205" t="s">
        <v>1595</v>
      </c>
      <c r="AH13" s="1206"/>
      <c r="AK13" s="544"/>
      <c r="AL13" s="543"/>
      <c r="AR13" s="150"/>
      <c r="AS13" s="543"/>
      <c r="AT13" s="150"/>
      <c r="AU13" s="150"/>
      <c r="AV13" s="150"/>
      <c r="AW13" s="150"/>
      <c r="AX13" s="150"/>
      <c r="AY13" s="150"/>
      <c r="AZ13" s="150"/>
      <c r="BA13" s="150"/>
      <c r="BB13" s="150"/>
      <c r="BC13" s="150"/>
      <c r="BD13" s="150"/>
      <c r="BE13" s="150"/>
      <c r="BF13" s="150"/>
      <c r="BG13" s="150"/>
      <c r="BH13" s="150"/>
      <c r="BI13" s="150"/>
      <c r="BJ13" s="150"/>
      <c r="BK13" s="150"/>
      <c r="BL13" s="150"/>
      <c r="BM13" s="150"/>
      <c r="BN13" s="150"/>
      <c r="BO13" s="150"/>
      <c r="BP13" s="150"/>
      <c r="BQ13" s="150"/>
      <c r="BR13" s="150"/>
      <c r="BS13" s="150"/>
      <c r="BT13" s="543"/>
      <c r="BU13" s="543"/>
      <c r="CG13"/>
      <c r="CH13"/>
      <c r="CI13"/>
      <c r="CJ13"/>
      <c r="CM13" s="543"/>
      <c r="CN13" s="543"/>
      <c r="CO13" s="543"/>
      <c r="CP13"/>
      <c r="CQ13"/>
      <c r="CR13"/>
      <c r="CS13"/>
      <c r="DD13"/>
    </row>
    <row r="14" spans="2:108" ht="17.100000000000001" customHeight="1" thickBot="1" x14ac:dyDescent="0.3">
      <c r="B14" s="972" t="s">
        <v>583</v>
      </c>
      <c r="C14" s="972"/>
      <c r="D14" s="972"/>
      <c r="E14" s="306"/>
      <c r="F14" s="1142" t="str">
        <f>IF(E11="ASCE 7-05", "(ASD)","(Ult.)")</f>
        <v>(Ult.)</v>
      </c>
      <c r="G14" s="1143"/>
      <c r="H14" s="609" t="str">
        <f>IF(E11="ASCE 7-05","",CONCATENATE(V5, "    (ASD)"))</f>
        <v xml:space="preserve">    (ASD)</v>
      </c>
      <c r="I14"/>
      <c r="J14" s="537">
        <v>20</v>
      </c>
      <c r="K14" s="894" t="str">
        <f>IF($E$11="ASCE 7-05","",CONCATENATE("+",X18," / ",Y18))</f>
        <v xml:space="preserve">+ / </v>
      </c>
      <c r="L14" s="895"/>
      <c r="M14" s="894" t="str">
        <f>IF($E$11="ASCE 7-05","",CONCATENATE("+",Z18," / ",AA18))</f>
        <v xml:space="preserve">+ / </v>
      </c>
      <c r="N14" s="895"/>
      <c r="O14" s="962" t="str">
        <f>IFERROR(CONCATENATE("+",FIXED(MAX(U$31,X18*IF($E$10="ASCE 7-05",1,V$7)),1)," / ",FIXED(MIN(V$31,Y18*IF($E$10="ASCE 7-05",1,V$7)),1)),"")</f>
        <v/>
      </c>
      <c r="P14" s="963"/>
      <c r="Q14" s="962" t="str">
        <f>IFERROR(CONCATENATE("+",FIXED(MAX(U$31,Z18*IF($E$10="ASCE 7-05",1,V$7)),1)," / ",FIXED(MIN(V$31,AA18*IF($E$10="ASCE 7-05",1,V$7)),1)),"")</f>
        <v/>
      </c>
      <c r="R14" s="963"/>
      <c r="S14" s="543"/>
      <c r="T14" s="543"/>
      <c r="U14" s="610" t="s">
        <v>1093</v>
      </c>
      <c r="V14" s="611" t="e">
        <f>Tornado!V19</f>
        <v>#VALUE!</v>
      </c>
      <c r="W14" s="543"/>
      <c r="X14" s="616" t="s">
        <v>1018</v>
      </c>
      <c r="Y14" s="617" t="e">
        <f>2.41*(V6/VLOOKUP(E15,Y5:AA7,3))^(2/VLOOKUP(E15,Y5:AA7,2))</f>
        <v>#N/A</v>
      </c>
      <c r="Z14" s="618">
        <f>EXP(-0.0000362*E18)</f>
        <v>1</v>
      </c>
      <c r="AA14" s="619" t="e">
        <f>0.00256*Y14*E16*E14^2*Z14*AD7</f>
        <v>#N/A</v>
      </c>
      <c r="AB14" s="543"/>
      <c r="AC14" s="984"/>
      <c r="AD14" s="985"/>
      <c r="AE14" s="1171"/>
      <c r="AF14" s="543"/>
      <c r="AG14" s="1207" t="s">
        <v>1596</v>
      </c>
      <c r="AH14" s="1208"/>
      <c r="AR14" s="153"/>
      <c r="AS14" s="543"/>
      <c r="AT14" s="153"/>
      <c r="AU14" s="153"/>
      <c r="AV14" s="153"/>
      <c r="AW14" s="153"/>
      <c r="AX14" s="153"/>
      <c r="AY14" s="153"/>
      <c r="AZ14" s="153"/>
      <c r="BA14" s="153"/>
      <c r="BB14" s="153"/>
      <c r="BC14" s="153"/>
      <c r="BD14" s="153"/>
      <c r="BE14" s="153"/>
      <c r="BF14" s="153"/>
      <c r="BG14" s="153"/>
      <c r="BH14" s="153"/>
      <c r="BI14" s="153"/>
      <c r="BJ14" s="153"/>
      <c r="BK14" s="153"/>
      <c r="BL14" s="153"/>
      <c r="BM14" s="153"/>
      <c r="BN14" s="153"/>
      <c r="BO14" s="153"/>
      <c r="BP14" s="153"/>
      <c r="BQ14" s="153"/>
      <c r="BR14" s="153"/>
      <c r="BS14" s="153"/>
      <c r="BT14" s="543"/>
      <c r="BU14" s="543"/>
      <c r="CG14"/>
      <c r="CH14"/>
      <c r="CI14"/>
      <c r="CJ14"/>
      <c r="CM14" s="543"/>
      <c r="CN14" s="543"/>
      <c r="CO14" s="543"/>
      <c r="CP14"/>
      <c r="CQ14"/>
      <c r="CR14"/>
      <c r="CS14"/>
      <c r="DD14"/>
    </row>
    <row r="15" spans="2:108" ht="17.100000000000001" customHeight="1" x14ac:dyDescent="0.25">
      <c r="B15" s="1159" t="s">
        <v>137</v>
      </c>
      <c r="C15" s="1159"/>
      <c r="D15" s="1159"/>
      <c r="E15" s="1114"/>
      <c r="F15" s="1115"/>
      <c r="G15" s="1115"/>
      <c r="H15" s="1116"/>
      <c r="I15"/>
      <c r="J15" s="537">
        <v>50</v>
      </c>
      <c r="K15" s="894" t="str">
        <f>IF($E$11="ASCE 7-05","",CONCATENATE("+",X19," / ",Y19))</f>
        <v xml:space="preserve">+ / </v>
      </c>
      <c r="L15" s="895"/>
      <c r="M15" s="894" t="str">
        <f>IF($E$11="ASCE 7-05","",CONCATENATE("+",Z19," / ",AA19))</f>
        <v xml:space="preserve">+ / </v>
      </c>
      <c r="N15" s="895"/>
      <c r="O15" s="962" t="str">
        <f>IFERROR(CONCATENATE("+",FIXED(MAX(U$31,X19*IF($E$10="ASCE 7-05",1,V$7)),1)," / ",FIXED(MIN(V$31,Y19*IF($E$10="ASCE 7-05",1,V$7)),1)),"")</f>
        <v/>
      </c>
      <c r="P15" s="963"/>
      <c r="Q15" s="962" t="str">
        <f>IFERROR(CONCATENATE("+",FIXED(MAX(U$31,Z19*IF($E$10="ASCE 7-05",1,V$7)),1)," / ",FIXED(MIN(V$31,AA19*IF($E$10="ASCE 7-05",1,V$7)),1)),"")</f>
        <v/>
      </c>
      <c r="R15" s="963"/>
      <c r="S15" s="543"/>
      <c r="T15" s="559"/>
      <c r="U15" s="603" t="s">
        <v>1097</v>
      </c>
      <c r="V15" s="615">
        <f>Tornado!V25*Tornado!V26</f>
        <v>1</v>
      </c>
      <c r="W15" s="543"/>
      <c r="X15" s="96"/>
      <c r="Y15" s="543"/>
      <c r="AA15"/>
      <c r="AB15" s="543"/>
      <c r="AC15" s="1164" t="s">
        <v>384</v>
      </c>
      <c r="AD15" s="1165"/>
      <c r="AE15" s="1172"/>
      <c r="AF15" s="543"/>
      <c r="AG15" s="589"/>
      <c r="AH15" s="589"/>
      <c r="AR15" s="153"/>
      <c r="AS15" s="153"/>
      <c r="AT15" s="153"/>
      <c r="AU15" s="153"/>
      <c r="AV15" s="153"/>
      <c r="AW15" s="153"/>
      <c r="AX15" s="153"/>
      <c r="AY15" s="153"/>
      <c r="AZ15" s="153"/>
      <c r="BA15" s="153"/>
      <c r="BB15" s="153"/>
      <c r="BC15" s="153"/>
      <c r="BD15" s="153"/>
      <c r="BE15" s="153"/>
      <c r="BF15" s="153"/>
      <c r="BG15" s="153"/>
      <c r="BH15" s="153"/>
      <c r="BI15" s="153"/>
      <c r="BJ15" s="153"/>
      <c r="BK15" s="153"/>
      <c r="BL15" s="153"/>
      <c r="BM15" s="153"/>
      <c r="BN15" s="153"/>
      <c r="BO15" s="153"/>
      <c r="BP15" s="153"/>
      <c r="BQ15" s="153"/>
      <c r="BR15" s="153"/>
      <c r="BS15" s="153"/>
      <c r="BT15" s="543"/>
      <c r="BU15" s="543"/>
      <c r="CG15"/>
      <c r="CH15"/>
      <c r="CI15"/>
      <c r="CJ15"/>
      <c r="CM15" s="543"/>
      <c r="CN15" s="543"/>
      <c r="CO15" s="543"/>
      <c r="CP15"/>
      <c r="CQ15"/>
      <c r="CR15"/>
      <c r="CS15"/>
      <c r="DD15"/>
    </row>
    <row r="16" spans="2:108" ht="17.100000000000001" customHeight="1" x14ac:dyDescent="0.25">
      <c r="B16" s="972" t="s">
        <v>138</v>
      </c>
      <c r="C16" s="972"/>
      <c r="D16" s="972"/>
      <c r="E16" s="973">
        <v>1</v>
      </c>
      <c r="F16" s="974"/>
      <c r="G16" s="974"/>
      <c r="H16" s="975"/>
      <c r="I16"/>
      <c r="J16" s="537">
        <v>100</v>
      </c>
      <c r="K16" s="894" t="str">
        <f>IF($E$11="ASCE 7-05","",CONCATENATE("+",X20," / ",Y20))</f>
        <v xml:space="preserve">+ / </v>
      </c>
      <c r="L16" s="895"/>
      <c r="M16" s="894" t="str">
        <f>IF($E$11="ASCE 7-05","",CONCATENATE("+",Z20," / ",AA20))</f>
        <v xml:space="preserve">+ / </v>
      </c>
      <c r="N16" s="895"/>
      <c r="O16" s="962" t="str">
        <f>IFERROR(CONCATENATE("+",FIXED(MAX(U$31,X20*IF($E$10="ASCE 7-05",1,V$7)),1)," / ",FIXED(MIN(V$31,Y20*IF($E$10="ASCE 7-05",1,V$7)),1)),"")</f>
        <v/>
      </c>
      <c r="P16" s="963"/>
      <c r="Q16" s="962" t="str">
        <f>IFERROR(CONCATENATE("+",FIXED(MAX(U$31,Z20*IF($E$10="ASCE 7-05",1,V$7)),1)," / ",FIXED(MIN(V$31,AA20*IF($E$10="ASCE 7-05",1,V$7)),1)),"")</f>
        <v/>
      </c>
      <c r="R16" s="963"/>
      <c r="S16" s="543"/>
      <c r="T16" s="543"/>
      <c r="U16" s="603" t="s">
        <v>1054</v>
      </c>
      <c r="V16" s="615">
        <f>Tornado!V30</f>
        <v>0.55000000000000004</v>
      </c>
      <c r="W16" s="543"/>
      <c r="X16" s="872" t="s">
        <v>1079</v>
      </c>
      <c r="Y16" s="873"/>
      <c r="Z16" s="873"/>
      <c r="AA16" s="874"/>
      <c r="AB16" s="543"/>
      <c r="AC16" s="984"/>
      <c r="AD16" s="985"/>
      <c r="AE16" s="1171"/>
      <c r="AG16" s="477"/>
      <c r="AH16" s="477"/>
      <c r="AR16" s="153"/>
      <c r="AS16" s="543"/>
      <c r="AT16" s="153"/>
      <c r="AU16" s="153"/>
      <c r="AV16" s="153"/>
      <c r="AW16" s="153"/>
      <c r="AX16" s="153"/>
      <c r="AY16" s="153"/>
      <c r="AZ16" s="153"/>
      <c r="BA16" s="153"/>
      <c r="BB16" s="153"/>
      <c r="BC16" s="153"/>
      <c r="BD16" s="153"/>
      <c r="BE16" s="153"/>
      <c r="BF16" s="153"/>
      <c r="BG16" s="153"/>
      <c r="BH16" s="153"/>
      <c r="BI16" s="153"/>
      <c r="BJ16" s="153"/>
      <c r="BK16" s="153"/>
      <c r="BL16" s="153"/>
      <c r="BM16" s="153"/>
      <c r="BN16" s="153"/>
      <c r="BO16" s="153"/>
      <c r="BP16" s="153"/>
      <c r="BQ16" s="153"/>
      <c r="BR16" s="153"/>
      <c r="BS16" s="153"/>
      <c r="BT16" s="543"/>
      <c r="BU16" s="543"/>
      <c r="CG16"/>
      <c r="CH16"/>
      <c r="CI16"/>
      <c r="CJ16"/>
      <c r="CM16" s="543"/>
      <c r="CN16" s="543"/>
      <c r="CO16" s="543"/>
      <c r="CP16"/>
      <c r="CQ16"/>
      <c r="CR16"/>
      <c r="CS16"/>
      <c r="DD16"/>
    </row>
    <row r="17" spans="1:138" ht="17.100000000000001" customHeight="1" thickBot="1" x14ac:dyDescent="0.3">
      <c r="B17" s="1159" t="s">
        <v>344</v>
      </c>
      <c r="C17" s="1159"/>
      <c r="D17" s="1159"/>
      <c r="E17" s="1148" t="str">
        <f>IFERROR(IF(E11="ASCE 7-05",MATCH(E14,ASCE7_05WZ,1),MATCH(E14,ASCE7_10WZ,1)),"Not Applicable")</f>
        <v>Not Applicable</v>
      </c>
      <c r="F17" s="1149"/>
      <c r="G17" s="1149"/>
      <c r="H17" s="1150"/>
      <c r="I17"/>
      <c r="J17" s="537">
        <v>200</v>
      </c>
      <c r="K17" s="894" t="str">
        <f>IF($E$11="ASCE 7-05","",CONCATENATE("+",X21," / ",Y21))</f>
        <v xml:space="preserve">+ / </v>
      </c>
      <c r="L17" s="895"/>
      <c r="M17" s="894" t="str">
        <f>IF($E$11="ASCE 7-05","",CONCATENATE("+",Z21," / ",AA21))</f>
        <v xml:space="preserve">+ / </v>
      </c>
      <c r="N17" s="895"/>
      <c r="O17" s="962" t="str">
        <f>IFERROR(CONCATENATE("+",FIXED(MAX(U$31,X21*IF($E$10="ASCE 7-05",1,V$7)),1)," / ",FIXED(MIN(V$31,Y21*IF($E$10="ASCE 7-05",1,V$7)),1)),"")</f>
        <v/>
      </c>
      <c r="P17" s="963"/>
      <c r="Q17" s="962" t="str">
        <f>IFERROR(CONCATENATE("+",FIXED(MAX(U$31,Z21*IF($E$10="ASCE 7-05",1,V$7)),1)," / ",FIXED(MIN(V$31,AA21*IF($E$10="ASCE 7-05",1,V$7)),1)),"")</f>
        <v/>
      </c>
      <c r="R17" s="963"/>
      <c r="S17" s="543"/>
      <c r="T17" s="543"/>
      <c r="U17" s="620" t="s">
        <v>1055</v>
      </c>
      <c r="V17" s="621">
        <f>Tornado!V31</f>
        <v>-0.18</v>
      </c>
      <c r="W17" s="543"/>
      <c r="X17" s="625" t="str">
        <f>IFERROR(FIXED(MAX($U$30,$V$9*((IF($E$12&lt;60,-0.077*LN(J13)+1.1737,IF($E$11="ASCE 7-22",-0.077*LN(J13)+1.0798,-0.093*LN(MAX(20,J13))+1.1776)))+$V$8)),1),"")</f>
        <v/>
      </c>
      <c r="Y17" s="626" t="str">
        <f>IFERROR(FIXED(MIN($V$30,$V$9*(IF($E$12&lt;60,0.0771*LN(J13) -1.2737,IF($E$11="ASCE 7-22",0.0524*LN(J13)-1.0278,0.0614*LN(MAX(20,J13)) -1.0829))-$V$8)),1),"")</f>
        <v/>
      </c>
      <c r="Z17" s="626" t="str">
        <f>IFERROR(FIXED(MAX($U$30,$V$9*((IF($E$12&lt;60,-0.077*LN(J13)+1.1737,IF($E$11="ASCE 7-22",-0.077*LN(J13)+1.0798,-0.093*LN(MAX(20,J13))+1.1776)))+$V$8)),1),"")</f>
        <v/>
      </c>
      <c r="AA17" s="627" t="str">
        <f>IFERROR(FIXED(MIN($V$30,$V$9*(IF($E$12&lt;60,0.156*LN(J13) -1.7618,IF($E$11="ASCE 7-22", 0.2026*LN(J13)-2.2638,0.2503*LN(MAX(20,J13)) -2.5526))-$V$8)),1),"")</f>
        <v/>
      </c>
      <c r="AB17" s="543"/>
      <c r="AC17" s="1164" t="s">
        <v>387</v>
      </c>
      <c r="AD17" s="1165"/>
      <c r="AE17" s="1172"/>
      <c r="AK17"/>
      <c r="AL17"/>
      <c r="AR17" s="622"/>
      <c r="AS17" s="543"/>
      <c r="AT17" s="622"/>
      <c r="AU17" s="622"/>
      <c r="AV17" s="622"/>
      <c r="AW17" s="622"/>
      <c r="AX17" s="622"/>
      <c r="AY17" s="622"/>
      <c r="AZ17" s="622"/>
      <c r="BA17" s="622"/>
      <c r="BB17" s="622"/>
      <c r="BC17" s="622"/>
      <c r="BD17" s="622"/>
      <c r="BE17" s="622"/>
      <c r="BF17" s="622"/>
      <c r="BG17" s="622"/>
      <c r="BH17" s="622"/>
      <c r="BI17" s="622"/>
      <c r="BJ17" s="622"/>
      <c r="BK17" s="622"/>
      <c r="BL17" s="622"/>
      <c r="BM17" s="622"/>
      <c r="BN17" s="622"/>
      <c r="BO17" s="622"/>
      <c r="BP17" s="622"/>
      <c r="BQ17" s="622"/>
      <c r="BR17" s="622"/>
      <c r="BS17" s="622"/>
      <c r="BT17" s="543"/>
      <c r="BU17" s="543"/>
      <c r="CG17"/>
      <c r="CH17"/>
      <c r="CI17"/>
      <c r="CJ17"/>
      <c r="CM17" s="543"/>
      <c r="CN17" s="543"/>
      <c r="CO17" s="543"/>
      <c r="CP17"/>
      <c r="CQ17"/>
      <c r="CR17"/>
      <c r="CS17"/>
      <c r="DD17"/>
    </row>
    <row r="18" spans="1:138" ht="17.100000000000001" customHeight="1" x14ac:dyDescent="0.25">
      <c r="B18" s="972" t="s">
        <v>620</v>
      </c>
      <c r="C18" s="972"/>
      <c r="D18" s="972"/>
      <c r="E18" s="973">
        <v>0</v>
      </c>
      <c r="F18" s="974"/>
      <c r="G18" s="623" t="s">
        <v>621</v>
      </c>
      <c r="H18" s="624" t="str">
        <f>IFERROR(VLOOKUP(E11,X11:AA14,3,FALSE),"")</f>
        <v/>
      </c>
      <c r="J18" s="1136" t="s">
        <v>578</v>
      </c>
      <c r="K18" s="1136"/>
      <c r="L18" s="1136"/>
      <c r="M18" s="1136"/>
      <c r="N18" s="1136"/>
      <c r="O18" s="1136"/>
      <c r="P18" s="1136"/>
      <c r="Q18" s="1136"/>
      <c r="R18" s="1136"/>
      <c r="S18" s="543"/>
      <c r="T18" s="543"/>
      <c r="U18"/>
      <c r="V18"/>
      <c r="W18" s="543"/>
      <c r="X18" s="630" t="str">
        <f>IFERROR(FIXED(MAX($U$30,$V$9*((IF($E$12&lt;60,-0.077*LN(J14)+1.1737,IF($E$11="ASCE 7-22",-0.077*LN(J14)+1.0798,-0.093*LN(MAX(20,J14))+1.1776)))+$V$8)),1),"")</f>
        <v/>
      </c>
      <c r="Y18" s="631" t="str">
        <f>IFERROR(FIXED(MIN($V$30,$V$9*(IF($E$12&lt;60,0.0771*LN(J14) -1.2737,IF($E$11="ASCE 7-22",0.0524*LN(J14)-1.0278,0.0614*LN(MAX(20,J14)) -1.0829))-$V$8)),1),"")</f>
        <v/>
      </c>
      <c r="Z18" s="631" t="str">
        <f>IFERROR(FIXED(MAX($U$30,$V$9*((IF($E$12&lt;60,-0.077*LN(J14)+1.1737,IF($E$11="ASCE 7-22",-0.077*LN(J14)+1.0798,-0.093*LN(MAX(20,J14))+1.1776)))+$V$8)),1),"")</f>
        <v/>
      </c>
      <c r="AA18" s="632" t="str">
        <f>IFERROR(FIXED(MIN($V$30,$V$9*(IF($E$12&lt;60,0.156*LN(J14) -1.7618,IF($E$11="ASCE 7-22", 0.2026*LN(J14)-2.2638,0.2503*LN(MAX(20,J14)) -2.5526))-$V$8)),1),"")</f>
        <v/>
      </c>
      <c r="AB18" s="543"/>
      <c r="AC18" s="984"/>
      <c r="AD18" s="985"/>
      <c r="AE18" s="1171"/>
      <c r="AG18" s="867" t="s">
        <v>1759</v>
      </c>
      <c r="AH18" s="868"/>
      <c r="AK18"/>
      <c r="AL18"/>
      <c r="AR18" s="151"/>
      <c r="AS18" s="543"/>
      <c r="AT18" s="151"/>
      <c r="AU18" s="151"/>
      <c r="AV18" s="151"/>
      <c r="AW18" s="151"/>
      <c r="AX18" s="151"/>
      <c r="AY18" s="151"/>
      <c r="AZ18" s="151"/>
      <c r="BA18" s="151"/>
      <c r="BB18" s="151"/>
      <c r="BC18" s="151"/>
      <c r="BD18" s="151"/>
      <c r="BE18" s="151"/>
      <c r="BF18" s="151"/>
      <c r="BG18" s="151"/>
      <c r="BH18" s="151"/>
      <c r="BI18" s="151"/>
      <c r="BJ18" s="151"/>
      <c r="BK18" s="151"/>
      <c r="BL18" s="151"/>
      <c r="BM18" s="151"/>
      <c r="BN18" s="151"/>
      <c r="BO18" s="151"/>
      <c r="BP18" s="151"/>
      <c r="BQ18" s="151"/>
      <c r="BR18" s="151"/>
      <c r="BS18" s="151"/>
      <c r="BT18" s="543"/>
      <c r="BU18" s="543"/>
      <c r="CG18"/>
      <c r="CH18"/>
      <c r="CI18"/>
      <c r="CJ18"/>
      <c r="CM18" s="543"/>
      <c r="CN18" s="543"/>
      <c r="CO18" s="543"/>
      <c r="CP18"/>
      <c r="CQ18"/>
      <c r="CR18"/>
      <c r="CS18"/>
      <c r="DD18"/>
    </row>
    <row r="19" spans="1:138" ht="17.100000000000001" customHeight="1" thickBot="1" x14ac:dyDescent="0.3">
      <c r="B19" s="628"/>
      <c r="C19" s="628"/>
      <c r="D19" s="589"/>
      <c r="E19" s="591"/>
      <c r="F19" s="591"/>
      <c r="G19" s="591"/>
      <c r="H19" s="591"/>
      <c r="J19" s="1137"/>
      <c r="K19" s="1137"/>
      <c r="L19" s="1137"/>
      <c r="M19" s="1137"/>
      <c r="N19" s="1137"/>
      <c r="O19" s="1137"/>
      <c r="P19" s="1137"/>
      <c r="Q19" s="1137"/>
      <c r="R19" s="1137"/>
      <c r="S19" s="543"/>
      <c r="T19" s="543"/>
      <c r="U19" s="589"/>
      <c r="V19" s="629"/>
      <c r="W19" s="543"/>
      <c r="X19" s="633" t="str">
        <f>IFERROR(FIXED(MAX($U$30,$V$9*((IF($E$12&lt;60,-0.077*LN(J15)+1.1737,IF($E$11="ASCE 7-22",-0.077*LN(J15)+1.0798,-0.093*LN(MAX(20,J15))+1.1776)))+$V$8)),1),"")</f>
        <v/>
      </c>
      <c r="Y19" s="634" t="str">
        <f>IFERROR(FIXED(MIN($V$30,$V$9*(IF($E$12&lt;60,0.0771*LN(J15) -1.2737,IF($E$11="ASCE 7-22",0.0524*LN(J15)-1.0278,0.0614*LN(MAX(20,J15)) -1.0829))-$V$8)),1),"")</f>
        <v/>
      </c>
      <c r="Z19" s="634" t="str">
        <f>IFERROR(FIXED(MAX($U$30,$V$9*((IF($E$12&lt;60,-0.077*LN(J15)+1.1737,IF($E$11="ASCE 7-22",-0.077*LN(J15)+1.0798,-0.093*LN(MAX(20,J15))+1.1776)))+$V$8)),1),"")</f>
        <v/>
      </c>
      <c r="AA19" s="635" t="str">
        <f>IFERROR(FIXED(MIN($V$30,$V$9*(IF($E$12&lt;60,0.156*LN(J15) -1.7618,IF($E$11="ASCE 7-22", 0.2026*LN(J15)-2.2638,0.2503*LN(MAX(20,J15)) -2.5526))-$V$8)),1),"")</f>
        <v/>
      </c>
      <c r="AB19" s="543"/>
      <c r="AC19" s="1164" t="s">
        <v>386</v>
      </c>
      <c r="AD19" s="1165"/>
      <c r="AE19" s="1172"/>
      <c r="AG19" s="869" t="s">
        <v>1757</v>
      </c>
      <c r="AH19" s="870"/>
      <c r="AK19"/>
      <c r="AL19"/>
      <c r="AR19" s="151"/>
      <c r="AS19" s="543"/>
      <c r="AT19" s="151"/>
      <c r="AU19" s="151"/>
      <c r="AV19" s="151"/>
      <c r="AW19" s="151"/>
      <c r="AX19" s="151"/>
      <c r="AY19" s="151"/>
      <c r="AZ19" s="151"/>
      <c r="BA19" s="151"/>
      <c r="BB19" s="151"/>
      <c r="BC19" s="151"/>
      <c r="BD19" s="151"/>
      <c r="BE19" s="151"/>
      <c r="BF19" s="151"/>
      <c r="BG19" s="151"/>
      <c r="BH19" s="151"/>
      <c r="BI19" s="151"/>
      <c r="BJ19" s="151"/>
      <c r="BK19" s="151"/>
      <c r="BL19" s="151"/>
      <c r="BM19" s="151"/>
      <c r="BN19" s="151"/>
      <c r="BO19" s="151"/>
      <c r="BP19" s="151"/>
      <c r="BQ19" s="151"/>
      <c r="BR19" s="151"/>
      <c r="BS19" s="151"/>
      <c r="BT19" s="543"/>
      <c r="BU19" s="543"/>
      <c r="CG19"/>
      <c r="CH19"/>
      <c r="CI19"/>
      <c r="CJ19"/>
      <c r="CM19" s="543"/>
      <c r="CN19" s="543"/>
      <c r="CO19" s="543"/>
      <c r="CP19"/>
      <c r="CQ19"/>
      <c r="CR19"/>
      <c r="CS19"/>
      <c r="DD19"/>
    </row>
    <row r="20" spans="1:138" ht="17.100000000000001" customHeight="1" thickBot="1" x14ac:dyDescent="0.3">
      <c r="B20" s="628"/>
      <c r="C20" s="628"/>
      <c r="D20" s="589"/>
      <c r="E20" s="591"/>
      <c r="F20" s="591"/>
      <c r="G20" s="591"/>
      <c r="H20" s="591"/>
      <c r="J20" s="1137"/>
      <c r="K20" s="1137"/>
      <c r="L20" s="1137"/>
      <c r="M20" s="1137"/>
      <c r="N20" s="1137"/>
      <c r="O20" s="1137"/>
      <c r="P20" s="1137"/>
      <c r="Q20" s="1137"/>
      <c r="R20" s="1137"/>
      <c r="S20" s="543"/>
      <c r="T20" s="543"/>
      <c r="U20" s="589"/>
      <c r="V20" s="589"/>
      <c r="W20" s="543"/>
      <c r="X20" s="630" t="str">
        <f>IFERROR(FIXED(MAX($U$30,$V$9*((IF($E$12&lt;60,-0.077*LN(J16)+1.1737,IF($E$11="ASCE 7-22",-0.077*LN(J16)+1.0798,-0.093*LN(MAX(20,J16))+1.1776)))+$V$8)),1),"")</f>
        <v/>
      </c>
      <c r="Y20" s="631" t="str">
        <f>IFERROR(FIXED(MIN($V$30,$V$9*(IF($E$12&lt;60,0.0771*LN(J16) -1.2737,IF($E$11="ASCE 7-22",0.0524*LN(J16)-1.0278,0.0614*LN(MAX(20,J16)) -1.0829))-$V$8)),1),"")</f>
        <v/>
      </c>
      <c r="Z20" s="631" t="str">
        <f>IFERROR(FIXED(MAX($U$30,$V$9*((IF($E$12&lt;60,-0.077*LN(J16)+1.1737,IF($E$11="ASCE 7-22",-0.077*LN(J16)+1.0798,-0.093*LN(MAX(20,J16))+1.1776)))+$V$8)),1),"")</f>
        <v/>
      </c>
      <c r="AA20" s="632" t="str">
        <f>IFERROR(FIXED(MIN($V$30,$V$9*(IF($E$12&lt;60,0.156*LN(J16) -1.7618,IF($E$11="ASCE 7-22", 0.2026*LN(J16)-2.2638,0.2503*LN(MAX(20,J16)) -2.5526))-$V$8)),1),"")</f>
        <v/>
      </c>
      <c r="AB20" s="543"/>
      <c r="AC20" s="1166"/>
      <c r="AD20" s="1167"/>
      <c r="AE20" s="1173"/>
      <c r="AL20" s="543"/>
      <c r="AR20" s="151"/>
      <c r="AS20" s="543"/>
      <c r="AT20" s="151"/>
      <c r="AU20" s="151"/>
      <c r="AV20" s="151"/>
      <c r="AW20" s="151"/>
      <c r="AX20" s="151"/>
      <c r="AY20" s="151"/>
      <c r="AZ20" s="151"/>
      <c r="BA20" s="151"/>
      <c r="BB20" s="151"/>
      <c r="BC20" s="151"/>
      <c r="BD20" s="151"/>
      <c r="BE20" s="151"/>
      <c r="BF20" s="151"/>
      <c r="BG20" s="151"/>
      <c r="BH20" s="151"/>
      <c r="BI20" s="151"/>
      <c r="BJ20" s="151"/>
      <c r="BK20" s="151"/>
      <c r="BL20" s="151"/>
      <c r="BM20" s="151"/>
      <c r="BN20" s="151"/>
      <c r="BO20" s="151"/>
      <c r="BP20" s="151"/>
      <c r="BQ20" s="151"/>
      <c r="BR20" s="151"/>
      <c r="BS20" s="151"/>
      <c r="BT20" s="543"/>
      <c r="BU20" s="543"/>
      <c r="CG20"/>
      <c r="CM20" s="543"/>
      <c r="CN20" s="543"/>
      <c r="CO20" s="543"/>
      <c r="DD20"/>
    </row>
    <row r="21" spans="1:138" ht="17.100000000000001" customHeight="1" thickTop="1" thickBot="1" x14ac:dyDescent="0.3">
      <c r="B21" s="628"/>
      <c r="C21" s="628"/>
      <c r="D21" s="589"/>
      <c r="E21" s="591"/>
      <c r="F21" s="591"/>
      <c r="G21" s="591"/>
      <c r="H21" s="591"/>
      <c r="J21" s="1137"/>
      <c r="K21" s="1137"/>
      <c r="L21" s="1137"/>
      <c r="M21" s="1137"/>
      <c r="N21" s="1137"/>
      <c r="O21" s="1137"/>
      <c r="P21" s="1137"/>
      <c r="Q21" s="1137"/>
      <c r="R21" s="1137"/>
      <c r="S21" s="543"/>
      <c r="T21" s="543"/>
      <c r="U21" s="960" t="s">
        <v>5</v>
      </c>
      <c r="V21" s="961"/>
      <c r="W21" s="543"/>
      <c r="X21" s="638" t="str">
        <f>IFERROR(FIXED(MAX($U$30,$V$9*((IF($E$12&lt;60,-0.077*LN(J17)+1.1737,IF($E$11="ASCE 7-22",-0.077*LN(J17)+1.0798,-0.093*LN(MAX(20,J17))+1.1776)))+$V$8)),1),"")</f>
        <v/>
      </c>
      <c r="Y21" s="639" t="str">
        <f>IFERROR(FIXED(MIN($V$30,$V$9*(IF($E$12&lt;60,0.0771*LN(J17) -1.2737,IF($E$11="ASCE 7-22",0.0524*LN(J17)-1.0278,0.0614*LN(MAX(20,J17)) -1.0829))-$V$8)),1),"")</f>
        <v/>
      </c>
      <c r="Z21" s="639" t="str">
        <f>IFERROR(FIXED(MAX($U$30,$V$9*((IF($E$12&lt;60,-0.077*LN(J17)+1.1737,IF($E$11="ASCE 7-22",-0.077*LN(J17)+1.0798,-0.093*LN(MAX(20,J17))+1.1776)))+$V$8)),1),"")</f>
        <v/>
      </c>
      <c r="AA21" s="640" t="str">
        <f>IFERROR(FIXED(MIN($V$30,$V$9*(IF($E$12&lt;60,0.156*LN(J17) -1.7618,IF($E$11="ASCE 7-22", 0.2026*LN(J17)-2.2638,0.2503*LN(MAX(20,J17)) -2.5526))-$V$8)),1),"")</f>
        <v/>
      </c>
      <c r="AB21" s="543"/>
      <c r="AC21"/>
      <c r="AL21" s="543"/>
      <c r="AR21" s="151"/>
      <c r="AS21" s="543"/>
      <c r="AT21" s="151"/>
      <c r="AU21" s="151"/>
      <c r="AV21" s="151"/>
      <c r="AW21" s="151"/>
      <c r="AX21" s="151"/>
      <c r="AY21" s="151"/>
      <c r="AZ21" s="151"/>
      <c r="BA21" s="151"/>
      <c r="BB21" s="151"/>
      <c r="BC21" s="151"/>
      <c r="BD21" s="151"/>
      <c r="BE21" s="151"/>
      <c r="BF21" s="151"/>
      <c r="BG21" s="151"/>
      <c r="BH21" s="151"/>
      <c r="BI21" s="151"/>
      <c r="BJ21" s="151"/>
      <c r="BK21" s="151"/>
      <c r="BL21" s="151"/>
      <c r="BM21" s="151"/>
      <c r="BN21" s="151"/>
      <c r="BO21" s="151"/>
      <c r="BP21" s="151"/>
      <c r="BQ21" s="151"/>
      <c r="BR21" s="151"/>
      <c r="BS21" s="151"/>
      <c r="BT21" s="543"/>
      <c r="BU21" s="543"/>
      <c r="CA21" s="1029" t="s">
        <v>441</v>
      </c>
      <c r="CB21" s="1030"/>
      <c r="CC21" s="1030"/>
      <c r="CD21" s="1030"/>
      <c r="CE21" s="1030"/>
      <c r="CF21" s="1030"/>
      <c r="CG21" s="1030"/>
      <c r="CH21" s="1030"/>
      <c r="CI21" s="1030"/>
      <c r="CJ21" s="1030"/>
      <c r="CK21" s="1030"/>
      <c r="CL21" s="1030"/>
      <c r="CM21" s="1030"/>
      <c r="CN21" s="1030"/>
      <c r="CO21" s="1030"/>
      <c r="CP21" s="1030"/>
      <c r="CQ21" s="1030"/>
      <c r="CR21" s="1030"/>
      <c r="CS21" s="1030"/>
      <c r="CT21" s="1030"/>
      <c r="CU21" s="1030"/>
      <c r="CV21" s="1030"/>
      <c r="CW21" s="1030"/>
      <c r="CX21" s="1030"/>
      <c r="CY21" s="1030"/>
      <c r="CZ21" s="1030"/>
      <c r="DA21" s="1030"/>
      <c r="DB21" s="1030"/>
      <c r="DC21" s="1030"/>
      <c r="DD21" s="1031"/>
      <c r="DE21" s="1020" t="s">
        <v>442</v>
      </c>
      <c r="DF21" s="1021"/>
      <c r="DG21" s="1021"/>
      <c r="DH21" s="1021"/>
      <c r="DI21" s="1021"/>
      <c r="DJ21" s="1021"/>
      <c r="DK21" s="1021"/>
      <c r="DL21" s="1021"/>
      <c r="DM21" s="1021"/>
      <c r="DN21" s="1021"/>
      <c r="DO21" s="1021"/>
      <c r="DP21" s="1021"/>
      <c r="DQ21" s="1021"/>
      <c r="DR21" s="1021"/>
      <c r="DS21" s="1021"/>
      <c r="DT21" s="1021"/>
      <c r="DU21" s="1021"/>
      <c r="DV21" s="1021"/>
      <c r="DW21" s="1021"/>
      <c r="DX21" s="1021"/>
      <c r="DY21" s="1021"/>
      <c r="DZ21" s="1021"/>
      <c r="EA21" s="1021"/>
      <c r="EB21" s="1021"/>
      <c r="EC21" s="1021"/>
      <c r="ED21" s="1021"/>
      <c r="EE21" s="1021"/>
      <c r="EF21" s="1021"/>
      <c r="EG21" s="1021"/>
      <c r="EH21" s="1022"/>
    </row>
    <row r="22" spans="1:138" ht="17.100000000000001" customHeight="1" x14ac:dyDescent="0.25">
      <c r="B22" s="628"/>
      <c r="C22" s="628"/>
      <c r="D22" s="589"/>
      <c r="E22" s="591"/>
      <c r="F22" s="591"/>
      <c r="G22" s="591"/>
      <c r="H22" s="591"/>
      <c r="J22" s="1137"/>
      <c r="K22" s="1137"/>
      <c r="L22" s="1137"/>
      <c r="M22" s="1137"/>
      <c r="N22" s="1137"/>
      <c r="O22" s="1137"/>
      <c r="P22" s="1137"/>
      <c r="Q22" s="1137"/>
      <c r="R22" s="1137"/>
      <c r="S22" s="543"/>
      <c r="T22" s="543"/>
      <c r="U22" s="601" t="s">
        <v>7</v>
      </c>
      <c r="V22" s="637">
        <v>0.87</v>
      </c>
      <c r="W22" s="543"/>
      <c r="X22"/>
      <c r="Y22"/>
      <c r="Z22"/>
      <c r="AA22"/>
      <c r="AB22" s="543"/>
      <c r="AC22" s="896" t="s">
        <v>1390</v>
      </c>
      <c r="AD22" s="1168" t="s">
        <v>1393</v>
      </c>
      <c r="AE22" s="1200" t="s">
        <v>1394</v>
      </c>
      <c r="AF22" s="1179" t="s">
        <v>1395</v>
      </c>
      <c r="AG22" s="1181" t="s">
        <v>1391</v>
      </c>
      <c r="AH22" s="965" t="s">
        <v>1392</v>
      </c>
      <c r="AL22" s="543"/>
      <c r="AS22" s="543"/>
      <c r="BT22" s="543"/>
      <c r="BU22" s="543"/>
      <c r="CA22" s="1032"/>
      <c r="CB22" s="1033"/>
      <c r="CC22" s="1033"/>
      <c r="CD22" s="1033"/>
      <c r="CE22" s="1033"/>
      <c r="CF22" s="1033"/>
      <c r="CG22" s="1033"/>
      <c r="CH22" s="1033"/>
      <c r="CI22" s="1033"/>
      <c r="CJ22" s="1033"/>
      <c r="CK22" s="1033"/>
      <c r="CL22" s="1033"/>
      <c r="CM22" s="1033"/>
      <c r="CN22" s="1033"/>
      <c r="CO22" s="1033"/>
      <c r="CP22" s="1033"/>
      <c r="CQ22" s="1033"/>
      <c r="CR22" s="1033"/>
      <c r="CS22" s="1033"/>
      <c r="CT22" s="1033"/>
      <c r="CU22" s="1033"/>
      <c r="CV22" s="1033"/>
      <c r="CW22" s="1033"/>
      <c r="CX22" s="1033"/>
      <c r="CY22" s="1033"/>
      <c r="CZ22" s="1033"/>
      <c r="DA22" s="1033"/>
      <c r="DB22" s="1033"/>
      <c r="DC22" s="1033"/>
      <c r="DD22" s="1034"/>
      <c r="DE22" s="1023"/>
      <c r="DF22" s="1024"/>
      <c r="DG22" s="1024"/>
      <c r="DH22" s="1024"/>
      <c r="DI22" s="1024"/>
      <c r="DJ22" s="1024"/>
      <c r="DK22" s="1024"/>
      <c r="DL22" s="1024"/>
      <c r="DM22" s="1024"/>
      <c r="DN22" s="1024"/>
      <c r="DO22" s="1024"/>
      <c r="DP22" s="1024"/>
      <c r="DQ22" s="1024"/>
      <c r="DR22" s="1024"/>
      <c r="DS22" s="1024"/>
      <c r="DT22" s="1024"/>
      <c r="DU22" s="1024"/>
      <c r="DV22" s="1024"/>
      <c r="DW22" s="1024"/>
      <c r="DX22" s="1024"/>
      <c r="DY22" s="1024"/>
      <c r="DZ22" s="1024"/>
      <c r="EA22" s="1024"/>
      <c r="EB22" s="1024"/>
      <c r="EC22" s="1024"/>
      <c r="ED22" s="1024"/>
      <c r="EE22" s="1024"/>
      <c r="EF22" s="1024"/>
      <c r="EG22" s="1024"/>
      <c r="EH22" s="1025"/>
    </row>
    <row r="23" spans="1:138" customFormat="1" ht="17.100000000000001" customHeight="1" thickBot="1" x14ac:dyDescent="0.3">
      <c r="A23" s="28"/>
      <c r="B23" s="64"/>
      <c r="C23" s="64"/>
      <c r="D23" s="589"/>
      <c r="E23" s="591"/>
      <c r="F23" s="591"/>
      <c r="G23" s="591"/>
      <c r="H23" s="591"/>
      <c r="I23" s="542"/>
      <c r="J23" s="1137"/>
      <c r="K23" s="1137"/>
      <c r="L23" s="1137"/>
      <c r="M23" s="1137"/>
      <c r="N23" s="1137"/>
      <c r="O23" s="1137"/>
      <c r="P23" s="1137"/>
      <c r="Q23" s="1137"/>
      <c r="R23" s="1137"/>
      <c r="T23" s="542"/>
      <c r="U23" s="641" t="s">
        <v>8</v>
      </c>
      <c r="V23" s="637">
        <v>1</v>
      </c>
      <c r="X23" s="872" t="s">
        <v>1760</v>
      </c>
      <c r="Y23" s="873"/>
      <c r="Z23" s="873"/>
      <c r="AA23" s="874"/>
      <c r="AB23" s="542"/>
      <c r="AC23" s="897"/>
      <c r="AD23" s="1169"/>
      <c r="AE23" s="1201"/>
      <c r="AF23" s="1180"/>
      <c r="AG23" s="1182"/>
      <c r="AH23" s="966"/>
      <c r="AK23" s="77"/>
      <c r="AL23" s="542"/>
      <c r="CA23" s="1032"/>
      <c r="CB23" s="1033"/>
      <c r="CC23" s="1033"/>
      <c r="CD23" s="1033"/>
      <c r="CE23" s="1033"/>
      <c r="CF23" s="1033"/>
      <c r="CG23" s="1033"/>
      <c r="CH23" s="1033"/>
      <c r="CI23" s="1033"/>
      <c r="CJ23" s="1033"/>
      <c r="CK23" s="1033"/>
      <c r="CL23" s="1033"/>
      <c r="CM23" s="1033"/>
      <c r="CN23" s="1033"/>
      <c r="CO23" s="1033"/>
      <c r="CP23" s="1033"/>
      <c r="CQ23" s="1033"/>
      <c r="CR23" s="1033"/>
      <c r="CS23" s="1033"/>
      <c r="CT23" s="1033"/>
      <c r="CU23" s="1033"/>
      <c r="CV23" s="1033"/>
      <c r="CW23" s="1033"/>
      <c r="CX23" s="1033"/>
      <c r="CY23" s="1033"/>
      <c r="CZ23" s="1033"/>
      <c r="DA23" s="1033"/>
      <c r="DB23" s="1033"/>
      <c r="DC23" s="1033"/>
      <c r="DD23" s="1034"/>
      <c r="DE23" s="1023"/>
      <c r="DF23" s="1024"/>
      <c r="DG23" s="1024"/>
      <c r="DH23" s="1024"/>
      <c r="DI23" s="1024"/>
      <c r="DJ23" s="1024"/>
      <c r="DK23" s="1024"/>
      <c r="DL23" s="1024"/>
      <c r="DM23" s="1024"/>
      <c r="DN23" s="1024"/>
      <c r="DO23" s="1024"/>
      <c r="DP23" s="1024"/>
      <c r="DQ23" s="1024"/>
      <c r="DR23" s="1024"/>
      <c r="DS23" s="1024"/>
      <c r="DT23" s="1024"/>
      <c r="DU23" s="1024"/>
      <c r="DV23" s="1024"/>
      <c r="DW23" s="1024"/>
      <c r="DX23" s="1024"/>
      <c r="DY23" s="1024"/>
      <c r="DZ23" s="1024"/>
      <c r="EA23" s="1024"/>
      <c r="EB23" s="1024"/>
      <c r="EC23" s="1024"/>
      <c r="ED23" s="1024"/>
      <c r="EE23" s="1024"/>
      <c r="EF23" s="1024"/>
      <c r="EG23" s="1024"/>
      <c r="EH23" s="1025"/>
    </row>
    <row r="24" spans="1:138" customFormat="1" ht="17.100000000000001" customHeight="1" x14ac:dyDescent="0.25">
      <c r="A24" s="28"/>
      <c r="B24" s="64"/>
      <c r="C24" s="64"/>
      <c r="D24" s="589"/>
      <c r="E24" s="591"/>
      <c r="F24" s="591"/>
      <c r="G24" s="591"/>
      <c r="H24" s="591"/>
      <c r="I24" s="542"/>
      <c r="J24" s="542"/>
      <c r="K24" s="542"/>
      <c r="L24" s="1155" t="s">
        <v>15</v>
      </c>
      <c r="M24" s="1156"/>
      <c r="N24" s="1157"/>
      <c r="O24" s="748"/>
      <c r="P24" s="542"/>
      <c r="Q24" s="542"/>
      <c r="R24" s="542"/>
      <c r="T24" s="542"/>
      <c r="U24" s="641" t="s">
        <v>9</v>
      </c>
      <c r="V24" s="637">
        <v>1.1499999999999999</v>
      </c>
      <c r="X24" s="856" t="e">
        <f>IF(E$11="ASCE 7-05",$U$26,$V$7)*$V$9*((IF($E$12&lt;60,-0.077*LN(MAX(MIN(500,AF24),10))+1.1737,IF($E$11="ASCE 7-22",-0.077*LN(MAX(MIN(500,AF24),20))+1.0798,-0.093*LN(MAX(MIN(500,AF24),20))+1.1776)))+$V$8)</f>
        <v>#N/A</v>
      </c>
      <c r="Y24" s="860" t="e">
        <f>IF(E$11="ASCE 7-05",$U$26,$V$7)*$V$9*(IF($E$12&lt;60,0.0771*LN(MAX(MIN(500,AF24),10)) -1.2737,IF($E$11="ASCE 7-22",0.0524*LN(MAX(MIN(500,AF24),50))-1.0278,0.0614*LN(MAX(MIN(500,AF24),20)) -1.0829))-$V$8)</f>
        <v>#N/A</v>
      </c>
      <c r="Z24" s="860" t="e">
        <f>$V$7*IF(E$12&lt;60,$V$13*($V$15*(-0.077*LN(MAX(MIN(500,AF24),10))+1.1737)-$V$17),$V$13*$V$15*((-0.077*LN(MAX(MIN(500,AF24),20))+1.0798)-$V$17))</f>
        <v>#VALUE!</v>
      </c>
      <c r="AA24" s="645" t="e">
        <f>$V$7*IF(E$12&lt;60,$V$13*($V$15*0.0771*LN(MAX(MIN(500,AF24),10)) -1.2737-$V$16),$V$13*$V$15*((0.0524*LN(MAX(MIN(500,AF24),20))-1.0278)-$V$16))</f>
        <v>#VALUE!</v>
      </c>
      <c r="AB24" s="542"/>
      <c r="AC24" s="897"/>
      <c r="AD24" s="964"/>
      <c r="AE24" s="918"/>
      <c r="AF24" s="1185">
        <f>AD24*AE24/144</f>
        <v>0</v>
      </c>
      <c r="AG24" s="1183" t="str">
        <f>IFERROR(CONCATENATE("+",ROUND(MAX($U$31,IF($AG$19="Wind Loading",X24,Z24)),1)," / ",ROUND(MIN($V$31,IF($AG$19="Wind Loading",Y24,AA24)),1)),"")</f>
        <v/>
      </c>
      <c r="AH24" s="967" t="str">
        <f>IFERROR(CONCATENATE("+",ROUND(MAX($U$31,IF($AG$19="Wind Loading",X28,Z28)),1)," / ",ROUND(MIN($V$31,IF($AG$19="Wind Loading",Y28,AA28)),1)),"")</f>
        <v/>
      </c>
      <c r="AK24" s="77"/>
      <c r="AL24" s="542"/>
      <c r="CA24" s="1032"/>
      <c r="CB24" s="1033"/>
      <c r="CC24" s="1033"/>
      <c r="CD24" s="1033"/>
      <c r="CE24" s="1033"/>
      <c r="CF24" s="1033"/>
      <c r="CG24" s="1033"/>
      <c r="CH24" s="1033"/>
      <c r="CI24" s="1033"/>
      <c r="CJ24" s="1033"/>
      <c r="CK24" s="1033"/>
      <c r="CL24" s="1033"/>
      <c r="CM24" s="1033"/>
      <c r="CN24" s="1033"/>
      <c r="CO24" s="1033"/>
      <c r="CP24" s="1033"/>
      <c r="CQ24" s="1033"/>
      <c r="CR24" s="1033"/>
      <c r="CS24" s="1033"/>
      <c r="CT24" s="1033"/>
      <c r="CU24" s="1033"/>
      <c r="CV24" s="1033"/>
      <c r="CW24" s="1033"/>
      <c r="CX24" s="1033"/>
      <c r="CY24" s="1033"/>
      <c r="CZ24" s="1033"/>
      <c r="DA24" s="1033"/>
      <c r="DB24" s="1033"/>
      <c r="DC24" s="1033"/>
      <c r="DD24" s="1034"/>
      <c r="DE24" s="1023"/>
      <c r="DF24" s="1024"/>
      <c r="DG24" s="1024"/>
      <c r="DH24" s="1024"/>
      <c r="DI24" s="1024"/>
      <c r="DJ24" s="1024"/>
      <c r="DK24" s="1024"/>
      <c r="DL24" s="1024"/>
      <c r="DM24" s="1024"/>
      <c r="DN24" s="1024"/>
      <c r="DO24" s="1024"/>
      <c r="DP24" s="1024"/>
      <c r="DQ24" s="1024"/>
      <c r="DR24" s="1024"/>
      <c r="DS24" s="1024"/>
      <c r="DT24" s="1024"/>
      <c r="DU24" s="1024"/>
      <c r="DV24" s="1024"/>
      <c r="DW24" s="1024"/>
      <c r="DX24" s="1024"/>
      <c r="DY24" s="1024"/>
      <c r="DZ24" s="1024"/>
      <c r="EA24" s="1024"/>
      <c r="EB24" s="1024"/>
      <c r="EC24" s="1024"/>
      <c r="ED24" s="1024"/>
      <c r="EE24" s="1024"/>
      <c r="EF24" s="1024"/>
      <c r="EG24" s="1024"/>
      <c r="EH24" s="1025"/>
    </row>
    <row r="25" spans="1:138" customFormat="1" ht="17.100000000000001" customHeight="1" x14ac:dyDescent="0.25">
      <c r="A25" s="28"/>
      <c r="B25" s="64"/>
      <c r="C25" s="64"/>
      <c r="D25" s="589"/>
      <c r="E25" s="591"/>
      <c r="F25" s="591"/>
      <c r="G25" s="591"/>
      <c r="H25" s="64"/>
      <c r="I25" s="542"/>
      <c r="J25" s="542"/>
      <c r="K25" s="542"/>
      <c r="L25" s="1130" t="s">
        <v>16</v>
      </c>
      <c r="M25" s="1131"/>
      <c r="N25" s="1132"/>
      <c r="O25" s="750"/>
      <c r="P25" s="542"/>
      <c r="Q25" s="542"/>
      <c r="R25" s="542"/>
      <c r="T25" s="542"/>
      <c r="U25" s="642" t="s">
        <v>10</v>
      </c>
      <c r="V25" s="643">
        <v>1.1499999999999999</v>
      </c>
      <c r="W25" s="644"/>
      <c r="X25" s="857" t="e">
        <f>IF(E$11="ASCE 7-05",$U$26,$V$7)*$V$9*((IF($E$12&lt;60,-0.077*LN(MAX(MIN(500,AF26),10))+1.1737,IF($E$11="ASCE 7-22",-0.077*LN(MAX(MIN(500,AF26),20))+1.0798,-0.093*LN(MAX(MIN(500,AF26),20))+1.1776)))+$V$8)</f>
        <v>#N/A</v>
      </c>
      <c r="Y25" s="861" t="e">
        <f>IF(E$11="ASCE 7-05",$U$26,$V$7)*$V$9*(IF($E$12&lt;60,0.0771*LN(MAX(MIN(500,AF26),10)) -1.2737,IF($E$11="ASCE 7-22",0.0524*LN(MAX(MIN(500,AF26),50))-1.0278,0.0614*LN(MAX(MIN(500,AF26),20)) -1.0829))-$V$8)</f>
        <v>#N/A</v>
      </c>
      <c r="Z25" s="861" t="e">
        <f>$V$7*IF(E$12&lt;60,$V$13*($V$15*(-0.077*LN(MAX(MIN(500,AF26),10))+1.1737)-$V$17),$V$13*$V$15*((-0.077*LN(MAX(MIN(500,AF26),20))+1.0798)-$V$17))</f>
        <v>#VALUE!</v>
      </c>
      <c r="AA25" s="647" t="e">
        <f>$V$7*IF(E$12&lt;60,$V$13*($V$15*0.0771*LN(MAX(MIN(500,AF26),10)) -1.2737-$V$16),$V$13*$V$15*((0.0524*LN(MAX(MIN(500,AF26),20))-1.0278)-$V$16))</f>
        <v>#VALUE!</v>
      </c>
      <c r="AB25" s="542"/>
      <c r="AC25" s="897"/>
      <c r="AD25" s="915"/>
      <c r="AE25" s="919"/>
      <c r="AF25" s="1186"/>
      <c r="AG25" s="1177"/>
      <c r="AH25" s="968"/>
      <c r="AK25" s="77"/>
      <c r="AL25" s="542"/>
      <c r="CA25" s="1032"/>
      <c r="CB25" s="1033"/>
      <c r="CC25" s="1033"/>
      <c r="CD25" s="1033"/>
      <c r="CE25" s="1033"/>
      <c r="CF25" s="1033"/>
      <c r="CG25" s="1033"/>
      <c r="CH25" s="1033"/>
      <c r="CI25" s="1033"/>
      <c r="CJ25" s="1033"/>
      <c r="CK25" s="1033"/>
      <c r="CL25" s="1033"/>
      <c r="CM25" s="1033"/>
      <c r="CN25" s="1033"/>
      <c r="CO25" s="1033"/>
      <c r="CP25" s="1033"/>
      <c r="CQ25" s="1033"/>
      <c r="CR25" s="1033"/>
      <c r="CS25" s="1033"/>
      <c r="CT25" s="1033"/>
      <c r="CU25" s="1033"/>
      <c r="CV25" s="1033"/>
      <c r="CW25" s="1033"/>
      <c r="CX25" s="1033"/>
      <c r="CY25" s="1033"/>
      <c r="CZ25" s="1033"/>
      <c r="DA25" s="1033"/>
      <c r="DB25" s="1033"/>
      <c r="DC25" s="1033"/>
      <c r="DD25" s="1034"/>
      <c r="DE25" s="1023"/>
      <c r="DF25" s="1024"/>
      <c r="DG25" s="1024"/>
      <c r="DH25" s="1024"/>
      <c r="DI25" s="1024"/>
      <c r="DJ25" s="1024"/>
      <c r="DK25" s="1024"/>
      <c r="DL25" s="1024"/>
      <c r="DM25" s="1024"/>
      <c r="DN25" s="1024"/>
      <c r="DO25" s="1024"/>
      <c r="DP25" s="1024"/>
      <c r="DQ25" s="1024"/>
      <c r="DR25" s="1024"/>
      <c r="DS25" s="1024"/>
      <c r="DT25" s="1024"/>
      <c r="DU25" s="1024"/>
      <c r="DV25" s="1024"/>
      <c r="DW25" s="1024"/>
      <c r="DX25" s="1024"/>
      <c r="DY25" s="1024"/>
      <c r="DZ25" s="1024"/>
      <c r="EA25" s="1024"/>
      <c r="EB25" s="1024"/>
      <c r="EC25" s="1024"/>
      <c r="ED25" s="1024"/>
      <c r="EE25" s="1024"/>
      <c r="EF25" s="1024"/>
      <c r="EG25" s="1024"/>
      <c r="EH25" s="1025"/>
    </row>
    <row r="26" spans="1:138" customFormat="1" ht="17.100000000000001" customHeight="1" x14ac:dyDescent="0.25">
      <c r="A26" s="28"/>
      <c r="I26" s="646"/>
      <c r="J26" s="646"/>
      <c r="K26" s="542"/>
      <c r="L26" s="1130" t="s">
        <v>1017</v>
      </c>
      <c r="M26" s="1131"/>
      <c r="N26" s="1132"/>
      <c r="O26" s="751" t="str">
        <f>IF(ISBLANK(E12)=TRUE,"",E12)</f>
        <v/>
      </c>
      <c r="P26" s="542"/>
      <c r="Q26" s="542"/>
      <c r="R26" s="542"/>
      <c r="S26" s="542"/>
      <c r="T26" s="542"/>
      <c r="U26" s="592" t="e">
        <f>VLOOKUP(E13,U22:V25,2)</f>
        <v>#N/A</v>
      </c>
      <c r="V26" s="155" t="str">
        <f>IF(E13="III", "Yes", IF(E13="IV", "Yes", "No"))</f>
        <v>No</v>
      </c>
      <c r="X26" s="858" t="e">
        <f>IF(E$11="ASCE 7-05",$U$26,$V$7)*$V$9*((IF($E$12&lt;60,-0.077*LN(MAX(MIN(500,AF28),10))+1.1737,IF($E$11="ASCE 7-22",-0.077*LN(MAX(MIN(500,AF28),20))+1.0798,-0.093*LN(MAX(MIN(500,AF28),20))+1.1776)))+$V$8)</f>
        <v>#N/A</v>
      </c>
      <c r="Y26" s="862" t="e">
        <f>IF(E$11="ASCE 7-05",$U$26,$V$7)*$V$9*(IF($E$12&lt;60,0.0771*LN(MAX(MIN(500,AF28),10)) -1.2737,IF($E$11="ASCE 7-22",0.0524*LN(MAX(MIN(500,AF28),50))-1.0278,0.0614*LN(MAX(MIN(500,AF28),20)) -1.0829))-$V$8)</f>
        <v>#N/A</v>
      </c>
      <c r="Z26" s="862" t="e">
        <f>$V$7*IF(E$12&lt;60,$V$13*($V$15*(-0.077*LN(MAX(MIN(500,AF28),10))+1.1737)-$V$17),$V$13*$V$15*((-0.077*LN(MAX(MIN(500,AF28),20))+1.0798)-$V$17))</f>
        <v>#VALUE!</v>
      </c>
      <c r="AA26" s="649" t="e">
        <f>$V$7*IF(E$12&lt;60,$V$13*($V$15*0.0771*LN(MAX(MIN(500,AF28),10)) -1.2737-$V$16),$V$13*$V$15*((0.0524*LN(MAX(MIN(500,AF28),20))-1.0278)-$V$16))</f>
        <v>#VALUE!</v>
      </c>
      <c r="AB26" s="542"/>
      <c r="AC26" s="897"/>
      <c r="AD26" s="916"/>
      <c r="AE26" s="920"/>
      <c r="AF26" s="1187">
        <f t="shared" ref="AF26" si="0">AD26*AE26/144</f>
        <v>0</v>
      </c>
      <c r="AG26" s="1176" t="str">
        <f>IFERROR(CONCATENATE("+",ROUND(MAX($U$31,IF($AG$19="Wind Loading",X25,Z25)),1)," / ",ROUND(MIN($V$31,IF($AG$19="Wind Loading",Y25,AA25)),1)),"")</f>
        <v/>
      </c>
      <c r="AH26" s="969" t="str">
        <f>IFERROR(CONCATENATE("+",ROUND(MAX($U$31,IF($AG$19="Wind Loading",X29,Z29)),1)," / ",ROUND(MIN($V$31,IF($AG$19="Wind Loading",Y29,AA29)),1)),"")</f>
        <v/>
      </c>
      <c r="AK26" s="77"/>
      <c r="AL26" s="542"/>
      <c r="CA26" s="1032"/>
      <c r="CB26" s="1033"/>
      <c r="CC26" s="1033"/>
      <c r="CD26" s="1033"/>
      <c r="CE26" s="1033"/>
      <c r="CF26" s="1033"/>
      <c r="CG26" s="1033"/>
      <c r="CH26" s="1033"/>
      <c r="CI26" s="1033"/>
      <c r="CJ26" s="1033"/>
      <c r="CK26" s="1033"/>
      <c r="CL26" s="1033"/>
      <c r="CM26" s="1033"/>
      <c r="CN26" s="1033"/>
      <c r="CO26" s="1033"/>
      <c r="CP26" s="1033"/>
      <c r="CQ26" s="1033"/>
      <c r="CR26" s="1033"/>
      <c r="CS26" s="1033"/>
      <c r="CT26" s="1033"/>
      <c r="CU26" s="1033"/>
      <c r="CV26" s="1033"/>
      <c r="CW26" s="1033"/>
      <c r="CX26" s="1033"/>
      <c r="CY26" s="1033"/>
      <c r="CZ26" s="1033"/>
      <c r="DA26" s="1033"/>
      <c r="DB26" s="1033"/>
      <c r="DC26" s="1033"/>
      <c r="DD26" s="1034"/>
      <c r="DE26" s="1023"/>
      <c r="DF26" s="1024"/>
      <c r="DG26" s="1024"/>
      <c r="DH26" s="1024"/>
      <c r="DI26" s="1024"/>
      <c r="DJ26" s="1024"/>
      <c r="DK26" s="1024"/>
      <c r="DL26" s="1024"/>
      <c r="DM26" s="1024"/>
      <c r="DN26" s="1024"/>
      <c r="DO26" s="1024"/>
      <c r="DP26" s="1024"/>
      <c r="DQ26" s="1024"/>
      <c r="DR26" s="1024"/>
      <c r="DS26" s="1024"/>
      <c r="DT26" s="1024"/>
      <c r="DU26" s="1024"/>
      <c r="DV26" s="1024"/>
      <c r="DW26" s="1024"/>
      <c r="DX26" s="1024"/>
      <c r="DY26" s="1024"/>
      <c r="DZ26" s="1024"/>
      <c r="EA26" s="1024"/>
      <c r="EB26" s="1024"/>
      <c r="EC26" s="1024"/>
      <c r="ED26" s="1024"/>
      <c r="EE26" s="1024"/>
      <c r="EF26" s="1024"/>
      <c r="EG26" s="1024"/>
      <c r="EH26" s="1025"/>
    </row>
    <row r="27" spans="1:138" customFormat="1" ht="17.100000000000001" customHeight="1" thickBot="1" x14ac:dyDescent="0.3">
      <c r="A27" s="28"/>
      <c r="B27" s="543"/>
      <c r="C27" s="543"/>
      <c r="D27" s="648"/>
      <c r="E27" s="648"/>
      <c r="F27" s="648"/>
      <c r="G27" s="648"/>
      <c r="H27" s="648"/>
      <c r="I27" s="648"/>
      <c r="J27" s="648"/>
      <c r="K27" s="648"/>
      <c r="L27" s="957" t="s">
        <v>46</v>
      </c>
      <c r="M27" s="958"/>
      <c r="N27" s="959"/>
      <c r="O27" s="749" t="str">
        <f>IF(OR(O24=0,O25=0,O26=""),"---",MAX(MIN(0.1*O24,0.1*O25,0.4*O26),3,MIN(0.04*O24,0.04*O25)))</f>
        <v>---</v>
      </c>
      <c r="P27" s="542"/>
      <c r="Q27" s="542"/>
      <c r="S27" s="542"/>
      <c r="U27" s="559"/>
      <c r="V27" s="542"/>
      <c r="X27" s="864" t="e">
        <f>IF(E$11="ASCE 7-05",$U$26,$V$7)*$V$9*((IF($E$12&lt;60,-0.077*LN(MAX(MIN(500,AF30),10))+1.1737,IF($E$11="ASCE 7-22",-0.077*LN(MAX(MIN(500,AF30),20))+1.0798,-0.093*LN(MAX(MIN(500,AF30),20))+1.1776)))+$V$8)</f>
        <v>#N/A</v>
      </c>
      <c r="Y27" s="865" t="e">
        <f>IF(E$11="ASCE 7-05",$U$26,$V$7)*$V$9*(IF($E$12&lt;60,0.0771*LN(MAX(MIN(500,AF30),10)) -1.2737,IF($E$11="ASCE 7-22",0.0524*LN(MAX(MIN(500,AF30),50))-1.0278,0.0614*LN(MAX(MIN(500,AF30),20)) -1.0829))-$V$8)</f>
        <v>#N/A</v>
      </c>
      <c r="Z27" s="865" t="e">
        <f>$V$7*IF(E$12&lt;60,$V$13*($V$15*(-0.077*LN(MAX(MIN(500,AF30),10))+1.1737)-$V$17),$V$13*$V$15*((-0.077*LN(MAX(MIN(500,AF30),20))+1.0798)-$V$17))</f>
        <v>#VALUE!</v>
      </c>
      <c r="AA27" s="866" t="e">
        <f>$V$7*IF(E$12&lt;60,$V$13*($V$15*0.0771*LN(MAX(MIN(500,AF30),10)) -1.2737-$V$16),$V$13*$V$15*((0.0524*LN(MAX(MIN(500,AF30),20))-1.0278)-$V$16))</f>
        <v>#VALUE!</v>
      </c>
      <c r="AB27" s="542"/>
      <c r="AC27" s="897"/>
      <c r="AD27" s="916"/>
      <c r="AE27" s="920"/>
      <c r="AF27" s="1188"/>
      <c r="AG27" s="1177"/>
      <c r="AH27" s="970"/>
      <c r="AK27" s="77"/>
      <c r="AL27" s="542"/>
      <c r="CA27" s="1032"/>
      <c r="CB27" s="1033"/>
      <c r="CC27" s="1033"/>
      <c r="CD27" s="1033"/>
      <c r="CE27" s="1033"/>
      <c r="CF27" s="1033"/>
      <c r="CG27" s="1033"/>
      <c r="CH27" s="1033"/>
      <c r="CI27" s="1033"/>
      <c r="CJ27" s="1033"/>
      <c r="CK27" s="1033"/>
      <c r="CL27" s="1033"/>
      <c r="CM27" s="1033"/>
      <c r="CN27" s="1033"/>
      <c r="CO27" s="1033"/>
      <c r="CP27" s="1033"/>
      <c r="CQ27" s="1033"/>
      <c r="CR27" s="1033"/>
      <c r="CS27" s="1033"/>
      <c r="CT27" s="1033"/>
      <c r="CU27" s="1033"/>
      <c r="CV27" s="1033"/>
      <c r="CW27" s="1033"/>
      <c r="CX27" s="1033"/>
      <c r="CY27" s="1033"/>
      <c r="CZ27" s="1033"/>
      <c r="DA27" s="1033"/>
      <c r="DB27" s="1033"/>
      <c r="DC27" s="1033"/>
      <c r="DD27" s="1034"/>
      <c r="DE27" s="1023"/>
      <c r="DF27" s="1024"/>
      <c r="DG27" s="1024"/>
      <c r="DH27" s="1024"/>
      <c r="DI27" s="1024"/>
      <c r="DJ27" s="1024"/>
      <c r="DK27" s="1024"/>
      <c r="DL27" s="1024"/>
      <c r="DM27" s="1024"/>
      <c r="DN27" s="1024"/>
      <c r="DO27" s="1024"/>
      <c r="DP27" s="1024"/>
      <c r="DQ27" s="1024"/>
      <c r="DR27" s="1024"/>
      <c r="DS27" s="1024"/>
      <c r="DT27" s="1024"/>
      <c r="DU27" s="1024"/>
      <c r="DV27" s="1024"/>
      <c r="DW27" s="1024"/>
      <c r="DX27" s="1024"/>
      <c r="DY27" s="1024"/>
      <c r="DZ27" s="1024"/>
      <c r="EA27" s="1024"/>
      <c r="EB27" s="1024"/>
      <c r="EC27" s="1024"/>
      <c r="ED27" s="1024"/>
      <c r="EE27" s="1024"/>
      <c r="EF27" s="1024"/>
      <c r="EG27" s="1024"/>
      <c r="EH27" s="1025"/>
    </row>
    <row r="28" spans="1:138" customFormat="1" ht="17.100000000000001" customHeight="1" thickTop="1" x14ac:dyDescent="0.25">
      <c r="A28" s="28"/>
      <c r="B28" s="971" t="str">
        <f xml:space="preserve"> IF(E17="Not Applicable","",IF(E17=1,"If the building location is within 1 mile of the coast, impact glazing may be required.  Consult a local building official.","Based on the building code and windspeed entered IMPACT glazing may be required.  Verify with local building official."))</f>
        <v/>
      </c>
      <c r="C28" s="971"/>
      <c r="D28" s="971"/>
      <c r="E28" s="971"/>
      <c r="F28" s="971"/>
      <c r="G28" s="971"/>
      <c r="H28" s="971"/>
      <c r="I28" s="971"/>
      <c r="J28" s="971"/>
      <c r="K28" s="971"/>
      <c r="L28" s="971"/>
      <c r="M28" s="971"/>
      <c r="N28" s="971"/>
      <c r="O28" s="971"/>
      <c r="P28" s="971"/>
      <c r="Q28" s="971"/>
      <c r="R28" s="971"/>
      <c r="S28" s="542"/>
      <c r="U28" s="64"/>
      <c r="V28" s="64"/>
      <c r="X28" s="858" t="e">
        <f>IF(E$11="ASCE 7-05",$U$26,$V$7)*$V$9*((IF($E$12&lt;60,-0.077*LN(MAX(MIN(500,AF24),10))+1.1737,IF($E$11="ASCE 7-22",-0.077*LN(MAX(MIN(500,AF24),20))+1.0798,-0.093*LN(MAX(MIN(500,AF24),20))+1.1776)))+$V$8)</f>
        <v>#N/A</v>
      </c>
      <c r="Y28" s="862" t="e">
        <f>IF(E$11="ASCE 7-05",$U$26,$V$7)*$V$9*(IF($E$12&lt;60,0.156*LN(MAX(MIN(500,AF24),10)) -1.7618,IF($E$11="ASCE 7-22", 0.2026*LN(MAX(MIN(500,AF24),20))-2.2638,0.2503*LN(MAX(MIN(500,AF24),20)) -2.5526))-$V$8)</f>
        <v>#N/A</v>
      </c>
      <c r="Z28" s="862" t="e">
        <f>$V$7*IF(E$12&lt;60,$V$13*($V$15*(-0.077*LN(MAX(MIN(500,AF24),10))+1.1737)-$V$17),$V$13*$V$15*((-0.077*LN(MAX(MIN(500,AF24),20))+1.0798)-$V$17))</f>
        <v>#VALUE!</v>
      </c>
      <c r="AA28" s="649" t="e">
        <f>$V$7*IF(E$12&lt;60,$V$13*($V$15*(0.156*LN(MAX(MIN(500,AF24),10)) -1.7618)-$V$16),$V$13*$V$15*((0.2026*LN(MAX(MIN(500,AF24),20))-2.2638)-$V$16))</f>
        <v>#VALUE!</v>
      </c>
      <c r="AB28" s="542"/>
      <c r="AC28" s="897"/>
      <c r="AD28" s="914"/>
      <c r="AE28" s="921"/>
      <c r="AF28" s="1187">
        <f t="shared" ref="AF28" si="1">AD28*AE28/144</f>
        <v>0</v>
      </c>
      <c r="AG28" s="1176" t="str">
        <f>IFERROR(CONCATENATE("+",ROUND(MAX($U$31,IF($AG$19="Wind Loading",X26,Z26)),1)," / ",ROUND(MIN($V$31,IF($AG$19="Wind Loading",Y26,AA26)),1)),"")</f>
        <v/>
      </c>
      <c r="AH28" s="969" t="str">
        <f>IFERROR(CONCATENATE("+",ROUND(MAX($U$31,IF($AG$19="Wind Loading",X30,Z30)),1)," / ",ROUND(MIN($V$31,IF($AG$19="Wind Loading",Y30,AA30)),1)),"")</f>
        <v/>
      </c>
      <c r="AK28" s="77"/>
      <c r="AL28" s="542"/>
      <c r="CA28" s="1032"/>
      <c r="CB28" s="1033"/>
      <c r="CC28" s="1033"/>
      <c r="CD28" s="1033"/>
      <c r="CE28" s="1033"/>
      <c r="CF28" s="1033"/>
      <c r="CG28" s="1033"/>
      <c r="CH28" s="1033"/>
      <c r="CI28" s="1033"/>
      <c r="CJ28" s="1033"/>
      <c r="CK28" s="1033"/>
      <c r="CL28" s="1033"/>
      <c r="CM28" s="1033"/>
      <c r="CN28" s="1033"/>
      <c r="CO28" s="1033"/>
      <c r="CP28" s="1033"/>
      <c r="CQ28" s="1033"/>
      <c r="CR28" s="1033"/>
      <c r="CS28" s="1033"/>
      <c r="CT28" s="1033"/>
      <c r="CU28" s="1033"/>
      <c r="CV28" s="1033"/>
      <c r="CW28" s="1033"/>
      <c r="CX28" s="1033"/>
      <c r="CY28" s="1033"/>
      <c r="CZ28" s="1033"/>
      <c r="DA28" s="1033"/>
      <c r="DB28" s="1033"/>
      <c r="DC28" s="1033"/>
      <c r="DD28" s="1034"/>
      <c r="DE28" s="1023"/>
      <c r="DF28" s="1024"/>
      <c r="DG28" s="1024"/>
      <c r="DH28" s="1024"/>
      <c r="DI28" s="1024"/>
      <c r="DJ28" s="1024"/>
      <c r="DK28" s="1024"/>
      <c r="DL28" s="1024"/>
      <c r="DM28" s="1024"/>
      <c r="DN28" s="1024"/>
      <c r="DO28" s="1024"/>
      <c r="DP28" s="1024"/>
      <c r="DQ28" s="1024"/>
      <c r="DR28" s="1024"/>
      <c r="DS28" s="1024"/>
      <c r="DT28" s="1024"/>
      <c r="DU28" s="1024"/>
      <c r="DV28" s="1024"/>
      <c r="DW28" s="1024"/>
      <c r="DX28" s="1024"/>
      <c r="DY28" s="1024"/>
      <c r="DZ28" s="1024"/>
      <c r="EA28" s="1024"/>
      <c r="EB28" s="1024"/>
      <c r="EC28" s="1024"/>
      <c r="ED28" s="1024"/>
      <c r="EE28" s="1024"/>
      <c r="EF28" s="1024"/>
      <c r="EG28" s="1024"/>
      <c r="EH28" s="1025"/>
    </row>
    <row r="29" spans="1:138" customFormat="1" ht="17.100000000000001" customHeight="1" thickBot="1" x14ac:dyDescent="0.3">
      <c r="A29" s="28"/>
      <c r="B29" s="971" t="str">
        <f>IF(AND(E11="ASCE 7-22",OR(E13="III", E13="IV")),"Check project location to determine if TORNADO SAFETY LOADS are required. See Tornado tab below.","")</f>
        <v/>
      </c>
      <c r="C29" s="971"/>
      <c r="D29" s="971"/>
      <c r="E29" s="971"/>
      <c r="F29" s="971"/>
      <c r="G29" s="971"/>
      <c r="H29" s="971"/>
      <c r="I29" s="971"/>
      <c r="J29" s="971"/>
      <c r="K29" s="971"/>
      <c r="L29" s="971"/>
      <c r="M29" s="971"/>
      <c r="N29" s="971"/>
      <c r="O29" s="971"/>
      <c r="P29" s="971"/>
      <c r="Q29" s="971"/>
      <c r="R29" s="971"/>
      <c r="S29" s="542"/>
      <c r="U29" s="955" t="s">
        <v>1027</v>
      </c>
      <c r="V29" s="956"/>
      <c r="X29" s="857" t="e">
        <f>IF(E$11="ASCE 7-05",$U$26,$V$7)*$V$9*((IF($E$12&lt;60,-0.077*LN(MAX(MIN(500,AF26),10))+1.1737,IF($E$11="ASCE 7-22",-0.077*LN(MAX(MIN(500,AF26),20))+1.0798,-0.093*LN(MAX(MIN(500,AF26),20))+1.1776)))+$V$8)</f>
        <v>#N/A</v>
      </c>
      <c r="Y29" s="861" t="e">
        <f>IF(E$11="ASCE 7-05",$U$26,$V$7)*$V$9*(IF($E$12&lt;60,0.156*LN(MAX(MIN(500,AF26),10)) -1.7618,IF($E$11="ASCE 7-22", 0.2026*LN(MAX(MIN(500,AF26),20))-2.2638,0.2503*LN(MAX(MIN(500,AF26),20)) -2.5526))-$V$8)</f>
        <v>#N/A</v>
      </c>
      <c r="Z29" s="861" t="e">
        <f>$V$7*IF(E$12&lt;60,$V$13*($V$15*(-0.077*LN(MAX(MIN(500,AF26),10))+1.1737)-$V$17),$V$13*$V$15*((-0.077*LN(MAX(MIN(500,AF26),20))+1.0798)-$V$17))</f>
        <v>#VALUE!</v>
      </c>
      <c r="AA29" s="647" t="e">
        <f>$V$7*IF(E$12&lt;60,$V$13*($V$15*(0.156*LN(MAX(MIN(500,AF26),10)) -1.7618)-$V$16),$V$13*$V$15*((0.2026*LN(MAX(MIN(500,AF26),20))-2.2638)-$V$16))</f>
        <v>#VALUE!</v>
      </c>
      <c r="AB29" s="542"/>
      <c r="AC29" s="897"/>
      <c r="AD29" s="915"/>
      <c r="AE29" s="919"/>
      <c r="AF29" s="1188"/>
      <c r="AG29" s="1177"/>
      <c r="AH29" s="970"/>
      <c r="AK29" s="77"/>
      <c r="AL29" s="542"/>
      <c r="CA29" s="1032"/>
      <c r="CB29" s="1033"/>
      <c r="CC29" s="1033"/>
      <c r="CD29" s="1033"/>
      <c r="CE29" s="1033"/>
      <c r="CF29" s="1033"/>
      <c r="CG29" s="1033"/>
      <c r="CH29" s="1033"/>
      <c r="CI29" s="1033"/>
      <c r="CJ29" s="1033"/>
      <c r="CK29" s="1033"/>
      <c r="CL29" s="1033"/>
      <c r="CM29" s="1033"/>
      <c r="CN29" s="1033"/>
      <c r="CO29" s="1033"/>
      <c r="CP29" s="1033"/>
      <c r="CQ29" s="1033"/>
      <c r="CR29" s="1033"/>
      <c r="CS29" s="1033"/>
      <c r="CT29" s="1033"/>
      <c r="CU29" s="1033"/>
      <c r="CV29" s="1033"/>
      <c r="CW29" s="1033"/>
      <c r="CX29" s="1033"/>
      <c r="CY29" s="1033"/>
      <c r="CZ29" s="1033"/>
      <c r="DA29" s="1033"/>
      <c r="DB29" s="1033"/>
      <c r="DC29" s="1033"/>
      <c r="DD29" s="1034"/>
      <c r="DE29" s="1023"/>
      <c r="DF29" s="1024"/>
      <c r="DG29" s="1024"/>
      <c r="DH29" s="1024"/>
      <c r="DI29" s="1024"/>
      <c r="DJ29" s="1024"/>
      <c r="DK29" s="1024"/>
      <c r="DL29" s="1024"/>
      <c r="DM29" s="1024"/>
      <c r="DN29" s="1024"/>
      <c r="DO29" s="1024"/>
      <c r="DP29" s="1024"/>
      <c r="DQ29" s="1024"/>
      <c r="DR29" s="1024"/>
      <c r="DS29" s="1024"/>
      <c r="DT29" s="1024"/>
      <c r="DU29" s="1024"/>
      <c r="DV29" s="1024"/>
      <c r="DW29" s="1024"/>
      <c r="DX29" s="1024"/>
      <c r="DY29" s="1024"/>
      <c r="DZ29" s="1024"/>
      <c r="EA29" s="1024"/>
      <c r="EB29" s="1024"/>
      <c r="EC29" s="1024"/>
      <c r="ED29" s="1024"/>
      <c r="EE29" s="1024"/>
      <c r="EF29" s="1024"/>
      <c r="EG29" s="1024"/>
      <c r="EH29" s="1025"/>
    </row>
    <row r="30" spans="1:138" customFormat="1" ht="17.100000000000001" customHeight="1" thickTop="1" thickBot="1" x14ac:dyDescent="0.3">
      <c r="A30" s="28"/>
      <c r="B30" s="971" t="str">
        <f>IF(E18&gt;3499, "High Altitute Glazing may be required at this elevation. Please review.","")</f>
        <v/>
      </c>
      <c r="C30" s="971"/>
      <c r="D30" s="971"/>
      <c r="E30" s="971"/>
      <c r="F30" s="971"/>
      <c r="G30" s="971"/>
      <c r="H30" s="971"/>
      <c r="I30" s="971"/>
      <c r="J30" s="971"/>
      <c r="K30" s="971"/>
      <c r="L30" s="971"/>
      <c r="M30" s="971"/>
      <c r="N30" s="971"/>
      <c r="O30" s="971"/>
      <c r="P30" s="971"/>
      <c r="Q30" s="971"/>
      <c r="R30" s="971"/>
      <c r="S30" s="650"/>
      <c r="U30" s="652">
        <v>16</v>
      </c>
      <c r="V30" s="653">
        <v>-16</v>
      </c>
      <c r="X30" s="858" t="e">
        <f>IF(E$11="ASCE 7-05",$U$26,$V$7)*$V$9*((IF($E$12&lt;60,-0.077*LN(MAX(MIN(500,AF28),10))+1.1737,IF($E$11="ASCE 7-22",-0.077*LN(MAX(MIN(500,AF28),20))+1.0798,-0.093*LN(MAX(MIN(500,AF28),20))+1.1776)))+$V$8)</f>
        <v>#N/A</v>
      </c>
      <c r="Y30" s="862" t="e">
        <f>IF(E$11="ASCE 7-05",$U$26,$V$7)*$V$9*(IF($E$12&lt;60,0.156*LN(MAX(MIN(500,AF28),10)) -1.7618,IF($E$11="ASCE 7-22", 0.2026*LN(MAX(MIN(500,AF28),20))-2.2638,0.2503*LN(MAX(MIN(500,AF28),20)) -2.5526))-$V$8)</f>
        <v>#N/A</v>
      </c>
      <c r="Z30" s="862" t="e">
        <f>$V$7*IF(E$12&lt;60,$V$13*($V$15*(-0.077*LN(MAX(MIN(500,AF28),10))+1.1737)-$V$17),$V$13*$V$15*((-0.077*LN(MAX(MIN(500,AF28),20))+1.0798)-$V$17))</f>
        <v>#VALUE!</v>
      </c>
      <c r="AA30" s="649" t="e">
        <f>$V$7*IF(E$12&lt;60,$V$13*($V$15*(0.156*LN(MAX(MIN(500,AF28),10)) -1.7618)-$V$16),$V$13*$V$15*((0.2026*LN(MAX(MIN(500,AF28),20))-2.2638)-$V$16))</f>
        <v>#VALUE!</v>
      </c>
      <c r="AB30" s="542"/>
      <c r="AC30" s="897"/>
      <c r="AD30" s="916"/>
      <c r="AE30" s="920"/>
      <c r="AF30" s="1187">
        <f t="shared" ref="AF30" si="2">AD30*AE30/144</f>
        <v>0</v>
      </c>
      <c r="AG30" s="1176" t="str">
        <f>IFERROR(CONCATENATE("+",ROUND(MAX($U$31,IF($AG$19="Wind Loading",X27,Z27)),1)," / ",ROUND(MIN($V$31,IF($AG$19="Wind Loading",Y27,AA27)),1)),"")</f>
        <v/>
      </c>
      <c r="AH30" s="969" t="str">
        <f>IFERROR(CONCATENATE("+",ROUND(MAX($U$31,IF($AG$19="Wind Loading",X31,Z31)),1)," / ",ROUND(MIN($V$31,IF($AG$19="Wind Loading",Y31,AA31)),1)),"")</f>
        <v/>
      </c>
      <c r="AK30" s="77"/>
      <c r="AL30" s="542"/>
      <c r="AU30" s="948" t="s">
        <v>575</v>
      </c>
      <c r="AV30" s="938"/>
      <c r="AW30" s="938"/>
      <c r="AX30" s="938"/>
      <c r="AY30" s="938"/>
      <c r="AZ30" s="938"/>
      <c r="BA30" s="938"/>
      <c r="BB30" s="938"/>
      <c r="BC30" s="938"/>
      <c r="BD30" s="938"/>
      <c r="BE30" s="938"/>
      <c r="BF30" s="938"/>
      <c r="BG30" s="937" t="s">
        <v>576</v>
      </c>
      <c r="BH30" s="938"/>
      <c r="BI30" s="938"/>
      <c r="BJ30" s="938"/>
      <c r="BK30" s="938"/>
      <c r="BL30" s="938"/>
      <c r="BM30" s="938"/>
      <c r="BN30" s="938"/>
      <c r="BO30" s="938"/>
      <c r="BP30" s="938"/>
      <c r="BQ30" s="938"/>
      <c r="BR30" s="939"/>
      <c r="CA30" s="1032"/>
      <c r="CB30" s="1033"/>
      <c r="CC30" s="1033"/>
      <c r="CD30" s="1033"/>
      <c r="CE30" s="1033"/>
      <c r="CF30" s="1033"/>
      <c r="CG30" s="1033"/>
      <c r="CH30" s="1033"/>
      <c r="CI30" s="1033"/>
      <c r="CJ30" s="1033"/>
      <c r="CK30" s="1033"/>
      <c r="CL30" s="1033"/>
      <c r="CM30" s="1033"/>
      <c r="CN30" s="1033"/>
      <c r="CO30" s="1033"/>
      <c r="CP30" s="1033"/>
      <c r="CQ30" s="1033"/>
      <c r="CR30" s="1033"/>
      <c r="CS30" s="1033"/>
      <c r="CT30" s="1033"/>
      <c r="CU30" s="1033"/>
      <c r="CV30" s="1033"/>
      <c r="CW30" s="1033"/>
      <c r="CX30" s="1033"/>
      <c r="CY30" s="1033"/>
      <c r="CZ30" s="1033"/>
      <c r="DA30" s="1033"/>
      <c r="DB30" s="1033"/>
      <c r="DC30" s="1033"/>
      <c r="DD30" s="1034"/>
      <c r="DE30" s="1023"/>
      <c r="DF30" s="1024"/>
      <c r="DG30" s="1024"/>
      <c r="DH30" s="1024"/>
      <c r="DI30" s="1024"/>
      <c r="DJ30" s="1024"/>
      <c r="DK30" s="1024"/>
      <c r="DL30" s="1024"/>
      <c r="DM30" s="1024"/>
      <c r="DN30" s="1024"/>
      <c r="DO30" s="1024"/>
      <c r="DP30" s="1024"/>
      <c r="DQ30" s="1024"/>
      <c r="DR30" s="1024"/>
      <c r="DS30" s="1024"/>
      <c r="DT30" s="1024"/>
      <c r="DU30" s="1024"/>
      <c r="DV30" s="1024"/>
      <c r="DW30" s="1024"/>
      <c r="DX30" s="1024"/>
      <c r="DY30" s="1024"/>
      <c r="DZ30" s="1024"/>
      <c r="EA30" s="1024"/>
      <c r="EB30" s="1024"/>
      <c r="EC30" s="1024"/>
      <c r="ED30" s="1024"/>
      <c r="EE30" s="1024"/>
      <c r="EF30" s="1024"/>
      <c r="EG30" s="1024"/>
      <c r="EH30" s="1025"/>
    </row>
    <row r="31" spans="1:138" customFormat="1" ht="17.100000000000001" customHeight="1" thickBot="1" x14ac:dyDescent="0.3">
      <c r="A31" s="28"/>
      <c r="B31" s="651"/>
      <c r="C31" s="651"/>
      <c r="D31" s="651"/>
      <c r="E31" s="651"/>
      <c r="F31" s="651"/>
      <c r="G31" s="651"/>
      <c r="H31" s="651"/>
      <c r="I31" s="651"/>
      <c r="J31" s="651"/>
      <c r="K31" s="651"/>
      <c r="L31" s="871" t="str">
        <f>IF(AG19="Tornado Loading","Tornado Pressures Used Below","")</f>
        <v/>
      </c>
      <c r="M31" s="871"/>
      <c r="N31" s="871"/>
      <c r="O31" s="650"/>
      <c r="P31" s="1151" t="s">
        <v>585</v>
      </c>
      <c r="Q31" s="1152"/>
      <c r="R31" s="650"/>
      <c r="S31" s="650"/>
      <c r="U31" s="652">
        <v>10</v>
      </c>
      <c r="V31" s="653">
        <v>-10</v>
      </c>
      <c r="X31" s="859" t="e">
        <f>IF(E$11="ASCE 7-05",$U$26,$V$7)*$V$9*((IF($E$12&lt;60,-0.077*LN(MAX(MIN(500,AF30),10))+1.1737,IF($E$11="ASCE 7-22",-0.077*LN(MAX(MIN(500,AF30),20))+1.0798,-0.093*LN(MAX(MIN(500,AF30),20))+1.1776)))+$V$8)</f>
        <v>#N/A</v>
      </c>
      <c r="Y31" s="863" t="e">
        <f>IF(E$11="ASCE 7-05",$U$26,$V$7)*$V$9*(IF($E$12&lt;60,0.156*LN(MAX(MIN(500,AF30),10)) -1.7618,IF($E$11="ASCE 7-22", 0.2026*LN(MAX(MIN(500,AF30),20))-2.2638,0.2503*LN(MAX(MIN(500,AF30),20)) -2.5526))-$V$8)</f>
        <v>#N/A</v>
      </c>
      <c r="Z31" s="863" t="e">
        <f>$V$7*IF(E$12&lt;60,$V$13*($V$15*(-0.077*LN(MAX(MIN(500,AF30),10))+1.1737)-$V$17),$V$13*$V$15*((-0.077*LN(MAX(MIN(500,AF30),20))+1.0798)-$V$17))</f>
        <v>#VALUE!</v>
      </c>
      <c r="AA31" s="855" t="e">
        <f>$V$7*IF(E$12&lt;60,$V$13*($V$15*(0.156*LN(MAX(MIN(500,AF30),10)) -1.7618)-$V$16),$V$13*$V$15*((0.2026*LN(MAX(MIN(500,AF30),20))-2.2638)-$V$16))</f>
        <v>#VALUE!</v>
      </c>
      <c r="AB31" s="542"/>
      <c r="AC31" s="898"/>
      <c r="AD31" s="917"/>
      <c r="AE31" s="922"/>
      <c r="AF31" s="1189"/>
      <c r="AG31" s="1178"/>
      <c r="AH31" s="1184"/>
      <c r="AK31" s="77"/>
      <c r="AL31" s="542"/>
      <c r="AU31" s="949"/>
      <c r="AV31" s="941"/>
      <c r="AW31" s="941"/>
      <c r="AX31" s="941"/>
      <c r="AY31" s="941"/>
      <c r="AZ31" s="941"/>
      <c r="BA31" s="941"/>
      <c r="BB31" s="941"/>
      <c r="BC31" s="941"/>
      <c r="BD31" s="941"/>
      <c r="BE31" s="941"/>
      <c r="BF31" s="941"/>
      <c r="BG31" s="940"/>
      <c r="BH31" s="941"/>
      <c r="BI31" s="941"/>
      <c r="BJ31" s="941"/>
      <c r="BK31" s="941"/>
      <c r="BL31" s="941"/>
      <c r="BM31" s="941"/>
      <c r="BN31" s="941"/>
      <c r="BO31" s="941"/>
      <c r="BP31" s="941"/>
      <c r="BQ31" s="941"/>
      <c r="BR31" s="942"/>
      <c r="CA31" s="1032"/>
      <c r="CB31" s="1033"/>
      <c r="CC31" s="1033"/>
      <c r="CD31" s="1033"/>
      <c r="CE31" s="1033"/>
      <c r="CF31" s="1033"/>
      <c r="CG31" s="1033"/>
      <c r="CH31" s="1033"/>
      <c r="CI31" s="1033"/>
      <c r="CJ31" s="1033"/>
      <c r="CK31" s="1033"/>
      <c r="CL31" s="1033"/>
      <c r="CM31" s="1033"/>
      <c r="CN31" s="1033"/>
      <c r="CO31" s="1033"/>
      <c r="CP31" s="1033"/>
      <c r="CQ31" s="1033"/>
      <c r="CR31" s="1033"/>
      <c r="CS31" s="1033"/>
      <c r="CT31" s="1033"/>
      <c r="CU31" s="1033"/>
      <c r="CV31" s="1033"/>
      <c r="CW31" s="1033"/>
      <c r="CX31" s="1033"/>
      <c r="CY31" s="1033"/>
      <c r="CZ31" s="1033"/>
      <c r="DA31" s="1033"/>
      <c r="DB31" s="1033"/>
      <c r="DC31" s="1033"/>
      <c r="DD31" s="1034"/>
      <c r="DE31" s="1023"/>
      <c r="DF31" s="1024"/>
      <c r="DG31" s="1024"/>
      <c r="DH31" s="1024"/>
      <c r="DI31" s="1024"/>
      <c r="DJ31" s="1024"/>
      <c r="DK31" s="1024"/>
      <c r="DL31" s="1024"/>
      <c r="DM31" s="1024"/>
      <c r="DN31" s="1024"/>
      <c r="DO31" s="1024"/>
      <c r="DP31" s="1024"/>
      <c r="DQ31" s="1024"/>
      <c r="DR31" s="1024"/>
      <c r="DS31" s="1024"/>
      <c r="DT31" s="1024"/>
      <c r="DU31" s="1024"/>
      <c r="DV31" s="1024"/>
      <c r="DW31" s="1024"/>
      <c r="DX31" s="1024"/>
      <c r="DY31" s="1024"/>
      <c r="DZ31" s="1024"/>
      <c r="EA31" s="1024"/>
      <c r="EB31" s="1024"/>
      <c r="EC31" s="1024"/>
      <c r="ED31" s="1024"/>
      <c r="EE31" s="1024"/>
      <c r="EF31" s="1024"/>
      <c r="EG31" s="1024"/>
      <c r="EH31" s="1025"/>
    </row>
    <row r="32" spans="1:138" customFormat="1" ht="17.100000000000001" customHeight="1" thickBot="1" x14ac:dyDescent="0.3">
      <c r="A32" s="28"/>
      <c r="B32" s="650"/>
      <c r="C32" s="650"/>
      <c r="D32" s="650"/>
      <c r="E32" s="650"/>
      <c r="F32" s="650"/>
      <c r="G32" s="650"/>
      <c r="H32" s="650"/>
      <c r="I32" s="650"/>
      <c r="J32" s="650"/>
      <c r="K32" s="650"/>
      <c r="L32" s="871"/>
      <c r="M32" s="871"/>
      <c r="N32" s="871"/>
      <c r="O32" s="650"/>
      <c r="P32" s="1153"/>
      <c r="Q32" s="1154"/>
      <c r="R32" s="650"/>
      <c r="S32" s="650"/>
      <c r="U32" s="654"/>
      <c r="V32" s="654"/>
      <c r="W32" s="654"/>
      <c r="X32" s="654"/>
      <c r="Y32" s="654"/>
      <c r="Z32" s="654"/>
      <c r="AA32" s="654"/>
      <c r="AB32" s="542"/>
      <c r="AF32" s="77"/>
      <c r="AG32" s="77"/>
      <c r="AH32" s="77"/>
      <c r="AK32" s="77"/>
      <c r="AL32" s="542"/>
      <c r="AU32" s="949"/>
      <c r="AV32" s="941"/>
      <c r="AW32" s="941"/>
      <c r="AX32" s="941"/>
      <c r="AY32" s="941"/>
      <c r="AZ32" s="941"/>
      <c r="BA32" s="941"/>
      <c r="BB32" s="941"/>
      <c r="BC32" s="941"/>
      <c r="BD32" s="941"/>
      <c r="BE32" s="941"/>
      <c r="BF32" s="941"/>
      <c r="BG32" s="940"/>
      <c r="BH32" s="941"/>
      <c r="BI32" s="941"/>
      <c r="BJ32" s="941"/>
      <c r="BK32" s="941"/>
      <c r="BL32" s="941"/>
      <c r="BM32" s="941"/>
      <c r="BN32" s="941"/>
      <c r="BO32" s="941"/>
      <c r="BP32" s="941"/>
      <c r="BQ32" s="941"/>
      <c r="BR32" s="942"/>
      <c r="CA32" s="1032"/>
      <c r="CB32" s="1033"/>
      <c r="CC32" s="1033"/>
      <c r="CD32" s="1033"/>
      <c r="CE32" s="1033"/>
      <c r="CF32" s="1033"/>
      <c r="CG32" s="1033"/>
      <c r="CH32" s="1033"/>
      <c r="CI32" s="1033"/>
      <c r="CJ32" s="1033"/>
      <c r="CK32" s="1033"/>
      <c r="CL32" s="1033"/>
      <c r="CM32" s="1033"/>
      <c r="CN32" s="1033"/>
      <c r="CO32" s="1033"/>
      <c r="CP32" s="1033"/>
      <c r="CQ32" s="1033"/>
      <c r="CR32" s="1033"/>
      <c r="CS32" s="1033"/>
      <c r="CT32" s="1033"/>
      <c r="CU32" s="1033"/>
      <c r="CV32" s="1033"/>
      <c r="CW32" s="1033"/>
      <c r="CX32" s="1033"/>
      <c r="CY32" s="1033"/>
      <c r="CZ32" s="1033"/>
      <c r="DA32" s="1033"/>
      <c r="DB32" s="1033"/>
      <c r="DC32" s="1033"/>
      <c r="DD32" s="1034"/>
      <c r="DE32" s="1023"/>
      <c r="DF32" s="1024"/>
      <c r="DG32" s="1024"/>
      <c r="DH32" s="1024"/>
      <c r="DI32" s="1024"/>
      <c r="DJ32" s="1024"/>
      <c r="DK32" s="1024"/>
      <c r="DL32" s="1024"/>
      <c r="DM32" s="1024"/>
      <c r="DN32" s="1024"/>
      <c r="DO32" s="1024"/>
      <c r="DP32" s="1024"/>
      <c r="DQ32" s="1024"/>
      <c r="DR32" s="1024"/>
      <c r="DS32" s="1024"/>
      <c r="DT32" s="1024"/>
      <c r="DU32" s="1024"/>
      <c r="DV32" s="1024"/>
      <c r="DW32" s="1024"/>
      <c r="DX32" s="1024"/>
      <c r="DY32" s="1024"/>
      <c r="DZ32" s="1024"/>
      <c r="EA32" s="1024"/>
      <c r="EB32" s="1024"/>
      <c r="EC32" s="1024"/>
      <c r="ED32" s="1024"/>
      <c r="EE32" s="1024"/>
      <c r="EF32" s="1024"/>
      <c r="EG32" s="1024"/>
      <c r="EH32" s="1025"/>
    </row>
    <row r="33" spans="1:177" s="636" customFormat="1" ht="8.1" customHeight="1" thickBot="1" x14ac:dyDescent="0.3">
      <c r="A33" s="28"/>
      <c r="B33" s="1"/>
      <c r="C33" s="1"/>
      <c r="D33" s="1"/>
      <c r="E33" s="95"/>
      <c r="F33" s="95"/>
      <c r="G33" s="95"/>
      <c r="H33" s="95"/>
      <c r="I33" s="95"/>
      <c r="J33" s="95"/>
      <c r="K33" s="95"/>
      <c r="L33" s="95"/>
      <c r="M33" s="95"/>
      <c r="N33" s="95"/>
      <c r="O33" s="95"/>
      <c r="P33" s="95"/>
      <c r="Q33" s="95"/>
      <c r="U33" s="655"/>
      <c r="V33" s="95"/>
      <c r="W33" s="95"/>
      <c r="X33" s="95"/>
      <c r="Y33" s="95"/>
      <c r="Z33" s="95"/>
      <c r="AA33" s="95"/>
      <c r="AB33" s="95"/>
      <c r="AC33" s="95"/>
      <c r="AD33"/>
      <c r="AE33"/>
      <c r="AF33" s="77"/>
      <c r="AG33" s="77"/>
      <c r="AH33" s="77"/>
      <c r="AI33"/>
      <c r="AJ33"/>
      <c r="AK33" s="77"/>
      <c r="AL33" s="95"/>
      <c r="AM33"/>
      <c r="AN33"/>
      <c r="AO33"/>
      <c r="AP33"/>
      <c r="AQ33"/>
      <c r="AR33"/>
      <c r="AS33"/>
      <c r="AT33"/>
      <c r="AU33" s="950"/>
      <c r="AV33" s="944"/>
      <c r="AW33" s="944"/>
      <c r="AX33" s="944"/>
      <c r="AY33" s="944"/>
      <c r="AZ33" s="944"/>
      <c r="BA33" s="944"/>
      <c r="BB33" s="944"/>
      <c r="BC33" s="944"/>
      <c r="BD33" s="944"/>
      <c r="BE33" s="944"/>
      <c r="BF33" s="944"/>
      <c r="BG33" s="943"/>
      <c r="BH33" s="944"/>
      <c r="BI33" s="944"/>
      <c r="BJ33" s="944"/>
      <c r="BK33" s="944"/>
      <c r="BL33" s="944"/>
      <c r="BM33" s="944"/>
      <c r="BN33" s="944"/>
      <c r="BO33" s="944"/>
      <c r="BP33" s="944"/>
      <c r="BQ33" s="944"/>
      <c r="BR33" s="945"/>
      <c r="BS33"/>
      <c r="BT33"/>
      <c r="BU33"/>
      <c r="BV33"/>
      <c r="BW33"/>
      <c r="BX33"/>
      <c r="BY33"/>
      <c r="BZ33"/>
      <c r="CA33" s="1035"/>
      <c r="CB33" s="1036"/>
      <c r="CC33" s="1036"/>
      <c r="CD33" s="1036"/>
      <c r="CE33" s="1036"/>
      <c r="CF33" s="1036"/>
      <c r="CG33" s="1036"/>
      <c r="CH33" s="1036"/>
      <c r="CI33" s="1036"/>
      <c r="CJ33" s="1036"/>
      <c r="CK33" s="1036"/>
      <c r="CL33" s="1036"/>
      <c r="CM33" s="1036"/>
      <c r="CN33" s="1036"/>
      <c r="CO33" s="1036"/>
      <c r="CP33" s="1036"/>
      <c r="CQ33" s="1036"/>
      <c r="CR33" s="1036"/>
      <c r="CS33" s="1036"/>
      <c r="CT33" s="1036"/>
      <c r="CU33" s="1036"/>
      <c r="CV33" s="1036"/>
      <c r="CW33" s="1036"/>
      <c r="CX33" s="1036"/>
      <c r="CY33" s="1036"/>
      <c r="CZ33" s="1036"/>
      <c r="DA33" s="1036"/>
      <c r="DB33" s="1036"/>
      <c r="DC33" s="1036"/>
      <c r="DD33" s="1037"/>
      <c r="DE33" s="1026"/>
      <c r="DF33" s="1027"/>
      <c r="DG33" s="1027"/>
      <c r="DH33" s="1027"/>
      <c r="DI33" s="1027"/>
      <c r="DJ33" s="1027"/>
      <c r="DK33" s="1027"/>
      <c r="DL33" s="1027"/>
      <c r="DM33" s="1027"/>
      <c r="DN33" s="1027"/>
      <c r="DO33" s="1027"/>
      <c r="DP33" s="1027"/>
      <c r="DQ33" s="1027"/>
      <c r="DR33" s="1027"/>
      <c r="DS33" s="1027"/>
      <c r="DT33" s="1027"/>
      <c r="DU33" s="1027"/>
      <c r="DV33" s="1027"/>
      <c r="DW33" s="1027"/>
      <c r="DX33" s="1027"/>
      <c r="DY33" s="1027"/>
      <c r="DZ33" s="1027"/>
      <c r="EA33" s="1027"/>
      <c r="EB33" s="1027"/>
      <c r="EC33" s="1027"/>
      <c r="ED33" s="1027"/>
      <c r="EE33" s="1027"/>
      <c r="EF33" s="1027"/>
      <c r="EG33" s="1027"/>
      <c r="EH33" s="1028"/>
      <c r="FG33"/>
      <c r="FH33"/>
      <c r="FI33"/>
      <c r="FJ33"/>
      <c r="FK33"/>
      <c r="FL33"/>
      <c r="FM33"/>
      <c r="FN33"/>
      <c r="FO33"/>
      <c r="FP33"/>
      <c r="FQ33"/>
      <c r="FR33"/>
      <c r="FS33"/>
      <c r="FT33"/>
      <c r="FU33"/>
    </row>
    <row r="34" spans="1:177" ht="59.25" customHeight="1" thickTop="1" thickBot="1" x14ac:dyDescent="0.55000000000000004">
      <c r="A34" s="656"/>
      <c r="B34" s="1160" t="s">
        <v>408</v>
      </c>
      <c r="C34" s="1161"/>
      <c r="D34" s="1161"/>
      <c r="E34" s="1162" t="s">
        <v>47</v>
      </c>
      <c r="F34" s="1145"/>
      <c r="G34" s="1163"/>
      <c r="H34" s="657" t="s">
        <v>48</v>
      </c>
      <c r="I34" s="657" t="s">
        <v>49</v>
      </c>
      <c r="J34" s="1144" t="s">
        <v>596</v>
      </c>
      <c r="K34" s="1145"/>
      <c r="L34" s="658" t="s">
        <v>26</v>
      </c>
      <c r="M34" s="659" t="s">
        <v>27</v>
      </c>
      <c r="N34" s="660" t="s">
        <v>28</v>
      </c>
      <c r="O34" s="661" t="s">
        <v>1418</v>
      </c>
      <c r="P34" s="662" t="s">
        <v>35</v>
      </c>
      <c r="Q34" s="663" t="s">
        <v>36</v>
      </c>
      <c r="R34" s="664" t="s">
        <v>531</v>
      </c>
      <c r="S34" s="1139" t="s">
        <v>573</v>
      </c>
      <c r="T34" s="1140"/>
      <c r="U34" s="665" t="s">
        <v>34</v>
      </c>
      <c r="V34" s="666" t="s">
        <v>29</v>
      </c>
      <c r="W34" s="666" t="s">
        <v>1628</v>
      </c>
      <c r="X34" s="666" t="s">
        <v>30</v>
      </c>
      <c r="Y34" s="666" t="s">
        <v>31</v>
      </c>
      <c r="Z34" s="666" t="s">
        <v>32</v>
      </c>
      <c r="AA34" s="666" t="s">
        <v>33</v>
      </c>
      <c r="AB34" s="667" t="s">
        <v>423</v>
      </c>
      <c r="AC34" s="668" t="s">
        <v>569</v>
      </c>
      <c r="AD34" s="1174" t="s">
        <v>1388</v>
      </c>
      <c r="AE34" s="1175"/>
      <c r="AF34" s="1175"/>
      <c r="AG34" s="1175"/>
      <c r="AH34" s="1175"/>
      <c r="AI34" s="1106" t="s">
        <v>555</v>
      </c>
      <c r="AJ34" s="1107"/>
      <c r="AK34" s="669" t="s">
        <v>597</v>
      </c>
      <c r="AL34" s="670" t="s">
        <v>410</v>
      </c>
      <c r="AM34" s="671" t="s">
        <v>670</v>
      </c>
      <c r="AP34" s="672" t="s">
        <v>556</v>
      </c>
      <c r="AQ34" s="673" t="s">
        <v>557</v>
      </c>
      <c r="AR34" s="785" t="s">
        <v>1570</v>
      </c>
      <c r="AS34" s="786" t="s">
        <v>1571</v>
      </c>
      <c r="AT34" s="674" t="s">
        <v>805</v>
      </c>
      <c r="AU34" s="672" t="s">
        <v>559</v>
      </c>
      <c r="AV34" s="675" t="s">
        <v>560</v>
      </c>
      <c r="AW34" s="676" t="s">
        <v>559</v>
      </c>
      <c r="AX34" s="675" t="s">
        <v>561</v>
      </c>
      <c r="AY34" s="673" t="s">
        <v>559</v>
      </c>
      <c r="AZ34" s="675" t="s">
        <v>562</v>
      </c>
      <c r="BA34" s="673" t="s">
        <v>559</v>
      </c>
      <c r="BB34" s="677" t="s">
        <v>568</v>
      </c>
      <c r="BC34" s="678" t="s">
        <v>559</v>
      </c>
      <c r="BD34" s="677" t="s">
        <v>563</v>
      </c>
      <c r="BE34" s="678" t="s">
        <v>559</v>
      </c>
      <c r="BF34" s="677" t="s">
        <v>564</v>
      </c>
      <c r="BG34" s="678" t="s">
        <v>559</v>
      </c>
      <c r="BH34" s="675" t="s">
        <v>560</v>
      </c>
      <c r="BI34" s="676" t="s">
        <v>559</v>
      </c>
      <c r="BJ34" s="677" t="s">
        <v>561</v>
      </c>
      <c r="BK34" s="678" t="s">
        <v>559</v>
      </c>
      <c r="BL34" s="677" t="s">
        <v>562</v>
      </c>
      <c r="BM34" s="678" t="s">
        <v>559</v>
      </c>
      <c r="BN34" s="677" t="s">
        <v>568</v>
      </c>
      <c r="BO34" s="678" t="s">
        <v>559</v>
      </c>
      <c r="BP34" s="677" t="s">
        <v>563</v>
      </c>
      <c r="BQ34" s="678" t="s">
        <v>559</v>
      </c>
      <c r="BR34" s="679" t="s">
        <v>564</v>
      </c>
      <c r="BS34" s="680" t="s">
        <v>565</v>
      </c>
      <c r="BT34" s="679" t="s">
        <v>566</v>
      </c>
      <c r="BV34" s="681" t="s">
        <v>444</v>
      </c>
      <c r="BW34" s="681" t="s">
        <v>445</v>
      </c>
      <c r="BX34" s="682" t="s">
        <v>1531</v>
      </c>
      <c r="BY34" s="682" t="s">
        <v>1532</v>
      </c>
      <c r="BZ34" s="682" t="s">
        <v>446</v>
      </c>
      <c r="CA34" s="1105" t="s">
        <v>372</v>
      </c>
      <c r="CB34" s="1045"/>
      <c r="CC34" s="1045"/>
      <c r="CD34" s="1045"/>
      <c r="CE34" s="1045"/>
      <c r="CF34" s="1047" t="s">
        <v>38</v>
      </c>
      <c r="CG34" s="1047"/>
      <c r="CH34" s="1047"/>
      <c r="CI34" s="1047"/>
      <c r="CJ34" s="1047"/>
      <c r="CK34" s="1047" t="s">
        <v>183</v>
      </c>
      <c r="CL34" s="1047"/>
      <c r="CM34" s="1047"/>
      <c r="CN34" s="1047"/>
      <c r="CO34" s="1047"/>
      <c r="CP34" s="1047" t="s">
        <v>37</v>
      </c>
      <c r="CQ34" s="1047"/>
      <c r="CR34" s="1047"/>
      <c r="CS34" s="1047"/>
      <c r="CT34" s="1047"/>
      <c r="CU34" s="1047" t="s">
        <v>39</v>
      </c>
      <c r="CV34" s="1047"/>
      <c r="CW34" s="1047"/>
      <c r="CX34" s="1047"/>
      <c r="CY34" s="1047"/>
      <c r="CZ34" s="1047" t="s">
        <v>373</v>
      </c>
      <c r="DA34" s="1047"/>
      <c r="DB34" s="1047"/>
      <c r="DC34" s="1047"/>
      <c r="DD34" s="1104"/>
      <c r="DE34" s="1049" t="s">
        <v>372</v>
      </c>
      <c r="DF34" s="1047"/>
      <c r="DG34" s="1047"/>
      <c r="DH34" s="1047"/>
      <c r="DI34" s="1047"/>
      <c r="DJ34" s="1047" t="s">
        <v>38</v>
      </c>
      <c r="DK34" s="1047"/>
      <c r="DL34" s="1047"/>
      <c r="DM34" s="1047"/>
      <c r="DN34" s="1047"/>
      <c r="DO34" s="1047" t="s">
        <v>183</v>
      </c>
      <c r="DP34" s="1047"/>
      <c r="DQ34" s="1047"/>
      <c r="DR34" s="1047"/>
      <c r="DS34" s="1047"/>
      <c r="DT34" s="1047" t="s">
        <v>37</v>
      </c>
      <c r="DU34" s="1047"/>
      <c r="DV34" s="1047"/>
      <c r="DW34" s="1047"/>
      <c r="DX34" s="1047"/>
      <c r="DY34" s="1047" t="s">
        <v>39</v>
      </c>
      <c r="DZ34" s="1047"/>
      <c r="EA34" s="1047"/>
      <c r="EB34" s="1048"/>
      <c r="EC34" s="1048"/>
      <c r="ED34" s="1045" t="s">
        <v>373</v>
      </c>
      <c r="EE34" s="1045"/>
      <c r="EF34" s="1045"/>
      <c r="EG34" s="1045"/>
      <c r="EH34" s="1046"/>
    </row>
    <row r="35" spans="1:177" ht="15" customHeight="1" thickTop="1" x14ac:dyDescent="0.25">
      <c r="A35" s="1090"/>
      <c r="B35" s="931" t="s">
        <v>92</v>
      </c>
      <c r="C35" s="932"/>
      <c r="D35" s="933"/>
      <c r="E35" s="992"/>
      <c r="F35" s="993"/>
      <c r="G35" s="994"/>
      <c r="H35" s="1061"/>
      <c r="I35" s="1076"/>
      <c r="J35" s="906"/>
      <c r="K35" s="907"/>
      <c r="L35" s="1002">
        <f>$W$3</f>
        <v>4</v>
      </c>
      <c r="M35" s="923" t="str">
        <f>IFERROR(IF($AE$13="",IF($AG$19="Wind Loading",MIN($V$31,IF(E$11="ASCE 7-05",$U$26,$V$7)*$V$9*(IF($E$12&lt;60,0.0771*LN(MAX(MIN(500,O35),10)) -1.2737,IF($E$11="ASCE 7-22",0.0524*LN(MAX(MIN(500,O35),50))-1.0278,0.0614*LN(MAX(MIN(500,O35),20)) -1.0829))-$V$8)),$V$7*IF(E$12&lt;60,$V$13*($V$15*0.0771*LN(MAX(MIN(500,O35),10))-1.2737-$V$16),$V$13*$V$15*((0.0524*LN(MAX(MIN(500,O35),20))-1.0278)-$V$16))),-ABS($AE$13)),"")</f>
        <v/>
      </c>
      <c r="N35" s="1042" t="str">
        <f>IFERROR(IF($AE$15="",IF($AG$19="Wind Loading",MAX($U$31,IF(E$11="ASCE 7-05",$U$26,$V$7)*$V$9*((IF($E$12&lt;60,-0.077*LN(MAX(MIN(500,O35),10))+1.1737,IF($E$11="ASCE 7-22",-0.077*LN(MAX(MIN(500,O35),20))+1.0798,-0.093*LN(MAX(MIN(500,O35),20))+1.1776)))+$V$8)),$V$7*IF(E$12&lt;60,$V$13*($V$15*(-0.077*LN(MAX(MIN(500,O35),10))+1.1737)-$V$17),$V$13*$V$15*((-0.077*LN(MAX(MIN(500,O35),20))+1.0798)-$V$17))),ABS($AE$15)),"")</f>
        <v/>
      </c>
      <c r="O35" s="1017" t="str">
        <f>IF(BX42=0,"",IF(AG$14="Trapezoidal",BY42,BX42))</f>
        <v/>
      </c>
      <c r="P35" s="986"/>
      <c r="Q35" s="1014"/>
      <c r="R35" s="1012">
        <f>P35*Q35/8</f>
        <v>0</v>
      </c>
      <c r="S35" s="1004">
        <f>IF(5*(P35*Q35^3/(384*0.125))=0,0,5*(P35*Q35^3/(384*0.125)))</f>
        <v>0</v>
      </c>
      <c r="T35" s="1005"/>
      <c r="U35" s="877" t="e">
        <f ca="1">VLOOKUP(J39,INDIRECT(VLOOKUP(J35,FrameStrength,2,FALSE)),3,FALSE)</f>
        <v>#N/A</v>
      </c>
      <c r="V35" s="880">
        <f>(H35+I35)/2</f>
        <v>0</v>
      </c>
      <c r="W35" s="883" t="e">
        <f>MAX(-M35,N35)*O35</f>
        <v>#VALUE!</v>
      </c>
      <c r="X35" s="883">
        <f>IF(E35&gt;162,(E35/240+0.25),IF(AND(E35&lt;162,E35/175&lt;0.75),E35/175,0.75))</f>
        <v>0</v>
      </c>
      <c r="Y35" s="886">
        <f>IFERROR(IF(AG$14="Trapezoidal",BY43,BX43)+IF($E$17="4",(400*E35^3)/(48*X35),0),0)</f>
        <v>0</v>
      </c>
      <c r="Z35" s="886" t="e">
        <f>+($V35*MAX(-$M35,$N35)*$E35^2)/(144*8)+IF($E$17=4,(400*$E35)/4,0)</f>
        <v>#VALUE!</v>
      </c>
      <c r="AA35" s="886" t="e">
        <f ca="1">VLOOKUP(J39,INDIRECT(VLOOKUP(J35,FrameStrength,2,FALSE)),2,FALSE)</f>
        <v>#N/A</v>
      </c>
      <c r="AB35" s="1083" t="str">
        <f ca="1">IFERROR(Z35-AA35,"")</f>
        <v/>
      </c>
      <c r="AC35" s="1077" t="str">
        <f ca="1">IFERROR(Y35-U35,"")</f>
        <v/>
      </c>
      <c r="AD35" s="1100" t="str">
        <f>IFERROR(IF(LEFT(J39,2)="As",VLOOKUP(J39,EIMM,4,FALSE),VLOOKUP(J35,EIMM,4,FALSE)),IF(AND(ISNUMBER(SEARCH("Impervia",J35)),ISNUMBER(SEARCH("door",J39))),'New Lookup Cells'!AF$10,IF(ISNUMBER(SEARCH("Impervia",J35)),'New Lookup Cells'!AF$7,IF(AND(ISNUMBER(SEARCH("250",J35)),ISNUMBER(SEARCH("door",J39))),'New Lookup Cells'!AF$14,IF(ISNUMBER(SEARCH("250",J35)),'New Lookup Cells'!AF$13,"")))))</f>
        <v/>
      </c>
      <c r="AE35" s="1101"/>
      <c r="AF35" s="1050"/>
      <c r="AG35" s="1051"/>
      <c r="AH35" s="1051"/>
      <c r="AI35" s="1108"/>
      <c r="AJ35" s="1109"/>
      <c r="AK35" s="154" t="str">
        <f ca="1">IFERROR(VLOOKUP(AI35,OFFSET(INDIRECT(AQ35),0,1),2,FALSE),"")</f>
        <v/>
      </c>
      <c r="AL35" s="1038" t="str">
        <f>IFERROR(ROUND(SQRT(P35^2+(W35/2+IF($E$17=4,200,0))^2),0),"")</f>
        <v/>
      </c>
      <c r="AM35" s="342" t="s">
        <v>669</v>
      </c>
      <c r="AN35" t="str">
        <f ca="1">IF(BW35&gt;1,"Lighter Reinforcement Options Available","")</f>
        <v/>
      </c>
      <c r="AP35" s="122" t="str">
        <f>_xlfn.CONCAT(AR35,AS40)</f>
        <v/>
      </c>
      <c r="AQ35" s="683" t="str">
        <f>IFERROR(LEFT(AP35,LEN(AP35)-1),"")</f>
        <v/>
      </c>
      <c r="AR35" s="96" t="str">
        <f t="shared" ref="AR35:AR98" si="3">IFERROR(VLOOKUP(AF35,MullList,2,FALSE),"")</f>
        <v/>
      </c>
      <c r="AS35" s="96" t="str">
        <f>IF(COUNTIF(imp_1,AF35)=1,"imp_1",IF(COUNTIF(imp_2,AF35)=1,"imp_2",IF(COUNTIF(imp_3,AF35)=1,"imp_3",IF(COUNTIF(impdoor,AF35)=1,"impdoor",""))))</f>
        <v/>
      </c>
      <c r="AT35" s="684" t="str">
        <f>AL35</f>
        <v/>
      </c>
      <c r="AU35" s="685" t="e">
        <f ca="1">MATCH(AL35,INDIRECT(AP35),-1)</f>
        <v>#REF!</v>
      </c>
      <c r="AV35" s="686" t="str">
        <f ca="1">IFERROR(VLOOKUP(AU35,INDIRECT(AQ35),2,FALSE),"----")</f>
        <v>----</v>
      </c>
      <c r="AW35" s="685" t="e">
        <f ca="1">MATCH(AL35,INDIRECT(AP36),-1)</f>
        <v>#REF!</v>
      </c>
      <c r="AX35" s="686" t="str">
        <f ca="1">IFERROR(VLOOKUP(AW35,INDIRECT(AQ36),2,FALSE),"----")</f>
        <v>----</v>
      </c>
      <c r="AY35" s="685" t="e">
        <f ca="1">MATCH(AL35,INDIRECT(AP37),-1)</f>
        <v>#REF!</v>
      </c>
      <c r="AZ35" s="686" t="str">
        <f ca="1">IFERROR(VLOOKUP(AY35,INDIRECT(AQ37),2,FALSE),"----")</f>
        <v>----</v>
      </c>
      <c r="BA35" s="685" t="e">
        <f ca="1">MATCH(AL35,INDIRECT(AP38),-1)</f>
        <v>#REF!</v>
      </c>
      <c r="BB35" s="686" t="str">
        <f ca="1">IFERROR(VLOOKUP(BA35,INDIRECT(AQ38),2,FALSE),"----")</f>
        <v>----</v>
      </c>
      <c r="BC35" s="685" t="e">
        <f ca="1">MATCH(AL35,INDIRECT(AP39),-1)</f>
        <v>#REF!</v>
      </c>
      <c r="BD35" s="686" t="str">
        <f ca="1">IFERROR(VLOOKUP(BC35,INDIRECT(AQ39),2,FALSE),"----")</f>
        <v>----</v>
      </c>
      <c r="BE35" s="685" t="e">
        <f ca="1">MATCH(AL35,INDIRECT(AP40),-1)</f>
        <v>#REF!</v>
      </c>
      <c r="BF35" s="686" t="str">
        <f ca="1">IFERROR(VLOOKUP(BE35,INDIRECT(AQ40),2,FALSE),"----")</f>
        <v>----</v>
      </c>
      <c r="BG35" s="685" t="e">
        <f ca="1">MATCH(AL41,INDIRECT(AP41),-1)</f>
        <v>#REF!</v>
      </c>
      <c r="BH35" s="686" t="str">
        <f ca="1">IFERROR(VLOOKUP(BG35,INDIRECT(AQ41),2,FALSE),"----")</f>
        <v>----</v>
      </c>
      <c r="BI35" s="685" t="e">
        <f ca="1">MATCH(AL41,INDIRECT(AP42),-1)</f>
        <v>#REF!</v>
      </c>
      <c r="BJ35" s="686" t="str">
        <f ca="1">IFERROR(VLOOKUP(BI35,INDIRECT(AQ42),2,FALSE),"----")</f>
        <v>----</v>
      </c>
      <c r="BK35" s="685" t="e">
        <f ca="1">MATCH(AL41,INDIRECT(AP43),-1)</f>
        <v>#REF!</v>
      </c>
      <c r="BL35" s="686" t="str">
        <f ca="1">IFERROR(VLOOKUP(BK35,INDIRECT(AQ43),2,FALSE),"----")</f>
        <v>----</v>
      </c>
      <c r="BM35" s="685" t="e">
        <f ca="1">MATCH(AL41,INDIRECT(AP44),-1)</f>
        <v>#REF!</v>
      </c>
      <c r="BN35" s="686" t="str">
        <f ca="1">IFERROR(VLOOKUP(BM35,INDIRECT(AQ44),2,FALSE),"----")</f>
        <v>----</v>
      </c>
      <c r="BO35" s="685" t="e">
        <f ca="1">MATCH(AL41,INDIRECT(AP45),-1)</f>
        <v>#REF!</v>
      </c>
      <c r="BP35" s="686" t="str">
        <f ca="1">IFERROR(VLOOKUP(BO35,INDIRECT(AQ45),2,FALSE),"----")</f>
        <v>----</v>
      </c>
      <c r="BQ35" s="685" t="e">
        <f ca="1">MATCH(AL41,INDIRECT(AP46),-1)</f>
        <v>#REF!</v>
      </c>
      <c r="BR35" s="686" t="str">
        <f ca="1">IFERROR(VLOOKUP(BQ35,INDIRECT(AQ46),2,FALSE),"----")</f>
        <v>----</v>
      </c>
      <c r="BS35" s="687">
        <f>IF(AI35="",1,IF(COUNTIF(AV35:AV46,AI35)=0,2,1))</f>
        <v>1</v>
      </c>
      <c r="BT35" s="688">
        <f>IF(AP35="1",1,IF(AF35="",1,IF(AV35=".",2,1)))</f>
        <v>1</v>
      </c>
      <c r="BU35" s="689"/>
      <c r="BV35" s="155">
        <f ca="1">IF(COUNTIF(CE35:CE46,AF35)=0,IF(AF35&lt;&gt;"",0,1),1)</f>
        <v>1</v>
      </c>
      <c r="BW35" s="690">
        <f ca="1">IFERROR(MATCH(AF35,CE35:CE46,0),1)</f>
        <v>1</v>
      </c>
      <c r="BX35" s="769" t="str">
        <f>IFERROR(IF(LEFT(J39,2)="As",VLOOKUP(J39,EIMM,2,FALSE),IF(AND(ISNUMBER(SEARCH("Impervia",J35)),ISNUMBER(SEARCH("door",J39))),VLOOKUP("Impervia Door",EIMM,2,FALSE),IF(AND(ISNUMBER(SEARCH("250",J35)),ISNUMBER(SEARCH("door",J39))),VLOOKUP("250 Series Door",EIMM,2,FALSE),VLOOKUP(J35,EIMM,2,FALSE)))),"")</f>
        <v/>
      </c>
      <c r="BY35" s="769" t="str">
        <f ca="1">IFERROR(VLOOKUP(BX35,OFFSET(EIMM,0,1),2,FALSE),"")</f>
        <v/>
      </c>
      <c r="BZ35" s="1111" t="e">
        <f ca="1">IF((COUNTIF(INDIRECT(SUBSTITUTE(J35," ","_")),J39))=0,IF(J39="",1,0),1)</f>
        <v>#REF!</v>
      </c>
      <c r="CA35" s="691" t="e">
        <f ca="1">MATCH(AC35,INDIRECT(BX35),-1)</f>
        <v>#REF!</v>
      </c>
      <c r="CB35" s="4" t="e" cm="1">
        <f t="array" aca="1" ref="CB35" ca="1">IF(AND(INDEX(INDIRECT(BY35),CA35,4)&gt;=$AB35,INDEX(INDIRECT(BY35),CA35,5)&gt;=$S35,INDEX(INDIRECT(BY35),CA35,6)&gt;=$R35),1,0)</f>
        <v>#REF!</v>
      </c>
      <c r="CC35" s="4" t="e">
        <f ca="1">MATCH(1,OFFSET(CB35:CB46,$W$2,0,COUNT(CB35:CB46)-$W$2),0)</f>
        <v>#REF!</v>
      </c>
      <c r="CD35" s="4" t="e">
        <f ca="1">$W$2+CC35</f>
        <v>#REF!</v>
      </c>
      <c r="CE35" s="692" t="str" cm="1">
        <f t="array" aca="1" ref="CE35" ca="1">IFERROR(VLOOKUP(INDEX(CA35:CA46,CD35),INDIRECT(BY35),2,FALSE),"----")</f>
        <v>----</v>
      </c>
      <c r="CF35" s="691" t="e">
        <f ca="1">MATCH($AC35,SSEI,-1)</f>
        <v>#N/A</v>
      </c>
      <c r="CG35" s="4" t="e">
        <f ca="1">IF(AND(INDEX(SSM,CF35,4)&gt;=$AB35,INDEX(SSM,CF35,5)&gt;=$S35,INDEX(SSM,CF35,6)&gt;=$R35),1,0)</f>
        <v>#N/A</v>
      </c>
      <c r="CH35" s="4" t="e">
        <f ca="1">MATCH(1,OFFSET(CG35:CG46,$W$2,0,COUNT(CG35:CG46)-$W$2),0)</f>
        <v>#REF!</v>
      </c>
      <c r="CI35" s="4" t="e">
        <f ca="1">$W$2+CH35</f>
        <v>#REF!</v>
      </c>
      <c r="CJ35" s="692" t="str">
        <f ca="1">IFERROR(IF(AD36="Nested Steel Stud (wood infill)",VLOOKUP(INDEX(CF35:CF46,CI35),SSW,2,FALSE),VLOOKUP(INDEX(CF35:CF46,CI35),SSM,2,FALSE)),"----")</f>
        <v>----</v>
      </c>
      <c r="CK35" s="691" t="e">
        <f ca="1">MATCH($AC35,WSEI,-1)</f>
        <v>#N/A</v>
      </c>
      <c r="CL35" s="4" t="e">
        <f ca="1">IF(AND(INDEX(WSM,CK35,4)&gt;=$AB35,INDEX(WSM,CK35,5)&gt;=$S35,INDEX(WSM,CK35,6)&gt;=$R35),1,0)</f>
        <v>#N/A</v>
      </c>
      <c r="CM35" s="4" t="e">
        <f ca="1">MATCH(1,OFFSET(CL35:CL46,$W$2,0,COUNT(CL35:CL46)-$W$2),0)</f>
        <v>#REF!</v>
      </c>
      <c r="CN35" s="4" t="e">
        <f ca="1">$W$2+CM35</f>
        <v>#REF!</v>
      </c>
      <c r="CO35" s="692" t="str">
        <f ca="1">IFERROR(VLOOKUP(INDEX(CK35:CK46,CN35),WSM,2,FALSE),"----")</f>
        <v>----</v>
      </c>
      <c r="CP35" s="691" t="e">
        <f ca="1">MATCH($AC35,STEI,-1)</f>
        <v>#N/A</v>
      </c>
      <c r="CQ35" s="4" t="e">
        <f ca="1">IF(AND(INDEX(STM,CP35,4)&gt;=$AB35,INDEX(STM,CP35,5)&gt;=$S35,INDEX(STM,CP35,6)&gt;=$R35),1,0)</f>
        <v>#N/A</v>
      </c>
      <c r="CR35" s="4" t="e">
        <f ca="1">MATCH(1,OFFSET(CQ35:CQ46,$W$2,0,COUNT(CQ35:CQ46)-$W$2),0)</f>
        <v>#REF!</v>
      </c>
      <c r="CS35" s="4" t="e">
        <f ca="1">$W$2+CR35</f>
        <v>#REF!</v>
      </c>
      <c r="CT35" s="692" t="str">
        <f ca="1">IFERROR(VLOOKUP(INDEX(CP35:CP46,CS35),STM,2,FALSE),"----")</f>
        <v>----</v>
      </c>
      <c r="CU35" s="691" t="e">
        <f ca="1">MATCH($AC35,ELEI,-1)</f>
        <v>#N/A</v>
      </c>
      <c r="CV35" s="4" t="e">
        <f ca="1">IF(AND(INDEX(ELM,CU35,4)&gt;=$AB35,INDEX(ELM,CU35,5)&gt;=$S35,INDEX(ELM,CU35,6)&gt;=$R35),1,0)</f>
        <v>#N/A</v>
      </c>
      <c r="CW35" s="4" t="e">
        <f ca="1">MATCH(1,OFFSET(CV35:CV46,$W$2,0,COUNT(CV35:CV46)-$W$2),0)</f>
        <v>#REF!</v>
      </c>
      <c r="CX35" s="4" t="e">
        <f ca="1">$W$2+CW35</f>
        <v>#REF!</v>
      </c>
      <c r="CY35" s="692" t="str">
        <f ca="1">IFERROR(VLOOKUP(INDEX(CU35:CU46,CX35),ELM,2,FALSE),"----")</f>
        <v>----</v>
      </c>
      <c r="CZ35" s="691" t="e">
        <f ca="1">IF(LEFT($J35,7)="Clad Wo",MATCH($AC35,SPEIW,-1),MATCH($AC35,SPEI,-1))</f>
        <v>#N/A</v>
      </c>
      <c r="DA35" s="4" t="e">
        <f ca="1">IF(LEFT($J35,7)="Clad Wo",IF(AND(INDEX(SPPWS,CZ35,4)&gt;=$AB35,INDEX(SPPWS,CZ35,5)&gt;=$S35,INDEX(SPPWS,CZ35,6)&gt;=$R35),1,0),IF(AND(INDEX(SPM,CZ35,4)&gt;=$AB35,INDEX(SPM,CZ35,5)&gt;=$S35,INDEX(SPM,CZ35,6)&gt;=$R35),1,0))</f>
        <v>#N/A</v>
      </c>
      <c r="DB35" s="4" t="e">
        <f ca="1">MATCH(1,OFFSET(DA35:DA46,$W$2,0,COUNT(DA35:DA46)-$W$2),0)</f>
        <v>#REF!</v>
      </c>
      <c r="DC35" s="4" t="e">
        <f ca="1">$W$2+DB35</f>
        <v>#REF!</v>
      </c>
      <c r="DD35" s="693" t="str">
        <f ca="1">IF(LEFT($J35,7)="Clad Wo",IFERROR(VLOOKUP(INDEX(CZ35:CZ46,DC35),SPPWS,2,FALSE),"----"),IFERROR(VLOOKUP(INDEX(CZ35:CZ46,DC35),SPM,2,FALSE),"----"))</f>
        <v>----</v>
      </c>
      <c r="DE35" s="691" t="e">
        <f ca="1">MATCH(AC41,INDIRECT(BX35),-1)</f>
        <v>#REF!</v>
      </c>
      <c r="DF35" s="4" t="e" cm="1">
        <f t="array" aca="1" ref="DF35" ca="1">IF(AND(INDEX(INDIRECT(BY35),DE35,4)&gt;=$AB41,INDEX(INDIRECT(BY35),DE35,5)&gt;=$S35,INDEX(INDIRECT(BY35),DE35,6)&gt;=$R35),1,0)</f>
        <v>#REF!</v>
      </c>
      <c r="DG35" s="4" t="e">
        <f ca="1">MATCH(1,OFFSET(DF35:DF46,$W$2,0,COUNT(DF35:DF46)-$W$2),0)</f>
        <v>#REF!</v>
      </c>
      <c r="DH35" s="4" t="e">
        <f ca="1">$W$2+DG35</f>
        <v>#REF!</v>
      </c>
      <c r="DI35" s="692" t="str" cm="1">
        <f t="array" aca="1" ref="DI35" ca="1">IFERROR(VLOOKUP(INDEX(DE35:DE46,DH35),INDIRECT(BY35),2,FALSE),"----")</f>
        <v>----</v>
      </c>
      <c r="DJ35" s="691" t="e">
        <f ca="1">MATCH($AC41,SSEI,-1)</f>
        <v>#N/A</v>
      </c>
      <c r="DK35" s="4" t="e">
        <f ca="1">IF(AND(INDEX(SSM,DJ35,4)&gt;=$AB41,INDEX(SSM,DJ35,5)&gt;=$S35,INDEX(SSM,DJ35,6)&gt;=$R35),1,0)</f>
        <v>#N/A</v>
      </c>
      <c r="DL35" s="4" t="e">
        <f ca="1">MATCH(1,OFFSET(DK35:DK46,$W$2,0,COUNT(DK35:DK46)-$W$2),0)</f>
        <v>#REF!</v>
      </c>
      <c r="DM35" s="4" t="e">
        <f ca="1">$W$2+DL35</f>
        <v>#REF!</v>
      </c>
      <c r="DN35" s="692" t="str">
        <f ca="1">IFERROR(IF(AD42="Nested Steel Stud (wood infill)",VLOOKUP(INDEX(DJ35:DJ46,DM35),SSW,2,FALSE),VLOOKUP(INDEX(DJ35:DJ46,DM35),SSM,2,FALSE)),"----")</f>
        <v>----</v>
      </c>
      <c r="DO35" s="691" t="e">
        <f ca="1">MATCH($AC41,WSEI,-1)</f>
        <v>#N/A</v>
      </c>
      <c r="DP35" s="4" t="e">
        <f ca="1">IF(AND(INDEX(WSM,DO35,4)&gt;=$AB41,INDEX(WSM,DO35,5)&gt;=$S35,INDEX(WSM,DO35,6)&gt;=$R35),1,0)</f>
        <v>#N/A</v>
      </c>
      <c r="DQ35" s="4" t="e">
        <f ca="1">MATCH(1,OFFSET(DP35:DP46,$W$2,0,COUNT(DP35:DP46)-$W$2),0)</f>
        <v>#REF!</v>
      </c>
      <c r="DR35" s="4" t="e">
        <f ca="1">$W$2+DQ35</f>
        <v>#REF!</v>
      </c>
      <c r="DS35" s="692" t="str">
        <f ca="1">IFERROR(VLOOKUP(INDEX(DO35:DO46,DR35),WSM,2,FALSE),"----")</f>
        <v>----</v>
      </c>
      <c r="DT35" s="691" t="e">
        <f ca="1">MATCH($AC41,STEI,-1)</f>
        <v>#N/A</v>
      </c>
      <c r="DU35" s="4" t="e">
        <f ca="1">IF(AND(INDEX(STM,DT35,4)&gt;=$AB41,INDEX(STM,DT35,5)&gt;=$S35,INDEX(STM,DT35,6)&gt;=$R35),1,0)</f>
        <v>#N/A</v>
      </c>
      <c r="DV35" s="4" t="e">
        <f ca="1">MATCH(1,OFFSET(DU35:DU46,$W$2,0,COUNT(DU35:DU46)-$W$2),0)</f>
        <v>#REF!</v>
      </c>
      <c r="DW35" s="4" t="e">
        <f ca="1">$W$2+DV35</f>
        <v>#REF!</v>
      </c>
      <c r="DX35" s="692" t="str">
        <f ca="1">IFERROR(VLOOKUP(INDEX(DT35:DT46,DW35),STM,2,FALSE),"----")</f>
        <v>----</v>
      </c>
      <c r="DY35" s="691" t="e">
        <f ca="1">MATCH($AC41,ELEI,-1)</f>
        <v>#N/A</v>
      </c>
      <c r="DZ35" s="4" t="e">
        <f ca="1">IF(AND(INDEX(ELM,DY35,4)&gt;=$AB41,INDEX(ELM,DY35,5)&gt;=$S35,INDEX(ELM,DY35,6)&gt;=$R35),1,0)</f>
        <v>#N/A</v>
      </c>
      <c r="EA35" s="4" t="e">
        <f ca="1">MATCH(1,OFFSET(DZ35:DZ46,$W$2,0,COUNT(DZ35:DZ46)-$W$2),0)</f>
        <v>#REF!</v>
      </c>
      <c r="EB35" s="4" t="e">
        <f ca="1">EA35+$W$2</f>
        <v>#REF!</v>
      </c>
      <c r="EC35" s="692" t="str">
        <f ca="1">IFERROR(VLOOKUP(INDEX(DY35:DY46,EB35),ELM,2,FALSE),"----")</f>
        <v>----</v>
      </c>
      <c r="ED35" s="691" t="e">
        <f ca="1">IF(LEFT($J35,7)="Clad Wo",MATCH($AC41,SPEIW,-1),MATCH($AC41,SPEI,-1))</f>
        <v>#N/A</v>
      </c>
      <c r="EE35" s="4" t="e">
        <f ca="1">IF(LEFT($J35,7)="Clad Wo",IF(AND(INDEX(SPPWS,ED35,4)&gt;=$AB41,INDEX(SPPWS,ED35,5)&gt;=$S35,INDEX(SPPWS,ED35,6)&gt;=$R35),1,0),IF(AND(INDEX(SPM,ED35,4)&gt;=$AB41,INDEX(SPM,ED35,5)&gt;=$S35,INDEX(SPM,ED35,6)&gt;=$R35),1,0))</f>
        <v>#N/A</v>
      </c>
      <c r="EF35" s="4" t="e">
        <f ca="1">MATCH(1,OFFSET(EE35:EE46,$W$2,0,COUNT(EE35:EE46)-$W$2),0)</f>
        <v>#REF!</v>
      </c>
      <c r="EG35" s="4" t="e">
        <f ca="1">$W$2+EF35</f>
        <v>#REF!</v>
      </c>
      <c r="EH35" s="692" t="str">
        <f ca="1">IF(LEFT($J35,7)="Clad Wo",IFERROR(VLOOKUP(INDEX(ED35:ED46,EG35),SPPWS,2,FALSE),"----"),IFERROR(VLOOKUP(INDEX(ED35:ED46,EG35),SPM,2,FALSE),"----"))</f>
        <v>----</v>
      </c>
    </row>
    <row r="36" spans="1:177" ht="15" customHeight="1" x14ac:dyDescent="0.25">
      <c r="A36" s="1090"/>
      <c r="B36" s="925"/>
      <c r="C36" s="926"/>
      <c r="D36" s="927"/>
      <c r="E36" s="995"/>
      <c r="F36" s="996"/>
      <c r="G36" s="997"/>
      <c r="H36" s="1062"/>
      <c r="I36" s="990"/>
      <c r="J36" s="908"/>
      <c r="K36" s="909"/>
      <c r="L36" s="1002"/>
      <c r="M36" s="923"/>
      <c r="N36" s="1042"/>
      <c r="O36" s="1018"/>
      <c r="P36" s="987"/>
      <c r="Q36" s="1015"/>
      <c r="R36" s="1012"/>
      <c r="S36" s="1006"/>
      <c r="T36" s="1007"/>
      <c r="U36" s="878"/>
      <c r="V36" s="881"/>
      <c r="W36" s="884"/>
      <c r="X36" s="884"/>
      <c r="Y36" s="887"/>
      <c r="Z36" s="887"/>
      <c r="AA36" s="887"/>
      <c r="AB36" s="1081"/>
      <c r="AC36" s="1078"/>
      <c r="AD36" s="1102" t="s">
        <v>38</v>
      </c>
      <c r="AE36" s="1103"/>
      <c r="AF36" s="1052"/>
      <c r="AG36" s="1053"/>
      <c r="AH36" s="1053"/>
      <c r="AI36" s="1066"/>
      <c r="AJ36" s="1067"/>
      <c r="AK36" s="156" t="str">
        <f t="shared" ref="AK36:AK44" ca="1" si="4">IFERROR(VLOOKUP(AI36,OFFSET(INDIRECT(AQ36),0,1),2,FALSE),"")</f>
        <v/>
      </c>
      <c r="AL36" s="1039"/>
      <c r="AM36" s="343" t="str">
        <f ca="1">IFERROR(Q35/12*ROUND(VLOOKUP(AF36,OFFSET(SSM,0,1),6,FALSE),2),"")</f>
        <v/>
      </c>
      <c r="AN36" t="str">
        <f ca="1">IF(BW36&gt;1,"Lighter Reinforcement Options Available","")</f>
        <v/>
      </c>
      <c r="AP36" s="122" t="str">
        <f>_xlfn.CONCAT(AR36,AS40)</f>
        <v/>
      </c>
      <c r="AQ36" s="683" t="str">
        <f>IFERROR(LEFT(AP36,LEN(AP36)-1),"")</f>
        <v/>
      </c>
      <c r="AR36" s="96" t="str">
        <f t="shared" si="3"/>
        <v/>
      </c>
      <c r="AS36" s="96" t="str">
        <f>IF(COUNTIF(Vista_1,AF35)=1,"Vista_1",IF(COUNTIF(Vista_2,AF35)=1,"Vista_2",""))</f>
        <v/>
      </c>
      <c r="AT36" s="684" t="str">
        <f>AL35</f>
        <v/>
      </c>
      <c r="AU36" s="694" t="e">
        <f ca="1">AU35-1</f>
        <v>#REF!</v>
      </c>
      <c r="AV36" s="686" t="str">
        <f ca="1">IFERROR(VLOOKUP(AU36,INDIRECT(AQ35),2,FALSE),"----")</f>
        <v>----</v>
      </c>
      <c r="AW36" s="694" t="e">
        <f ca="1">AW35-1</f>
        <v>#REF!</v>
      </c>
      <c r="AX36" s="686" t="str">
        <f ca="1">IFERROR(VLOOKUP(AW36,INDIRECT(AQ36),2,FALSE),"----")</f>
        <v>----</v>
      </c>
      <c r="AY36" s="694" t="e">
        <f ca="1">AY35-1</f>
        <v>#REF!</v>
      </c>
      <c r="AZ36" s="686" t="str">
        <f ca="1">IFERROR(VLOOKUP(AY36,INDIRECT(AQ37),2,FALSE),"----")</f>
        <v>----</v>
      </c>
      <c r="BA36" s="694" t="e">
        <f ca="1">BA35-1</f>
        <v>#REF!</v>
      </c>
      <c r="BB36" s="686" t="str">
        <f ca="1">IFERROR(VLOOKUP(BA36,INDIRECT(AQ38),2,FALSE),"----")</f>
        <v>----</v>
      </c>
      <c r="BC36" s="694" t="e">
        <f ca="1">BC35-1</f>
        <v>#REF!</v>
      </c>
      <c r="BD36" s="686" t="str">
        <f ca="1">IFERROR(VLOOKUP(BC36,INDIRECT(AQ39),2,FALSE),"----")</f>
        <v>----</v>
      </c>
      <c r="BE36" s="694" t="e">
        <f ca="1">BE35-1</f>
        <v>#REF!</v>
      </c>
      <c r="BF36" s="686" t="str">
        <f ca="1">IFERROR(VLOOKUP(BE36,INDIRECT(AQ40),2,FALSE),"----")</f>
        <v>----</v>
      </c>
      <c r="BG36" s="694" t="e">
        <f ca="1">BG35-1</f>
        <v>#REF!</v>
      </c>
      <c r="BH36" s="686" t="str">
        <f ca="1">IFERROR(VLOOKUP(BG36,INDIRECT(AQ41),2,FALSE),"----")</f>
        <v>----</v>
      </c>
      <c r="BI36" s="694" t="e">
        <f ca="1">BI35-1</f>
        <v>#REF!</v>
      </c>
      <c r="BJ36" s="686" t="str">
        <f ca="1">IFERROR(VLOOKUP(BI36,INDIRECT(AQ42),2,FALSE),"----")</f>
        <v>----</v>
      </c>
      <c r="BK36" s="694" t="e">
        <f ca="1">BK35-1</f>
        <v>#REF!</v>
      </c>
      <c r="BL36" s="686" t="str">
        <f ca="1">IFERROR(VLOOKUP(BK36,INDIRECT(AQ43),2,FALSE),"----")</f>
        <v>----</v>
      </c>
      <c r="BM36" s="694" t="e">
        <f ca="1">BM35-1</f>
        <v>#REF!</v>
      </c>
      <c r="BN36" s="686" t="str">
        <f ca="1">IFERROR(VLOOKUP(BM36,INDIRECT(AQ44),2,FALSE),"----")</f>
        <v>----</v>
      </c>
      <c r="BO36" s="694" t="e">
        <f ca="1">BO35-1</f>
        <v>#REF!</v>
      </c>
      <c r="BP36" s="686" t="str">
        <f ca="1">IFERROR(VLOOKUP(BO36,INDIRECT(AQ45),2,FALSE),"----")</f>
        <v>----</v>
      </c>
      <c r="BQ36" s="694" t="e">
        <f ca="1">BQ35-1</f>
        <v>#REF!</v>
      </c>
      <c r="BR36" s="686" t="str">
        <f ca="1">IFERROR(VLOOKUP(BQ36,INDIRECT(AQ46),2,FALSE),"----")</f>
        <v>----</v>
      </c>
      <c r="BS36" s="695">
        <f>IF(AI36="",1,IF(COUNTIF(AX35:AX46,AI36)=0,2,1))</f>
        <v>1</v>
      </c>
      <c r="BT36" s="696">
        <f>IF(AF36="",1,IF(AX35=".",2,1))</f>
        <v>1</v>
      </c>
      <c r="BU36" s="689"/>
      <c r="BV36" s="155">
        <f ca="1">IF(COUNTIF(CJ35:CJ46,AF36)=0,IF(AF36&lt;&gt;"",0,1),1)</f>
        <v>1</v>
      </c>
      <c r="BW36" s="157">
        <f ca="1">IFERROR(MATCH(AF36,CJ35:CJ46,0),1)</f>
        <v>1</v>
      </c>
      <c r="BX36" s="769"/>
      <c r="BY36" s="769"/>
      <c r="BZ36" s="1112"/>
      <c r="CA36" s="691" t="e">
        <f ca="1">CA35-1</f>
        <v>#REF!</v>
      </c>
      <c r="CB36" s="4" t="e" cm="1">
        <f t="array" aca="1" ref="CB36" ca="1">IF(AND(INDEX(INDIRECT(BY35),CA36,4)&gt;=$AB35,INDEX(INDIRECT(BY35),CA36,5)&gt;=$S35,INDEX(INDIRECT(BY35),CA36,6)&gt;=$R35),1,0)</f>
        <v>#REF!</v>
      </c>
      <c r="CC36" s="4" t="e">
        <f ca="1">MATCH(1,OFFSET(CB35:CB46,CD35,0,COUNT(CB35:CB46)-CD35),0)</f>
        <v>#REF!</v>
      </c>
      <c r="CD36" s="4" t="e">
        <f ca="1">CD35+CC36</f>
        <v>#REF!</v>
      </c>
      <c r="CE36" s="692" t="str" cm="1">
        <f t="array" aca="1" ref="CE36" ca="1">IFERROR(VLOOKUP(INDEX(CA35:CA46,CD36),INDIRECT(BY35),2,FALSE),"----")</f>
        <v>----</v>
      </c>
      <c r="CF36" s="691" t="e">
        <f ca="1">CF35-1</f>
        <v>#N/A</v>
      </c>
      <c r="CG36" s="4" t="e">
        <f ca="1">IF(AND(INDEX(SSM,CF36,4)&gt;=$AB35,INDEX(SSM,CF36,5)&gt;=$S35,INDEX(SSM,CF36,6)&gt;=$R35),1,0)</f>
        <v>#N/A</v>
      </c>
      <c r="CH36" s="4" t="e">
        <f ca="1">MATCH(1,OFFSET(CG35:CG46,CI35,0,COUNT(CG35:CG46)-CI35),0)</f>
        <v>#REF!</v>
      </c>
      <c r="CI36" s="4" t="e">
        <f ca="1">CI35+CH36</f>
        <v>#REF!</v>
      </c>
      <c r="CJ36" s="692" t="str">
        <f ca="1">IFERROR(IF(AD36="Nested Steel Stud (wood infill)",VLOOKUP(INDEX(CF35:CF46,CI36),SSW,2,FALSE),VLOOKUP(INDEX(CF35:CF46,CI36),SSM,2,FALSE)),"----")</f>
        <v>----</v>
      </c>
      <c r="CK36" s="691" t="e">
        <f ca="1">CK35-1</f>
        <v>#N/A</v>
      </c>
      <c r="CL36" s="4" t="e">
        <f ca="1">IF(AND(INDEX(WSM,CK36,4)&gt;=$AB35,INDEX(WSM,CK36,5)&gt;=$S35,INDEX(WSM,CK36,6)&gt;=$R35),1,0)</f>
        <v>#N/A</v>
      </c>
      <c r="CM36" s="4" t="e">
        <f ca="1">MATCH(1,OFFSET(CL35:CL46,CN35,0,COUNT(CL35:CL46)-CN35),0)</f>
        <v>#REF!</v>
      </c>
      <c r="CN36" s="4" t="e">
        <f ca="1">CM36+CN35</f>
        <v>#REF!</v>
      </c>
      <c r="CO36" s="692" t="str">
        <f ca="1">IFERROR(VLOOKUP(INDEX(CK35:CK46,CN36),WSM,2,FALSE),"----")</f>
        <v>----</v>
      </c>
      <c r="CP36" s="691" t="e">
        <f ca="1">CP35-1</f>
        <v>#N/A</v>
      </c>
      <c r="CQ36" s="4" t="e">
        <f ca="1">IF(AND(INDEX(STM,CP36,4)&gt;=$AB35,INDEX(STM,CP36,5)&gt;=$S35,INDEX(STM,CP36,6)&gt;=$R35),1,0)</f>
        <v>#N/A</v>
      </c>
      <c r="CR36" s="4" t="e">
        <f ca="1">MATCH(1,OFFSET(CQ35:CQ46,CS35,0,COUNT(CQ35:CQ46)-CS35),0)</f>
        <v>#REF!</v>
      </c>
      <c r="CS36" s="4" t="e">
        <f ca="1">CR36+CS35</f>
        <v>#REF!</v>
      </c>
      <c r="CT36" s="692" t="str">
        <f ca="1">IFERROR(VLOOKUP(INDEX(CP35:CP46,CS36),STM,2,FALSE),"----")</f>
        <v>----</v>
      </c>
      <c r="CU36" s="691" t="e">
        <f ca="1">CU35-1</f>
        <v>#N/A</v>
      </c>
      <c r="CV36" s="4" t="e">
        <f ca="1">IF(AND(INDEX(ELM,CU36,4)&gt;=$AB35,INDEX(ELM,CU36,5)&gt;=$S35,INDEX(ELM,CU36,6)&gt;=$R35),1,0)</f>
        <v>#N/A</v>
      </c>
      <c r="CW36" s="4" t="e">
        <f ca="1">MATCH(1,OFFSET(CV35:CV46,CX35,0,COUNT(CV35:CV46)-CX35),0)</f>
        <v>#REF!</v>
      </c>
      <c r="CX36" s="4" t="e">
        <f ca="1">CW36+CX35</f>
        <v>#REF!</v>
      </c>
      <c r="CY36" s="692" t="str">
        <f ca="1">IFERROR(VLOOKUP(INDEX(CU35:CU46,CX36),ELM,2,FALSE),"----")</f>
        <v>----</v>
      </c>
      <c r="CZ36" s="691" t="e">
        <f ca="1">CZ35-1</f>
        <v>#N/A</v>
      </c>
      <c r="DA36" s="4" t="e">
        <f ca="1">IF(LEFT($J35,7)="Clad Wo",IF(AND(INDEX(SPPWS,CZ36,4)&gt;=$AB35,INDEX(SPPWS,CZ36,5)&gt;=$S35,INDEX(SPPWS,CZ36,6)&gt;=$R35),1,0),IF(AND(INDEX(SPM,CZ36,4)&gt;=$AB35,INDEX(SPM,CZ36,5)&gt;=$S35,INDEX(SPM,CZ36,6)&gt;=$R35),1,0))</f>
        <v>#N/A</v>
      </c>
      <c r="DB36" s="4" t="e">
        <f ca="1">MATCH(1,OFFSET(DA35:DA46,DC35,0,COUNT(DA35:DA46)-DC35),0)</f>
        <v>#REF!</v>
      </c>
      <c r="DC36" s="4" t="e">
        <f ca="1">DC35+DB36</f>
        <v>#REF!</v>
      </c>
      <c r="DD36" s="693" t="str">
        <f ca="1">IF(LEFT($J35,7)="Clad Wo",IFERROR(VLOOKUP(INDEX(CZ35:CZ46,DC36),SPPWS,2,FALSE),"----"),IFERROR(VLOOKUP(INDEX(CZ35:CZ46,DC36),SPM,2,FALSE),"----"))</f>
        <v>----</v>
      </c>
      <c r="DE36" s="691" t="e">
        <f ca="1">DE35-1</f>
        <v>#REF!</v>
      </c>
      <c r="DF36" s="4" t="e" cm="1">
        <f t="array" aca="1" ref="DF36" ca="1">IF(AND(INDEX(INDIRECT(BY35),DE36,4)&gt;=$AB41,INDEX(INDIRECT(BY35),DE36,5)&gt;=$S35,INDEX(INDIRECT(BY35),DE36,6)&gt;=$R35),1,0)</f>
        <v>#REF!</v>
      </c>
      <c r="DG36" s="4" t="e">
        <f ca="1">MATCH(1,OFFSET(DF35:DF46,DH35,0,COUNT(DF35:DF46)-DH35),0)</f>
        <v>#REF!</v>
      </c>
      <c r="DH36" s="4" t="e">
        <f ca="1">DH35+DG36</f>
        <v>#REF!</v>
      </c>
      <c r="DI36" s="692" t="str" cm="1">
        <f t="array" aca="1" ref="DI36" ca="1">IFERROR(VLOOKUP(INDEX(DE35:DE46,DH36),INDIRECT(BY35),2,FALSE),"----")</f>
        <v>----</v>
      </c>
      <c r="DJ36" s="691" t="e">
        <f ca="1">DJ35-1</f>
        <v>#N/A</v>
      </c>
      <c r="DK36" s="4" t="e">
        <f ca="1">IF(AND(INDEX(SSM,DJ36,4)&gt;=$AB41,INDEX(SSM,DJ36,5)&gt;=$S35,INDEX(SSM,DJ36,6)&gt;=$R35),1,0)</f>
        <v>#N/A</v>
      </c>
      <c r="DL36" s="4" t="e">
        <f ca="1">MATCH(1,OFFSET(DK35:DK46,DM35,0,COUNT(DK35:DK46)-DM35),0)</f>
        <v>#REF!</v>
      </c>
      <c r="DM36" s="4" t="e">
        <f ca="1">DL36+DM35</f>
        <v>#REF!</v>
      </c>
      <c r="DN36" s="692" t="str">
        <f ca="1">IFERROR(IF(AD42="Nested Steel Stud (wood infill)",VLOOKUP(INDEX(DJ35:DJ46,DM36),SSW,2,FALSE),VLOOKUP(INDEX(DJ35:DJ46,DM36),SSM,2,FALSE)),"----")</f>
        <v>----</v>
      </c>
      <c r="DO36" s="691" t="e">
        <f ca="1">DO35-1</f>
        <v>#N/A</v>
      </c>
      <c r="DP36" s="4" t="e">
        <f ca="1">IF(AND(INDEX(WSM,DO36,4)&gt;=$AB41,INDEX(WSM,DO36,5)&gt;=$S35,INDEX(WSM,DO36,6)&gt;=$R35),1,0)</f>
        <v>#N/A</v>
      </c>
      <c r="DQ36" s="4" t="e">
        <f ca="1">MATCH(1,OFFSET(DP35:DP46,DR35,0,COUNT(DP35:DP46)-DR35),0)</f>
        <v>#REF!</v>
      </c>
      <c r="DR36" s="4" t="e">
        <f ca="1">DQ36+DR35</f>
        <v>#REF!</v>
      </c>
      <c r="DS36" s="692" t="str">
        <f ca="1">IFERROR(VLOOKUP(INDEX(DO35:DO46,DR36),WSM,2,FALSE),"----")</f>
        <v>----</v>
      </c>
      <c r="DT36" s="691" t="e">
        <f ca="1">DT35-1</f>
        <v>#N/A</v>
      </c>
      <c r="DU36" s="4" t="e">
        <f ca="1">IF(AND(INDEX(STM,DT36,4)&gt;=$AB41,INDEX(STM,DT36,5)&gt;=$S35,INDEX(STM,DT36,6)&gt;=$R35),1,0)</f>
        <v>#N/A</v>
      </c>
      <c r="DV36" s="4" t="e">
        <f ca="1">MATCH(1,OFFSET(DU35:DU46,DW35,0,COUNT(DU35:DU46)-DW35),0)</f>
        <v>#REF!</v>
      </c>
      <c r="DW36" s="4" t="e">
        <f ca="1">DV36+DW35</f>
        <v>#REF!</v>
      </c>
      <c r="DX36" s="692" t="str">
        <f ca="1">IFERROR(VLOOKUP(INDEX(DT35:DT46,DW36),STM,2,FALSE),"----")</f>
        <v>----</v>
      </c>
      <c r="DY36" s="691" t="e">
        <f ca="1">DY35-1</f>
        <v>#N/A</v>
      </c>
      <c r="DZ36" s="4" t="e">
        <f ca="1">IF(AND(INDEX(ELM,DY36,4)&gt;=$AB41,INDEX(ELM,DY36,5)&gt;=$S35,INDEX(ELM,DY36,6)&gt;=$R35),1,0)</f>
        <v>#N/A</v>
      </c>
      <c r="EA36" s="4" t="e">
        <f ca="1">MATCH(1,OFFSET(DZ35:DZ46,EB35,0,COUNT(DZ35:DZ46)-EB35),0)</f>
        <v>#REF!</v>
      </c>
      <c r="EB36" s="4" t="e">
        <f ca="1">EA36+EB35</f>
        <v>#REF!</v>
      </c>
      <c r="EC36" s="692" t="str">
        <f ca="1">IFERROR(VLOOKUP(INDEX(DY35:DY46,EB36),ELM,2,FALSE),"----")</f>
        <v>----</v>
      </c>
      <c r="ED36" s="691" t="e">
        <f ca="1">ED35-1</f>
        <v>#N/A</v>
      </c>
      <c r="EE36" s="4" t="e">
        <f ca="1">IF(LEFT($J35,7)="Clad Wo",IF(AND(INDEX(SPPWS,ED36,4)&gt;=$AB41,INDEX(SPPWS,ED36,5)&gt;=$S35,INDEX(SPPWS,ED36,6)&gt;=$R35),1,0),IF(AND(INDEX(SPM,ED36,4)&gt;=$AB41,INDEX(SPM,ED36,5)&gt;=$S35,INDEX(SPM,ED36,6)&gt;=$R35),1,0))</f>
        <v>#N/A</v>
      </c>
      <c r="EF36" s="4" t="e">
        <f ca="1">MATCH(1,OFFSET(EE35:EE46,EG35,0,COUNT(EE35:EE46)-EG35),0)</f>
        <v>#REF!</v>
      </c>
      <c r="EG36" s="4" t="e">
        <f ca="1">EG35+EF36</f>
        <v>#REF!</v>
      </c>
      <c r="EH36" s="692" t="str">
        <f ca="1">IF(LEFT($J35,7)="Clad Wo",IFERROR(VLOOKUP(INDEX(ED35:ED46,EG36),SPPWS,2,FALSE),"----"),IFERROR(VLOOKUP(INDEX(ED35:ED46,EG36),SPM,2,FALSE),"----"))</f>
        <v>----</v>
      </c>
    </row>
    <row r="37" spans="1:177" ht="15" customHeight="1" x14ac:dyDescent="0.25">
      <c r="A37" s="1090"/>
      <c r="B37" s="925"/>
      <c r="C37" s="926"/>
      <c r="D37" s="927"/>
      <c r="E37" s="995"/>
      <c r="F37" s="996"/>
      <c r="G37" s="997"/>
      <c r="H37" s="1062"/>
      <c r="I37" s="990"/>
      <c r="J37" s="908"/>
      <c r="K37" s="909"/>
      <c r="L37" s="1002"/>
      <c r="M37" s="923"/>
      <c r="N37" s="1042"/>
      <c r="O37" s="1018"/>
      <c r="P37" s="987"/>
      <c r="Q37" s="1015"/>
      <c r="R37" s="1012"/>
      <c r="S37" s="1006"/>
      <c r="T37" s="1007"/>
      <c r="U37" s="878"/>
      <c r="V37" s="881"/>
      <c r="W37" s="884"/>
      <c r="X37" s="884"/>
      <c r="Y37" s="887"/>
      <c r="Z37" s="887"/>
      <c r="AA37" s="887"/>
      <c r="AB37" s="1081"/>
      <c r="AC37" s="1078"/>
      <c r="AD37" s="1070" t="s">
        <v>333</v>
      </c>
      <c r="AE37" s="1071"/>
      <c r="AF37" s="1052"/>
      <c r="AG37" s="1053"/>
      <c r="AH37" s="1053"/>
      <c r="AI37" s="1066"/>
      <c r="AJ37" s="1067"/>
      <c r="AK37" s="154" t="str">
        <f t="shared" ca="1" si="4"/>
        <v/>
      </c>
      <c r="AL37" s="1039"/>
      <c r="AM37" s="344" t="str">
        <f ca="1">IFERROR(Q35/12*ROUND(VLOOKUP(AF37,OFFSET(WSM,0,1),6,FALSE),2),"")</f>
        <v/>
      </c>
      <c r="AN37" t="str">
        <f t="shared" ref="AN37:AN100" ca="1" si="5">IF(BW37&gt;1,"Lighter Reinforcement Options Available","")</f>
        <v/>
      </c>
      <c r="AP37" s="122" t="str">
        <f>_xlfn.CONCAT(AR37,AS40)</f>
        <v/>
      </c>
      <c r="AQ37" s="683" t="str">
        <f>IFERROR(LEFT(AP37,LEN(AP37)-1),"")</f>
        <v/>
      </c>
      <c r="AR37" s="4" t="str">
        <f t="shared" si="3"/>
        <v/>
      </c>
      <c r="AS37" s="4"/>
      <c r="AT37" s="697" t="str">
        <f>AL35</f>
        <v/>
      </c>
      <c r="AU37" s="694" t="e">
        <f t="shared" ref="AU37:AU46" ca="1" si="6">AU36-1</f>
        <v>#REF!</v>
      </c>
      <c r="AV37" s="686" t="str">
        <f ca="1">IFERROR(VLOOKUP(AU37,INDIRECT(AQ35),2,FALSE),"----")</f>
        <v>----</v>
      </c>
      <c r="AW37" s="694" t="e">
        <f ca="1">AW36-1</f>
        <v>#REF!</v>
      </c>
      <c r="AX37" s="686" t="str">
        <f ca="1">IFERROR(VLOOKUP(AW37,INDIRECT(AQ36),2,FALSE),"----")</f>
        <v>----</v>
      </c>
      <c r="AY37" s="694" t="e">
        <f ca="1">AY36-1</f>
        <v>#REF!</v>
      </c>
      <c r="AZ37" s="686" t="str">
        <f ca="1">IFERROR(VLOOKUP(AY37,INDIRECT(AQ37),2,FALSE),"----")</f>
        <v>----</v>
      </c>
      <c r="BA37" s="694" t="e">
        <f ca="1">BA36-1</f>
        <v>#REF!</v>
      </c>
      <c r="BB37" s="686" t="str">
        <f ca="1">IFERROR(VLOOKUP(BA37,INDIRECT(AQ38),2,FALSE),"----")</f>
        <v>----</v>
      </c>
      <c r="BC37" s="694" t="e">
        <f ca="1">BC36-1</f>
        <v>#REF!</v>
      </c>
      <c r="BD37" s="686" t="str">
        <f ca="1">IFERROR(VLOOKUP(BC37,INDIRECT(AQ39),2,FALSE),"----")</f>
        <v>----</v>
      </c>
      <c r="BE37" s="694" t="e">
        <f t="shared" ref="BE37:BE46" ca="1" si="7">BE36-1</f>
        <v>#REF!</v>
      </c>
      <c r="BF37" s="686" t="str">
        <f ca="1">IFERROR(VLOOKUP(BE37,INDIRECT(AQ40),2,FALSE),"----")</f>
        <v>----</v>
      </c>
      <c r="BG37" s="694" t="e">
        <f t="shared" ref="BG37:BG46" ca="1" si="8">BG36-1</f>
        <v>#REF!</v>
      </c>
      <c r="BH37" s="686" t="str">
        <f ca="1">IFERROR(VLOOKUP(BG37,INDIRECT(AQ41),2,FALSE),"----")</f>
        <v>----</v>
      </c>
      <c r="BI37" s="694" t="e">
        <f ca="1">BI36-1</f>
        <v>#REF!</v>
      </c>
      <c r="BJ37" s="686" t="str">
        <f ca="1">IFERROR(VLOOKUP(BI37,INDIRECT(AQ42),2,FALSE),"----")</f>
        <v>----</v>
      </c>
      <c r="BK37" s="694" t="e">
        <f ca="1">BK36-1</f>
        <v>#REF!</v>
      </c>
      <c r="BL37" s="686" t="str">
        <f ca="1">IFERROR(VLOOKUP(BK37,INDIRECT(AQ43),2,FALSE),"----")</f>
        <v>----</v>
      </c>
      <c r="BM37" s="694" t="e">
        <f ca="1">BM36-1</f>
        <v>#REF!</v>
      </c>
      <c r="BN37" s="686" t="str">
        <f ca="1">IFERROR(VLOOKUP(BM37,INDIRECT(AQ44),2,FALSE),"----")</f>
        <v>----</v>
      </c>
      <c r="BO37" s="694" t="e">
        <f ca="1">BO36-1</f>
        <v>#REF!</v>
      </c>
      <c r="BP37" s="686" t="str">
        <f ca="1">IFERROR(VLOOKUP(BO37,INDIRECT(AQ45),2,FALSE),"----")</f>
        <v>----</v>
      </c>
      <c r="BQ37" s="694" t="e">
        <f t="shared" ref="BQ37:BQ46" ca="1" si="9">BQ36-1</f>
        <v>#REF!</v>
      </c>
      <c r="BR37" s="686" t="str">
        <f ca="1">IFERROR(VLOOKUP(BQ37,INDIRECT(AQ46),2,FALSE),"----")</f>
        <v>----</v>
      </c>
      <c r="BS37" s="695">
        <f>IF(AI37="",1,IF(COUNTIF(AZ35:AZ46,AI37)=0,2,1))</f>
        <v>1</v>
      </c>
      <c r="BT37" s="696">
        <f>IF(AF37="",1,IF(AZ35=".",2,1))</f>
        <v>1</v>
      </c>
      <c r="BU37" s="689"/>
      <c r="BV37" s="155">
        <f ca="1">IF(COUNTIF(CO35:CO46,AF37)=0,IF(AF37&lt;&gt;"",0,1),1)</f>
        <v>1</v>
      </c>
      <c r="BW37" s="157">
        <f ca="1">IFERROR(MATCH(AF37,CO35:CO46,0),1)</f>
        <v>1</v>
      </c>
      <c r="BX37" s="769"/>
      <c r="BY37" s="769"/>
      <c r="BZ37" s="1112"/>
      <c r="CA37" s="691" t="e">
        <f t="shared" ref="CA37:CA46" ca="1" si="10">CA36-1</f>
        <v>#REF!</v>
      </c>
      <c r="CB37" s="4" t="e" cm="1">
        <f t="array" aca="1" ref="CB37" ca="1">IF(AND(INDEX(INDIRECT(BY35),CA37,4)&gt;=$AB35,INDEX(INDIRECT(BY35),CA37,5)&gt;=$S35,INDEX(INDIRECT(BY35),CA37,6)&gt;=$R35),1,0)</f>
        <v>#REF!</v>
      </c>
      <c r="CC37" s="4" t="e">
        <f ca="1">MATCH(1,OFFSET(CB35:CB46,CD36,0,COUNT(CB35:CB46)-CD36),0)</f>
        <v>#REF!</v>
      </c>
      <c r="CD37" s="4" t="e">
        <f t="shared" ref="CD37:CD46" ca="1" si="11">CD36+CC37</f>
        <v>#REF!</v>
      </c>
      <c r="CE37" s="692" t="str" cm="1">
        <f t="array" aca="1" ref="CE37" ca="1">IFERROR(VLOOKUP(INDEX(CA35:CA46,CD37),INDIRECT(BY35),2,FALSE),"----")</f>
        <v>----</v>
      </c>
      <c r="CF37" s="691" t="e">
        <f t="shared" ref="CF37:CF46" ca="1" si="12">CF36-1</f>
        <v>#N/A</v>
      </c>
      <c r="CG37" s="4" t="e">
        <f ca="1">IF(AND(INDEX(SSM,CF37,4)&gt;=$AB35,INDEX(SSM,CF37,5)&gt;=$S35,INDEX(SSM,CF37,6)&gt;=$R35),1,0)</f>
        <v>#N/A</v>
      </c>
      <c r="CH37" s="4" t="e">
        <f ca="1">MATCH(1,OFFSET(CG35:CG46,CI36,0,COUNT(CG35:CG46)-CI36),0)</f>
        <v>#REF!</v>
      </c>
      <c r="CI37" s="4" t="e">
        <f t="shared" ref="CI37:CI46" ca="1" si="13">CI36+CH37</f>
        <v>#REF!</v>
      </c>
      <c r="CJ37" s="692" t="str">
        <f ca="1">IFERROR(IF(AD36="Nested Steel Stud (wood infill)",VLOOKUP(INDEX(CF35:CF46,CI37),SSW,2,FALSE),VLOOKUP(INDEX(CF35:CF46,CI37),SSM,2,FALSE)),"----")</f>
        <v>----</v>
      </c>
      <c r="CK37" s="691" t="e">
        <f t="shared" ref="CK37:CK46" ca="1" si="14">CK36-1</f>
        <v>#N/A</v>
      </c>
      <c r="CL37" s="4" t="e">
        <f ca="1">IF(AND(INDEX(WSM,CK37,4)&gt;=$AB35,INDEX(WSM,CK37,5)&gt;=$S35,INDEX(WSM,CK37,6)&gt;=$R35),1,0)</f>
        <v>#N/A</v>
      </c>
      <c r="CM37" s="4" t="e">
        <f ca="1">MATCH(1,OFFSET(CL35:CL46,CN36,0,COUNT(CL35:CL46)-CN36),0)</f>
        <v>#REF!</v>
      </c>
      <c r="CN37" s="4" t="e">
        <f t="shared" ref="CN37:CN46" ca="1" si="15">CM37+CN36</f>
        <v>#REF!</v>
      </c>
      <c r="CO37" s="692" t="str">
        <f ca="1">IFERROR(VLOOKUP(INDEX(CK35:CK46,CN37),WSM,2,FALSE),"----")</f>
        <v>----</v>
      </c>
      <c r="CP37" s="691" t="e">
        <f t="shared" ref="CP37:CP46" ca="1" si="16">CP36-1</f>
        <v>#N/A</v>
      </c>
      <c r="CQ37" s="4" t="e">
        <f ca="1">IF(AND(INDEX(STM,CP37,4)&gt;=$AB35,INDEX(STM,CP37,5)&gt;=$S35,INDEX(STM,CP37,6)&gt;=$R35),1,0)</f>
        <v>#N/A</v>
      </c>
      <c r="CR37" s="4" t="e">
        <f ca="1">MATCH(1,OFFSET(CQ35:CQ46,CS36,0,COUNT(CQ35:CQ46)-CS36),0)</f>
        <v>#REF!</v>
      </c>
      <c r="CS37" s="4" t="e">
        <f t="shared" ref="CS37:CS46" ca="1" si="17">CR37+CS36</f>
        <v>#REF!</v>
      </c>
      <c r="CT37" s="692" t="str">
        <f ca="1">IFERROR(VLOOKUP(INDEX(CP35:CP46,CS37),STM,2,FALSE),"----")</f>
        <v>----</v>
      </c>
      <c r="CU37" s="691" t="e">
        <f t="shared" ref="CU37:CU46" ca="1" si="18">CU36-1</f>
        <v>#N/A</v>
      </c>
      <c r="CV37" s="4" t="e">
        <f ca="1">IF(AND(INDEX(ELM,CU37,4)&gt;=$AB35,INDEX(ELM,CU37,5)&gt;=$S35,INDEX(ELM,CU37,6)&gt;=$R35),1,0)</f>
        <v>#N/A</v>
      </c>
      <c r="CW37" s="4" t="e">
        <f ca="1">MATCH(1,OFFSET(CV35:CV46,CX36,0,COUNT(CV35:CV46)-CX36),0)</f>
        <v>#REF!</v>
      </c>
      <c r="CX37" s="4" t="e">
        <f t="shared" ref="CX37:CX46" ca="1" si="19">CW37+CX36</f>
        <v>#REF!</v>
      </c>
      <c r="CY37" s="692" t="str">
        <f ca="1">IFERROR(VLOOKUP(INDEX(CU35:CU46,CX37),ELM,2,FALSE),"----")</f>
        <v>----</v>
      </c>
      <c r="CZ37" s="691" t="e">
        <f t="shared" ref="CZ37:CZ46" ca="1" si="20">CZ36-1</f>
        <v>#N/A</v>
      </c>
      <c r="DA37" s="4" t="e">
        <f ca="1">IF(LEFT($J35,7)="Clad Wo",IF(AND(INDEX(SPPWS,CZ37,4)&gt;=$AB35,INDEX(SPPWS,CZ37,5)&gt;=$S35,INDEX(SPPWS,CZ37,6)&gt;=$R35),1,0),IF(AND(INDEX(SPM,CZ37,4)&gt;=$AB35,INDEX(SPM,CZ37,5)&gt;=$S35,INDEX(SPM,CZ37,6)&gt;=$R35),1,0))</f>
        <v>#N/A</v>
      </c>
      <c r="DB37" s="4" t="e">
        <f ca="1">MATCH(1,OFFSET(DA35:DA46,DC36,0,COUNT(DA35:DA46)-DC36),0)</f>
        <v>#REF!</v>
      </c>
      <c r="DC37" s="4" t="e">
        <f t="shared" ref="DC37:DC46" ca="1" si="21">DC36+DB37</f>
        <v>#REF!</v>
      </c>
      <c r="DD37" s="693" t="str">
        <f ca="1">IF(LEFT($J35,7)="Clad Wo",IFERROR(VLOOKUP(INDEX(CZ35:CZ46,DC37),SPPWS,2,FALSE),"----"),IFERROR(VLOOKUP(INDEX(CZ35:CZ46,DC37),SPM,2,FALSE),"----"))</f>
        <v>----</v>
      </c>
      <c r="DE37" s="691" t="e">
        <f t="shared" ref="DE37:DE46" ca="1" si="22">DE36-1</f>
        <v>#REF!</v>
      </c>
      <c r="DF37" s="4" t="e" cm="1">
        <f t="array" aca="1" ref="DF37" ca="1">IF(AND(INDEX(INDIRECT(BY35),DE37,4)&gt;=$AB41,INDEX(INDIRECT(BY35),DE37,5)&gt;=$S35,INDEX(INDIRECT(BY35),DE37,6)&gt;=$R35),1,0)</f>
        <v>#REF!</v>
      </c>
      <c r="DG37" s="4" t="e">
        <f ca="1">MATCH(1,OFFSET(DF35:DF46,DH36,0,COUNT(DF35:DF46)-DH36),0)</f>
        <v>#REF!</v>
      </c>
      <c r="DH37" s="4" t="e">
        <f t="shared" ref="DH37:DH46" ca="1" si="23">DH36+DG37</f>
        <v>#REF!</v>
      </c>
      <c r="DI37" s="692" t="str" cm="1">
        <f t="array" aca="1" ref="DI37" ca="1">IFERROR(VLOOKUP(INDEX(DE35:DE46,DH37),INDIRECT(BY35),2,FALSE),"----")</f>
        <v>----</v>
      </c>
      <c r="DJ37" s="691" t="e">
        <f t="shared" ref="DJ37:DJ46" ca="1" si="24">DJ36-1</f>
        <v>#N/A</v>
      </c>
      <c r="DK37" s="4" t="e">
        <f ca="1">IF(AND(INDEX(SSM,DJ37,4)&gt;=$AB41,INDEX(SSM,DJ37,5)&gt;=$S35,INDEX(SSM,DJ37,6)&gt;=$R35),1,0)</f>
        <v>#N/A</v>
      </c>
      <c r="DL37" s="4" t="e">
        <f ca="1">MATCH(1,OFFSET(DK35:DK46,DM36,0,COUNT(DK35:DK46)-DM36),0)</f>
        <v>#REF!</v>
      </c>
      <c r="DM37" s="4" t="e">
        <f t="shared" ref="DM37:DM46" ca="1" si="25">DL37+DM36</f>
        <v>#REF!</v>
      </c>
      <c r="DN37" s="692" t="str">
        <f ca="1">IFERROR(IF(AD42="Nested Steel Stud (wood infill)",VLOOKUP(INDEX(DJ35:DJ46,DM37),SSW,2,FALSE),VLOOKUP(INDEX(DJ35:DJ46,DM37),SSM,2,FALSE)),"----")</f>
        <v>----</v>
      </c>
      <c r="DO37" s="691" t="e">
        <f t="shared" ref="DO37:DO46" ca="1" si="26">DO36-1</f>
        <v>#N/A</v>
      </c>
      <c r="DP37" s="4" t="e">
        <f ca="1">IF(AND(INDEX(WSM,DO37,4)&gt;=$AB41,INDEX(WSM,DO37,5)&gt;=$S35,INDEX(WSM,DO37,6)&gt;=$R35),1,0)</f>
        <v>#N/A</v>
      </c>
      <c r="DQ37" s="4" t="e">
        <f ca="1">MATCH(1,OFFSET(DP35:DP46,DR36,0,COUNT(DP35:DP46)-DR36),0)</f>
        <v>#REF!</v>
      </c>
      <c r="DR37" s="4" t="e">
        <f t="shared" ref="DR37:DR46" ca="1" si="27">DQ37+DR36</f>
        <v>#REF!</v>
      </c>
      <c r="DS37" s="692" t="str">
        <f ca="1">IFERROR(VLOOKUP(INDEX(DO35:DO46,DR37),WSM,2,FALSE),"----")</f>
        <v>----</v>
      </c>
      <c r="DT37" s="691" t="e">
        <f t="shared" ref="DT37:DT46" ca="1" si="28">DT36-1</f>
        <v>#N/A</v>
      </c>
      <c r="DU37" s="4" t="e">
        <f ca="1">IF(AND(INDEX(STM,DT37,4)&gt;=$AB41,INDEX(STM,DT37,5)&gt;=$S35,INDEX(STM,DT37,6)&gt;=$R35),1,0)</f>
        <v>#N/A</v>
      </c>
      <c r="DV37" s="4" t="e">
        <f ca="1">MATCH(1,OFFSET(DU35:DU46,DW36,0,COUNT(DU35:DU46)-DW36),0)</f>
        <v>#REF!</v>
      </c>
      <c r="DW37" s="4" t="e">
        <f t="shared" ref="DW37:DW46" ca="1" si="29">DV37+DW36</f>
        <v>#REF!</v>
      </c>
      <c r="DX37" s="692" t="str">
        <f ca="1">IFERROR(VLOOKUP(INDEX(DT35:DT46,DW37),STM,2,FALSE),"----")</f>
        <v>----</v>
      </c>
      <c r="DY37" s="691" t="e">
        <f t="shared" ref="DY37:DY46" ca="1" si="30">DY36-1</f>
        <v>#N/A</v>
      </c>
      <c r="DZ37" s="4" t="e">
        <f ca="1">IF(AND(INDEX(ELM,DY37,4)&gt;=$AB41,INDEX(ELM,DY37,5)&gt;=$S35,INDEX(ELM,DY37,6)&gt;=$R35),1,0)</f>
        <v>#N/A</v>
      </c>
      <c r="EA37" s="4" t="e">
        <f ca="1">MATCH(1,OFFSET(DZ35:DZ46,EB36,0,COUNT(DZ35:DZ46)-EB36),0)</f>
        <v>#REF!</v>
      </c>
      <c r="EB37" s="4" t="e">
        <f t="shared" ref="EB37:EB46" ca="1" si="31">EA37+EB36</f>
        <v>#REF!</v>
      </c>
      <c r="EC37" s="692" t="str">
        <f ca="1">IFERROR(VLOOKUP(INDEX(DY35:DY46,EB37),ELM,2,FALSE),"----")</f>
        <v>----</v>
      </c>
      <c r="ED37" s="691" t="e">
        <f t="shared" ref="ED37:ED46" ca="1" si="32">ED36-1</f>
        <v>#N/A</v>
      </c>
      <c r="EE37" s="4" t="e">
        <f ca="1">IF(LEFT($J35,7)="Clad Wo",IF(AND(INDEX(SPPWS,ED37,4)&gt;=$AB41,INDEX(SPPWS,ED37,5)&gt;=$S35,INDEX(SPPWS,ED37,6)&gt;=$R35),1,0),IF(AND(INDEX(SPM,ED37,4)&gt;=$AB41,INDEX(SPM,ED37,5)&gt;=$S35,INDEX(SPM,ED37,6)&gt;=$R35),1,0))</f>
        <v>#N/A</v>
      </c>
      <c r="EF37" s="4" t="e">
        <f ca="1">MATCH(1,OFFSET(EE35:EE46,EG36,0,COUNT(EE35:EE46)-EG36),0)</f>
        <v>#REF!</v>
      </c>
      <c r="EG37" s="4" t="e">
        <f ca="1">EG36+EF37</f>
        <v>#REF!</v>
      </c>
      <c r="EH37" s="692" t="str">
        <f ca="1">IF(LEFT($J35,7)="Clad Wo",IFERROR(VLOOKUP(INDEX(ED35:ED46,EG37),SPPWS,2,FALSE),"----"),IFERROR(VLOOKUP(INDEX(ED35:ED46,EG37),SPM,2,FALSE),"----"))</f>
        <v>----</v>
      </c>
    </row>
    <row r="38" spans="1:177" ht="15" customHeight="1" x14ac:dyDescent="0.25">
      <c r="A38" s="1090"/>
      <c r="B38" s="925"/>
      <c r="C38" s="926"/>
      <c r="D38" s="927"/>
      <c r="E38" s="995"/>
      <c r="F38" s="996"/>
      <c r="G38" s="997"/>
      <c r="H38" s="1062"/>
      <c r="I38" s="990"/>
      <c r="J38" s="908"/>
      <c r="K38" s="909"/>
      <c r="L38" s="1002"/>
      <c r="M38" s="923"/>
      <c r="N38" s="1042"/>
      <c r="O38" s="1018"/>
      <c r="P38" s="987"/>
      <c r="Q38" s="1015"/>
      <c r="R38" s="1012"/>
      <c r="S38" s="1006"/>
      <c r="T38" s="1007"/>
      <c r="U38" s="878"/>
      <c r="V38" s="881"/>
      <c r="W38" s="884"/>
      <c r="X38" s="884"/>
      <c r="Y38" s="887"/>
      <c r="Z38" s="887"/>
      <c r="AA38" s="887"/>
      <c r="AB38" s="1081"/>
      <c r="AC38" s="1078"/>
      <c r="AD38" s="1070" t="s">
        <v>37</v>
      </c>
      <c r="AE38" s="1071"/>
      <c r="AF38" s="1052"/>
      <c r="AG38" s="1053"/>
      <c r="AH38" s="1053"/>
      <c r="AI38" s="1066"/>
      <c r="AJ38" s="1067"/>
      <c r="AK38" s="156" t="str">
        <f t="shared" ca="1" si="4"/>
        <v/>
      </c>
      <c r="AL38" s="1039"/>
      <c r="AM38" s="343" t="str">
        <f ca="1">IFERROR(Q35/12*ROUND(VLOOKUP(AF38,OFFSET(STM,0,1),6,FALSE),2),"")</f>
        <v/>
      </c>
      <c r="AN38" t="str">
        <f t="shared" ca="1" si="5"/>
        <v/>
      </c>
      <c r="AP38" s="122" t="str">
        <f>_xlfn.CONCAT(AR38,AS40)</f>
        <v/>
      </c>
      <c r="AQ38" s="683" t="str">
        <f>IFERROR(LEFT(AP38,LEN(AP38)-1),"")</f>
        <v/>
      </c>
      <c r="AR38" s="4" t="str">
        <f t="shared" si="3"/>
        <v/>
      </c>
      <c r="AS38" s="4"/>
      <c r="AT38" s="697" t="str">
        <f>AL35</f>
        <v/>
      </c>
      <c r="AU38" s="694" t="e">
        <f t="shared" ca="1" si="6"/>
        <v>#REF!</v>
      </c>
      <c r="AV38" s="686" t="str">
        <f ca="1">IFERROR(VLOOKUP(AU38,INDIRECT(AQ35),2,FALSE),"----")</f>
        <v>----</v>
      </c>
      <c r="AW38" s="694" t="e">
        <f t="shared" ref="AW38:AW46" ca="1" si="33">AW37-1</f>
        <v>#REF!</v>
      </c>
      <c r="AX38" s="686" t="str">
        <f ca="1">IFERROR(VLOOKUP(AW38,INDIRECT(AQ36),2,FALSE),"----")</f>
        <v>----</v>
      </c>
      <c r="AY38" s="694" t="e">
        <f t="shared" ref="AY38:BA40" ca="1" si="34">AY37-1</f>
        <v>#REF!</v>
      </c>
      <c r="AZ38" s="686" t="str">
        <f ca="1">IFERROR(VLOOKUP(AY38,INDIRECT(AQ37),2,FALSE),"----")</f>
        <v>----</v>
      </c>
      <c r="BA38" s="694" t="e">
        <f t="shared" ca="1" si="34"/>
        <v>#REF!</v>
      </c>
      <c r="BB38" s="686" t="str">
        <f ca="1">IFERROR(VLOOKUP(BA38,INDIRECT(AQ38),2,FALSE),"----")</f>
        <v>----</v>
      </c>
      <c r="BC38" s="694" t="e">
        <f t="shared" ref="BC38:BC46" ca="1" si="35">BC37-1</f>
        <v>#REF!</v>
      </c>
      <c r="BD38" s="686" t="str">
        <f ca="1">IFERROR(VLOOKUP(BC38,INDIRECT(AQ39),2,FALSE),"----")</f>
        <v>----</v>
      </c>
      <c r="BE38" s="694" t="e">
        <f t="shared" ca="1" si="7"/>
        <v>#REF!</v>
      </c>
      <c r="BF38" s="686" t="str">
        <f ca="1">IFERROR(VLOOKUP(BE38,INDIRECT(AQ40),2,FALSE),"----")</f>
        <v>----</v>
      </c>
      <c r="BG38" s="694" t="e">
        <f t="shared" ca="1" si="8"/>
        <v>#REF!</v>
      </c>
      <c r="BH38" s="686" t="str">
        <f ca="1">IFERROR(VLOOKUP(BG38,INDIRECT(AQ41),2,FALSE),"----")</f>
        <v>----</v>
      </c>
      <c r="BI38" s="694" t="e">
        <f t="shared" ref="BI38:BI46" ca="1" si="36">BI37-1</f>
        <v>#REF!</v>
      </c>
      <c r="BJ38" s="686" t="str">
        <f ca="1">IFERROR(VLOOKUP(BI38,INDIRECT(AQ42),2,FALSE),"----")</f>
        <v>----</v>
      </c>
      <c r="BK38" s="694" t="e">
        <f t="shared" ref="BK38:BK46" ca="1" si="37">BK37-1</f>
        <v>#REF!</v>
      </c>
      <c r="BL38" s="686" t="str">
        <f ca="1">IFERROR(VLOOKUP(BK38,INDIRECT(AQ43),2,FALSE),"----")</f>
        <v>----</v>
      </c>
      <c r="BM38" s="694" t="e">
        <f t="shared" ref="BM38:BM46" ca="1" si="38">BM37-1</f>
        <v>#REF!</v>
      </c>
      <c r="BN38" s="686" t="str">
        <f ca="1">IFERROR(VLOOKUP(BM38,INDIRECT(AQ44),2,FALSE),"----")</f>
        <v>----</v>
      </c>
      <c r="BO38" s="694" t="e">
        <f t="shared" ref="BO38:BO46" ca="1" si="39">BO37-1</f>
        <v>#REF!</v>
      </c>
      <c r="BP38" s="686" t="str">
        <f ca="1">IFERROR(VLOOKUP(BO38,INDIRECT(AQ45),2,FALSE),"----")</f>
        <v>----</v>
      </c>
      <c r="BQ38" s="694" t="e">
        <f t="shared" ca="1" si="9"/>
        <v>#REF!</v>
      </c>
      <c r="BR38" s="686" t="str">
        <f ca="1">IFERROR(VLOOKUP(BQ38,INDIRECT(AQ46),2,FALSE),"----")</f>
        <v>----</v>
      </c>
      <c r="BS38" s="695">
        <f>IF(AI38="",1,IF(COUNTIF(BB35:BB46,AI38)=0,2,1))</f>
        <v>1</v>
      </c>
      <c r="BT38" s="696">
        <f>IF(AF38="",1,IF(BB35=".",2,1))</f>
        <v>1</v>
      </c>
      <c r="BU38" s="689"/>
      <c r="BV38" s="155">
        <f ca="1">IF(COUNTIF(CT35:CT46,AF38)=0,IF(AF38&lt;&gt;"",0,1),1)</f>
        <v>1</v>
      </c>
      <c r="BW38" s="157">
        <f ca="1">IFERROR(MATCH(AF38,CT35:CT46,0),1)</f>
        <v>1</v>
      </c>
      <c r="BX38" s="769"/>
      <c r="BY38" s="769"/>
      <c r="BZ38" s="1112"/>
      <c r="CA38" s="691" t="e">
        <f t="shared" ca="1" si="10"/>
        <v>#REF!</v>
      </c>
      <c r="CB38" s="4" t="e" cm="1">
        <f t="array" aca="1" ref="CB38" ca="1">IF(AND(INDEX(INDIRECT(BY35),CA38,4)&gt;=$AB35,INDEX(INDIRECT(BY35),CA38,5)&gt;=$S35,INDEX(INDIRECT(BY35),CA38,6)&gt;=$R35),1,0)</f>
        <v>#REF!</v>
      </c>
      <c r="CC38" s="4" t="e">
        <f ca="1">MATCH(1,OFFSET(CB35:CB46,CD37,0,COUNT(CB35:CB46)-CD37),0)</f>
        <v>#REF!</v>
      </c>
      <c r="CD38" s="4" t="e">
        <f t="shared" ca="1" si="11"/>
        <v>#REF!</v>
      </c>
      <c r="CE38" s="692" t="str" cm="1">
        <f t="array" aca="1" ref="CE38" ca="1">IFERROR(VLOOKUP(INDEX(CA35:CA46,CD38),INDIRECT(BY35),2,FALSE),"----")</f>
        <v>----</v>
      </c>
      <c r="CF38" s="691" t="e">
        <f t="shared" ca="1" si="12"/>
        <v>#N/A</v>
      </c>
      <c r="CG38" s="4" t="e">
        <f ca="1">IF(AND(INDEX(SSM,CF38,4)&gt;=$AB35,INDEX(SSM,CF38,5)&gt;=$S35,INDEX(SSM,CF38,6)&gt;=$R35),1,0)</f>
        <v>#N/A</v>
      </c>
      <c r="CH38" s="4" t="e">
        <f ca="1">MATCH(1,OFFSET(CG35:CG46,CI37,0,COUNT(CG35:CG46)-CI37),0)</f>
        <v>#REF!</v>
      </c>
      <c r="CI38" s="4" t="e">
        <f t="shared" ca="1" si="13"/>
        <v>#REF!</v>
      </c>
      <c r="CJ38" s="692" t="str">
        <f ca="1">IFERROR(IF(AD36="Nested Steel Stud (wood infill)",VLOOKUP(INDEX(CF35:CF46,CI38),SSW,2,FALSE),VLOOKUP(INDEX(CF35:CF46,CI38),SSM,2,FALSE)),"----")</f>
        <v>----</v>
      </c>
      <c r="CK38" s="691" t="e">
        <f t="shared" ca="1" si="14"/>
        <v>#N/A</v>
      </c>
      <c r="CL38" s="4" t="e">
        <f ca="1">IF(AND(INDEX(WSM,CK38,4)&gt;=$AB35,INDEX(WSM,CK38,5)&gt;=$S35,INDEX(WSM,CK38,6)&gt;=$R35),1,0)</f>
        <v>#N/A</v>
      </c>
      <c r="CM38" s="4" t="e">
        <f ca="1">MATCH(1,OFFSET(CL35:CL46,CN37,0,COUNT(CL35:CL46)-CN37),0)</f>
        <v>#REF!</v>
      </c>
      <c r="CN38" s="4" t="e">
        <f t="shared" ca="1" si="15"/>
        <v>#REF!</v>
      </c>
      <c r="CO38" s="692" t="str">
        <f ca="1">IFERROR(VLOOKUP(INDEX(CK35:CK46,CN38),WSM,2,FALSE),"----")</f>
        <v>----</v>
      </c>
      <c r="CP38" s="691" t="e">
        <f t="shared" ca="1" si="16"/>
        <v>#N/A</v>
      </c>
      <c r="CQ38" s="4" t="e">
        <f ca="1">IF(AND(INDEX(STM,CP38,4)&gt;=$AB35,INDEX(STM,CP38,5)&gt;=$S35,INDEX(STM,CP38,6)&gt;=$R35),1,0)</f>
        <v>#N/A</v>
      </c>
      <c r="CR38" s="4" t="e">
        <f ca="1">MATCH(1,OFFSET(CQ35:CQ46,CS37,0,COUNT(CQ35:CQ46)-CS37),0)</f>
        <v>#REF!</v>
      </c>
      <c r="CS38" s="4" t="e">
        <f t="shared" ca="1" si="17"/>
        <v>#REF!</v>
      </c>
      <c r="CT38" s="692" t="str">
        <f ca="1">IFERROR(VLOOKUP(INDEX(CP35:CP46,CS38),STM,2,FALSE),"----")</f>
        <v>----</v>
      </c>
      <c r="CU38" s="691" t="e">
        <f t="shared" ca="1" si="18"/>
        <v>#N/A</v>
      </c>
      <c r="CV38" s="4" t="e">
        <f ca="1">IF(AND(INDEX(ELM,CU38,4)&gt;=$AB35,INDEX(ELM,CU38,5)&gt;=$S35,INDEX(ELM,CU38,6)&gt;=$R35),1,0)</f>
        <v>#N/A</v>
      </c>
      <c r="CW38" s="4" t="e">
        <f ca="1">MATCH(1,OFFSET(CV35:CV46,CX37,0,COUNT(CV35:CV46)-CX37),0)</f>
        <v>#REF!</v>
      </c>
      <c r="CX38" s="4" t="e">
        <f t="shared" ca="1" si="19"/>
        <v>#REF!</v>
      </c>
      <c r="CY38" s="692" t="str">
        <f ca="1">IFERROR(VLOOKUP(INDEX(CU35:CU46,CX38),ELM,2,FALSE),"----")</f>
        <v>----</v>
      </c>
      <c r="CZ38" s="691" t="e">
        <f t="shared" ca="1" si="20"/>
        <v>#N/A</v>
      </c>
      <c r="DA38" s="4" t="e">
        <f ca="1">IF(LEFT($J35,7)="Clad Wo",IF(AND(INDEX(SPPWS,CZ38,4)&gt;=$AB35,INDEX(SPPWS,CZ38,5)&gt;=$S35,INDEX(SPPWS,CZ38,6)&gt;=$R35),1,0),IF(AND(INDEX(SPM,CZ38,4)&gt;=$AB35,INDEX(SPM,CZ38,5)&gt;=$S35,INDEX(SPM,CZ38,6)&gt;=$R35),1,0))</f>
        <v>#N/A</v>
      </c>
      <c r="DB38" s="4" t="e">
        <f ca="1">MATCH(1,OFFSET(DA35:DA46,DC37,0,COUNT(DA35:DA46)-DC37),0)</f>
        <v>#REF!</v>
      </c>
      <c r="DC38" s="4" t="e">
        <f t="shared" ca="1" si="21"/>
        <v>#REF!</v>
      </c>
      <c r="DD38" s="693" t="str">
        <f ca="1">IF(LEFT($J35,7)="Clad Wo",IFERROR(VLOOKUP(INDEX(CZ35:CZ46,DC38),SPPWS,2,FALSE),"----"),IFERROR(VLOOKUP(INDEX(CZ35:CZ46,DC38),SPM,2,FALSE),"----"))</f>
        <v>----</v>
      </c>
      <c r="DE38" s="691" t="e">
        <f t="shared" ca="1" si="22"/>
        <v>#REF!</v>
      </c>
      <c r="DF38" s="4" t="e" cm="1">
        <f t="array" aca="1" ref="DF38" ca="1">IF(AND(INDEX(INDIRECT(BY35),DE38,4)&gt;=$AB41,INDEX(INDIRECT(BY35),DE38,5)&gt;=$S35,INDEX(INDIRECT(BY35),DE38,6)&gt;=$R35),1,0)</f>
        <v>#REF!</v>
      </c>
      <c r="DG38" s="4" t="e">
        <f ca="1">MATCH(1,OFFSET(DF35:DF46,DH37,0,COUNT(DF35:DF46)-DH37),0)</f>
        <v>#REF!</v>
      </c>
      <c r="DH38" s="4" t="e">
        <f t="shared" ca="1" si="23"/>
        <v>#REF!</v>
      </c>
      <c r="DI38" s="692" t="str" cm="1">
        <f t="array" aca="1" ref="DI38" ca="1">IFERROR(VLOOKUP(INDEX(DE35:DE46,DH38),INDIRECT(BY35),2,FALSE),"----")</f>
        <v>----</v>
      </c>
      <c r="DJ38" s="691" t="e">
        <f t="shared" ca="1" si="24"/>
        <v>#N/A</v>
      </c>
      <c r="DK38" s="4" t="e">
        <f ca="1">IF(AND(INDEX(SSM,DJ38,4)&gt;=$AB41,INDEX(SSM,DJ38,5)&gt;=$S35,INDEX(SSM,DJ38,6)&gt;=$R35),1,0)</f>
        <v>#N/A</v>
      </c>
      <c r="DL38" s="4" t="e">
        <f ca="1">MATCH(1,OFFSET(DK35:DK46,DM37,0,COUNT(DK35:DK46)-DM37),0)</f>
        <v>#REF!</v>
      </c>
      <c r="DM38" s="4" t="e">
        <f t="shared" ca="1" si="25"/>
        <v>#REF!</v>
      </c>
      <c r="DN38" s="692" t="str">
        <f ca="1">IFERROR(IF(AD42="Nested Steel Stud (wood infill)",VLOOKUP(INDEX(DJ35:DJ46,DM38),SSW,2,FALSE),VLOOKUP(INDEX(DJ35:DJ46,DM38),SSM,2,FALSE)),"----")</f>
        <v>----</v>
      </c>
      <c r="DO38" s="691" t="e">
        <f t="shared" ca="1" si="26"/>
        <v>#N/A</v>
      </c>
      <c r="DP38" s="4" t="e">
        <f ca="1">IF(AND(INDEX(WSM,DO38,4)&gt;=$AB41,INDEX(WSM,DO38,5)&gt;=$S35,INDEX(WSM,DO38,6)&gt;=$R35),1,0)</f>
        <v>#N/A</v>
      </c>
      <c r="DQ38" s="4" t="e">
        <f ca="1">MATCH(1,OFFSET(DP35:DP46,DR37,0,COUNT(DP35:DP46)-DR37),0)</f>
        <v>#REF!</v>
      </c>
      <c r="DR38" s="4" t="e">
        <f t="shared" ca="1" si="27"/>
        <v>#REF!</v>
      </c>
      <c r="DS38" s="692" t="str">
        <f ca="1">IFERROR(VLOOKUP(INDEX(DO35:DO46,DR38),WSM,2,FALSE),"----")</f>
        <v>----</v>
      </c>
      <c r="DT38" s="691" t="e">
        <f t="shared" ca="1" si="28"/>
        <v>#N/A</v>
      </c>
      <c r="DU38" s="4" t="e">
        <f ca="1">IF(AND(INDEX(STM,DT38,4)&gt;=$AB41,INDEX(STM,DT38,5)&gt;=$S35,INDEX(STM,DT38,6)&gt;=$R35),1,0)</f>
        <v>#N/A</v>
      </c>
      <c r="DV38" s="4" t="e">
        <f ca="1">MATCH(1,OFFSET(DU35:DU46,DW37,0,COUNT(DU35:DU46)-DW37),0)</f>
        <v>#REF!</v>
      </c>
      <c r="DW38" s="4" t="e">
        <f t="shared" ca="1" si="29"/>
        <v>#REF!</v>
      </c>
      <c r="DX38" s="692" t="str">
        <f ca="1">IFERROR(VLOOKUP(INDEX(DT35:DT46,DW38),STM,2,FALSE),"----")</f>
        <v>----</v>
      </c>
      <c r="DY38" s="691" t="e">
        <f t="shared" ca="1" si="30"/>
        <v>#N/A</v>
      </c>
      <c r="DZ38" s="4" t="e">
        <f ca="1">IF(AND(INDEX(ELM,DY38,4)&gt;=$AB41,INDEX(ELM,DY38,5)&gt;=$S35,INDEX(ELM,DY38,6)&gt;=$R35),1,0)</f>
        <v>#N/A</v>
      </c>
      <c r="EA38" s="4" t="e">
        <f ca="1">MATCH(1,OFFSET(DZ35:DZ46,EB37,0,COUNT(DZ35:DZ46)-EB37),0)</f>
        <v>#REF!</v>
      </c>
      <c r="EB38" s="4" t="e">
        <f t="shared" ca="1" si="31"/>
        <v>#REF!</v>
      </c>
      <c r="EC38" s="692" t="str">
        <f ca="1">IFERROR(VLOOKUP(INDEX(DY35:DY46,EB38),ELM,2,FALSE),"----")</f>
        <v>----</v>
      </c>
      <c r="ED38" s="691" t="e">
        <f t="shared" ca="1" si="32"/>
        <v>#N/A</v>
      </c>
      <c r="EE38" s="4" t="e">
        <f ca="1">IF(LEFT($J35,7)="Clad Wo",IF(AND(INDEX(SPPWS,ED38,4)&gt;=$AB41,INDEX(SPPWS,ED38,5)&gt;=$S35,INDEX(SPPWS,ED38,6)&gt;=$R35),1,0),IF(AND(INDEX(SPM,ED38,4)&gt;=$AB41,INDEX(SPM,ED38,5)&gt;=$S35,INDEX(SPM,ED38,6)&gt;=$R35),1,0))</f>
        <v>#N/A</v>
      </c>
      <c r="EF38" s="4" t="e">
        <f ca="1">MATCH(1,OFFSET(EE35:EE46,EG37,0,COUNT(EE35:EE46)-EG37),0)</f>
        <v>#REF!</v>
      </c>
      <c r="EG38" s="4" t="e">
        <f t="shared" ref="EG38:EG46" ca="1" si="40">EG37+EF38</f>
        <v>#REF!</v>
      </c>
      <c r="EH38" s="692" t="str">
        <f ca="1">IF(LEFT($J35,7)="Clad Wo",IFERROR(VLOOKUP(INDEX(ED35:ED46,EG38),SPPWS,2,FALSE),"----"),IFERROR(VLOOKUP(INDEX(ED35:ED46,EG38),SPM,2,FALSE),"----"))</f>
        <v>----</v>
      </c>
    </row>
    <row r="39" spans="1:177" ht="15" customHeight="1" x14ac:dyDescent="0.25">
      <c r="A39" s="1090"/>
      <c r="B39" s="925"/>
      <c r="C39" s="926"/>
      <c r="D39" s="927"/>
      <c r="E39" s="995"/>
      <c r="F39" s="996"/>
      <c r="G39" s="997"/>
      <c r="H39" s="1062"/>
      <c r="I39" s="990"/>
      <c r="J39" s="910"/>
      <c r="K39" s="911"/>
      <c r="L39" s="1002"/>
      <c r="M39" s="923"/>
      <c r="N39" s="1042"/>
      <c r="O39" s="1018"/>
      <c r="P39" s="987"/>
      <c r="Q39" s="1015"/>
      <c r="R39" s="1012"/>
      <c r="S39" s="1006"/>
      <c r="T39" s="1007"/>
      <c r="U39" s="878"/>
      <c r="V39" s="881"/>
      <c r="W39" s="884"/>
      <c r="X39" s="884"/>
      <c r="Y39" s="887"/>
      <c r="Z39" s="887"/>
      <c r="AA39" s="887"/>
      <c r="AB39" s="1081"/>
      <c r="AC39" s="1078"/>
      <c r="AD39" s="1070" t="s">
        <v>39</v>
      </c>
      <c r="AE39" s="1071"/>
      <c r="AF39" s="1052"/>
      <c r="AG39" s="1053"/>
      <c r="AH39" s="1053"/>
      <c r="AI39" s="1066"/>
      <c r="AJ39" s="1067"/>
      <c r="AK39" s="154" t="str">
        <f t="shared" ca="1" si="4"/>
        <v/>
      </c>
      <c r="AL39" s="1039"/>
      <c r="AM39" s="344" t="str">
        <f ca="1">IFERROR(Q35/12*ROUND(VLOOKUP(AF39,OFFSET(ELM,0,1),6,FALSE),2),"")</f>
        <v/>
      </c>
      <c r="AN39" t="str">
        <f t="shared" ca="1" si="5"/>
        <v/>
      </c>
      <c r="AP39" s="122" t="str">
        <f>_xlfn.CONCAT(AR39,AS40)</f>
        <v/>
      </c>
      <c r="AQ39" s="683" t="str">
        <f t="shared" ref="AQ39" si="41">IFERROR(LEFT(AP39,LEN(AP39)-1),"")</f>
        <v/>
      </c>
      <c r="AR39" s="4" t="str">
        <f t="shared" si="3"/>
        <v/>
      </c>
      <c r="AS39" s="4"/>
      <c r="AT39" s="697" t="str">
        <f>AL35</f>
        <v/>
      </c>
      <c r="AU39" s="694" t="e">
        <f t="shared" ca="1" si="6"/>
        <v>#REF!</v>
      </c>
      <c r="AV39" s="698" t="str">
        <f ca="1">IFERROR(VLOOKUP(AU39,INDIRECT(AQ35),2,FALSE),"----")</f>
        <v>----</v>
      </c>
      <c r="AW39" s="694" t="e">
        <f t="shared" ca="1" si="33"/>
        <v>#REF!</v>
      </c>
      <c r="AX39" s="698" t="str">
        <f ca="1">IFERROR(VLOOKUP(AW39,INDIRECT(AQ36),2,FALSE),"----")</f>
        <v>----</v>
      </c>
      <c r="AY39" s="694" t="e">
        <f t="shared" ca="1" si="34"/>
        <v>#REF!</v>
      </c>
      <c r="AZ39" s="698" t="str">
        <f ca="1">IFERROR(VLOOKUP(AY39,INDIRECT(AQ37),2,FALSE),"----")</f>
        <v>----</v>
      </c>
      <c r="BA39" s="694" t="e">
        <f t="shared" ca="1" si="34"/>
        <v>#REF!</v>
      </c>
      <c r="BB39" s="698" t="str">
        <f ca="1">IFERROR(VLOOKUP(BA39,INDIRECT(AQ38),2,FALSE),"----")</f>
        <v>----</v>
      </c>
      <c r="BC39" s="694" t="e">
        <f t="shared" ca="1" si="35"/>
        <v>#REF!</v>
      </c>
      <c r="BD39" s="698" t="str">
        <f ca="1">IFERROR(VLOOKUP(BC39,INDIRECT(AQ39),2,FALSE),"----")</f>
        <v>----</v>
      </c>
      <c r="BE39" s="694" t="e">
        <f t="shared" ca="1" si="7"/>
        <v>#REF!</v>
      </c>
      <c r="BF39" s="698" t="str">
        <f ca="1">IFERROR(VLOOKUP(BE39,INDIRECT(AQ40),2,FALSE),"----")</f>
        <v>----</v>
      </c>
      <c r="BG39" s="694" t="e">
        <f t="shared" ca="1" si="8"/>
        <v>#REF!</v>
      </c>
      <c r="BH39" s="686" t="str">
        <f ca="1">IFERROR(VLOOKUP(BG39,INDIRECT(AQ41),2,FALSE),"----")</f>
        <v>----</v>
      </c>
      <c r="BI39" s="694" t="e">
        <f t="shared" ca="1" si="36"/>
        <v>#REF!</v>
      </c>
      <c r="BJ39" s="686" t="str">
        <f ca="1">IFERROR(VLOOKUP(BI39,INDIRECT(AQ42),2,FALSE),"----")</f>
        <v>----</v>
      </c>
      <c r="BK39" s="694" t="e">
        <f t="shared" ca="1" si="37"/>
        <v>#REF!</v>
      </c>
      <c r="BL39" s="686" t="str">
        <f ca="1">IFERROR(VLOOKUP(BK39,INDIRECT(AQ43),2,FALSE),"----")</f>
        <v>----</v>
      </c>
      <c r="BM39" s="694" t="e">
        <f t="shared" ca="1" si="38"/>
        <v>#REF!</v>
      </c>
      <c r="BN39" s="686" t="str">
        <f ca="1">IFERROR(VLOOKUP(BM39,INDIRECT(AQ44),2,FALSE),"----")</f>
        <v>----</v>
      </c>
      <c r="BO39" s="694" t="e">
        <f t="shared" ca="1" si="39"/>
        <v>#REF!</v>
      </c>
      <c r="BP39" s="686" t="str">
        <f ca="1">IFERROR(VLOOKUP(BO39,INDIRECT(AQ45),2,FALSE),"----")</f>
        <v>----</v>
      </c>
      <c r="BQ39" s="694" t="e">
        <f t="shared" ca="1" si="9"/>
        <v>#REF!</v>
      </c>
      <c r="BR39" s="686" t="str">
        <f ca="1">IFERROR(VLOOKUP(BQ39,INDIRECT(AQ46),2,FALSE),"----")</f>
        <v>----</v>
      </c>
      <c r="BS39" s="695">
        <f>IF(AI39="",1,IF(COUNTIF(BD35:BD46,AI39)=0,2,1))</f>
        <v>1</v>
      </c>
      <c r="BT39" s="696">
        <f>IF(AF39="",1,IF(BD35=".",2,1))</f>
        <v>1</v>
      </c>
      <c r="BU39" s="689"/>
      <c r="BV39" s="155">
        <f ca="1">IF(COUNTIF(CY35:CY46,AF39)=0,IF(AF39&lt;&gt;"",0,1),1)</f>
        <v>1</v>
      </c>
      <c r="BW39" s="157">
        <f ca="1">IFERROR(MATCH(AF39,CY35:CY46,0),1)</f>
        <v>1</v>
      </c>
      <c r="BX39" s="769"/>
      <c r="BY39" s="769"/>
      <c r="BZ39" s="1112"/>
      <c r="CA39" s="691" t="e">
        <f t="shared" ca="1" si="10"/>
        <v>#REF!</v>
      </c>
      <c r="CB39" s="4" t="e" cm="1">
        <f t="array" aca="1" ref="CB39" ca="1">IF(AND(INDEX(INDIRECT(BY35),CA39,4)&gt;=$AB35,INDEX(INDIRECT(BY35),CA39,5)&gt;=$S35,INDEX(INDIRECT(BY35),CA39,6)&gt;=$R35),1,0)</f>
        <v>#REF!</v>
      </c>
      <c r="CC39" s="4" t="e">
        <f ca="1">MATCH(1,OFFSET(CB35:CB46,CD38,0,COUNT(CB35:CB46)-CD38),0)</f>
        <v>#REF!</v>
      </c>
      <c r="CD39" s="4" t="e">
        <f t="shared" ca="1" si="11"/>
        <v>#REF!</v>
      </c>
      <c r="CE39" s="692" t="str" cm="1">
        <f t="array" aca="1" ref="CE39" ca="1">IFERROR(VLOOKUP(INDEX(CA35:CA46,CD39),INDIRECT(BY35),2,FALSE),"----")</f>
        <v>----</v>
      </c>
      <c r="CF39" s="691" t="e">
        <f t="shared" ca="1" si="12"/>
        <v>#N/A</v>
      </c>
      <c r="CG39" s="4" t="e">
        <f ca="1">IF(AND(INDEX(SSM,CF39,4)&gt;=$AB35,INDEX(SSM,CF39,5)&gt;=$S35,INDEX(SSM,CF39,6)&gt;=$R35),1,0)</f>
        <v>#N/A</v>
      </c>
      <c r="CH39" s="4" t="e">
        <f ca="1">MATCH(1,OFFSET(CG35:CG46,CI38,0,COUNT(CG35:CG46)-CI38),0)</f>
        <v>#REF!</v>
      </c>
      <c r="CI39" s="4" t="e">
        <f t="shared" ca="1" si="13"/>
        <v>#REF!</v>
      </c>
      <c r="CJ39" s="692" t="str">
        <f ca="1">IFERROR(IF(AD36="Nested Steel Stud (wood infill)",VLOOKUP(INDEX(CF35:CF46,CI39),SSW,2,FALSE),VLOOKUP(INDEX(CF35:CF46,CI39),SSM,2,FALSE)),"----")</f>
        <v>----</v>
      </c>
      <c r="CK39" s="691" t="e">
        <f t="shared" ca="1" si="14"/>
        <v>#N/A</v>
      </c>
      <c r="CL39" s="4" t="e">
        <f ca="1">IF(AND(INDEX(WSM,CK39,4)&gt;=$AB35,INDEX(WSM,CK39,5)&gt;=$S35,INDEX(WSM,CK39,6)&gt;=$R35),1,0)</f>
        <v>#N/A</v>
      </c>
      <c r="CM39" s="4" t="e">
        <f ca="1">MATCH(1,OFFSET(CL35:CL46,CN38,0,COUNT(CL35:CL46)-CN38),0)</f>
        <v>#REF!</v>
      </c>
      <c r="CN39" s="4" t="e">
        <f t="shared" ca="1" si="15"/>
        <v>#REF!</v>
      </c>
      <c r="CO39" s="692" t="str">
        <f ca="1">IFERROR(VLOOKUP(INDEX(CK35:CK46,CN39),WSM,2,FALSE),"----")</f>
        <v>----</v>
      </c>
      <c r="CP39" s="691" t="e">
        <f t="shared" ca="1" si="16"/>
        <v>#N/A</v>
      </c>
      <c r="CQ39" s="4" t="e">
        <f ca="1">IF(AND(INDEX(STM,CP39,4)&gt;=$AB35,INDEX(STM,CP39,5)&gt;=$S35,INDEX(STM,CP39,6)&gt;=$R35),1,0)</f>
        <v>#N/A</v>
      </c>
      <c r="CR39" s="4" t="e">
        <f ca="1">MATCH(1,OFFSET(CQ35:CQ46,CS38,0,COUNT(CQ35:CQ46)-CS38),0)</f>
        <v>#REF!</v>
      </c>
      <c r="CS39" s="4" t="e">
        <f t="shared" ca="1" si="17"/>
        <v>#REF!</v>
      </c>
      <c r="CT39" s="692" t="str">
        <f ca="1">IFERROR(VLOOKUP(INDEX(CP35:CP46,CS39),STM,2,FALSE),"----")</f>
        <v>----</v>
      </c>
      <c r="CU39" s="691" t="e">
        <f t="shared" ca="1" si="18"/>
        <v>#N/A</v>
      </c>
      <c r="CV39" s="4" t="e">
        <f ca="1">IF(AND(INDEX(ELM,CU39,4)&gt;=$AB35,INDEX(ELM,CU39,5)&gt;=$S35,INDEX(ELM,CU39,6)&gt;=$R35),1,0)</f>
        <v>#N/A</v>
      </c>
      <c r="CW39" s="4" t="e">
        <f ca="1">MATCH(1,OFFSET(CV35:CV46,CX38,0,COUNT(CV35:CV46)-CX38),0)</f>
        <v>#REF!</v>
      </c>
      <c r="CX39" s="4" t="e">
        <f t="shared" ca="1" si="19"/>
        <v>#REF!</v>
      </c>
      <c r="CY39" s="692" t="str">
        <f ca="1">IFERROR(VLOOKUP(INDEX(CU35:CU46,CX39),ELM,2,FALSE),"----")</f>
        <v>----</v>
      </c>
      <c r="CZ39" s="691" t="e">
        <f t="shared" ca="1" si="20"/>
        <v>#N/A</v>
      </c>
      <c r="DA39" s="4" t="e">
        <f ca="1">IF(LEFT($J35,7)="Clad Wo",IF(AND(INDEX(SPPWS,CZ39,4)&gt;=$AB35,INDEX(SPPWS,CZ39,5)&gt;=$S35,INDEX(SPPWS,CZ39,6)&gt;=$R35),1,0),IF(AND(INDEX(SPM,CZ39,4)&gt;=$AB35,INDEX(SPM,CZ39,5)&gt;=$S35,INDEX(SPM,CZ39,6)&gt;=$R35),1,0))</f>
        <v>#N/A</v>
      </c>
      <c r="DB39" s="4" t="e">
        <f ca="1">MATCH(1,OFFSET(DA35:DA46,DC38,0,COUNT(DA35:DA46)-DC38),0)</f>
        <v>#REF!</v>
      </c>
      <c r="DC39" s="4" t="e">
        <f t="shared" ca="1" si="21"/>
        <v>#REF!</v>
      </c>
      <c r="DD39" s="693" t="str">
        <f ca="1">IF(LEFT($J35,7)="Clad Wo",IFERROR(VLOOKUP(INDEX(CZ35:CZ46,DC39),SPPWS,2,FALSE),"----"),IFERROR(VLOOKUP(INDEX(CZ35:CZ46,DC39),SPM,2,FALSE),"----"))</f>
        <v>----</v>
      </c>
      <c r="DE39" s="691" t="e">
        <f t="shared" ca="1" si="22"/>
        <v>#REF!</v>
      </c>
      <c r="DF39" s="4" t="e" cm="1">
        <f t="array" aca="1" ref="DF39" ca="1">IF(AND(INDEX(INDIRECT(BY35),DE39,4)&gt;=$AB41,INDEX(INDIRECT(BY35),DE39,5)&gt;=$S35,INDEX(INDIRECT(BY35),DE39,6)&gt;=$R35),1,0)</f>
        <v>#REF!</v>
      </c>
      <c r="DG39" s="4" t="e">
        <f ca="1">MATCH(1,OFFSET(DF35:DF46,DH38,0,COUNT(DF35:DF46)-DH38),0)</f>
        <v>#REF!</v>
      </c>
      <c r="DH39" s="4" t="e">
        <f t="shared" ca="1" si="23"/>
        <v>#REF!</v>
      </c>
      <c r="DI39" s="692" t="str" cm="1">
        <f t="array" aca="1" ref="DI39" ca="1">IFERROR(VLOOKUP(INDEX(DE35:DE46,DH39),INDIRECT(BY35),2,FALSE),"----")</f>
        <v>----</v>
      </c>
      <c r="DJ39" s="691" t="e">
        <f t="shared" ca="1" si="24"/>
        <v>#N/A</v>
      </c>
      <c r="DK39" s="4" t="e">
        <f ca="1">IF(AND(INDEX(SSM,DJ39,4)&gt;=$AB41,INDEX(SSM,DJ39,5)&gt;=$S35,INDEX(SSM,DJ39,6)&gt;=$R35),1,0)</f>
        <v>#N/A</v>
      </c>
      <c r="DL39" s="4" t="e">
        <f ca="1">MATCH(1,OFFSET(DK35:DK46,DM38,0,COUNT(DK35:DK46)-DM38),0)</f>
        <v>#REF!</v>
      </c>
      <c r="DM39" s="4" t="e">
        <f t="shared" ca="1" si="25"/>
        <v>#REF!</v>
      </c>
      <c r="DN39" s="692" t="str">
        <f ca="1">IFERROR(IF(AD42="Nested Steel Stud (wood infill)",VLOOKUP(INDEX(DJ35:DJ46,DM39),SSW,2,FALSE),VLOOKUP(INDEX(DJ35:DJ46,DM39),SSM,2,FALSE)),"----")</f>
        <v>----</v>
      </c>
      <c r="DO39" s="691" t="e">
        <f t="shared" ca="1" si="26"/>
        <v>#N/A</v>
      </c>
      <c r="DP39" s="4" t="e">
        <f ca="1">IF(AND(INDEX(WSM,DO39,4)&gt;=$AB41,INDEX(WSM,DO39,5)&gt;=$S35,INDEX(WSM,DO39,6)&gt;=$R35),1,0)</f>
        <v>#N/A</v>
      </c>
      <c r="DQ39" s="4" t="e">
        <f ca="1">MATCH(1,OFFSET(DP35:DP46,DR38,0,COUNT(DP35:DP46)-DR38),0)</f>
        <v>#REF!</v>
      </c>
      <c r="DR39" s="4" t="e">
        <f t="shared" ca="1" si="27"/>
        <v>#REF!</v>
      </c>
      <c r="DS39" s="692" t="str">
        <f ca="1">IFERROR(VLOOKUP(INDEX(DO35:DO46,DR39),WSM,2,FALSE),"----")</f>
        <v>----</v>
      </c>
      <c r="DT39" s="691" t="e">
        <f t="shared" ca="1" si="28"/>
        <v>#N/A</v>
      </c>
      <c r="DU39" s="4" t="e">
        <f ca="1">IF(AND(INDEX(STM,DT39,4)&gt;=$AB41,INDEX(STM,DT39,5)&gt;=$S35,INDEX(STM,DT39,6)&gt;=$R35),1,0)</f>
        <v>#N/A</v>
      </c>
      <c r="DV39" s="4" t="e">
        <f ca="1">MATCH(1,OFFSET(DU35:DU46,DW38,0,COUNT(DU35:DU46)-DW38),0)</f>
        <v>#REF!</v>
      </c>
      <c r="DW39" s="4" t="e">
        <f t="shared" ca="1" si="29"/>
        <v>#REF!</v>
      </c>
      <c r="DX39" s="692" t="str">
        <f ca="1">IFERROR(VLOOKUP(INDEX(DT35:DT46,DW39),STM,2,FALSE),"----")</f>
        <v>----</v>
      </c>
      <c r="DY39" s="691" t="e">
        <f t="shared" ca="1" si="30"/>
        <v>#N/A</v>
      </c>
      <c r="DZ39" s="4" t="e">
        <f ca="1">IF(AND(INDEX(ELM,DY39,4)&gt;=$AB41,INDEX(ELM,DY39,5)&gt;=$S35,INDEX(ELM,DY39,6)&gt;=$R35),1,0)</f>
        <v>#N/A</v>
      </c>
      <c r="EA39" s="4" t="e">
        <f ca="1">MATCH(1,OFFSET(DZ35:DZ46,EB38,0,COUNT(DZ35:DZ46)-EB38),0)</f>
        <v>#REF!</v>
      </c>
      <c r="EB39" s="4" t="e">
        <f t="shared" ca="1" si="31"/>
        <v>#REF!</v>
      </c>
      <c r="EC39" s="692" t="str">
        <f ca="1">IFERROR(VLOOKUP(INDEX(DY35:DY46,EB39),ELM,2,FALSE),"----")</f>
        <v>----</v>
      </c>
      <c r="ED39" s="691" t="e">
        <f t="shared" ca="1" si="32"/>
        <v>#N/A</v>
      </c>
      <c r="EE39" s="4" t="e">
        <f ca="1">IF(LEFT($J35,7)="Clad Wo",IF(AND(INDEX(SPPWS,ED39,4)&gt;=$AB41,INDEX(SPPWS,ED39,5)&gt;=$S35,INDEX(SPPWS,ED39,6)&gt;=$R35),1,0),IF(AND(INDEX(SPM,ED39,4)&gt;=$AB41,INDEX(SPM,ED39,5)&gt;=$S35,INDEX(SPM,ED39,6)&gt;=$R35),1,0))</f>
        <v>#N/A</v>
      </c>
      <c r="EF39" s="4" t="e">
        <f ca="1">MATCH(1,OFFSET(EE35:EE46,EG38,0,COUNT(EE35:EE46)-EG38),0)</f>
        <v>#REF!</v>
      </c>
      <c r="EG39" s="4" t="e">
        <f t="shared" ca="1" si="40"/>
        <v>#REF!</v>
      </c>
      <c r="EH39" s="692" t="str">
        <f ca="1">IF(LEFT($J35,7)="Clad Wo",IFERROR(VLOOKUP(INDEX(ED35:ED46,EG39),SPPWS,2,FALSE),"----"),IFERROR(VLOOKUP(INDEX(ED35:ED46,EG39),SPM,2,FALSE),"----"))</f>
        <v>----</v>
      </c>
    </row>
    <row r="40" spans="1:177" ht="15" customHeight="1" thickBot="1" x14ac:dyDescent="0.3">
      <c r="A40" s="1090"/>
      <c r="B40" s="934"/>
      <c r="C40" s="935"/>
      <c r="D40" s="936"/>
      <c r="E40" s="995"/>
      <c r="F40" s="996"/>
      <c r="G40" s="997"/>
      <c r="H40" s="1062"/>
      <c r="I40" s="990"/>
      <c r="J40" s="908"/>
      <c r="K40" s="909"/>
      <c r="L40" s="1010"/>
      <c r="M40" s="924"/>
      <c r="N40" s="1044"/>
      <c r="O40" s="1018"/>
      <c r="P40" s="987"/>
      <c r="Q40" s="1015"/>
      <c r="R40" s="1012"/>
      <c r="S40" s="1006"/>
      <c r="T40" s="1007"/>
      <c r="U40" s="878"/>
      <c r="V40" s="881"/>
      <c r="W40" s="889"/>
      <c r="X40" s="884"/>
      <c r="Y40" s="890"/>
      <c r="Z40" s="890"/>
      <c r="AA40" s="887"/>
      <c r="AB40" s="1084"/>
      <c r="AC40" s="1079"/>
      <c r="AD40" s="1072" t="str">
        <f>IF(LEFT(J35,7)="Clad Wo","Pella Wood Spr / Steel Pte","Steel Plate")</f>
        <v>Steel Plate</v>
      </c>
      <c r="AE40" s="1073"/>
      <c r="AF40" s="1054"/>
      <c r="AG40" s="1055"/>
      <c r="AH40" s="1055"/>
      <c r="AI40" s="1092"/>
      <c r="AJ40" s="1093"/>
      <c r="AK40" s="159" t="str">
        <f t="shared" ca="1" si="4"/>
        <v/>
      </c>
      <c r="AL40" s="1040"/>
      <c r="AM40" s="345" t="str">
        <f ca="1">IFERROR(Q35/12*ROUND(VLOOKUP(AF40,OFFSET(SPM,0,1),6,FALSE),2),"")</f>
        <v/>
      </c>
      <c r="AN40" t="str">
        <f t="shared" ca="1" si="5"/>
        <v/>
      </c>
      <c r="AP40" s="699" t="str">
        <f>_xlfn.CONCAT(AR40,AS40)</f>
        <v/>
      </c>
      <c r="AQ40" s="700" t="str">
        <f>IFERROR(LEFT(AP40,LEN(AP40)-1),"")</f>
        <v/>
      </c>
      <c r="AR40" s="160" t="str">
        <f t="shared" si="3"/>
        <v/>
      </c>
      <c r="AS40" s="160" t="str">
        <f>IFERROR(VLOOKUP(J43, WallType,2,FALSE),"")</f>
        <v/>
      </c>
      <c r="AT40" s="701" t="str">
        <f>AL35</f>
        <v/>
      </c>
      <c r="AU40" s="694" t="e">
        <f t="shared" ca="1" si="6"/>
        <v>#REF!</v>
      </c>
      <c r="AV40" s="698" t="str">
        <f ca="1">IFERROR(VLOOKUP(AU40,INDIRECT(AQ35),2,FALSE),"----")</f>
        <v>----</v>
      </c>
      <c r="AW40" s="702" t="e">
        <f t="shared" ca="1" si="33"/>
        <v>#REF!</v>
      </c>
      <c r="AX40" s="698" t="str">
        <f ca="1">IFERROR(VLOOKUP(AW40,INDIRECT(AQ36),2,FALSE),"----")</f>
        <v>----</v>
      </c>
      <c r="AY40" s="702" t="e">
        <f t="shared" ca="1" si="34"/>
        <v>#REF!</v>
      </c>
      <c r="AZ40" s="698" t="str">
        <f ca="1">IFERROR(VLOOKUP(AY40,INDIRECT(AQ37),2,FALSE),"----")</f>
        <v>----</v>
      </c>
      <c r="BA40" s="702" t="e">
        <f t="shared" ca="1" si="34"/>
        <v>#REF!</v>
      </c>
      <c r="BB40" s="698" t="str">
        <f ca="1">IFERROR(VLOOKUP(BA40,INDIRECT(AQ38),2,FALSE),"----")</f>
        <v>----</v>
      </c>
      <c r="BC40" s="702" t="e">
        <f t="shared" ca="1" si="35"/>
        <v>#REF!</v>
      </c>
      <c r="BD40" s="698" t="str">
        <f ca="1">IFERROR(VLOOKUP(BC40,INDIRECT(AQ39),2,FALSE),"----")</f>
        <v>----</v>
      </c>
      <c r="BE40" s="702" t="e">
        <f t="shared" ca="1" si="7"/>
        <v>#REF!</v>
      </c>
      <c r="BF40" s="698" t="str">
        <f ca="1">IFERROR(VLOOKUP(BE40,INDIRECT(AQ40),2,FALSE),"----")</f>
        <v>----</v>
      </c>
      <c r="BG40" s="702" t="e">
        <f t="shared" ca="1" si="8"/>
        <v>#REF!</v>
      </c>
      <c r="BH40" s="686" t="str">
        <f ca="1">IFERROR(VLOOKUP(BG40,INDIRECT(AQ41),2,FALSE),"----")</f>
        <v>----</v>
      </c>
      <c r="BI40" s="702" t="e">
        <f t="shared" ca="1" si="36"/>
        <v>#REF!</v>
      </c>
      <c r="BJ40" s="686" t="str">
        <f ca="1">IFERROR(VLOOKUP(BI40,INDIRECT(AQ42),2,FALSE),"----")</f>
        <v>----</v>
      </c>
      <c r="BK40" s="702" t="e">
        <f t="shared" ca="1" si="37"/>
        <v>#REF!</v>
      </c>
      <c r="BL40" s="686" t="str">
        <f ca="1">IFERROR(VLOOKUP(BK40,INDIRECT(AQ43),2,FALSE),"----")</f>
        <v>----</v>
      </c>
      <c r="BM40" s="702" t="e">
        <f t="shared" ca="1" si="38"/>
        <v>#REF!</v>
      </c>
      <c r="BN40" s="686" t="str">
        <f ca="1">IFERROR(VLOOKUP(BM40,INDIRECT(AQ44),2,FALSE),"----")</f>
        <v>----</v>
      </c>
      <c r="BO40" s="702" t="e">
        <f t="shared" ca="1" si="39"/>
        <v>#REF!</v>
      </c>
      <c r="BP40" s="686" t="str">
        <f ca="1">IFERROR(VLOOKUP(BO40,INDIRECT(AQ45),2,FALSE),"----")</f>
        <v>----</v>
      </c>
      <c r="BQ40" s="702" t="e">
        <f t="shared" ca="1" si="9"/>
        <v>#REF!</v>
      </c>
      <c r="BR40" s="686" t="str">
        <f ca="1">IFERROR(VLOOKUP(BQ40,INDIRECT(AQ46),2,FALSE),"----")</f>
        <v>----</v>
      </c>
      <c r="BS40" s="703">
        <f>IF(AI40="",1,IF(COUNTIF(BF35:BF46,AI40)=0,2,1))</f>
        <v>1</v>
      </c>
      <c r="BT40" s="704">
        <f>IF(AF40="",1,IF(BF35=".",2,1))</f>
        <v>1</v>
      </c>
      <c r="BU40" s="705"/>
      <c r="BV40" s="155">
        <f ca="1">IF(COUNTIF(DD35:DD46,AF40)=0,IF(AF40&lt;&gt;"",0,1),1)</f>
        <v>1</v>
      </c>
      <c r="BW40" s="157">
        <f ca="1">IFERROR(MATCH(AF40,DD35:DD46,0),1)</f>
        <v>1</v>
      </c>
      <c r="BX40" s="875" t="s">
        <v>1594</v>
      </c>
      <c r="BY40" s="876"/>
      <c r="BZ40" s="1112"/>
      <c r="CA40" s="691" t="e">
        <f t="shared" ca="1" si="10"/>
        <v>#REF!</v>
      </c>
      <c r="CB40" s="4" t="e" cm="1">
        <f t="array" aca="1" ref="CB40" ca="1">IF(AND(INDEX(INDIRECT(BY35),CA40,4)&gt;=$AB35,INDEX(INDIRECT(BY35),CA40,5)&gt;=$S35,INDEX(INDIRECT(BY35),CA40,6)&gt;=$R35),1,0)</f>
        <v>#REF!</v>
      </c>
      <c r="CC40" s="4" t="e">
        <f ca="1">MATCH(1,OFFSET(CB35:CB46,CD39,0,COUNT(CB35:CB46)-CD39),0)</f>
        <v>#REF!</v>
      </c>
      <c r="CD40" s="4" t="e">
        <f t="shared" ca="1" si="11"/>
        <v>#REF!</v>
      </c>
      <c r="CE40" s="692" t="str" cm="1">
        <f t="array" aca="1" ref="CE40" ca="1">IFERROR(VLOOKUP(INDEX(CA35:CA46,CD40),INDIRECT(BY35),2,FALSE),"----")</f>
        <v>----</v>
      </c>
      <c r="CF40" s="691" t="e">
        <f t="shared" ca="1" si="12"/>
        <v>#N/A</v>
      </c>
      <c r="CG40" s="4" t="e">
        <f ca="1">IF(AND(INDEX(SSM,CF40,4)&gt;=$AB35,INDEX(SSM,CF40,5)&gt;=$S35,INDEX(SSM,CF40,6)&gt;=$R35),1,0)</f>
        <v>#N/A</v>
      </c>
      <c r="CH40" s="4" t="e">
        <f ca="1">MATCH(1,OFFSET(CG35:CG46,CI39,0,COUNT(CG35:CG46)-CI39),0)</f>
        <v>#REF!</v>
      </c>
      <c r="CI40" s="4" t="e">
        <f t="shared" ca="1" si="13"/>
        <v>#REF!</v>
      </c>
      <c r="CJ40" s="692" t="str">
        <f ca="1">IFERROR(IF(AD36="Nested Steel Stud (wood infill)",VLOOKUP(INDEX(CF35:CF46,CI40),SSW,2,FALSE),VLOOKUP(INDEX(CF35:CF46,CI40),SSM,2,FALSE)),"----")</f>
        <v>----</v>
      </c>
      <c r="CK40" s="691" t="e">
        <f t="shared" ca="1" si="14"/>
        <v>#N/A</v>
      </c>
      <c r="CL40" s="4" t="e">
        <f ca="1">IF(AND(INDEX(WSM,CK40,4)&gt;=$AB35,INDEX(WSM,CK40,5)&gt;=$S35,INDEX(WSM,CK40,6)&gt;=$R35),1,0)</f>
        <v>#N/A</v>
      </c>
      <c r="CM40" s="4" t="e">
        <f ca="1">MATCH(1,OFFSET(CL35:CL46,CN39,0,COUNT(CL35:CL46)-CN39),0)</f>
        <v>#REF!</v>
      </c>
      <c r="CN40" s="4" t="e">
        <f t="shared" ca="1" si="15"/>
        <v>#REF!</v>
      </c>
      <c r="CO40" s="692" t="str">
        <f ca="1">IFERROR(VLOOKUP(INDEX(CK35:CK46,CN40),WSM,2,FALSE),"----")</f>
        <v>----</v>
      </c>
      <c r="CP40" s="691" t="e">
        <f t="shared" ca="1" si="16"/>
        <v>#N/A</v>
      </c>
      <c r="CQ40" s="4" t="e">
        <f ca="1">IF(AND(INDEX(STM,CP40,4)&gt;=$AB35,INDEX(STM,CP40,5)&gt;=$S35,INDEX(STM,CP40,6)&gt;=$R35),1,0)</f>
        <v>#N/A</v>
      </c>
      <c r="CR40" s="4" t="e">
        <f ca="1">MATCH(1,OFFSET(CQ35:CQ46,CS39,0,COUNT(CQ35:CQ46)-CS39),0)</f>
        <v>#REF!</v>
      </c>
      <c r="CS40" s="4" t="e">
        <f t="shared" ca="1" si="17"/>
        <v>#REF!</v>
      </c>
      <c r="CT40" s="692" t="str">
        <f ca="1">IFERROR(VLOOKUP(INDEX(CP35:CP46,CS40),STM,2,FALSE),"----")</f>
        <v>----</v>
      </c>
      <c r="CU40" s="691" t="e">
        <f t="shared" ca="1" si="18"/>
        <v>#N/A</v>
      </c>
      <c r="CV40" s="4" t="e">
        <f ca="1">IF(AND(INDEX(ELM,CU40,4)&gt;=$AB35,INDEX(ELM,CU40,5)&gt;=$S35,INDEX(ELM,CU40,6)&gt;=$R35),1,0)</f>
        <v>#N/A</v>
      </c>
      <c r="CW40" s="4" t="e">
        <f ca="1">MATCH(1,OFFSET(CV35:CV46,CX39,0,COUNT(CV35:CV46)-CX39),0)</f>
        <v>#REF!</v>
      </c>
      <c r="CX40" s="4" t="e">
        <f t="shared" ca="1" si="19"/>
        <v>#REF!</v>
      </c>
      <c r="CY40" s="692" t="str">
        <f ca="1">IFERROR(VLOOKUP(INDEX(CU35:CU46,CX40),ELM,2,FALSE),"----")</f>
        <v>----</v>
      </c>
      <c r="CZ40" s="691" t="e">
        <f t="shared" ca="1" si="20"/>
        <v>#N/A</v>
      </c>
      <c r="DA40" s="4" t="e">
        <f ca="1">IF(LEFT($J35,7)="Clad Wo",IF(AND(INDEX(SPPWS,CZ40,4)&gt;=$AB35,INDEX(SPPWS,CZ40,5)&gt;=$S35,INDEX(SPPWS,CZ40,6)&gt;=$R35),1,0),IF(AND(INDEX(SPM,CZ40,4)&gt;=$AB35,INDEX(SPM,CZ40,5)&gt;=$S35,INDEX(SPM,CZ40,6)&gt;=$R35),1,0))</f>
        <v>#N/A</v>
      </c>
      <c r="DB40" s="4" t="e">
        <f ca="1">MATCH(1,OFFSET(DA35:DA46,DC39,0,COUNT(DA35:DA46)-DC39),0)</f>
        <v>#REF!</v>
      </c>
      <c r="DC40" s="4" t="e">
        <f t="shared" ca="1" si="21"/>
        <v>#REF!</v>
      </c>
      <c r="DD40" s="693" t="str">
        <f ca="1">IF(LEFT($J35,7)="Clad Wo",IFERROR(VLOOKUP(INDEX(CZ35:CZ46,DC40),SPPWS,2,FALSE),"----"),IFERROR(VLOOKUP(INDEX(CZ35:CZ46,DC40),SPM,2,FALSE),"----"))</f>
        <v>----</v>
      </c>
      <c r="DE40" s="691" t="e">
        <f t="shared" ca="1" si="22"/>
        <v>#REF!</v>
      </c>
      <c r="DF40" s="4" t="e" cm="1">
        <f t="array" aca="1" ref="DF40" ca="1">IF(AND(INDEX(INDIRECT(BY35),DE40,4)&gt;=$AB41,INDEX(INDIRECT(BY35),DE40,5)&gt;=$S35,INDEX(INDIRECT(BY35),DE40,6)&gt;=$R35),1,0)</f>
        <v>#REF!</v>
      </c>
      <c r="DG40" s="4" t="e">
        <f ca="1">MATCH(1,OFFSET(DF35:DF46,DH39,0,COUNT(DF35:DF46)-DH39),0)</f>
        <v>#REF!</v>
      </c>
      <c r="DH40" s="4" t="e">
        <f t="shared" ca="1" si="23"/>
        <v>#REF!</v>
      </c>
      <c r="DI40" s="692" t="str" cm="1">
        <f t="array" aca="1" ref="DI40" ca="1">IFERROR(VLOOKUP(INDEX(DE35:DE46,DH40),INDIRECT(BY35),2,FALSE),"----")</f>
        <v>----</v>
      </c>
      <c r="DJ40" s="691" t="e">
        <f t="shared" ca="1" si="24"/>
        <v>#N/A</v>
      </c>
      <c r="DK40" s="4" t="e">
        <f ca="1">IF(AND(INDEX(SSM,DJ40,4)&gt;=$AB41,INDEX(SSM,DJ40,5)&gt;=$S35,INDEX(SSM,DJ40,6)&gt;=$R35),1,0)</f>
        <v>#N/A</v>
      </c>
      <c r="DL40" s="4" t="e">
        <f ca="1">MATCH(1,OFFSET(DK35:DK46,DM39,0,COUNT(DK35:DK46)-DM39),0)</f>
        <v>#REF!</v>
      </c>
      <c r="DM40" s="4" t="e">
        <f t="shared" ca="1" si="25"/>
        <v>#REF!</v>
      </c>
      <c r="DN40" s="692" t="str">
        <f ca="1">IFERROR(IF(AD42="Nested Steel Stud (wood infill)",VLOOKUP(INDEX(DJ35:DJ46,DM40),SSW,2,FALSE),VLOOKUP(INDEX(DJ35:DJ46,DM40),SSM,2,FALSE)),"----")</f>
        <v>----</v>
      </c>
      <c r="DO40" s="691" t="e">
        <f t="shared" ca="1" si="26"/>
        <v>#N/A</v>
      </c>
      <c r="DP40" s="4" t="e">
        <f ca="1">IF(AND(INDEX(WSM,DO40,4)&gt;=$AB41,INDEX(WSM,DO40,5)&gt;=$S35,INDEX(WSM,DO40,6)&gt;=$R35),1,0)</f>
        <v>#N/A</v>
      </c>
      <c r="DQ40" s="4" t="e">
        <f ca="1">MATCH(1,OFFSET(DP35:DP46,DR39,0,COUNT(DP35:DP46)-DR39),0)</f>
        <v>#REF!</v>
      </c>
      <c r="DR40" s="4" t="e">
        <f t="shared" ca="1" si="27"/>
        <v>#REF!</v>
      </c>
      <c r="DS40" s="692" t="str">
        <f ca="1">IFERROR(VLOOKUP(INDEX(DO35:DO46,DR40),WSM,2,FALSE),"----")</f>
        <v>----</v>
      </c>
      <c r="DT40" s="691" t="e">
        <f t="shared" ca="1" si="28"/>
        <v>#N/A</v>
      </c>
      <c r="DU40" s="4" t="e">
        <f ca="1">IF(AND(INDEX(STM,DT40,4)&gt;=$AB41,INDEX(STM,DT40,5)&gt;=$S35,INDEX(STM,DT40,6)&gt;=$R35),1,0)</f>
        <v>#N/A</v>
      </c>
      <c r="DV40" s="4" t="e">
        <f ca="1">MATCH(1,OFFSET(DU35:DU46,DW39,0,COUNT(DU35:DU46)-DW39),0)</f>
        <v>#REF!</v>
      </c>
      <c r="DW40" s="4" t="e">
        <f t="shared" ca="1" si="29"/>
        <v>#REF!</v>
      </c>
      <c r="DX40" s="692" t="str">
        <f ca="1">IFERROR(VLOOKUP(INDEX(DT35:DT46,DW40),STM,2,FALSE),"----")</f>
        <v>----</v>
      </c>
      <c r="DY40" s="691" t="e">
        <f t="shared" ca="1" si="30"/>
        <v>#N/A</v>
      </c>
      <c r="DZ40" s="4" t="e">
        <f ca="1">IF(AND(INDEX(ELM,DY40,4)&gt;=$AB41,INDEX(ELM,DY40,5)&gt;=$S35,INDEX(ELM,DY40,6)&gt;=$R35),1,0)</f>
        <v>#N/A</v>
      </c>
      <c r="EA40" s="4" t="e">
        <f ca="1">MATCH(1,OFFSET(DZ35:DZ46,EB39,0,COUNT(DZ35:DZ46)-EB39),0)</f>
        <v>#REF!</v>
      </c>
      <c r="EB40" s="4" t="e">
        <f t="shared" ca="1" si="31"/>
        <v>#REF!</v>
      </c>
      <c r="EC40" s="692" t="str">
        <f ca="1">IFERROR(VLOOKUP(INDEX(DY35:DY46,EB40),ELM,2,FALSE),"----")</f>
        <v>----</v>
      </c>
      <c r="ED40" s="691" t="e">
        <f t="shared" ca="1" si="32"/>
        <v>#N/A</v>
      </c>
      <c r="EE40" s="4" t="e">
        <f ca="1">IF(LEFT($J35,7)="Clad Wo",IF(AND(INDEX(SPPWS,ED40,4)&gt;=$AB41,INDEX(SPPWS,ED40,5)&gt;=$S35,INDEX(SPPWS,ED40,6)&gt;=$R35),1,0),IF(AND(INDEX(SPM,ED40,4)&gt;=$AB41,INDEX(SPM,ED40,5)&gt;=$S35,INDEX(SPM,ED40,6)&gt;=$R35),1,0))</f>
        <v>#N/A</v>
      </c>
      <c r="EF40" s="4" t="e">
        <f ca="1">MATCH(1,OFFSET(EE35:EE46,EG39,0,COUNT(EE35:EE46)-EG39),0)</f>
        <v>#REF!</v>
      </c>
      <c r="EG40" s="4" t="e">
        <f t="shared" ca="1" si="40"/>
        <v>#REF!</v>
      </c>
      <c r="EH40" s="692" t="str">
        <f ca="1">IF(LEFT($J35,7)="Clad Wo",IFERROR(VLOOKUP(INDEX(ED35:ED46,EG40),SPPWS,2,FALSE),"----"),IFERROR(VLOOKUP(INDEX(ED35:ED46,EG40),SPM,2,FALSE),"----"))</f>
        <v>----</v>
      </c>
    </row>
    <row r="41" spans="1:177" ht="15" customHeight="1" x14ac:dyDescent="0.25">
      <c r="A41" s="1090"/>
      <c r="B41" s="925" t="s">
        <v>409</v>
      </c>
      <c r="C41" s="926"/>
      <c r="D41" s="927"/>
      <c r="E41" s="995"/>
      <c r="F41" s="996"/>
      <c r="G41" s="997"/>
      <c r="H41" s="1062"/>
      <c r="I41" s="990"/>
      <c r="J41" s="908"/>
      <c r="K41" s="909"/>
      <c r="L41" s="1001">
        <f>L35+1</f>
        <v>5</v>
      </c>
      <c r="M41" s="1064" t="str">
        <f>IFERROR(IF($AE$17="",IF($AG$19="Wind Loading",MIN($V$31,IF(E$11="ASCE 7-05",$U$26,$V$7)*$V$9*(IF($E$12&lt;60,0.156*LN(MAX(MIN(500,O35),10)) -1.7618,IF($E$11="ASCE 7-22", 0.2026*LN(MAX(MIN(500,O35),20))-2.2638,0.2503*LN(MAX(MIN(500,O35),20)) -2.5526))-$V$8)),$V$7*IF(E$12&lt;60,$V$13*($V$15*(0.156*LN(MAX(MIN(500,O35),10)) -1.7618)-$V$16),$V$13*$V$15*((0.2026*LN(MAX(MIN(500,O35),20))-2.2638)-$V$16))),-ABS($AE$17)),"")</f>
        <v/>
      </c>
      <c r="N41" s="1041" t="str">
        <f>IFERROR(IF($AE$19="",IF($AG$19="Wind Loading",MAX($U$31,IF(E$11="ASCE 7-05",$U$26,$V$7)*$V$9*((IF($E$12&lt;60,-0.077*LN(MAX(MIN(500,O35),10))+1.1737,IF($E$11="ASCE 7-22",-0.077*LN(MAX(MIN(500,O35),20))+1.0798,-0.093*LN(MAX(MIN(500,O35),20))+1.1776)))+$V$8)),$V$7*IF(E$12&lt;60,$V$13*($V$15*(-0.077*LN(MAX(MIN(500,O35),10))+1.1737)-$V$17),$V$13*$V$15*((-0.077*LN(MAX(MIN(500,O35),20))+1.0798)-$V$17))),ABS($AE$19)),"")</f>
        <v/>
      </c>
      <c r="O41" s="1018"/>
      <c r="P41" s="987"/>
      <c r="Q41" s="1015"/>
      <c r="R41" s="1012"/>
      <c r="S41" s="1006"/>
      <c r="T41" s="1007"/>
      <c r="U41" s="878"/>
      <c r="V41" s="881"/>
      <c r="W41" s="883" t="e">
        <f>MAX(-M41,N41)*O35</f>
        <v>#VALUE!</v>
      </c>
      <c r="X41" s="884"/>
      <c r="Y41" s="886">
        <f>IFERROR(IF(AG$14="Trapezoidal",BY44,BX44)+IF($E$17="4",(400*E35^3)/(48*X35),0),0)</f>
        <v>0</v>
      </c>
      <c r="Z41" s="886" t="e">
        <f>+($V35*MAX(-$M41,$N41)*$E35^2)/(144*8)+IF($E$17=4,(400*$E35)/4,0)</f>
        <v>#VALUE!</v>
      </c>
      <c r="AA41" s="887"/>
      <c r="AB41" s="1080" t="str">
        <f ca="1">IFERROR(Z41-AA35,"")</f>
        <v/>
      </c>
      <c r="AC41" s="1086" t="str">
        <f ca="1">IFERROR(Y41-U35,"")</f>
        <v/>
      </c>
      <c r="AD41" s="1074" t="str">
        <f>AD35</f>
        <v/>
      </c>
      <c r="AE41" s="1075"/>
      <c r="AF41" s="1056"/>
      <c r="AG41" s="1057"/>
      <c r="AH41" s="1057"/>
      <c r="AI41" s="1088"/>
      <c r="AJ41" s="1089"/>
      <c r="AK41" s="162" t="str">
        <f t="shared" ca="1" si="4"/>
        <v/>
      </c>
      <c r="AL41" s="1058" t="str">
        <f>IFERROR(ROUND(SQRT(P35^2+(W41/2+IF($E$17=4,200,0))^2),0),"")</f>
        <v/>
      </c>
      <c r="AM41" s="342" t="s">
        <v>669</v>
      </c>
      <c r="AN41" t="str">
        <f t="shared" ca="1" si="5"/>
        <v/>
      </c>
      <c r="AP41" s="122" t="str">
        <f>_xlfn.CONCAT(AR41,AS46)</f>
        <v/>
      </c>
      <c r="AQ41" s="683" t="str">
        <f>IFERROR(LEFT(AP41,LEN(AP41)-1),"")</f>
        <v/>
      </c>
      <c r="AR41" s="96" t="str">
        <f t="shared" si="3"/>
        <v/>
      </c>
      <c r="AS41" s="96" t="str">
        <f>IF(COUNTIF(imp_1,AF41)=1,"imp_1",IF(COUNTIF(imp_2,AF41)=1,"imp_2",IF(COUNTIF(imp_3,AF41)=1,"imp_3",IF(COUNTIF(impdoor,AF41)=1,"impdoor",""))))</f>
        <v/>
      </c>
      <c r="AT41" s="684" t="str">
        <f>AL41</f>
        <v/>
      </c>
      <c r="AU41" s="685" t="e">
        <f t="shared" ca="1" si="6"/>
        <v>#REF!</v>
      </c>
      <c r="AV41" s="686" t="str">
        <f ca="1">IFERROR(VLOOKUP(AU41,INDIRECT(AQ35),2,FALSE),"----")</f>
        <v>----</v>
      </c>
      <c r="AW41" s="685" t="e">
        <f t="shared" ca="1" si="33"/>
        <v>#REF!</v>
      </c>
      <c r="AX41" s="686" t="str">
        <f ca="1">IFERROR(VLOOKUP(AW41,INDIRECT(AQ36),2,FALSE),"----")</f>
        <v>----</v>
      </c>
      <c r="AY41" s="685" t="e">
        <f t="shared" ref="AY41" ca="1" si="42">AY40-1</f>
        <v>#REF!</v>
      </c>
      <c r="AZ41" s="686" t="str">
        <f ca="1">IFERROR(VLOOKUP(AY41,INDIRECT(AQ37),2,FALSE),"----")</f>
        <v>----</v>
      </c>
      <c r="BA41" s="685" t="e">
        <f t="shared" ref="BA41" ca="1" si="43">BA40-1</f>
        <v>#REF!</v>
      </c>
      <c r="BB41" s="686" t="str">
        <f ca="1">IFERROR(VLOOKUP(BA41,INDIRECT(AQ38),2,FALSE),"----")</f>
        <v>----</v>
      </c>
      <c r="BC41" s="685" t="e">
        <f t="shared" ca="1" si="35"/>
        <v>#REF!</v>
      </c>
      <c r="BD41" s="686" t="str">
        <f ca="1">IFERROR(VLOOKUP(BC41,INDIRECT(AQ39),2,FALSE),"----")</f>
        <v>----</v>
      </c>
      <c r="BE41" s="685" t="e">
        <f t="shared" ca="1" si="7"/>
        <v>#REF!</v>
      </c>
      <c r="BF41" s="686" t="str">
        <f ca="1">IFERROR(VLOOKUP(BE41,INDIRECT(AQ40),2,FALSE),"----")</f>
        <v>----</v>
      </c>
      <c r="BG41" s="702" t="e">
        <f t="shared" ca="1" si="8"/>
        <v>#REF!</v>
      </c>
      <c r="BH41" s="686" t="str">
        <f ca="1">IFERROR(VLOOKUP(BG41,INDIRECT(AQ41),2,FALSE),"----")</f>
        <v>----</v>
      </c>
      <c r="BI41" s="702" t="e">
        <f t="shared" ca="1" si="36"/>
        <v>#REF!</v>
      </c>
      <c r="BJ41" s="686" t="str">
        <f ca="1">IFERROR(VLOOKUP(BI41,INDIRECT(AQ42),2,FALSE),"----")</f>
        <v>----</v>
      </c>
      <c r="BK41" s="702" t="e">
        <f t="shared" ca="1" si="37"/>
        <v>#REF!</v>
      </c>
      <c r="BL41" s="686" t="str">
        <f ca="1">IFERROR(VLOOKUP(BK41,INDIRECT(AQ43),2,FALSE),"----")</f>
        <v>----</v>
      </c>
      <c r="BM41" s="702" t="e">
        <f t="shared" ca="1" si="38"/>
        <v>#REF!</v>
      </c>
      <c r="BN41" s="686" t="str">
        <f ca="1">IFERROR(VLOOKUP(BM41,INDIRECT(AQ44),2,FALSE),"----")</f>
        <v>----</v>
      </c>
      <c r="BO41" s="702" t="e">
        <f t="shared" ca="1" si="39"/>
        <v>#REF!</v>
      </c>
      <c r="BP41" s="686" t="str">
        <f ca="1">IFERROR(VLOOKUP(BO41,INDIRECT(AQ45),2,FALSE),"----")</f>
        <v>----</v>
      </c>
      <c r="BQ41" s="702" t="e">
        <f t="shared" ca="1" si="9"/>
        <v>#REF!</v>
      </c>
      <c r="BR41" s="686" t="str">
        <f ca="1">IFERROR(VLOOKUP(BQ41,INDIRECT(AQ46),2,FALSE),"----")</f>
        <v>----</v>
      </c>
      <c r="BS41" s="695">
        <f>IF(AI41="",1,IF(COUNTIF(BH35:BH46,AI41)=0,2,1))</f>
        <v>1</v>
      </c>
      <c r="BT41" s="696">
        <f>IF(AP41="1",1,IF(AF41="",1,IF(BH35=".",2,1)))</f>
        <v>1</v>
      </c>
      <c r="BU41" s="689"/>
      <c r="BV41" s="155">
        <f ca="1">IF(COUNTIF(DI35:DI46,AF41)=0,IF(AF41&lt;&gt;"",0,1),1)</f>
        <v>1</v>
      </c>
      <c r="BW41" s="157">
        <f ca="1">IFERROR(MATCH(AF41,DI35:DI46,0),1)</f>
        <v>1</v>
      </c>
      <c r="BX41" s="769" t="s">
        <v>1593</v>
      </c>
      <c r="BY41" s="769" t="s">
        <v>1629</v>
      </c>
      <c r="BZ41" s="1112"/>
      <c r="CA41" s="691" t="e">
        <f t="shared" ca="1" si="10"/>
        <v>#REF!</v>
      </c>
      <c r="CB41" s="4" t="e" cm="1">
        <f t="array" aca="1" ref="CB41" ca="1">IF(AND(INDEX(INDIRECT(BY35),CA41,4)&gt;=$AB35,INDEX(INDIRECT(BY35),CA41,5)&gt;=$S35,INDEX(INDIRECT(BY35),CA41,6)&gt;=$R35),1,0)</f>
        <v>#REF!</v>
      </c>
      <c r="CC41" s="4" t="e">
        <f ca="1">MATCH(1,OFFSET(CB35:CB46,CD40,0,COUNT(CB35:CB46)-CD40),0)</f>
        <v>#REF!</v>
      </c>
      <c r="CD41" s="4" t="e">
        <f t="shared" ca="1" si="11"/>
        <v>#REF!</v>
      </c>
      <c r="CE41" s="692" t="str" cm="1">
        <f t="array" aca="1" ref="CE41" ca="1">IFERROR(VLOOKUP(INDEX(CA35:CA46,CD41),INDIRECT(BY35),2,FALSE),"----")</f>
        <v>----</v>
      </c>
      <c r="CF41" s="691" t="e">
        <f t="shared" ca="1" si="12"/>
        <v>#N/A</v>
      </c>
      <c r="CG41" s="4" t="e">
        <f ca="1">IF(AND(INDEX(SSM,CF41,4)&gt;=$AB35,INDEX(SSM,CF41,5)&gt;=$S35,INDEX(SSM,CF41,6)&gt;=$R35),1,0)</f>
        <v>#N/A</v>
      </c>
      <c r="CH41" s="4" t="e">
        <f ca="1">MATCH(1,OFFSET(CG35:CG46,CI40,0,COUNT(CG35:CG46)-CI40),0)</f>
        <v>#REF!</v>
      </c>
      <c r="CI41" s="4" t="e">
        <f t="shared" ca="1" si="13"/>
        <v>#REF!</v>
      </c>
      <c r="CJ41" s="692" t="str">
        <f ca="1">IFERROR(IF(AD36="Nested Steel Stud (wood infill)",VLOOKUP(INDEX(CF35:CF46,CI41),SSW,2,FALSE),VLOOKUP(INDEX(CF35:CF46,CI41),SSM,2,FALSE)),"----")</f>
        <v>----</v>
      </c>
      <c r="CK41" s="691" t="e">
        <f t="shared" ca="1" si="14"/>
        <v>#N/A</v>
      </c>
      <c r="CL41" s="4" t="e">
        <f ca="1">IF(AND(INDEX(WSM,CK41,4)&gt;=$AB35,INDEX(WSM,CK41,5)&gt;=$S35,INDEX(WSM,CK41,6)&gt;=$R35),1,0)</f>
        <v>#N/A</v>
      </c>
      <c r="CM41" s="4" t="e">
        <f ca="1">MATCH(1,OFFSET(CL35:CL46,CN40,0,COUNT(CL35:CL46)-CN40),0)</f>
        <v>#REF!</v>
      </c>
      <c r="CN41" s="4" t="e">
        <f t="shared" ca="1" si="15"/>
        <v>#REF!</v>
      </c>
      <c r="CO41" s="692" t="str">
        <f ca="1">IFERROR(VLOOKUP(INDEX(CK35:CK46,CN41),WSM,2,FALSE),"----")</f>
        <v>----</v>
      </c>
      <c r="CP41" s="691" t="e">
        <f t="shared" ca="1" si="16"/>
        <v>#N/A</v>
      </c>
      <c r="CQ41" s="4" t="e">
        <f ca="1">IF(AND(INDEX(STM,CP41,4)&gt;=$AB35,INDEX(STM,CP41,5)&gt;=$S35,INDEX(STM,CP41,6)&gt;=$R35),1,0)</f>
        <v>#N/A</v>
      </c>
      <c r="CR41" s="4" t="e">
        <f ca="1">MATCH(1,OFFSET(CQ35:CQ46,CS40,0,COUNT(CQ35:CQ46)-CS40),0)</f>
        <v>#REF!</v>
      </c>
      <c r="CS41" s="4" t="e">
        <f t="shared" ca="1" si="17"/>
        <v>#REF!</v>
      </c>
      <c r="CT41" s="692" t="str">
        <f ca="1">IFERROR(VLOOKUP(INDEX(CP35:CP46,CS41),STM,2,FALSE),"----")</f>
        <v>----</v>
      </c>
      <c r="CU41" s="691" t="e">
        <f t="shared" ca="1" si="18"/>
        <v>#N/A</v>
      </c>
      <c r="CV41" s="4" t="e">
        <f ca="1">IF(AND(INDEX(ELM,CU41,4)&gt;=$AB35,INDEX(ELM,CU41,5)&gt;=$S35,INDEX(ELM,CU41,6)&gt;=$R35),1,0)</f>
        <v>#N/A</v>
      </c>
      <c r="CW41" s="4" t="e">
        <f ca="1">MATCH(1,OFFSET(CV35:CV46,CX40,0,COUNT(CV35:CV46)-CX40),0)</f>
        <v>#REF!</v>
      </c>
      <c r="CX41" s="4" t="e">
        <f t="shared" ca="1" si="19"/>
        <v>#REF!</v>
      </c>
      <c r="CY41" s="692" t="str">
        <f ca="1">IFERROR(VLOOKUP(INDEX(CU35:CU46,CX41),ELM,2,FALSE),"----")</f>
        <v>----</v>
      </c>
      <c r="CZ41" s="691" t="e">
        <f t="shared" ca="1" si="20"/>
        <v>#N/A</v>
      </c>
      <c r="DA41" s="4" t="e">
        <f ca="1">IF(LEFT($J35,7)="Clad Wo",IF(AND(INDEX(SPPWS,CZ41,4)&gt;=$AB35,INDEX(SPPWS,CZ41,5)&gt;=$S35,INDEX(SPPWS,CZ41,6)&gt;=$R35),1,0),IF(AND(INDEX(SPM,CZ41,4)&gt;=$AB35,INDEX(SPM,CZ41,5)&gt;=$S35,INDEX(SPM,CZ41,6)&gt;=$R35),1,0))</f>
        <v>#N/A</v>
      </c>
      <c r="DB41" s="4" t="e">
        <f ca="1">MATCH(1,OFFSET(DA35:DA46,DC40,0,COUNT(DA35:DA46)-DC40),0)</f>
        <v>#REF!</v>
      </c>
      <c r="DC41" s="4" t="e">
        <f t="shared" ca="1" si="21"/>
        <v>#REF!</v>
      </c>
      <c r="DD41" s="693" t="str">
        <f ca="1">IF(LEFT($J35,7)="Clad Wo",IFERROR(VLOOKUP(INDEX(CZ35:CZ46,DC41),SPPWS,2,FALSE),"----"),IFERROR(VLOOKUP(INDEX(CZ35:CZ46,DC41),SPM,2,FALSE),"----"))</f>
        <v>----</v>
      </c>
      <c r="DE41" s="691" t="e">
        <f t="shared" ca="1" si="22"/>
        <v>#REF!</v>
      </c>
      <c r="DF41" s="4" t="e" cm="1">
        <f t="array" aca="1" ref="DF41" ca="1">IF(AND(INDEX(INDIRECT(BY35),DE41,4)&gt;=$AB41,INDEX(INDIRECT(BY35),DE41,5)&gt;=$S35,INDEX(INDIRECT(BY35),DE41,6)&gt;=$R35),1,0)</f>
        <v>#REF!</v>
      </c>
      <c r="DG41" s="4" t="e">
        <f ca="1">MATCH(1,OFFSET(DF35:DF46,DH40,0,COUNT(DF35:DF46)-DH40),0)</f>
        <v>#REF!</v>
      </c>
      <c r="DH41" s="4" t="e">
        <f t="shared" ca="1" si="23"/>
        <v>#REF!</v>
      </c>
      <c r="DI41" s="692" t="str" cm="1">
        <f t="array" aca="1" ref="DI41" ca="1">IFERROR(VLOOKUP(INDEX(DE35:DE46,DH41),INDIRECT(BY35),2,FALSE),"----")</f>
        <v>----</v>
      </c>
      <c r="DJ41" s="691" t="e">
        <f t="shared" ca="1" si="24"/>
        <v>#N/A</v>
      </c>
      <c r="DK41" s="4" t="e">
        <f ca="1">IF(AND(INDEX(SSM,DJ41,4)&gt;=$AB41,INDEX(SSM,DJ41,5)&gt;=$S35,INDEX(SSM,DJ41,6)&gt;=$R35),1,0)</f>
        <v>#N/A</v>
      </c>
      <c r="DL41" s="4" t="e">
        <f ca="1">MATCH(1,OFFSET(DK35:DK46,DM40,0,COUNT(DK35:DK46)-DM40),0)</f>
        <v>#REF!</v>
      </c>
      <c r="DM41" s="4" t="e">
        <f t="shared" ca="1" si="25"/>
        <v>#REF!</v>
      </c>
      <c r="DN41" s="692" t="str">
        <f ca="1">IFERROR(IF(AD42="Nested Steel Stud (wood infill)",VLOOKUP(INDEX(DJ35:DJ46,DM41),SSW,2,FALSE),VLOOKUP(INDEX(DJ35:DJ46,DM41),SSM,2,FALSE)),"----")</f>
        <v>----</v>
      </c>
      <c r="DO41" s="691" t="e">
        <f t="shared" ca="1" si="26"/>
        <v>#N/A</v>
      </c>
      <c r="DP41" s="4" t="e">
        <f ca="1">IF(AND(INDEX(WSM,DO41,4)&gt;=$AB41,INDEX(WSM,DO41,5)&gt;=$S35,INDEX(WSM,DO41,6)&gt;=$R35),1,0)</f>
        <v>#N/A</v>
      </c>
      <c r="DQ41" s="4" t="e">
        <f ca="1">MATCH(1,OFFSET(DP35:DP46,DR40,0,COUNT(DP35:DP46)-DR40),0)</f>
        <v>#REF!</v>
      </c>
      <c r="DR41" s="4" t="e">
        <f t="shared" ca="1" si="27"/>
        <v>#REF!</v>
      </c>
      <c r="DS41" s="692" t="str">
        <f ca="1">IFERROR(VLOOKUP(INDEX(DO35:DO46,DR41),WSM,2,FALSE),"----")</f>
        <v>----</v>
      </c>
      <c r="DT41" s="691" t="e">
        <f t="shared" ca="1" si="28"/>
        <v>#N/A</v>
      </c>
      <c r="DU41" s="4" t="e">
        <f ca="1">IF(AND(INDEX(STM,DT41,4)&gt;=$AB41,INDEX(STM,DT41,5)&gt;=$S35,INDEX(STM,DT41,6)&gt;=$R35),1,0)</f>
        <v>#N/A</v>
      </c>
      <c r="DV41" s="4" t="e">
        <f ca="1">MATCH(1,OFFSET(DU35:DU46,DW40,0,COUNT(DU35:DU46)-DW40),0)</f>
        <v>#REF!</v>
      </c>
      <c r="DW41" s="4" t="e">
        <f t="shared" ca="1" si="29"/>
        <v>#REF!</v>
      </c>
      <c r="DX41" s="692" t="str">
        <f ca="1">IFERROR(VLOOKUP(INDEX(DT35:DT46,DW41),STM,2,FALSE),"----")</f>
        <v>----</v>
      </c>
      <c r="DY41" s="691" t="e">
        <f t="shared" ca="1" si="30"/>
        <v>#N/A</v>
      </c>
      <c r="DZ41" s="4" t="e">
        <f ca="1">IF(AND(INDEX(ELM,DY41,4)&gt;=$AB41,INDEX(ELM,DY41,5)&gt;=$S35,INDEX(ELM,DY41,6)&gt;=$R35),1,0)</f>
        <v>#N/A</v>
      </c>
      <c r="EA41" s="4" t="e">
        <f ca="1">MATCH(1,OFFSET(DZ35:DZ46,EB40,0,COUNT(DZ35:DZ46)-EB40),0)</f>
        <v>#REF!</v>
      </c>
      <c r="EB41" s="4" t="e">
        <f t="shared" ca="1" si="31"/>
        <v>#REF!</v>
      </c>
      <c r="EC41" s="692" t="str">
        <f ca="1">IFERROR(VLOOKUP(INDEX(DY35:DY46,EB41),ELM,2,FALSE),"----")</f>
        <v>----</v>
      </c>
      <c r="ED41" s="691" t="e">
        <f t="shared" ca="1" si="32"/>
        <v>#N/A</v>
      </c>
      <c r="EE41" s="4" t="e">
        <f ca="1">IF(LEFT($J35,7)="Clad Wo",IF(AND(INDEX(SPPWS,ED41,4)&gt;=$AB41,INDEX(SPPWS,ED41,5)&gt;=$S35,INDEX(SPPWS,ED41,6)&gt;=$R35),1,0),IF(AND(INDEX(SPM,ED41,4)&gt;=$AB41,INDEX(SPM,ED41,5)&gt;=$S35,INDEX(SPM,ED41,6)&gt;=$R35),1,0))</f>
        <v>#N/A</v>
      </c>
      <c r="EF41" s="4" t="e">
        <f ca="1">MATCH(1,OFFSET(EE35:EE46,EG40,0,COUNT(EE35:EE46)-EG40),0)</f>
        <v>#REF!</v>
      </c>
      <c r="EG41" s="4" t="e">
        <f t="shared" ca="1" si="40"/>
        <v>#REF!</v>
      </c>
      <c r="EH41" s="692" t="str">
        <f ca="1">IF(LEFT($J35,7)="Clad Wo",IFERROR(VLOOKUP(INDEX(ED35:ED46,EG41),SPPWS,2,FALSE),"----"),IFERROR(VLOOKUP(INDEX(ED35:ED46,EG41),SPM,2,FALSE),"----"))</f>
        <v>----</v>
      </c>
    </row>
    <row r="42" spans="1:177" ht="15" customHeight="1" x14ac:dyDescent="0.25">
      <c r="A42" s="1090"/>
      <c r="B42" s="925"/>
      <c r="C42" s="926"/>
      <c r="D42" s="927"/>
      <c r="E42" s="995"/>
      <c r="F42" s="996"/>
      <c r="G42" s="997"/>
      <c r="H42" s="1062"/>
      <c r="I42" s="990"/>
      <c r="J42" s="912"/>
      <c r="K42" s="913"/>
      <c r="L42" s="1002"/>
      <c r="M42" s="923"/>
      <c r="N42" s="1042"/>
      <c r="O42" s="1018"/>
      <c r="P42" s="987"/>
      <c r="Q42" s="1015"/>
      <c r="R42" s="1012"/>
      <c r="S42" s="1006"/>
      <c r="T42" s="1007"/>
      <c r="U42" s="878"/>
      <c r="V42" s="881"/>
      <c r="W42" s="884"/>
      <c r="X42" s="884"/>
      <c r="Y42" s="887"/>
      <c r="Z42" s="887"/>
      <c r="AA42" s="887"/>
      <c r="AB42" s="1081"/>
      <c r="AC42" s="1078"/>
      <c r="AD42" s="1070" t="str">
        <f>IF(ISBLANK(AD36)=TRUE,"",AD36)</f>
        <v>Nested Steel Stud</v>
      </c>
      <c r="AE42" s="1071"/>
      <c r="AF42" s="1052"/>
      <c r="AG42" s="1053"/>
      <c r="AH42" s="1053"/>
      <c r="AI42" s="1066"/>
      <c r="AJ42" s="1067"/>
      <c r="AK42" s="156" t="str">
        <f t="shared" ca="1" si="4"/>
        <v/>
      </c>
      <c r="AL42" s="1059"/>
      <c r="AM42" s="343" t="str">
        <f ca="1">IFERROR(Q35/12*ROUND(VLOOKUP(AF42,OFFSET(SSM,0,1),6,FALSE),2),"")</f>
        <v/>
      </c>
      <c r="AN42" t="str">
        <f t="shared" ca="1" si="5"/>
        <v/>
      </c>
      <c r="AP42" s="122" t="str">
        <f>_xlfn.CONCAT(AR42,AS46)</f>
        <v/>
      </c>
      <c r="AQ42" s="683" t="str">
        <f>IFERROR(LEFT(AP42,LEN(AP42)-1),"")</f>
        <v/>
      </c>
      <c r="AR42" s="96" t="str">
        <f t="shared" si="3"/>
        <v/>
      </c>
      <c r="AS42" s="96" t="str">
        <f>IF(COUNTIF(Vista_1,AF41)=1,"Vista_1",IF(COUNTIF(Vista_2,AF41)=1,"Vista_2",""))</f>
        <v/>
      </c>
      <c r="AT42" s="684" t="str">
        <f>AL41</f>
        <v/>
      </c>
      <c r="AU42" s="694" t="e">
        <f t="shared" ca="1" si="6"/>
        <v>#REF!</v>
      </c>
      <c r="AV42" s="686" t="str">
        <f ca="1">IFERROR(VLOOKUP(AU42,INDIRECT(AQ35),2,FALSE),"----")</f>
        <v>----</v>
      </c>
      <c r="AW42" s="694" t="e">
        <f t="shared" ca="1" si="33"/>
        <v>#REF!</v>
      </c>
      <c r="AX42" s="686" t="str">
        <f ca="1">IFERROR(VLOOKUP(AW42,INDIRECT(AQ36),2,FALSE),"----")</f>
        <v>----</v>
      </c>
      <c r="AY42" s="694" t="e">
        <f t="shared" ref="AY42" ca="1" si="44">AY41-1</f>
        <v>#REF!</v>
      </c>
      <c r="AZ42" s="686" t="str">
        <f ca="1">IFERROR(VLOOKUP(AY42,INDIRECT(AQ37),2,FALSE),"----")</f>
        <v>----</v>
      </c>
      <c r="BA42" s="694" t="e">
        <f t="shared" ref="BA42" ca="1" si="45">BA41-1</f>
        <v>#REF!</v>
      </c>
      <c r="BB42" s="686" t="str">
        <f ca="1">IFERROR(VLOOKUP(BA42,INDIRECT(AQ38),2,FALSE),"----")</f>
        <v>----</v>
      </c>
      <c r="BC42" s="694" t="e">
        <f t="shared" ca="1" si="35"/>
        <v>#REF!</v>
      </c>
      <c r="BD42" s="686" t="str">
        <f ca="1">IFERROR(VLOOKUP(BC42,INDIRECT(AQ39),2,FALSE),"----")</f>
        <v>----</v>
      </c>
      <c r="BE42" s="694" t="e">
        <f t="shared" ca="1" si="7"/>
        <v>#REF!</v>
      </c>
      <c r="BF42" s="686" t="str">
        <f ca="1">IFERROR(VLOOKUP(BE42,INDIRECT(AQ40),2,FALSE),"----")</f>
        <v>----</v>
      </c>
      <c r="BG42" s="702" t="e">
        <f t="shared" ca="1" si="8"/>
        <v>#REF!</v>
      </c>
      <c r="BH42" s="686" t="str">
        <f ca="1">IFERROR(VLOOKUP(BG42,INDIRECT(AQ41),2,FALSE),"----")</f>
        <v>----</v>
      </c>
      <c r="BI42" s="702" t="e">
        <f t="shared" ca="1" si="36"/>
        <v>#REF!</v>
      </c>
      <c r="BJ42" s="686" t="str">
        <f ca="1">IFERROR(VLOOKUP(BI42,INDIRECT(AQ42),2,FALSE),"----")</f>
        <v>----</v>
      </c>
      <c r="BK42" s="702" t="e">
        <f t="shared" ca="1" si="37"/>
        <v>#REF!</v>
      </c>
      <c r="BL42" s="686" t="str">
        <f ca="1">IFERROR(VLOOKUP(BK42,INDIRECT(AQ43),2,FALSE),"----")</f>
        <v>----</v>
      </c>
      <c r="BM42" s="702" t="e">
        <f t="shared" ca="1" si="38"/>
        <v>#REF!</v>
      </c>
      <c r="BN42" s="686" t="str">
        <f ca="1">IFERROR(VLOOKUP(BM42,INDIRECT(AQ44),2,FALSE),"----")</f>
        <v>----</v>
      </c>
      <c r="BO42" s="702" t="e">
        <f t="shared" ca="1" si="39"/>
        <v>#REF!</v>
      </c>
      <c r="BP42" s="686" t="str">
        <f ca="1">IFERROR(VLOOKUP(BO42,INDIRECT(AQ45),2,FALSE),"----")</f>
        <v>----</v>
      </c>
      <c r="BQ42" s="702" t="e">
        <f t="shared" ca="1" si="9"/>
        <v>#REF!</v>
      </c>
      <c r="BR42" s="686" t="str">
        <f ca="1">IFERROR(VLOOKUP(BQ42,INDIRECT(AQ46),2,FALSE),"----")</f>
        <v>----</v>
      </c>
      <c r="BS42" s="695">
        <f>IF(AI42="",1,IF(COUNTIF(BJ35:BJ46,AI42)=0,2,1))</f>
        <v>1</v>
      </c>
      <c r="BT42" s="696">
        <f>IF(AF42="",1,IF(BJ35=".",2,1))</f>
        <v>1</v>
      </c>
      <c r="BU42" s="706"/>
      <c r="BV42" s="155">
        <f ca="1">IF(COUNTIF(DN35:DN46,AF42)=0,IF(AF42&lt;&gt;"",0,1),1)</f>
        <v>1</v>
      </c>
      <c r="BW42" s="157">
        <f ca="1">IFERROR(MATCH(AF42,DN35:DN46,0),1)</f>
        <v>1</v>
      </c>
      <c r="BX42" s="769">
        <f>E35*(H35+I35)/144/2</f>
        <v>0</v>
      </c>
      <c r="BY42" s="769">
        <f>SUM(IF(H35&gt;E35,E35^2/4,(H35*E35/2)-(H35^2/4))/144,IF(I35&gt;E35,E35^2/4,(I35*E35/2)-(I35^2/4))/144)</f>
        <v>0</v>
      </c>
      <c r="BZ42" s="1112"/>
      <c r="CA42" s="691" t="e">
        <f t="shared" ca="1" si="10"/>
        <v>#REF!</v>
      </c>
      <c r="CB42" s="4" t="e" cm="1">
        <f t="array" aca="1" ref="CB42" ca="1">IF(AND(INDEX(INDIRECT(BY35),CA42,4)&gt;=$AB35,INDEX(INDIRECT(BY35),CA42,5)&gt;=$S35,INDEX(INDIRECT(BY35),CA42,6)&gt;=$R35),1,0)</f>
        <v>#REF!</v>
      </c>
      <c r="CC42" s="4" t="e">
        <f ca="1">MATCH(1,OFFSET(CB35:CB46,CD41,0,COUNT(CB35:CB46)-CD41),0)</f>
        <v>#REF!</v>
      </c>
      <c r="CD42" s="4" t="e">
        <f t="shared" ca="1" si="11"/>
        <v>#REF!</v>
      </c>
      <c r="CE42" s="692" t="str" cm="1">
        <f t="array" aca="1" ref="CE42" ca="1">IFERROR(VLOOKUP(INDEX(CA35:CA46,CD42),INDIRECT(BY35),2,FALSE),"----")</f>
        <v>----</v>
      </c>
      <c r="CF42" s="691" t="e">
        <f t="shared" ca="1" si="12"/>
        <v>#N/A</v>
      </c>
      <c r="CG42" s="4" t="e">
        <f ca="1">IF(AND(INDEX(SSM,CF42,4)&gt;=$AB35,INDEX(SSM,CF42,5)&gt;=$S35,INDEX(SSM,CF42,6)&gt;=$R35),1,0)</f>
        <v>#N/A</v>
      </c>
      <c r="CH42" s="4" t="e">
        <f ca="1">MATCH(1,OFFSET(CG35:CG46,CI41,0,COUNT(CG35:CG46)-CI41),0)</f>
        <v>#REF!</v>
      </c>
      <c r="CI42" s="4" t="e">
        <f t="shared" ca="1" si="13"/>
        <v>#REF!</v>
      </c>
      <c r="CJ42" s="692" t="str">
        <f ca="1">IFERROR(IF(AD36="Nested Steel Stud (wood infill)",VLOOKUP(INDEX(CF35:CF46,CI42),SSW,2,FALSE),VLOOKUP(INDEX(CF35:CF46,CI42),SSM,2,FALSE)),"----")</f>
        <v>----</v>
      </c>
      <c r="CK42" s="691" t="e">
        <f t="shared" ca="1" si="14"/>
        <v>#N/A</v>
      </c>
      <c r="CL42" s="4" t="e">
        <f ca="1">IF(AND(INDEX(WSM,CK42,4)&gt;=$AB35,INDEX(WSM,CK42,5)&gt;=$S35,INDEX(WSM,CK42,6)&gt;=$R35),1,0)</f>
        <v>#N/A</v>
      </c>
      <c r="CM42" s="4" t="e">
        <f ca="1">MATCH(1,OFFSET(CL35:CL46,CN41,0,COUNT(CL35:CL46)-CN41),0)</f>
        <v>#REF!</v>
      </c>
      <c r="CN42" s="4" t="e">
        <f t="shared" ca="1" si="15"/>
        <v>#REF!</v>
      </c>
      <c r="CO42" s="692" t="str">
        <f ca="1">IFERROR(VLOOKUP(INDEX(CK35:CK46,CN42),WSM,2,FALSE),"----")</f>
        <v>----</v>
      </c>
      <c r="CP42" s="691" t="e">
        <f t="shared" ca="1" si="16"/>
        <v>#N/A</v>
      </c>
      <c r="CQ42" s="4" t="e">
        <f ca="1">IF(AND(INDEX(STM,CP42,4)&gt;=$AB35,INDEX(STM,CP42,5)&gt;=$S35,INDEX(STM,CP42,6)&gt;=$R35),1,0)</f>
        <v>#N/A</v>
      </c>
      <c r="CR42" s="4" t="e">
        <f ca="1">MATCH(1,OFFSET(CQ35:CQ46,CS41,0,COUNT(CQ35:CQ46)-CS41),0)</f>
        <v>#REF!</v>
      </c>
      <c r="CS42" s="4" t="e">
        <f t="shared" ca="1" si="17"/>
        <v>#REF!</v>
      </c>
      <c r="CT42" s="692" t="str">
        <f ca="1">IFERROR(VLOOKUP(INDEX(CP35:CP46,CS42),STM,2,FALSE),"----")</f>
        <v>----</v>
      </c>
      <c r="CU42" s="691" t="e">
        <f t="shared" ca="1" si="18"/>
        <v>#N/A</v>
      </c>
      <c r="CV42" s="4" t="e">
        <f ca="1">IF(AND(INDEX(ELM,CU42,4)&gt;=$AB35,INDEX(ELM,CU42,5)&gt;=$S35,INDEX(ELM,CU42,6)&gt;=$R35),1,0)</f>
        <v>#N/A</v>
      </c>
      <c r="CW42" s="4" t="e">
        <f ca="1">MATCH(1,OFFSET(CV35:CV46,CX41,0,COUNT(CV35:CV46)-CX41),0)</f>
        <v>#REF!</v>
      </c>
      <c r="CX42" s="4" t="e">
        <f t="shared" ca="1" si="19"/>
        <v>#REF!</v>
      </c>
      <c r="CY42" s="692" t="str">
        <f ca="1">IFERROR(VLOOKUP(INDEX(CU35:CU46,CX42),ELM,2,FALSE),"----")</f>
        <v>----</v>
      </c>
      <c r="CZ42" s="691" t="e">
        <f t="shared" ca="1" si="20"/>
        <v>#N/A</v>
      </c>
      <c r="DA42" s="4" t="e">
        <f ca="1">IF(LEFT($J35,7)="Clad Wo",IF(AND(INDEX(SPPWS,CZ42,4)&gt;=$AB35,INDEX(SPPWS,CZ42,5)&gt;=$S35,INDEX(SPPWS,CZ42,6)&gt;=$R35),1,0),IF(AND(INDEX(SPM,CZ42,4)&gt;=$AB35,INDEX(SPM,CZ42,5)&gt;=$S35,INDEX(SPM,CZ42,6)&gt;=$R35),1,0))</f>
        <v>#N/A</v>
      </c>
      <c r="DB42" s="4" t="e">
        <f ca="1">MATCH(1,OFFSET(DA35:DA46,DC41,0,COUNT(DA35:DA46)-DC41),0)</f>
        <v>#REF!</v>
      </c>
      <c r="DC42" s="4" t="e">
        <f t="shared" ca="1" si="21"/>
        <v>#REF!</v>
      </c>
      <c r="DD42" s="693" t="str">
        <f ca="1">IF(LEFT($J35,7)="Clad Wo",IFERROR(VLOOKUP(INDEX(CZ35:CZ46,DC42),SPPWS,2,FALSE),"----"),IFERROR(VLOOKUP(INDEX(CZ35:CZ46,DC42),SPM,2,FALSE),"----"))</f>
        <v>----</v>
      </c>
      <c r="DE42" s="691" t="e">
        <f t="shared" ca="1" si="22"/>
        <v>#REF!</v>
      </c>
      <c r="DF42" s="4" t="e" cm="1">
        <f t="array" aca="1" ref="DF42" ca="1">IF(AND(INDEX(INDIRECT(BY35),DE42,4)&gt;=$AB41,INDEX(INDIRECT(BY35),DE42,5)&gt;=$S35,INDEX(INDIRECT(BY35),DE42,6)&gt;=$R35),1,0)</f>
        <v>#REF!</v>
      </c>
      <c r="DG42" s="4" t="e">
        <f ca="1">MATCH(1,OFFSET(DF35:DF46,DH41,0,COUNT(DF35:DF46)-DH41),0)</f>
        <v>#REF!</v>
      </c>
      <c r="DH42" s="4" t="e">
        <f t="shared" ca="1" si="23"/>
        <v>#REF!</v>
      </c>
      <c r="DI42" s="692" t="str" cm="1">
        <f t="array" aca="1" ref="DI42" ca="1">IFERROR(VLOOKUP(INDEX(DE35:DE46,DH42),INDIRECT(BY35),2,FALSE),"----")</f>
        <v>----</v>
      </c>
      <c r="DJ42" s="691" t="e">
        <f t="shared" ca="1" si="24"/>
        <v>#N/A</v>
      </c>
      <c r="DK42" s="4" t="e">
        <f ca="1">IF(AND(INDEX(SSM,DJ42,4)&gt;=$AB41,INDEX(SSM,DJ42,5)&gt;=$S35,INDEX(SSM,DJ42,6)&gt;=$R35),1,0)</f>
        <v>#N/A</v>
      </c>
      <c r="DL42" s="4" t="e">
        <f ca="1">MATCH(1,OFFSET(DK35:DK46,DM41,0,COUNT(DK35:DK46)-DM41),0)</f>
        <v>#REF!</v>
      </c>
      <c r="DM42" s="4" t="e">
        <f t="shared" ca="1" si="25"/>
        <v>#REF!</v>
      </c>
      <c r="DN42" s="692" t="str">
        <f ca="1">IFERROR(IF(AD42="Nested Steel Stud (wood infill)",VLOOKUP(INDEX(DJ35:DJ46,DM42),SSW,2,FALSE),VLOOKUP(INDEX(DJ35:DJ46,DM42),SSM,2,FALSE)),"----")</f>
        <v>----</v>
      </c>
      <c r="DO42" s="691" t="e">
        <f t="shared" ca="1" si="26"/>
        <v>#N/A</v>
      </c>
      <c r="DP42" s="4" t="e">
        <f ca="1">IF(AND(INDEX(WSM,DO42,4)&gt;=$AB41,INDEX(WSM,DO42,5)&gt;=$S35,INDEX(WSM,DO42,6)&gt;=$R35),1,0)</f>
        <v>#N/A</v>
      </c>
      <c r="DQ42" s="4" t="e">
        <f ca="1">MATCH(1,OFFSET(DP35:DP46,DR41,0,COUNT(DP35:DP46)-DR41),0)</f>
        <v>#REF!</v>
      </c>
      <c r="DR42" s="4" t="e">
        <f t="shared" ca="1" si="27"/>
        <v>#REF!</v>
      </c>
      <c r="DS42" s="692" t="str">
        <f ca="1">IFERROR(VLOOKUP(INDEX(DO35:DO46,DR42),WSM,2,FALSE),"----")</f>
        <v>----</v>
      </c>
      <c r="DT42" s="691" t="e">
        <f t="shared" ca="1" si="28"/>
        <v>#N/A</v>
      </c>
      <c r="DU42" s="4" t="e">
        <f ca="1">IF(AND(INDEX(STM,DT42,4)&gt;=$AB41,INDEX(STM,DT42,5)&gt;=$S35,INDEX(STM,DT42,6)&gt;=$R35),1,0)</f>
        <v>#N/A</v>
      </c>
      <c r="DV42" s="4" t="e">
        <f ca="1">MATCH(1,OFFSET(DU35:DU46,DW41,0,COUNT(DU35:DU46)-DW41),0)</f>
        <v>#REF!</v>
      </c>
      <c r="DW42" s="4" t="e">
        <f t="shared" ca="1" si="29"/>
        <v>#REF!</v>
      </c>
      <c r="DX42" s="692" t="str">
        <f ca="1">IFERROR(VLOOKUP(INDEX(DT35:DT46,DW42),STM,2,FALSE),"----")</f>
        <v>----</v>
      </c>
      <c r="DY42" s="691" t="e">
        <f t="shared" ca="1" si="30"/>
        <v>#N/A</v>
      </c>
      <c r="DZ42" s="4" t="e">
        <f ca="1">IF(AND(INDEX(ELM,DY42,4)&gt;=$AB41,INDEX(ELM,DY42,5)&gt;=$S35,INDEX(ELM,DY42,6)&gt;=$R35),1,0)</f>
        <v>#N/A</v>
      </c>
      <c r="EA42" s="4" t="e">
        <f ca="1">MATCH(1,OFFSET(DZ35:DZ46,EB41,0,COUNT(DZ35:DZ46)-EB41),0)</f>
        <v>#REF!</v>
      </c>
      <c r="EB42" s="4" t="e">
        <f t="shared" ca="1" si="31"/>
        <v>#REF!</v>
      </c>
      <c r="EC42" s="692" t="str">
        <f ca="1">IFERROR(VLOOKUP(INDEX(DY35:DY46,EB42),ELM,2,FALSE),"----")</f>
        <v>----</v>
      </c>
      <c r="ED42" s="691" t="e">
        <f t="shared" ca="1" si="32"/>
        <v>#N/A</v>
      </c>
      <c r="EE42" s="4" t="e">
        <f ca="1">IF(LEFT($J35,7)="Clad Wo",IF(AND(INDEX(SPPWS,ED42,4)&gt;=$AB41,INDEX(SPPWS,ED42,5)&gt;=$S35,INDEX(SPPWS,ED42,6)&gt;=$R35),1,0),IF(AND(INDEX(SPM,ED42,4)&gt;=$AB41,INDEX(SPM,ED42,5)&gt;=$S35,INDEX(SPM,ED42,6)&gt;=$R35),1,0))</f>
        <v>#N/A</v>
      </c>
      <c r="EF42" s="4" t="e">
        <f ca="1">MATCH(1,OFFSET(EE35:EE46,EG41,0,COUNT(EE35:EE46)-EG41),0)</f>
        <v>#REF!</v>
      </c>
      <c r="EG42" s="4" t="e">
        <f t="shared" ca="1" si="40"/>
        <v>#REF!</v>
      </c>
      <c r="EH42" s="692" t="str">
        <f ca="1">IF(LEFT($J35,7)="Clad Wo",IFERROR(VLOOKUP(INDEX(ED35:ED46,EG42),SPPWS,2,FALSE),"----"),IFERROR(VLOOKUP(INDEX(ED35:ED46,EG42),SPM,2,FALSE),"----"))</f>
        <v>----</v>
      </c>
    </row>
    <row r="43" spans="1:177" ht="15" customHeight="1" x14ac:dyDescent="0.25">
      <c r="A43" s="1090"/>
      <c r="B43" s="925"/>
      <c r="C43" s="926"/>
      <c r="D43" s="927"/>
      <c r="E43" s="995"/>
      <c r="F43" s="996"/>
      <c r="G43" s="997"/>
      <c r="H43" s="1062"/>
      <c r="I43" s="990"/>
      <c r="J43" s="902"/>
      <c r="K43" s="903"/>
      <c r="L43" s="1002"/>
      <c r="M43" s="923"/>
      <c r="N43" s="1042"/>
      <c r="O43" s="1018"/>
      <c r="P43" s="987"/>
      <c r="Q43" s="1015"/>
      <c r="R43" s="1012"/>
      <c r="S43" s="1006"/>
      <c r="T43" s="1007"/>
      <c r="U43" s="878"/>
      <c r="V43" s="881"/>
      <c r="W43" s="884"/>
      <c r="X43" s="884"/>
      <c r="Y43" s="887"/>
      <c r="Z43" s="887"/>
      <c r="AA43" s="887"/>
      <c r="AB43" s="1081"/>
      <c r="AC43" s="1078"/>
      <c r="AD43" s="1070" t="str">
        <f t="shared" ref="AD43:AD45" si="46">AD37</f>
        <v>Wood Stud Framing</v>
      </c>
      <c r="AE43" s="1071"/>
      <c r="AF43" s="1052"/>
      <c r="AG43" s="1053"/>
      <c r="AH43" s="1053"/>
      <c r="AI43" s="1066"/>
      <c r="AJ43" s="1067"/>
      <c r="AK43" s="156" t="str">
        <f t="shared" ca="1" si="4"/>
        <v/>
      </c>
      <c r="AL43" s="1059"/>
      <c r="AM43" s="344" t="str">
        <f ca="1">IFERROR(Q35/12*ROUND(VLOOKUP(AF43,OFFSET(WSM,0,1),6,FALSE),2),"")</f>
        <v/>
      </c>
      <c r="AN43" t="str">
        <f t="shared" ca="1" si="5"/>
        <v/>
      </c>
      <c r="AP43" s="122" t="str">
        <f>_xlfn.CONCAT(AR43,AS46)</f>
        <v/>
      </c>
      <c r="AQ43" s="683" t="str">
        <f>IFERROR(LEFT(AP43,LEN(AP43)-1),"")</f>
        <v/>
      </c>
      <c r="AR43" s="4" t="str">
        <f t="shared" si="3"/>
        <v/>
      </c>
      <c r="AS43" s="4"/>
      <c r="AT43" s="697" t="str">
        <f>AL41</f>
        <v/>
      </c>
      <c r="AU43" s="694" t="e">
        <f t="shared" ca="1" si="6"/>
        <v>#REF!</v>
      </c>
      <c r="AV43" s="686" t="str">
        <f ca="1">IFERROR(VLOOKUP(AU43,INDIRECT(AQ35),2,FALSE),"----")</f>
        <v>----</v>
      </c>
      <c r="AW43" s="694" t="e">
        <f t="shared" ca="1" si="33"/>
        <v>#REF!</v>
      </c>
      <c r="AX43" s="686" t="str">
        <f ca="1">IFERROR(VLOOKUP(AW43,INDIRECT(AQ36),2,FALSE),"----")</f>
        <v>----</v>
      </c>
      <c r="AY43" s="694" t="e">
        <f t="shared" ref="AY43" ca="1" si="47">AY42-1</f>
        <v>#REF!</v>
      </c>
      <c r="AZ43" s="686" t="str">
        <f ca="1">IFERROR(VLOOKUP(AY43,INDIRECT(AQ37),2,FALSE),"----")</f>
        <v>----</v>
      </c>
      <c r="BA43" s="694" t="e">
        <f t="shared" ref="BA43" ca="1" si="48">BA42-1</f>
        <v>#REF!</v>
      </c>
      <c r="BB43" s="686" t="str">
        <f ca="1">IFERROR(VLOOKUP(BA43,INDIRECT(AQ38),2,FALSE),"----")</f>
        <v>----</v>
      </c>
      <c r="BC43" s="694" t="e">
        <f t="shared" ca="1" si="35"/>
        <v>#REF!</v>
      </c>
      <c r="BD43" s="686" t="str">
        <f ca="1">IFERROR(VLOOKUP(BC43,INDIRECT(AQ39),2,FALSE),"----")</f>
        <v>----</v>
      </c>
      <c r="BE43" s="694" t="e">
        <f t="shared" ca="1" si="7"/>
        <v>#REF!</v>
      </c>
      <c r="BF43" s="686" t="str">
        <f ca="1">IFERROR(VLOOKUP(BE43,INDIRECT(AQ40),2,FALSE),"----")</f>
        <v>----</v>
      </c>
      <c r="BG43" s="702" t="e">
        <f t="shared" ca="1" si="8"/>
        <v>#REF!</v>
      </c>
      <c r="BH43" s="686" t="str">
        <f ca="1">IFERROR(VLOOKUP(BG43,INDIRECT(AQ41),2,FALSE),"----")</f>
        <v>----</v>
      </c>
      <c r="BI43" s="702" t="e">
        <f t="shared" ca="1" si="36"/>
        <v>#REF!</v>
      </c>
      <c r="BJ43" s="686" t="str">
        <f ca="1">IFERROR(VLOOKUP(BI43,INDIRECT(AQ42),2,FALSE),"----")</f>
        <v>----</v>
      </c>
      <c r="BK43" s="702" t="e">
        <f t="shared" ca="1" si="37"/>
        <v>#REF!</v>
      </c>
      <c r="BL43" s="686" t="str">
        <f ca="1">IFERROR(VLOOKUP(BK43,INDIRECT(AQ43),2,FALSE),"----")</f>
        <v>----</v>
      </c>
      <c r="BM43" s="702" t="e">
        <f t="shared" ca="1" si="38"/>
        <v>#REF!</v>
      </c>
      <c r="BN43" s="686" t="str">
        <f ca="1">IFERROR(VLOOKUP(BM43,INDIRECT(AQ44),2,FALSE),"----")</f>
        <v>----</v>
      </c>
      <c r="BO43" s="702" t="e">
        <f t="shared" ca="1" si="39"/>
        <v>#REF!</v>
      </c>
      <c r="BP43" s="686" t="str">
        <f ca="1">IFERROR(VLOOKUP(BO43,INDIRECT(AQ45),2,FALSE),"----")</f>
        <v>----</v>
      </c>
      <c r="BQ43" s="702" t="e">
        <f t="shared" ca="1" si="9"/>
        <v>#REF!</v>
      </c>
      <c r="BR43" s="686" t="str">
        <f ca="1">IFERROR(VLOOKUP(BQ43,INDIRECT(AQ46),2,FALSE),"----")</f>
        <v>----</v>
      </c>
      <c r="BS43" s="695">
        <f>IF(AI43="",1,IF(COUNTIF(BL35:BL46,AI43)=0,2,1))</f>
        <v>1</v>
      </c>
      <c r="BT43" s="696">
        <f>IF(AF43="",1,IF(BL35=".",2,1))</f>
        <v>1</v>
      </c>
      <c r="BU43" s="706"/>
      <c r="BV43" s="155">
        <f ca="1">IF(COUNTIF(DS35:DS46,AF43)=0,IF(AF43&lt;&gt;"",0,1),1)</f>
        <v>1</v>
      </c>
      <c r="BW43" s="157">
        <f ca="1">IFERROR(MATCH(AF43,DS35:DS46,0),1)</f>
        <v>1</v>
      </c>
      <c r="BX43" s="769" t="e">
        <f>5*E35^3*W35/(384*X35)</f>
        <v>#VALUE!</v>
      </c>
      <c r="BY43" s="769" t="e">
        <f>W35*E35^3/(60*X35)</f>
        <v>#VALUE!</v>
      </c>
      <c r="BZ43" s="1112"/>
      <c r="CA43" s="691" t="e">
        <f t="shared" ca="1" si="10"/>
        <v>#REF!</v>
      </c>
      <c r="CB43" s="4" t="e" cm="1">
        <f t="array" aca="1" ref="CB43" ca="1">IF(AND(INDEX(INDIRECT(BY35),CA43,4)&gt;=$AB35,INDEX(INDIRECT(BY35),CA43,5)&gt;=$S35,INDEX(INDIRECT(BY35),CA43,6)&gt;=$R35),1,0)</f>
        <v>#REF!</v>
      </c>
      <c r="CC43" s="4" t="e">
        <f ca="1">MATCH(1,OFFSET(CB35:CB46,CD42,0,COUNT(CB35:CB46)-CD42),0)</f>
        <v>#REF!</v>
      </c>
      <c r="CD43" s="4" t="e">
        <f t="shared" ca="1" si="11"/>
        <v>#REF!</v>
      </c>
      <c r="CE43" s="692" t="str" cm="1">
        <f t="array" aca="1" ref="CE43" ca="1">IFERROR(VLOOKUP(INDEX(CA35:CA46,CD43),INDIRECT(BY35),2,FALSE),"----")</f>
        <v>----</v>
      </c>
      <c r="CF43" s="691" t="e">
        <f t="shared" ca="1" si="12"/>
        <v>#N/A</v>
      </c>
      <c r="CG43" s="4" t="e">
        <f ca="1">IF(AND(INDEX(SSM,CF43,4)&gt;=$AB35,INDEX(SSM,CF43,5)&gt;=$S35,INDEX(SSM,CF43,6)&gt;=$R35),1,0)</f>
        <v>#N/A</v>
      </c>
      <c r="CH43" s="4" t="e">
        <f ca="1">MATCH(1,OFFSET(CG35:CG46,CI42,0,COUNT(CG35:CG46)-CI42),0)</f>
        <v>#REF!</v>
      </c>
      <c r="CI43" s="4" t="e">
        <f t="shared" ca="1" si="13"/>
        <v>#REF!</v>
      </c>
      <c r="CJ43" s="692" t="str">
        <f ca="1">IFERROR(IF(AD36="Nested Steel Stud (wood infill)",VLOOKUP(INDEX(CF35:CF46,CI43),SSW,2,FALSE),VLOOKUP(INDEX(CF35:CF46,CI43),SSM,2,FALSE)),"----")</f>
        <v>----</v>
      </c>
      <c r="CK43" s="691" t="e">
        <f t="shared" ca="1" si="14"/>
        <v>#N/A</v>
      </c>
      <c r="CL43" s="4" t="e">
        <f ca="1">IF(AND(INDEX(WSM,CK43,4)&gt;=$AB35,INDEX(WSM,CK43,5)&gt;=$S35,INDEX(WSM,CK43,6)&gt;=$R35),1,0)</f>
        <v>#N/A</v>
      </c>
      <c r="CM43" s="4" t="e">
        <f ca="1">MATCH(1,OFFSET(CL35:CL46,CN42,0,COUNT(CL35:CL46)-CN42),0)</f>
        <v>#REF!</v>
      </c>
      <c r="CN43" s="4" t="e">
        <f t="shared" ca="1" si="15"/>
        <v>#REF!</v>
      </c>
      <c r="CO43" s="692" t="str">
        <f ca="1">IFERROR(VLOOKUP(INDEX(CK35:CK46,CN43),WSM,2,FALSE),"----")</f>
        <v>----</v>
      </c>
      <c r="CP43" s="691" t="e">
        <f t="shared" ca="1" si="16"/>
        <v>#N/A</v>
      </c>
      <c r="CQ43" s="4" t="e">
        <f ca="1">IF(AND(INDEX(STM,CP43,4)&gt;=$AB35,INDEX(STM,CP43,5)&gt;=$S35,INDEX(STM,CP43,6)&gt;=$R35),1,0)</f>
        <v>#N/A</v>
      </c>
      <c r="CR43" s="4" t="e">
        <f ca="1">MATCH(1,OFFSET(CQ35:CQ46,CS42,0,COUNT(CQ35:CQ46)-CS42),0)</f>
        <v>#REF!</v>
      </c>
      <c r="CS43" s="4" t="e">
        <f t="shared" ca="1" si="17"/>
        <v>#REF!</v>
      </c>
      <c r="CT43" s="692" t="str">
        <f ca="1">IFERROR(VLOOKUP(INDEX(CP35:CP46,CS43),STM,2,FALSE),"----")</f>
        <v>----</v>
      </c>
      <c r="CU43" s="691" t="e">
        <f t="shared" ca="1" si="18"/>
        <v>#N/A</v>
      </c>
      <c r="CV43" s="4" t="e">
        <f ca="1">IF(AND(INDEX(ELM,CU43,4)&gt;=$AB35,INDEX(ELM,CU43,5)&gt;=$S35,INDEX(ELM,CU43,6)&gt;=$R35),1,0)</f>
        <v>#N/A</v>
      </c>
      <c r="CW43" s="4" t="e">
        <f ca="1">MATCH(1,OFFSET(CV35:CV46,CX42,0,COUNT(CV35:CV46)-CX42),0)</f>
        <v>#REF!</v>
      </c>
      <c r="CX43" s="4" t="e">
        <f t="shared" ca="1" si="19"/>
        <v>#REF!</v>
      </c>
      <c r="CY43" s="692" t="str">
        <f ca="1">IFERROR(VLOOKUP(INDEX(CU35:CU46,CX43),ELM,2,FALSE),"----")</f>
        <v>----</v>
      </c>
      <c r="CZ43" s="691" t="e">
        <f t="shared" ca="1" si="20"/>
        <v>#N/A</v>
      </c>
      <c r="DA43" s="4" t="e">
        <f ca="1">IF(LEFT($J35,7)="Clad Wo",IF(AND(INDEX(SPPWS,CZ43,4)&gt;=$AB35,INDEX(SPPWS,CZ43,5)&gt;=$S35,INDEX(SPPWS,CZ43,6)&gt;=$R35),1,0),IF(AND(INDEX(SPM,CZ43,4)&gt;=$AB35,INDEX(SPM,CZ43,5)&gt;=$S35,INDEX(SPM,CZ43,6)&gt;=$R35),1,0))</f>
        <v>#N/A</v>
      </c>
      <c r="DB43" s="4" t="e">
        <f ca="1">MATCH(1,OFFSET(DA35:DA46,DC42,0,COUNT(DA35:DA46)-DC42),0)</f>
        <v>#REF!</v>
      </c>
      <c r="DC43" s="4" t="e">
        <f t="shared" ca="1" si="21"/>
        <v>#REF!</v>
      </c>
      <c r="DD43" s="693" t="str">
        <f ca="1">IF(LEFT($J35,7)="Clad Wo",IFERROR(VLOOKUP(INDEX(CZ35:CZ46,DC43),SPPWS,2,FALSE),"----"),IFERROR(VLOOKUP(INDEX(CZ35:CZ46,DC43),SPM,2,FALSE),"----"))</f>
        <v>----</v>
      </c>
      <c r="DE43" s="691" t="e">
        <f t="shared" ca="1" si="22"/>
        <v>#REF!</v>
      </c>
      <c r="DF43" s="4" t="e" cm="1">
        <f t="array" aca="1" ref="DF43" ca="1">IF(AND(INDEX(INDIRECT(BY35),DE43,4)&gt;=$AB41,INDEX(INDIRECT(BY35),DE43,5)&gt;=$S35,INDEX(INDIRECT(BY35),DE43,6)&gt;=$R35),1,0)</f>
        <v>#REF!</v>
      </c>
      <c r="DG43" s="4" t="e">
        <f ca="1">MATCH(1,OFFSET(DF35:DF46,DH42,0,COUNT(DF35:DF46)-DH42),0)</f>
        <v>#REF!</v>
      </c>
      <c r="DH43" s="4" t="e">
        <f t="shared" ca="1" si="23"/>
        <v>#REF!</v>
      </c>
      <c r="DI43" s="692" t="str" cm="1">
        <f t="array" aca="1" ref="DI43" ca="1">IFERROR(VLOOKUP(INDEX(DE35:DE46,DH43),INDIRECT(BY35),2,FALSE),"----")</f>
        <v>----</v>
      </c>
      <c r="DJ43" s="691" t="e">
        <f t="shared" ca="1" si="24"/>
        <v>#N/A</v>
      </c>
      <c r="DK43" s="4" t="e">
        <f ca="1">IF(AND(INDEX(SSM,DJ43,4)&gt;=$AB41,INDEX(SSM,DJ43,5)&gt;=$S35,INDEX(SSM,DJ43,6)&gt;=$R35),1,0)</f>
        <v>#N/A</v>
      </c>
      <c r="DL43" s="4" t="e">
        <f ca="1">MATCH(1,OFFSET(DK35:DK46,DM42,0,COUNT(DK35:DK46)-DM42),0)</f>
        <v>#REF!</v>
      </c>
      <c r="DM43" s="4" t="e">
        <f t="shared" ca="1" si="25"/>
        <v>#REF!</v>
      </c>
      <c r="DN43" s="692" t="str">
        <f ca="1">IFERROR(IF(AD42="Nested Steel Stud (wood infill)",VLOOKUP(INDEX(DJ35:DJ46,DM43),SSW,2,FALSE),VLOOKUP(INDEX(DJ35:DJ46,DM43),SSM,2,FALSE)),"----")</f>
        <v>----</v>
      </c>
      <c r="DO43" s="691" t="e">
        <f t="shared" ca="1" si="26"/>
        <v>#N/A</v>
      </c>
      <c r="DP43" s="4" t="e">
        <f ca="1">IF(AND(INDEX(WSM,DO43,4)&gt;=$AB41,INDEX(WSM,DO43,5)&gt;=$S35,INDEX(WSM,DO43,6)&gt;=$R35),1,0)</f>
        <v>#N/A</v>
      </c>
      <c r="DQ43" s="4" t="e">
        <f ca="1">MATCH(1,OFFSET(DP35:DP46,DR42,0,COUNT(DP35:DP46)-DR42),0)</f>
        <v>#REF!</v>
      </c>
      <c r="DR43" s="4" t="e">
        <f t="shared" ca="1" si="27"/>
        <v>#REF!</v>
      </c>
      <c r="DS43" s="692" t="str">
        <f ca="1">IFERROR(VLOOKUP(INDEX(DO35:DO46,DR43),WSM,2,FALSE),"----")</f>
        <v>----</v>
      </c>
      <c r="DT43" s="691" t="e">
        <f t="shared" ca="1" si="28"/>
        <v>#N/A</v>
      </c>
      <c r="DU43" s="4" t="e">
        <f ca="1">IF(AND(INDEX(STM,DT43,4)&gt;=$AB41,INDEX(STM,DT43,5)&gt;=$S35,INDEX(STM,DT43,6)&gt;=$R35),1,0)</f>
        <v>#N/A</v>
      </c>
      <c r="DV43" s="4" t="e">
        <f ca="1">MATCH(1,OFFSET(DU35:DU46,DW42,0,COUNT(DU35:DU46)-DW42),0)</f>
        <v>#REF!</v>
      </c>
      <c r="DW43" s="4" t="e">
        <f t="shared" ca="1" si="29"/>
        <v>#REF!</v>
      </c>
      <c r="DX43" s="692" t="str">
        <f ca="1">IFERROR(VLOOKUP(INDEX(DT35:DT46,DW43),STM,2,FALSE),"----")</f>
        <v>----</v>
      </c>
      <c r="DY43" s="691" t="e">
        <f t="shared" ca="1" si="30"/>
        <v>#N/A</v>
      </c>
      <c r="DZ43" s="4" t="e">
        <f ca="1">IF(AND(INDEX(ELM,DY43,4)&gt;=$AB41,INDEX(ELM,DY43,5)&gt;=$S35,INDEX(ELM,DY43,6)&gt;=$R35),1,0)</f>
        <v>#N/A</v>
      </c>
      <c r="EA43" s="4" t="e">
        <f ca="1">MATCH(1,OFFSET(DZ35:DZ46,EB42,0,COUNT(DZ35:DZ46)-EB42),0)</f>
        <v>#REF!</v>
      </c>
      <c r="EB43" s="4" t="e">
        <f t="shared" ca="1" si="31"/>
        <v>#REF!</v>
      </c>
      <c r="EC43" s="692" t="str">
        <f ca="1">IFERROR(VLOOKUP(INDEX(DY35:DY46,EB43),ELM,2,FALSE),"----")</f>
        <v>----</v>
      </c>
      <c r="ED43" s="691" t="e">
        <f t="shared" ca="1" si="32"/>
        <v>#N/A</v>
      </c>
      <c r="EE43" s="4" t="e">
        <f ca="1">IF(LEFT($J35,7)="Clad Wo",IF(AND(INDEX(SPPWS,ED43,4)&gt;=$AB41,INDEX(SPPWS,ED43,5)&gt;=$S35,INDEX(SPPWS,ED43,6)&gt;=$R35),1,0),IF(AND(INDEX(SPM,ED43,4)&gt;=$AB41,INDEX(SPM,ED43,5)&gt;=$S35,INDEX(SPM,ED43,6)&gt;=$R35),1,0))</f>
        <v>#N/A</v>
      </c>
      <c r="EF43" s="4" t="e">
        <f ca="1">MATCH(1,OFFSET(EE35:EE46,EG42,0,COUNT(EE35:EE46)-EG42),0)</f>
        <v>#REF!</v>
      </c>
      <c r="EG43" s="4" t="e">
        <f t="shared" ca="1" si="40"/>
        <v>#REF!</v>
      </c>
      <c r="EH43" s="692" t="str">
        <f ca="1">IF(LEFT($J35,7)="Clad Wo",IFERROR(VLOOKUP(INDEX(ED35:ED46,EG43),SPPWS,2,FALSE),"----"),IFERROR(VLOOKUP(INDEX(ED35:ED46,EG43),SPM,2,FALSE),"----"))</f>
        <v>----</v>
      </c>
    </row>
    <row r="44" spans="1:177" ht="15" customHeight="1" x14ac:dyDescent="0.25">
      <c r="A44" s="1090"/>
      <c r="B44" s="925"/>
      <c r="C44" s="926"/>
      <c r="D44" s="927"/>
      <c r="E44" s="995"/>
      <c r="F44" s="996"/>
      <c r="G44" s="997"/>
      <c r="H44" s="1062"/>
      <c r="I44" s="990"/>
      <c r="J44" s="902"/>
      <c r="K44" s="903"/>
      <c r="L44" s="1002"/>
      <c r="M44" s="923"/>
      <c r="N44" s="1042"/>
      <c r="O44" s="1018"/>
      <c r="P44" s="987"/>
      <c r="Q44" s="1015"/>
      <c r="R44" s="1012"/>
      <c r="S44" s="1006"/>
      <c r="T44" s="1007"/>
      <c r="U44" s="878"/>
      <c r="V44" s="881"/>
      <c r="W44" s="884"/>
      <c r="X44" s="884"/>
      <c r="Y44" s="887"/>
      <c r="Z44" s="887"/>
      <c r="AA44" s="887"/>
      <c r="AB44" s="1081"/>
      <c r="AC44" s="1078"/>
      <c r="AD44" s="1070" t="str">
        <f t="shared" si="46"/>
        <v>Steel Tube</v>
      </c>
      <c r="AE44" s="1071"/>
      <c r="AF44" s="1052"/>
      <c r="AG44" s="1053"/>
      <c r="AH44" s="1053"/>
      <c r="AI44" s="1066"/>
      <c r="AJ44" s="1067"/>
      <c r="AK44" s="156" t="str">
        <f t="shared" ca="1" si="4"/>
        <v/>
      </c>
      <c r="AL44" s="1059"/>
      <c r="AM44" s="343" t="str">
        <f ca="1">IFERROR(Q35/12*ROUND(VLOOKUP(AF44,OFFSET(STM,0,1),6,FALSE),2),"")</f>
        <v/>
      </c>
      <c r="AN44" t="str">
        <f t="shared" ca="1" si="5"/>
        <v/>
      </c>
      <c r="AP44" s="122" t="str">
        <f>_xlfn.CONCAT(AR44,AS46)</f>
        <v/>
      </c>
      <c r="AQ44" s="683" t="str">
        <f>IFERROR(LEFT(AP44,LEN(AP44)-1),"")</f>
        <v/>
      </c>
      <c r="AR44" s="4" t="str">
        <f t="shared" si="3"/>
        <v/>
      </c>
      <c r="AS44" s="4"/>
      <c r="AT44" s="697" t="str">
        <f>AL41</f>
        <v/>
      </c>
      <c r="AU44" s="694" t="e">
        <f t="shared" ca="1" si="6"/>
        <v>#REF!</v>
      </c>
      <c r="AV44" s="686" t="str">
        <f ca="1">IFERROR(VLOOKUP(AU44,INDIRECT(AQ35),2,FALSE),"----")</f>
        <v>----</v>
      </c>
      <c r="AW44" s="694" t="e">
        <f t="shared" ca="1" si="33"/>
        <v>#REF!</v>
      </c>
      <c r="AX44" s="686" t="str">
        <f ca="1">IFERROR(VLOOKUP(AW44,INDIRECT(AQ36),2,FALSE),"----")</f>
        <v>----</v>
      </c>
      <c r="AY44" s="694" t="e">
        <f t="shared" ref="AY44" ca="1" si="49">AY43-1</f>
        <v>#REF!</v>
      </c>
      <c r="AZ44" s="686" t="str">
        <f ca="1">IFERROR(VLOOKUP(AY44,INDIRECT(AQ37),2,FALSE),"----")</f>
        <v>----</v>
      </c>
      <c r="BA44" s="694" t="e">
        <f t="shared" ref="BA44" ca="1" si="50">BA43-1</f>
        <v>#REF!</v>
      </c>
      <c r="BB44" s="686" t="str">
        <f ca="1">IFERROR(VLOOKUP(BA44,INDIRECT(AQ38),2,FALSE),"----")</f>
        <v>----</v>
      </c>
      <c r="BC44" s="694" t="e">
        <f t="shared" ca="1" si="35"/>
        <v>#REF!</v>
      </c>
      <c r="BD44" s="686" t="str">
        <f ca="1">IFERROR(VLOOKUP(BC44,INDIRECT(AQ39),2,FALSE),"----")</f>
        <v>----</v>
      </c>
      <c r="BE44" s="694" t="e">
        <f t="shared" ca="1" si="7"/>
        <v>#REF!</v>
      </c>
      <c r="BF44" s="686" t="str">
        <f ca="1">IFERROR(VLOOKUP(BE44,INDIRECT(AQ40),2,FALSE),"----")</f>
        <v>----</v>
      </c>
      <c r="BG44" s="702" t="e">
        <f t="shared" ca="1" si="8"/>
        <v>#REF!</v>
      </c>
      <c r="BH44" s="686" t="str">
        <f ca="1">IFERROR(VLOOKUP(BG44,INDIRECT(AQ41),2,FALSE),"----")</f>
        <v>----</v>
      </c>
      <c r="BI44" s="702" t="e">
        <f t="shared" ca="1" si="36"/>
        <v>#REF!</v>
      </c>
      <c r="BJ44" s="686" t="str">
        <f ca="1">IFERROR(VLOOKUP(BI44,INDIRECT(AQ42),2,FALSE),"----")</f>
        <v>----</v>
      </c>
      <c r="BK44" s="702" t="e">
        <f t="shared" ca="1" si="37"/>
        <v>#REF!</v>
      </c>
      <c r="BL44" s="686" t="str">
        <f ca="1">IFERROR(VLOOKUP(BK44,INDIRECT(AQ43),2,FALSE),"----")</f>
        <v>----</v>
      </c>
      <c r="BM44" s="702" t="e">
        <f t="shared" ca="1" si="38"/>
        <v>#REF!</v>
      </c>
      <c r="BN44" s="686" t="str">
        <f ca="1">IFERROR(VLOOKUP(BM44,INDIRECT(AQ44),2,FALSE),"----")</f>
        <v>----</v>
      </c>
      <c r="BO44" s="702" t="e">
        <f t="shared" ca="1" si="39"/>
        <v>#REF!</v>
      </c>
      <c r="BP44" s="686" t="str">
        <f ca="1">IFERROR(VLOOKUP(BO44,INDIRECT(AQ45),2,FALSE),"----")</f>
        <v>----</v>
      </c>
      <c r="BQ44" s="702" t="e">
        <f t="shared" ca="1" si="9"/>
        <v>#REF!</v>
      </c>
      <c r="BR44" s="686" t="str">
        <f ca="1">IFERROR(VLOOKUP(BQ44,INDIRECT(AQ46),2,FALSE),"----")</f>
        <v>----</v>
      </c>
      <c r="BS44" s="695">
        <f>IF(AI44="",1,IF(COUNTIF(BN35:BN46,AI44)=0,2,1))</f>
        <v>1</v>
      </c>
      <c r="BT44" s="696">
        <f>IF(AF44="",1,IF(BN35=".",2,1))</f>
        <v>1</v>
      </c>
      <c r="BU44" s="706"/>
      <c r="BV44" s="155">
        <f ca="1">IF(COUNTIF(DX35:DX46,AF44)=0,IF(AF44&lt;&gt;"",0,1),1)</f>
        <v>1</v>
      </c>
      <c r="BW44" s="157">
        <f ca="1">IFERROR(MATCH(AF44,DX35:DX46,0),1)</f>
        <v>1</v>
      </c>
      <c r="BX44" s="769" t="e">
        <f>5*E35^3*W41/(384*X35)</f>
        <v>#VALUE!</v>
      </c>
      <c r="BY44" s="769" t="e">
        <f>E35^3*W41/(60*X35)</f>
        <v>#VALUE!</v>
      </c>
      <c r="BZ44" s="1112"/>
      <c r="CA44" s="691" t="e">
        <f t="shared" ca="1" si="10"/>
        <v>#REF!</v>
      </c>
      <c r="CB44" s="4" t="e" cm="1">
        <f t="array" aca="1" ref="CB44" ca="1">IF(AND(INDEX(INDIRECT(BY35),CA44,4)&gt;=$AB35,INDEX(INDIRECT(BY35),CA44,5)&gt;=$S35,INDEX(INDIRECT(BY35),CA44,6)&gt;=$R35),1,0)</f>
        <v>#REF!</v>
      </c>
      <c r="CC44" s="4" t="e">
        <f ca="1">MATCH(1,OFFSET(CB35:CB46,CD43,0,COUNT(CB35:CB46)-CD43),0)</f>
        <v>#REF!</v>
      </c>
      <c r="CD44" s="4" t="e">
        <f t="shared" ca="1" si="11"/>
        <v>#REF!</v>
      </c>
      <c r="CE44" s="692" t="str" cm="1">
        <f t="array" aca="1" ref="CE44" ca="1">IFERROR(VLOOKUP(INDEX(CA35:CA46,CD44),INDIRECT(BY35),2,FALSE),"----")</f>
        <v>----</v>
      </c>
      <c r="CF44" s="691" t="e">
        <f t="shared" ca="1" si="12"/>
        <v>#N/A</v>
      </c>
      <c r="CG44" s="4" t="e">
        <f ca="1">IF(AND(INDEX(SSM,CF44,4)&gt;=$AB35,INDEX(SSM,CF44,5)&gt;=$S35,INDEX(SSM,CF44,6)&gt;=$R35),1,0)</f>
        <v>#N/A</v>
      </c>
      <c r="CH44" s="4" t="e">
        <f ca="1">MATCH(1,OFFSET(CG35:CG46,CI43,0,COUNT(CG35:CG46)-CI43),0)</f>
        <v>#REF!</v>
      </c>
      <c r="CI44" s="4" t="e">
        <f t="shared" ca="1" si="13"/>
        <v>#REF!</v>
      </c>
      <c r="CJ44" s="692" t="str">
        <f ca="1">IFERROR(IF(AD36="Nested Steel Stud (wood infill)",VLOOKUP(INDEX(CF35:CF46,CI44),SSW,2,FALSE),VLOOKUP(INDEX(CF35:CF46,CI44),SSM,2,FALSE)),"----")</f>
        <v>----</v>
      </c>
      <c r="CK44" s="691" t="e">
        <f t="shared" ca="1" si="14"/>
        <v>#N/A</v>
      </c>
      <c r="CL44" s="4" t="e">
        <f ca="1">IF(AND(INDEX(WSM,CK44,4)&gt;=$AB35,INDEX(WSM,CK44,5)&gt;=$S35,INDEX(WSM,CK44,6)&gt;=$R35),1,0)</f>
        <v>#N/A</v>
      </c>
      <c r="CM44" s="4" t="e">
        <f ca="1">MATCH(1,OFFSET(CL35:CL46,CN43,0,COUNT(CL35:CL46)-CN43),0)</f>
        <v>#REF!</v>
      </c>
      <c r="CN44" s="4" t="e">
        <f t="shared" ca="1" si="15"/>
        <v>#REF!</v>
      </c>
      <c r="CO44" s="692" t="str">
        <f ca="1">IFERROR(VLOOKUP(INDEX(CK35:CK46,CN44),WSM,2,FALSE),"----")</f>
        <v>----</v>
      </c>
      <c r="CP44" s="691" t="e">
        <f t="shared" ca="1" si="16"/>
        <v>#N/A</v>
      </c>
      <c r="CQ44" s="4" t="e">
        <f ca="1">IF(AND(INDEX(STM,CP44,4)&gt;=$AB35,INDEX(STM,CP44,5)&gt;=$S35,INDEX(STM,CP44,6)&gt;=$R35),1,0)</f>
        <v>#N/A</v>
      </c>
      <c r="CR44" s="4" t="e">
        <f ca="1">MATCH(1,OFFSET(CQ35:CQ46,CS43,0,COUNT(CQ35:CQ46)-CS43),0)</f>
        <v>#REF!</v>
      </c>
      <c r="CS44" s="4" t="e">
        <f t="shared" ca="1" si="17"/>
        <v>#REF!</v>
      </c>
      <c r="CT44" s="692" t="str">
        <f ca="1">IFERROR(VLOOKUP(INDEX(CP35:CP46,CS44),STM,2,FALSE),"----")</f>
        <v>----</v>
      </c>
      <c r="CU44" s="691" t="e">
        <f t="shared" ca="1" si="18"/>
        <v>#N/A</v>
      </c>
      <c r="CV44" s="4" t="e">
        <f ca="1">IF(AND(INDEX(ELM,CU44,4)&gt;=$AB35,INDEX(ELM,CU44,5)&gt;=$S35,INDEX(ELM,CU44,6)&gt;=$R35),1,0)</f>
        <v>#N/A</v>
      </c>
      <c r="CW44" s="4" t="e">
        <f ca="1">MATCH(1,OFFSET(CV35:CV46,CX43,0,COUNT(CV35:CV46)-CX43),0)</f>
        <v>#REF!</v>
      </c>
      <c r="CX44" s="4" t="e">
        <f t="shared" ca="1" si="19"/>
        <v>#REF!</v>
      </c>
      <c r="CY44" s="692" t="str">
        <f ca="1">IFERROR(VLOOKUP(INDEX(CU35:CU46,CX44),ELM,2,FALSE),"----")</f>
        <v>----</v>
      </c>
      <c r="CZ44" s="691" t="e">
        <f t="shared" ca="1" si="20"/>
        <v>#N/A</v>
      </c>
      <c r="DA44" s="4" t="e">
        <f ca="1">IF(LEFT($J35,7)="Clad Wo",IF(AND(INDEX(SPPWS,CZ44,4)&gt;=$AB35,INDEX(SPPWS,CZ44,5)&gt;=$S35,INDEX(SPPWS,CZ44,6)&gt;=$R35),1,0),IF(AND(INDEX(SPM,CZ44,4)&gt;=$AB35,INDEX(SPM,CZ44,5)&gt;=$S35,INDEX(SPM,CZ44,6)&gt;=$R35),1,0))</f>
        <v>#N/A</v>
      </c>
      <c r="DB44" s="4" t="e">
        <f ca="1">MATCH(1,OFFSET(DA35:DA46,DC43,0,COUNT(DA35:DA46)-DC43),0)</f>
        <v>#REF!</v>
      </c>
      <c r="DC44" s="4" t="e">
        <f t="shared" ca="1" si="21"/>
        <v>#REF!</v>
      </c>
      <c r="DD44" s="693" t="str">
        <f ca="1">IF(LEFT($J35,7)="Clad Wo",IFERROR(VLOOKUP(INDEX(CZ35:CZ46,DC44),SPPWS,2,FALSE),"----"),IFERROR(VLOOKUP(INDEX(CZ35:CZ46,DC44),SPM,2,FALSE),"----"))</f>
        <v>----</v>
      </c>
      <c r="DE44" s="691" t="e">
        <f t="shared" ca="1" si="22"/>
        <v>#REF!</v>
      </c>
      <c r="DF44" s="4" t="e" cm="1">
        <f t="array" aca="1" ref="DF44" ca="1">IF(AND(INDEX(INDIRECT(BY35),DE44,4)&gt;=$AB41,INDEX(INDIRECT(BY35),DE44,5)&gt;=$S35,INDEX(INDIRECT(BY35),DE44,6)&gt;=$R35),1,0)</f>
        <v>#REF!</v>
      </c>
      <c r="DG44" s="4" t="e">
        <f ca="1">MATCH(1,OFFSET(DF35:DF46,DH43,0,COUNT(DF35:DF46)-DH43),0)</f>
        <v>#REF!</v>
      </c>
      <c r="DH44" s="4" t="e">
        <f t="shared" ca="1" si="23"/>
        <v>#REF!</v>
      </c>
      <c r="DI44" s="692" t="str" cm="1">
        <f t="array" aca="1" ref="DI44" ca="1">IFERROR(VLOOKUP(INDEX(DE35:DE46,DH44),INDIRECT(BY35),2,FALSE),"----")</f>
        <v>----</v>
      </c>
      <c r="DJ44" s="691" t="e">
        <f t="shared" ca="1" si="24"/>
        <v>#N/A</v>
      </c>
      <c r="DK44" s="4" t="e">
        <f ca="1">IF(AND(INDEX(SSM,DJ44,4)&gt;=$AB41,INDEX(SSM,DJ44,5)&gt;=$S35,INDEX(SSM,DJ44,6)&gt;=$R35),1,0)</f>
        <v>#N/A</v>
      </c>
      <c r="DL44" s="4" t="e">
        <f ca="1">MATCH(1,OFFSET(DK35:DK46,DM43,0,COUNT(DK35:DK46)-DM43),0)</f>
        <v>#REF!</v>
      </c>
      <c r="DM44" s="4" t="e">
        <f t="shared" ca="1" si="25"/>
        <v>#REF!</v>
      </c>
      <c r="DN44" s="692" t="str">
        <f ca="1">IFERROR(IF(AD42="Nested Steel Stud (wood infill)",VLOOKUP(INDEX(DJ35:DJ46,DM44),SSW,2,FALSE),VLOOKUP(INDEX(DJ35:DJ46,DM44),SSM,2,FALSE)),"----")</f>
        <v>----</v>
      </c>
      <c r="DO44" s="691" t="e">
        <f t="shared" ca="1" si="26"/>
        <v>#N/A</v>
      </c>
      <c r="DP44" s="4" t="e">
        <f ca="1">IF(AND(INDEX(WSM,DO44,4)&gt;=$AB41,INDEX(WSM,DO44,5)&gt;=$S35,INDEX(WSM,DO44,6)&gt;=$R35),1,0)</f>
        <v>#N/A</v>
      </c>
      <c r="DQ44" s="4" t="e">
        <f ca="1">MATCH(1,OFFSET(DP35:DP46,DR43,0,COUNT(DP35:DP46)-DR43),0)</f>
        <v>#REF!</v>
      </c>
      <c r="DR44" s="4" t="e">
        <f t="shared" ca="1" si="27"/>
        <v>#REF!</v>
      </c>
      <c r="DS44" s="692" t="str">
        <f ca="1">IFERROR(VLOOKUP(INDEX(DO35:DO46,DR44),WSM,2,FALSE),"----")</f>
        <v>----</v>
      </c>
      <c r="DT44" s="691" t="e">
        <f t="shared" ca="1" si="28"/>
        <v>#N/A</v>
      </c>
      <c r="DU44" s="4" t="e">
        <f ca="1">IF(AND(INDEX(STM,DT44,4)&gt;=$AB41,INDEX(STM,DT44,5)&gt;=$S35,INDEX(STM,DT44,6)&gt;=$R35),1,0)</f>
        <v>#N/A</v>
      </c>
      <c r="DV44" s="4" t="e">
        <f ca="1">MATCH(1,OFFSET(DU35:DU46,DW43,0,COUNT(DU35:DU46)-DW43),0)</f>
        <v>#REF!</v>
      </c>
      <c r="DW44" s="4" t="e">
        <f t="shared" ca="1" si="29"/>
        <v>#REF!</v>
      </c>
      <c r="DX44" s="692" t="str">
        <f ca="1">IFERROR(VLOOKUP(INDEX(DT35:DT46,DW44),STM,2,FALSE),"----")</f>
        <v>----</v>
      </c>
      <c r="DY44" s="691" t="e">
        <f t="shared" ca="1" si="30"/>
        <v>#N/A</v>
      </c>
      <c r="DZ44" s="4" t="e">
        <f ca="1">IF(AND(INDEX(ELM,DY44,4)&gt;=$AB41,INDEX(ELM,DY44,5)&gt;=$S35,INDEX(ELM,DY44,6)&gt;=$R35),1,0)</f>
        <v>#N/A</v>
      </c>
      <c r="EA44" s="4" t="e">
        <f ca="1">MATCH(1,OFFSET(DZ35:DZ46,EB43,0,COUNT(DZ35:DZ46)-EB43),0)</f>
        <v>#REF!</v>
      </c>
      <c r="EB44" s="4" t="e">
        <f t="shared" ca="1" si="31"/>
        <v>#REF!</v>
      </c>
      <c r="EC44" s="692" t="str">
        <f ca="1">IFERROR(VLOOKUP(INDEX(DY35:DY46,EB44),ELM,2,FALSE),"----")</f>
        <v>----</v>
      </c>
      <c r="ED44" s="691" t="e">
        <f t="shared" ca="1" si="32"/>
        <v>#N/A</v>
      </c>
      <c r="EE44" s="4" t="e">
        <f ca="1">IF(LEFT($J35,7)="Clad Wo",IF(AND(INDEX(SPPWS,ED44,4)&gt;=$AB41,INDEX(SPPWS,ED44,5)&gt;=$S35,INDEX(SPPWS,ED44,6)&gt;=$R35),1,0),IF(AND(INDEX(SPM,ED44,4)&gt;=$AB41,INDEX(SPM,ED44,5)&gt;=$S35,INDEX(SPM,ED44,6)&gt;=$R35),1,0))</f>
        <v>#N/A</v>
      </c>
      <c r="EF44" s="4" t="e">
        <f ca="1">MATCH(1,OFFSET(EE35:EE46,EG43,0,COUNT(EE35:EE46)-EG43),0)</f>
        <v>#REF!</v>
      </c>
      <c r="EG44" s="4" t="e">
        <f t="shared" ca="1" si="40"/>
        <v>#REF!</v>
      </c>
      <c r="EH44" s="692" t="str">
        <f ca="1">IF(LEFT($J35,7)="Clad Wo",IFERROR(VLOOKUP(INDEX(ED35:ED46,EG44),SPPWS,2,FALSE),"----"),IFERROR(VLOOKUP(INDEX(ED35:ED46,EG44),SPM,2,FALSE),"----"))</f>
        <v>----</v>
      </c>
    </row>
    <row r="45" spans="1:177" ht="15" customHeight="1" x14ac:dyDescent="0.25">
      <c r="A45" s="1090"/>
      <c r="B45" s="925"/>
      <c r="C45" s="926"/>
      <c r="D45" s="927"/>
      <c r="E45" s="995"/>
      <c r="F45" s="996"/>
      <c r="G45" s="997"/>
      <c r="H45" s="1062"/>
      <c r="I45" s="990"/>
      <c r="J45" s="902"/>
      <c r="K45" s="903"/>
      <c r="L45" s="1002"/>
      <c r="M45" s="923"/>
      <c r="N45" s="1042"/>
      <c r="O45" s="1018"/>
      <c r="P45" s="987"/>
      <c r="Q45" s="1015"/>
      <c r="R45" s="1012"/>
      <c r="S45" s="1006"/>
      <c r="T45" s="1007"/>
      <c r="U45" s="878"/>
      <c r="V45" s="881"/>
      <c r="W45" s="884"/>
      <c r="X45" s="884"/>
      <c r="Y45" s="887"/>
      <c r="Z45" s="887"/>
      <c r="AA45" s="887"/>
      <c r="AB45" s="1081"/>
      <c r="AC45" s="1078"/>
      <c r="AD45" s="1070" t="str">
        <f t="shared" si="46"/>
        <v>Engineered Lumber</v>
      </c>
      <c r="AE45" s="1071"/>
      <c r="AF45" s="1052"/>
      <c r="AG45" s="1053"/>
      <c r="AH45" s="1053"/>
      <c r="AI45" s="1068"/>
      <c r="AJ45" s="1069"/>
      <c r="AK45" s="154" t="str">
        <f ca="1">IFERROR(VLOOKUP(AI45,OFFSET(INDIRECT(AQ45),0,1),2,FALSE),"")</f>
        <v/>
      </c>
      <c r="AL45" s="1059"/>
      <c r="AM45" s="344" t="str">
        <f ca="1">IFERROR(Q35/12*ROUND(VLOOKUP(AF45,OFFSET(ELM,0,1),6,FALSE),2),"")</f>
        <v/>
      </c>
      <c r="AN45" t="str">
        <f t="shared" ca="1" si="5"/>
        <v/>
      </c>
      <c r="AP45" s="122" t="str">
        <f>_xlfn.CONCAT(AR45,AS46)</f>
        <v/>
      </c>
      <c r="AQ45" s="683" t="str">
        <f t="shared" ref="AQ45" si="51">IFERROR(LEFT(AP45,LEN(AP45)-1),"")</f>
        <v/>
      </c>
      <c r="AR45" s="4" t="str">
        <f t="shared" si="3"/>
        <v/>
      </c>
      <c r="AS45" s="4"/>
      <c r="AT45" s="697" t="str">
        <f>AL41</f>
        <v/>
      </c>
      <c r="AU45" s="694" t="e">
        <f t="shared" ca="1" si="6"/>
        <v>#REF!</v>
      </c>
      <c r="AV45" s="698" t="str">
        <f ca="1">IFERROR(VLOOKUP(AU45,INDIRECT(AQ35),2,FALSE),"----")</f>
        <v>----</v>
      </c>
      <c r="AW45" s="694" t="e">
        <f t="shared" ca="1" si="33"/>
        <v>#REF!</v>
      </c>
      <c r="AX45" s="698" t="str">
        <f ca="1">IFERROR(VLOOKUP(AW45,INDIRECT(AQ36),2,FALSE),"----")</f>
        <v>----</v>
      </c>
      <c r="AY45" s="694" t="e">
        <f t="shared" ref="AY45" ca="1" si="52">AY44-1</f>
        <v>#REF!</v>
      </c>
      <c r="AZ45" s="698" t="str">
        <f ca="1">IFERROR(VLOOKUP(AY45,INDIRECT(AQ37),2,FALSE),"----")</f>
        <v>----</v>
      </c>
      <c r="BA45" s="694" t="e">
        <f t="shared" ref="BA45" ca="1" si="53">BA44-1</f>
        <v>#REF!</v>
      </c>
      <c r="BB45" s="698" t="str">
        <f ca="1">IFERROR(VLOOKUP(BA45,INDIRECT(AQ38),2,FALSE),"----")</f>
        <v>----</v>
      </c>
      <c r="BC45" s="694" t="e">
        <f t="shared" ca="1" si="35"/>
        <v>#REF!</v>
      </c>
      <c r="BD45" s="698" t="str">
        <f ca="1">IFERROR(VLOOKUP(BC45,INDIRECT(AQ39),2,FALSE),"----")</f>
        <v>----</v>
      </c>
      <c r="BE45" s="694" t="e">
        <f t="shared" ca="1" si="7"/>
        <v>#REF!</v>
      </c>
      <c r="BF45" s="698" t="str">
        <f ca="1">IFERROR(VLOOKUP(BE45,INDIRECT(AQ40),2,FALSE),"----")</f>
        <v>----</v>
      </c>
      <c r="BG45" s="702" t="e">
        <f t="shared" ca="1" si="8"/>
        <v>#REF!</v>
      </c>
      <c r="BH45" s="686" t="str">
        <f ca="1">IFERROR(VLOOKUP(BG45,INDIRECT(AQ41),2,FALSE),"----")</f>
        <v>----</v>
      </c>
      <c r="BI45" s="702" t="e">
        <f t="shared" ca="1" si="36"/>
        <v>#REF!</v>
      </c>
      <c r="BJ45" s="686" t="str">
        <f ca="1">IFERROR(VLOOKUP(BI45,INDIRECT(AQ42),2,FALSE),"----")</f>
        <v>----</v>
      </c>
      <c r="BK45" s="702" t="e">
        <f t="shared" ca="1" si="37"/>
        <v>#REF!</v>
      </c>
      <c r="BL45" s="686" t="str">
        <f ca="1">IFERROR(VLOOKUP(BK45,INDIRECT(AQ43),2,FALSE),"----")</f>
        <v>----</v>
      </c>
      <c r="BM45" s="702" t="e">
        <f t="shared" ca="1" si="38"/>
        <v>#REF!</v>
      </c>
      <c r="BN45" s="686" t="str">
        <f ca="1">IFERROR(VLOOKUP(BM45,INDIRECT(AQ44),2,FALSE),"----")</f>
        <v>----</v>
      </c>
      <c r="BO45" s="702" t="e">
        <f t="shared" ca="1" si="39"/>
        <v>#REF!</v>
      </c>
      <c r="BP45" s="686" t="str">
        <f ca="1">IFERROR(VLOOKUP(BO45,INDIRECT(AQ45),2,FALSE),"----")</f>
        <v>----</v>
      </c>
      <c r="BQ45" s="702" t="e">
        <f t="shared" ca="1" si="9"/>
        <v>#REF!</v>
      </c>
      <c r="BR45" s="686" t="str">
        <f ca="1">IFERROR(VLOOKUP(BQ45,INDIRECT(AQ46),2,FALSE),"----")</f>
        <v>----</v>
      </c>
      <c r="BS45" s="695">
        <f>IF(AI45="",1,IF(COUNTIF(BP35:BP46,AI45)=0,2,1))</f>
        <v>1</v>
      </c>
      <c r="BT45" s="696">
        <f>IF(AF45="",1,IF(BP35=".",2,1))</f>
        <v>1</v>
      </c>
      <c r="BU45" s="706"/>
      <c r="BV45" s="155">
        <f ca="1">IF(COUNTIF(EC35:EC46,AF45)=0,IF(AF45&lt;&gt;"",0,1),1)</f>
        <v>1</v>
      </c>
      <c r="BW45" s="157">
        <f ca="1">IFERROR(MATCH(AF45,EC35:EC46,0),1)</f>
        <v>1</v>
      </c>
      <c r="BX45" s="769"/>
      <c r="BY45" s="769"/>
      <c r="BZ45" s="1112"/>
      <c r="CA45" s="691" t="e">
        <f t="shared" ca="1" si="10"/>
        <v>#REF!</v>
      </c>
      <c r="CB45" s="4" t="e" cm="1">
        <f t="array" aca="1" ref="CB45" ca="1">IF(AND(INDEX(INDIRECT(BY35),CA45,4)&gt;=$AB35,INDEX(INDIRECT(BY35),CA45,5)&gt;=$S35,INDEX(INDIRECT(BY35),CA45,6)&gt;=$R35),1,0)</f>
        <v>#REF!</v>
      </c>
      <c r="CC45" s="4" t="e">
        <f ca="1">MATCH(1,OFFSET(CB35:CB46,CD44,0,COUNT(CB35:CB46)-CD44),0)</f>
        <v>#REF!</v>
      </c>
      <c r="CD45" s="4" t="e">
        <f t="shared" ca="1" si="11"/>
        <v>#REF!</v>
      </c>
      <c r="CE45" s="692" t="str" cm="1">
        <f t="array" aca="1" ref="CE45" ca="1">IFERROR(VLOOKUP(INDEX(CA35:CA46,CD45),INDIRECT(BY35),2,FALSE),"----")</f>
        <v>----</v>
      </c>
      <c r="CF45" s="691" t="e">
        <f t="shared" ca="1" si="12"/>
        <v>#N/A</v>
      </c>
      <c r="CG45" s="4" t="e">
        <f ca="1">IF(AND(INDEX(SSM,CF45,4)&gt;=$AB35,INDEX(SSM,CF45,5)&gt;=$S35,INDEX(SSM,CF45,6)&gt;=$R35),1,0)</f>
        <v>#N/A</v>
      </c>
      <c r="CH45" s="4" t="e">
        <f ca="1">MATCH(1,OFFSET(CG35:CG46,CI44,0,COUNT(CG35:CG46)-CI44),0)</f>
        <v>#REF!</v>
      </c>
      <c r="CI45" s="4" t="e">
        <f t="shared" ca="1" si="13"/>
        <v>#REF!</v>
      </c>
      <c r="CJ45" s="692" t="str">
        <f ca="1">IFERROR(IF(AD36="Nested Steel Stud (wood infill)",VLOOKUP(INDEX(CF35:CF46,CI45),SSW,2,FALSE),VLOOKUP(INDEX(CF35:CF46,CI45),SSM,2,FALSE)),"----")</f>
        <v>----</v>
      </c>
      <c r="CK45" s="691" t="e">
        <f t="shared" ca="1" si="14"/>
        <v>#N/A</v>
      </c>
      <c r="CL45" s="4" t="e">
        <f ca="1">IF(AND(INDEX(WSM,CK45,4)&gt;=$AB35,INDEX(WSM,CK45,5)&gt;=$S35,INDEX(WSM,CK45,6)&gt;=$R35),1,0)</f>
        <v>#N/A</v>
      </c>
      <c r="CM45" s="4" t="e">
        <f ca="1">MATCH(1,OFFSET(CL35:CL46,CN44,0,COUNT(CL35:CL46)-CN44),0)</f>
        <v>#REF!</v>
      </c>
      <c r="CN45" s="4" t="e">
        <f t="shared" ca="1" si="15"/>
        <v>#REF!</v>
      </c>
      <c r="CO45" s="692" t="str">
        <f ca="1">IFERROR(VLOOKUP(INDEX(CK35:CK46,CN45),WSM,2,FALSE),"----")</f>
        <v>----</v>
      </c>
      <c r="CP45" s="691" t="e">
        <f t="shared" ca="1" si="16"/>
        <v>#N/A</v>
      </c>
      <c r="CQ45" s="4" t="e">
        <f ca="1">IF(AND(INDEX(STM,CP45,4)&gt;=$AB35,INDEX(STM,CP45,5)&gt;=$S35,INDEX(STM,CP45,6)&gt;=$R35),1,0)</f>
        <v>#N/A</v>
      </c>
      <c r="CR45" s="4" t="e">
        <f ca="1">MATCH(1,OFFSET(CQ35:CQ46,CS44,0,COUNT(CQ35:CQ46)-CS44),0)</f>
        <v>#REF!</v>
      </c>
      <c r="CS45" s="4" t="e">
        <f t="shared" ca="1" si="17"/>
        <v>#REF!</v>
      </c>
      <c r="CT45" s="692" t="str">
        <f ca="1">IFERROR(VLOOKUP(INDEX(CP35:CP46,CS45),STM,2,FALSE),"----")</f>
        <v>----</v>
      </c>
      <c r="CU45" s="691" t="e">
        <f t="shared" ca="1" si="18"/>
        <v>#N/A</v>
      </c>
      <c r="CV45" s="4" t="e">
        <f ca="1">IF(AND(INDEX(ELM,CU45,4)&gt;=$AB35,INDEX(ELM,CU45,5)&gt;=$S35,INDEX(ELM,CU45,6)&gt;=$R35),1,0)</f>
        <v>#N/A</v>
      </c>
      <c r="CW45" s="4" t="e">
        <f ca="1">MATCH(1,OFFSET(CV35:CV46,CX44,0,COUNT(CV35:CV46)-CX44),0)</f>
        <v>#REF!</v>
      </c>
      <c r="CX45" s="4" t="e">
        <f t="shared" ca="1" si="19"/>
        <v>#REF!</v>
      </c>
      <c r="CY45" s="692" t="str">
        <f ca="1">IFERROR(VLOOKUP(INDEX(CU35:CU46,CX45),ELM,2,FALSE),"----")</f>
        <v>----</v>
      </c>
      <c r="CZ45" s="691" t="e">
        <f t="shared" ca="1" si="20"/>
        <v>#N/A</v>
      </c>
      <c r="DA45" s="4" t="e">
        <f ca="1">IF(LEFT($J35,7)="Clad Wo",IF(AND(INDEX(SPPWS,CZ45,4)&gt;=$AB35,INDEX(SPPWS,CZ45,5)&gt;=$S35,INDEX(SPPWS,CZ45,6)&gt;=$R35),1,0),IF(AND(INDEX(SPM,CZ45,4)&gt;=$AB35,INDEX(SPM,CZ45,5)&gt;=$S35,INDEX(SPM,CZ45,6)&gt;=$R35),1,0))</f>
        <v>#N/A</v>
      </c>
      <c r="DB45" s="4" t="e">
        <f ca="1">MATCH(1,OFFSET(DA35:DA46,DC44,0,COUNT(DA35:DA46)-DC44),0)</f>
        <v>#REF!</v>
      </c>
      <c r="DC45" s="4" t="e">
        <f t="shared" ca="1" si="21"/>
        <v>#REF!</v>
      </c>
      <c r="DD45" s="693" t="str">
        <f ca="1">IF(LEFT($J35,7)="Clad Wo",IFERROR(VLOOKUP(INDEX(CZ35:CZ46,DC45),SPPWS,2,FALSE),"----"),IFERROR(VLOOKUP(INDEX(CZ35:CZ46,DC45),SPM,2,FALSE),"----"))</f>
        <v>----</v>
      </c>
      <c r="DE45" s="691" t="e">
        <f t="shared" ca="1" si="22"/>
        <v>#REF!</v>
      </c>
      <c r="DF45" s="4" t="e" cm="1">
        <f t="array" aca="1" ref="DF45" ca="1">IF(AND(INDEX(INDIRECT(BY35),DE45,4)&gt;=$AB41,INDEX(INDIRECT(BY35),DE45,5)&gt;=$S35,INDEX(INDIRECT(BY35),DE45,6)&gt;=$R35),1,0)</f>
        <v>#REF!</v>
      </c>
      <c r="DG45" s="4" t="e">
        <f ca="1">MATCH(1,OFFSET(DF35:DF46,DH44,0,COUNT(DF35:DF46)-DH44),0)</f>
        <v>#REF!</v>
      </c>
      <c r="DH45" s="4" t="e">
        <f t="shared" ca="1" si="23"/>
        <v>#REF!</v>
      </c>
      <c r="DI45" s="692" t="str" cm="1">
        <f t="array" aca="1" ref="DI45" ca="1">IFERROR(VLOOKUP(INDEX(DE35:DE46,DH45),INDIRECT(BY35),2,FALSE),"----")</f>
        <v>----</v>
      </c>
      <c r="DJ45" s="691" t="e">
        <f t="shared" ca="1" si="24"/>
        <v>#N/A</v>
      </c>
      <c r="DK45" s="4" t="e">
        <f ca="1">IF(AND(INDEX(SSM,DJ45,4)&gt;=$AB41,INDEX(SSM,DJ45,5)&gt;=$S35,INDEX(SSM,DJ45,6)&gt;=$R35),1,0)</f>
        <v>#N/A</v>
      </c>
      <c r="DL45" s="4" t="e">
        <f ca="1">MATCH(1,OFFSET(DK35:DK46,DM44,0,COUNT(DK35:DK46)-DM44),0)</f>
        <v>#REF!</v>
      </c>
      <c r="DM45" s="4" t="e">
        <f t="shared" ca="1" si="25"/>
        <v>#REF!</v>
      </c>
      <c r="DN45" s="692" t="str">
        <f ca="1">IFERROR(IF(AD42="Nested Steel Stud (wood infill)",VLOOKUP(INDEX(DJ35:DJ46,DM45),SSW,2,FALSE),VLOOKUP(INDEX(DJ35:DJ46,DM45),SSM,2,FALSE)),"----")</f>
        <v>----</v>
      </c>
      <c r="DO45" s="691" t="e">
        <f t="shared" ca="1" si="26"/>
        <v>#N/A</v>
      </c>
      <c r="DP45" s="4" t="e">
        <f ca="1">IF(AND(INDEX(WSM,DO45,4)&gt;=$AB41,INDEX(WSM,DO45,5)&gt;=$S35,INDEX(WSM,DO45,6)&gt;=$R35),1,0)</f>
        <v>#N/A</v>
      </c>
      <c r="DQ45" s="4" t="e">
        <f ca="1">MATCH(1,OFFSET(DP35:DP46,DR44,0,COUNT(DP35:DP46)-DR44),0)</f>
        <v>#REF!</v>
      </c>
      <c r="DR45" s="4" t="e">
        <f t="shared" ca="1" si="27"/>
        <v>#REF!</v>
      </c>
      <c r="DS45" s="692" t="str">
        <f ca="1">IFERROR(VLOOKUP(INDEX(DO35:DO46,DR45),WSM,2,FALSE),"----")</f>
        <v>----</v>
      </c>
      <c r="DT45" s="691" t="e">
        <f t="shared" ca="1" si="28"/>
        <v>#N/A</v>
      </c>
      <c r="DU45" s="4" t="e">
        <f ca="1">IF(AND(INDEX(STM,DT45,4)&gt;=$AB41,INDEX(STM,DT45,5)&gt;=$S35,INDEX(STM,DT45,6)&gt;=$R35),1,0)</f>
        <v>#N/A</v>
      </c>
      <c r="DV45" s="4" t="e">
        <f ca="1">MATCH(1,OFFSET(DU35:DU46,DW44,0,COUNT(DU35:DU46)-DW44),0)</f>
        <v>#REF!</v>
      </c>
      <c r="DW45" s="4" t="e">
        <f t="shared" ca="1" si="29"/>
        <v>#REF!</v>
      </c>
      <c r="DX45" s="692" t="str">
        <f ca="1">IFERROR(VLOOKUP(INDEX(DT35:DT46,DW45),STM,2,FALSE),"----")</f>
        <v>----</v>
      </c>
      <c r="DY45" s="691" t="e">
        <f t="shared" ca="1" si="30"/>
        <v>#N/A</v>
      </c>
      <c r="DZ45" s="4" t="e">
        <f ca="1">IF(AND(INDEX(ELM,DY45,4)&gt;=$AB41,INDEX(ELM,DY45,5)&gt;=$S35,INDEX(ELM,DY45,6)&gt;=$R35),1,0)</f>
        <v>#N/A</v>
      </c>
      <c r="EA45" s="4" t="e">
        <f ca="1">MATCH(1,OFFSET(DZ35:DZ46,EB44,0,COUNT(DZ35:DZ46)-EB44),0)</f>
        <v>#REF!</v>
      </c>
      <c r="EB45" s="4" t="e">
        <f t="shared" ca="1" si="31"/>
        <v>#REF!</v>
      </c>
      <c r="EC45" s="692" t="str">
        <f ca="1">IFERROR(VLOOKUP(INDEX(DY35:DY46,EB45),ELM,2,FALSE),"----")</f>
        <v>----</v>
      </c>
      <c r="ED45" s="691" t="e">
        <f t="shared" ca="1" si="32"/>
        <v>#N/A</v>
      </c>
      <c r="EE45" s="4" t="e">
        <f ca="1">IF(LEFT($J35,7)="Clad Wo",IF(AND(INDEX(SPPWS,ED45,4)&gt;=$AB41,INDEX(SPPWS,ED45,5)&gt;=$S35,INDEX(SPPWS,ED45,6)&gt;=$R35),1,0),IF(AND(INDEX(SPM,ED45,4)&gt;=$AB41,INDEX(SPM,ED45,5)&gt;=$S35,INDEX(SPM,ED45,6)&gt;=$R35),1,0))</f>
        <v>#N/A</v>
      </c>
      <c r="EF45" s="4" t="e">
        <f ca="1">MATCH(1,OFFSET(EE35:EE46,EG44,0,COUNT(EE35:EE46)-EG44),0)</f>
        <v>#REF!</v>
      </c>
      <c r="EG45" s="4" t="e">
        <f t="shared" ca="1" si="40"/>
        <v>#REF!</v>
      </c>
      <c r="EH45" s="692" t="str">
        <f ca="1">IF(LEFT($J35,7)="Clad Wo",IFERROR(VLOOKUP(INDEX(ED35:ED46,EG45),SPPWS,2,FALSE),"----"),IFERROR(VLOOKUP(INDEX(ED35:ED46,EG45),SPM,2,FALSE),"----"))</f>
        <v>----</v>
      </c>
    </row>
    <row r="46" spans="1:177" ht="16.899999999999999" customHeight="1" thickBot="1" x14ac:dyDescent="0.3">
      <c r="A46" s="1090"/>
      <c r="B46" s="928"/>
      <c r="C46" s="929"/>
      <c r="D46" s="930"/>
      <c r="E46" s="998"/>
      <c r="F46" s="999"/>
      <c r="G46" s="1000"/>
      <c r="H46" s="1063"/>
      <c r="I46" s="991"/>
      <c r="J46" s="904"/>
      <c r="K46" s="905"/>
      <c r="L46" s="1003"/>
      <c r="M46" s="1065"/>
      <c r="N46" s="1043"/>
      <c r="O46" s="1019"/>
      <c r="P46" s="988"/>
      <c r="Q46" s="1016"/>
      <c r="R46" s="1013"/>
      <c r="S46" s="1008"/>
      <c r="T46" s="1009"/>
      <c r="U46" s="879"/>
      <c r="V46" s="882"/>
      <c r="W46" s="885"/>
      <c r="X46" s="885"/>
      <c r="Y46" s="888"/>
      <c r="Z46" s="888"/>
      <c r="AA46" s="888"/>
      <c r="AB46" s="1082"/>
      <c r="AC46" s="1087"/>
      <c r="AD46" s="1098" t="str">
        <f>IF(LEFT(J35,7)="Clad Wo","Pella Wood Spr / Steel Pte","Steel Plate")</f>
        <v>Steel Plate</v>
      </c>
      <c r="AE46" s="1099"/>
      <c r="AF46" s="1096"/>
      <c r="AG46" s="1097"/>
      <c r="AH46" s="1097"/>
      <c r="AI46" s="1094"/>
      <c r="AJ46" s="1095"/>
      <c r="AK46" s="163" t="str">
        <f ca="1">IFERROR(VLOOKUP(AI46,OFFSET(INDIRECT(AQ46),0,1),2,FALSE),"")</f>
        <v/>
      </c>
      <c r="AL46" s="1060"/>
      <c r="AM46" s="345" t="str">
        <f ca="1">IFERROR(Q35/12*ROUND(VLOOKUP(AF46,OFFSET(SPM,0,1),6,FALSE),2),"")</f>
        <v/>
      </c>
      <c r="AN46" t="str">
        <f t="shared" ca="1" si="5"/>
        <v/>
      </c>
      <c r="AP46" s="699" t="str">
        <f>_xlfn.CONCAT(AR46,AS46)</f>
        <v/>
      </c>
      <c r="AQ46" s="700" t="str">
        <f>IFERROR(LEFT(AP46,LEN(AP46)-1),"")</f>
        <v/>
      </c>
      <c r="AR46" s="160" t="str">
        <f t="shared" si="3"/>
        <v/>
      </c>
      <c r="AS46" s="160" t="str">
        <f>IFERROR(VLOOKUP(J43, WallType,2,FALSE),"")</f>
        <v/>
      </c>
      <c r="AT46" s="707" t="str">
        <f>AL41</f>
        <v/>
      </c>
      <c r="AU46" s="708" t="e">
        <f t="shared" ca="1" si="6"/>
        <v>#REF!</v>
      </c>
      <c r="AV46" s="709" t="str">
        <f ca="1">IFERROR(VLOOKUP(AU46,INDIRECT(AQ35),2,FALSE),"----")</f>
        <v>----</v>
      </c>
      <c r="AW46" s="710" t="e">
        <f t="shared" ca="1" si="33"/>
        <v>#REF!</v>
      </c>
      <c r="AX46" s="709" t="str">
        <f ca="1">IFERROR(VLOOKUP(AW46,INDIRECT(AQ36),2,FALSE),"----")</f>
        <v>----</v>
      </c>
      <c r="AY46" s="710" t="e">
        <f t="shared" ref="AY46" ca="1" si="54">AY45-1</f>
        <v>#REF!</v>
      </c>
      <c r="AZ46" s="709" t="str">
        <f ca="1">IFERROR(VLOOKUP(AY46,INDIRECT(AQ37),2,FALSE),"----")</f>
        <v>----</v>
      </c>
      <c r="BA46" s="710" t="e">
        <f t="shared" ref="BA46" ca="1" si="55">BA45-1</f>
        <v>#REF!</v>
      </c>
      <c r="BB46" s="709" t="str">
        <f ca="1">IFERROR(VLOOKUP(BA46,INDIRECT(AQ38),2,FALSE),"----")</f>
        <v>----</v>
      </c>
      <c r="BC46" s="710" t="e">
        <f t="shared" ca="1" si="35"/>
        <v>#REF!</v>
      </c>
      <c r="BD46" s="709" t="str">
        <f ca="1">IFERROR(VLOOKUP(BC46,INDIRECT(AQ39),2,FALSE),"----")</f>
        <v>----</v>
      </c>
      <c r="BE46" s="710" t="e">
        <f t="shared" ca="1" si="7"/>
        <v>#REF!</v>
      </c>
      <c r="BF46" s="709" t="str">
        <f ca="1">IFERROR(VLOOKUP(BE46,INDIRECT(AQ40),2,FALSE),"----")</f>
        <v>----</v>
      </c>
      <c r="BG46" s="710" t="e">
        <f t="shared" ca="1" si="8"/>
        <v>#REF!</v>
      </c>
      <c r="BH46" s="711" t="str">
        <f ca="1">IFERROR(VLOOKUP(BG46,INDIRECT(AQ41),2,FALSE),"----")</f>
        <v>----</v>
      </c>
      <c r="BI46" s="710" t="e">
        <f t="shared" ca="1" si="36"/>
        <v>#REF!</v>
      </c>
      <c r="BJ46" s="711" t="str">
        <f ca="1">IFERROR(VLOOKUP(BI46,INDIRECT(AQ42),2,FALSE),"----")</f>
        <v>----</v>
      </c>
      <c r="BK46" s="710" t="e">
        <f t="shared" ca="1" si="37"/>
        <v>#REF!</v>
      </c>
      <c r="BL46" s="711" t="str">
        <f ca="1">IFERROR(VLOOKUP(BK46,INDIRECT(AQ43),2,FALSE),"----")</f>
        <v>----</v>
      </c>
      <c r="BM46" s="710" t="e">
        <f t="shared" ca="1" si="38"/>
        <v>#REF!</v>
      </c>
      <c r="BN46" s="711" t="str">
        <f ca="1">IFERROR(VLOOKUP(BM46,INDIRECT(AQ44),2,FALSE),"----")</f>
        <v>----</v>
      </c>
      <c r="BO46" s="710" t="e">
        <f t="shared" ca="1" si="39"/>
        <v>#REF!</v>
      </c>
      <c r="BP46" s="711" t="str">
        <f ca="1">IFERROR(VLOOKUP(BO46,INDIRECT(AQ45),2,FALSE),"----")</f>
        <v>----</v>
      </c>
      <c r="BQ46" s="710" t="e">
        <f t="shared" ca="1" si="9"/>
        <v>#REF!</v>
      </c>
      <c r="BR46" s="712" t="str">
        <f ca="1">IFERROR(VLOOKUP(BQ46,INDIRECT(AQ46),2,FALSE),"----")</f>
        <v>----</v>
      </c>
      <c r="BS46" s="695">
        <f>IF(AI46="",1,IF(COUNTIF(BR35:BR46,AI46)=0,2,1))</f>
        <v>1</v>
      </c>
      <c r="BT46" s="713">
        <f>IF(AF46="",1,IF(BR35=".",2,1))</f>
        <v>1</v>
      </c>
      <c r="BV46" s="777">
        <f ca="1">IF(COUNTIF(EH35:EH46,AF46)=0,IF(AF46&lt;&gt;"",0,1),1)</f>
        <v>1</v>
      </c>
      <c r="BW46" s="157">
        <f ca="1">IFERROR(MATCH(AF46,EH35:EH46,0),1)</f>
        <v>1</v>
      </c>
      <c r="BX46" s="718"/>
      <c r="BY46" s="777"/>
      <c r="BZ46" s="1113"/>
      <c r="CA46" s="714" t="e">
        <f t="shared" ca="1" si="10"/>
        <v>#REF!</v>
      </c>
      <c r="CB46" s="715" t="e" cm="1">
        <f t="array" aca="1" ref="CB46" ca="1">IF(AND(INDEX(INDIRECT(BY35),CA46,4)&gt;=$AB35,INDEX(INDIRECT(BY35),CA46,5)&gt;=$S35,INDEX(INDIRECT(BY35),CA46,6)&gt;=$R35),1,0)</f>
        <v>#REF!</v>
      </c>
      <c r="CC46" s="715" t="e">
        <f ca="1">MATCH(1,OFFSET(CB35:CB46,CD45,0,COUNT(CB35:CB46)-CD45),0)</f>
        <v>#REF!</v>
      </c>
      <c r="CD46" s="715" t="e">
        <f t="shared" ca="1" si="11"/>
        <v>#REF!</v>
      </c>
      <c r="CE46" s="716" t="str" cm="1">
        <f t="array" aca="1" ref="CE46" ca="1">IFERROR(VLOOKUP(INDEX(CA35:CA46,CD46),INDIRECT(BY35),2,FALSE),"----")</f>
        <v>----</v>
      </c>
      <c r="CF46" s="714" t="e">
        <f t="shared" ca="1" si="12"/>
        <v>#N/A</v>
      </c>
      <c r="CG46" s="715" t="e">
        <f ca="1">IF(AND(INDEX(SSM,CF46,4)&gt;=$AB35,INDEX(SSM,CF46,5)&gt;=$S35,INDEX(SSM,CF46,6)&gt;=$R35),1,0)</f>
        <v>#N/A</v>
      </c>
      <c r="CH46" s="715" t="e">
        <f ca="1">MATCH(1,OFFSET(CG35:CG46,CI45,0,COUNT(CG35:CG46)-CI45),0)</f>
        <v>#REF!</v>
      </c>
      <c r="CI46" s="715" t="e">
        <f t="shared" ca="1" si="13"/>
        <v>#REF!</v>
      </c>
      <c r="CJ46" s="716" t="str">
        <f ca="1">IFERROR(IF(AD36="Nested Steel Stud (wood infill)",VLOOKUP(INDEX(CF35:CF46,CI46),SSW,2,FALSE),VLOOKUP(INDEX(CF35:CF46,CI46),SSM,2,FALSE)),"----")</f>
        <v>----</v>
      </c>
      <c r="CK46" s="714" t="e">
        <f t="shared" ca="1" si="14"/>
        <v>#N/A</v>
      </c>
      <c r="CL46" s="715" t="e">
        <f ca="1">IF(AND(INDEX(WSM,CK46,4)&gt;=$AB35,INDEX(WSM,CK46,5)&gt;=$S35,INDEX(WSM,CK46,6)&gt;=$R35),1,0)</f>
        <v>#N/A</v>
      </c>
      <c r="CM46" s="715" t="e">
        <f ca="1">MATCH(1,OFFSET(CL35:CL46,CN45,0,COUNT(CL35:CL46)-CN45),0)</f>
        <v>#REF!</v>
      </c>
      <c r="CN46" s="715" t="e">
        <f t="shared" ca="1" si="15"/>
        <v>#REF!</v>
      </c>
      <c r="CO46" s="716" t="str">
        <f ca="1">IFERROR(VLOOKUP(INDEX(CK35:CK46,CN46),WSM,2,FALSE),"----")</f>
        <v>----</v>
      </c>
      <c r="CP46" s="714" t="e">
        <f t="shared" ca="1" si="16"/>
        <v>#N/A</v>
      </c>
      <c r="CQ46" s="715" t="e">
        <f ca="1">IF(AND(INDEX(STM,CP46,4)&gt;=$AB35,INDEX(STM,CP46,5)&gt;=$S35,INDEX(STM,CP46,6)&gt;=$R35),1,0)</f>
        <v>#N/A</v>
      </c>
      <c r="CR46" s="715" t="e">
        <f ca="1">MATCH(1,OFFSET(CQ35:CQ46,CS45,0,COUNT(CQ35:CQ46)-CS45),0)</f>
        <v>#REF!</v>
      </c>
      <c r="CS46" s="715" t="e">
        <f t="shared" ca="1" si="17"/>
        <v>#REF!</v>
      </c>
      <c r="CT46" s="716" t="str">
        <f ca="1">IFERROR(VLOOKUP(INDEX(CP35:CP46,CS46),STM,2,FALSE),"----")</f>
        <v>----</v>
      </c>
      <c r="CU46" s="714" t="e">
        <f t="shared" ca="1" si="18"/>
        <v>#N/A</v>
      </c>
      <c r="CV46" s="715" t="e">
        <f ca="1">IF(AND(INDEX(ELM,CU46,4)&gt;=$AB35,INDEX(ELM,CU46,5)&gt;=$S35,INDEX(ELM,CU46,6)&gt;=$R35),1,0)</f>
        <v>#N/A</v>
      </c>
      <c r="CW46" s="715" t="e">
        <f ca="1">MATCH(1,OFFSET(CV35:CV46,CX45,0,COUNT(CV35:CV46)-CX45),0)</f>
        <v>#REF!</v>
      </c>
      <c r="CX46" s="715" t="e">
        <f t="shared" ca="1" si="19"/>
        <v>#REF!</v>
      </c>
      <c r="CY46" s="716" t="str">
        <f ca="1">IFERROR(VLOOKUP(INDEX(CU35:CU46,CX46),ELM,2,FALSE),"----")</f>
        <v>----</v>
      </c>
      <c r="CZ46" s="714" t="e">
        <f t="shared" ca="1" si="20"/>
        <v>#N/A</v>
      </c>
      <c r="DA46" s="715" t="e">
        <f ca="1">IF(LEFT($J35,7)="Clad Wo",IF(AND(INDEX(SPPWS,CZ46,4)&gt;=$AB35,INDEX(SPPWS,CZ46,5)&gt;=$S35,INDEX(SPPWS,CZ46,6)&gt;=$R35),1,0),IF(AND(INDEX(SPM,CZ46,4)&gt;=$AB35,INDEX(SPM,CZ46,5)&gt;=$S35,INDEX(SPM,CZ46,6)&gt;=$R35),1,0))</f>
        <v>#N/A</v>
      </c>
      <c r="DB46" s="715" t="e">
        <f ca="1">MATCH(1,OFFSET(DA35:DA46,DC45,0,COUNT(DA35:DA46)-DC45),0)</f>
        <v>#REF!</v>
      </c>
      <c r="DC46" s="715" t="e">
        <f t="shared" ca="1" si="21"/>
        <v>#REF!</v>
      </c>
      <c r="DD46" s="717" t="str">
        <f ca="1">IF(LEFT($J35,7)="Clad Wo",IFERROR(VLOOKUP(INDEX(CZ35:CZ46,DC46),SPPWS,2,FALSE),"----"),IFERROR(VLOOKUP(INDEX(CZ35:CZ46,DC46),SPM,2,FALSE),"----"))</f>
        <v>----</v>
      </c>
      <c r="DE46" s="714" t="e">
        <f t="shared" ca="1" si="22"/>
        <v>#REF!</v>
      </c>
      <c r="DF46" s="715" t="e" cm="1">
        <f t="array" aca="1" ref="DF46" ca="1">IF(AND(INDEX(INDIRECT(BY35),DE46,4)&gt;=$AB41,INDEX(INDIRECT(BY35),DE46,5)&gt;=$S35,INDEX(INDIRECT(BY35),DE46,6)&gt;=$R35),1,0)</f>
        <v>#REF!</v>
      </c>
      <c r="DG46" s="715" t="e">
        <f ca="1">MATCH(1,OFFSET(DF35:DF46,DH45,0,COUNT(DF35:DF46)-DH45),0)</f>
        <v>#REF!</v>
      </c>
      <c r="DH46" s="715" t="e">
        <f t="shared" ca="1" si="23"/>
        <v>#REF!</v>
      </c>
      <c r="DI46" s="716" t="str" cm="1">
        <f t="array" aca="1" ref="DI46" ca="1">IFERROR(VLOOKUP(INDEX(DE35:DE46,DH46),INDIRECT(BY35),2,FALSE),"----")</f>
        <v>----</v>
      </c>
      <c r="DJ46" s="714" t="e">
        <f t="shared" ca="1" si="24"/>
        <v>#N/A</v>
      </c>
      <c r="DK46" s="715" t="e">
        <f ca="1">IF(AND(INDEX(SSM,DJ46,4)&gt;=$AB41,INDEX(SSM,DJ46,5)&gt;=$S35,INDEX(SSM,DJ46,6)&gt;=$R35),1,0)</f>
        <v>#N/A</v>
      </c>
      <c r="DL46" s="715" t="e">
        <f ca="1">MATCH(1,OFFSET(DK35:DK46,DM45,0,COUNT(DK35:DK46)-DM45),0)</f>
        <v>#REF!</v>
      </c>
      <c r="DM46" s="715" t="e">
        <f t="shared" ca="1" si="25"/>
        <v>#REF!</v>
      </c>
      <c r="DN46" s="716" t="str">
        <f ca="1">IFERROR(IF(AD42="Nested Steel Stud (wood infill)",VLOOKUP(INDEX(DJ35:DJ46,DM46),SSW,2,FALSE),VLOOKUP(INDEX(DJ35:DJ46,DM46),SSM,2,FALSE)),"----")</f>
        <v>----</v>
      </c>
      <c r="DO46" s="714" t="e">
        <f t="shared" ca="1" si="26"/>
        <v>#N/A</v>
      </c>
      <c r="DP46" s="715" t="e">
        <f ca="1">IF(AND(INDEX(WSM,DO46,4)&gt;=$AB41,INDEX(WSM,DO46,5)&gt;=$S35,INDEX(WSM,DO46,6)&gt;=$R35),1,0)</f>
        <v>#N/A</v>
      </c>
      <c r="DQ46" s="715" t="e">
        <f ca="1">MATCH(1,OFFSET(DP35:DP46,DR45,0,COUNT(DP35:DP46)-DR45),0)</f>
        <v>#REF!</v>
      </c>
      <c r="DR46" s="715" t="e">
        <f t="shared" ca="1" si="27"/>
        <v>#REF!</v>
      </c>
      <c r="DS46" s="716" t="str">
        <f ca="1">IFERROR(VLOOKUP(INDEX(DO35:DO46,DR46),WSM,2,FALSE),"----")</f>
        <v>----</v>
      </c>
      <c r="DT46" s="714" t="e">
        <f t="shared" ca="1" si="28"/>
        <v>#N/A</v>
      </c>
      <c r="DU46" s="715" t="e">
        <f ca="1">IF(AND(INDEX(STM,DT46,4)&gt;=$AB41,INDEX(STM,DT46,5)&gt;=$S35,INDEX(STM,DT46,6)&gt;=$R35),1,0)</f>
        <v>#N/A</v>
      </c>
      <c r="DV46" s="715" t="e">
        <f ca="1">MATCH(1,OFFSET(DU35:DU46,DW45,0,COUNT(DU35:DU46)-DW45),0)</f>
        <v>#REF!</v>
      </c>
      <c r="DW46" s="715" t="e">
        <f t="shared" ca="1" si="29"/>
        <v>#REF!</v>
      </c>
      <c r="DX46" s="716" t="str">
        <f ca="1">IFERROR(VLOOKUP(INDEX(DT35:DT46,DW46),STM,2,FALSE),"----")</f>
        <v>----</v>
      </c>
      <c r="DY46" s="714" t="e">
        <f t="shared" ca="1" si="30"/>
        <v>#N/A</v>
      </c>
      <c r="DZ46" s="715" t="e">
        <f ca="1">IF(AND(INDEX(ELM,DY46,4)&gt;=$AB41,INDEX(ELM,DY46,5)&gt;=$S35,INDEX(ELM,DY46,6)&gt;=$R35),1,0)</f>
        <v>#N/A</v>
      </c>
      <c r="EA46" s="715" t="e">
        <f ca="1">MATCH(1,OFFSET(DZ35:DZ46,EB45,0,COUNT(DZ35:DZ46)-EB45),0)</f>
        <v>#REF!</v>
      </c>
      <c r="EB46" s="715" t="e">
        <f t="shared" ca="1" si="31"/>
        <v>#REF!</v>
      </c>
      <c r="EC46" s="716" t="str">
        <f ca="1">IFERROR(VLOOKUP(INDEX(DY35:DY46,EB46),ELM,2,FALSE),"----")</f>
        <v>----</v>
      </c>
      <c r="ED46" s="714" t="e">
        <f t="shared" ca="1" si="32"/>
        <v>#N/A</v>
      </c>
      <c r="EE46" s="715" t="e">
        <f ca="1">IF(LEFT($J35,7)="Clad Wo",IF(AND(INDEX(SPPWS,ED46,4)&gt;=$AB41,INDEX(SPPWS,ED46,5)&gt;=$S35,INDEX(SPPWS,ED46,6)&gt;=$R35),1,0),IF(AND(INDEX(SPM,ED46,4)&gt;=$AB41,INDEX(SPM,ED46,5)&gt;=$S35,INDEX(SPM,ED46,6)&gt;=$R35),1,0))</f>
        <v>#N/A</v>
      </c>
      <c r="EF46" s="715" t="e">
        <f ca="1">MATCH(1,OFFSET(EE35:EE46,EG45,0,COUNT(EE35:EE46)-EG45),0)</f>
        <v>#REF!</v>
      </c>
      <c r="EG46" s="715" t="e">
        <f t="shared" ca="1" si="40"/>
        <v>#REF!</v>
      </c>
      <c r="EH46" s="716" t="str">
        <f ca="1">IF(LEFT($J35,7)="Clad Wo",IFERROR(VLOOKUP(INDEX(ED35:ED46,EG46),SPPWS,2,FALSE),"----"),IFERROR(VLOOKUP(INDEX(ED35:ED46,EG46),SPM,2,FALSE),"----"))</f>
        <v>----</v>
      </c>
    </row>
    <row r="47" spans="1:177" ht="15" customHeight="1" thickTop="1" x14ac:dyDescent="0.25">
      <c r="A47" s="1085"/>
      <c r="B47" s="931" t="s">
        <v>92</v>
      </c>
      <c r="C47" s="932"/>
      <c r="D47" s="933"/>
      <c r="E47" s="992"/>
      <c r="F47" s="993"/>
      <c r="G47" s="994"/>
      <c r="H47" s="1061"/>
      <c r="I47" s="1076"/>
      <c r="J47" s="906"/>
      <c r="K47" s="907"/>
      <c r="L47" s="1001">
        <f>$W$3</f>
        <v>4</v>
      </c>
      <c r="M47" s="923" t="str">
        <f t="shared" ref="M47" si="56">IFERROR(IF($AE$13="",IF($AG$19="Wind Loading",MIN($V$31,IF(E$11="ASCE 7-05",$U$26,$V$7)*$V$9*(IF($E$12&lt;60,0.0771*LN(MAX(MIN(500,O47),10)) -1.2737,IF($E$11="ASCE 7-22",0.0524*LN(MAX(MIN(500,O47),50))-1.0278,0.0614*LN(MAX(MIN(500,O47),20)) -1.0829))-$V$8)),$V$7*IF(E$12&lt;60,$V$13*($V$15*0.0771*LN(MAX(MIN(500,O47),10))-1.2737-$V$16),$V$13*$V$15*((0.0524*LN(MAX(MIN(500,O47),20))-1.0278)-$V$16))),-ABS($AE$13)),"")</f>
        <v/>
      </c>
      <c r="N47" s="1042" t="str">
        <f t="shared" ref="N47" si="57">IFERROR(IF($AE$15="",IF($AG$19="Wind Loading",MAX($U$31,IF(E$11="ASCE 7-05",$U$26,$V$7)*$V$9*((IF($E$12&lt;60,-0.077*LN(MAX(MIN(500,O47),10))+1.1737,IF($E$11="ASCE 7-22",-0.077*LN(MAX(MIN(500,O47),20))+1.0798,-0.093*LN(MAX(MIN(500,O47),20))+1.1776)))+$V$8)),$V$7*IF(E$12&lt;60,$V$13*($V$15*(-0.077*LN(MAX(MIN(500,O47),10))+1.1737)-$V$17),$V$13*$V$15*((-0.077*LN(MAX(MIN(500,O47),20))+1.0798)-$V$17))),ABS($AE$15)),"")</f>
        <v/>
      </c>
      <c r="O47" s="1017" t="str">
        <f>IF(BX54=0,"",IF(AG$14="Trapezoidal",BY54,BX54))</f>
        <v/>
      </c>
      <c r="P47" s="986"/>
      <c r="Q47" s="1014"/>
      <c r="R47" s="1091">
        <f>P47*Q47/8</f>
        <v>0</v>
      </c>
      <c r="S47" s="1004">
        <f t="shared" ref="S47" si="58">IF(5*(P47*Q47^3/(384*0.125))=0,0,5*(P47*Q47^3/(384*0.125)))</f>
        <v>0</v>
      </c>
      <c r="T47" s="1005"/>
      <c r="U47" s="877" t="e">
        <f ca="1">VLOOKUP(J51,INDIRECT(VLOOKUP(J47,FrameStrength,2,FALSE)),3,FALSE)</f>
        <v>#N/A</v>
      </c>
      <c r="V47" s="880">
        <f t="shared" ref="V47" si="59">(H47+I47)/2</f>
        <v>0</v>
      </c>
      <c r="W47" s="883" t="e">
        <f>MAX(-M47,N47)*O47</f>
        <v>#VALUE!</v>
      </c>
      <c r="X47" s="883">
        <f t="shared" ref="X47" si="60">IF(E47&gt;162,(E47/240+0.25),IF(AND(E47&lt;162,E47/175&lt;0.75),E47/175,0.75))</f>
        <v>0</v>
      </c>
      <c r="Y47" s="886">
        <f>IFERROR(IF(AG$14="Trapezoidal",BY55,BX55)+IF($E$17="4",(400*E47^3)/(48*X47),0),0)</f>
        <v>0</v>
      </c>
      <c r="Z47" s="886" t="e">
        <f t="shared" ref="Z47" si="61">+($V47*MAX(-$M47,$N47)*$E47^2)/(144*8)+IF($E$17=4,(400*$E47)/4,0)</f>
        <v>#VALUE!</v>
      </c>
      <c r="AA47" s="886" t="e">
        <f ca="1">VLOOKUP(J51,INDIRECT(VLOOKUP(J47,FrameStrength,2,FALSE)),2,FALSE)</f>
        <v>#N/A</v>
      </c>
      <c r="AB47" s="1083" t="str">
        <f ca="1">IFERROR(Z47-AA47,"")</f>
        <v/>
      </c>
      <c r="AC47" s="1077" t="str">
        <f ca="1">IFERROR(Y47-U47,"")</f>
        <v/>
      </c>
      <c r="AD47" s="1100" t="str">
        <f>IFERROR(IF(LEFT(J51,2)="As",VLOOKUP(J51,EIMM,4,FALSE),VLOOKUP(J47,EIMM,4,FALSE)),IF(AND(ISNUMBER(SEARCH("Impervia",J47)),ISNUMBER(SEARCH("door",J51))),'New Lookup Cells'!AF$10,IF(ISNUMBER(SEARCH("Impervia",J47)),'New Lookup Cells'!AF$7,IF(AND(ISNUMBER(SEARCH("250",J47)),ISNUMBER(SEARCH("door",J51))),'New Lookup Cells'!AF$14,IF(ISNUMBER(SEARCH("250",J47)),'New Lookup Cells'!AF$13,"")))))</f>
        <v/>
      </c>
      <c r="AE47" s="1101"/>
      <c r="AF47" s="1050"/>
      <c r="AG47" s="1051"/>
      <c r="AH47" s="1051"/>
      <c r="AI47" s="1088"/>
      <c r="AJ47" s="1089"/>
      <c r="AK47" s="154" t="str">
        <f t="shared" ref="AK47:AK99" ca="1" si="62">IFERROR(VLOOKUP(AI47,OFFSET(INDIRECT(AQ47),0,1),2,FALSE),"")</f>
        <v/>
      </c>
      <c r="AL47" s="1038" t="str">
        <f t="shared" ref="AL47" si="63">IFERROR(ROUND(SQRT(P47^2+(W47/2+IF($E$17=4,200,0))^2),0),"")</f>
        <v/>
      </c>
      <c r="AM47" s="342" t="s">
        <v>669</v>
      </c>
      <c r="AN47" t="str">
        <f t="shared" ca="1" si="5"/>
        <v/>
      </c>
      <c r="AP47" s="122" t="str">
        <f t="shared" ref="AP47" si="64">_xlfn.CONCAT(AR47,AS52)</f>
        <v/>
      </c>
      <c r="AQ47" s="683" t="str">
        <f t="shared" ref="AQ47:AQ110" si="65">IFERROR(LEFT(AP47,LEN(AP47)-1),"")</f>
        <v/>
      </c>
      <c r="AR47" s="96" t="str">
        <f t="shared" si="3"/>
        <v/>
      </c>
      <c r="AS47" s="96" t="str">
        <f>IF(COUNTIF(imp_1,AF47)=1,"imp_1",IF(COUNTIF(imp_2,AF47)=1,"imp_2",IF(COUNTIF(imp_3,AF47)=1,"imp_3",IF(COUNTIF(impdoor,AF47)=1,"impdoor",""))))</f>
        <v/>
      </c>
      <c r="AT47" s="684" t="str">
        <f>AL47</f>
        <v/>
      </c>
      <c r="AU47" s="685" t="e">
        <f ca="1">MATCH(AL47,INDIRECT(AP47),-1)</f>
        <v>#REF!</v>
      </c>
      <c r="AV47" s="686" t="str">
        <f ca="1">IFERROR(VLOOKUP(AU47,INDIRECT(AQ47),2,FALSE),"----")</f>
        <v>----</v>
      </c>
      <c r="AW47" s="685" t="e">
        <f ca="1">MATCH(AL47,INDIRECT(AP48),-1)</f>
        <v>#REF!</v>
      </c>
      <c r="AX47" s="686" t="str">
        <f ca="1">IFERROR(VLOOKUP(AW47,INDIRECT(AQ48),2,FALSE),"----")</f>
        <v>----</v>
      </c>
      <c r="AY47" s="685" t="e">
        <f ca="1">MATCH(AL47,INDIRECT(AP49),-1)</f>
        <v>#REF!</v>
      </c>
      <c r="AZ47" s="686" t="str">
        <f ca="1">IFERROR(VLOOKUP(AY47,INDIRECT(AQ49),2,FALSE),"----")</f>
        <v>----</v>
      </c>
      <c r="BA47" s="685" t="e">
        <f ca="1">MATCH(AL47,INDIRECT(AP50),-1)</f>
        <v>#REF!</v>
      </c>
      <c r="BB47" s="686" t="str">
        <f ca="1">IFERROR(VLOOKUP(BA47,INDIRECT(AQ50),2,FALSE),"----")</f>
        <v>----</v>
      </c>
      <c r="BC47" s="685" t="e">
        <f ca="1">MATCH(AL47,INDIRECT(AP51),-1)</f>
        <v>#REF!</v>
      </c>
      <c r="BD47" s="686" t="str">
        <f ca="1">IFERROR(VLOOKUP(BC47,INDIRECT(AQ51),2,FALSE),"----")</f>
        <v>----</v>
      </c>
      <c r="BE47" s="685" t="e">
        <f ca="1">MATCH(AL47,INDIRECT(AP52),-1)</f>
        <v>#REF!</v>
      </c>
      <c r="BF47" s="686" t="str">
        <f ca="1">IFERROR(VLOOKUP(BE47,INDIRECT(AQ52),2,FALSE),"----")</f>
        <v>----</v>
      </c>
      <c r="BG47" s="685" t="e">
        <f ca="1">MATCH(AL53,INDIRECT(AP53),-1)</f>
        <v>#REF!</v>
      </c>
      <c r="BH47" s="686" t="str">
        <f ca="1">IFERROR(VLOOKUP(BG47,INDIRECT(AQ53),2,FALSE),"----")</f>
        <v>----</v>
      </c>
      <c r="BI47" s="685" t="e">
        <f ca="1">MATCH(AL53,INDIRECT(AP54),-1)</f>
        <v>#REF!</v>
      </c>
      <c r="BJ47" s="686" t="str">
        <f ca="1">IFERROR(VLOOKUP(BI47,INDIRECT(AQ54),2,FALSE),"----")</f>
        <v>----</v>
      </c>
      <c r="BK47" s="685" t="e">
        <f ca="1">MATCH(AL53,INDIRECT(AP55),-1)</f>
        <v>#REF!</v>
      </c>
      <c r="BL47" s="686" t="str">
        <f ca="1">IFERROR(VLOOKUP(BK47,INDIRECT(AQ55),2,FALSE),"----")</f>
        <v>----</v>
      </c>
      <c r="BM47" s="685" t="e">
        <f ca="1">MATCH(AL53,INDIRECT(AP56),-1)</f>
        <v>#REF!</v>
      </c>
      <c r="BN47" s="686" t="str">
        <f ca="1">IFERROR(VLOOKUP(BM47,INDIRECT(AQ56),2,FALSE),"----")</f>
        <v>----</v>
      </c>
      <c r="BO47" s="685" t="e">
        <f ca="1">MATCH(AL53,INDIRECT(AP57),-1)</f>
        <v>#REF!</v>
      </c>
      <c r="BP47" s="686" t="str">
        <f ca="1">IFERROR(VLOOKUP(BO47,INDIRECT(AQ57),2,FALSE),"----")</f>
        <v>----</v>
      </c>
      <c r="BQ47" s="685" t="e">
        <f ca="1">MATCH(AL53,INDIRECT(AP58),-1)</f>
        <v>#REF!</v>
      </c>
      <c r="BR47" s="686" t="str">
        <f ca="1">IFERROR(VLOOKUP(BQ47,INDIRECT(AQ58),2,FALSE),"----")</f>
        <v>----</v>
      </c>
      <c r="BS47" s="687">
        <f>IF(AI47="",1,IF(COUNTIF(AV47:AV58,AI47)=0,2,1))</f>
        <v>1</v>
      </c>
      <c r="BT47" s="688">
        <f>IF(AP47="1",1,IF(AF47="",1,IF(AV47=".",2,1)))</f>
        <v>1</v>
      </c>
      <c r="BU47" s="706"/>
      <c r="BV47" s="155">
        <f ca="1">IF(COUNTIF(CE47:CE58,AF47)=0,IF(AF47&lt;&gt;"",0,1),1)</f>
        <v>1</v>
      </c>
      <c r="BW47" s="690">
        <f ca="1">IFERROR(MATCH(AF47,CE47:CE58,0),1)</f>
        <v>1</v>
      </c>
      <c r="BX47" s="769" t="str">
        <f>IFERROR(IF(LEFT(J51,2)="As",VLOOKUP(J51,EIMM,2,FALSE),IF(AND(ISNUMBER(SEARCH("Impervia",J47)),ISNUMBER(SEARCH("door",J51))),VLOOKUP("Impervia Door",EIMM,2,FALSE),IF(AND(ISNUMBER(SEARCH("250",J47)),ISNUMBER(SEARCH("door",J51))),VLOOKUP("250 Series Door",EIMM,2,FALSE),VLOOKUP(J47,EIMM,2,FALSE)))),"")</f>
        <v/>
      </c>
      <c r="BY47" s="769" t="str">
        <f ca="1">IFERROR(VLOOKUP(BX47,OFFSET(EIMM,0,1),2,FALSE),"")</f>
        <v/>
      </c>
      <c r="BZ47" s="1110" t="e">
        <f ca="1">IF((COUNTIF(INDIRECT(SUBSTITUTE(J47," ","_")),J51))=0,IF(J51="",1,0),1)</f>
        <v>#REF!</v>
      </c>
      <c r="CA47" s="691" t="e">
        <f ca="1">MATCH(AC47,INDIRECT(BX47),-1)</f>
        <v>#REF!</v>
      </c>
      <c r="CB47" s="4" t="e" cm="1">
        <f t="array" aca="1" ref="CB47" ca="1">IF(AND(INDEX(INDIRECT(BY47),CA47,4)&gt;=$AB47,INDEX(INDIRECT(BY47),CA47,5)&gt;=$S47,INDEX(INDIRECT(BY47),CA47,6)&gt;=$R47),1,0)</f>
        <v>#REF!</v>
      </c>
      <c r="CC47" s="4" t="e">
        <f t="shared" ref="CC47" ca="1" si="66">MATCH(1,OFFSET(CB47:CB58,$W$2,0,COUNT(CB47:CB58)-$W$2),0)</f>
        <v>#REF!</v>
      </c>
      <c r="CD47" s="4" t="e">
        <f t="shared" ref="CD47" ca="1" si="67">$W$2+CC47</f>
        <v>#REF!</v>
      </c>
      <c r="CE47" s="692" t="str" cm="1">
        <f t="array" aca="1" ref="CE47" ca="1">IFERROR(VLOOKUP(INDEX(CA47:CA58,CD47),INDIRECT(BY47),2,FALSE),"----")</f>
        <v>----</v>
      </c>
      <c r="CF47" s="691" t="e">
        <f ca="1">MATCH($AC47,SSEI,-1)</f>
        <v>#N/A</v>
      </c>
      <c r="CG47" s="4" t="e">
        <f ca="1">IF(AND(INDEX(SSM,CF47,4)&gt;=$AB47,INDEX(SSM,CF47,5)&gt;=$S47,INDEX(SSM,CF47,6)&gt;=$R47),1,0)</f>
        <v>#N/A</v>
      </c>
      <c r="CH47" s="4" t="e">
        <f t="shared" ref="CH47" ca="1" si="68">MATCH(1,OFFSET(CG47:CG58,$W$2,0,COUNT(CG47:CG58)-$W$2),0)</f>
        <v>#REF!</v>
      </c>
      <c r="CI47" s="4" t="e">
        <f t="shared" ref="CI47" ca="1" si="69">$W$2+CH47</f>
        <v>#REF!</v>
      </c>
      <c r="CJ47" s="692" t="str">
        <f ca="1">IFERROR(IF(AD48="Nested Steel Stud (wood infill)",VLOOKUP(INDEX(CF47:CF58,CI47),SSW,2,FALSE),VLOOKUP(INDEX(CF47:CF58,CI47),SSM,2,FALSE)),"----")</f>
        <v>----</v>
      </c>
      <c r="CK47" s="691" t="e">
        <f ca="1">MATCH($AC47,WSEI,-1)</f>
        <v>#N/A</v>
      </c>
      <c r="CL47" s="4" t="e">
        <f ca="1">IF(AND(INDEX(WSM,CK47,4)&gt;=$AB47,INDEX(WSM,CK47,5)&gt;=$S47,INDEX(WSM,CK47,6)&gt;=$R47),1,0)</f>
        <v>#N/A</v>
      </c>
      <c r="CM47" s="4" t="e">
        <f t="shared" ref="CM47" ca="1" si="70">MATCH(1,OFFSET(CL47:CL58,$W$2,0,COUNT(CL47:CL58)-$W$2),0)</f>
        <v>#REF!</v>
      </c>
      <c r="CN47" s="4" t="e">
        <f t="shared" ref="CN47" ca="1" si="71">$W$2+CM47</f>
        <v>#REF!</v>
      </c>
      <c r="CO47" s="692" t="str">
        <f ca="1">IFERROR(VLOOKUP(INDEX(CK47:CK58,CN47),WSM,2,FALSE),"----")</f>
        <v>----</v>
      </c>
      <c r="CP47" s="691" t="e">
        <f ca="1">MATCH($AC47,STEI,-1)</f>
        <v>#N/A</v>
      </c>
      <c r="CQ47" s="4" t="e">
        <f ca="1">IF(AND(INDEX(STM,CP47,4)&gt;=$AB47,INDEX(STM,CP47,5)&gt;=$S47,INDEX(STM,CP47,6)&gt;=$R47),1,0)</f>
        <v>#N/A</v>
      </c>
      <c r="CR47" s="4" t="e">
        <f t="shared" ref="CR47" ca="1" si="72">MATCH(1,OFFSET(CQ47:CQ58,$W$2,0,COUNT(CQ47:CQ58)-$W$2),0)</f>
        <v>#REF!</v>
      </c>
      <c r="CS47" s="4" t="e">
        <f t="shared" ref="CS47" ca="1" si="73">$W$2+CR47</f>
        <v>#REF!</v>
      </c>
      <c r="CT47" s="692" t="str">
        <f ca="1">IFERROR(VLOOKUP(INDEX(CP47:CP58,CS47),STM,2,FALSE),"----")</f>
        <v>----</v>
      </c>
      <c r="CU47" s="691" t="e">
        <f ca="1">MATCH($AC47,ELEI,-1)</f>
        <v>#N/A</v>
      </c>
      <c r="CV47" s="4" t="e">
        <f ca="1">IF(AND(INDEX(ELM,CU47,4)&gt;=$AB47,INDEX(ELM,CU47,5)&gt;=$S47,INDEX(ELM,CU47,6)&gt;=$R47),1,0)</f>
        <v>#N/A</v>
      </c>
      <c r="CW47" s="4" t="e">
        <f t="shared" ref="CW47" ca="1" si="74">MATCH(1,OFFSET(CV47:CV58,$W$2,0,COUNT(CV47:CV58)-$W$2),0)</f>
        <v>#REF!</v>
      </c>
      <c r="CX47" s="4" t="e">
        <f t="shared" ref="CX47" ca="1" si="75">$W$2+CW47</f>
        <v>#REF!</v>
      </c>
      <c r="CY47" s="692" t="str">
        <f ca="1">IFERROR(VLOOKUP(INDEX(CU47:CU58,CX47),ELM,2,FALSE),"----")</f>
        <v>----</v>
      </c>
      <c r="CZ47" s="691" t="e">
        <f ca="1">IF(LEFT($J47,7)="Clad Wo",MATCH($AC47,SPEIW,-1),MATCH($AC47,SPEI,-1))</f>
        <v>#N/A</v>
      </c>
      <c r="DA47" s="4" t="e">
        <f ca="1">IF(LEFT($J47,7)="Clad Wo",IF(AND(INDEX(SPPWS,CZ47,4)&gt;=$AB47,INDEX(SPPWS,CZ47,5)&gt;=$S47,INDEX(SPPWS,CZ47,6)&gt;=$R47),1,0),IF(AND(INDEX(SPM,CZ47,4)&gt;=$AB47,INDEX(SPM,CZ47,5)&gt;=$S47,INDEX(SPM,CZ47,6)&gt;=$R47),1,0))</f>
        <v>#N/A</v>
      </c>
      <c r="DB47" s="4" t="e">
        <f t="shared" ref="DB47" ca="1" si="76">MATCH(1,OFFSET(DA47:DA58,$W$2,0,COUNT(DA47:DA58)-$W$2),0)</f>
        <v>#REF!</v>
      </c>
      <c r="DC47" s="4" t="e">
        <f t="shared" ref="DC47" ca="1" si="77">$W$2+DB47</f>
        <v>#REF!</v>
      </c>
      <c r="DD47" s="693" t="str">
        <f ca="1">IF(LEFT($J47,7)="Clad Wo",IFERROR(VLOOKUP(INDEX(CZ47:CZ58,DC47),SPPWS,2,FALSE),"----"),IFERROR(VLOOKUP(INDEX(CZ47:CZ58,DC47),SPM,2,FALSE),"----"))</f>
        <v>----</v>
      </c>
      <c r="DE47" s="691" t="e">
        <f ca="1">MATCH(AC53,INDIRECT(BX47),-1)</f>
        <v>#REF!</v>
      </c>
      <c r="DF47" s="4" t="e" cm="1">
        <f t="array" aca="1" ref="DF47" ca="1">IF(AND(INDEX(INDIRECT(BY47),DE47,4)&gt;=$AB53,INDEX(INDIRECT(BY47),DE47,5)&gt;=$S47,INDEX(INDIRECT(BY47),DE47,6)&gt;=$R47),1,0)</f>
        <v>#REF!</v>
      </c>
      <c r="DG47" s="4" t="e">
        <f t="shared" ref="DG47" ca="1" si="78">MATCH(1,OFFSET(DF47:DF58,$W$2,0,COUNT(DF47:DF58)-$W$2),0)</f>
        <v>#REF!</v>
      </c>
      <c r="DH47" s="4" t="e">
        <f t="shared" ref="DH47" ca="1" si="79">$W$2+DG47</f>
        <v>#REF!</v>
      </c>
      <c r="DI47" s="692" t="str" cm="1">
        <f t="array" aca="1" ref="DI47" ca="1">IFERROR(VLOOKUP(INDEX(DE47:DE58,DH47),INDIRECT(BY47),2,FALSE),"----")</f>
        <v>----</v>
      </c>
      <c r="DJ47" s="691" t="e">
        <f ca="1">MATCH($AC53,SSEI,-1)</f>
        <v>#N/A</v>
      </c>
      <c r="DK47" s="4" t="e">
        <f ca="1">IF(AND(INDEX(SSM,DJ47,4)&gt;=$AB53,INDEX(SSM,DJ47,5)&gt;=$S47,INDEX(SSM,DJ47,6)&gt;=$R47),1,0)</f>
        <v>#N/A</v>
      </c>
      <c r="DL47" s="4" t="e">
        <f t="shared" ref="DL47" ca="1" si="80">MATCH(1,OFFSET(DK47:DK58,$W$2,0,COUNT(DK47:DK58)-$W$2),0)</f>
        <v>#REF!</v>
      </c>
      <c r="DM47" s="4" t="e">
        <f t="shared" ref="DM47" ca="1" si="81">$W$2+DL47</f>
        <v>#REF!</v>
      </c>
      <c r="DN47" s="692" t="str">
        <f ca="1">IFERROR(IF(AD54="Nested Steel Stud (wood infill)",VLOOKUP(INDEX(DJ47:DJ58,DM47),SSW,2,FALSE),VLOOKUP(INDEX(DJ47:DJ58,DM47),SSM,2,FALSE)),"----")</f>
        <v>----</v>
      </c>
      <c r="DO47" s="691" t="e">
        <f ca="1">MATCH($AC53,WSEI,-1)</f>
        <v>#N/A</v>
      </c>
      <c r="DP47" s="4" t="e">
        <f ca="1">IF(AND(INDEX(WSM,DO47,4)&gt;=$AB53,INDEX(WSM,DO47,5)&gt;=$S47,INDEX(WSM,DO47,6)&gt;=$R47),1,0)</f>
        <v>#N/A</v>
      </c>
      <c r="DQ47" s="4" t="e">
        <f t="shared" ref="DQ47" ca="1" si="82">MATCH(1,OFFSET(DP47:DP58,$W$2,0,COUNT(DP47:DP58)-$W$2),0)</f>
        <v>#REF!</v>
      </c>
      <c r="DR47" s="4" t="e">
        <f t="shared" ref="DR47" ca="1" si="83">$W$2+DQ47</f>
        <v>#REF!</v>
      </c>
      <c r="DS47" s="692" t="str">
        <f ca="1">IFERROR(VLOOKUP(INDEX(DO47:DO58,DR47),WSM,2,FALSE),"----")</f>
        <v>----</v>
      </c>
      <c r="DT47" s="691" t="e">
        <f ca="1">MATCH($AC53,STEI,-1)</f>
        <v>#N/A</v>
      </c>
      <c r="DU47" s="4" t="e">
        <f ca="1">IF(AND(INDEX(STM,DT47,4)&gt;=$AB53,INDEX(STM,DT47,5)&gt;=$S47,INDEX(STM,DT47,6)&gt;=$R47),1,0)</f>
        <v>#N/A</v>
      </c>
      <c r="DV47" s="4" t="e">
        <f t="shared" ref="DV47" ca="1" si="84">MATCH(1,OFFSET(DU47:DU58,$W$2,0,COUNT(DU47:DU58)-$W$2),0)</f>
        <v>#REF!</v>
      </c>
      <c r="DW47" s="4" t="e">
        <f t="shared" ref="DW47" ca="1" si="85">$W$2+DV47</f>
        <v>#REF!</v>
      </c>
      <c r="DX47" s="692" t="str">
        <f ca="1">IFERROR(VLOOKUP(INDEX(DT47:DT58,DW47),STM,2,FALSE),"----")</f>
        <v>----</v>
      </c>
      <c r="DY47" s="691" t="e">
        <f ca="1">MATCH($AC53,ELEI,-1)</f>
        <v>#N/A</v>
      </c>
      <c r="DZ47" s="4" t="e">
        <f ca="1">IF(AND(INDEX(ELM,DY47,4)&gt;=$AB53,INDEX(ELM,DY47,5)&gt;=$S47,INDEX(ELM,DY47,6)&gt;=$R47),1,0)</f>
        <v>#N/A</v>
      </c>
      <c r="EA47" s="4" t="e">
        <f t="shared" ref="EA47" ca="1" si="86">MATCH(1,OFFSET(DZ47:DZ58,$W$2,0,COUNT(DZ47:DZ58)-$W$2),0)</f>
        <v>#REF!</v>
      </c>
      <c r="EB47" s="4" t="e">
        <f t="shared" ref="EB47" ca="1" si="87">EA47+$W$2</f>
        <v>#REF!</v>
      </c>
      <c r="EC47" s="692" t="str">
        <f ca="1">IFERROR(VLOOKUP(INDEX(DY47:DY58,EB47),ELM,2,FALSE),"----")</f>
        <v>----</v>
      </c>
      <c r="ED47" s="691" t="e">
        <f ca="1">IF(LEFT($J47,7)="Clad Wo",MATCH($AC53,SPEIW,-1),MATCH($AC53,SPEI,-1))</f>
        <v>#N/A</v>
      </c>
      <c r="EE47" s="4" t="e">
        <f ca="1">IF(LEFT($J47,7)="Clad Wo",IF(AND(INDEX(SPPWS,ED47,4)&gt;=$AB53,INDEX(SPPWS,ED47,5)&gt;=$S47,INDEX(SPPWS,ED47,6)&gt;=$R47),1,0),IF(AND(INDEX(SPM,ED47,4)&gt;=$AB53,INDEX(SPM,ED47,5)&gt;=$S47,INDEX(SPM,ED47,6)&gt;=$R47),1,0))</f>
        <v>#N/A</v>
      </c>
      <c r="EF47" s="4" t="e">
        <f t="shared" ref="EF47" ca="1" si="88">MATCH(1,OFFSET(EE47:EE58,$W$2,0,COUNT(EE47:EE58)-$W$2),0)</f>
        <v>#REF!</v>
      </c>
      <c r="EG47" s="4" t="e">
        <f t="shared" ref="EG47" ca="1" si="89">$W$2+EF47</f>
        <v>#REF!</v>
      </c>
      <c r="EH47" s="692" t="str">
        <f ca="1">IF(LEFT($J47,7)="Clad Wo",IFERROR(VLOOKUP(INDEX(ED47:ED58,EG47),SPPWS,2,FALSE),"----"),IFERROR(VLOOKUP(INDEX(ED47:ED58,EG47),SPM,2,FALSE),"----"))</f>
        <v>----</v>
      </c>
    </row>
    <row r="48" spans="1:177" ht="15" customHeight="1" x14ac:dyDescent="0.25">
      <c r="A48" s="1085"/>
      <c r="B48" s="925"/>
      <c r="C48" s="926"/>
      <c r="D48" s="927"/>
      <c r="E48" s="995"/>
      <c r="F48" s="996"/>
      <c r="G48" s="997"/>
      <c r="H48" s="1062"/>
      <c r="I48" s="990"/>
      <c r="J48" s="908"/>
      <c r="K48" s="909"/>
      <c r="L48" s="1002"/>
      <c r="M48" s="923"/>
      <c r="N48" s="1042"/>
      <c r="O48" s="1018"/>
      <c r="P48" s="987"/>
      <c r="Q48" s="1015"/>
      <c r="R48" s="1012"/>
      <c r="S48" s="1006"/>
      <c r="T48" s="1007"/>
      <c r="U48" s="878"/>
      <c r="V48" s="881"/>
      <c r="W48" s="884"/>
      <c r="X48" s="884"/>
      <c r="Y48" s="887"/>
      <c r="Z48" s="887"/>
      <c r="AA48" s="887"/>
      <c r="AB48" s="1081"/>
      <c r="AC48" s="1078"/>
      <c r="AD48" s="1102" t="s">
        <v>38</v>
      </c>
      <c r="AE48" s="1103"/>
      <c r="AF48" s="1052"/>
      <c r="AG48" s="1053"/>
      <c r="AH48" s="1053"/>
      <c r="AI48" s="1066"/>
      <c r="AJ48" s="1067"/>
      <c r="AK48" s="156" t="str">
        <f t="shared" ca="1" si="62"/>
        <v/>
      </c>
      <c r="AL48" s="1039"/>
      <c r="AM48" s="343" t="str">
        <f ca="1">IFERROR(Q47/12*ROUND(VLOOKUP(AF48,OFFSET(SSM,0,1),6,FALSE),2),"")</f>
        <v/>
      </c>
      <c r="AN48" t="str">
        <f t="shared" ca="1" si="5"/>
        <v/>
      </c>
      <c r="AP48" s="122" t="str">
        <f t="shared" ref="AP48" si="90">_xlfn.CONCAT(AR48,AS52)</f>
        <v/>
      </c>
      <c r="AQ48" s="683" t="str">
        <f t="shared" si="65"/>
        <v/>
      </c>
      <c r="AR48" s="96" t="str">
        <f t="shared" si="3"/>
        <v/>
      </c>
      <c r="AS48" s="96" t="str">
        <f>IF(COUNTIF(Vista_1,AF47)=1,"Vista_1",IF(COUNTIF(Vista_2,AF47)=1,"Vista_2",""))</f>
        <v/>
      </c>
      <c r="AT48" s="684" t="str">
        <f>AL47</f>
        <v/>
      </c>
      <c r="AU48" s="694" t="e">
        <f t="shared" ref="AU48:AU111" ca="1" si="91">AU47-1</f>
        <v>#REF!</v>
      </c>
      <c r="AV48" s="686" t="str">
        <f ca="1">IFERROR(VLOOKUP(AU48,INDIRECT(AQ47),2,FALSE),"----")</f>
        <v>----</v>
      </c>
      <c r="AW48" s="694" t="e">
        <f t="shared" ref="AW48:AW111" ca="1" si="92">AW47-1</f>
        <v>#REF!</v>
      </c>
      <c r="AX48" s="686" t="str">
        <f ca="1">IFERROR(VLOOKUP(AW48,INDIRECT(AQ48),2,FALSE),"----")</f>
        <v>----</v>
      </c>
      <c r="AY48" s="694" t="e">
        <f t="shared" ref="AY48:AY49" ca="1" si="93">AY47-1</f>
        <v>#REF!</v>
      </c>
      <c r="AZ48" s="686" t="str">
        <f ca="1">IFERROR(VLOOKUP(AY48,INDIRECT(AQ49),2,FALSE),"----")</f>
        <v>----</v>
      </c>
      <c r="BA48" s="694" t="e">
        <f t="shared" ref="BA48:BA49" ca="1" si="94">BA47-1</f>
        <v>#REF!</v>
      </c>
      <c r="BB48" s="686" t="str">
        <f ca="1">IFERROR(VLOOKUP(BA48,INDIRECT(AQ50),2,FALSE),"----")</f>
        <v>----</v>
      </c>
      <c r="BC48" s="694" t="e">
        <f t="shared" ref="BC48:BC111" ca="1" si="95">BC47-1</f>
        <v>#REF!</v>
      </c>
      <c r="BD48" s="686" t="str">
        <f ca="1">IFERROR(VLOOKUP(BC48,INDIRECT(AQ51),2,FALSE),"----")</f>
        <v>----</v>
      </c>
      <c r="BE48" s="694" t="e">
        <f t="shared" ref="BE48:BE111" ca="1" si="96">BE47-1</f>
        <v>#REF!</v>
      </c>
      <c r="BF48" s="686" t="str">
        <f ca="1">IFERROR(VLOOKUP(BE48,INDIRECT(AQ52),2,FALSE),"----")</f>
        <v>----</v>
      </c>
      <c r="BG48" s="694" t="e">
        <f t="shared" ref="BG48:BG111" ca="1" si="97">BG47-1</f>
        <v>#REF!</v>
      </c>
      <c r="BH48" s="686" t="str">
        <f ca="1">IFERROR(VLOOKUP(BG48,INDIRECT(AQ53),2,FALSE),"----")</f>
        <v>----</v>
      </c>
      <c r="BI48" s="694" t="e">
        <f t="shared" ref="BI48:BI111" ca="1" si="98">BI47-1</f>
        <v>#REF!</v>
      </c>
      <c r="BJ48" s="686" t="str">
        <f ca="1">IFERROR(VLOOKUP(BI48,INDIRECT(AQ54),2,FALSE),"----")</f>
        <v>----</v>
      </c>
      <c r="BK48" s="694" t="e">
        <f t="shared" ref="BK48:BK111" ca="1" si="99">BK47-1</f>
        <v>#REF!</v>
      </c>
      <c r="BL48" s="686" t="str">
        <f ca="1">IFERROR(VLOOKUP(BK48,INDIRECT(AQ55),2,FALSE),"----")</f>
        <v>----</v>
      </c>
      <c r="BM48" s="694" t="e">
        <f t="shared" ref="BM48:BM111" ca="1" si="100">BM47-1</f>
        <v>#REF!</v>
      </c>
      <c r="BN48" s="686" t="str">
        <f ca="1">IFERROR(VLOOKUP(BM48,INDIRECT(AQ56),2,FALSE),"----")</f>
        <v>----</v>
      </c>
      <c r="BO48" s="694" t="e">
        <f t="shared" ref="BO48:BO111" ca="1" si="101">BO47-1</f>
        <v>#REF!</v>
      </c>
      <c r="BP48" s="686" t="str">
        <f ca="1">IFERROR(VLOOKUP(BO48,INDIRECT(AQ57),2,FALSE),"----")</f>
        <v>----</v>
      </c>
      <c r="BQ48" s="694" t="e">
        <f t="shared" ref="BQ48:BQ111" ca="1" si="102">BQ47-1</f>
        <v>#REF!</v>
      </c>
      <c r="BR48" s="686" t="str">
        <f ca="1">IFERROR(VLOOKUP(BQ48,INDIRECT(AQ58),2,FALSE),"----")</f>
        <v>----</v>
      </c>
      <c r="BS48" s="695">
        <f>IF(AI48="",1,IF(COUNTIF(AX47:AX58,AI48)=0,2,1))</f>
        <v>1</v>
      </c>
      <c r="BT48" s="696">
        <f>IF(AF48="",1,IF(AX47=".",2,1))</f>
        <v>1</v>
      </c>
      <c r="BU48" s="706"/>
      <c r="BV48" s="155">
        <f ca="1">IF(COUNTIF(CJ47:CJ58,AF48)=0,IF(AF48&lt;&gt;"",0,1),1)</f>
        <v>1</v>
      </c>
      <c r="BW48" s="157">
        <f ca="1">IFERROR(MATCH(AF48,CJ47:CJ58,0),1)</f>
        <v>1</v>
      </c>
      <c r="BX48" s="769"/>
      <c r="BY48" s="769"/>
      <c r="BZ48" s="1110"/>
      <c r="CA48" s="691" t="e">
        <f t="shared" ref="CA48:CA58" ca="1" si="103">CA47-1</f>
        <v>#REF!</v>
      </c>
      <c r="CB48" s="4" t="e" cm="1">
        <f t="array" aca="1" ref="CB48" ca="1">IF(AND(INDEX(INDIRECT(BY47),CA48,4)&gt;=$AB47,INDEX(INDIRECT(BY47),CA48,5)&gt;=$S47,INDEX(INDIRECT(BY47),CA48,6)&gt;=$R47),1,0)</f>
        <v>#REF!</v>
      </c>
      <c r="CC48" s="4" t="e">
        <f t="shared" ref="CC48" ca="1" si="104">MATCH(1,OFFSET(CB47:CB58,CD47,0,COUNT(CB47:CB58)-CD47),0)</f>
        <v>#REF!</v>
      </c>
      <c r="CD48" s="4" t="e">
        <f t="shared" ref="CD48:CD58" ca="1" si="105">CD47+CC48</f>
        <v>#REF!</v>
      </c>
      <c r="CE48" s="692" t="str" cm="1">
        <f t="array" aca="1" ref="CE48" ca="1">IFERROR(VLOOKUP(INDEX(CA47:CA58,CD48),INDIRECT(BY47),2,FALSE),"----")</f>
        <v>----</v>
      </c>
      <c r="CF48" s="691" t="e">
        <f t="shared" ref="CF48:CF58" ca="1" si="106">CF47-1</f>
        <v>#N/A</v>
      </c>
      <c r="CG48" s="4" t="e">
        <f ca="1">IF(AND(INDEX(SSM,CF48,4)&gt;=$AB47,INDEX(SSM,CF48,5)&gt;=$S47,INDEX(SSM,CF48,6)&gt;=$R47),1,0)</f>
        <v>#N/A</v>
      </c>
      <c r="CH48" s="4" t="e">
        <f t="shared" ref="CH48" ca="1" si="107">MATCH(1,OFFSET(CG47:CG58,CI47,0,COUNT(CG47:CG58)-CI47),0)</f>
        <v>#REF!</v>
      </c>
      <c r="CI48" s="4" t="e">
        <f t="shared" ref="CI48:CI58" ca="1" si="108">CI47+CH48</f>
        <v>#REF!</v>
      </c>
      <c r="CJ48" s="692" t="str">
        <f ca="1">IFERROR(IF(AD48="Nested Steel Stud (wood infill)",VLOOKUP(INDEX(CF47:CF58,CI48),SSW,2,FALSE),VLOOKUP(INDEX(CF47:CF58,CI48),SSM,2,FALSE)),"----")</f>
        <v>----</v>
      </c>
      <c r="CK48" s="691" t="e">
        <f t="shared" ref="CK48:CK58" ca="1" si="109">CK47-1</f>
        <v>#N/A</v>
      </c>
      <c r="CL48" s="4" t="e">
        <f ca="1">IF(AND(INDEX(WSM,CK48,4)&gt;=$AB47,INDEX(WSM,CK48,5)&gt;=$S47,INDEX(WSM,CK48,6)&gt;=$R47),1,0)</f>
        <v>#N/A</v>
      </c>
      <c r="CM48" s="4" t="e">
        <f t="shared" ref="CM48" ca="1" si="110">MATCH(1,OFFSET(CL47:CL58,CN47,0,COUNT(CL47:CL58)-CN47),0)</f>
        <v>#REF!</v>
      </c>
      <c r="CN48" s="4" t="e">
        <f t="shared" ref="CN48:CN58" ca="1" si="111">CM48+CN47</f>
        <v>#REF!</v>
      </c>
      <c r="CO48" s="692" t="str">
        <f ca="1">IFERROR(VLOOKUP(INDEX(CK47:CK58,CN48),WSM,2,FALSE),"----")</f>
        <v>----</v>
      </c>
      <c r="CP48" s="691" t="e">
        <f t="shared" ref="CP48:CP58" ca="1" si="112">CP47-1</f>
        <v>#N/A</v>
      </c>
      <c r="CQ48" s="4" t="e">
        <f ca="1">IF(AND(INDEX(STM,CP48,4)&gt;=$AB47,INDEX(STM,CP48,5)&gt;=$S47,INDEX(STM,CP48,6)&gt;=$R47),1,0)</f>
        <v>#N/A</v>
      </c>
      <c r="CR48" s="4" t="e">
        <f t="shared" ref="CR48" ca="1" si="113">MATCH(1,OFFSET(CQ47:CQ58,CS47,0,COUNT(CQ47:CQ58)-CS47),0)</f>
        <v>#REF!</v>
      </c>
      <c r="CS48" s="4" t="e">
        <f t="shared" ref="CS48:CS58" ca="1" si="114">CR48+CS47</f>
        <v>#REF!</v>
      </c>
      <c r="CT48" s="692" t="str">
        <f ca="1">IFERROR(VLOOKUP(INDEX(CP47:CP58,CS48),STM,2,FALSE),"----")</f>
        <v>----</v>
      </c>
      <c r="CU48" s="691" t="e">
        <f t="shared" ref="CU48:CU58" ca="1" si="115">CU47-1</f>
        <v>#N/A</v>
      </c>
      <c r="CV48" s="4" t="e">
        <f ca="1">IF(AND(INDEX(ELM,CU48,4)&gt;=$AB47,INDEX(ELM,CU48,5)&gt;=$S47,INDEX(ELM,CU48,6)&gt;=$R47),1,0)</f>
        <v>#N/A</v>
      </c>
      <c r="CW48" s="4" t="e">
        <f t="shared" ref="CW48" ca="1" si="116">MATCH(1,OFFSET(CV47:CV58,CX47,0,COUNT(CV47:CV58)-CX47),0)</f>
        <v>#REF!</v>
      </c>
      <c r="CX48" s="4" t="e">
        <f t="shared" ref="CX48:CX58" ca="1" si="117">CW48+CX47</f>
        <v>#REF!</v>
      </c>
      <c r="CY48" s="692" t="str">
        <f ca="1">IFERROR(VLOOKUP(INDEX(CU47:CU58,CX48),ELM,2,FALSE),"----")</f>
        <v>----</v>
      </c>
      <c r="CZ48" s="691" t="e">
        <f t="shared" ref="CZ48:CZ58" ca="1" si="118">CZ47-1</f>
        <v>#N/A</v>
      </c>
      <c r="DA48" s="4" t="e">
        <f ca="1">IF(LEFT($J47,7)="Clad Wo",IF(AND(INDEX(SPPWS,CZ48,4)&gt;=$AB47,INDEX(SPPWS,CZ48,5)&gt;=$S47,INDEX(SPPWS,CZ48,6)&gt;=$R47),1,0),IF(AND(INDEX(SPM,CZ48,4)&gt;=$AB47,INDEX(SPM,CZ48,5)&gt;=$S47,INDEX(SPM,CZ48,6)&gt;=$R47),1,0))</f>
        <v>#N/A</v>
      </c>
      <c r="DB48" s="4" t="e">
        <f t="shared" ref="DB48" ca="1" si="119">MATCH(1,OFFSET(DA47:DA58,DC47,0,COUNT(DA47:DA58)-DC47),0)</f>
        <v>#REF!</v>
      </c>
      <c r="DC48" s="4" t="e">
        <f t="shared" ref="DC48:DC58" ca="1" si="120">DC47+DB48</f>
        <v>#REF!</v>
      </c>
      <c r="DD48" s="693" t="str">
        <f ca="1">IF(LEFT($J47,7)="Clad Wo",IFERROR(VLOOKUP(INDEX(CZ47:CZ58,DC48),SPPWS,2,FALSE),"----"),IFERROR(VLOOKUP(INDEX(CZ47:CZ58,DC48),SPM,2,FALSE),"----"))</f>
        <v>----</v>
      </c>
      <c r="DE48" s="691" t="e">
        <f t="shared" ref="DE48:DE58" ca="1" si="121">DE47-1</f>
        <v>#REF!</v>
      </c>
      <c r="DF48" s="4" t="e" cm="1">
        <f t="array" aca="1" ref="DF48" ca="1">IF(AND(INDEX(INDIRECT(BY47),DE48,4)&gt;=$AB53,INDEX(INDIRECT(BY47),DE48,5)&gt;=$S47,INDEX(INDIRECT(BY47),DE48,6)&gt;=$R47),1,0)</f>
        <v>#REF!</v>
      </c>
      <c r="DG48" s="4" t="e">
        <f t="shared" ref="DG48" ca="1" si="122">MATCH(1,OFFSET(DF47:DF58,DH47,0,COUNT(DF47:DF58)-DH47),0)</f>
        <v>#REF!</v>
      </c>
      <c r="DH48" s="4" t="e">
        <f t="shared" ref="DH48:DH58" ca="1" si="123">DH47+DG48</f>
        <v>#REF!</v>
      </c>
      <c r="DI48" s="692" t="str" cm="1">
        <f t="array" aca="1" ref="DI48" ca="1">IFERROR(VLOOKUP(INDEX(DE47:DE58,DH48),INDIRECT(BY47),2,FALSE),"----")</f>
        <v>----</v>
      </c>
      <c r="DJ48" s="691" t="e">
        <f t="shared" ref="DJ48:DJ58" ca="1" si="124">DJ47-1</f>
        <v>#N/A</v>
      </c>
      <c r="DK48" s="4" t="e">
        <f ca="1">IF(AND(INDEX(SSM,DJ48,4)&gt;=$AB53,INDEX(SSM,DJ48,5)&gt;=$S47,INDEX(SSM,DJ48,6)&gt;=$R47),1,0)</f>
        <v>#N/A</v>
      </c>
      <c r="DL48" s="4" t="e">
        <f t="shared" ref="DL48" ca="1" si="125">MATCH(1,OFFSET(DK47:DK58,DM47,0,COUNT(DK47:DK58)-DM47),0)</f>
        <v>#REF!</v>
      </c>
      <c r="DM48" s="4" t="e">
        <f t="shared" ref="DM48:DM58" ca="1" si="126">DL48+DM47</f>
        <v>#REF!</v>
      </c>
      <c r="DN48" s="692" t="str">
        <f ca="1">IFERROR(IF(AD54="Nested Steel Stud (wood infill)",VLOOKUP(INDEX(DJ47:DJ58,DM48),SSW,2,FALSE),VLOOKUP(INDEX(DJ47:DJ58,DM48),SSM,2,FALSE)),"----")</f>
        <v>----</v>
      </c>
      <c r="DO48" s="691" t="e">
        <f t="shared" ref="DO48:DO58" ca="1" si="127">DO47-1</f>
        <v>#N/A</v>
      </c>
      <c r="DP48" s="4" t="e">
        <f ca="1">IF(AND(INDEX(WSM,DO48,4)&gt;=$AB53,INDEX(WSM,DO48,5)&gt;=$S47,INDEX(WSM,DO48,6)&gt;=$R47),1,0)</f>
        <v>#N/A</v>
      </c>
      <c r="DQ48" s="4" t="e">
        <f t="shared" ref="DQ48" ca="1" si="128">MATCH(1,OFFSET(DP47:DP58,DR47,0,COUNT(DP47:DP58)-DR47),0)</f>
        <v>#REF!</v>
      </c>
      <c r="DR48" s="4" t="e">
        <f t="shared" ref="DR48:DR58" ca="1" si="129">DQ48+DR47</f>
        <v>#REF!</v>
      </c>
      <c r="DS48" s="692" t="str">
        <f ca="1">IFERROR(VLOOKUP(INDEX(DO47:DO58,DR48),WSM,2,FALSE),"----")</f>
        <v>----</v>
      </c>
      <c r="DT48" s="691" t="e">
        <f t="shared" ref="DT48:DT58" ca="1" si="130">DT47-1</f>
        <v>#N/A</v>
      </c>
      <c r="DU48" s="4" t="e">
        <f ca="1">IF(AND(INDEX(STM,DT48,4)&gt;=$AB53,INDEX(STM,DT48,5)&gt;=$S47,INDEX(STM,DT48,6)&gt;=$R47),1,0)</f>
        <v>#N/A</v>
      </c>
      <c r="DV48" s="4" t="e">
        <f t="shared" ref="DV48" ca="1" si="131">MATCH(1,OFFSET(DU47:DU58,DW47,0,COUNT(DU47:DU58)-DW47),0)</f>
        <v>#REF!</v>
      </c>
      <c r="DW48" s="4" t="e">
        <f t="shared" ref="DW48:DW58" ca="1" si="132">DV48+DW47</f>
        <v>#REF!</v>
      </c>
      <c r="DX48" s="692" t="str">
        <f ca="1">IFERROR(VLOOKUP(INDEX(DT47:DT58,DW48),STM,2,FALSE),"----")</f>
        <v>----</v>
      </c>
      <c r="DY48" s="691" t="e">
        <f t="shared" ref="DY48:DY58" ca="1" si="133">DY47-1</f>
        <v>#N/A</v>
      </c>
      <c r="DZ48" s="4" t="e">
        <f ca="1">IF(AND(INDEX(ELM,DY48,4)&gt;=$AB53,INDEX(ELM,DY48,5)&gt;=$S47,INDEX(ELM,DY48,6)&gt;=$R47),1,0)</f>
        <v>#N/A</v>
      </c>
      <c r="EA48" s="4" t="e">
        <f t="shared" ref="EA48" ca="1" si="134">MATCH(1,OFFSET(DZ47:DZ58,EB47,0,COUNT(DZ47:DZ58)-EB47),0)</f>
        <v>#REF!</v>
      </c>
      <c r="EB48" s="4" t="e">
        <f t="shared" ref="EB48:EB58" ca="1" si="135">EA48+EB47</f>
        <v>#REF!</v>
      </c>
      <c r="EC48" s="692" t="str">
        <f ca="1">IFERROR(VLOOKUP(INDEX(DY47:DY58,EB48),ELM,2,FALSE),"----")</f>
        <v>----</v>
      </c>
      <c r="ED48" s="691" t="e">
        <f t="shared" ref="ED48:ED58" ca="1" si="136">ED47-1</f>
        <v>#N/A</v>
      </c>
      <c r="EE48" s="4" t="e">
        <f ca="1">IF(LEFT($J47,7)="Clad Wo",IF(AND(INDEX(SPPWS,ED48,4)&gt;=$AB53,INDEX(SPPWS,ED48,5)&gt;=$S47,INDEX(SPPWS,ED48,6)&gt;=$R47),1,0),IF(AND(INDEX(SPM,ED48,4)&gt;=$AB53,INDEX(SPM,ED48,5)&gt;=$S47,INDEX(SPM,ED48,6)&gt;=$R47),1,0))</f>
        <v>#N/A</v>
      </c>
      <c r="EF48" s="4" t="e">
        <f t="shared" ref="EF48" ca="1" si="137">MATCH(1,OFFSET(EE47:EE58,EG47,0,COUNT(EE47:EE58)-EG47),0)</f>
        <v>#REF!</v>
      </c>
      <c r="EG48" s="4" t="e">
        <f t="shared" ref="EG48:EG58" ca="1" si="138">EG47+EF48</f>
        <v>#REF!</v>
      </c>
      <c r="EH48" s="692" t="str">
        <f ca="1">IF(LEFT($J47,7)="Clad Wo",IFERROR(VLOOKUP(INDEX(ED47:ED58,EG48),SPPWS,2,FALSE),"----"),IFERROR(VLOOKUP(INDEX(ED47:ED58,EG48),SPM,2,FALSE),"----"))</f>
        <v>----</v>
      </c>
    </row>
    <row r="49" spans="1:138" ht="15" customHeight="1" x14ac:dyDescent="0.25">
      <c r="A49" s="1085"/>
      <c r="B49" s="925"/>
      <c r="C49" s="926"/>
      <c r="D49" s="927"/>
      <c r="E49" s="995"/>
      <c r="F49" s="996"/>
      <c r="G49" s="997"/>
      <c r="H49" s="1062"/>
      <c r="I49" s="990"/>
      <c r="J49" s="908"/>
      <c r="K49" s="909"/>
      <c r="L49" s="1002"/>
      <c r="M49" s="923"/>
      <c r="N49" s="1042"/>
      <c r="O49" s="1018"/>
      <c r="P49" s="987"/>
      <c r="Q49" s="1015"/>
      <c r="R49" s="1012"/>
      <c r="S49" s="1006"/>
      <c r="T49" s="1007"/>
      <c r="U49" s="878"/>
      <c r="V49" s="881"/>
      <c r="W49" s="884"/>
      <c r="X49" s="884"/>
      <c r="Y49" s="887"/>
      <c r="Z49" s="887"/>
      <c r="AA49" s="887"/>
      <c r="AB49" s="1081"/>
      <c r="AC49" s="1078"/>
      <c r="AD49" s="1070" t="s">
        <v>333</v>
      </c>
      <c r="AE49" s="1071"/>
      <c r="AF49" s="1052"/>
      <c r="AG49" s="1053"/>
      <c r="AH49" s="1053"/>
      <c r="AI49" s="1066"/>
      <c r="AJ49" s="1067"/>
      <c r="AK49" s="154" t="str">
        <f t="shared" ca="1" si="62"/>
        <v/>
      </c>
      <c r="AL49" s="1039"/>
      <c r="AM49" s="344" t="str">
        <f ca="1">IFERROR(Q47/12*ROUND(VLOOKUP(AF49,OFFSET(WSM,0,1),6,FALSE),2),"")</f>
        <v/>
      </c>
      <c r="AN49" t="str">
        <f t="shared" ca="1" si="5"/>
        <v/>
      </c>
      <c r="AP49" s="122" t="str">
        <f t="shared" ref="AP49" si="139">_xlfn.CONCAT(AR49,AS52)</f>
        <v/>
      </c>
      <c r="AQ49" s="683" t="str">
        <f t="shared" si="65"/>
        <v/>
      </c>
      <c r="AR49" s="4" t="str">
        <f t="shared" si="3"/>
        <v/>
      </c>
      <c r="AS49" s="4"/>
      <c r="AT49" s="697" t="str">
        <f>AL47</f>
        <v/>
      </c>
      <c r="AU49" s="694" t="e">
        <f t="shared" ca="1" si="91"/>
        <v>#REF!</v>
      </c>
      <c r="AV49" s="686" t="str">
        <f ca="1">IFERROR(VLOOKUP(AU49,INDIRECT(AQ47),2,FALSE),"----")</f>
        <v>----</v>
      </c>
      <c r="AW49" s="694" t="e">
        <f t="shared" ca="1" si="92"/>
        <v>#REF!</v>
      </c>
      <c r="AX49" s="686" t="str">
        <f ca="1">IFERROR(VLOOKUP(AW49,INDIRECT(AQ48),2,FALSE),"----")</f>
        <v>----</v>
      </c>
      <c r="AY49" s="694" t="e">
        <f t="shared" ca="1" si="93"/>
        <v>#REF!</v>
      </c>
      <c r="AZ49" s="686" t="str">
        <f ca="1">IFERROR(VLOOKUP(AY49,INDIRECT(AQ49),2,FALSE),"----")</f>
        <v>----</v>
      </c>
      <c r="BA49" s="694" t="e">
        <f t="shared" ca="1" si="94"/>
        <v>#REF!</v>
      </c>
      <c r="BB49" s="686" t="str">
        <f ca="1">IFERROR(VLOOKUP(BA49,INDIRECT(AQ50),2,FALSE),"----")</f>
        <v>----</v>
      </c>
      <c r="BC49" s="694" t="e">
        <f t="shared" ca="1" si="95"/>
        <v>#REF!</v>
      </c>
      <c r="BD49" s="686" t="str">
        <f ca="1">IFERROR(VLOOKUP(BC49,INDIRECT(AQ51),2,FALSE),"----")</f>
        <v>----</v>
      </c>
      <c r="BE49" s="694" t="e">
        <f t="shared" ca="1" si="96"/>
        <v>#REF!</v>
      </c>
      <c r="BF49" s="686" t="str">
        <f ca="1">IFERROR(VLOOKUP(BE49,INDIRECT(AQ52),2,FALSE),"----")</f>
        <v>----</v>
      </c>
      <c r="BG49" s="694" t="e">
        <f t="shared" ca="1" si="97"/>
        <v>#REF!</v>
      </c>
      <c r="BH49" s="686" t="str">
        <f ca="1">IFERROR(VLOOKUP(BG49,INDIRECT(AQ53),2,FALSE),"----")</f>
        <v>----</v>
      </c>
      <c r="BI49" s="694" t="e">
        <f t="shared" ca="1" si="98"/>
        <v>#REF!</v>
      </c>
      <c r="BJ49" s="686" t="str">
        <f ca="1">IFERROR(VLOOKUP(BI49,INDIRECT(AQ54),2,FALSE),"----")</f>
        <v>----</v>
      </c>
      <c r="BK49" s="694" t="e">
        <f t="shared" ca="1" si="99"/>
        <v>#REF!</v>
      </c>
      <c r="BL49" s="686" t="str">
        <f ca="1">IFERROR(VLOOKUP(BK49,INDIRECT(AQ55),2,FALSE),"----")</f>
        <v>----</v>
      </c>
      <c r="BM49" s="694" t="e">
        <f t="shared" ca="1" si="100"/>
        <v>#REF!</v>
      </c>
      <c r="BN49" s="686" t="str">
        <f ca="1">IFERROR(VLOOKUP(BM49,INDIRECT(AQ56),2,FALSE),"----")</f>
        <v>----</v>
      </c>
      <c r="BO49" s="694" t="e">
        <f t="shared" ca="1" si="101"/>
        <v>#REF!</v>
      </c>
      <c r="BP49" s="686" t="str">
        <f ca="1">IFERROR(VLOOKUP(BO49,INDIRECT(AQ57),2,FALSE),"----")</f>
        <v>----</v>
      </c>
      <c r="BQ49" s="694" t="e">
        <f t="shared" ca="1" si="102"/>
        <v>#REF!</v>
      </c>
      <c r="BR49" s="686" t="str">
        <f ca="1">IFERROR(VLOOKUP(BQ49,INDIRECT(AQ58),2,FALSE),"----")</f>
        <v>----</v>
      </c>
      <c r="BS49" s="695">
        <f>IF(AI49="",1,IF(COUNTIF(AZ47:AZ58,AI49)=0,2,1))</f>
        <v>1</v>
      </c>
      <c r="BT49" s="696">
        <f>IF(AF49="",1,IF(AZ47=".",2,1))</f>
        <v>1</v>
      </c>
      <c r="BU49" s="706"/>
      <c r="BV49" s="155">
        <f ca="1">IF(COUNTIF(CO47:CO58,AF49)=0,IF(AF49&lt;&gt;"",0,1),1)</f>
        <v>1</v>
      </c>
      <c r="BW49" s="157">
        <f ca="1">IFERROR(MATCH(AF49,CO47:CO58,0),1)</f>
        <v>1</v>
      </c>
      <c r="BX49" s="769"/>
      <c r="BY49" s="769"/>
      <c r="BZ49" s="1110"/>
      <c r="CA49" s="691" t="e">
        <f t="shared" ca="1" si="103"/>
        <v>#REF!</v>
      </c>
      <c r="CB49" s="4" t="e" cm="1">
        <f t="array" aca="1" ref="CB49" ca="1">IF(AND(INDEX(INDIRECT(BY47),CA49,4)&gt;=$AB47,INDEX(INDIRECT(BY47),CA49,5)&gt;=$S47,INDEX(INDIRECT(BY47),CA49,6)&gt;=$R47),1,0)</f>
        <v>#REF!</v>
      </c>
      <c r="CC49" s="4" t="e">
        <f t="shared" ref="CC49" ca="1" si="140">MATCH(1,OFFSET(CB47:CB58,CD48,0,COUNT(CB47:CB58)-CD48),0)</f>
        <v>#REF!</v>
      </c>
      <c r="CD49" s="4" t="e">
        <f t="shared" ca="1" si="105"/>
        <v>#REF!</v>
      </c>
      <c r="CE49" s="692" t="str" cm="1">
        <f t="array" aca="1" ref="CE49" ca="1">IFERROR(VLOOKUP(INDEX(CA47:CA58,CD49),INDIRECT(BY47),2,FALSE),"----")</f>
        <v>----</v>
      </c>
      <c r="CF49" s="691" t="e">
        <f t="shared" ca="1" si="106"/>
        <v>#N/A</v>
      </c>
      <c r="CG49" s="4" t="e">
        <f ca="1">IF(AND(INDEX(SSM,CF49,4)&gt;=$AB47,INDEX(SSM,CF49,5)&gt;=$S47,INDEX(SSM,CF49,6)&gt;=$R47),1,0)</f>
        <v>#N/A</v>
      </c>
      <c r="CH49" s="4" t="e">
        <f t="shared" ref="CH49" ca="1" si="141">MATCH(1,OFFSET(CG47:CG58,CI48,0,COUNT(CG47:CG58)-CI48),0)</f>
        <v>#REF!</v>
      </c>
      <c r="CI49" s="4" t="e">
        <f t="shared" ca="1" si="108"/>
        <v>#REF!</v>
      </c>
      <c r="CJ49" s="692" t="str">
        <f ca="1">IFERROR(IF(AD48="Nested Steel Stud (wood infill)",VLOOKUP(INDEX(CF47:CF58,CI49),SSW,2,FALSE),VLOOKUP(INDEX(CF47:CF58,CI49),SSM,2,FALSE)),"----")</f>
        <v>----</v>
      </c>
      <c r="CK49" s="691" t="e">
        <f t="shared" ca="1" si="109"/>
        <v>#N/A</v>
      </c>
      <c r="CL49" s="4" t="e">
        <f ca="1">IF(AND(INDEX(WSM,CK49,4)&gt;=$AB47,INDEX(WSM,CK49,5)&gt;=$S47,INDEX(WSM,CK49,6)&gt;=$R47),1,0)</f>
        <v>#N/A</v>
      </c>
      <c r="CM49" s="4" t="e">
        <f t="shared" ref="CM49" ca="1" si="142">MATCH(1,OFFSET(CL47:CL58,CN48,0,COUNT(CL47:CL58)-CN48),0)</f>
        <v>#REF!</v>
      </c>
      <c r="CN49" s="4" t="e">
        <f t="shared" ca="1" si="111"/>
        <v>#REF!</v>
      </c>
      <c r="CO49" s="692" t="str">
        <f ca="1">IFERROR(VLOOKUP(INDEX(CK47:CK58,CN49),WSM,2,FALSE),"----")</f>
        <v>----</v>
      </c>
      <c r="CP49" s="691" t="e">
        <f t="shared" ca="1" si="112"/>
        <v>#N/A</v>
      </c>
      <c r="CQ49" s="4" t="e">
        <f ca="1">IF(AND(INDEX(STM,CP49,4)&gt;=$AB47,INDEX(STM,CP49,5)&gt;=$S47,INDEX(STM,CP49,6)&gt;=$R47),1,0)</f>
        <v>#N/A</v>
      </c>
      <c r="CR49" s="4" t="e">
        <f t="shared" ref="CR49" ca="1" si="143">MATCH(1,OFFSET(CQ47:CQ58,CS48,0,COUNT(CQ47:CQ58)-CS48),0)</f>
        <v>#REF!</v>
      </c>
      <c r="CS49" s="4" t="e">
        <f t="shared" ca="1" si="114"/>
        <v>#REF!</v>
      </c>
      <c r="CT49" s="692" t="str">
        <f ca="1">IFERROR(VLOOKUP(INDEX(CP47:CP58,CS49),STM,2,FALSE),"----")</f>
        <v>----</v>
      </c>
      <c r="CU49" s="691" t="e">
        <f t="shared" ca="1" si="115"/>
        <v>#N/A</v>
      </c>
      <c r="CV49" s="4" t="e">
        <f ca="1">IF(AND(INDEX(ELM,CU49,4)&gt;=$AB47,INDEX(ELM,CU49,5)&gt;=$S47,INDEX(ELM,CU49,6)&gt;=$R47),1,0)</f>
        <v>#N/A</v>
      </c>
      <c r="CW49" s="4" t="e">
        <f t="shared" ref="CW49" ca="1" si="144">MATCH(1,OFFSET(CV47:CV58,CX48,0,COUNT(CV47:CV58)-CX48),0)</f>
        <v>#REF!</v>
      </c>
      <c r="CX49" s="4" t="e">
        <f t="shared" ca="1" si="117"/>
        <v>#REF!</v>
      </c>
      <c r="CY49" s="692" t="str">
        <f ca="1">IFERROR(VLOOKUP(INDEX(CU47:CU58,CX49),ELM,2,FALSE),"----")</f>
        <v>----</v>
      </c>
      <c r="CZ49" s="691" t="e">
        <f t="shared" ca="1" si="118"/>
        <v>#N/A</v>
      </c>
      <c r="DA49" s="4" t="e">
        <f ca="1">IF(LEFT($J47,7)="Clad Wo",IF(AND(INDEX(SPPWS,CZ49,4)&gt;=$AB47,INDEX(SPPWS,CZ49,5)&gt;=$S47,INDEX(SPPWS,CZ49,6)&gt;=$R47),1,0),IF(AND(INDEX(SPM,CZ49,4)&gt;=$AB47,INDEX(SPM,CZ49,5)&gt;=$S47,INDEX(SPM,CZ49,6)&gt;=$R47),1,0))</f>
        <v>#N/A</v>
      </c>
      <c r="DB49" s="4" t="e">
        <f t="shared" ref="DB49" ca="1" si="145">MATCH(1,OFFSET(DA47:DA58,DC48,0,COUNT(DA47:DA58)-DC48),0)</f>
        <v>#REF!</v>
      </c>
      <c r="DC49" s="4" t="e">
        <f t="shared" ca="1" si="120"/>
        <v>#REF!</v>
      </c>
      <c r="DD49" s="693" t="str">
        <f ca="1">IF(LEFT($J47,7)="Clad Wo",IFERROR(VLOOKUP(INDEX(CZ47:CZ58,DC49),SPPWS,2,FALSE),"----"),IFERROR(VLOOKUP(INDEX(CZ47:CZ58,DC49),SPM,2,FALSE),"----"))</f>
        <v>----</v>
      </c>
      <c r="DE49" s="691" t="e">
        <f t="shared" ca="1" si="121"/>
        <v>#REF!</v>
      </c>
      <c r="DF49" s="4" t="e" cm="1">
        <f t="array" aca="1" ref="DF49" ca="1">IF(AND(INDEX(INDIRECT(BY47),DE49,4)&gt;=$AB53,INDEX(INDIRECT(BY47),DE49,5)&gt;=$S47,INDEX(INDIRECT(BY47),DE49,6)&gt;=$R47),1,0)</f>
        <v>#REF!</v>
      </c>
      <c r="DG49" s="4" t="e">
        <f t="shared" ref="DG49" ca="1" si="146">MATCH(1,OFFSET(DF47:DF58,DH48,0,COUNT(DF47:DF58)-DH48),0)</f>
        <v>#REF!</v>
      </c>
      <c r="DH49" s="4" t="e">
        <f t="shared" ca="1" si="123"/>
        <v>#REF!</v>
      </c>
      <c r="DI49" s="692" t="str" cm="1">
        <f t="array" aca="1" ref="DI49" ca="1">IFERROR(VLOOKUP(INDEX(DE47:DE58,DH49),INDIRECT(BY47),2,FALSE),"----")</f>
        <v>----</v>
      </c>
      <c r="DJ49" s="691" t="e">
        <f t="shared" ca="1" si="124"/>
        <v>#N/A</v>
      </c>
      <c r="DK49" s="4" t="e">
        <f ca="1">IF(AND(INDEX(SSM,DJ49,4)&gt;=$AB53,INDEX(SSM,DJ49,5)&gt;=$S47,INDEX(SSM,DJ49,6)&gt;=$R47),1,0)</f>
        <v>#N/A</v>
      </c>
      <c r="DL49" s="4" t="e">
        <f t="shared" ref="DL49" ca="1" si="147">MATCH(1,OFFSET(DK47:DK58,DM48,0,COUNT(DK47:DK58)-DM48),0)</f>
        <v>#REF!</v>
      </c>
      <c r="DM49" s="4" t="e">
        <f t="shared" ca="1" si="126"/>
        <v>#REF!</v>
      </c>
      <c r="DN49" s="692" t="str">
        <f ca="1">IFERROR(IF(AD54="Nested Steel Stud (wood infill)",VLOOKUP(INDEX(DJ47:DJ58,DM49),SSW,2,FALSE),VLOOKUP(INDEX(DJ47:DJ58,DM49),SSM,2,FALSE)),"----")</f>
        <v>----</v>
      </c>
      <c r="DO49" s="691" t="e">
        <f t="shared" ca="1" si="127"/>
        <v>#N/A</v>
      </c>
      <c r="DP49" s="4" t="e">
        <f ca="1">IF(AND(INDEX(WSM,DO49,4)&gt;=$AB53,INDEX(WSM,DO49,5)&gt;=$S47,INDEX(WSM,DO49,6)&gt;=$R47),1,0)</f>
        <v>#N/A</v>
      </c>
      <c r="DQ49" s="4" t="e">
        <f t="shared" ref="DQ49" ca="1" si="148">MATCH(1,OFFSET(DP47:DP58,DR48,0,COUNT(DP47:DP58)-DR48),0)</f>
        <v>#REF!</v>
      </c>
      <c r="DR49" s="4" t="e">
        <f t="shared" ca="1" si="129"/>
        <v>#REF!</v>
      </c>
      <c r="DS49" s="692" t="str">
        <f ca="1">IFERROR(VLOOKUP(INDEX(DO47:DO58,DR49),WSM,2,FALSE),"----")</f>
        <v>----</v>
      </c>
      <c r="DT49" s="691" t="e">
        <f t="shared" ca="1" si="130"/>
        <v>#N/A</v>
      </c>
      <c r="DU49" s="4" t="e">
        <f ca="1">IF(AND(INDEX(STM,DT49,4)&gt;=$AB53,INDEX(STM,DT49,5)&gt;=$S47,INDEX(STM,DT49,6)&gt;=$R47),1,0)</f>
        <v>#N/A</v>
      </c>
      <c r="DV49" s="4" t="e">
        <f t="shared" ref="DV49" ca="1" si="149">MATCH(1,OFFSET(DU47:DU58,DW48,0,COUNT(DU47:DU58)-DW48),0)</f>
        <v>#REF!</v>
      </c>
      <c r="DW49" s="4" t="e">
        <f t="shared" ca="1" si="132"/>
        <v>#REF!</v>
      </c>
      <c r="DX49" s="692" t="str">
        <f ca="1">IFERROR(VLOOKUP(INDEX(DT47:DT58,DW49),STM,2,FALSE),"----")</f>
        <v>----</v>
      </c>
      <c r="DY49" s="691" t="e">
        <f t="shared" ca="1" si="133"/>
        <v>#N/A</v>
      </c>
      <c r="DZ49" s="4" t="e">
        <f ca="1">IF(AND(INDEX(ELM,DY49,4)&gt;=$AB53,INDEX(ELM,DY49,5)&gt;=$S47,INDEX(ELM,DY49,6)&gt;=$R47),1,0)</f>
        <v>#N/A</v>
      </c>
      <c r="EA49" s="4" t="e">
        <f t="shared" ref="EA49" ca="1" si="150">MATCH(1,OFFSET(DZ47:DZ58,EB48,0,COUNT(DZ47:DZ58)-EB48),0)</f>
        <v>#REF!</v>
      </c>
      <c r="EB49" s="4" t="e">
        <f t="shared" ca="1" si="135"/>
        <v>#REF!</v>
      </c>
      <c r="EC49" s="692" t="str">
        <f ca="1">IFERROR(VLOOKUP(INDEX(DY47:DY58,EB49),ELM,2,FALSE),"----")</f>
        <v>----</v>
      </c>
      <c r="ED49" s="691" t="e">
        <f t="shared" ca="1" si="136"/>
        <v>#N/A</v>
      </c>
      <c r="EE49" s="4" t="e">
        <f ca="1">IF(LEFT($J47,7)="Clad Wo",IF(AND(INDEX(SPPWS,ED49,4)&gt;=$AB53,INDEX(SPPWS,ED49,5)&gt;=$S47,INDEX(SPPWS,ED49,6)&gt;=$R47),1,0),IF(AND(INDEX(SPM,ED49,4)&gt;=$AB53,INDEX(SPM,ED49,5)&gt;=$S47,INDEX(SPM,ED49,6)&gt;=$R47),1,0))</f>
        <v>#N/A</v>
      </c>
      <c r="EF49" s="4" t="e">
        <f t="shared" ref="EF49" ca="1" si="151">MATCH(1,OFFSET(EE47:EE58,EG48,0,COUNT(EE47:EE58)-EG48),0)</f>
        <v>#REF!</v>
      </c>
      <c r="EG49" s="4" t="e">
        <f t="shared" ca="1" si="138"/>
        <v>#REF!</v>
      </c>
      <c r="EH49" s="692" t="str">
        <f ca="1">IF(LEFT($J47,7)="Clad Wo",IFERROR(VLOOKUP(INDEX(ED47:ED58,EG49),SPPWS,2,FALSE),"----"),IFERROR(VLOOKUP(INDEX(ED47:ED58,EG49),SPM,2,FALSE),"----"))</f>
        <v>----</v>
      </c>
    </row>
    <row r="50" spans="1:138" ht="15" customHeight="1" x14ac:dyDescent="0.25">
      <c r="A50" s="1085"/>
      <c r="B50" s="925"/>
      <c r="C50" s="926"/>
      <c r="D50" s="927"/>
      <c r="E50" s="995"/>
      <c r="F50" s="996"/>
      <c r="G50" s="997"/>
      <c r="H50" s="1062"/>
      <c r="I50" s="990"/>
      <c r="J50" s="908"/>
      <c r="K50" s="909"/>
      <c r="L50" s="1002"/>
      <c r="M50" s="923"/>
      <c r="N50" s="1042"/>
      <c r="O50" s="1018"/>
      <c r="P50" s="987"/>
      <c r="Q50" s="1015"/>
      <c r="R50" s="1012"/>
      <c r="S50" s="1006"/>
      <c r="T50" s="1007"/>
      <c r="U50" s="878"/>
      <c r="V50" s="881"/>
      <c r="W50" s="884"/>
      <c r="X50" s="884"/>
      <c r="Y50" s="887"/>
      <c r="Z50" s="887"/>
      <c r="AA50" s="887"/>
      <c r="AB50" s="1081"/>
      <c r="AC50" s="1078"/>
      <c r="AD50" s="1070" t="s">
        <v>37</v>
      </c>
      <c r="AE50" s="1071"/>
      <c r="AF50" s="1052"/>
      <c r="AG50" s="1053"/>
      <c r="AH50" s="1053"/>
      <c r="AI50" s="1066"/>
      <c r="AJ50" s="1067"/>
      <c r="AK50" s="156" t="str">
        <f t="shared" ca="1" si="62"/>
        <v/>
      </c>
      <c r="AL50" s="1039"/>
      <c r="AM50" s="343" t="str">
        <f ca="1">IFERROR(Q47/12*ROUND(VLOOKUP(AF50,OFFSET(STM,0,1),6,FALSE),2),"")</f>
        <v/>
      </c>
      <c r="AN50" t="str">
        <f t="shared" ca="1" si="5"/>
        <v/>
      </c>
      <c r="AP50" s="122" t="str">
        <f t="shared" ref="AP50" si="152">_xlfn.CONCAT(AR50,AS52)</f>
        <v/>
      </c>
      <c r="AQ50" s="683" t="str">
        <f t="shared" si="65"/>
        <v/>
      </c>
      <c r="AR50" s="4" t="str">
        <f t="shared" si="3"/>
        <v/>
      </c>
      <c r="AS50" s="4"/>
      <c r="AT50" s="697" t="str">
        <f>AL47</f>
        <v/>
      </c>
      <c r="AU50" s="694" t="e">
        <f t="shared" ca="1" si="91"/>
        <v>#REF!</v>
      </c>
      <c r="AV50" s="686" t="str">
        <f ca="1">IFERROR(VLOOKUP(AU50,INDIRECT(AQ47),2,FALSE),"----")</f>
        <v>----</v>
      </c>
      <c r="AW50" s="694" t="e">
        <f t="shared" ca="1" si="92"/>
        <v>#REF!</v>
      </c>
      <c r="AX50" s="686" t="str">
        <f ca="1">IFERROR(VLOOKUP(AW50,INDIRECT(AQ48),2,FALSE),"----")</f>
        <v>----</v>
      </c>
      <c r="AY50" s="694" t="e">
        <f t="shared" ref="AY50" ca="1" si="153">AY49-1</f>
        <v>#REF!</v>
      </c>
      <c r="AZ50" s="686" t="str">
        <f ca="1">IFERROR(VLOOKUP(AY50,INDIRECT(AQ49),2,FALSE),"----")</f>
        <v>----</v>
      </c>
      <c r="BA50" s="694" t="e">
        <f t="shared" ref="BA50" ca="1" si="154">BA49-1</f>
        <v>#REF!</v>
      </c>
      <c r="BB50" s="686" t="str">
        <f ca="1">IFERROR(VLOOKUP(BA50,INDIRECT(AQ50),2,FALSE),"----")</f>
        <v>----</v>
      </c>
      <c r="BC50" s="694" t="e">
        <f t="shared" ca="1" si="95"/>
        <v>#REF!</v>
      </c>
      <c r="BD50" s="686" t="str">
        <f ca="1">IFERROR(VLOOKUP(BC50,INDIRECT(AQ51),2,FALSE),"----")</f>
        <v>----</v>
      </c>
      <c r="BE50" s="694" t="e">
        <f t="shared" ca="1" si="96"/>
        <v>#REF!</v>
      </c>
      <c r="BF50" s="686" t="str">
        <f ca="1">IFERROR(VLOOKUP(BE50,INDIRECT(AQ52),2,FALSE),"----")</f>
        <v>----</v>
      </c>
      <c r="BG50" s="694" t="e">
        <f t="shared" ca="1" si="97"/>
        <v>#REF!</v>
      </c>
      <c r="BH50" s="686" t="str">
        <f ca="1">IFERROR(VLOOKUP(BG50,INDIRECT(AQ53),2,FALSE),"----")</f>
        <v>----</v>
      </c>
      <c r="BI50" s="694" t="e">
        <f t="shared" ca="1" si="98"/>
        <v>#REF!</v>
      </c>
      <c r="BJ50" s="686" t="str">
        <f ca="1">IFERROR(VLOOKUP(BI50,INDIRECT(AQ54),2,FALSE),"----")</f>
        <v>----</v>
      </c>
      <c r="BK50" s="694" t="e">
        <f t="shared" ca="1" si="99"/>
        <v>#REF!</v>
      </c>
      <c r="BL50" s="686" t="str">
        <f ca="1">IFERROR(VLOOKUP(BK50,INDIRECT(AQ55),2,FALSE),"----")</f>
        <v>----</v>
      </c>
      <c r="BM50" s="694" t="e">
        <f t="shared" ca="1" si="100"/>
        <v>#REF!</v>
      </c>
      <c r="BN50" s="686" t="str">
        <f ca="1">IFERROR(VLOOKUP(BM50,INDIRECT(AQ56),2,FALSE),"----")</f>
        <v>----</v>
      </c>
      <c r="BO50" s="694" t="e">
        <f t="shared" ca="1" si="101"/>
        <v>#REF!</v>
      </c>
      <c r="BP50" s="686" t="str">
        <f ca="1">IFERROR(VLOOKUP(BO50,INDIRECT(AQ57),2,FALSE),"----")</f>
        <v>----</v>
      </c>
      <c r="BQ50" s="694" t="e">
        <f t="shared" ca="1" si="102"/>
        <v>#REF!</v>
      </c>
      <c r="BR50" s="686" t="str">
        <f ca="1">IFERROR(VLOOKUP(BQ50,INDIRECT(AQ58),2,FALSE),"----")</f>
        <v>----</v>
      </c>
      <c r="BS50" s="695">
        <f>IF(AI50="",1,IF(COUNTIF(BB47:BB58,AI50)=0,2,1))</f>
        <v>1</v>
      </c>
      <c r="BT50" s="696">
        <f>IF(AF50="",1,IF(BB47=".",2,1))</f>
        <v>1</v>
      </c>
      <c r="BU50" s="706"/>
      <c r="BV50" s="155">
        <f ca="1">IF(COUNTIF(CT47:CT58,AF50)=0,IF(AF50&lt;&gt;"",0,1),1)</f>
        <v>1</v>
      </c>
      <c r="BW50" s="157">
        <f ca="1">IFERROR(MATCH(AF50,CT47:CT58,0),1)</f>
        <v>1</v>
      </c>
      <c r="BX50" s="769"/>
      <c r="BY50" s="769"/>
      <c r="BZ50" s="1110"/>
      <c r="CA50" s="691" t="e">
        <f t="shared" ca="1" si="103"/>
        <v>#REF!</v>
      </c>
      <c r="CB50" s="4" t="e" cm="1">
        <f t="array" aca="1" ref="CB50" ca="1">IF(AND(INDEX(INDIRECT(BY47),CA50,4)&gt;=$AB47,INDEX(INDIRECT(BY47),CA50,5)&gt;=$S47,INDEX(INDIRECT(BY47),CA50,6)&gt;=$R47),1,0)</f>
        <v>#REF!</v>
      </c>
      <c r="CC50" s="4" t="e">
        <f t="shared" ref="CC50" ca="1" si="155">MATCH(1,OFFSET(CB47:CB58,CD49,0,COUNT(CB47:CB58)-CD49),0)</f>
        <v>#REF!</v>
      </c>
      <c r="CD50" s="4" t="e">
        <f t="shared" ca="1" si="105"/>
        <v>#REF!</v>
      </c>
      <c r="CE50" s="692" t="str" cm="1">
        <f t="array" aca="1" ref="CE50" ca="1">IFERROR(VLOOKUP(INDEX(CA47:CA58,CD50),INDIRECT(BY47),2,FALSE),"----")</f>
        <v>----</v>
      </c>
      <c r="CF50" s="691" t="e">
        <f t="shared" ca="1" si="106"/>
        <v>#N/A</v>
      </c>
      <c r="CG50" s="4" t="e">
        <f ca="1">IF(AND(INDEX(SSM,CF50,4)&gt;=$AB47,INDEX(SSM,CF50,5)&gt;=$S47,INDEX(SSM,CF50,6)&gt;=$R47),1,0)</f>
        <v>#N/A</v>
      </c>
      <c r="CH50" s="4" t="e">
        <f t="shared" ref="CH50" ca="1" si="156">MATCH(1,OFFSET(CG47:CG58,CI49,0,COUNT(CG47:CG58)-CI49),0)</f>
        <v>#REF!</v>
      </c>
      <c r="CI50" s="4" t="e">
        <f t="shared" ca="1" si="108"/>
        <v>#REF!</v>
      </c>
      <c r="CJ50" s="692" t="str">
        <f ca="1">IFERROR(IF(AD48="Nested Steel Stud (wood infill)",VLOOKUP(INDEX(CF47:CF58,CI50),SSW,2,FALSE),VLOOKUP(INDEX(CF47:CF58,CI50),SSM,2,FALSE)),"----")</f>
        <v>----</v>
      </c>
      <c r="CK50" s="691" t="e">
        <f t="shared" ca="1" si="109"/>
        <v>#N/A</v>
      </c>
      <c r="CL50" s="4" t="e">
        <f ca="1">IF(AND(INDEX(WSM,CK50,4)&gt;=$AB47,INDEX(WSM,CK50,5)&gt;=$S47,INDEX(WSM,CK50,6)&gt;=$R47),1,0)</f>
        <v>#N/A</v>
      </c>
      <c r="CM50" s="4" t="e">
        <f t="shared" ref="CM50" ca="1" si="157">MATCH(1,OFFSET(CL47:CL58,CN49,0,COUNT(CL47:CL58)-CN49),0)</f>
        <v>#REF!</v>
      </c>
      <c r="CN50" s="4" t="e">
        <f t="shared" ca="1" si="111"/>
        <v>#REF!</v>
      </c>
      <c r="CO50" s="692" t="str">
        <f ca="1">IFERROR(VLOOKUP(INDEX(CK47:CK58,CN50),WSM,2,FALSE),"----")</f>
        <v>----</v>
      </c>
      <c r="CP50" s="691" t="e">
        <f t="shared" ca="1" si="112"/>
        <v>#N/A</v>
      </c>
      <c r="CQ50" s="4" t="e">
        <f ca="1">IF(AND(INDEX(STM,CP50,4)&gt;=$AB47,INDEX(STM,CP50,5)&gt;=$S47,INDEX(STM,CP50,6)&gt;=$R47),1,0)</f>
        <v>#N/A</v>
      </c>
      <c r="CR50" s="4" t="e">
        <f t="shared" ref="CR50" ca="1" si="158">MATCH(1,OFFSET(CQ47:CQ58,CS49,0,COUNT(CQ47:CQ58)-CS49),0)</f>
        <v>#REF!</v>
      </c>
      <c r="CS50" s="4" t="e">
        <f t="shared" ca="1" si="114"/>
        <v>#REF!</v>
      </c>
      <c r="CT50" s="692" t="str">
        <f ca="1">IFERROR(VLOOKUP(INDEX(CP47:CP58,CS50),STM,2,FALSE),"----")</f>
        <v>----</v>
      </c>
      <c r="CU50" s="691" t="e">
        <f t="shared" ca="1" si="115"/>
        <v>#N/A</v>
      </c>
      <c r="CV50" s="4" t="e">
        <f ca="1">IF(AND(INDEX(ELM,CU50,4)&gt;=$AB47,INDEX(ELM,CU50,5)&gt;=$S47,INDEX(ELM,CU50,6)&gt;=$R47),1,0)</f>
        <v>#N/A</v>
      </c>
      <c r="CW50" s="4" t="e">
        <f t="shared" ref="CW50" ca="1" si="159">MATCH(1,OFFSET(CV47:CV58,CX49,0,COUNT(CV47:CV58)-CX49),0)</f>
        <v>#REF!</v>
      </c>
      <c r="CX50" s="4" t="e">
        <f t="shared" ca="1" si="117"/>
        <v>#REF!</v>
      </c>
      <c r="CY50" s="692" t="str">
        <f ca="1">IFERROR(VLOOKUP(INDEX(CU47:CU58,CX50),ELM,2,FALSE),"----")</f>
        <v>----</v>
      </c>
      <c r="CZ50" s="691" t="e">
        <f t="shared" ca="1" si="118"/>
        <v>#N/A</v>
      </c>
      <c r="DA50" s="4" t="e">
        <f ca="1">IF(LEFT($J47,7)="Clad Wo",IF(AND(INDEX(SPPWS,CZ50,4)&gt;=$AB47,INDEX(SPPWS,CZ50,5)&gt;=$S47,INDEX(SPPWS,CZ50,6)&gt;=$R47),1,0),IF(AND(INDEX(SPM,CZ50,4)&gt;=$AB47,INDEX(SPM,CZ50,5)&gt;=$S47,INDEX(SPM,CZ50,6)&gt;=$R47),1,0))</f>
        <v>#N/A</v>
      </c>
      <c r="DB50" s="4" t="e">
        <f t="shared" ref="DB50" ca="1" si="160">MATCH(1,OFFSET(DA47:DA58,DC49,0,COUNT(DA47:DA58)-DC49),0)</f>
        <v>#REF!</v>
      </c>
      <c r="DC50" s="4" t="e">
        <f t="shared" ca="1" si="120"/>
        <v>#REF!</v>
      </c>
      <c r="DD50" s="693" t="str">
        <f ca="1">IF(LEFT($J47,7)="Clad Wo",IFERROR(VLOOKUP(INDEX(CZ47:CZ58,DC50),SPPWS,2,FALSE),"----"),IFERROR(VLOOKUP(INDEX(CZ47:CZ58,DC50),SPM,2,FALSE),"----"))</f>
        <v>----</v>
      </c>
      <c r="DE50" s="691" t="e">
        <f t="shared" ca="1" si="121"/>
        <v>#REF!</v>
      </c>
      <c r="DF50" s="4" t="e" cm="1">
        <f t="array" aca="1" ref="DF50" ca="1">IF(AND(INDEX(INDIRECT(BY47),DE50,4)&gt;=$AB53,INDEX(INDIRECT(BY47),DE50,5)&gt;=$S47,INDEX(INDIRECT(BY47),DE50,6)&gt;=$R47),1,0)</f>
        <v>#REF!</v>
      </c>
      <c r="DG50" s="4" t="e">
        <f t="shared" ref="DG50" ca="1" si="161">MATCH(1,OFFSET(DF47:DF58,DH49,0,COUNT(DF47:DF58)-DH49),0)</f>
        <v>#REF!</v>
      </c>
      <c r="DH50" s="4" t="e">
        <f t="shared" ca="1" si="123"/>
        <v>#REF!</v>
      </c>
      <c r="DI50" s="692" t="str" cm="1">
        <f t="array" aca="1" ref="DI50" ca="1">IFERROR(VLOOKUP(INDEX(DE47:DE58,DH50),INDIRECT(BY47),2,FALSE),"----")</f>
        <v>----</v>
      </c>
      <c r="DJ50" s="691" t="e">
        <f t="shared" ca="1" si="124"/>
        <v>#N/A</v>
      </c>
      <c r="DK50" s="4" t="e">
        <f ca="1">IF(AND(INDEX(SSM,DJ50,4)&gt;=$AB53,INDEX(SSM,DJ50,5)&gt;=$S47,INDEX(SSM,DJ50,6)&gt;=$R47),1,0)</f>
        <v>#N/A</v>
      </c>
      <c r="DL50" s="4" t="e">
        <f t="shared" ref="DL50" ca="1" si="162">MATCH(1,OFFSET(DK47:DK58,DM49,0,COUNT(DK47:DK58)-DM49),0)</f>
        <v>#REF!</v>
      </c>
      <c r="DM50" s="4" t="e">
        <f t="shared" ca="1" si="126"/>
        <v>#REF!</v>
      </c>
      <c r="DN50" s="692" t="str">
        <f ca="1">IFERROR(IF(AD54="Nested Steel Stud (wood infill)",VLOOKUP(INDEX(DJ47:DJ58,DM50),SSW,2,FALSE),VLOOKUP(INDEX(DJ47:DJ58,DM50),SSM,2,FALSE)),"----")</f>
        <v>----</v>
      </c>
      <c r="DO50" s="691" t="e">
        <f t="shared" ca="1" si="127"/>
        <v>#N/A</v>
      </c>
      <c r="DP50" s="4" t="e">
        <f ca="1">IF(AND(INDEX(WSM,DO50,4)&gt;=$AB53,INDEX(WSM,DO50,5)&gt;=$S47,INDEX(WSM,DO50,6)&gt;=$R47),1,0)</f>
        <v>#N/A</v>
      </c>
      <c r="DQ50" s="4" t="e">
        <f t="shared" ref="DQ50" ca="1" si="163">MATCH(1,OFFSET(DP47:DP58,DR49,0,COUNT(DP47:DP58)-DR49),0)</f>
        <v>#REF!</v>
      </c>
      <c r="DR50" s="4" t="e">
        <f t="shared" ca="1" si="129"/>
        <v>#REF!</v>
      </c>
      <c r="DS50" s="692" t="str">
        <f ca="1">IFERROR(VLOOKUP(INDEX(DO47:DO58,DR50),WSM,2,FALSE),"----")</f>
        <v>----</v>
      </c>
      <c r="DT50" s="691" t="e">
        <f t="shared" ca="1" si="130"/>
        <v>#N/A</v>
      </c>
      <c r="DU50" s="4" t="e">
        <f ca="1">IF(AND(INDEX(STM,DT50,4)&gt;=$AB53,INDEX(STM,DT50,5)&gt;=$S47,INDEX(STM,DT50,6)&gt;=$R47),1,0)</f>
        <v>#N/A</v>
      </c>
      <c r="DV50" s="4" t="e">
        <f t="shared" ref="DV50" ca="1" si="164">MATCH(1,OFFSET(DU47:DU58,DW49,0,COUNT(DU47:DU58)-DW49),0)</f>
        <v>#REF!</v>
      </c>
      <c r="DW50" s="4" t="e">
        <f t="shared" ca="1" si="132"/>
        <v>#REF!</v>
      </c>
      <c r="DX50" s="692" t="str">
        <f ca="1">IFERROR(VLOOKUP(INDEX(DT47:DT58,DW50),STM,2,FALSE),"----")</f>
        <v>----</v>
      </c>
      <c r="DY50" s="691" t="e">
        <f t="shared" ca="1" si="133"/>
        <v>#N/A</v>
      </c>
      <c r="DZ50" s="4" t="e">
        <f ca="1">IF(AND(INDEX(ELM,DY50,4)&gt;=$AB53,INDEX(ELM,DY50,5)&gt;=$S47,INDEX(ELM,DY50,6)&gt;=$R47),1,0)</f>
        <v>#N/A</v>
      </c>
      <c r="EA50" s="4" t="e">
        <f t="shared" ref="EA50" ca="1" si="165">MATCH(1,OFFSET(DZ47:DZ58,EB49,0,COUNT(DZ47:DZ58)-EB49),0)</f>
        <v>#REF!</v>
      </c>
      <c r="EB50" s="4" t="e">
        <f t="shared" ca="1" si="135"/>
        <v>#REF!</v>
      </c>
      <c r="EC50" s="692" t="str">
        <f ca="1">IFERROR(VLOOKUP(INDEX(DY47:DY58,EB50),ELM,2,FALSE),"----")</f>
        <v>----</v>
      </c>
      <c r="ED50" s="691" t="e">
        <f t="shared" ca="1" si="136"/>
        <v>#N/A</v>
      </c>
      <c r="EE50" s="4" t="e">
        <f ca="1">IF(LEFT($J47,7)="Clad Wo",IF(AND(INDEX(SPPWS,ED50,4)&gt;=$AB53,INDEX(SPPWS,ED50,5)&gt;=$S47,INDEX(SPPWS,ED50,6)&gt;=$R47),1,0),IF(AND(INDEX(SPM,ED50,4)&gt;=$AB53,INDEX(SPM,ED50,5)&gt;=$S47,INDEX(SPM,ED50,6)&gt;=$R47),1,0))</f>
        <v>#N/A</v>
      </c>
      <c r="EF50" s="4" t="e">
        <f t="shared" ref="EF50" ca="1" si="166">MATCH(1,OFFSET(EE47:EE58,EG49,0,COUNT(EE47:EE58)-EG49),0)</f>
        <v>#REF!</v>
      </c>
      <c r="EG50" s="4" t="e">
        <f t="shared" ca="1" si="138"/>
        <v>#REF!</v>
      </c>
      <c r="EH50" s="692" t="str">
        <f ca="1">IF(LEFT($J47,7)="Clad Wo",IFERROR(VLOOKUP(INDEX(ED47:ED58,EG50),SPPWS,2,FALSE),"----"),IFERROR(VLOOKUP(INDEX(ED47:ED58,EG50),SPM,2,FALSE),"----"))</f>
        <v>----</v>
      </c>
    </row>
    <row r="51" spans="1:138" ht="15" customHeight="1" x14ac:dyDescent="0.25">
      <c r="A51" s="1085"/>
      <c r="B51" s="925"/>
      <c r="C51" s="926"/>
      <c r="D51" s="927"/>
      <c r="E51" s="995"/>
      <c r="F51" s="996"/>
      <c r="G51" s="997"/>
      <c r="H51" s="1062"/>
      <c r="I51" s="990"/>
      <c r="J51" s="910"/>
      <c r="K51" s="911"/>
      <c r="L51" s="1002"/>
      <c r="M51" s="923"/>
      <c r="N51" s="1042"/>
      <c r="O51" s="1018"/>
      <c r="P51" s="987"/>
      <c r="Q51" s="1015"/>
      <c r="R51" s="1012"/>
      <c r="S51" s="1006"/>
      <c r="T51" s="1007"/>
      <c r="U51" s="878"/>
      <c r="V51" s="881"/>
      <c r="W51" s="884"/>
      <c r="X51" s="884"/>
      <c r="Y51" s="887"/>
      <c r="Z51" s="887"/>
      <c r="AA51" s="887"/>
      <c r="AB51" s="1081"/>
      <c r="AC51" s="1078"/>
      <c r="AD51" s="1070" t="s">
        <v>39</v>
      </c>
      <c r="AE51" s="1071"/>
      <c r="AF51" s="1052"/>
      <c r="AG51" s="1053"/>
      <c r="AH51" s="1053"/>
      <c r="AI51" s="1068"/>
      <c r="AJ51" s="1069"/>
      <c r="AK51" s="154" t="str">
        <f t="shared" ca="1" si="62"/>
        <v/>
      </c>
      <c r="AL51" s="1039"/>
      <c r="AM51" s="344" t="str">
        <f ca="1">IFERROR(Q47/12*ROUND(VLOOKUP(AF51,OFFSET(ELM,0,1),6,FALSE),2),"")</f>
        <v/>
      </c>
      <c r="AN51" t="str">
        <f t="shared" ca="1" si="5"/>
        <v/>
      </c>
      <c r="AP51" s="122" t="str">
        <f t="shared" ref="AP51" si="167">_xlfn.CONCAT(AR51,AS52)</f>
        <v/>
      </c>
      <c r="AQ51" s="683" t="str">
        <f t="shared" si="65"/>
        <v/>
      </c>
      <c r="AR51" s="4" t="str">
        <f t="shared" si="3"/>
        <v/>
      </c>
      <c r="AS51" s="4"/>
      <c r="AT51" s="697" t="str">
        <f>AL47</f>
        <v/>
      </c>
      <c r="AU51" s="694" t="e">
        <f t="shared" ca="1" si="91"/>
        <v>#REF!</v>
      </c>
      <c r="AV51" s="698" t="str">
        <f ca="1">IFERROR(VLOOKUP(AU51,INDIRECT(AQ47),2,FALSE),"----")</f>
        <v>----</v>
      </c>
      <c r="AW51" s="694" t="e">
        <f t="shared" ca="1" si="92"/>
        <v>#REF!</v>
      </c>
      <c r="AX51" s="698" t="str">
        <f ca="1">IFERROR(VLOOKUP(AW51,INDIRECT(AQ48),2,FALSE),"----")</f>
        <v>----</v>
      </c>
      <c r="AY51" s="694" t="e">
        <f t="shared" ref="AY51" ca="1" si="168">AY50-1</f>
        <v>#REF!</v>
      </c>
      <c r="AZ51" s="698" t="str">
        <f ca="1">IFERROR(VLOOKUP(AY51,INDIRECT(AQ49),2,FALSE),"----")</f>
        <v>----</v>
      </c>
      <c r="BA51" s="694" t="e">
        <f t="shared" ref="BA51" ca="1" si="169">BA50-1</f>
        <v>#REF!</v>
      </c>
      <c r="BB51" s="698" t="str">
        <f ca="1">IFERROR(VLOOKUP(BA51,INDIRECT(AQ50),2,FALSE),"----")</f>
        <v>----</v>
      </c>
      <c r="BC51" s="694" t="e">
        <f t="shared" ca="1" si="95"/>
        <v>#REF!</v>
      </c>
      <c r="BD51" s="698" t="str">
        <f ca="1">IFERROR(VLOOKUP(BC51,INDIRECT(AQ51),2,FALSE),"----")</f>
        <v>----</v>
      </c>
      <c r="BE51" s="694" t="e">
        <f t="shared" ca="1" si="96"/>
        <v>#REF!</v>
      </c>
      <c r="BF51" s="698" t="str">
        <f ca="1">IFERROR(VLOOKUP(BE51,INDIRECT(AQ52),2,FALSE),"----")</f>
        <v>----</v>
      </c>
      <c r="BG51" s="694" t="e">
        <f t="shared" ca="1" si="97"/>
        <v>#REF!</v>
      </c>
      <c r="BH51" s="686" t="str">
        <f ca="1">IFERROR(VLOOKUP(BG51,INDIRECT(AQ53),2,FALSE),"----")</f>
        <v>----</v>
      </c>
      <c r="BI51" s="694" t="e">
        <f t="shared" ca="1" si="98"/>
        <v>#REF!</v>
      </c>
      <c r="BJ51" s="686" t="str">
        <f ca="1">IFERROR(VLOOKUP(BI51,INDIRECT(AQ54),2,FALSE),"----")</f>
        <v>----</v>
      </c>
      <c r="BK51" s="694" t="e">
        <f t="shared" ca="1" si="99"/>
        <v>#REF!</v>
      </c>
      <c r="BL51" s="686" t="str">
        <f ca="1">IFERROR(VLOOKUP(BK51,INDIRECT(AQ55),2,FALSE),"----")</f>
        <v>----</v>
      </c>
      <c r="BM51" s="694" t="e">
        <f t="shared" ca="1" si="100"/>
        <v>#REF!</v>
      </c>
      <c r="BN51" s="686" t="str">
        <f ca="1">IFERROR(VLOOKUP(BM51,INDIRECT(AQ56),2,FALSE),"----")</f>
        <v>----</v>
      </c>
      <c r="BO51" s="694" t="e">
        <f t="shared" ca="1" si="101"/>
        <v>#REF!</v>
      </c>
      <c r="BP51" s="686" t="str">
        <f ca="1">IFERROR(VLOOKUP(BO51,INDIRECT(AQ57),2,FALSE),"----")</f>
        <v>----</v>
      </c>
      <c r="BQ51" s="694" t="e">
        <f t="shared" ca="1" si="102"/>
        <v>#REF!</v>
      </c>
      <c r="BR51" s="686" t="str">
        <f ca="1">IFERROR(VLOOKUP(BQ51,INDIRECT(AQ58),2,FALSE),"----")</f>
        <v>----</v>
      </c>
      <c r="BS51" s="695">
        <f>IF(AI51="",1,IF(COUNTIF(BD47:BD58,AI51)=0,2,1))</f>
        <v>1</v>
      </c>
      <c r="BT51" s="696">
        <f>IF(AF51="",1,IF(BD47=".",2,1))</f>
        <v>1</v>
      </c>
      <c r="BU51" s="706"/>
      <c r="BV51" s="155">
        <f ca="1">IF(COUNTIF(CY47:CY58,AF51)=0,IF(AF51&lt;&gt;"",0,1),1)</f>
        <v>1</v>
      </c>
      <c r="BW51" s="157">
        <f ca="1">IFERROR(MATCH(AF51,CY47:CY58,0),1)</f>
        <v>1</v>
      </c>
      <c r="BX51" s="769"/>
      <c r="BY51" s="769"/>
      <c r="BZ51" s="1110"/>
      <c r="CA51" s="691" t="e">
        <f t="shared" ca="1" si="103"/>
        <v>#REF!</v>
      </c>
      <c r="CB51" s="4" t="e" cm="1">
        <f t="array" aca="1" ref="CB51" ca="1">IF(AND(INDEX(INDIRECT(BY47),CA51,4)&gt;=$AB47,INDEX(INDIRECT(BY47),CA51,5)&gt;=$S47,INDEX(INDIRECT(BY47),CA51,6)&gt;=$R47),1,0)</f>
        <v>#REF!</v>
      </c>
      <c r="CC51" s="4" t="e">
        <f t="shared" ref="CC51" ca="1" si="170">MATCH(1,OFFSET(CB47:CB58,CD50,0,COUNT(CB47:CB58)-CD50),0)</f>
        <v>#REF!</v>
      </c>
      <c r="CD51" s="4" t="e">
        <f t="shared" ca="1" si="105"/>
        <v>#REF!</v>
      </c>
      <c r="CE51" s="692" t="str" cm="1">
        <f t="array" aca="1" ref="CE51" ca="1">IFERROR(VLOOKUP(INDEX(CA47:CA58,CD51),INDIRECT(BY47),2,FALSE),"----")</f>
        <v>----</v>
      </c>
      <c r="CF51" s="691" t="e">
        <f t="shared" ca="1" si="106"/>
        <v>#N/A</v>
      </c>
      <c r="CG51" s="4" t="e">
        <f ca="1">IF(AND(INDEX(SSM,CF51,4)&gt;=$AB47,INDEX(SSM,CF51,5)&gt;=$S47,INDEX(SSM,CF51,6)&gt;=$R47),1,0)</f>
        <v>#N/A</v>
      </c>
      <c r="CH51" s="4" t="e">
        <f t="shared" ref="CH51" ca="1" si="171">MATCH(1,OFFSET(CG47:CG58,CI50,0,COUNT(CG47:CG58)-CI50),0)</f>
        <v>#REF!</v>
      </c>
      <c r="CI51" s="4" t="e">
        <f t="shared" ca="1" si="108"/>
        <v>#REF!</v>
      </c>
      <c r="CJ51" s="692" t="str">
        <f ca="1">IFERROR(IF(AD48="Nested Steel Stud (wood infill)",VLOOKUP(INDEX(CF47:CF58,CI51),SSW,2,FALSE),VLOOKUP(INDEX(CF47:CF58,CI51),SSM,2,FALSE)),"----")</f>
        <v>----</v>
      </c>
      <c r="CK51" s="691" t="e">
        <f t="shared" ca="1" si="109"/>
        <v>#N/A</v>
      </c>
      <c r="CL51" s="4" t="e">
        <f ca="1">IF(AND(INDEX(WSM,CK51,4)&gt;=$AB47,INDEX(WSM,CK51,5)&gt;=$S47,INDEX(WSM,CK51,6)&gt;=$R47),1,0)</f>
        <v>#N/A</v>
      </c>
      <c r="CM51" s="4" t="e">
        <f t="shared" ref="CM51" ca="1" si="172">MATCH(1,OFFSET(CL47:CL58,CN50,0,COUNT(CL47:CL58)-CN50),0)</f>
        <v>#REF!</v>
      </c>
      <c r="CN51" s="4" t="e">
        <f t="shared" ca="1" si="111"/>
        <v>#REF!</v>
      </c>
      <c r="CO51" s="692" t="str">
        <f ca="1">IFERROR(VLOOKUP(INDEX(CK47:CK58,CN51),WSM,2,FALSE),"----")</f>
        <v>----</v>
      </c>
      <c r="CP51" s="691" t="e">
        <f t="shared" ca="1" si="112"/>
        <v>#N/A</v>
      </c>
      <c r="CQ51" s="4" t="e">
        <f ca="1">IF(AND(INDEX(STM,CP51,4)&gt;=$AB47,INDEX(STM,CP51,5)&gt;=$S47,INDEX(STM,CP51,6)&gt;=$R47),1,0)</f>
        <v>#N/A</v>
      </c>
      <c r="CR51" s="4" t="e">
        <f t="shared" ref="CR51" ca="1" si="173">MATCH(1,OFFSET(CQ47:CQ58,CS50,0,COUNT(CQ47:CQ58)-CS50),0)</f>
        <v>#REF!</v>
      </c>
      <c r="CS51" s="4" t="e">
        <f t="shared" ca="1" si="114"/>
        <v>#REF!</v>
      </c>
      <c r="CT51" s="692" t="str">
        <f ca="1">IFERROR(VLOOKUP(INDEX(CP47:CP58,CS51),STM,2,FALSE),"----")</f>
        <v>----</v>
      </c>
      <c r="CU51" s="691" t="e">
        <f t="shared" ca="1" si="115"/>
        <v>#N/A</v>
      </c>
      <c r="CV51" s="4" t="e">
        <f ca="1">IF(AND(INDEX(ELM,CU51,4)&gt;=$AB47,INDEX(ELM,CU51,5)&gt;=$S47,INDEX(ELM,CU51,6)&gt;=$R47),1,0)</f>
        <v>#N/A</v>
      </c>
      <c r="CW51" s="4" t="e">
        <f t="shared" ref="CW51" ca="1" si="174">MATCH(1,OFFSET(CV47:CV58,CX50,0,COUNT(CV47:CV58)-CX50),0)</f>
        <v>#REF!</v>
      </c>
      <c r="CX51" s="4" t="e">
        <f t="shared" ca="1" si="117"/>
        <v>#REF!</v>
      </c>
      <c r="CY51" s="692" t="str">
        <f ca="1">IFERROR(VLOOKUP(INDEX(CU47:CU58,CX51),ELM,2,FALSE),"----")</f>
        <v>----</v>
      </c>
      <c r="CZ51" s="691" t="e">
        <f t="shared" ca="1" si="118"/>
        <v>#N/A</v>
      </c>
      <c r="DA51" s="4" t="e">
        <f ca="1">IF(LEFT($J47,7)="Clad Wo",IF(AND(INDEX(SPPWS,CZ51,4)&gt;=$AB47,INDEX(SPPWS,CZ51,5)&gt;=$S47,INDEX(SPPWS,CZ51,6)&gt;=$R47),1,0),IF(AND(INDEX(SPM,CZ51,4)&gt;=$AB47,INDEX(SPM,CZ51,5)&gt;=$S47,INDEX(SPM,CZ51,6)&gt;=$R47),1,0))</f>
        <v>#N/A</v>
      </c>
      <c r="DB51" s="4" t="e">
        <f t="shared" ref="DB51" ca="1" si="175">MATCH(1,OFFSET(DA47:DA58,DC50,0,COUNT(DA47:DA58)-DC50),0)</f>
        <v>#REF!</v>
      </c>
      <c r="DC51" s="4" t="e">
        <f t="shared" ca="1" si="120"/>
        <v>#REF!</v>
      </c>
      <c r="DD51" s="693" t="str">
        <f ca="1">IF(LEFT($J47,7)="Clad Wo",IFERROR(VLOOKUP(INDEX(CZ47:CZ58,DC51),SPPWS,2,FALSE),"----"),IFERROR(VLOOKUP(INDEX(CZ47:CZ58,DC51),SPM,2,FALSE),"----"))</f>
        <v>----</v>
      </c>
      <c r="DE51" s="691" t="e">
        <f t="shared" ca="1" si="121"/>
        <v>#REF!</v>
      </c>
      <c r="DF51" s="4" t="e" cm="1">
        <f t="array" aca="1" ref="DF51" ca="1">IF(AND(INDEX(INDIRECT(BY47),DE51,4)&gt;=$AB53,INDEX(INDIRECT(BY47),DE51,5)&gt;=$S47,INDEX(INDIRECT(BY47),DE51,6)&gt;=$R47),1,0)</f>
        <v>#REF!</v>
      </c>
      <c r="DG51" s="4" t="e">
        <f t="shared" ref="DG51" ca="1" si="176">MATCH(1,OFFSET(DF47:DF58,DH50,0,COUNT(DF47:DF58)-DH50),0)</f>
        <v>#REF!</v>
      </c>
      <c r="DH51" s="4" t="e">
        <f t="shared" ca="1" si="123"/>
        <v>#REF!</v>
      </c>
      <c r="DI51" s="692" t="str" cm="1">
        <f t="array" aca="1" ref="DI51" ca="1">IFERROR(VLOOKUP(INDEX(DE47:DE58,DH51),INDIRECT(BY47),2,FALSE),"----")</f>
        <v>----</v>
      </c>
      <c r="DJ51" s="691" t="e">
        <f t="shared" ca="1" si="124"/>
        <v>#N/A</v>
      </c>
      <c r="DK51" s="4" t="e">
        <f ca="1">IF(AND(INDEX(SSM,DJ51,4)&gt;=$AB53,INDEX(SSM,DJ51,5)&gt;=$S47,INDEX(SSM,DJ51,6)&gt;=$R47),1,0)</f>
        <v>#N/A</v>
      </c>
      <c r="DL51" s="4" t="e">
        <f t="shared" ref="DL51" ca="1" si="177">MATCH(1,OFFSET(DK47:DK58,DM50,0,COUNT(DK47:DK58)-DM50),0)</f>
        <v>#REF!</v>
      </c>
      <c r="DM51" s="4" t="e">
        <f t="shared" ca="1" si="126"/>
        <v>#REF!</v>
      </c>
      <c r="DN51" s="692" t="str">
        <f ca="1">IFERROR(IF(AD54="Nested Steel Stud (wood infill)",VLOOKUP(INDEX(DJ47:DJ58,DM51),SSW,2,FALSE),VLOOKUP(INDEX(DJ47:DJ58,DM51),SSM,2,FALSE)),"----")</f>
        <v>----</v>
      </c>
      <c r="DO51" s="691" t="e">
        <f t="shared" ca="1" si="127"/>
        <v>#N/A</v>
      </c>
      <c r="DP51" s="4" t="e">
        <f ca="1">IF(AND(INDEX(WSM,DO51,4)&gt;=$AB53,INDEX(WSM,DO51,5)&gt;=$S47,INDEX(WSM,DO51,6)&gt;=$R47),1,0)</f>
        <v>#N/A</v>
      </c>
      <c r="DQ51" s="4" t="e">
        <f t="shared" ref="DQ51" ca="1" si="178">MATCH(1,OFFSET(DP47:DP58,DR50,0,COUNT(DP47:DP58)-DR50),0)</f>
        <v>#REF!</v>
      </c>
      <c r="DR51" s="4" t="e">
        <f t="shared" ca="1" si="129"/>
        <v>#REF!</v>
      </c>
      <c r="DS51" s="692" t="str">
        <f ca="1">IFERROR(VLOOKUP(INDEX(DO47:DO58,DR51),WSM,2,FALSE),"----")</f>
        <v>----</v>
      </c>
      <c r="DT51" s="691" t="e">
        <f t="shared" ca="1" si="130"/>
        <v>#N/A</v>
      </c>
      <c r="DU51" s="4" t="e">
        <f ca="1">IF(AND(INDEX(STM,DT51,4)&gt;=$AB53,INDEX(STM,DT51,5)&gt;=$S47,INDEX(STM,DT51,6)&gt;=$R47),1,0)</f>
        <v>#N/A</v>
      </c>
      <c r="DV51" s="4" t="e">
        <f t="shared" ref="DV51" ca="1" si="179">MATCH(1,OFFSET(DU47:DU58,DW50,0,COUNT(DU47:DU58)-DW50),0)</f>
        <v>#REF!</v>
      </c>
      <c r="DW51" s="4" t="e">
        <f t="shared" ca="1" si="132"/>
        <v>#REF!</v>
      </c>
      <c r="DX51" s="692" t="str">
        <f ca="1">IFERROR(VLOOKUP(INDEX(DT47:DT58,DW51),STM,2,FALSE),"----")</f>
        <v>----</v>
      </c>
      <c r="DY51" s="691" t="e">
        <f t="shared" ca="1" si="133"/>
        <v>#N/A</v>
      </c>
      <c r="DZ51" s="4" t="e">
        <f ca="1">IF(AND(INDEX(ELM,DY51,4)&gt;=$AB53,INDEX(ELM,DY51,5)&gt;=$S47,INDEX(ELM,DY51,6)&gt;=$R47),1,0)</f>
        <v>#N/A</v>
      </c>
      <c r="EA51" s="4" t="e">
        <f t="shared" ref="EA51" ca="1" si="180">MATCH(1,OFFSET(DZ47:DZ58,EB50,0,COUNT(DZ47:DZ58)-EB50),0)</f>
        <v>#REF!</v>
      </c>
      <c r="EB51" s="4" t="e">
        <f t="shared" ca="1" si="135"/>
        <v>#REF!</v>
      </c>
      <c r="EC51" s="692" t="str">
        <f ca="1">IFERROR(VLOOKUP(INDEX(DY47:DY58,EB51),ELM,2,FALSE),"----")</f>
        <v>----</v>
      </c>
      <c r="ED51" s="691" t="e">
        <f t="shared" ca="1" si="136"/>
        <v>#N/A</v>
      </c>
      <c r="EE51" s="4" t="e">
        <f ca="1">IF(LEFT($J47,7)="Clad Wo",IF(AND(INDEX(SPPWS,ED51,4)&gt;=$AB53,INDEX(SPPWS,ED51,5)&gt;=$S47,INDEX(SPPWS,ED51,6)&gt;=$R47),1,0),IF(AND(INDEX(SPM,ED51,4)&gt;=$AB53,INDEX(SPM,ED51,5)&gt;=$S47,INDEX(SPM,ED51,6)&gt;=$R47),1,0))</f>
        <v>#N/A</v>
      </c>
      <c r="EF51" s="4" t="e">
        <f t="shared" ref="EF51" ca="1" si="181">MATCH(1,OFFSET(EE47:EE58,EG50,0,COUNT(EE47:EE58)-EG50),0)</f>
        <v>#REF!</v>
      </c>
      <c r="EG51" s="4" t="e">
        <f t="shared" ca="1" si="138"/>
        <v>#REF!</v>
      </c>
      <c r="EH51" s="692" t="str">
        <f ca="1">IF(LEFT($J47,7)="Clad Wo",IFERROR(VLOOKUP(INDEX(ED47:ED58,EG51),SPPWS,2,FALSE),"----"),IFERROR(VLOOKUP(INDEX(ED47:ED58,EG51),SPM,2,FALSE),"----"))</f>
        <v>----</v>
      </c>
    </row>
    <row r="52" spans="1:138" ht="15" customHeight="1" thickBot="1" x14ac:dyDescent="0.3">
      <c r="A52" s="1085"/>
      <c r="B52" s="934"/>
      <c r="C52" s="935"/>
      <c r="D52" s="936"/>
      <c r="E52" s="995"/>
      <c r="F52" s="996"/>
      <c r="G52" s="997"/>
      <c r="H52" s="1062"/>
      <c r="I52" s="990"/>
      <c r="J52" s="908"/>
      <c r="K52" s="909"/>
      <c r="L52" s="1010"/>
      <c r="M52" s="924"/>
      <c r="N52" s="1044"/>
      <c r="O52" s="1018"/>
      <c r="P52" s="987"/>
      <c r="Q52" s="1015"/>
      <c r="R52" s="1012"/>
      <c r="S52" s="1006"/>
      <c r="T52" s="1007"/>
      <c r="U52" s="878"/>
      <c r="V52" s="881"/>
      <c r="W52" s="889"/>
      <c r="X52" s="884"/>
      <c r="Y52" s="890"/>
      <c r="Z52" s="890"/>
      <c r="AA52" s="887"/>
      <c r="AB52" s="1084"/>
      <c r="AC52" s="1079"/>
      <c r="AD52" s="1072" t="str">
        <f t="shared" ref="AD52" si="182">IF(LEFT(J47,7)="Clad Wo","Pella Wood Spr / Steel Pte","Steel Plate")</f>
        <v>Steel Plate</v>
      </c>
      <c r="AE52" s="1073"/>
      <c r="AF52" s="1054"/>
      <c r="AG52" s="1055"/>
      <c r="AH52" s="1055"/>
      <c r="AI52" s="1092"/>
      <c r="AJ52" s="1093"/>
      <c r="AK52" s="159" t="str">
        <f t="shared" ca="1" si="62"/>
        <v/>
      </c>
      <c r="AL52" s="1040"/>
      <c r="AM52" s="345" t="str">
        <f ca="1">IFERROR(Q47/12*ROUND(VLOOKUP(AF52,OFFSET(SPM,0,1),6,FALSE),2),"")</f>
        <v/>
      </c>
      <c r="AN52" t="str">
        <f t="shared" ca="1" si="5"/>
        <v/>
      </c>
      <c r="AP52" s="699" t="str">
        <f t="shared" ref="AP52" si="183">_xlfn.CONCAT(AR52,AS52)</f>
        <v/>
      </c>
      <c r="AQ52" s="700" t="str">
        <f t="shared" si="65"/>
        <v/>
      </c>
      <c r="AR52" s="160" t="str">
        <f t="shared" si="3"/>
        <v/>
      </c>
      <c r="AS52" s="160" t="str">
        <f>IFERROR(VLOOKUP(J55, WallType,2,FALSE),"")</f>
        <v/>
      </c>
      <c r="AT52" s="701" t="str">
        <f>AL47</f>
        <v/>
      </c>
      <c r="AU52" s="694" t="e">
        <f t="shared" ca="1" si="91"/>
        <v>#REF!</v>
      </c>
      <c r="AV52" s="698" t="str">
        <f ca="1">IFERROR(VLOOKUP(AU52,INDIRECT(AQ47),2,FALSE),"----")</f>
        <v>----</v>
      </c>
      <c r="AW52" s="702" t="e">
        <f t="shared" ca="1" si="92"/>
        <v>#REF!</v>
      </c>
      <c r="AX52" s="698" t="str">
        <f ca="1">IFERROR(VLOOKUP(AW52,INDIRECT(AQ48),2,FALSE),"----")</f>
        <v>----</v>
      </c>
      <c r="AY52" s="702" t="e">
        <f t="shared" ref="AY52:AY67" ca="1" si="184">AY51-1</f>
        <v>#REF!</v>
      </c>
      <c r="AZ52" s="698" t="str">
        <f ca="1">IFERROR(VLOOKUP(AY52,INDIRECT(AQ49),2,FALSE),"----")</f>
        <v>----</v>
      </c>
      <c r="BA52" s="702" t="e">
        <f t="shared" ref="BA52:BA67" ca="1" si="185">BA51-1</f>
        <v>#REF!</v>
      </c>
      <c r="BB52" s="698" t="str">
        <f ca="1">IFERROR(VLOOKUP(BA52,INDIRECT(AQ50),2,FALSE),"----")</f>
        <v>----</v>
      </c>
      <c r="BC52" s="702" t="e">
        <f t="shared" ca="1" si="95"/>
        <v>#REF!</v>
      </c>
      <c r="BD52" s="698" t="str">
        <f ca="1">IFERROR(VLOOKUP(BC52,INDIRECT(AQ51),2,FALSE),"----")</f>
        <v>----</v>
      </c>
      <c r="BE52" s="702" t="e">
        <f t="shared" ca="1" si="96"/>
        <v>#REF!</v>
      </c>
      <c r="BF52" s="698" t="str">
        <f ca="1">IFERROR(VLOOKUP(BE52,INDIRECT(AQ52),2,FALSE),"----")</f>
        <v>----</v>
      </c>
      <c r="BG52" s="702" t="e">
        <f t="shared" ca="1" si="97"/>
        <v>#REF!</v>
      </c>
      <c r="BH52" s="686" t="str">
        <f ca="1">IFERROR(VLOOKUP(BG52,INDIRECT(AQ53),2,FALSE),"----")</f>
        <v>----</v>
      </c>
      <c r="BI52" s="702" t="e">
        <f t="shared" ca="1" si="98"/>
        <v>#REF!</v>
      </c>
      <c r="BJ52" s="686" t="str">
        <f ca="1">IFERROR(VLOOKUP(BI52,INDIRECT(AQ54),2,FALSE),"----")</f>
        <v>----</v>
      </c>
      <c r="BK52" s="702" t="e">
        <f t="shared" ca="1" si="99"/>
        <v>#REF!</v>
      </c>
      <c r="BL52" s="686" t="str">
        <f ca="1">IFERROR(VLOOKUP(BK52,INDIRECT(AQ55),2,FALSE),"----")</f>
        <v>----</v>
      </c>
      <c r="BM52" s="702" t="e">
        <f t="shared" ca="1" si="100"/>
        <v>#REF!</v>
      </c>
      <c r="BN52" s="686" t="str">
        <f ca="1">IFERROR(VLOOKUP(BM52,INDIRECT(AQ56),2,FALSE),"----")</f>
        <v>----</v>
      </c>
      <c r="BO52" s="702" t="e">
        <f t="shared" ca="1" si="101"/>
        <v>#REF!</v>
      </c>
      <c r="BP52" s="686" t="str">
        <f ca="1">IFERROR(VLOOKUP(BO52,INDIRECT(AQ57),2,FALSE),"----")</f>
        <v>----</v>
      </c>
      <c r="BQ52" s="702" t="e">
        <f t="shared" ca="1" si="102"/>
        <v>#REF!</v>
      </c>
      <c r="BR52" s="686" t="str">
        <f ca="1">IFERROR(VLOOKUP(BQ52,INDIRECT(AQ58),2,FALSE),"----")</f>
        <v>----</v>
      </c>
      <c r="BS52" s="703">
        <f>IF(AI52="",1,IF(COUNTIF(BF47:BF58,AI52)=0,2,1))</f>
        <v>1</v>
      </c>
      <c r="BT52" s="704">
        <f>IF(AF52="",1,IF(BF47=".",2,1))</f>
        <v>1</v>
      </c>
      <c r="BV52" s="155">
        <f ca="1">IF(COUNTIF(DD47:DD58,AF52)=0,IF(AF52&lt;&gt;"",0,1),1)</f>
        <v>1</v>
      </c>
      <c r="BW52" s="157">
        <f ca="1">IFERROR(MATCH(AF52,DD47:DD58,0),1)</f>
        <v>1</v>
      </c>
      <c r="BX52" s="875" t="s">
        <v>1594</v>
      </c>
      <c r="BY52" s="876"/>
      <c r="BZ52" s="1110"/>
      <c r="CA52" s="691" t="e">
        <f t="shared" ca="1" si="103"/>
        <v>#REF!</v>
      </c>
      <c r="CB52" s="4" t="e" cm="1">
        <f t="array" aca="1" ref="CB52" ca="1">IF(AND(INDEX(INDIRECT(BY47),CA52,4)&gt;=$AB47,INDEX(INDIRECT(BY47),CA52,5)&gt;=$S47,INDEX(INDIRECT(BY47),CA52,6)&gt;=$R47),1,0)</f>
        <v>#REF!</v>
      </c>
      <c r="CC52" s="4" t="e">
        <f t="shared" ref="CC52" ca="1" si="186">MATCH(1,OFFSET(CB47:CB58,CD51,0,COUNT(CB47:CB58)-CD51),0)</f>
        <v>#REF!</v>
      </c>
      <c r="CD52" s="4" t="e">
        <f t="shared" ca="1" si="105"/>
        <v>#REF!</v>
      </c>
      <c r="CE52" s="692" t="str" cm="1">
        <f t="array" aca="1" ref="CE52" ca="1">IFERROR(VLOOKUP(INDEX(CA47:CA58,CD52),INDIRECT(BY47),2,FALSE),"----")</f>
        <v>----</v>
      </c>
      <c r="CF52" s="691" t="e">
        <f t="shared" ca="1" si="106"/>
        <v>#N/A</v>
      </c>
      <c r="CG52" s="4" t="e">
        <f ca="1">IF(AND(INDEX(SSM,CF52,4)&gt;=$AB47,INDEX(SSM,CF52,5)&gt;=$S47,INDEX(SSM,CF52,6)&gt;=$R47),1,0)</f>
        <v>#N/A</v>
      </c>
      <c r="CH52" s="4" t="e">
        <f t="shared" ref="CH52" ca="1" si="187">MATCH(1,OFFSET(CG47:CG58,CI51,0,COUNT(CG47:CG58)-CI51),0)</f>
        <v>#REF!</v>
      </c>
      <c r="CI52" s="4" t="e">
        <f t="shared" ca="1" si="108"/>
        <v>#REF!</v>
      </c>
      <c r="CJ52" s="692" t="str">
        <f ca="1">IFERROR(IF(AD48="Nested Steel Stud (wood infill)",VLOOKUP(INDEX(CF47:CF58,CI52),SSW,2,FALSE),VLOOKUP(INDEX(CF47:CF58,CI52),SSM,2,FALSE)),"----")</f>
        <v>----</v>
      </c>
      <c r="CK52" s="691" t="e">
        <f t="shared" ca="1" si="109"/>
        <v>#N/A</v>
      </c>
      <c r="CL52" s="4" t="e">
        <f ca="1">IF(AND(INDEX(WSM,CK52,4)&gt;=$AB47,INDEX(WSM,CK52,5)&gt;=$S47,INDEX(WSM,CK52,6)&gt;=$R47),1,0)</f>
        <v>#N/A</v>
      </c>
      <c r="CM52" s="4" t="e">
        <f t="shared" ref="CM52" ca="1" si="188">MATCH(1,OFFSET(CL47:CL58,CN51,0,COUNT(CL47:CL58)-CN51),0)</f>
        <v>#REF!</v>
      </c>
      <c r="CN52" s="4" t="e">
        <f t="shared" ca="1" si="111"/>
        <v>#REF!</v>
      </c>
      <c r="CO52" s="692" t="str">
        <f ca="1">IFERROR(VLOOKUP(INDEX(CK47:CK58,CN52),WSM,2,FALSE),"----")</f>
        <v>----</v>
      </c>
      <c r="CP52" s="691" t="e">
        <f t="shared" ca="1" si="112"/>
        <v>#N/A</v>
      </c>
      <c r="CQ52" s="4" t="e">
        <f ca="1">IF(AND(INDEX(STM,CP52,4)&gt;=$AB47,INDEX(STM,CP52,5)&gt;=$S47,INDEX(STM,CP52,6)&gt;=$R47),1,0)</f>
        <v>#N/A</v>
      </c>
      <c r="CR52" s="4" t="e">
        <f t="shared" ref="CR52" ca="1" si="189">MATCH(1,OFFSET(CQ47:CQ58,CS51,0,COUNT(CQ47:CQ58)-CS51),0)</f>
        <v>#REF!</v>
      </c>
      <c r="CS52" s="4" t="e">
        <f t="shared" ca="1" si="114"/>
        <v>#REF!</v>
      </c>
      <c r="CT52" s="692" t="str">
        <f ca="1">IFERROR(VLOOKUP(INDEX(CP47:CP58,CS52),STM,2,FALSE),"----")</f>
        <v>----</v>
      </c>
      <c r="CU52" s="691" t="e">
        <f t="shared" ca="1" si="115"/>
        <v>#N/A</v>
      </c>
      <c r="CV52" s="4" t="e">
        <f ca="1">IF(AND(INDEX(ELM,CU52,4)&gt;=$AB47,INDEX(ELM,CU52,5)&gt;=$S47,INDEX(ELM,CU52,6)&gt;=$R47),1,0)</f>
        <v>#N/A</v>
      </c>
      <c r="CW52" s="4" t="e">
        <f t="shared" ref="CW52" ca="1" si="190">MATCH(1,OFFSET(CV47:CV58,CX51,0,COUNT(CV47:CV58)-CX51),0)</f>
        <v>#REF!</v>
      </c>
      <c r="CX52" s="4" t="e">
        <f t="shared" ca="1" si="117"/>
        <v>#REF!</v>
      </c>
      <c r="CY52" s="692" t="str">
        <f ca="1">IFERROR(VLOOKUP(INDEX(CU47:CU58,CX52),ELM,2,FALSE),"----")</f>
        <v>----</v>
      </c>
      <c r="CZ52" s="691" t="e">
        <f t="shared" ca="1" si="118"/>
        <v>#N/A</v>
      </c>
      <c r="DA52" s="4" t="e">
        <f ca="1">IF(LEFT($J47,7)="Clad Wo",IF(AND(INDEX(SPPWS,CZ52,4)&gt;=$AB47,INDEX(SPPWS,CZ52,5)&gt;=$S47,INDEX(SPPWS,CZ52,6)&gt;=$R47),1,0),IF(AND(INDEX(SPM,CZ52,4)&gt;=$AB47,INDEX(SPM,CZ52,5)&gt;=$S47,INDEX(SPM,CZ52,6)&gt;=$R47),1,0))</f>
        <v>#N/A</v>
      </c>
      <c r="DB52" s="4" t="e">
        <f t="shared" ref="DB52" ca="1" si="191">MATCH(1,OFFSET(DA47:DA58,DC51,0,COUNT(DA47:DA58)-DC51),0)</f>
        <v>#REF!</v>
      </c>
      <c r="DC52" s="4" t="e">
        <f t="shared" ca="1" si="120"/>
        <v>#REF!</v>
      </c>
      <c r="DD52" s="693" t="str">
        <f ca="1">IF(LEFT($J47,7)="Clad Wo",IFERROR(VLOOKUP(INDEX(CZ47:CZ58,DC52),SPPWS,2,FALSE),"----"),IFERROR(VLOOKUP(INDEX(CZ47:CZ58,DC52),SPM,2,FALSE),"----"))</f>
        <v>----</v>
      </c>
      <c r="DE52" s="691" t="e">
        <f t="shared" ca="1" si="121"/>
        <v>#REF!</v>
      </c>
      <c r="DF52" s="4" t="e" cm="1">
        <f t="array" aca="1" ref="DF52" ca="1">IF(AND(INDEX(INDIRECT(BY47),DE52,4)&gt;=$AB53,INDEX(INDIRECT(BY47),DE52,5)&gt;=$S47,INDEX(INDIRECT(BY47),DE52,6)&gt;=$R47),1,0)</f>
        <v>#REF!</v>
      </c>
      <c r="DG52" s="4" t="e">
        <f t="shared" ref="DG52" ca="1" si="192">MATCH(1,OFFSET(DF47:DF58,DH51,0,COUNT(DF47:DF58)-DH51),0)</f>
        <v>#REF!</v>
      </c>
      <c r="DH52" s="4" t="e">
        <f t="shared" ca="1" si="123"/>
        <v>#REF!</v>
      </c>
      <c r="DI52" s="692" t="str" cm="1">
        <f t="array" aca="1" ref="DI52" ca="1">IFERROR(VLOOKUP(INDEX(DE47:DE58,DH52),INDIRECT(BY47),2,FALSE),"----")</f>
        <v>----</v>
      </c>
      <c r="DJ52" s="691" t="e">
        <f t="shared" ca="1" si="124"/>
        <v>#N/A</v>
      </c>
      <c r="DK52" s="4" t="e">
        <f ca="1">IF(AND(INDEX(SSM,DJ52,4)&gt;=$AB53,INDEX(SSM,DJ52,5)&gt;=$S47,INDEX(SSM,DJ52,6)&gt;=$R47),1,0)</f>
        <v>#N/A</v>
      </c>
      <c r="DL52" s="4" t="e">
        <f t="shared" ref="DL52" ca="1" si="193">MATCH(1,OFFSET(DK47:DK58,DM51,0,COUNT(DK47:DK58)-DM51),0)</f>
        <v>#REF!</v>
      </c>
      <c r="DM52" s="4" t="e">
        <f t="shared" ca="1" si="126"/>
        <v>#REF!</v>
      </c>
      <c r="DN52" s="692" t="str">
        <f ca="1">IFERROR(IF(AD54="Nested Steel Stud (wood infill)",VLOOKUP(INDEX(DJ47:DJ58,DM52),SSW,2,FALSE),VLOOKUP(INDEX(DJ47:DJ58,DM52),SSM,2,FALSE)),"----")</f>
        <v>----</v>
      </c>
      <c r="DO52" s="691" t="e">
        <f t="shared" ca="1" si="127"/>
        <v>#N/A</v>
      </c>
      <c r="DP52" s="4" t="e">
        <f ca="1">IF(AND(INDEX(WSM,DO52,4)&gt;=$AB53,INDEX(WSM,DO52,5)&gt;=$S47,INDEX(WSM,DO52,6)&gt;=$R47),1,0)</f>
        <v>#N/A</v>
      </c>
      <c r="DQ52" s="4" t="e">
        <f t="shared" ref="DQ52" ca="1" si="194">MATCH(1,OFFSET(DP47:DP58,DR51,0,COUNT(DP47:DP58)-DR51),0)</f>
        <v>#REF!</v>
      </c>
      <c r="DR52" s="4" t="e">
        <f t="shared" ca="1" si="129"/>
        <v>#REF!</v>
      </c>
      <c r="DS52" s="692" t="str">
        <f ca="1">IFERROR(VLOOKUP(INDEX(DO47:DO58,DR52),WSM,2,FALSE),"----")</f>
        <v>----</v>
      </c>
      <c r="DT52" s="691" t="e">
        <f t="shared" ca="1" si="130"/>
        <v>#N/A</v>
      </c>
      <c r="DU52" s="4" t="e">
        <f ca="1">IF(AND(INDEX(STM,DT52,4)&gt;=$AB53,INDEX(STM,DT52,5)&gt;=$S47,INDEX(STM,DT52,6)&gt;=$R47),1,0)</f>
        <v>#N/A</v>
      </c>
      <c r="DV52" s="4" t="e">
        <f t="shared" ref="DV52" ca="1" si="195">MATCH(1,OFFSET(DU47:DU58,DW51,0,COUNT(DU47:DU58)-DW51),0)</f>
        <v>#REF!</v>
      </c>
      <c r="DW52" s="4" t="e">
        <f t="shared" ca="1" si="132"/>
        <v>#REF!</v>
      </c>
      <c r="DX52" s="692" t="str">
        <f ca="1">IFERROR(VLOOKUP(INDEX(DT47:DT58,DW52),STM,2,FALSE),"----")</f>
        <v>----</v>
      </c>
      <c r="DY52" s="691" t="e">
        <f t="shared" ca="1" si="133"/>
        <v>#N/A</v>
      </c>
      <c r="DZ52" s="4" t="e">
        <f ca="1">IF(AND(INDEX(ELM,DY52,4)&gt;=$AB53,INDEX(ELM,DY52,5)&gt;=$S47,INDEX(ELM,DY52,6)&gt;=$R47),1,0)</f>
        <v>#N/A</v>
      </c>
      <c r="EA52" s="4" t="e">
        <f t="shared" ref="EA52" ca="1" si="196">MATCH(1,OFFSET(DZ47:DZ58,EB51,0,COUNT(DZ47:DZ58)-EB51),0)</f>
        <v>#REF!</v>
      </c>
      <c r="EB52" s="4" t="e">
        <f t="shared" ca="1" si="135"/>
        <v>#REF!</v>
      </c>
      <c r="EC52" s="692" t="str">
        <f ca="1">IFERROR(VLOOKUP(INDEX(DY47:DY58,EB52),ELM,2,FALSE),"----")</f>
        <v>----</v>
      </c>
      <c r="ED52" s="691" t="e">
        <f t="shared" ca="1" si="136"/>
        <v>#N/A</v>
      </c>
      <c r="EE52" s="4" t="e">
        <f ca="1">IF(LEFT($J47,7)="Clad Wo",IF(AND(INDEX(SPPWS,ED52,4)&gt;=$AB53,INDEX(SPPWS,ED52,5)&gt;=$S47,INDEX(SPPWS,ED52,6)&gt;=$R47),1,0),IF(AND(INDEX(SPM,ED52,4)&gt;=$AB53,INDEX(SPM,ED52,5)&gt;=$S47,INDEX(SPM,ED52,6)&gt;=$R47),1,0))</f>
        <v>#N/A</v>
      </c>
      <c r="EF52" s="4" t="e">
        <f t="shared" ref="EF52" ca="1" si="197">MATCH(1,OFFSET(EE47:EE58,EG51,0,COUNT(EE47:EE58)-EG51),0)</f>
        <v>#REF!</v>
      </c>
      <c r="EG52" s="4" t="e">
        <f t="shared" ca="1" si="138"/>
        <v>#REF!</v>
      </c>
      <c r="EH52" s="692" t="str">
        <f ca="1">IF(LEFT($J47,7)="Clad Wo",IFERROR(VLOOKUP(INDEX(ED47:ED58,EG52),SPPWS,2,FALSE),"----"),IFERROR(VLOOKUP(INDEX(ED47:ED58,EG52),SPM,2,FALSE),"----"))</f>
        <v>----</v>
      </c>
    </row>
    <row r="53" spans="1:138" ht="15" customHeight="1" x14ac:dyDescent="0.25">
      <c r="A53" s="1085"/>
      <c r="B53" s="925" t="s">
        <v>409</v>
      </c>
      <c r="C53" s="926"/>
      <c r="D53" s="927"/>
      <c r="E53" s="995"/>
      <c r="F53" s="996"/>
      <c r="G53" s="997"/>
      <c r="H53" s="1062"/>
      <c r="I53" s="990"/>
      <c r="J53" s="908"/>
      <c r="K53" s="909"/>
      <c r="L53" s="1001">
        <f>L47+1</f>
        <v>5</v>
      </c>
      <c r="M53" s="1064" t="str">
        <f t="shared" ref="M53" si="198">IFERROR(IF($AE$17="",IF($AG$19="Wind Loading",MIN($V$31,IF(E$11="ASCE 7-05",$U$26,$V$7)*$V$9*(IF($E$12&lt;60,0.156*LN(MAX(MIN(500,O47),10)) -1.7618,IF($E$11="ASCE 7-22", 0.2026*LN(MAX(MIN(500,O47),20))-2.2638,0.2503*LN(MAX(MIN(500,O47),20)) -2.5526))-$V$8)),$V$7*IF(E$12&lt;60,$V$13*($V$15*(0.156*LN(MAX(MIN(500,O47),10)) -1.7618)-$V$16),$V$13*$V$15*((0.2026*LN(MAX(MIN(500,O47),20))-2.2638)-$V$16))),-ABS($AE$17)),"")</f>
        <v/>
      </c>
      <c r="N53" s="1041" t="str">
        <f t="shared" ref="N53" si="199">IFERROR(IF($AE$19="",IF($AG$19="Wind Loading",MAX($U$31,IF(E$11="ASCE 7-05",$U$26,$V$7)*$V$9*((IF($E$12&lt;60,-0.077*LN(MAX(MIN(500,O47),10))+1.1737,IF($E$11="ASCE 7-22",-0.077*LN(MAX(MIN(500,O47),20))+1.0798,-0.093*LN(MAX(MIN(500,O47),20))+1.1776)))+$V$8)),$V$7*IF(E$12&lt;60,$V$13*($V$15*(-0.077*LN(MAX(MIN(500,O47),10))+1.1737)-$V$17),$V$13*$V$15*((-0.077*LN(MAX(MIN(500,O47),20))+1.0798)-$V$17))),ABS($AE$19)),"")</f>
        <v/>
      </c>
      <c r="O53" s="1018"/>
      <c r="P53" s="987"/>
      <c r="Q53" s="1015"/>
      <c r="R53" s="1012">
        <f>P53*Q53/8</f>
        <v>0</v>
      </c>
      <c r="S53" s="1006"/>
      <c r="T53" s="1007"/>
      <c r="U53" s="878"/>
      <c r="V53" s="881"/>
      <c r="W53" s="883" t="e">
        <f t="shared" ref="W53" si="200">MAX(-M53,N53)*O47</f>
        <v>#VALUE!</v>
      </c>
      <c r="X53" s="884"/>
      <c r="Y53" s="886">
        <f>IFERROR(IF(AG$14="Trapezoidal",BY56,BX56)+IF($E$17="4",(400*E47^3)/(48*X47),0),0)</f>
        <v>0</v>
      </c>
      <c r="Z53" s="886" t="e">
        <f t="shared" ref="Z53" si="201">+($V47*MAX(-$M53,$N53)*$E47^2)/(144*8)+IF($E$17=4,(400*$E47)/4,0)</f>
        <v>#VALUE!</v>
      </c>
      <c r="AA53" s="887"/>
      <c r="AB53" s="1080" t="str">
        <f t="shared" ref="AB53" ca="1" si="202">IFERROR(Z53-AA47,"")</f>
        <v/>
      </c>
      <c r="AC53" s="1086" t="str">
        <f ca="1">IFERROR(Y53-U47,"")</f>
        <v/>
      </c>
      <c r="AD53" s="1074" t="str">
        <f t="shared" ref="AD53" si="203">AD47</f>
        <v/>
      </c>
      <c r="AE53" s="1075"/>
      <c r="AF53" s="1056"/>
      <c r="AG53" s="1057"/>
      <c r="AH53" s="1057"/>
      <c r="AI53" s="1088"/>
      <c r="AJ53" s="1089"/>
      <c r="AK53" s="162" t="str">
        <f t="shared" ca="1" si="62"/>
        <v/>
      </c>
      <c r="AL53" s="1058" t="str">
        <f t="shared" ref="AL53" si="204">IFERROR(ROUND(SQRT(P47^2+(W53/2+IF($E$17=4,200,0))^2),0),"")</f>
        <v/>
      </c>
      <c r="AM53" s="342" t="s">
        <v>669</v>
      </c>
      <c r="AN53" t="str">
        <f t="shared" ca="1" si="5"/>
        <v/>
      </c>
      <c r="AP53" s="122" t="str">
        <f t="shared" ref="AP53" si="205">_xlfn.CONCAT(AR53,AS58)</f>
        <v/>
      </c>
      <c r="AQ53" s="683" t="str">
        <f t="shared" si="65"/>
        <v/>
      </c>
      <c r="AR53" s="96" t="str">
        <f t="shared" si="3"/>
        <v/>
      </c>
      <c r="AS53" s="96" t="str">
        <f>IF(COUNTIF(imp_1,AF53)=1,"imp_1",IF(COUNTIF(imp_2,AF53)=1,"imp_2",IF(COUNTIF(imp_3,AF53)=1,"imp_3",IF(COUNTIF(impdoor,AF53)=1,"impdoor",""))))</f>
        <v/>
      </c>
      <c r="AT53" s="684" t="str">
        <f>AL53</f>
        <v/>
      </c>
      <c r="AU53" s="685" t="e">
        <f t="shared" ca="1" si="91"/>
        <v>#REF!</v>
      </c>
      <c r="AV53" s="686" t="str">
        <f ca="1">IFERROR(VLOOKUP(AU53,INDIRECT(AQ47),2,FALSE),"----")</f>
        <v>----</v>
      </c>
      <c r="AW53" s="685" t="e">
        <f t="shared" ca="1" si="92"/>
        <v>#REF!</v>
      </c>
      <c r="AX53" s="686" t="str">
        <f ca="1">IFERROR(VLOOKUP(AW53,INDIRECT(AQ48),2,FALSE),"----")</f>
        <v>----</v>
      </c>
      <c r="AY53" s="685" t="e">
        <f t="shared" ca="1" si="184"/>
        <v>#REF!</v>
      </c>
      <c r="AZ53" s="686" t="str">
        <f ca="1">IFERROR(VLOOKUP(AY53,INDIRECT(AQ49),2,FALSE),"----")</f>
        <v>----</v>
      </c>
      <c r="BA53" s="685" t="e">
        <f t="shared" ca="1" si="185"/>
        <v>#REF!</v>
      </c>
      <c r="BB53" s="686" t="str">
        <f ca="1">IFERROR(VLOOKUP(BA53,INDIRECT(AQ50),2,FALSE),"----")</f>
        <v>----</v>
      </c>
      <c r="BC53" s="685" t="e">
        <f t="shared" ca="1" si="95"/>
        <v>#REF!</v>
      </c>
      <c r="BD53" s="686" t="str">
        <f ca="1">IFERROR(VLOOKUP(BC53,INDIRECT(AQ51),2,FALSE),"----")</f>
        <v>----</v>
      </c>
      <c r="BE53" s="685" t="e">
        <f t="shared" ca="1" si="96"/>
        <v>#REF!</v>
      </c>
      <c r="BF53" s="686" t="str">
        <f ca="1">IFERROR(VLOOKUP(BE53,INDIRECT(AQ52),2,FALSE),"----")</f>
        <v>----</v>
      </c>
      <c r="BG53" s="702" t="e">
        <f t="shared" ca="1" si="97"/>
        <v>#REF!</v>
      </c>
      <c r="BH53" s="686" t="str">
        <f ca="1">IFERROR(VLOOKUP(BG53,INDIRECT(AQ53),2,FALSE),"----")</f>
        <v>----</v>
      </c>
      <c r="BI53" s="702" t="e">
        <f t="shared" ca="1" si="98"/>
        <v>#REF!</v>
      </c>
      <c r="BJ53" s="686" t="str">
        <f ca="1">IFERROR(VLOOKUP(BI53,INDIRECT(AQ54),2,FALSE),"----")</f>
        <v>----</v>
      </c>
      <c r="BK53" s="702" t="e">
        <f t="shared" ca="1" si="99"/>
        <v>#REF!</v>
      </c>
      <c r="BL53" s="686" t="str">
        <f ca="1">IFERROR(VLOOKUP(BK53,INDIRECT(AQ55),2,FALSE),"----")</f>
        <v>----</v>
      </c>
      <c r="BM53" s="702" t="e">
        <f t="shared" ca="1" si="100"/>
        <v>#REF!</v>
      </c>
      <c r="BN53" s="686" t="str">
        <f ca="1">IFERROR(VLOOKUP(BM53,INDIRECT(AQ56),2,FALSE),"----")</f>
        <v>----</v>
      </c>
      <c r="BO53" s="702" t="e">
        <f t="shared" ca="1" si="101"/>
        <v>#REF!</v>
      </c>
      <c r="BP53" s="686" t="str">
        <f ca="1">IFERROR(VLOOKUP(BO53,INDIRECT(AQ57),2,FALSE),"----")</f>
        <v>----</v>
      </c>
      <c r="BQ53" s="702" t="e">
        <f t="shared" ca="1" si="102"/>
        <v>#REF!</v>
      </c>
      <c r="BR53" s="686" t="str">
        <f ca="1">IFERROR(VLOOKUP(BQ53,INDIRECT(AQ58),2,FALSE),"----")</f>
        <v>----</v>
      </c>
      <c r="BS53" s="695">
        <f>IF(AI53="",1,IF(COUNTIF(BH47:BH58,AI53)=0,2,1))</f>
        <v>1</v>
      </c>
      <c r="BT53" s="696">
        <f>IF(AP53="1",1,IF(AF53="",1,IF(BH47=".",2,1)))</f>
        <v>1</v>
      </c>
      <c r="BU53" s="706"/>
      <c r="BV53" s="155">
        <f ca="1">IF(COUNTIF(DI47:DI58,AF53)=0,IF(AF53&lt;&gt;"",0,1),1)</f>
        <v>1</v>
      </c>
      <c r="BW53" s="157">
        <f ca="1">IFERROR(MATCH(AF53,DI47:DI58,0),1)</f>
        <v>1</v>
      </c>
      <c r="BX53" s="769" t="s">
        <v>1593</v>
      </c>
      <c r="BY53" s="769" t="s">
        <v>1629</v>
      </c>
      <c r="BZ53" s="1110"/>
      <c r="CA53" s="691" t="e">
        <f t="shared" ca="1" si="103"/>
        <v>#REF!</v>
      </c>
      <c r="CB53" s="4" t="e" cm="1">
        <f t="array" aca="1" ref="CB53" ca="1">IF(AND(INDEX(INDIRECT(BY47),CA53,4)&gt;=$AB47,INDEX(INDIRECT(BY47),CA53,5)&gt;=$S47,INDEX(INDIRECT(BY47),CA53,6)&gt;=$R47),1,0)</f>
        <v>#REF!</v>
      </c>
      <c r="CC53" s="4" t="e">
        <f t="shared" ref="CC53" ca="1" si="206">MATCH(1,OFFSET(CB47:CB58,CD52,0,COUNT(CB47:CB58)-CD52),0)</f>
        <v>#REF!</v>
      </c>
      <c r="CD53" s="4" t="e">
        <f t="shared" ca="1" si="105"/>
        <v>#REF!</v>
      </c>
      <c r="CE53" s="692" t="str" cm="1">
        <f t="array" aca="1" ref="CE53" ca="1">IFERROR(VLOOKUP(INDEX(CA47:CA58,CD53),INDIRECT(BY47),2,FALSE),"----")</f>
        <v>----</v>
      </c>
      <c r="CF53" s="691" t="e">
        <f t="shared" ca="1" si="106"/>
        <v>#N/A</v>
      </c>
      <c r="CG53" s="4" t="e">
        <f ca="1">IF(AND(INDEX(SSM,CF53,4)&gt;=$AB47,INDEX(SSM,CF53,5)&gt;=$S47,INDEX(SSM,CF53,6)&gt;=$R47),1,0)</f>
        <v>#N/A</v>
      </c>
      <c r="CH53" s="4" t="e">
        <f t="shared" ref="CH53" ca="1" si="207">MATCH(1,OFFSET(CG47:CG58,CI52,0,COUNT(CG47:CG58)-CI52),0)</f>
        <v>#REF!</v>
      </c>
      <c r="CI53" s="4" t="e">
        <f t="shared" ca="1" si="108"/>
        <v>#REF!</v>
      </c>
      <c r="CJ53" s="692" t="str">
        <f ca="1">IFERROR(IF(AD48="Nested Steel Stud (wood infill)",VLOOKUP(INDEX(CF47:CF58,CI53),SSW,2,FALSE),VLOOKUP(INDEX(CF47:CF58,CI53),SSM,2,FALSE)),"----")</f>
        <v>----</v>
      </c>
      <c r="CK53" s="691" t="e">
        <f t="shared" ca="1" si="109"/>
        <v>#N/A</v>
      </c>
      <c r="CL53" s="4" t="e">
        <f ca="1">IF(AND(INDEX(WSM,CK53,4)&gt;=$AB47,INDEX(WSM,CK53,5)&gt;=$S47,INDEX(WSM,CK53,6)&gt;=$R47),1,0)</f>
        <v>#N/A</v>
      </c>
      <c r="CM53" s="4" t="e">
        <f t="shared" ref="CM53" ca="1" si="208">MATCH(1,OFFSET(CL47:CL58,CN52,0,COUNT(CL47:CL58)-CN52),0)</f>
        <v>#REF!</v>
      </c>
      <c r="CN53" s="4" t="e">
        <f t="shared" ca="1" si="111"/>
        <v>#REF!</v>
      </c>
      <c r="CO53" s="692" t="str">
        <f ca="1">IFERROR(VLOOKUP(INDEX(CK47:CK58,CN53),WSM,2,FALSE),"----")</f>
        <v>----</v>
      </c>
      <c r="CP53" s="691" t="e">
        <f t="shared" ca="1" si="112"/>
        <v>#N/A</v>
      </c>
      <c r="CQ53" s="4" t="e">
        <f ca="1">IF(AND(INDEX(STM,CP53,4)&gt;=$AB47,INDEX(STM,CP53,5)&gt;=$S47,INDEX(STM,CP53,6)&gt;=$R47),1,0)</f>
        <v>#N/A</v>
      </c>
      <c r="CR53" s="4" t="e">
        <f t="shared" ref="CR53" ca="1" si="209">MATCH(1,OFFSET(CQ47:CQ58,CS52,0,COUNT(CQ47:CQ58)-CS52),0)</f>
        <v>#REF!</v>
      </c>
      <c r="CS53" s="4" t="e">
        <f t="shared" ca="1" si="114"/>
        <v>#REF!</v>
      </c>
      <c r="CT53" s="692" t="str">
        <f ca="1">IFERROR(VLOOKUP(INDEX(CP47:CP58,CS53),STM,2,FALSE),"----")</f>
        <v>----</v>
      </c>
      <c r="CU53" s="691" t="e">
        <f t="shared" ca="1" si="115"/>
        <v>#N/A</v>
      </c>
      <c r="CV53" s="4" t="e">
        <f ca="1">IF(AND(INDEX(ELM,CU53,4)&gt;=$AB47,INDEX(ELM,CU53,5)&gt;=$S47,INDEX(ELM,CU53,6)&gt;=$R47),1,0)</f>
        <v>#N/A</v>
      </c>
      <c r="CW53" s="4" t="e">
        <f t="shared" ref="CW53" ca="1" si="210">MATCH(1,OFFSET(CV47:CV58,CX52,0,COUNT(CV47:CV58)-CX52),0)</f>
        <v>#REF!</v>
      </c>
      <c r="CX53" s="4" t="e">
        <f t="shared" ca="1" si="117"/>
        <v>#REF!</v>
      </c>
      <c r="CY53" s="692" t="str">
        <f ca="1">IFERROR(VLOOKUP(INDEX(CU47:CU58,CX53),ELM,2,FALSE),"----")</f>
        <v>----</v>
      </c>
      <c r="CZ53" s="691" t="e">
        <f t="shared" ca="1" si="118"/>
        <v>#N/A</v>
      </c>
      <c r="DA53" s="4" t="e">
        <f ca="1">IF(LEFT($J47,7)="Clad Wo",IF(AND(INDEX(SPPWS,CZ53,4)&gt;=$AB47,INDEX(SPPWS,CZ53,5)&gt;=$S47,INDEX(SPPWS,CZ53,6)&gt;=$R47),1,0),IF(AND(INDEX(SPM,CZ53,4)&gt;=$AB47,INDEX(SPM,CZ53,5)&gt;=$S47,INDEX(SPM,CZ53,6)&gt;=$R47),1,0))</f>
        <v>#N/A</v>
      </c>
      <c r="DB53" s="4" t="e">
        <f t="shared" ref="DB53" ca="1" si="211">MATCH(1,OFFSET(DA47:DA58,DC52,0,COUNT(DA47:DA58)-DC52),0)</f>
        <v>#REF!</v>
      </c>
      <c r="DC53" s="4" t="e">
        <f t="shared" ca="1" si="120"/>
        <v>#REF!</v>
      </c>
      <c r="DD53" s="693" t="str">
        <f ca="1">IF(LEFT($J47,7)="Clad Wo",IFERROR(VLOOKUP(INDEX(CZ47:CZ58,DC53),SPPWS,2,FALSE),"----"),IFERROR(VLOOKUP(INDEX(CZ47:CZ58,DC53),SPM,2,FALSE),"----"))</f>
        <v>----</v>
      </c>
      <c r="DE53" s="691" t="e">
        <f t="shared" ca="1" si="121"/>
        <v>#REF!</v>
      </c>
      <c r="DF53" s="4" t="e" cm="1">
        <f t="array" aca="1" ref="DF53" ca="1">IF(AND(INDEX(INDIRECT(BY47),DE53,4)&gt;=$AB53,INDEX(INDIRECT(BY47),DE53,5)&gt;=$S47,INDEX(INDIRECT(BY47),DE53,6)&gt;=$R47),1,0)</f>
        <v>#REF!</v>
      </c>
      <c r="DG53" s="4" t="e">
        <f t="shared" ref="DG53" ca="1" si="212">MATCH(1,OFFSET(DF47:DF58,DH52,0,COUNT(DF47:DF58)-DH52),0)</f>
        <v>#REF!</v>
      </c>
      <c r="DH53" s="4" t="e">
        <f t="shared" ca="1" si="123"/>
        <v>#REF!</v>
      </c>
      <c r="DI53" s="692" t="str" cm="1">
        <f t="array" aca="1" ref="DI53" ca="1">IFERROR(VLOOKUP(INDEX(DE47:DE58,DH53),INDIRECT(BY47),2,FALSE),"----")</f>
        <v>----</v>
      </c>
      <c r="DJ53" s="691" t="e">
        <f t="shared" ca="1" si="124"/>
        <v>#N/A</v>
      </c>
      <c r="DK53" s="4" t="e">
        <f ca="1">IF(AND(INDEX(SSM,DJ53,4)&gt;=$AB53,INDEX(SSM,DJ53,5)&gt;=$S47,INDEX(SSM,DJ53,6)&gt;=$R47),1,0)</f>
        <v>#N/A</v>
      </c>
      <c r="DL53" s="4" t="e">
        <f t="shared" ref="DL53" ca="1" si="213">MATCH(1,OFFSET(DK47:DK58,DM52,0,COUNT(DK47:DK58)-DM52),0)</f>
        <v>#REF!</v>
      </c>
      <c r="DM53" s="4" t="e">
        <f t="shared" ca="1" si="126"/>
        <v>#REF!</v>
      </c>
      <c r="DN53" s="692" t="str">
        <f ca="1">IFERROR(IF(AD54="Nested Steel Stud (wood infill)",VLOOKUP(INDEX(DJ47:DJ58,DM53),SSW,2,FALSE),VLOOKUP(INDEX(DJ47:DJ58,DM53),SSM,2,FALSE)),"----")</f>
        <v>----</v>
      </c>
      <c r="DO53" s="691" t="e">
        <f t="shared" ca="1" si="127"/>
        <v>#N/A</v>
      </c>
      <c r="DP53" s="4" t="e">
        <f ca="1">IF(AND(INDEX(WSM,DO53,4)&gt;=$AB53,INDEX(WSM,DO53,5)&gt;=$S47,INDEX(WSM,DO53,6)&gt;=$R47),1,0)</f>
        <v>#N/A</v>
      </c>
      <c r="DQ53" s="4" t="e">
        <f t="shared" ref="DQ53" ca="1" si="214">MATCH(1,OFFSET(DP47:DP58,DR52,0,COUNT(DP47:DP58)-DR52),0)</f>
        <v>#REF!</v>
      </c>
      <c r="DR53" s="4" t="e">
        <f t="shared" ca="1" si="129"/>
        <v>#REF!</v>
      </c>
      <c r="DS53" s="692" t="str">
        <f ca="1">IFERROR(VLOOKUP(INDEX(DO47:DO58,DR53),WSM,2,FALSE),"----")</f>
        <v>----</v>
      </c>
      <c r="DT53" s="691" t="e">
        <f t="shared" ca="1" si="130"/>
        <v>#N/A</v>
      </c>
      <c r="DU53" s="4" t="e">
        <f ca="1">IF(AND(INDEX(STM,DT53,4)&gt;=$AB53,INDEX(STM,DT53,5)&gt;=$S47,INDEX(STM,DT53,6)&gt;=$R47),1,0)</f>
        <v>#N/A</v>
      </c>
      <c r="DV53" s="4" t="e">
        <f t="shared" ref="DV53" ca="1" si="215">MATCH(1,OFFSET(DU47:DU58,DW52,0,COUNT(DU47:DU58)-DW52),0)</f>
        <v>#REF!</v>
      </c>
      <c r="DW53" s="4" t="e">
        <f t="shared" ca="1" si="132"/>
        <v>#REF!</v>
      </c>
      <c r="DX53" s="692" t="str">
        <f ca="1">IFERROR(VLOOKUP(INDEX(DT47:DT58,DW53),STM,2,FALSE),"----")</f>
        <v>----</v>
      </c>
      <c r="DY53" s="691" t="e">
        <f t="shared" ca="1" si="133"/>
        <v>#N/A</v>
      </c>
      <c r="DZ53" s="4" t="e">
        <f ca="1">IF(AND(INDEX(ELM,DY53,4)&gt;=$AB53,INDEX(ELM,DY53,5)&gt;=$S47,INDEX(ELM,DY53,6)&gt;=$R47),1,0)</f>
        <v>#N/A</v>
      </c>
      <c r="EA53" s="4" t="e">
        <f t="shared" ref="EA53" ca="1" si="216">MATCH(1,OFFSET(DZ47:DZ58,EB52,0,COUNT(DZ47:DZ58)-EB52),0)</f>
        <v>#REF!</v>
      </c>
      <c r="EB53" s="4" t="e">
        <f t="shared" ca="1" si="135"/>
        <v>#REF!</v>
      </c>
      <c r="EC53" s="692" t="str">
        <f ca="1">IFERROR(VLOOKUP(INDEX(DY47:DY58,EB53),ELM,2,FALSE),"----")</f>
        <v>----</v>
      </c>
      <c r="ED53" s="691" t="e">
        <f t="shared" ca="1" si="136"/>
        <v>#N/A</v>
      </c>
      <c r="EE53" s="4" t="e">
        <f ca="1">IF(LEFT($J47,7)="Clad Wo",IF(AND(INDEX(SPPWS,ED53,4)&gt;=$AB53,INDEX(SPPWS,ED53,5)&gt;=$S47,INDEX(SPPWS,ED53,6)&gt;=$R47),1,0),IF(AND(INDEX(SPM,ED53,4)&gt;=$AB53,INDEX(SPM,ED53,5)&gt;=$S47,INDEX(SPM,ED53,6)&gt;=$R47),1,0))</f>
        <v>#N/A</v>
      </c>
      <c r="EF53" s="4" t="e">
        <f t="shared" ref="EF53" ca="1" si="217">MATCH(1,OFFSET(EE47:EE58,EG52,0,COUNT(EE47:EE58)-EG52),0)</f>
        <v>#REF!</v>
      </c>
      <c r="EG53" s="4" t="e">
        <f t="shared" ca="1" si="138"/>
        <v>#REF!</v>
      </c>
      <c r="EH53" s="692" t="str">
        <f ca="1">IF(LEFT($J47,7)="Clad Wo",IFERROR(VLOOKUP(INDEX(ED47:ED58,EG53),SPPWS,2,FALSE),"----"),IFERROR(VLOOKUP(INDEX(ED47:ED58,EG53),SPM,2,FALSE),"----"))</f>
        <v>----</v>
      </c>
    </row>
    <row r="54" spans="1:138" ht="15" customHeight="1" x14ac:dyDescent="0.25">
      <c r="A54" s="1085"/>
      <c r="B54" s="925"/>
      <c r="C54" s="926"/>
      <c r="D54" s="927"/>
      <c r="E54" s="995"/>
      <c r="F54" s="996"/>
      <c r="G54" s="997"/>
      <c r="H54" s="1062"/>
      <c r="I54" s="990"/>
      <c r="J54" s="912"/>
      <c r="K54" s="913"/>
      <c r="L54" s="1002"/>
      <c r="M54" s="923"/>
      <c r="N54" s="1042"/>
      <c r="O54" s="1018"/>
      <c r="P54" s="987"/>
      <c r="Q54" s="1015"/>
      <c r="R54" s="1012"/>
      <c r="S54" s="1006"/>
      <c r="T54" s="1007"/>
      <c r="U54" s="878"/>
      <c r="V54" s="881"/>
      <c r="W54" s="884"/>
      <c r="X54" s="884"/>
      <c r="Y54" s="887"/>
      <c r="Z54" s="887"/>
      <c r="AA54" s="887"/>
      <c r="AB54" s="1081"/>
      <c r="AC54" s="1078"/>
      <c r="AD54" s="1070" t="str">
        <f t="shared" ref="AD54" si="218">IF(ISBLANK(AD48)=TRUE,"",AD48)</f>
        <v>Nested Steel Stud</v>
      </c>
      <c r="AE54" s="1071"/>
      <c r="AF54" s="1052"/>
      <c r="AG54" s="1053"/>
      <c r="AH54" s="1053"/>
      <c r="AI54" s="1066"/>
      <c r="AJ54" s="1067"/>
      <c r="AK54" s="156" t="str">
        <f t="shared" ca="1" si="62"/>
        <v/>
      </c>
      <c r="AL54" s="1059"/>
      <c r="AM54" s="343" t="str">
        <f ca="1">IFERROR(Q47/12*ROUND(VLOOKUP(AF54,OFFSET(SSM,0,1),6,FALSE),2),"")</f>
        <v/>
      </c>
      <c r="AN54" t="str">
        <f t="shared" ca="1" si="5"/>
        <v/>
      </c>
      <c r="AP54" s="122" t="str">
        <f t="shared" ref="AP54" si="219">_xlfn.CONCAT(AR54,AS58)</f>
        <v/>
      </c>
      <c r="AQ54" s="683" t="str">
        <f t="shared" si="65"/>
        <v/>
      </c>
      <c r="AR54" s="96" t="str">
        <f t="shared" si="3"/>
        <v/>
      </c>
      <c r="AS54" s="96" t="str">
        <f>IF(COUNTIF(Vista_1,AF53)=1,"Vista_1",IF(COUNTIF(Vista_2,AF53)=1,"Vista_2",""))</f>
        <v/>
      </c>
      <c r="AT54" s="684" t="str">
        <f>AL53</f>
        <v/>
      </c>
      <c r="AU54" s="694" t="e">
        <f t="shared" ca="1" si="91"/>
        <v>#REF!</v>
      </c>
      <c r="AV54" s="686" t="str">
        <f ca="1">IFERROR(VLOOKUP(AU54,INDIRECT(AQ47),2,FALSE),"----")</f>
        <v>----</v>
      </c>
      <c r="AW54" s="694" t="e">
        <f t="shared" ca="1" si="92"/>
        <v>#REF!</v>
      </c>
      <c r="AX54" s="686" t="str">
        <f ca="1">IFERROR(VLOOKUP(AW54,INDIRECT(AQ48),2,FALSE),"----")</f>
        <v>----</v>
      </c>
      <c r="AY54" s="694" t="e">
        <f t="shared" ca="1" si="184"/>
        <v>#REF!</v>
      </c>
      <c r="AZ54" s="686" t="str">
        <f ca="1">IFERROR(VLOOKUP(AY54,INDIRECT(AQ49),2,FALSE),"----")</f>
        <v>----</v>
      </c>
      <c r="BA54" s="694" t="e">
        <f t="shared" ca="1" si="185"/>
        <v>#REF!</v>
      </c>
      <c r="BB54" s="686" t="str">
        <f ca="1">IFERROR(VLOOKUP(BA54,INDIRECT(AQ50),2,FALSE),"----")</f>
        <v>----</v>
      </c>
      <c r="BC54" s="694" t="e">
        <f t="shared" ca="1" si="95"/>
        <v>#REF!</v>
      </c>
      <c r="BD54" s="686" t="str">
        <f ca="1">IFERROR(VLOOKUP(BC54,INDIRECT(AQ51),2,FALSE),"----")</f>
        <v>----</v>
      </c>
      <c r="BE54" s="694" t="e">
        <f t="shared" ca="1" si="96"/>
        <v>#REF!</v>
      </c>
      <c r="BF54" s="686" t="str">
        <f ca="1">IFERROR(VLOOKUP(BE54,INDIRECT(AQ52),2,FALSE),"----")</f>
        <v>----</v>
      </c>
      <c r="BG54" s="702" t="e">
        <f t="shared" ca="1" si="97"/>
        <v>#REF!</v>
      </c>
      <c r="BH54" s="686" t="str">
        <f ca="1">IFERROR(VLOOKUP(BG54,INDIRECT(AQ53),2,FALSE),"----")</f>
        <v>----</v>
      </c>
      <c r="BI54" s="702" t="e">
        <f t="shared" ca="1" si="98"/>
        <v>#REF!</v>
      </c>
      <c r="BJ54" s="686" t="str">
        <f ca="1">IFERROR(VLOOKUP(BI54,INDIRECT(AQ54),2,FALSE),"----")</f>
        <v>----</v>
      </c>
      <c r="BK54" s="702" t="e">
        <f t="shared" ca="1" si="99"/>
        <v>#REF!</v>
      </c>
      <c r="BL54" s="686" t="str">
        <f ca="1">IFERROR(VLOOKUP(BK54,INDIRECT(AQ55),2,FALSE),"----")</f>
        <v>----</v>
      </c>
      <c r="BM54" s="702" t="e">
        <f t="shared" ca="1" si="100"/>
        <v>#REF!</v>
      </c>
      <c r="BN54" s="686" t="str">
        <f ca="1">IFERROR(VLOOKUP(BM54,INDIRECT(AQ56),2,FALSE),"----")</f>
        <v>----</v>
      </c>
      <c r="BO54" s="702" t="e">
        <f t="shared" ca="1" si="101"/>
        <v>#REF!</v>
      </c>
      <c r="BP54" s="686" t="str">
        <f ca="1">IFERROR(VLOOKUP(BO54,INDIRECT(AQ57),2,FALSE),"----")</f>
        <v>----</v>
      </c>
      <c r="BQ54" s="702" t="e">
        <f t="shared" ca="1" si="102"/>
        <v>#REF!</v>
      </c>
      <c r="BR54" s="686" t="str">
        <f ca="1">IFERROR(VLOOKUP(BQ54,INDIRECT(AQ58),2,FALSE),"----")</f>
        <v>----</v>
      </c>
      <c r="BS54" s="695">
        <f>IF(AI54="",1,IF(COUNTIF(BJ47:BJ58,AI54)=0,2,1))</f>
        <v>1</v>
      </c>
      <c r="BT54" s="696">
        <f>IF(AF54="",1,IF(BJ47=".",2,1))</f>
        <v>1</v>
      </c>
      <c r="BU54" s="706"/>
      <c r="BV54" s="155">
        <f ca="1">IF(COUNTIF(DN47:DN58,AF54)=0,IF(AF54&lt;&gt;"",0,1),1)</f>
        <v>1</v>
      </c>
      <c r="BW54" s="157">
        <f ca="1">IFERROR(MATCH(AF54,DN47:DN58,0),1)</f>
        <v>1</v>
      </c>
      <c r="BX54" s="769">
        <f t="shared" ref="BX54" si="220">E47*(H47+I47)/144/2</f>
        <v>0</v>
      </c>
      <c r="BY54" s="769">
        <f>SUM(IF(H47&gt;E47,E47^2/4,(H47*E47/2)-(H47^2/4))/144,IF(I47&gt;E47,E47^2/4,(I47*E47/2)-(I47^2/4))/144)</f>
        <v>0</v>
      </c>
      <c r="BZ54" s="1110"/>
      <c r="CA54" s="691" t="e">
        <f t="shared" ca="1" si="103"/>
        <v>#REF!</v>
      </c>
      <c r="CB54" s="4" t="e" cm="1">
        <f t="array" aca="1" ref="CB54" ca="1">IF(AND(INDEX(INDIRECT(BY47),CA54,4)&gt;=$AB47,INDEX(INDIRECT(BY47),CA54,5)&gt;=$S47,INDEX(INDIRECT(BY47),CA54,6)&gt;=$R47),1,0)</f>
        <v>#REF!</v>
      </c>
      <c r="CC54" s="4" t="e">
        <f t="shared" ref="CC54" ca="1" si="221">MATCH(1,OFFSET(CB47:CB58,CD53,0,COUNT(CB47:CB58)-CD53),0)</f>
        <v>#REF!</v>
      </c>
      <c r="CD54" s="4" t="e">
        <f t="shared" ca="1" si="105"/>
        <v>#REF!</v>
      </c>
      <c r="CE54" s="692" t="str" cm="1">
        <f t="array" aca="1" ref="CE54" ca="1">IFERROR(VLOOKUP(INDEX(CA47:CA58,CD54),INDIRECT(BY47),2,FALSE),"----")</f>
        <v>----</v>
      </c>
      <c r="CF54" s="691" t="e">
        <f t="shared" ca="1" si="106"/>
        <v>#N/A</v>
      </c>
      <c r="CG54" s="4" t="e">
        <f ca="1">IF(AND(INDEX(SSM,CF54,4)&gt;=$AB47,INDEX(SSM,CF54,5)&gt;=$S47,INDEX(SSM,CF54,6)&gt;=$R47),1,0)</f>
        <v>#N/A</v>
      </c>
      <c r="CH54" s="4" t="e">
        <f t="shared" ref="CH54" ca="1" si="222">MATCH(1,OFFSET(CG47:CG58,CI53,0,COUNT(CG47:CG58)-CI53),0)</f>
        <v>#REF!</v>
      </c>
      <c r="CI54" s="4" t="e">
        <f t="shared" ca="1" si="108"/>
        <v>#REF!</v>
      </c>
      <c r="CJ54" s="692" t="str">
        <f ca="1">IFERROR(IF(AD48="Nested Steel Stud (wood infill)",VLOOKUP(INDEX(CF47:CF58,CI54),SSW,2,FALSE),VLOOKUP(INDEX(CF47:CF58,CI54),SSM,2,FALSE)),"----")</f>
        <v>----</v>
      </c>
      <c r="CK54" s="691" t="e">
        <f t="shared" ca="1" si="109"/>
        <v>#N/A</v>
      </c>
      <c r="CL54" s="4" t="e">
        <f ca="1">IF(AND(INDEX(WSM,CK54,4)&gt;=$AB47,INDEX(WSM,CK54,5)&gt;=$S47,INDEX(WSM,CK54,6)&gt;=$R47),1,0)</f>
        <v>#N/A</v>
      </c>
      <c r="CM54" s="4" t="e">
        <f t="shared" ref="CM54" ca="1" si="223">MATCH(1,OFFSET(CL47:CL58,CN53,0,COUNT(CL47:CL58)-CN53),0)</f>
        <v>#REF!</v>
      </c>
      <c r="CN54" s="4" t="e">
        <f t="shared" ca="1" si="111"/>
        <v>#REF!</v>
      </c>
      <c r="CO54" s="692" t="str">
        <f ca="1">IFERROR(VLOOKUP(INDEX(CK47:CK58,CN54),WSM,2,FALSE),"----")</f>
        <v>----</v>
      </c>
      <c r="CP54" s="691" t="e">
        <f t="shared" ca="1" si="112"/>
        <v>#N/A</v>
      </c>
      <c r="CQ54" s="4" t="e">
        <f ca="1">IF(AND(INDEX(STM,CP54,4)&gt;=$AB47,INDEX(STM,CP54,5)&gt;=$S47,INDEX(STM,CP54,6)&gt;=$R47),1,0)</f>
        <v>#N/A</v>
      </c>
      <c r="CR54" s="4" t="e">
        <f t="shared" ref="CR54" ca="1" si="224">MATCH(1,OFFSET(CQ47:CQ58,CS53,0,COUNT(CQ47:CQ58)-CS53),0)</f>
        <v>#REF!</v>
      </c>
      <c r="CS54" s="4" t="e">
        <f t="shared" ca="1" si="114"/>
        <v>#REF!</v>
      </c>
      <c r="CT54" s="692" t="str">
        <f ca="1">IFERROR(VLOOKUP(INDEX(CP47:CP58,CS54),STM,2,FALSE),"----")</f>
        <v>----</v>
      </c>
      <c r="CU54" s="691" t="e">
        <f t="shared" ca="1" si="115"/>
        <v>#N/A</v>
      </c>
      <c r="CV54" s="4" t="e">
        <f ca="1">IF(AND(INDEX(ELM,CU54,4)&gt;=$AB47,INDEX(ELM,CU54,5)&gt;=$S47,INDEX(ELM,CU54,6)&gt;=$R47),1,0)</f>
        <v>#N/A</v>
      </c>
      <c r="CW54" s="4" t="e">
        <f t="shared" ref="CW54" ca="1" si="225">MATCH(1,OFFSET(CV47:CV58,CX53,0,COUNT(CV47:CV58)-CX53),0)</f>
        <v>#REF!</v>
      </c>
      <c r="CX54" s="4" t="e">
        <f t="shared" ca="1" si="117"/>
        <v>#REF!</v>
      </c>
      <c r="CY54" s="692" t="str">
        <f ca="1">IFERROR(VLOOKUP(INDEX(CU47:CU58,CX54),ELM,2,FALSE),"----")</f>
        <v>----</v>
      </c>
      <c r="CZ54" s="691" t="e">
        <f t="shared" ca="1" si="118"/>
        <v>#N/A</v>
      </c>
      <c r="DA54" s="4" t="e">
        <f ca="1">IF(LEFT($J47,7)="Clad Wo",IF(AND(INDEX(SPPWS,CZ54,4)&gt;=$AB47,INDEX(SPPWS,CZ54,5)&gt;=$S47,INDEX(SPPWS,CZ54,6)&gt;=$R47),1,0),IF(AND(INDEX(SPM,CZ54,4)&gt;=$AB47,INDEX(SPM,CZ54,5)&gt;=$S47,INDEX(SPM,CZ54,6)&gt;=$R47),1,0))</f>
        <v>#N/A</v>
      </c>
      <c r="DB54" s="4" t="e">
        <f t="shared" ref="DB54" ca="1" si="226">MATCH(1,OFFSET(DA47:DA58,DC53,0,COUNT(DA47:DA58)-DC53),0)</f>
        <v>#REF!</v>
      </c>
      <c r="DC54" s="4" t="e">
        <f t="shared" ca="1" si="120"/>
        <v>#REF!</v>
      </c>
      <c r="DD54" s="693" t="str">
        <f ca="1">IF(LEFT($J47,7)="Clad Wo",IFERROR(VLOOKUP(INDEX(CZ47:CZ58,DC54),SPPWS,2,FALSE),"----"),IFERROR(VLOOKUP(INDEX(CZ47:CZ58,DC54),SPM,2,FALSE),"----"))</f>
        <v>----</v>
      </c>
      <c r="DE54" s="691" t="e">
        <f t="shared" ca="1" si="121"/>
        <v>#REF!</v>
      </c>
      <c r="DF54" s="4" t="e" cm="1">
        <f t="array" aca="1" ref="DF54" ca="1">IF(AND(INDEX(INDIRECT(BY47),DE54,4)&gt;=$AB53,INDEX(INDIRECT(BY47),DE54,5)&gt;=$S47,INDEX(INDIRECT(BY47),DE54,6)&gt;=$R47),1,0)</f>
        <v>#REF!</v>
      </c>
      <c r="DG54" s="4" t="e">
        <f t="shared" ref="DG54" ca="1" si="227">MATCH(1,OFFSET(DF47:DF58,DH53,0,COUNT(DF47:DF58)-DH53),0)</f>
        <v>#REF!</v>
      </c>
      <c r="DH54" s="4" t="e">
        <f t="shared" ca="1" si="123"/>
        <v>#REF!</v>
      </c>
      <c r="DI54" s="692" t="str" cm="1">
        <f t="array" aca="1" ref="DI54" ca="1">IFERROR(VLOOKUP(INDEX(DE47:DE58,DH54),INDIRECT(BY47),2,FALSE),"----")</f>
        <v>----</v>
      </c>
      <c r="DJ54" s="691" t="e">
        <f t="shared" ca="1" si="124"/>
        <v>#N/A</v>
      </c>
      <c r="DK54" s="4" t="e">
        <f ca="1">IF(AND(INDEX(SSM,DJ54,4)&gt;=$AB53,INDEX(SSM,DJ54,5)&gt;=$S47,INDEX(SSM,DJ54,6)&gt;=$R47),1,0)</f>
        <v>#N/A</v>
      </c>
      <c r="DL54" s="4" t="e">
        <f t="shared" ref="DL54" ca="1" si="228">MATCH(1,OFFSET(DK47:DK58,DM53,0,COUNT(DK47:DK58)-DM53),0)</f>
        <v>#REF!</v>
      </c>
      <c r="DM54" s="4" t="e">
        <f t="shared" ca="1" si="126"/>
        <v>#REF!</v>
      </c>
      <c r="DN54" s="692" t="str">
        <f ca="1">IFERROR(IF(AD54="Nested Steel Stud (wood infill)",VLOOKUP(INDEX(DJ47:DJ58,DM54),SSW,2,FALSE),VLOOKUP(INDEX(DJ47:DJ58,DM54),SSM,2,FALSE)),"----")</f>
        <v>----</v>
      </c>
      <c r="DO54" s="691" t="e">
        <f t="shared" ca="1" si="127"/>
        <v>#N/A</v>
      </c>
      <c r="DP54" s="4" t="e">
        <f ca="1">IF(AND(INDEX(WSM,DO54,4)&gt;=$AB53,INDEX(WSM,DO54,5)&gt;=$S47,INDEX(WSM,DO54,6)&gt;=$R47),1,0)</f>
        <v>#N/A</v>
      </c>
      <c r="DQ54" s="4" t="e">
        <f t="shared" ref="DQ54" ca="1" si="229">MATCH(1,OFFSET(DP47:DP58,DR53,0,COUNT(DP47:DP58)-DR53),0)</f>
        <v>#REF!</v>
      </c>
      <c r="DR54" s="4" t="e">
        <f t="shared" ca="1" si="129"/>
        <v>#REF!</v>
      </c>
      <c r="DS54" s="692" t="str">
        <f ca="1">IFERROR(VLOOKUP(INDEX(DO47:DO58,DR54),WSM,2,FALSE),"----")</f>
        <v>----</v>
      </c>
      <c r="DT54" s="691" t="e">
        <f t="shared" ca="1" si="130"/>
        <v>#N/A</v>
      </c>
      <c r="DU54" s="4" t="e">
        <f ca="1">IF(AND(INDEX(STM,DT54,4)&gt;=$AB53,INDEX(STM,DT54,5)&gt;=$S47,INDEX(STM,DT54,6)&gt;=$R47),1,0)</f>
        <v>#N/A</v>
      </c>
      <c r="DV54" s="4" t="e">
        <f t="shared" ref="DV54" ca="1" si="230">MATCH(1,OFFSET(DU47:DU58,DW53,0,COUNT(DU47:DU58)-DW53),0)</f>
        <v>#REF!</v>
      </c>
      <c r="DW54" s="4" t="e">
        <f t="shared" ca="1" si="132"/>
        <v>#REF!</v>
      </c>
      <c r="DX54" s="692" t="str">
        <f ca="1">IFERROR(VLOOKUP(INDEX(DT47:DT58,DW54),STM,2,FALSE),"----")</f>
        <v>----</v>
      </c>
      <c r="DY54" s="691" t="e">
        <f t="shared" ca="1" si="133"/>
        <v>#N/A</v>
      </c>
      <c r="DZ54" s="4" t="e">
        <f ca="1">IF(AND(INDEX(ELM,DY54,4)&gt;=$AB53,INDEX(ELM,DY54,5)&gt;=$S47,INDEX(ELM,DY54,6)&gt;=$R47),1,0)</f>
        <v>#N/A</v>
      </c>
      <c r="EA54" s="4" t="e">
        <f t="shared" ref="EA54" ca="1" si="231">MATCH(1,OFFSET(DZ47:DZ58,EB53,0,COUNT(DZ47:DZ58)-EB53),0)</f>
        <v>#REF!</v>
      </c>
      <c r="EB54" s="4" t="e">
        <f t="shared" ca="1" si="135"/>
        <v>#REF!</v>
      </c>
      <c r="EC54" s="692" t="str">
        <f ca="1">IFERROR(VLOOKUP(INDEX(DY47:DY58,EB54),ELM,2,FALSE),"----")</f>
        <v>----</v>
      </c>
      <c r="ED54" s="691" t="e">
        <f t="shared" ca="1" si="136"/>
        <v>#N/A</v>
      </c>
      <c r="EE54" s="4" t="e">
        <f ca="1">IF(LEFT($J47,7)="Clad Wo",IF(AND(INDEX(SPPWS,ED54,4)&gt;=$AB53,INDEX(SPPWS,ED54,5)&gt;=$S47,INDEX(SPPWS,ED54,6)&gt;=$R47),1,0),IF(AND(INDEX(SPM,ED54,4)&gt;=$AB53,INDEX(SPM,ED54,5)&gt;=$S47,INDEX(SPM,ED54,6)&gt;=$R47),1,0))</f>
        <v>#N/A</v>
      </c>
      <c r="EF54" s="4" t="e">
        <f t="shared" ref="EF54" ca="1" si="232">MATCH(1,OFFSET(EE47:EE58,EG53,0,COUNT(EE47:EE58)-EG53),0)</f>
        <v>#REF!</v>
      </c>
      <c r="EG54" s="4" t="e">
        <f t="shared" ca="1" si="138"/>
        <v>#REF!</v>
      </c>
      <c r="EH54" s="692" t="str">
        <f ca="1">IF(LEFT($J47,7)="Clad Wo",IFERROR(VLOOKUP(INDEX(ED47:ED58,EG54),SPPWS,2,FALSE),"----"),IFERROR(VLOOKUP(INDEX(ED47:ED58,EG54),SPM,2,FALSE),"----"))</f>
        <v>----</v>
      </c>
    </row>
    <row r="55" spans="1:138" ht="15" customHeight="1" x14ac:dyDescent="0.25">
      <c r="A55" s="1085"/>
      <c r="B55" s="925"/>
      <c r="C55" s="926"/>
      <c r="D55" s="927"/>
      <c r="E55" s="995"/>
      <c r="F55" s="996"/>
      <c r="G55" s="997"/>
      <c r="H55" s="1062"/>
      <c r="I55" s="990"/>
      <c r="J55" s="902"/>
      <c r="K55" s="903"/>
      <c r="L55" s="1002"/>
      <c r="M55" s="923"/>
      <c r="N55" s="1042"/>
      <c r="O55" s="1018"/>
      <c r="P55" s="987"/>
      <c r="Q55" s="1015"/>
      <c r="R55" s="1012"/>
      <c r="S55" s="1006"/>
      <c r="T55" s="1007"/>
      <c r="U55" s="878"/>
      <c r="V55" s="881"/>
      <c r="W55" s="884"/>
      <c r="X55" s="884"/>
      <c r="Y55" s="887"/>
      <c r="Z55" s="887"/>
      <c r="AA55" s="887"/>
      <c r="AB55" s="1081"/>
      <c r="AC55" s="1078"/>
      <c r="AD55" s="1070" t="str">
        <f t="shared" ref="AD55:AD117" si="233">AD49</f>
        <v>Wood Stud Framing</v>
      </c>
      <c r="AE55" s="1071"/>
      <c r="AF55" s="1052"/>
      <c r="AG55" s="1053"/>
      <c r="AH55" s="1053"/>
      <c r="AI55" s="1066"/>
      <c r="AJ55" s="1067"/>
      <c r="AK55" s="156" t="str">
        <f t="shared" ca="1" si="62"/>
        <v/>
      </c>
      <c r="AL55" s="1059"/>
      <c r="AM55" s="344" t="str">
        <f ca="1">IFERROR(Q47/12*ROUND(VLOOKUP(AF55,OFFSET(WSM,0,1),6,FALSE),2),"")</f>
        <v/>
      </c>
      <c r="AN55" t="str">
        <f t="shared" ca="1" si="5"/>
        <v/>
      </c>
      <c r="AP55" s="122" t="str">
        <f t="shared" ref="AP55" si="234">_xlfn.CONCAT(AR55,AS58)</f>
        <v/>
      </c>
      <c r="AQ55" s="683" t="str">
        <f t="shared" si="65"/>
        <v/>
      </c>
      <c r="AR55" s="4" t="str">
        <f t="shared" si="3"/>
        <v/>
      </c>
      <c r="AS55" s="4"/>
      <c r="AT55" s="697" t="str">
        <f>AL53</f>
        <v/>
      </c>
      <c r="AU55" s="694" t="e">
        <f t="shared" ca="1" si="91"/>
        <v>#REF!</v>
      </c>
      <c r="AV55" s="686" t="str">
        <f ca="1">IFERROR(VLOOKUP(AU55,INDIRECT(AQ47),2,FALSE),"----")</f>
        <v>----</v>
      </c>
      <c r="AW55" s="694" t="e">
        <f t="shared" ca="1" si="92"/>
        <v>#REF!</v>
      </c>
      <c r="AX55" s="686" t="str">
        <f ca="1">IFERROR(VLOOKUP(AW55,INDIRECT(AQ48),2,FALSE),"----")</f>
        <v>----</v>
      </c>
      <c r="AY55" s="694" t="e">
        <f t="shared" ca="1" si="184"/>
        <v>#REF!</v>
      </c>
      <c r="AZ55" s="686" t="str">
        <f ca="1">IFERROR(VLOOKUP(AY55,INDIRECT(AQ49),2,FALSE),"----")</f>
        <v>----</v>
      </c>
      <c r="BA55" s="694" t="e">
        <f t="shared" ca="1" si="185"/>
        <v>#REF!</v>
      </c>
      <c r="BB55" s="686" t="str">
        <f ca="1">IFERROR(VLOOKUP(BA55,INDIRECT(AQ50),2,FALSE),"----")</f>
        <v>----</v>
      </c>
      <c r="BC55" s="694" t="e">
        <f t="shared" ca="1" si="95"/>
        <v>#REF!</v>
      </c>
      <c r="BD55" s="686" t="str">
        <f ca="1">IFERROR(VLOOKUP(BC55,INDIRECT(AQ51),2,FALSE),"----")</f>
        <v>----</v>
      </c>
      <c r="BE55" s="694" t="e">
        <f t="shared" ca="1" si="96"/>
        <v>#REF!</v>
      </c>
      <c r="BF55" s="686" t="str">
        <f ca="1">IFERROR(VLOOKUP(BE55,INDIRECT(AQ52),2,FALSE),"----")</f>
        <v>----</v>
      </c>
      <c r="BG55" s="702" t="e">
        <f t="shared" ca="1" si="97"/>
        <v>#REF!</v>
      </c>
      <c r="BH55" s="686" t="str">
        <f ca="1">IFERROR(VLOOKUP(BG55,INDIRECT(AQ53),2,FALSE),"----")</f>
        <v>----</v>
      </c>
      <c r="BI55" s="702" t="e">
        <f t="shared" ca="1" si="98"/>
        <v>#REF!</v>
      </c>
      <c r="BJ55" s="686" t="str">
        <f ca="1">IFERROR(VLOOKUP(BI55,INDIRECT(AQ54),2,FALSE),"----")</f>
        <v>----</v>
      </c>
      <c r="BK55" s="702" t="e">
        <f t="shared" ca="1" si="99"/>
        <v>#REF!</v>
      </c>
      <c r="BL55" s="686" t="str">
        <f ca="1">IFERROR(VLOOKUP(BK55,INDIRECT(AQ55),2,FALSE),"----")</f>
        <v>----</v>
      </c>
      <c r="BM55" s="702" t="e">
        <f t="shared" ca="1" si="100"/>
        <v>#REF!</v>
      </c>
      <c r="BN55" s="686" t="str">
        <f ca="1">IFERROR(VLOOKUP(BM55,INDIRECT(AQ56),2,FALSE),"----")</f>
        <v>----</v>
      </c>
      <c r="BO55" s="702" t="e">
        <f t="shared" ca="1" si="101"/>
        <v>#REF!</v>
      </c>
      <c r="BP55" s="686" t="str">
        <f ca="1">IFERROR(VLOOKUP(BO55,INDIRECT(AQ57),2,FALSE),"----")</f>
        <v>----</v>
      </c>
      <c r="BQ55" s="702" t="e">
        <f t="shared" ca="1" si="102"/>
        <v>#REF!</v>
      </c>
      <c r="BR55" s="686" t="str">
        <f ca="1">IFERROR(VLOOKUP(BQ55,INDIRECT(AQ58),2,FALSE),"----")</f>
        <v>----</v>
      </c>
      <c r="BS55" s="695">
        <f>IF(AI55="",1,IF(COUNTIF(BL47:BL58,AI55)=0,2,1))</f>
        <v>1</v>
      </c>
      <c r="BT55" s="696">
        <f>IF(AF55="",1,IF(BL47=".",2,1))</f>
        <v>1</v>
      </c>
      <c r="BU55" s="706"/>
      <c r="BV55" s="155">
        <f ca="1">IF(COUNTIF(DS47:DS58,AF55)=0,IF(AF55&lt;&gt;"",0,1),1)</f>
        <v>1</v>
      </c>
      <c r="BW55" s="157">
        <f ca="1">IFERROR(MATCH(AF55,DS47:DS58,0),1)</f>
        <v>1</v>
      </c>
      <c r="BX55" s="769" t="e">
        <f t="shared" ref="BX55" si="235">5*E47^3*W47/(384*X47)</f>
        <v>#VALUE!</v>
      </c>
      <c r="BY55" s="769" t="e">
        <f t="shared" ref="BY55" si="236">W47*E47^3/(60*X47)</f>
        <v>#VALUE!</v>
      </c>
      <c r="BZ55" s="1110"/>
      <c r="CA55" s="691" t="e">
        <f t="shared" ca="1" si="103"/>
        <v>#REF!</v>
      </c>
      <c r="CB55" s="4" t="e" cm="1">
        <f t="array" aca="1" ref="CB55" ca="1">IF(AND(INDEX(INDIRECT(BY47),CA55,4)&gt;=$AB47,INDEX(INDIRECT(BY47),CA55,5)&gt;=$S47,INDEX(INDIRECT(BY47),CA55,6)&gt;=$R47),1,0)</f>
        <v>#REF!</v>
      </c>
      <c r="CC55" s="4" t="e">
        <f t="shared" ref="CC55" ca="1" si="237">MATCH(1,OFFSET(CB47:CB58,CD54,0,COUNT(CB47:CB58)-CD54),0)</f>
        <v>#REF!</v>
      </c>
      <c r="CD55" s="4" t="e">
        <f t="shared" ca="1" si="105"/>
        <v>#REF!</v>
      </c>
      <c r="CE55" s="692" t="str" cm="1">
        <f t="array" aca="1" ref="CE55" ca="1">IFERROR(VLOOKUP(INDEX(CA47:CA58,CD55),INDIRECT(BY47),2,FALSE),"----")</f>
        <v>----</v>
      </c>
      <c r="CF55" s="691" t="e">
        <f t="shared" ca="1" si="106"/>
        <v>#N/A</v>
      </c>
      <c r="CG55" s="4" t="e">
        <f ca="1">IF(AND(INDEX(SSM,CF55,4)&gt;=$AB47,INDEX(SSM,CF55,5)&gt;=$S47,INDEX(SSM,CF55,6)&gt;=$R47),1,0)</f>
        <v>#N/A</v>
      </c>
      <c r="CH55" s="4" t="e">
        <f t="shared" ref="CH55" ca="1" si="238">MATCH(1,OFFSET(CG47:CG58,CI54,0,COUNT(CG47:CG58)-CI54),0)</f>
        <v>#REF!</v>
      </c>
      <c r="CI55" s="4" t="e">
        <f t="shared" ca="1" si="108"/>
        <v>#REF!</v>
      </c>
      <c r="CJ55" s="692" t="str">
        <f ca="1">IFERROR(IF(AD48="Nested Steel Stud (wood infill)",VLOOKUP(INDEX(CF47:CF58,CI55),SSW,2,FALSE),VLOOKUP(INDEX(CF47:CF58,CI55),SSM,2,FALSE)),"----")</f>
        <v>----</v>
      </c>
      <c r="CK55" s="691" t="e">
        <f t="shared" ca="1" si="109"/>
        <v>#N/A</v>
      </c>
      <c r="CL55" s="4" t="e">
        <f ca="1">IF(AND(INDEX(WSM,CK55,4)&gt;=$AB47,INDEX(WSM,CK55,5)&gt;=$S47,INDEX(WSM,CK55,6)&gt;=$R47),1,0)</f>
        <v>#N/A</v>
      </c>
      <c r="CM55" s="4" t="e">
        <f t="shared" ref="CM55" ca="1" si="239">MATCH(1,OFFSET(CL47:CL58,CN54,0,COUNT(CL47:CL58)-CN54),0)</f>
        <v>#REF!</v>
      </c>
      <c r="CN55" s="4" t="e">
        <f t="shared" ca="1" si="111"/>
        <v>#REF!</v>
      </c>
      <c r="CO55" s="692" t="str">
        <f ca="1">IFERROR(VLOOKUP(INDEX(CK47:CK58,CN55),WSM,2,FALSE),"----")</f>
        <v>----</v>
      </c>
      <c r="CP55" s="691" t="e">
        <f t="shared" ca="1" si="112"/>
        <v>#N/A</v>
      </c>
      <c r="CQ55" s="4" t="e">
        <f ca="1">IF(AND(INDEX(STM,CP55,4)&gt;=$AB47,INDEX(STM,CP55,5)&gt;=$S47,INDEX(STM,CP55,6)&gt;=$R47),1,0)</f>
        <v>#N/A</v>
      </c>
      <c r="CR55" s="4" t="e">
        <f t="shared" ref="CR55" ca="1" si="240">MATCH(1,OFFSET(CQ47:CQ58,CS54,0,COUNT(CQ47:CQ58)-CS54),0)</f>
        <v>#REF!</v>
      </c>
      <c r="CS55" s="4" t="e">
        <f t="shared" ca="1" si="114"/>
        <v>#REF!</v>
      </c>
      <c r="CT55" s="692" t="str">
        <f ca="1">IFERROR(VLOOKUP(INDEX(CP47:CP58,CS55),STM,2,FALSE),"----")</f>
        <v>----</v>
      </c>
      <c r="CU55" s="691" t="e">
        <f t="shared" ca="1" si="115"/>
        <v>#N/A</v>
      </c>
      <c r="CV55" s="4" t="e">
        <f ca="1">IF(AND(INDEX(ELM,CU55,4)&gt;=$AB47,INDEX(ELM,CU55,5)&gt;=$S47,INDEX(ELM,CU55,6)&gt;=$R47),1,0)</f>
        <v>#N/A</v>
      </c>
      <c r="CW55" s="4" t="e">
        <f t="shared" ref="CW55" ca="1" si="241">MATCH(1,OFFSET(CV47:CV58,CX54,0,COUNT(CV47:CV58)-CX54),0)</f>
        <v>#REF!</v>
      </c>
      <c r="CX55" s="4" t="e">
        <f t="shared" ca="1" si="117"/>
        <v>#REF!</v>
      </c>
      <c r="CY55" s="692" t="str">
        <f ca="1">IFERROR(VLOOKUP(INDEX(CU47:CU58,CX55),ELM,2,FALSE),"----")</f>
        <v>----</v>
      </c>
      <c r="CZ55" s="691" t="e">
        <f t="shared" ca="1" si="118"/>
        <v>#N/A</v>
      </c>
      <c r="DA55" s="4" t="e">
        <f ca="1">IF(LEFT($J47,7)="Clad Wo",IF(AND(INDEX(SPPWS,CZ55,4)&gt;=$AB47,INDEX(SPPWS,CZ55,5)&gt;=$S47,INDEX(SPPWS,CZ55,6)&gt;=$R47),1,0),IF(AND(INDEX(SPM,CZ55,4)&gt;=$AB47,INDEX(SPM,CZ55,5)&gt;=$S47,INDEX(SPM,CZ55,6)&gt;=$R47),1,0))</f>
        <v>#N/A</v>
      </c>
      <c r="DB55" s="4" t="e">
        <f t="shared" ref="DB55" ca="1" si="242">MATCH(1,OFFSET(DA47:DA58,DC54,0,COUNT(DA47:DA58)-DC54),0)</f>
        <v>#REF!</v>
      </c>
      <c r="DC55" s="4" t="e">
        <f t="shared" ca="1" si="120"/>
        <v>#REF!</v>
      </c>
      <c r="DD55" s="693" t="str">
        <f ca="1">IF(LEFT($J47,7)="Clad Wo",IFERROR(VLOOKUP(INDEX(CZ47:CZ58,DC55),SPPWS,2,FALSE),"----"),IFERROR(VLOOKUP(INDEX(CZ47:CZ58,DC55),SPM,2,FALSE),"----"))</f>
        <v>----</v>
      </c>
      <c r="DE55" s="691" t="e">
        <f t="shared" ca="1" si="121"/>
        <v>#REF!</v>
      </c>
      <c r="DF55" s="4" t="e" cm="1">
        <f t="array" aca="1" ref="DF55" ca="1">IF(AND(INDEX(INDIRECT(BY47),DE55,4)&gt;=$AB53,INDEX(INDIRECT(BY47),DE55,5)&gt;=$S47,INDEX(INDIRECT(BY47),DE55,6)&gt;=$R47),1,0)</f>
        <v>#REF!</v>
      </c>
      <c r="DG55" s="4" t="e">
        <f t="shared" ref="DG55" ca="1" si="243">MATCH(1,OFFSET(DF47:DF58,DH54,0,COUNT(DF47:DF58)-DH54),0)</f>
        <v>#REF!</v>
      </c>
      <c r="DH55" s="4" t="e">
        <f t="shared" ca="1" si="123"/>
        <v>#REF!</v>
      </c>
      <c r="DI55" s="692" t="str" cm="1">
        <f t="array" aca="1" ref="DI55" ca="1">IFERROR(VLOOKUP(INDEX(DE47:DE58,DH55),INDIRECT(BY47),2,FALSE),"----")</f>
        <v>----</v>
      </c>
      <c r="DJ55" s="691" t="e">
        <f t="shared" ca="1" si="124"/>
        <v>#N/A</v>
      </c>
      <c r="DK55" s="4" t="e">
        <f ca="1">IF(AND(INDEX(SSM,DJ55,4)&gt;=$AB53,INDEX(SSM,DJ55,5)&gt;=$S47,INDEX(SSM,DJ55,6)&gt;=$R47),1,0)</f>
        <v>#N/A</v>
      </c>
      <c r="DL55" s="4" t="e">
        <f t="shared" ref="DL55" ca="1" si="244">MATCH(1,OFFSET(DK47:DK58,DM54,0,COUNT(DK47:DK58)-DM54),0)</f>
        <v>#REF!</v>
      </c>
      <c r="DM55" s="4" t="e">
        <f t="shared" ca="1" si="126"/>
        <v>#REF!</v>
      </c>
      <c r="DN55" s="692" t="str">
        <f ca="1">IFERROR(IF(AD54="Nested Steel Stud (wood infill)",VLOOKUP(INDEX(DJ47:DJ58,DM55),SSW,2,FALSE),VLOOKUP(INDEX(DJ47:DJ58,DM55),SSM,2,FALSE)),"----")</f>
        <v>----</v>
      </c>
      <c r="DO55" s="691" t="e">
        <f t="shared" ca="1" si="127"/>
        <v>#N/A</v>
      </c>
      <c r="DP55" s="4" t="e">
        <f ca="1">IF(AND(INDEX(WSM,DO55,4)&gt;=$AB53,INDEX(WSM,DO55,5)&gt;=$S47,INDEX(WSM,DO55,6)&gt;=$R47),1,0)</f>
        <v>#N/A</v>
      </c>
      <c r="DQ55" s="4" t="e">
        <f t="shared" ref="DQ55" ca="1" si="245">MATCH(1,OFFSET(DP47:DP58,DR54,0,COUNT(DP47:DP58)-DR54),0)</f>
        <v>#REF!</v>
      </c>
      <c r="DR55" s="4" t="e">
        <f t="shared" ca="1" si="129"/>
        <v>#REF!</v>
      </c>
      <c r="DS55" s="692" t="str">
        <f ca="1">IFERROR(VLOOKUP(INDEX(DO47:DO58,DR55),WSM,2,FALSE),"----")</f>
        <v>----</v>
      </c>
      <c r="DT55" s="691" t="e">
        <f t="shared" ca="1" si="130"/>
        <v>#N/A</v>
      </c>
      <c r="DU55" s="4" t="e">
        <f ca="1">IF(AND(INDEX(STM,DT55,4)&gt;=$AB53,INDEX(STM,DT55,5)&gt;=$S47,INDEX(STM,DT55,6)&gt;=$R47),1,0)</f>
        <v>#N/A</v>
      </c>
      <c r="DV55" s="4" t="e">
        <f t="shared" ref="DV55" ca="1" si="246">MATCH(1,OFFSET(DU47:DU58,DW54,0,COUNT(DU47:DU58)-DW54),0)</f>
        <v>#REF!</v>
      </c>
      <c r="DW55" s="4" t="e">
        <f t="shared" ca="1" si="132"/>
        <v>#REF!</v>
      </c>
      <c r="DX55" s="692" t="str">
        <f ca="1">IFERROR(VLOOKUP(INDEX(DT47:DT58,DW55),STM,2,FALSE),"----")</f>
        <v>----</v>
      </c>
      <c r="DY55" s="691" t="e">
        <f t="shared" ca="1" si="133"/>
        <v>#N/A</v>
      </c>
      <c r="DZ55" s="4" t="e">
        <f ca="1">IF(AND(INDEX(ELM,DY55,4)&gt;=$AB53,INDEX(ELM,DY55,5)&gt;=$S47,INDEX(ELM,DY55,6)&gt;=$R47),1,0)</f>
        <v>#N/A</v>
      </c>
      <c r="EA55" s="4" t="e">
        <f t="shared" ref="EA55" ca="1" si="247">MATCH(1,OFFSET(DZ47:DZ58,EB54,0,COUNT(DZ47:DZ58)-EB54),0)</f>
        <v>#REF!</v>
      </c>
      <c r="EB55" s="4" t="e">
        <f t="shared" ca="1" si="135"/>
        <v>#REF!</v>
      </c>
      <c r="EC55" s="692" t="str">
        <f ca="1">IFERROR(VLOOKUP(INDEX(DY47:DY58,EB55),ELM,2,FALSE),"----")</f>
        <v>----</v>
      </c>
      <c r="ED55" s="691" t="e">
        <f t="shared" ca="1" si="136"/>
        <v>#N/A</v>
      </c>
      <c r="EE55" s="4" t="e">
        <f ca="1">IF(LEFT($J47,7)="Clad Wo",IF(AND(INDEX(SPPWS,ED55,4)&gt;=$AB53,INDEX(SPPWS,ED55,5)&gt;=$S47,INDEX(SPPWS,ED55,6)&gt;=$R47),1,0),IF(AND(INDEX(SPM,ED55,4)&gt;=$AB53,INDEX(SPM,ED55,5)&gt;=$S47,INDEX(SPM,ED55,6)&gt;=$R47),1,0))</f>
        <v>#N/A</v>
      </c>
      <c r="EF55" s="4" t="e">
        <f t="shared" ref="EF55" ca="1" si="248">MATCH(1,OFFSET(EE47:EE58,EG54,0,COUNT(EE47:EE58)-EG54),0)</f>
        <v>#REF!</v>
      </c>
      <c r="EG55" s="4" t="e">
        <f t="shared" ca="1" si="138"/>
        <v>#REF!</v>
      </c>
      <c r="EH55" s="692" t="str">
        <f ca="1">IF(LEFT($J47,7)="Clad Wo",IFERROR(VLOOKUP(INDEX(ED47:ED58,EG55),SPPWS,2,FALSE),"----"),IFERROR(VLOOKUP(INDEX(ED47:ED58,EG55),SPM,2,FALSE),"----"))</f>
        <v>----</v>
      </c>
    </row>
    <row r="56" spans="1:138" ht="15" customHeight="1" x14ac:dyDescent="0.25">
      <c r="A56" s="1085"/>
      <c r="B56" s="925"/>
      <c r="C56" s="926"/>
      <c r="D56" s="927"/>
      <c r="E56" s="995"/>
      <c r="F56" s="996"/>
      <c r="G56" s="997"/>
      <c r="H56" s="1062"/>
      <c r="I56" s="990"/>
      <c r="J56" s="902"/>
      <c r="K56" s="903"/>
      <c r="L56" s="1002"/>
      <c r="M56" s="923"/>
      <c r="N56" s="1042"/>
      <c r="O56" s="1018"/>
      <c r="P56" s="987"/>
      <c r="Q56" s="1015"/>
      <c r="R56" s="1012"/>
      <c r="S56" s="1006"/>
      <c r="T56" s="1007"/>
      <c r="U56" s="878"/>
      <c r="V56" s="881"/>
      <c r="W56" s="884"/>
      <c r="X56" s="884"/>
      <c r="Y56" s="887"/>
      <c r="Z56" s="887"/>
      <c r="AA56" s="887"/>
      <c r="AB56" s="1081"/>
      <c r="AC56" s="1078"/>
      <c r="AD56" s="1070" t="str">
        <f t="shared" si="233"/>
        <v>Steel Tube</v>
      </c>
      <c r="AE56" s="1071"/>
      <c r="AF56" s="1052"/>
      <c r="AG56" s="1053"/>
      <c r="AH56" s="1053"/>
      <c r="AI56" s="1066"/>
      <c r="AJ56" s="1067"/>
      <c r="AK56" s="156" t="str">
        <f t="shared" ca="1" si="62"/>
        <v/>
      </c>
      <c r="AL56" s="1059"/>
      <c r="AM56" s="343" t="str">
        <f ca="1">IFERROR(Q47/12*ROUND(VLOOKUP(AF56,OFFSET(STM,0,1),6,FALSE),2),"")</f>
        <v/>
      </c>
      <c r="AN56" t="str">
        <f t="shared" ca="1" si="5"/>
        <v/>
      </c>
      <c r="AP56" s="122" t="str">
        <f t="shared" ref="AP56" si="249">_xlfn.CONCAT(AR56,AS58)</f>
        <v/>
      </c>
      <c r="AQ56" s="683" t="str">
        <f t="shared" si="65"/>
        <v/>
      </c>
      <c r="AR56" s="4" t="str">
        <f t="shared" si="3"/>
        <v/>
      </c>
      <c r="AS56" s="4"/>
      <c r="AT56" s="697" t="str">
        <f>AL53</f>
        <v/>
      </c>
      <c r="AU56" s="694" t="e">
        <f t="shared" ca="1" si="91"/>
        <v>#REF!</v>
      </c>
      <c r="AV56" s="686" t="str">
        <f ca="1">IFERROR(VLOOKUP(AU56,INDIRECT(AQ47),2,FALSE),"----")</f>
        <v>----</v>
      </c>
      <c r="AW56" s="694" t="e">
        <f t="shared" ca="1" si="92"/>
        <v>#REF!</v>
      </c>
      <c r="AX56" s="686" t="str">
        <f ca="1">IFERROR(VLOOKUP(AW56,INDIRECT(AQ48),2,FALSE),"----")</f>
        <v>----</v>
      </c>
      <c r="AY56" s="694" t="e">
        <f t="shared" ca="1" si="184"/>
        <v>#REF!</v>
      </c>
      <c r="AZ56" s="686" t="str">
        <f ca="1">IFERROR(VLOOKUP(AY56,INDIRECT(AQ49),2,FALSE),"----")</f>
        <v>----</v>
      </c>
      <c r="BA56" s="694" t="e">
        <f t="shared" ca="1" si="185"/>
        <v>#REF!</v>
      </c>
      <c r="BB56" s="686" t="str">
        <f ca="1">IFERROR(VLOOKUP(BA56,INDIRECT(AQ50),2,FALSE),"----")</f>
        <v>----</v>
      </c>
      <c r="BC56" s="694" t="e">
        <f t="shared" ca="1" si="95"/>
        <v>#REF!</v>
      </c>
      <c r="BD56" s="686" t="str">
        <f ca="1">IFERROR(VLOOKUP(BC56,INDIRECT(AQ51),2,FALSE),"----")</f>
        <v>----</v>
      </c>
      <c r="BE56" s="694" t="e">
        <f t="shared" ca="1" si="96"/>
        <v>#REF!</v>
      </c>
      <c r="BF56" s="686" t="str">
        <f ca="1">IFERROR(VLOOKUP(BE56,INDIRECT(AQ52),2,FALSE),"----")</f>
        <v>----</v>
      </c>
      <c r="BG56" s="702" t="e">
        <f t="shared" ca="1" si="97"/>
        <v>#REF!</v>
      </c>
      <c r="BH56" s="686" t="str">
        <f ca="1">IFERROR(VLOOKUP(BG56,INDIRECT(AQ53),2,FALSE),"----")</f>
        <v>----</v>
      </c>
      <c r="BI56" s="702" t="e">
        <f t="shared" ca="1" si="98"/>
        <v>#REF!</v>
      </c>
      <c r="BJ56" s="686" t="str">
        <f ca="1">IFERROR(VLOOKUP(BI56,INDIRECT(AQ54),2,FALSE),"----")</f>
        <v>----</v>
      </c>
      <c r="BK56" s="702" t="e">
        <f t="shared" ca="1" si="99"/>
        <v>#REF!</v>
      </c>
      <c r="BL56" s="686" t="str">
        <f ca="1">IFERROR(VLOOKUP(BK56,INDIRECT(AQ55),2,FALSE),"----")</f>
        <v>----</v>
      </c>
      <c r="BM56" s="702" t="e">
        <f t="shared" ca="1" si="100"/>
        <v>#REF!</v>
      </c>
      <c r="BN56" s="686" t="str">
        <f ca="1">IFERROR(VLOOKUP(BM56,INDIRECT(AQ56),2,FALSE),"----")</f>
        <v>----</v>
      </c>
      <c r="BO56" s="702" t="e">
        <f t="shared" ca="1" si="101"/>
        <v>#REF!</v>
      </c>
      <c r="BP56" s="686" t="str">
        <f ca="1">IFERROR(VLOOKUP(BO56,INDIRECT(AQ57),2,FALSE),"----")</f>
        <v>----</v>
      </c>
      <c r="BQ56" s="702" t="e">
        <f t="shared" ca="1" si="102"/>
        <v>#REF!</v>
      </c>
      <c r="BR56" s="686" t="str">
        <f ca="1">IFERROR(VLOOKUP(BQ56,INDIRECT(AQ58),2,FALSE),"----")</f>
        <v>----</v>
      </c>
      <c r="BS56" s="695">
        <f>IF(AI56="",1,IF(COUNTIF(BN47:BN58,AI56)=0,2,1))</f>
        <v>1</v>
      </c>
      <c r="BT56" s="696">
        <f>IF(AF56="",1,IF(BN47=".",2,1))</f>
        <v>1</v>
      </c>
      <c r="BU56" s="706"/>
      <c r="BV56" s="155">
        <f ca="1">IF(COUNTIF(DX47:DX58,AF56)=0,IF(AF56&lt;&gt;"",0,1),1)</f>
        <v>1</v>
      </c>
      <c r="BW56" s="157">
        <f ca="1">IFERROR(MATCH(AF56,DX47:DX58,0),1)</f>
        <v>1</v>
      </c>
      <c r="BX56" s="769" t="e">
        <f t="shared" ref="BX56" si="250">5*E47^3*W53/(384*X47)</f>
        <v>#VALUE!</v>
      </c>
      <c r="BY56" s="769" t="e">
        <f t="shared" ref="BY56" si="251">E47^3*W53/(60*X47)</f>
        <v>#VALUE!</v>
      </c>
      <c r="BZ56" s="1110"/>
      <c r="CA56" s="691" t="e">
        <f t="shared" ca="1" si="103"/>
        <v>#REF!</v>
      </c>
      <c r="CB56" s="4" t="e" cm="1">
        <f t="array" aca="1" ref="CB56" ca="1">IF(AND(INDEX(INDIRECT(BY47),CA56,4)&gt;=$AB47,INDEX(INDIRECT(BY47),CA56,5)&gt;=$S47,INDEX(INDIRECT(BY47),CA56,6)&gt;=$R47),1,0)</f>
        <v>#REF!</v>
      </c>
      <c r="CC56" s="4" t="e">
        <f t="shared" ref="CC56" ca="1" si="252">MATCH(1,OFFSET(CB47:CB58,CD55,0,COUNT(CB47:CB58)-CD55),0)</f>
        <v>#REF!</v>
      </c>
      <c r="CD56" s="4" t="e">
        <f t="shared" ca="1" si="105"/>
        <v>#REF!</v>
      </c>
      <c r="CE56" s="692" t="str" cm="1">
        <f t="array" aca="1" ref="CE56" ca="1">IFERROR(VLOOKUP(INDEX(CA47:CA58,CD56),INDIRECT(BY47),2,FALSE),"----")</f>
        <v>----</v>
      </c>
      <c r="CF56" s="691" t="e">
        <f t="shared" ca="1" si="106"/>
        <v>#N/A</v>
      </c>
      <c r="CG56" s="4" t="e">
        <f ca="1">IF(AND(INDEX(SSM,CF56,4)&gt;=$AB47,INDEX(SSM,CF56,5)&gt;=$S47,INDEX(SSM,CF56,6)&gt;=$R47),1,0)</f>
        <v>#N/A</v>
      </c>
      <c r="CH56" s="4" t="e">
        <f t="shared" ref="CH56" ca="1" si="253">MATCH(1,OFFSET(CG47:CG58,CI55,0,COUNT(CG47:CG58)-CI55),0)</f>
        <v>#REF!</v>
      </c>
      <c r="CI56" s="4" t="e">
        <f t="shared" ca="1" si="108"/>
        <v>#REF!</v>
      </c>
      <c r="CJ56" s="692" t="str">
        <f ca="1">IFERROR(IF(AD48="Nested Steel Stud (wood infill)",VLOOKUP(INDEX(CF47:CF58,CI56),SSW,2,FALSE),VLOOKUP(INDEX(CF47:CF58,CI56),SSM,2,FALSE)),"----")</f>
        <v>----</v>
      </c>
      <c r="CK56" s="691" t="e">
        <f t="shared" ca="1" si="109"/>
        <v>#N/A</v>
      </c>
      <c r="CL56" s="4" t="e">
        <f ca="1">IF(AND(INDEX(WSM,CK56,4)&gt;=$AB47,INDEX(WSM,CK56,5)&gt;=$S47,INDEX(WSM,CK56,6)&gt;=$R47),1,0)</f>
        <v>#N/A</v>
      </c>
      <c r="CM56" s="4" t="e">
        <f t="shared" ref="CM56" ca="1" si="254">MATCH(1,OFFSET(CL47:CL58,CN55,0,COUNT(CL47:CL58)-CN55),0)</f>
        <v>#REF!</v>
      </c>
      <c r="CN56" s="4" t="e">
        <f t="shared" ca="1" si="111"/>
        <v>#REF!</v>
      </c>
      <c r="CO56" s="692" t="str">
        <f ca="1">IFERROR(VLOOKUP(INDEX(CK47:CK58,CN56),WSM,2,FALSE),"----")</f>
        <v>----</v>
      </c>
      <c r="CP56" s="691" t="e">
        <f t="shared" ca="1" si="112"/>
        <v>#N/A</v>
      </c>
      <c r="CQ56" s="4" t="e">
        <f ca="1">IF(AND(INDEX(STM,CP56,4)&gt;=$AB47,INDEX(STM,CP56,5)&gt;=$S47,INDEX(STM,CP56,6)&gt;=$R47),1,0)</f>
        <v>#N/A</v>
      </c>
      <c r="CR56" s="4" t="e">
        <f t="shared" ref="CR56" ca="1" si="255">MATCH(1,OFFSET(CQ47:CQ58,CS55,0,COUNT(CQ47:CQ58)-CS55),0)</f>
        <v>#REF!</v>
      </c>
      <c r="CS56" s="4" t="e">
        <f t="shared" ca="1" si="114"/>
        <v>#REF!</v>
      </c>
      <c r="CT56" s="692" t="str">
        <f ca="1">IFERROR(VLOOKUP(INDEX(CP47:CP58,CS56),STM,2,FALSE),"----")</f>
        <v>----</v>
      </c>
      <c r="CU56" s="691" t="e">
        <f t="shared" ca="1" si="115"/>
        <v>#N/A</v>
      </c>
      <c r="CV56" s="4" t="e">
        <f ca="1">IF(AND(INDEX(ELM,CU56,4)&gt;=$AB47,INDEX(ELM,CU56,5)&gt;=$S47,INDEX(ELM,CU56,6)&gt;=$R47),1,0)</f>
        <v>#N/A</v>
      </c>
      <c r="CW56" s="4" t="e">
        <f t="shared" ref="CW56" ca="1" si="256">MATCH(1,OFFSET(CV47:CV58,CX55,0,COUNT(CV47:CV58)-CX55),0)</f>
        <v>#REF!</v>
      </c>
      <c r="CX56" s="4" t="e">
        <f t="shared" ca="1" si="117"/>
        <v>#REF!</v>
      </c>
      <c r="CY56" s="692" t="str">
        <f ca="1">IFERROR(VLOOKUP(INDEX(CU47:CU58,CX56),ELM,2,FALSE),"----")</f>
        <v>----</v>
      </c>
      <c r="CZ56" s="691" t="e">
        <f t="shared" ca="1" si="118"/>
        <v>#N/A</v>
      </c>
      <c r="DA56" s="4" t="e">
        <f ca="1">IF(LEFT($J47,7)="Clad Wo",IF(AND(INDEX(SPPWS,CZ56,4)&gt;=$AB47,INDEX(SPPWS,CZ56,5)&gt;=$S47,INDEX(SPPWS,CZ56,6)&gt;=$R47),1,0),IF(AND(INDEX(SPM,CZ56,4)&gt;=$AB47,INDEX(SPM,CZ56,5)&gt;=$S47,INDEX(SPM,CZ56,6)&gt;=$R47),1,0))</f>
        <v>#N/A</v>
      </c>
      <c r="DB56" s="4" t="e">
        <f t="shared" ref="DB56" ca="1" si="257">MATCH(1,OFFSET(DA47:DA58,DC55,0,COUNT(DA47:DA58)-DC55),0)</f>
        <v>#REF!</v>
      </c>
      <c r="DC56" s="4" t="e">
        <f t="shared" ca="1" si="120"/>
        <v>#REF!</v>
      </c>
      <c r="DD56" s="693" t="str">
        <f ca="1">IF(LEFT($J47,7)="Clad Wo",IFERROR(VLOOKUP(INDEX(CZ47:CZ58,DC56),SPPWS,2,FALSE),"----"),IFERROR(VLOOKUP(INDEX(CZ47:CZ58,DC56),SPM,2,FALSE),"----"))</f>
        <v>----</v>
      </c>
      <c r="DE56" s="691" t="e">
        <f t="shared" ca="1" si="121"/>
        <v>#REF!</v>
      </c>
      <c r="DF56" s="4" t="e" cm="1">
        <f t="array" aca="1" ref="DF56" ca="1">IF(AND(INDEX(INDIRECT(BY47),DE56,4)&gt;=$AB53,INDEX(INDIRECT(BY47),DE56,5)&gt;=$S47,INDEX(INDIRECT(BY47),DE56,6)&gt;=$R47),1,0)</f>
        <v>#REF!</v>
      </c>
      <c r="DG56" s="4" t="e">
        <f t="shared" ref="DG56" ca="1" si="258">MATCH(1,OFFSET(DF47:DF58,DH55,0,COUNT(DF47:DF58)-DH55),0)</f>
        <v>#REF!</v>
      </c>
      <c r="DH56" s="4" t="e">
        <f t="shared" ca="1" si="123"/>
        <v>#REF!</v>
      </c>
      <c r="DI56" s="692" t="str" cm="1">
        <f t="array" aca="1" ref="DI56" ca="1">IFERROR(VLOOKUP(INDEX(DE47:DE58,DH56),INDIRECT(BY47),2,FALSE),"----")</f>
        <v>----</v>
      </c>
      <c r="DJ56" s="691" t="e">
        <f t="shared" ca="1" si="124"/>
        <v>#N/A</v>
      </c>
      <c r="DK56" s="4" t="e">
        <f ca="1">IF(AND(INDEX(SSM,DJ56,4)&gt;=$AB53,INDEX(SSM,DJ56,5)&gt;=$S47,INDEX(SSM,DJ56,6)&gt;=$R47),1,0)</f>
        <v>#N/A</v>
      </c>
      <c r="DL56" s="4" t="e">
        <f t="shared" ref="DL56" ca="1" si="259">MATCH(1,OFFSET(DK47:DK58,DM55,0,COUNT(DK47:DK58)-DM55),0)</f>
        <v>#REF!</v>
      </c>
      <c r="DM56" s="4" t="e">
        <f t="shared" ca="1" si="126"/>
        <v>#REF!</v>
      </c>
      <c r="DN56" s="692" t="str">
        <f ca="1">IFERROR(IF(AD54="Nested Steel Stud (wood infill)",VLOOKUP(INDEX(DJ47:DJ58,DM56),SSW,2,FALSE),VLOOKUP(INDEX(DJ47:DJ58,DM56),SSM,2,FALSE)),"----")</f>
        <v>----</v>
      </c>
      <c r="DO56" s="691" t="e">
        <f t="shared" ca="1" si="127"/>
        <v>#N/A</v>
      </c>
      <c r="DP56" s="4" t="e">
        <f ca="1">IF(AND(INDEX(WSM,DO56,4)&gt;=$AB53,INDEX(WSM,DO56,5)&gt;=$S47,INDEX(WSM,DO56,6)&gt;=$R47),1,0)</f>
        <v>#N/A</v>
      </c>
      <c r="DQ56" s="4" t="e">
        <f t="shared" ref="DQ56" ca="1" si="260">MATCH(1,OFFSET(DP47:DP58,DR55,0,COUNT(DP47:DP58)-DR55),0)</f>
        <v>#REF!</v>
      </c>
      <c r="DR56" s="4" t="e">
        <f t="shared" ca="1" si="129"/>
        <v>#REF!</v>
      </c>
      <c r="DS56" s="692" t="str">
        <f ca="1">IFERROR(VLOOKUP(INDEX(DO47:DO58,DR56),WSM,2,FALSE),"----")</f>
        <v>----</v>
      </c>
      <c r="DT56" s="691" t="e">
        <f t="shared" ca="1" si="130"/>
        <v>#N/A</v>
      </c>
      <c r="DU56" s="4" t="e">
        <f ca="1">IF(AND(INDEX(STM,DT56,4)&gt;=$AB53,INDEX(STM,DT56,5)&gt;=$S47,INDEX(STM,DT56,6)&gt;=$R47),1,0)</f>
        <v>#N/A</v>
      </c>
      <c r="DV56" s="4" t="e">
        <f t="shared" ref="DV56" ca="1" si="261">MATCH(1,OFFSET(DU47:DU58,DW55,0,COUNT(DU47:DU58)-DW55),0)</f>
        <v>#REF!</v>
      </c>
      <c r="DW56" s="4" t="e">
        <f t="shared" ca="1" si="132"/>
        <v>#REF!</v>
      </c>
      <c r="DX56" s="692" t="str">
        <f ca="1">IFERROR(VLOOKUP(INDEX(DT47:DT58,DW56),STM,2,FALSE),"----")</f>
        <v>----</v>
      </c>
      <c r="DY56" s="691" t="e">
        <f t="shared" ca="1" si="133"/>
        <v>#N/A</v>
      </c>
      <c r="DZ56" s="4" t="e">
        <f ca="1">IF(AND(INDEX(ELM,DY56,4)&gt;=$AB53,INDEX(ELM,DY56,5)&gt;=$S47,INDEX(ELM,DY56,6)&gt;=$R47),1,0)</f>
        <v>#N/A</v>
      </c>
      <c r="EA56" s="4" t="e">
        <f t="shared" ref="EA56" ca="1" si="262">MATCH(1,OFFSET(DZ47:DZ58,EB55,0,COUNT(DZ47:DZ58)-EB55),0)</f>
        <v>#REF!</v>
      </c>
      <c r="EB56" s="4" t="e">
        <f t="shared" ca="1" si="135"/>
        <v>#REF!</v>
      </c>
      <c r="EC56" s="692" t="str">
        <f ca="1">IFERROR(VLOOKUP(INDEX(DY47:DY58,EB56),ELM,2,FALSE),"----")</f>
        <v>----</v>
      </c>
      <c r="ED56" s="691" t="e">
        <f t="shared" ca="1" si="136"/>
        <v>#N/A</v>
      </c>
      <c r="EE56" s="4" t="e">
        <f ca="1">IF(LEFT($J47,7)="Clad Wo",IF(AND(INDEX(SPPWS,ED56,4)&gt;=$AB53,INDEX(SPPWS,ED56,5)&gt;=$S47,INDEX(SPPWS,ED56,6)&gt;=$R47),1,0),IF(AND(INDEX(SPM,ED56,4)&gt;=$AB53,INDEX(SPM,ED56,5)&gt;=$S47,INDEX(SPM,ED56,6)&gt;=$R47),1,0))</f>
        <v>#N/A</v>
      </c>
      <c r="EF56" s="4" t="e">
        <f t="shared" ref="EF56" ca="1" si="263">MATCH(1,OFFSET(EE47:EE58,EG55,0,COUNT(EE47:EE58)-EG55),0)</f>
        <v>#REF!</v>
      </c>
      <c r="EG56" s="4" t="e">
        <f t="shared" ca="1" si="138"/>
        <v>#REF!</v>
      </c>
      <c r="EH56" s="692" t="str">
        <f ca="1">IF(LEFT($J47,7)="Clad Wo",IFERROR(VLOOKUP(INDEX(ED47:ED58,EG56),SPPWS,2,FALSE),"----"),IFERROR(VLOOKUP(INDEX(ED47:ED58,EG56),SPM,2,FALSE),"----"))</f>
        <v>----</v>
      </c>
    </row>
    <row r="57" spans="1:138" ht="15" customHeight="1" x14ac:dyDescent="0.25">
      <c r="A57" s="1085"/>
      <c r="B57" s="925"/>
      <c r="C57" s="926"/>
      <c r="D57" s="927"/>
      <c r="E57" s="995"/>
      <c r="F57" s="996"/>
      <c r="G57" s="997"/>
      <c r="H57" s="1062"/>
      <c r="I57" s="990"/>
      <c r="J57" s="902"/>
      <c r="K57" s="903"/>
      <c r="L57" s="1002"/>
      <c r="M57" s="923"/>
      <c r="N57" s="1042"/>
      <c r="O57" s="1018"/>
      <c r="P57" s="987"/>
      <c r="Q57" s="1015"/>
      <c r="R57" s="1012"/>
      <c r="S57" s="1006"/>
      <c r="T57" s="1007"/>
      <c r="U57" s="878"/>
      <c r="V57" s="881"/>
      <c r="W57" s="884"/>
      <c r="X57" s="884"/>
      <c r="Y57" s="887"/>
      <c r="Z57" s="887"/>
      <c r="AA57" s="887"/>
      <c r="AB57" s="1081"/>
      <c r="AC57" s="1078"/>
      <c r="AD57" s="1070" t="str">
        <f t="shared" si="233"/>
        <v>Engineered Lumber</v>
      </c>
      <c r="AE57" s="1071"/>
      <c r="AF57" s="1052"/>
      <c r="AG57" s="1053"/>
      <c r="AH57" s="1053"/>
      <c r="AI57" s="1068"/>
      <c r="AJ57" s="1069"/>
      <c r="AK57" s="154" t="str">
        <f t="shared" ca="1" si="62"/>
        <v/>
      </c>
      <c r="AL57" s="1059"/>
      <c r="AM57" s="344" t="str">
        <f ca="1">IFERROR(Q47/12*ROUND(VLOOKUP(AF57,OFFSET(ELM,0,1),6,FALSE),2),"")</f>
        <v/>
      </c>
      <c r="AN57" t="str">
        <f t="shared" ca="1" si="5"/>
        <v/>
      </c>
      <c r="AP57" s="122" t="str">
        <f t="shared" ref="AP57" si="264">_xlfn.CONCAT(AR57,AS58)</f>
        <v/>
      </c>
      <c r="AQ57" s="683" t="str">
        <f t="shared" si="65"/>
        <v/>
      </c>
      <c r="AR57" s="4" t="str">
        <f t="shared" si="3"/>
        <v/>
      </c>
      <c r="AS57" s="4"/>
      <c r="AT57" s="697" t="str">
        <f>AL53</f>
        <v/>
      </c>
      <c r="AU57" s="694" t="e">
        <f t="shared" ca="1" si="91"/>
        <v>#REF!</v>
      </c>
      <c r="AV57" s="698" t="str">
        <f ca="1">IFERROR(VLOOKUP(AU57,INDIRECT(AQ47),2,FALSE),"----")</f>
        <v>----</v>
      </c>
      <c r="AW57" s="694" t="e">
        <f t="shared" ca="1" si="92"/>
        <v>#REF!</v>
      </c>
      <c r="AX57" s="698" t="str">
        <f ca="1">IFERROR(VLOOKUP(AW57,INDIRECT(AQ48),2,FALSE),"----")</f>
        <v>----</v>
      </c>
      <c r="AY57" s="694" t="e">
        <f t="shared" ca="1" si="184"/>
        <v>#REF!</v>
      </c>
      <c r="AZ57" s="698" t="str">
        <f ca="1">IFERROR(VLOOKUP(AY57,INDIRECT(AQ49),2,FALSE),"----")</f>
        <v>----</v>
      </c>
      <c r="BA57" s="694" t="e">
        <f t="shared" ca="1" si="185"/>
        <v>#REF!</v>
      </c>
      <c r="BB57" s="698" t="str">
        <f ca="1">IFERROR(VLOOKUP(BA57,INDIRECT(AQ50),2,FALSE),"----")</f>
        <v>----</v>
      </c>
      <c r="BC57" s="694" t="e">
        <f t="shared" ca="1" si="95"/>
        <v>#REF!</v>
      </c>
      <c r="BD57" s="698" t="str">
        <f ca="1">IFERROR(VLOOKUP(BC57,INDIRECT(AQ51),2,FALSE),"----")</f>
        <v>----</v>
      </c>
      <c r="BE57" s="694" t="e">
        <f t="shared" ca="1" si="96"/>
        <v>#REF!</v>
      </c>
      <c r="BF57" s="698" t="str">
        <f ca="1">IFERROR(VLOOKUP(BE57,INDIRECT(AQ52),2,FALSE),"----")</f>
        <v>----</v>
      </c>
      <c r="BG57" s="702" t="e">
        <f t="shared" ca="1" si="97"/>
        <v>#REF!</v>
      </c>
      <c r="BH57" s="686" t="str">
        <f ca="1">IFERROR(VLOOKUP(BG57,INDIRECT(AQ53),2,FALSE),"----")</f>
        <v>----</v>
      </c>
      <c r="BI57" s="702" t="e">
        <f t="shared" ca="1" si="98"/>
        <v>#REF!</v>
      </c>
      <c r="BJ57" s="686" t="str">
        <f ca="1">IFERROR(VLOOKUP(BI57,INDIRECT(AQ54),2,FALSE),"----")</f>
        <v>----</v>
      </c>
      <c r="BK57" s="702" t="e">
        <f t="shared" ca="1" si="99"/>
        <v>#REF!</v>
      </c>
      <c r="BL57" s="686" t="str">
        <f ca="1">IFERROR(VLOOKUP(BK57,INDIRECT(AQ55),2,FALSE),"----")</f>
        <v>----</v>
      </c>
      <c r="BM57" s="702" t="e">
        <f t="shared" ca="1" si="100"/>
        <v>#REF!</v>
      </c>
      <c r="BN57" s="686" t="str">
        <f ca="1">IFERROR(VLOOKUP(BM57,INDIRECT(AQ56),2,FALSE),"----")</f>
        <v>----</v>
      </c>
      <c r="BO57" s="702" t="e">
        <f t="shared" ca="1" si="101"/>
        <v>#REF!</v>
      </c>
      <c r="BP57" s="686" t="str">
        <f ca="1">IFERROR(VLOOKUP(BO57,INDIRECT(AQ57),2,FALSE),"----")</f>
        <v>----</v>
      </c>
      <c r="BQ57" s="702" t="e">
        <f t="shared" ca="1" si="102"/>
        <v>#REF!</v>
      </c>
      <c r="BR57" s="686" t="str">
        <f ca="1">IFERROR(VLOOKUP(BQ57,INDIRECT(AQ58),2,FALSE),"----")</f>
        <v>----</v>
      </c>
      <c r="BS57" s="695">
        <f>IF(AI57="",1,IF(COUNTIF(BP47:BP58,AI57)=0,2,1))</f>
        <v>1</v>
      </c>
      <c r="BT57" s="696">
        <f>IF(AF57="",1,IF(BP47=".",2,1))</f>
        <v>1</v>
      </c>
      <c r="BU57" s="706"/>
      <c r="BV57" s="155">
        <f ca="1">IF(COUNTIF(EC47:EC58,AF57)=0,IF(AF57&lt;&gt;"",0,1),1)</f>
        <v>1</v>
      </c>
      <c r="BW57" s="157">
        <f ca="1">IFERROR(MATCH(AF57,EC47:EC58,0),1)</f>
        <v>1</v>
      </c>
      <c r="BX57" s="769"/>
      <c r="BY57" s="769"/>
      <c r="BZ57" s="1110"/>
      <c r="CA57" s="691" t="e">
        <f t="shared" ca="1" si="103"/>
        <v>#REF!</v>
      </c>
      <c r="CB57" s="4" t="e" cm="1">
        <f t="array" aca="1" ref="CB57" ca="1">IF(AND(INDEX(INDIRECT(BY47),CA57,4)&gt;=$AB47,INDEX(INDIRECT(BY47),CA57,5)&gt;=$S47,INDEX(INDIRECT(BY47),CA57,6)&gt;=$R47),1,0)</f>
        <v>#REF!</v>
      </c>
      <c r="CC57" s="4" t="e">
        <f t="shared" ref="CC57" ca="1" si="265">MATCH(1,OFFSET(CB47:CB58,CD56,0,COUNT(CB47:CB58)-CD56),0)</f>
        <v>#REF!</v>
      </c>
      <c r="CD57" s="4" t="e">
        <f t="shared" ca="1" si="105"/>
        <v>#REF!</v>
      </c>
      <c r="CE57" s="692" t="str" cm="1">
        <f t="array" aca="1" ref="CE57" ca="1">IFERROR(VLOOKUP(INDEX(CA47:CA58,CD57),INDIRECT(BY47),2,FALSE),"----")</f>
        <v>----</v>
      </c>
      <c r="CF57" s="691" t="e">
        <f t="shared" ca="1" si="106"/>
        <v>#N/A</v>
      </c>
      <c r="CG57" s="4" t="e">
        <f ca="1">IF(AND(INDEX(SSM,CF57,4)&gt;=$AB47,INDEX(SSM,CF57,5)&gt;=$S47,INDEX(SSM,CF57,6)&gt;=$R47),1,0)</f>
        <v>#N/A</v>
      </c>
      <c r="CH57" s="4" t="e">
        <f t="shared" ref="CH57" ca="1" si="266">MATCH(1,OFFSET(CG47:CG58,CI56,0,COUNT(CG47:CG58)-CI56),0)</f>
        <v>#REF!</v>
      </c>
      <c r="CI57" s="4" t="e">
        <f t="shared" ca="1" si="108"/>
        <v>#REF!</v>
      </c>
      <c r="CJ57" s="692" t="str">
        <f ca="1">IFERROR(IF(AD48="Nested Steel Stud (wood infill)",VLOOKUP(INDEX(CF47:CF58,CI57),SSW,2,FALSE),VLOOKUP(INDEX(CF47:CF58,CI57),SSM,2,FALSE)),"----")</f>
        <v>----</v>
      </c>
      <c r="CK57" s="691" t="e">
        <f t="shared" ca="1" si="109"/>
        <v>#N/A</v>
      </c>
      <c r="CL57" s="4" t="e">
        <f ca="1">IF(AND(INDEX(WSM,CK57,4)&gt;=$AB47,INDEX(WSM,CK57,5)&gt;=$S47,INDEX(WSM,CK57,6)&gt;=$R47),1,0)</f>
        <v>#N/A</v>
      </c>
      <c r="CM57" s="4" t="e">
        <f t="shared" ref="CM57" ca="1" si="267">MATCH(1,OFFSET(CL47:CL58,CN56,0,COUNT(CL47:CL58)-CN56),0)</f>
        <v>#REF!</v>
      </c>
      <c r="CN57" s="4" t="e">
        <f t="shared" ca="1" si="111"/>
        <v>#REF!</v>
      </c>
      <c r="CO57" s="692" t="str">
        <f ca="1">IFERROR(VLOOKUP(INDEX(CK47:CK58,CN57),WSM,2,FALSE),"----")</f>
        <v>----</v>
      </c>
      <c r="CP57" s="691" t="e">
        <f t="shared" ca="1" si="112"/>
        <v>#N/A</v>
      </c>
      <c r="CQ57" s="4" t="e">
        <f ca="1">IF(AND(INDEX(STM,CP57,4)&gt;=$AB47,INDEX(STM,CP57,5)&gt;=$S47,INDEX(STM,CP57,6)&gt;=$R47),1,0)</f>
        <v>#N/A</v>
      </c>
      <c r="CR57" s="4" t="e">
        <f t="shared" ref="CR57" ca="1" si="268">MATCH(1,OFFSET(CQ47:CQ58,CS56,0,COUNT(CQ47:CQ58)-CS56),0)</f>
        <v>#REF!</v>
      </c>
      <c r="CS57" s="4" t="e">
        <f t="shared" ca="1" si="114"/>
        <v>#REF!</v>
      </c>
      <c r="CT57" s="692" t="str">
        <f ca="1">IFERROR(VLOOKUP(INDEX(CP47:CP58,CS57),STM,2,FALSE),"----")</f>
        <v>----</v>
      </c>
      <c r="CU57" s="691" t="e">
        <f t="shared" ca="1" si="115"/>
        <v>#N/A</v>
      </c>
      <c r="CV57" s="4" t="e">
        <f ca="1">IF(AND(INDEX(ELM,CU57,4)&gt;=$AB47,INDEX(ELM,CU57,5)&gt;=$S47,INDEX(ELM,CU57,6)&gt;=$R47),1,0)</f>
        <v>#N/A</v>
      </c>
      <c r="CW57" s="4" t="e">
        <f t="shared" ref="CW57" ca="1" si="269">MATCH(1,OFFSET(CV47:CV58,CX56,0,COUNT(CV47:CV58)-CX56),0)</f>
        <v>#REF!</v>
      </c>
      <c r="CX57" s="4" t="e">
        <f t="shared" ca="1" si="117"/>
        <v>#REF!</v>
      </c>
      <c r="CY57" s="692" t="str">
        <f ca="1">IFERROR(VLOOKUP(INDEX(CU47:CU58,CX57),ELM,2,FALSE),"----")</f>
        <v>----</v>
      </c>
      <c r="CZ57" s="691" t="e">
        <f t="shared" ca="1" si="118"/>
        <v>#N/A</v>
      </c>
      <c r="DA57" s="4" t="e">
        <f ca="1">IF(LEFT($J47,7)="Clad Wo",IF(AND(INDEX(SPPWS,CZ57,4)&gt;=$AB47,INDEX(SPPWS,CZ57,5)&gt;=$S47,INDEX(SPPWS,CZ57,6)&gt;=$R47),1,0),IF(AND(INDEX(SPM,CZ57,4)&gt;=$AB47,INDEX(SPM,CZ57,5)&gt;=$S47,INDEX(SPM,CZ57,6)&gt;=$R47),1,0))</f>
        <v>#N/A</v>
      </c>
      <c r="DB57" s="4" t="e">
        <f t="shared" ref="DB57" ca="1" si="270">MATCH(1,OFFSET(DA47:DA58,DC56,0,COUNT(DA47:DA58)-DC56),0)</f>
        <v>#REF!</v>
      </c>
      <c r="DC57" s="4" t="e">
        <f t="shared" ca="1" si="120"/>
        <v>#REF!</v>
      </c>
      <c r="DD57" s="693" t="str">
        <f ca="1">IF(LEFT($J47,7)="Clad Wo",IFERROR(VLOOKUP(INDEX(CZ47:CZ58,DC57),SPPWS,2,FALSE),"----"),IFERROR(VLOOKUP(INDEX(CZ47:CZ58,DC57),SPM,2,FALSE),"----"))</f>
        <v>----</v>
      </c>
      <c r="DE57" s="691" t="e">
        <f t="shared" ca="1" si="121"/>
        <v>#REF!</v>
      </c>
      <c r="DF57" s="4" t="e" cm="1">
        <f t="array" aca="1" ref="DF57" ca="1">IF(AND(INDEX(INDIRECT(BY47),DE57,4)&gt;=$AB53,INDEX(INDIRECT(BY47),DE57,5)&gt;=$S47,INDEX(INDIRECT(BY47),DE57,6)&gt;=$R47),1,0)</f>
        <v>#REF!</v>
      </c>
      <c r="DG57" s="4" t="e">
        <f t="shared" ref="DG57" ca="1" si="271">MATCH(1,OFFSET(DF47:DF58,DH56,0,COUNT(DF47:DF58)-DH56),0)</f>
        <v>#REF!</v>
      </c>
      <c r="DH57" s="4" t="e">
        <f t="shared" ca="1" si="123"/>
        <v>#REF!</v>
      </c>
      <c r="DI57" s="692" t="str" cm="1">
        <f t="array" aca="1" ref="DI57" ca="1">IFERROR(VLOOKUP(INDEX(DE47:DE58,DH57),INDIRECT(BY47),2,FALSE),"----")</f>
        <v>----</v>
      </c>
      <c r="DJ57" s="691" t="e">
        <f t="shared" ca="1" si="124"/>
        <v>#N/A</v>
      </c>
      <c r="DK57" s="4" t="e">
        <f ca="1">IF(AND(INDEX(SSM,DJ57,4)&gt;=$AB53,INDEX(SSM,DJ57,5)&gt;=$S47,INDEX(SSM,DJ57,6)&gt;=$R47),1,0)</f>
        <v>#N/A</v>
      </c>
      <c r="DL57" s="4" t="e">
        <f t="shared" ref="DL57" ca="1" si="272">MATCH(1,OFFSET(DK47:DK58,DM56,0,COUNT(DK47:DK58)-DM56),0)</f>
        <v>#REF!</v>
      </c>
      <c r="DM57" s="4" t="e">
        <f t="shared" ca="1" si="126"/>
        <v>#REF!</v>
      </c>
      <c r="DN57" s="692" t="str">
        <f ca="1">IFERROR(IF(AD54="Nested Steel Stud (wood infill)",VLOOKUP(INDEX(DJ47:DJ58,DM57),SSW,2,FALSE),VLOOKUP(INDEX(DJ47:DJ58,DM57),SSM,2,FALSE)),"----")</f>
        <v>----</v>
      </c>
      <c r="DO57" s="691" t="e">
        <f t="shared" ca="1" si="127"/>
        <v>#N/A</v>
      </c>
      <c r="DP57" s="4" t="e">
        <f ca="1">IF(AND(INDEX(WSM,DO57,4)&gt;=$AB53,INDEX(WSM,DO57,5)&gt;=$S47,INDEX(WSM,DO57,6)&gt;=$R47),1,0)</f>
        <v>#N/A</v>
      </c>
      <c r="DQ57" s="4" t="e">
        <f t="shared" ref="DQ57" ca="1" si="273">MATCH(1,OFFSET(DP47:DP58,DR56,0,COUNT(DP47:DP58)-DR56),0)</f>
        <v>#REF!</v>
      </c>
      <c r="DR57" s="4" t="e">
        <f t="shared" ca="1" si="129"/>
        <v>#REF!</v>
      </c>
      <c r="DS57" s="692" t="str">
        <f ca="1">IFERROR(VLOOKUP(INDEX(DO47:DO58,DR57),WSM,2,FALSE),"----")</f>
        <v>----</v>
      </c>
      <c r="DT57" s="691" t="e">
        <f t="shared" ca="1" si="130"/>
        <v>#N/A</v>
      </c>
      <c r="DU57" s="4" t="e">
        <f ca="1">IF(AND(INDEX(STM,DT57,4)&gt;=$AB53,INDEX(STM,DT57,5)&gt;=$S47,INDEX(STM,DT57,6)&gt;=$R47),1,0)</f>
        <v>#N/A</v>
      </c>
      <c r="DV57" s="4" t="e">
        <f t="shared" ref="DV57" ca="1" si="274">MATCH(1,OFFSET(DU47:DU58,DW56,0,COUNT(DU47:DU58)-DW56),0)</f>
        <v>#REF!</v>
      </c>
      <c r="DW57" s="4" t="e">
        <f t="shared" ca="1" si="132"/>
        <v>#REF!</v>
      </c>
      <c r="DX57" s="692" t="str">
        <f ca="1">IFERROR(VLOOKUP(INDEX(DT47:DT58,DW57),STM,2,FALSE),"----")</f>
        <v>----</v>
      </c>
      <c r="DY57" s="691" t="e">
        <f t="shared" ca="1" si="133"/>
        <v>#N/A</v>
      </c>
      <c r="DZ57" s="4" t="e">
        <f ca="1">IF(AND(INDEX(ELM,DY57,4)&gt;=$AB53,INDEX(ELM,DY57,5)&gt;=$S47,INDEX(ELM,DY57,6)&gt;=$R47),1,0)</f>
        <v>#N/A</v>
      </c>
      <c r="EA57" s="4" t="e">
        <f t="shared" ref="EA57" ca="1" si="275">MATCH(1,OFFSET(DZ47:DZ58,EB56,0,COUNT(DZ47:DZ58)-EB56),0)</f>
        <v>#REF!</v>
      </c>
      <c r="EB57" s="4" t="e">
        <f t="shared" ca="1" si="135"/>
        <v>#REF!</v>
      </c>
      <c r="EC57" s="692" t="str">
        <f ca="1">IFERROR(VLOOKUP(INDEX(DY47:DY58,EB57),ELM,2,FALSE),"----")</f>
        <v>----</v>
      </c>
      <c r="ED57" s="691" t="e">
        <f t="shared" ca="1" si="136"/>
        <v>#N/A</v>
      </c>
      <c r="EE57" s="4" t="e">
        <f ca="1">IF(LEFT($J47,7)="Clad Wo",IF(AND(INDEX(SPPWS,ED57,4)&gt;=$AB53,INDEX(SPPWS,ED57,5)&gt;=$S47,INDEX(SPPWS,ED57,6)&gt;=$R47),1,0),IF(AND(INDEX(SPM,ED57,4)&gt;=$AB53,INDEX(SPM,ED57,5)&gt;=$S47,INDEX(SPM,ED57,6)&gt;=$R47),1,0))</f>
        <v>#N/A</v>
      </c>
      <c r="EF57" s="4" t="e">
        <f t="shared" ref="EF57" ca="1" si="276">MATCH(1,OFFSET(EE47:EE58,EG56,0,COUNT(EE47:EE58)-EG56),0)</f>
        <v>#REF!</v>
      </c>
      <c r="EG57" s="4" t="e">
        <f t="shared" ca="1" si="138"/>
        <v>#REF!</v>
      </c>
      <c r="EH57" s="692" t="str">
        <f ca="1">IF(LEFT($J47,7)="Clad Wo",IFERROR(VLOOKUP(INDEX(ED47:ED58,EG57),SPPWS,2,FALSE),"----"),IFERROR(VLOOKUP(INDEX(ED47:ED58,EG57),SPM,2,FALSE),"----"))</f>
        <v>----</v>
      </c>
    </row>
    <row r="58" spans="1:138" ht="15" customHeight="1" thickBot="1" x14ac:dyDescent="0.3">
      <c r="A58" s="1085"/>
      <c r="B58" s="928"/>
      <c r="C58" s="929"/>
      <c r="D58" s="930"/>
      <c r="E58" s="998"/>
      <c r="F58" s="999"/>
      <c r="G58" s="1000"/>
      <c r="H58" s="1063"/>
      <c r="I58" s="991"/>
      <c r="J58" s="904"/>
      <c r="K58" s="905"/>
      <c r="L58" s="1003"/>
      <c r="M58" s="1065"/>
      <c r="N58" s="1043"/>
      <c r="O58" s="1019"/>
      <c r="P58" s="988"/>
      <c r="Q58" s="1016"/>
      <c r="R58" s="1013"/>
      <c r="S58" s="1008"/>
      <c r="T58" s="1009"/>
      <c r="U58" s="879"/>
      <c r="V58" s="882"/>
      <c r="W58" s="885"/>
      <c r="X58" s="885"/>
      <c r="Y58" s="888"/>
      <c r="Z58" s="888"/>
      <c r="AA58" s="888"/>
      <c r="AB58" s="1082"/>
      <c r="AC58" s="1087"/>
      <c r="AD58" s="1098" t="str">
        <f t="shared" ref="AD58" si="277">IF(LEFT(J47,7)="Clad Wo","Pella Wood Spr / Steel Pte","Steel Plate")</f>
        <v>Steel Plate</v>
      </c>
      <c r="AE58" s="1099"/>
      <c r="AF58" s="1096"/>
      <c r="AG58" s="1097"/>
      <c r="AH58" s="1097"/>
      <c r="AI58" s="1094"/>
      <c r="AJ58" s="1095"/>
      <c r="AK58" s="163" t="str">
        <f t="shared" ca="1" si="62"/>
        <v/>
      </c>
      <c r="AL58" s="1060"/>
      <c r="AM58" s="345" t="str">
        <f ca="1">IFERROR(Q47/12*ROUND(VLOOKUP(AF58,OFFSET(SPM,0,1),6,FALSE),2),"")</f>
        <v/>
      </c>
      <c r="AN58" t="str">
        <f t="shared" ca="1" si="5"/>
        <v/>
      </c>
      <c r="AP58" s="699" t="str">
        <f t="shared" ref="AP58" si="278">_xlfn.CONCAT(AR58,AS58)</f>
        <v/>
      </c>
      <c r="AQ58" s="700" t="str">
        <f t="shared" si="65"/>
        <v/>
      </c>
      <c r="AR58" s="160" t="str">
        <f t="shared" si="3"/>
        <v/>
      </c>
      <c r="AS58" s="160" t="str">
        <f>IFERROR(VLOOKUP(J55, WallType,2,FALSE),"")</f>
        <v/>
      </c>
      <c r="AT58" s="707" t="str">
        <f>AL53</f>
        <v/>
      </c>
      <c r="AU58" s="708" t="e">
        <f t="shared" ca="1" si="91"/>
        <v>#REF!</v>
      </c>
      <c r="AV58" s="709" t="str">
        <f ca="1">IFERROR(VLOOKUP(AU58,INDIRECT(AQ47),2,FALSE),"----")</f>
        <v>----</v>
      </c>
      <c r="AW58" s="710" t="e">
        <f t="shared" ca="1" si="92"/>
        <v>#REF!</v>
      </c>
      <c r="AX58" s="709" t="str">
        <f ca="1">IFERROR(VLOOKUP(AW58,INDIRECT(AQ48),2,FALSE),"----")</f>
        <v>----</v>
      </c>
      <c r="AY58" s="710" t="e">
        <f t="shared" ca="1" si="184"/>
        <v>#REF!</v>
      </c>
      <c r="AZ58" s="709" t="str">
        <f ca="1">IFERROR(VLOOKUP(AY58,INDIRECT(AQ49),2,FALSE),"----")</f>
        <v>----</v>
      </c>
      <c r="BA58" s="710" t="e">
        <f t="shared" ca="1" si="185"/>
        <v>#REF!</v>
      </c>
      <c r="BB58" s="709" t="str">
        <f ca="1">IFERROR(VLOOKUP(BA58,INDIRECT(AQ50),2,FALSE),"----")</f>
        <v>----</v>
      </c>
      <c r="BC58" s="710" t="e">
        <f t="shared" ca="1" si="95"/>
        <v>#REF!</v>
      </c>
      <c r="BD58" s="709" t="str">
        <f ca="1">IFERROR(VLOOKUP(BC58,INDIRECT(AQ51),2,FALSE),"----")</f>
        <v>----</v>
      </c>
      <c r="BE58" s="710" t="e">
        <f t="shared" ca="1" si="96"/>
        <v>#REF!</v>
      </c>
      <c r="BF58" s="709" t="str">
        <f ca="1">IFERROR(VLOOKUP(BE58,INDIRECT(AQ52),2,FALSE),"----")</f>
        <v>----</v>
      </c>
      <c r="BG58" s="710" t="e">
        <f t="shared" ca="1" si="97"/>
        <v>#REF!</v>
      </c>
      <c r="BH58" s="711" t="str">
        <f ca="1">IFERROR(VLOOKUP(BG58,INDIRECT(AQ53),2,FALSE),"----")</f>
        <v>----</v>
      </c>
      <c r="BI58" s="710" t="e">
        <f t="shared" ca="1" si="98"/>
        <v>#REF!</v>
      </c>
      <c r="BJ58" s="711" t="str">
        <f ca="1">IFERROR(VLOOKUP(BI58,INDIRECT(AQ54),2,FALSE),"----")</f>
        <v>----</v>
      </c>
      <c r="BK58" s="710" t="e">
        <f t="shared" ca="1" si="99"/>
        <v>#REF!</v>
      </c>
      <c r="BL58" s="711" t="str">
        <f ca="1">IFERROR(VLOOKUP(BK58,INDIRECT(AQ55),2,FALSE),"----")</f>
        <v>----</v>
      </c>
      <c r="BM58" s="710" t="e">
        <f t="shared" ca="1" si="100"/>
        <v>#REF!</v>
      </c>
      <c r="BN58" s="711" t="str">
        <f ca="1">IFERROR(VLOOKUP(BM58,INDIRECT(AQ56),2,FALSE),"----")</f>
        <v>----</v>
      </c>
      <c r="BO58" s="710" t="e">
        <f t="shared" ca="1" si="101"/>
        <v>#REF!</v>
      </c>
      <c r="BP58" s="711" t="str">
        <f ca="1">IFERROR(VLOOKUP(BO58,INDIRECT(AQ57),2,FALSE),"----")</f>
        <v>----</v>
      </c>
      <c r="BQ58" s="710" t="e">
        <f t="shared" ca="1" si="102"/>
        <v>#REF!</v>
      </c>
      <c r="BR58" s="712" t="str">
        <f ca="1">IFERROR(VLOOKUP(BQ58,INDIRECT(AQ58),2,FALSE),"----")</f>
        <v>----</v>
      </c>
      <c r="BS58" s="695">
        <f>IF(AI58="",1,IF(COUNTIF(BR47:BR58,AI58)=0,2,1))</f>
        <v>1</v>
      </c>
      <c r="BT58" s="713">
        <f>IF(AF58="",1,IF(BR47=".",2,1))</f>
        <v>1</v>
      </c>
      <c r="BV58" s="155">
        <f ca="1">IF(COUNTIF(EH47:EH58,AF58)=0,IF(AF58&lt;&gt;"",0,1),1)</f>
        <v>1</v>
      </c>
      <c r="BW58" s="157">
        <f ca="1">IFERROR(MATCH(AF58,EH47:EH58,0),1)</f>
        <v>1</v>
      </c>
      <c r="BX58" s="718"/>
      <c r="BY58" s="777"/>
      <c r="BZ58" s="1110"/>
      <c r="CA58" s="714" t="e">
        <f t="shared" ca="1" si="103"/>
        <v>#REF!</v>
      </c>
      <c r="CB58" s="715" t="e" cm="1">
        <f t="array" aca="1" ref="CB58" ca="1">IF(AND(INDEX(INDIRECT(BY47),CA58,4)&gt;=$AB47,INDEX(INDIRECT(BY47),CA58,5)&gt;=$S47,INDEX(INDIRECT(BY47),CA58,6)&gt;=$R47),1,0)</f>
        <v>#REF!</v>
      </c>
      <c r="CC58" s="715" t="e">
        <f t="shared" ref="CC58" ca="1" si="279">MATCH(1,OFFSET(CB47:CB58,CD57,0,COUNT(CB47:CB58)-CD57),0)</f>
        <v>#REF!</v>
      </c>
      <c r="CD58" s="715" t="e">
        <f t="shared" ca="1" si="105"/>
        <v>#REF!</v>
      </c>
      <c r="CE58" s="716" t="str" cm="1">
        <f t="array" aca="1" ref="CE58" ca="1">IFERROR(VLOOKUP(INDEX(CA47:CA58,CD58),INDIRECT(BY47),2,FALSE),"----")</f>
        <v>----</v>
      </c>
      <c r="CF58" s="714" t="e">
        <f t="shared" ca="1" si="106"/>
        <v>#N/A</v>
      </c>
      <c r="CG58" s="715" t="e">
        <f ca="1">IF(AND(INDEX(SSM,CF58,4)&gt;=$AB47,INDEX(SSM,CF58,5)&gt;=$S47,INDEX(SSM,CF58,6)&gt;=$R47),1,0)</f>
        <v>#N/A</v>
      </c>
      <c r="CH58" s="715" t="e">
        <f t="shared" ref="CH58" ca="1" si="280">MATCH(1,OFFSET(CG47:CG58,CI57,0,COUNT(CG47:CG58)-CI57),0)</f>
        <v>#REF!</v>
      </c>
      <c r="CI58" s="715" t="e">
        <f t="shared" ca="1" si="108"/>
        <v>#REF!</v>
      </c>
      <c r="CJ58" s="716" t="str">
        <f ca="1">IFERROR(IF(AD48="Nested Steel Stud (wood infill)",VLOOKUP(INDEX(CF47:CF58,CI58),SSW,2,FALSE),VLOOKUP(INDEX(CF47:CF58,CI58),SSM,2,FALSE)),"----")</f>
        <v>----</v>
      </c>
      <c r="CK58" s="714" t="e">
        <f t="shared" ca="1" si="109"/>
        <v>#N/A</v>
      </c>
      <c r="CL58" s="715" t="e">
        <f ca="1">IF(AND(INDEX(WSM,CK58,4)&gt;=$AB47,INDEX(WSM,CK58,5)&gt;=$S47,INDEX(WSM,CK58,6)&gt;=$R47),1,0)</f>
        <v>#N/A</v>
      </c>
      <c r="CM58" s="715" t="e">
        <f t="shared" ref="CM58" ca="1" si="281">MATCH(1,OFFSET(CL47:CL58,CN57,0,COUNT(CL47:CL58)-CN57),0)</f>
        <v>#REF!</v>
      </c>
      <c r="CN58" s="715" t="e">
        <f t="shared" ca="1" si="111"/>
        <v>#REF!</v>
      </c>
      <c r="CO58" s="716" t="str">
        <f ca="1">IFERROR(VLOOKUP(INDEX(CK47:CK58,CN58),WSM,2,FALSE),"----")</f>
        <v>----</v>
      </c>
      <c r="CP58" s="714" t="e">
        <f t="shared" ca="1" si="112"/>
        <v>#N/A</v>
      </c>
      <c r="CQ58" s="715" t="e">
        <f ca="1">IF(AND(INDEX(STM,CP58,4)&gt;=$AB47,INDEX(STM,CP58,5)&gt;=$S47,INDEX(STM,CP58,6)&gt;=$R47),1,0)</f>
        <v>#N/A</v>
      </c>
      <c r="CR58" s="715" t="e">
        <f t="shared" ref="CR58" ca="1" si="282">MATCH(1,OFFSET(CQ47:CQ58,CS57,0,COUNT(CQ47:CQ58)-CS57),0)</f>
        <v>#REF!</v>
      </c>
      <c r="CS58" s="715" t="e">
        <f t="shared" ca="1" si="114"/>
        <v>#REF!</v>
      </c>
      <c r="CT58" s="716" t="str">
        <f ca="1">IFERROR(VLOOKUP(INDEX(CP47:CP58,CS58),STM,2,FALSE),"----")</f>
        <v>----</v>
      </c>
      <c r="CU58" s="714" t="e">
        <f t="shared" ca="1" si="115"/>
        <v>#N/A</v>
      </c>
      <c r="CV58" s="715" t="e">
        <f ca="1">IF(AND(INDEX(ELM,CU58,4)&gt;=$AB47,INDEX(ELM,CU58,5)&gt;=$S47,INDEX(ELM,CU58,6)&gt;=$R47),1,0)</f>
        <v>#N/A</v>
      </c>
      <c r="CW58" s="715" t="e">
        <f t="shared" ref="CW58" ca="1" si="283">MATCH(1,OFFSET(CV47:CV58,CX57,0,COUNT(CV47:CV58)-CX57),0)</f>
        <v>#REF!</v>
      </c>
      <c r="CX58" s="715" t="e">
        <f t="shared" ca="1" si="117"/>
        <v>#REF!</v>
      </c>
      <c r="CY58" s="716" t="str">
        <f ca="1">IFERROR(VLOOKUP(INDEX(CU47:CU58,CX58),ELM,2,FALSE),"----")</f>
        <v>----</v>
      </c>
      <c r="CZ58" s="714" t="e">
        <f t="shared" ca="1" si="118"/>
        <v>#N/A</v>
      </c>
      <c r="DA58" s="715" t="e">
        <f ca="1">IF(LEFT($J47,7)="Clad Wo",IF(AND(INDEX(SPPWS,CZ58,4)&gt;=$AB47,INDEX(SPPWS,CZ58,5)&gt;=$S47,INDEX(SPPWS,CZ58,6)&gt;=$R47),1,0),IF(AND(INDEX(SPM,CZ58,4)&gt;=$AB47,INDEX(SPM,CZ58,5)&gt;=$S47,INDEX(SPM,CZ58,6)&gt;=$R47),1,0))</f>
        <v>#N/A</v>
      </c>
      <c r="DB58" s="715" t="e">
        <f t="shared" ref="DB58" ca="1" si="284">MATCH(1,OFFSET(DA47:DA58,DC57,0,COUNT(DA47:DA58)-DC57),0)</f>
        <v>#REF!</v>
      </c>
      <c r="DC58" s="715" t="e">
        <f t="shared" ca="1" si="120"/>
        <v>#REF!</v>
      </c>
      <c r="DD58" s="717" t="str">
        <f ca="1">IF(LEFT($J47,7)="Clad Wo",IFERROR(VLOOKUP(INDEX(CZ47:CZ58,DC58),SPPWS,2,FALSE),"----"),IFERROR(VLOOKUP(INDEX(CZ47:CZ58,DC58),SPM,2,FALSE),"----"))</f>
        <v>----</v>
      </c>
      <c r="DE58" s="714" t="e">
        <f t="shared" ca="1" si="121"/>
        <v>#REF!</v>
      </c>
      <c r="DF58" s="715" t="e" cm="1">
        <f t="array" aca="1" ref="DF58" ca="1">IF(AND(INDEX(INDIRECT(BY47),DE58,4)&gt;=$AB53,INDEX(INDIRECT(BY47),DE58,5)&gt;=$S47,INDEX(INDIRECT(BY47),DE58,6)&gt;=$R47),1,0)</f>
        <v>#REF!</v>
      </c>
      <c r="DG58" s="715" t="e">
        <f t="shared" ref="DG58" ca="1" si="285">MATCH(1,OFFSET(DF47:DF58,DH57,0,COUNT(DF47:DF58)-DH57),0)</f>
        <v>#REF!</v>
      </c>
      <c r="DH58" s="715" t="e">
        <f t="shared" ca="1" si="123"/>
        <v>#REF!</v>
      </c>
      <c r="DI58" s="716" t="str" cm="1">
        <f t="array" aca="1" ref="DI58" ca="1">IFERROR(VLOOKUP(INDEX(DE47:DE58,DH58),INDIRECT(BY47),2,FALSE),"----")</f>
        <v>----</v>
      </c>
      <c r="DJ58" s="714" t="e">
        <f t="shared" ca="1" si="124"/>
        <v>#N/A</v>
      </c>
      <c r="DK58" s="715" t="e">
        <f ca="1">IF(AND(INDEX(SSM,DJ58,4)&gt;=$AB53,INDEX(SSM,DJ58,5)&gt;=$S47,INDEX(SSM,DJ58,6)&gt;=$R47),1,0)</f>
        <v>#N/A</v>
      </c>
      <c r="DL58" s="715" t="e">
        <f t="shared" ref="DL58" ca="1" si="286">MATCH(1,OFFSET(DK47:DK58,DM57,0,COUNT(DK47:DK58)-DM57),0)</f>
        <v>#REF!</v>
      </c>
      <c r="DM58" s="715" t="e">
        <f t="shared" ca="1" si="126"/>
        <v>#REF!</v>
      </c>
      <c r="DN58" s="716" t="str">
        <f ca="1">IFERROR(IF(AD54="Nested Steel Stud (wood infill)",VLOOKUP(INDEX(DJ47:DJ58,DM58),SSW,2,FALSE),VLOOKUP(INDEX(DJ47:DJ58,DM58),SSM,2,FALSE)),"----")</f>
        <v>----</v>
      </c>
      <c r="DO58" s="714" t="e">
        <f t="shared" ca="1" si="127"/>
        <v>#N/A</v>
      </c>
      <c r="DP58" s="715" t="e">
        <f ca="1">IF(AND(INDEX(WSM,DO58,4)&gt;=$AB53,INDEX(WSM,DO58,5)&gt;=$S47,INDEX(WSM,DO58,6)&gt;=$R47),1,0)</f>
        <v>#N/A</v>
      </c>
      <c r="DQ58" s="715" t="e">
        <f t="shared" ref="DQ58" ca="1" si="287">MATCH(1,OFFSET(DP47:DP58,DR57,0,COUNT(DP47:DP58)-DR57),0)</f>
        <v>#REF!</v>
      </c>
      <c r="DR58" s="715" t="e">
        <f t="shared" ca="1" si="129"/>
        <v>#REF!</v>
      </c>
      <c r="DS58" s="716" t="str">
        <f ca="1">IFERROR(VLOOKUP(INDEX(DO47:DO58,DR58),WSM,2,FALSE),"----")</f>
        <v>----</v>
      </c>
      <c r="DT58" s="714" t="e">
        <f t="shared" ca="1" si="130"/>
        <v>#N/A</v>
      </c>
      <c r="DU58" s="715" t="e">
        <f ca="1">IF(AND(INDEX(STM,DT58,4)&gt;=$AB53,INDEX(STM,DT58,5)&gt;=$S47,INDEX(STM,DT58,6)&gt;=$R47),1,0)</f>
        <v>#N/A</v>
      </c>
      <c r="DV58" s="715" t="e">
        <f t="shared" ref="DV58" ca="1" si="288">MATCH(1,OFFSET(DU47:DU58,DW57,0,COUNT(DU47:DU58)-DW57),0)</f>
        <v>#REF!</v>
      </c>
      <c r="DW58" s="715" t="e">
        <f t="shared" ca="1" si="132"/>
        <v>#REF!</v>
      </c>
      <c r="DX58" s="716" t="str">
        <f ca="1">IFERROR(VLOOKUP(INDEX(DT47:DT58,DW58),STM,2,FALSE),"----")</f>
        <v>----</v>
      </c>
      <c r="DY58" s="714" t="e">
        <f t="shared" ca="1" si="133"/>
        <v>#N/A</v>
      </c>
      <c r="DZ58" s="715" t="e">
        <f ca="1">IF(AND(INDEX(ELM,DY58,4)&gt;=$AB53,INDEX(ELM,DY58,5)&gt;=$S47,INDEX(ELM,DY58,6)&gt;=$R47),1,0)</f>
        <v>#N/A</v>
      </c>
      <c r="EA58" s="715" t="e">
        <f t="shared" ref="EA58" ca="1" si="289">MATCH(1,OFFSET(DZ47:DZ58,EB57,0,COUNT(DZ47:DZ58)-EB57),0)</f>
        <v>#REF!</v>
      </c>
      <c r="EB58" s="715" t="e">
        <f t="shared" ca="1" si="135"/>
        <v>#REF!</v>
      </c>
      <c r="EC58" s="716" t="str">
        <f ca="1">IFERROR(VLOOKUP(INDEX(DY47:DY58,EB58),ELM,2,FALSE),"----")</f>
        <v>----</v>
      </c>
      <c r="ED58" s="714" t="e">
        <f t="shared" ca="1" si="136"/>
        <v>#N/A</v>
      </c>
      <c r="EE58" s="715" t="e">
        <f ca="1">IF(LEFT($J47,7)="Clad Wo",IF(AND(INDEX(SPPWS,ED58,4)&gt;=$AB53,INDEX(SPPWS,ED58,5)&gt;=$S47,INDEX(SPPWS,ED58,6)&gt;=$R47),1,0),IF(AND(INDEX(SPM,ED58,4)&gt;=$AB53,INDEX(SPM,ED58,5)&gt;=$S47,INDEX(SPM,ED58,6)&gt;=$R47),1,0))</f>
        <v>#N/A</v>
      </c>
      <c r="EF58" s="715" t="e">
        <f t="shared" ref="EF58" ca="1" si="290">MATCH(1,OFFSET(EE47:EE58,EG57,0,COUNT(EE47:EE58)-EG57),0)</f>
        <v>#REF!</v>
      </c>
      <c r="EG58" s="715" t="e">
        <f t="shared" ca="1" si="138"/>
        <v>#REF!</v>
      </c>
      <c r="EH58" s="716" t="str">
        <f ca="1">IF(LEFT($J47,7)="Clad Wo",IFERROR(VLOOKUP(INDEX(ED47:ED58,EG58),SPPWS,2,FALSE),"----"),IFERROR(VLOOKUP(INDEX(ED47:ED58,EG58),SPM,2,FALSE),"----"))</f>
        <v>----</v>
      </c>
    </row>
    <row r="59" spans="1:138" ht="15" customHeight="1" thickTop="1" x14ac:dyDescent="0.25">
      <c r="A59" s="1085"/>
      <c r="B59" s="931" t="s">
        <v>92</v>
      </c>
      <c r="C59" s="932"/>
      <c r="D59" s="933"/>
      <c r="E59" s="992"/>
      <c r="F59" s="993"/>
      <c r="G59" s="994"/>
      <c r="H59" s="1061"/>
      <c r="I59" s="1076"/>
      <c r="J59" s="906"/>
      <c r="K59" s="907"/>
      <c r="L59" s="1001">
        <f>$W$3</f>
        <v>4</v>
      </c>
      <c r="M59" s="923" t="str">
        <f t="shared" ref="M59" si="291">IFERROR(IF($AE$13="",IF($AG$19="Wind Loading",MIN($V$31,IF(E$11="ASCE 7-05",$U$26,$V$7)*$V$9*(IF($E$12&lt;60,0.0771*LN(MAX(MIN(500,O59),10)) -1.2737,IF($E$11="ASCE 7-22",0.0524*LN(MAX(MIN(500,O59),50))-1.0278,0.0614*LN(MAX(MIN(500,O59),20)) -1.0829))-$V$8)),$V$7*IF(E$12&lt;60,$V$13*($V$15*0.0771*LN(MAX(MIN(500,O59),10))-1.2737-$V$16),$V$13*$V$15*((0.0524*LN(MAX(MIN(500,O59),20))-1.0278)-$V$16))),-ABS($AE$13)),"")</f>
        <v/>
      </c>
      <c r="N59" s="1042" t="str">
        <f t="shared" ref="N59" si="292">IFERROR(IF($AE$15="",IF($AG$19="Wind Loading",MAX($U$31,IF(E$11="ASCE 7-05",$U$26,$V$7)*$V$9*((IF($E$12&lt;60,-0.077*LN(MAX(MIN(500,O59),10))+1.1737,IF($E$11="ASCE 7-22",-0.077*LN(MAX(MIN(500,O59),20))+1.0798,-0.093*LN(MAX(MIN(500,O59),20))+1.1776)))+$V$8)),$V$7*IF(E$12&lt;60,$V$13*($V$15*(-0.077*LN(MAX(MIN(500,O59),10))+1.1737)-$V$17),$V$13*$V$15*((-0.077*LN(MAX(MIN(500,O59),20))+1.0798)-$V$17))),ABS($AE$15)),"")</f>
        <v/>
      </c>
      <c r="O59" s="1017" t="str">
        <f>IF(BX66=0,"",IF(AG$14="Trapezoidal",BY66,BX66))</f>
        <v/>
      </c>
      <c r="P59" s="986"/>
      <c r="Q59" s="1014"/>
      <c r="R59" s="1011">
        <f>P59*Q59/8</f>
        <v>0</v>
      </c>
      <c r="S59" s="1004">
        <f t="shared" ref="S59" si="293">IF(5*(P59*Q59^3/(384*0.125))=0,0,5*(P59*Q59^3/(384*0.125)))</f>
        <v>0</v>
      </c>
      <c r="T59" s="1005"/>
      <c r="U59" s="877" t="e">
        <f ca="1">VLOOKUP(J63,INDIRECT(VLOOKUP(J59,FrameStrength,2,FALSE)),3,FALSE)</f>
        <v>#N/A</v>
      </c>
      <c r="V59" s="880">
        <f t="shared" ref="V59" si="294">(H59+I59)/2</f>
        <v>0</v>
      </c>
      <c r="W59" s="883" t="e">
        <f t="shared" ref="W59" si="295">MAX(-M59,N59)*O59</f>
        <v>#VALUE!</v>
      </c>
      <c r="X59" s="883">
        <f t="shared" ref="X59" si="296">IF(E59&gt;162,(E59/240+0.25),IF(AND(E59&lt;162,E59/175&lt;0.75),E59/175,0.75))</f>
        <v>0</v>
      </c>
      <c r="Y59" s="886">
        <f>IFERROR(IF(AG$14="Trapezoidal",BY67,BX67)+IF($E$17="4",(400*E59^3)/(48*X59),0),0)</f>
        <v>0</v>
      </c>
      <c r="Z59" s="886" t="e">
        <f t="shared" ref="Z59" si="297">+($V59*MAX(-$M59,$N59)*$E59^2)/(144*8)+IF($E$17=4,(400*$E59)/4,0)</f>
        <v>#VALUE!</v>
      </c>
      <c r="AA59" s="886" t="e">
        <f ca="1">VLOOKUP(J63,INDIRECT(VLOOKUP(J59,FrameStrength,2,FALSE)),2,FALSE)</f>
        <v>#N/A</v>
      </c>
      <c r="AB59" s="1083" t="str">
        <f t="shared" ref="AB59" ca="1" si="298">IFERROR(Z59-AA59,"")</f>
        <v/>
      </c>
      <c r="AC59" s="1077" t="str">
        <f t="shared" ref="AC59" ca="1" si="299">IFERROR(Y59-U59,"")</f>
        <v/>
      </c>
      <c r="AD59" s="1100" t="str">
        <f>IFERROR(IF(LEFT(J63,2)="As",VLOOKUP(J63,EIMM,4,FALSE),VLOOKUP(J59,EIMM,4,FALSE)),IF(AND(ISNUMBER(SEARCH("Impervia",J59)),ISNUMBER(SEARCH("door",J63))),'New Lookup Cells'!AF$10,IF(ISNUMBER(SEARCH("Impervia",J59)),'New Lookup Cells'!AF$7,IF(AND(ISNUMBER(SEARCH("250",J59)),ISNUMBER(SEARCH("door",J63))),'New Lookup Cells'!AF$14,IF(ISNUMBER(SEARCH("250",J59)),'New Lookup Cells'!AF$13,"")))))</f>
        <v/>
      </c>
      <c r="AE59" s="1101"/>
      <c r="AF59" s="1050"/>
      <c r="AG59" s="1051"/>
      <c r="AH59" s="1051"/>
      <c r="AI59" s="1088"/>
      <c r="AJ59" s="1089"/>
      <c r="AK59" s="154" t="str">
        <f t="shared" ca="1" si="62"/>
        <v/>
      </c>
      <c r="AL59" s="1038" t="str">
        <f t="shared" ref="AL59" si="300">IFERROR(ROUND(SQRT(P59^2+(W59/2+IF($E$17=4,200,0))^2),0),"")</f>
        <v/>
      </c>
      <c r="AM59" s="342" t="s">
        <v>669</v>
      </c>
      <c r="AN59" t="str">
        <f t="shared" ca="1" si="5"/>
        <v/>
      </c>
      <c r="AP59" s="122" t="str">
        <f t="shared" ref="AP59" si="301">_xlfn.CONCAT(AR59,AS64)</f>
        <v/>
      </c>
      <c r="AQ59" s="683" t="str">
        <f t="shared" si="65"/>
        <v/>
      </c>
      <c r="AR59" s="96" t="str">
        <f t="shared" si="3"/>
        <v/>
      </c>
      <c r="AS59" s="96" t="str">
        <f>IF(COUNTIF(imp_1,AF59)=1,"imp_1",IF(COUNTIF(imp_2,AF59)=1,"imp_2",IF(COUNTIF(imp_3,AF59)=1,"imp_3",IF(COUNTIF(impdoor,AF59)=1,"impdoor",""))))</f>
        <v/>
      </c>
      <c r="AT59" s="684" t="str">
        <f>AL59</f>
        <v/>
      </c>
      <c r="AU59" s="685" t="e">
        <f ca="1">MATCH(AL59,INDIRECT(AP59),-1)</f>
        <v>#REF!</v>
      </c>
      <c r="AV59" s="686" t="str">
        <f ca="1">IFERROR(VLOOKUP(AU59,INDIRECT(AQ59),2,FALSE),"----")</f>
        <v>----</v>
      </c>
      <c r="AW59" s="685" t="e">
        <f ca="1">MATCH(AL59,INDIRECT(AP60),-1)</f>
        <v>#REF!</v>
      </c>
      <c r="AX59" s="686" t="str">
        <f ca="1">IFERROR(VLOOKUP(AW59,INDIRECT(AQ60),2,FALSE),"----")</f>
        <v>----</v>
      </c>
      <c r="AY59" s="685" t="e">
        <f ca="1">MATCH(AL59,INDIRECT(AP61),-1)</f>
        <v>#REF!</v>
      </c>
      <c r="AZ59" s="686" t="str">
        <f ca="1">IFERROR(VLOOKUP(AY59,INDIRECT(AQ61),2,FALSE),"----")</f>
        <v>----</v>
      </c>
      <c r="BA59" s="685" t="e">
        <f ca="1">MATCH(AL59,INDIRECT(AP62),-1)</f>
        <v>#REF!</v>
      </c>
      <c r="BB59" s="686" t="str">
        <f ca="1">IFERROR(VLOOKUP(BA59,INDIRECT(AQ62),2,FALSE),"----")</f>
        <v>----</v>
      </c>
      <c r="BC59" s="685" t="e">
        <f ca="1">MATCH(AL59,INDIRECT(AP63),-1)</f>
        <v>#REF!</v>
      </c>
      <c r="BD59" s="686" t="str">
        <f ca="1">IFERROR(VLOOKUP(BC59,INDIRECT(AQ63),2,FALSE),"----")</f>
        <v>----</v>
      </c>
      <c r="BE59" s="685" t="e">
        <f ca="1">MATCH(AL59,INDIRECT(AP64),-1)</f>
        <v>#REF!</v>
      </c>
      <c r="BF59" s="686" t="str">
        <f ca="1">IFERROR(VLOOKUP(BE59,INDIRECT(AQ64),2,FALSE),"----")</f>
        <v>----</v>
      </c>
      <c r="BG59" s="685" t="e">
        <f ca="1">MATCH(AL65,INDIRECT(AP65),-1)</f>
        <v>#REF!</v>
      </c>
      <c r="BH59" s="686" t="str">
        <f ca="1">IFERROR(VLOOKUP(BG59,INDIRECT(AQ65),2,FALSE),"----")</f>
        <v>----</v>
      </c>
      <c r="BI59" s="685" t="e">
        <f ca="1">MATCH(AL65,INDIRECT(AP66),-1)</f>
        <v>#REF!</v>
      </c>
      <c r="BJ59" s="686" t="str">
        <f ca="1">IFERROR(VLOOKUP(BI59,INDIRECT(AQ66),2,FALSE),"----")</f>
        <v>----</v>
      </c>
      <c r="BK59" s="685" t="e">
        <f ca="1">MATCH(AL65,INDIRECT(AP67),-1)</f>
        <v>#REF!</v>
      </c>
      <c r="BL59" s="686" t="str">
        <f ca="1">IFERROR(VLOOKUP(BK59,INDIRECT(AQ67),2,FALSE),"----")</f>
        <v>----</v>
      </c>
      <c r="BM59" s="685" t="e">
        <f ca="1">MATCH(AL65,INDIRECT(AP68),-1)</f>
        <v>#REF!</v>
      </c>
      <c r="BN59" s="686" t="str">
        <f ca="1">IFERROR(VLOOKUP(BM59,INDIRECT(AQ68),2,FALSE),"----")</f>
        <v>----</v>
      </c>
      <c r="BO59" s="685" t="e">
        <f ca="1">MATCH(AL65,INDIRECT(AP69),-1)</f>
        <v>#REF!</v>
      </c>
      <c r="BP59" s="686" t="str">
        <f ca="1">IFERROR(VLOOKUP(BO59,INDIRECT(AQ69),2,FALSE),"----")</f>
        <v>----</v>
      </c>
      <c r="BQ59" s="685" t="e">
        <f ca="1">MATCH(AL65,INDIRECT(AP70),-1)</f>
        <v>#REF!</v>
      </c>
      <c r="BR59" s="686" t="str">
        <f ca="1">IFERROR(VLOOKUP(BQ59,INDIRECT(AQ70),2,FALSE),"----")</f>
        <v>----</v>
      </c>
      <c r="BS59" s="687">
        <f>IF(AI59="",1,IF(COUNTIF(AV59:AV70,AI59)=0,2,1))</f>
        <v>1</v>
      </c>
      <c r="BT59" s="688">
        <f>IF(AP59="1",1,IF(AF59="",1,IF(AV59=".",2,1)))</f>
        <v>1</v>
      </c>
      <c r="BU59" s="706"/>
      <c r="BV59" s="155">
        <f ca="1">IF(COUNTIF(CE59:CE70,AF59)=0,IF(AF59&lt;&gt;"",0,1),1)</f>
        <v>1</v>
      </c>
      <c r="BW59" s="157">
        <f ca="1">IFERROR(MATCH(AF59,CE59:CE70,0),1)</f>
        <v>1</v>
      </c>
      <c r="BX59" s="769" t="str">
        <f>IFERROR(IF(LEFT(J63,2)="As",VLOOKUP(J63,EIMM,2,FALSE),IF(AND(ISNUMBER(SEARCH("Impervia",J59)),ISNUMBER(SEARCH("door",J63))),VLOOKUP("Impervia Door",EIMM,2,FALSE),IF(AND(ISNUMBER(SEARCH("250",J59)),ISNUMBER(SEARCH("door",J63))),VLOOKUP("250 Series Door",EIMM,2,FALSE),VLOOKUP(J59,EIMM,2,FALSE)))),"")</f>
        <v/>
      </c>
      <c r="BY59" s="769" t="str">
        <f ca="1">IFERROR(VLOOKUP(BX59,OFFSET(EIMM,0,1),2,FALSE),"")</f>
        <v/>
      </c>
      <c r="BZ59" s="1110" t="e">
        <f ca="1">IF((COUNTIF(INDIRECT(SUBSTITUTE(J59," ","_")),J63))=0,IF(J63="",1,0),1)</f>
        <v>#REF!</v>
      </c>
      <c r="CA59" s="691" t="e">
        <f ca="1">MATCH(AC59,INDIRECT(BX59),-1)</f>
        <v>#REF!</v>
      </c>
      <c r="CB59" s="4" t="e" cm="1">
        <f t="array" aca="1" ref="CB59" ca="1">IF(AND(INDEX(INDIRECT(BY59),CA59,4)&gt;=$AB59,INDEX(INDIRECT(BY59),CA59,5)&gt;=$S59,INDEX(INDIRECT(BY59),CA59,6)&gt;=$R59),1,0)</f>
        <v>#REF!</v>
      </c>
      <c r="CC59" s="4" t="e">
        <f t="shared" ref="CC59" ca="1" si="302">MATCH(1,OFFSET(CB59:CB70,$W$2,0,COUNT(CB59:CB70)-$W$2),0)</f>
        <v>#REF!</v>
      </c>
      <c r="CD59" s="4" t="e">
        <f t="shared" ref="CD59" ca="1" si="303">$W$2+CC59</f>
        <v>#REF!</v>
      </c>
      <c r="CE59" s="692" t="str" cm="1">
        <f t="array" aca="1" ref="CE59" ca="1">IFERROR(VLOOKUP(INDEX(CA59:CA70,CD59),INDIRECT(BY59),2,FALSE),"----")</f>
        <v>----</v>
      </c>
      <c r="CF59" s="691" t="e">
        <f ca="1">MATCH($AC59,SSEI,-1)</f>
        <v>#N/A</v>
      </c>
      <c r="CG59" s="4" t="e">
        <f ca="1">IF(AND(INDEX(SSM,CF59,4)&gt;=$AB59,INDEX(SSM,CF59,5)&gt;=$S59,INDEX(SSM,CF59,6)&gt;=$R59),1,0)</f>
        <v>#N/A</v>
      </c>
      <c r="CH59" s="4" t="e">
        <f t="shared" ref="CH59" ca="1" si="304">MATCH(1,OFFSET(CG59:CG70,$W$2,0,COUNT(CG59:CG70)-$W$2),0)</f>
        <v>#REF!</v>
      </c>
      <c r="CI59" s="4" t="e">
        <f t="shared" ref="CI59" ca="1" si="305">$W$2+CH59</f>
        <v>#REF!</v>
      </c>
      <c r="CJ59" s="692" t="str">
        <f ca="1">IFERROR(IF(AD60="Nested Steel Stud (wood infill)",VLOOKUP(INDEX(CF59:CF70,CI59),SSW,2,FALSE),VLOOKUP(INDEX(CF59:CF70,CI59),SSM,2,FALSE)),"----")</f>
        <v>----</v>
      </c>
      <c r="CK59" s="691" t="e">
        <f ca="1">MATCH($AC59,WSEI,-1)</f>
        <v>#N/A</v>
      </c>
      <c r="CL59" s="4" t="e">
        <f ca="1">IF(AND(INDEX(WSM,CK59,4)&gt;=$AB59,INDEX(WSM,CK59,5)&gt;=$S59,INDEX(WSM,CK59,6)&gt;=$R59),1,0)</f>
        <v>#N/A</v>
      </c>
      <c r="CM59" s="4" t="e">
        <f t="shared" ref="CM59" ca="1" si="306">MATCH(1,OFFSET(CL59:CL70,$W$2,0,COUNT(CL59:CL70)-$W$2),0)</f>
        <v>#REF!</v>
      </c>
      <c r="CN59" s="4" t="e">
        <f t="shared" ref="CN59" ca="1" si="307">$W$2+CM59</f>
        <v>#REF!</v>
      </c>
      <c r="CO59" s="692" t="str">
        <f ca="1">IFERROR(VLOOKUP(INDEX(CK59:CK70,CN59),WSM,2,FALSE),"----")</f>
        <v>----</v>
      </c>
      <c r="CP59" s="691" t="e">
        <f ca="1">MATCH($AC59,STEI,-1)</f>
        <v>#N/A</v>
      </c>
      <c r="CQ59" s="4" t="e">
        <f ca="1">IF(AND(INDEX(STM,CP59,4)&gt;=$AB59,INDEX(STM,CP59,5)&gt;=$S59,INDEX(STM,CP59,6)&gt;=$R59),1,0)</f>
        <v>#N/A</v>
      </c>
      <c r="CR59" s="4" t="e">
        <f t="shared" ref="CR59" ca="1" si="308">MATCH(1,OFFSET(CQ59:CQ70,$W$2,0,COUNT(CQ59:CQ70)-$W$2),0)</f>
        <v>#REF!</v>
      </c>
      <c r="CS59" s="4" t="e">
        <f t="shared" ref="CS59" ca="1" si="309">$W$2+CR59</f>
        <v>#REF!</v>
      </c>
      <c r="CT59" s="692" t="str">
        <f ca="1">IFERROR(VLOOKUP(INDEX(CP59:CP70,CS59),STM,2,FALSE),"----")</f>
        <v>----</v>
      </c>
      <c r="CU59" s="691" t="e">
        <f ca="1">MATCH($AC59,ELEI,-1)</f>
        <v>#N/A</v>
      </c>
      <c r="CV59" s="4" t="e">
        <f ca="1">IF(AND(INDEX(ELM,CU59,4)&gt;=$AB59,INDEX(ELM,CU59,5)&gt;=$S59,INDEX(ELM,CU59,6)&gt;=$R59),1,0)</f>
        <v>#N/A</v>
      </c>
      <c r="CW59" s="4" t="e">
        <f t="shared" ref="CW59" ca="1" si="310">MATCH(1,OFFSET(CV59:CV70,$W$2,0,COUNT(CV59:CV70)-$W$2),0)</f>
        <v>#REF!</v>
      </c>
      <c r="CX59" s="4" t="e">
        <f t="shared" ref="CX59" ca="1" si="311">$W$2+CW59</f>
        <v>#REF!</v>
      </c>
      <c r="CY59" s="692" t="str">
        <f ca="1">IFERROR(VLOOKUP(INDEX(CU59:CU70,CX59),ELM,2,FALSE),"----")</f>
        <v>----</v>
      </c>
      <c r="CZ59" s="691" t="e">
        <f ca="1">IF(LEFT($J59,7)="Clad Wo",MATCH($AC59,SPEIW,-1),MATCH($AC59,SPEI,-1))</f>
        <v>#N/A</v>
      </c>
      <c r="DA59" s="4" t="e">
        <f ca="1">IF(LEFT($J59,7)="Clad Wo",IF(AND(INDEX(SPPWS,CZ59,4)&gt;=$AB59,INDEX(SPPWS,CZ59,5)&gt;=$S59,INDEX(SPPWS,CZ59,6)&gt;=$R59),1,0),IF(AND(INDEX(SPM,CZ59,4)&gt;=$AB59,INDEX(SPM,CZ59,5)&gt;=$S59,INDEX(SPM,CZ59,6)&gt;=$R59),1,0))</f>
        <v>#N/A</v>
      </c>
      <c r="DB59" s="4" t="e">
        <f t="shared" ref="DB59" ca="1" si="312">MATCH(1,OFFSET(DA59:DA70,$W$2,0,COUNT(DA59:DA70)-$W$2),0)</f>
        <v>#REF!</v>
      </c>
      <c r="DC59" s="4" t="e">
        <f t="shared" ref="DC59" ca="1" si="313">$W$2+DB59</f>
        <v>#REF!</v>
      </c>
      <c r="DD59" s="693" t="str">
        <f ca="1">IF(LEFT($J59,7)="Clad Wo",IFERROR(VLOOKUP(INDEX(CZ59:CZ70,DC59),SPPWS,2,FALSE),"----"),IFERROR(VLOOKUP(INDEX(CZ59:CZ70,DC59),SPM,2,FALSE),"----"))</f>
        <v>----</v>
      </c>
      <c r="DE59" s="691" t="e">
        <f ca="1">MATCH(AC65,INDIRECT(BX59),-1)</f>
        <v>#REF!</v>
      </c>
      <c r="DF59" s="4" t="e" cm="1">
        <f t="array" aca="1" ref="DF59" ca="1">IF(AND(INDEX(INDIRECT(BY59),DE59,4)&gt;=$AB65,INDEX(INDIRECT(BY59),DE59,5)&gt;=$S59,INDEX(INDIRECT(BY59),DE59,6)&gt;=$R59),1,0)</f>
        <v>#REF!</v>
      </c>
      <c r="DG59" s="4" t="e">
        <f t="shared" ref="DG59" ca="1" si="314">MATCH(1,OFFSET(DF59:DF70,$W$2,0,COUNT(DF59:DF70)-$W$2),0)</f>
        <v>#REF!</v>
      </c>
      <c r="DH59" s="4" t="e">
        <f t="shared" ref="DH59" ca="1" si="315">$W$2+DG59</f>
        <v>#REF!</v>
      </c>
      <c r="DI59" s="692" t="str" cm="1">
        <f t="array" aca="1" ref="DI59" ca="1">IFERROR(VLOOKUP(INDEX(DE59:DE70,DH59),INDIRECT(BY59),2,FALSE),"----")</f>
        <v>----</v>
      </c>
      <c r="DJ59" s="691" t="e">
        <f ca="1">MATCH($AC65,SSEI,-1)</f>
        <v>#N/A</v>
      </c>
      <c r="DK59" s="4" t="e">
        <f ca="1">IF(AND(INDEX(SSM,DJ59,4)&gt;=$AB65,INDEX(SSM,DJ59,5)&gt;=$S59,INDEX(SSM,DJ59,6)&gt;=$R59),1,0)</f>
        <v>#N/A</v>
      </c>
      <c r="DL59" s="4" t="e">
        <f t="shared" ref="DL59" ca="1" si="316">MATCH(1,OFFSET(DK59:DK70,$W$2,0,COUNT(DK59:DK70)-$W$2),0)</f>
        <v>#REF!</v>
      </c>
      <c r="DM59" s="4" t="e">
        <f t="shared" ref="DM59" ca="1" si="317">$W$2+DL59</f>
        <v>#REF!</v>
      </c>
      <c r="DN59" s="692" t="str">
        <f ca="1">IFERROR(IF(AD66="Nested Steel Stud (wood infill)",VLOOKUP(INDEX(DJ59:DJ70,DM59),SSW,2,FALSE),VLOOKUP(INDEX(DJ59:DJ70,DM59),SSM,2,FALSE)),"----")</f>
        <v>----</v>
      </c>
      <c r="DO59" s="691" t="e">
        <f ca="1">MATCH($AC65,WSEI,-1)</f>
        <v>#N/A</v>
      </c>
      <c r="DP59" s="4" t="e">
        <f ca="1">IF(AND(INDEX(WSM,DO59,4)&gt;=$AB65,INDEX(WSM,DO59,5)&gt;=$S59,INDEX(WSM,DO59,6)&gt;=$R59),1,0)</f>
        <v>#N/A</v>
      </c>
      <c r="DQ59" s="4" t="e">
        <f t="shared" ref="DQ59" ca="1" si="318">MATCH(1,OFFSET(DP59:DP70,$W$2,0,COUNT(DP59:DP70)-$W$2),0)</f>
        <v>#REF!</v>
      </c>
      <c r="DR59" s="4" t="e">
        <f t="shared" ref="DR59" ca="1" si="319">$W$2+DQ59</f>
        <v>#REF!</v>
      </c>
      <c r="DS59" s="692" t="str">
        <f ca="1">IFERROR(VLOOKUP(INDEX(DO59:DO70,DR59),WSM,2,FALSE),"----")</f>
        <v>----</v>
      </c>
      <c r="DT59" s="691" t="e">
        <f ca="1">MATCH($AC65,STEI,-1)</f>
        <v>#N/A</v>
      </c>
      <c r="DU59" s="4" t="e">
        <f ca="1">IF(AND(INDEX(STM,DT59,4)&gt;=$AB65,INDEX(STM,DT59,5)&gt;=$S59,INDEX(STM,DT59,6)&gt;=$R59),1,0)</f>
        <v>#N/A</v>
      </c>
      <c r="DV59" s="4" t="e">
        <f t="shared" ref="DV59" ca="1" si="320">MATCH(1,OFFSET(DU59:DU70,$W$2,0,COUNT(DU59:DU70)-$W$2),0)</f>
        <v>#REF!</v>
      </c>
      <c r="DW59" s="4" t="e">
        <f t="shared" ref="DW59" ca="1" si="321">$W$2+DV59</f>
        <v>#REF!</v>
      </c>
      <c r="DX59" s="692" t="str">
        <f ca="1">IFERROR(VLOOKUP(INDEX(DT59:DT70,DW59),STM,2,FALSE),"----")</f>
        <v>----</v>
      </c>
      <c r="DY59" s="691" t="e">
        <f ca="1">MATCH($AC65,ELEI,-1)</f>
        <v>#N/A</v>
      </c>
      <c r="DZ59" s="4" t="e">
        <f ca="1">IF(AND(INDEX(ELM,DY59,4)&gt;=$AB65,INDEX(ELM,DY59,5)&gt;=$S59,INDEX(ELM,DY59,6)&gt;=$R59),1,0)</f>
        <v>#N/A</v>
      </c>
      <c r="EA59" s="4" t="e">
        <f t="shared" ref="EA59" ca="1" si="322">MATCH(1,OFFSET(DZ59:DZ70,$W$2,0,COUNT(DZ59:DZ70)-$W$2),0)</f>
        <v>#REF!</v>
      </c>
      <c r="EB59" s="4" t="e">
        <f t="shared" ref="EB59" ca="1" si="323">EA59+$W$2</f>
        <v>#REF!</v>
      </c>
      <c r="EC59" s="692" t="str">
        <f ca="1">IFERROR(VLOOKUP(INDEX(DY59:DY70,EB59),ELM,2,FALSE),"----")</f>
        <v>----</v>
      </c>
      <c r="ED59" s="691" t="e">
        <f ca="1">IF(LEFT($J59,7)="Clad Wo",MATCH($AC65,SPEIW,-1),MATCH($AC65,SPEI,-1))</f>
        <v>#N/A</v>
      </c>
      <c r="EE59" s="4" t="e">
        <f ca="1">IF(LEFT($J59,7)="Clad Wo",IF(AND(INDEX(SPPWS,ED59,4)&gt;=$AB65,INDEX(SPPWS,ED59,5)&gt;=$S59,INDEX(SPPWS,ED59,6)&gt;=$R59),1,0),IF(AND(INDEX(SPM,ED59,4)&gt;=$AB65,INDEX(SPM,ED59,5)&gt;=$S59,INDEX(SPM,ED59,6)&gt;=$R59),1,0))</f>
        <v>#N/A</v>
      </c>
      <c r="EF59" s="4" t="e">
        <f t="shared" ref="EF59" ca="1" si="324">MATCH(1,OFFSET(EE59:EE70,$W$2,0,COUNT(EE59:EE70)-$W$2),0)</f>
        <v>#REF!</v>
      </c>
      <c r="EG59" s="4" t="e">
        <f t="shared" ref="EG59" ca="1" si="325">$W$2+EF59</f>
        <v>#REF!</v>
      </c>
      <c r="EH59" s="692" t="str">
        <f ca="1">IF(LEFT($J59,7)="Clad Wo",IFERROR(VLOOKUP(INDEX(ED59:ED70,EG59),SPPWS,2,FALSE),"----"),IFERROR(VLOOKUP(INDEX(ED59:ED70,EG59),SPM,2,FALSE),"----"))</f>
        <v>----</v>
      </c>
    </row>
    <row r="60" spans="1:138" ht="15" customHeight="1" x14ac:dyDescent="0.25">
      <c r="A60" s="1085"/>
      <c r="B60" s="925"/>
      <c r="C60" s="926"/>
      <c r="D60" s="927"/>
      <c r="E60" s="995"/>
      <c r="F60" s="996"/>
      <c r="G60" s="997"/>
      <c r="H60" s="1062"/>
      <c r="I60" s="990"/>
      <c r="J60" s="908"/>
      <c r="K60" s="909"/>
      <c r="L60" s="1002"/>
      <c r="M60" s="923"/>
      <c r="N60" s="1042"/>
      <c r="O60" s="1018"/>
      <c r="P60" s="987"/>
      <c r="Q60" s="1015"/>
      <c r="R60" s="1012"/>
      <c r="S60" s="1006"/>
      <c r="T60" s="1007"/>
      <c r="U60" s="878"/>
      <c r="V60" s="881"/>
      <c r="W60" s="884"/>
      <c r="X60" s="884"/>
      <c r="Y60" s="887"/>
      <c r="Z60" s="887"/>
      <c r="AA60" s="887"/>
      <c r="AB60" s="1081"/>
      <c r="AC60" s="1078"/>
      <c r="AD60" s="1102" t="s">
        <v>38</v>
      </c>
      <c r="AE60" s="1103"/>
      <c r="AF60" s="1052"/>
      <c r="AG60" s="1053"/>
      <c r="AH60" s="1053"/>
      <c r="AI60" s="1066"/>
      <c r="AJ60" s="1067"/>
      <c r="AK60" s="156" t="str">
        <f t="shared" ca="1" si="62"/>
        <v/>
      </c>
      <c r="AL60" s="1039"/>
      <c r="AM60" s="343" t="str">
        <f ca="1">IFERROR(Q59/12*ROUND(VLOOKUP(AF60,OFFSET(SSM,0,1),6,FALSE),2),"")</f>
        <v/>
      </c>
      <c r="AN60" t="str">
        <f t="shared" ca="1" si="5"/>
        <v/>
      </c>
      <c r="AP60" s="122" t="str">
        <f t="shared" ref="AP60" si="326">_xlfn.CONCAT(AR60,AS64)</f>
        <v/>
      </c>
      <c r="AQ60" s="683" t="str">
        <f t="shared" si="65"/>
        <v/>
      </c>
      <c r="AR60" s="96" t="str">
        <f t="shared" si="3"/>
        <v/>
      </c>
      <c r="AS60" s="96" t="str">
        <f>IF(COUNTIF(Vista_1,AF59)=1,"Vista_1",IF(COUNTIF(Vista_2,AF59)=1,"Vista_2",""))</f>
        <v/>
      </c>
      <c r="AT60" s="684" t="str">
        <f>AL59</f>
        <v/>
      </c>
      <c r="AU60" s="694" t="e">
        <f t="shared" ref="AU60" ca="1" si="327">AU59-1</f>
        <v>#REF!</v>
      </c>
      <c r="AV60" s="686" t="str">
        <f ca="1">IFERROR(VLOOKUP(AU60,INDIRECT(AQ59),2,FALSE),"----")</f>
        <v>----</v>
      </c>
      <c r="AW60" s="694" t="e">
        <f t="shared" ref="AW60:AW61" ca="1" si="328">AW59-1</f>
        <v>#REF!</v>
      </c>
      <c r="AX60" s="686" t="str">
        <f ca="1">IFERROR(VLOOKUP(AW60,INDIRECT(AQ60),2,FALSE),"----")</f>
        <v>----</v>
      </c>
      <c r="AY60" s="694" t="e">
        <f t="shared" ref="AY60:AY61" ca="1" si="329">AY59-1</f>
        <v>#REF!</v>
      </c>
      <c r="AZ60" s="686" t="str">
        <f ca="1">IFERROR(VLOOKUP(AY60,INDIRECT(AQ61),2,FALSE),"----")</f>
        <v>----</v>
      </c>
      <c r="BA60" s="694" t="e">
        <f t="shared" ref="BA60:BA61" ca="1" si="330">BA59-1</f>
        <v>#REF!</v>
      </c>
      <c r="BB60" s="686" t="str">
        <f ca="1">IFERROR(VLOOKUP(BA60,INDIRECT(AQ62),2,FALSE),"----")</f>
        <v>----</v>
      </c>
      <c r="BC60" s="694" t="e">
        <f t="shared" ref="BC60:BC61" ca="1" si="331">BC59-1</f>
        <v>#REF!</v>
      </c>
      <c r="BD60" s="686" t="str">
        <f ca="1">IFERROR(VLOOKUP(BC60,INDIRECT(AQ63),2,FALSE),"----")</f>
        <v>----</v>
      </c>
      <c r="BE60" s="694" t="e">
        <f t="shared" ref="BE60" ca="1" si="332">BE59-1</f>
        <v>#REF!</v>
      </c>
      <c r="BF60" s="686" t="str">
        <f ca="1">IFERROR(VLOOKUP(BE60,INDIRECT(AQ64),2,FALSE),"----")</f>
        <v>----</v>
      </c>
      <c r="BG60" s="694" t="e">
        <f t="shared" ref="BG60" ca="1" si="333">BG59-1</f>
        <v>#REF!</v>
      </c>
      <c r="BH60" s="686" t="str">
        <f ca="1">IFERROR(VLOOKUP(BG60,INDIRECT(AQ65),2,FALSE),"----")</f>
        <v>----</v>
      </c>
      <c r="BI60" s="694" t="e">
        <f t="shared" ref="BI60:BI61" ca="1" si="334">BI59-1</f>
        <v>#REF!</v>
      </c>
      <c r="BJ60" s="686" t="str">
        <f ca="1">IFERROR(VLOOKUP(BI60,INDIRECT(AQ66),2,FALSE),"----")</f>
        <v>----</v>
      </c>
      <c r="BK60" s="694" t="e">
        <f t="shared" ref="BK60:BK61" ca="1" si="335">BK59-1</f>
        <v>#REF!</v>
      </c>
      <c r="BL60" s="686" t="str">
        <f ca="1">IFERROR(VLOOKUP(BK60,INDIRECT(AQ67),2,FALSE),"----")</f>
        <v>----</v>
      </c>
      <c r="BM60" s="694" t="e">
        <f t="shared" ref="BM60:BM61" ca="1" si="336">BM59-1</f>
        <v>#REF!</v>
      </c>
      <c r="BN60" s="686" t="str">
        <f ca="1">IFERROR(VLOOKUP(BM60,INDIRECT(AQ68),2,FALSE),"----")</f>
        <v>----</v>
      </c>
      <c r="BO60" s="694" t="e">
        <f t="shared" ref="BO60:BO61" ca="1" si="337">BO59-1</f>
        <v>#REF!</v>
      </c>
      <c r="BP60" s="686" t="str">
        <f ca="1">IFERROR(VLOOKUP(BO60,INDIRECT(AQ69),2,FALSE),"----")</f>
        <v>----</v>
      </c>
      <c r="BQ60" s="694" t="e">
        <f t="shared" ref="BQ60" ca="1" si="338">BQ59-1</f>
        <v>#REF!</v>
      </c>
      <c r="BR60" s="686" t="str">
        <f ca="1">IFERROR(VLOOKUP(BQ60,INDIRECT(AQ70),2,FALSE),"----")</f>
        <v>----</v>
      </c>
      <c r="BS60" s="695">
        <f>IF(AI60="",1,IF(COUNTIF(AX59:AX70,AI60)=0,2,1))</f>
        <v>1</v>
      </c>
      <c r="BT60" s="696">
        <f>IF(AF60="",1,IF(AX59=".",2,1))</f>
        <v>1</v>
      </c>
      <c r="BU60" s="706"/>
      <c r="BV60" s="155">
        <f ca="1">IF(COUNTIF(CJ59:CJ70,AF60)=0,IF(AF60&lt;&gt;"",0,1),1)</f>
        <v>1</v>
      </c>
      <c r="BW60" s="157">
        <f ca="1">IFERROR(MATCH(AF60,CJ59:CJ70,0),1)</f>
        <v>1</v>
      </c>
      <c r="BX60" s="769"/>
      <c r="BY60" s="769"/>
      <c r="BZ60" s="1110"/>
      <c r="CA60" s="691" t="e">
        <f t="shared" ref="CA60:CA70" ca="1" si="339">CA59-1</f>
        <v>#REF!</v>
      </c>
      <c r="CB60" s="4" t="e" cm="1">
        <f t="array" aca="1" ref="CB60" ca="1">IF(AND(INDEX(INDIRECT(BY59),CA60,4)&gt;=$AB59,INDEX(INDIRECT(BY59),CA60,5)&gt;=$S59,INDEX(INDIRECT(BY59),CA60,6)&gt;=$R59),1,0)</f>
        <v>#REF!</v>
      </c>
      <c r="CC60" s="4" t="e">
        <f t="shared" ref="CC60" ca="1" si="340">MATCH(1,OFFSET(CB59:CB70,CD59,0,COUNT(CB59:CB70)-CD59),0)</f>
        <v>#REF!</v>
      </c>
      <c r="CD60" s="4" t="e">
        <f t="shared" ref="CD60:CD70" ca="1" si="341">CD59+CC60</f>
        <v>#REF!</v>
      </c>
      <c r="CE60" s="692" t="str" cm="1">
        <f t="array" aca="1" ref="CE60" ca="1">IFERROR(VLOOKUP(INDEX(CA59:CA70,CD60),INDIRECT(BY59),2,FALSE),"----")</f>
        <v>----</v>
      </c>
      <c r="CF60" s="691" t="e">
        <f t="shared" ref="CF60:CF70" ca="1" si="342">CF59-1</f>
        <v>#N/A</v>
      </c>
      <c r="CG60" s="4" t="e">
        <f ca="1">IF(AND(INDEX(SSM,CF60,4)&gt;=$AB59,INDEX(SSM,CF60,5)&gt;=$S59,INDEX(SSM,CF60,6)&gt;=$R59),1,0)</f>
        <v>#N/A</v>
      </c>
      <c r="CH60" s="4" t="e">
        <f t="shared" ref="CH60" ca="1" si="343">MATCH(1,OFFSET(CG59:CG70,CI59,0,COUNT(CG59:CG70)-CI59),0)</f>
        <v>#REF!</v>
      </c>
      <c r="CI60" s="4" t="e">
        <f t="shared" ref="CI60:CI70" ca="1" si="344">CI59+CH60</f>
        <v>#REF!</v>
      </c>
      <c r="CJ60" s="692" t="str">
        <f ca="1">IFERROR(IF(AD60="Nested Steel Stud (wood infill)",VLOOKUP(INDEX(CF59:CF70,CI60),SSW,2,FALSE),VLOOKUP(INDEX(CF59:CF70,CI60),SSM,2,FALSE)),"----")</f>
        <v>----</v>
      </c>
      <c r="CK60" s="691" t="e">
        <f t="shared" ref="CK60:CK70" ca="1" si="345">CK59-1</f>
        <v>#N/A</v>
      </c>
      <c r="CL60" s="4" t="e">
        <f ca="1">IF(AND(INDEX(WSM,CK60,4)&gt;=$AB59,INDEX(WSM,CK60,5)&gt;=$S59,INDEX(WSM,CK60,6)&gt;=$R59),1,0)</f>
        <v>#N/A</v>
      </c>
      <c r="CM60" s="4" t="e">
        <f t="shared" ref="CM60" ca="1" si="346">MATCH(1,OFFSET(CL59:CL70,CN59,0,COUNT(CL59:CL70)-CN59),0)</f>
        <v>#REF!</v>
      </c>
      <c r="CN60" s="4" t="e">
        <f t="shared" ref="CN60:CN70" ca="1" si="347">CM60+CN59</f>
        <v>#REF!</v>
      </c>
      <c r="CO60" s="692" t="str">
        <f ca="1">IFERROR(VLOOKUP(INDEX(CK59:CK70,CN60),WSM,2,FALSE),"----")</f>
        <v>----</v>
      </c>
      <c r="CP60" s="691" t="e">
        <f t="shared" ref="CP60:CP70" ca="1" si="348">CP59-1</f>
        <v>#N/A</v>
      </c>
      <c r="CQ60" s="4" t="e">
        <f ca="1">IF(AND(INDEX(STM,CP60,4)&gt;=$AB59,INDEX(STM,CP60,5)&gt;=$S59,INDEX(STM,CP60,6)&gt;=$R59),1,0)</f>
        <v>#N/A</v>
      </c>
      <c r="CR60" s="4" t="e">
        <f t="shared" ref="CR60" ca="1" si="349">MATCH(1,OFFSET(CQ59:CQ70,CS59,0,COUNT(CQ59:CQ70)-CS59),0)</f>
        <v>#REF!</v>
      </c>
      <c r="CS60" s="4" t="e">
        <f t="shared" ref="CS60:CS70" ca="1" si="350">CR60+CS59</f>
        <v>#REF!</v>
      </c>
      <c r="CT60" s="692" t="str">
        <f ca="1">IFERROR(VLOOKUP(INDEX(CP59:CP70,CS60),STM,2,FALSE),"----")</f>
        <v>----</v>
      </c>
      <c r="CU60" s="691" t="e">
        <f t="shared" ref="CU60:CU70" ca="1" si="351">CU59-1</f>
        <v>#N/A</v>
      </c>
      <c r="CV60" s="4" t="e">
        <f ca="1">IF(AND(INDEX(ELM,CU60,4)&gt;=$AB59,INDEX(ELM,CU60,5)&gt;=$S59,INDEX(ELM,CU60,6)&gt;=$R59),1,0)</f>
        <v>#N/A</v>
      </c>
      <c r="CW60" s="4" t="e">
        <f t="shared" ref="CW60" ca="1" si="352">MATCH(1,OFFSET(CV59:CV70,CX59,0,COUNT(CV59:CV70)-CX59),0)</f>
        <v>#REF!</v>
      </c>
      <c r="CX60" s="4" t="e">
        <f t="shared" ref="CX60:CX70" ca="1" si="353">CW60+CX59</f>
        <v>#REF!</v>
      </c>
      <c r="CY60" s="692" t="str">
        <f ca="1">IFERROR(VLOOKUP(INDEX(CU59:CU70,CX60),ELM,2,FALSE),"----")</f>
        <v>----</v>
      </c>
      <c r="CZ60" s="691" t="e">
        <f t="shared" ref="CZ60:CZ70" ca="1" si="354">CZ59-1</f>
        <v>#N/A</v>
      </c>
      <c r="DA60" s="4" t="e">
        <f ca="1">IF(LEFT($J59,7)="Clad Wo",IF(AND(INDEX(SPPWS,CZ60,4)&gt;=$AB59,INDEX(SPPWS,CZ60,5)&gt;=$S59,INDEX(SPPWS,CZ60,6)&gt;=$R59),1,0),IF(AND(INDEX(SPM,CZ60,4)&gt;=$AB59,INDEX(SPM,CZ60,5)&gt;=$S59,INDEX(SPM,CZ60,6)&gt;=$R59),1,0))</f>
        <v>#N/A</v>
      </c>
      <c r="DB60" s="4" t="e">
        <f t="shared" ref="DB60" ca="1" si="355">MATCH(1,OFFSET(DA59:DA70,DC59,0,COUNT(DA59:DA70)-DC59),0)</f>
        <v>#REF!</v>
      </c>
      <c r="DC60" s="4" t="e">
        <f t="shared" ref="DC60:DC70" ca="1" si="356">DC59+DB60</f>
        <v>#REF!</v>
      </c>
      <c r="DD60" s="693" t="str">
        <f ca="1">IF(LEFT($J59,7)="Clad Wo",IFERROR(VLOOKUP(INDEX(CZ59:CZ70,DC60),SPPWS,2,FALSE),"----"),IFERROR(VLOOKUP(INDEX(CZ59:CZ70,DC60),SPM,2,FALSE),"----"))</f>
        <v>----</v>
      </c>
      <c r="DE60" s="691" t="e">
        <f t="shared" ref="DE60:DE70" ca="1" si="357">DE59-1</f>
        <v>#REF!</v>
      </c>
      <c r="DF60" s="4" t="e" cm="1">
        <f t="array" aca="1" ref="DF60" ca="1">IF(AND(INDEX(INDIRECT(BY59),DE60,4)&gt;=$AB65,INDEX(INDIRECT(BY59),DE60,5)&gt;=$S59,INDEX(INDIRECT(BY59),DE60,6)&gt;=$R59),1,0)</f>
        <v>#REF!</v>
      </c>
      <c r="DG60" s="4" t="e">
        <f t="shared" ref="DG60" ca="1" si="358">MATCH(1,OFFSET(DF59:DF70,DH59,0,COUNT(DF59:DF70)-DH59),0)</f>
        <v>#REF!</v>
      </c>
      <c r="DH60" s="4" t="e">
        <f t="shared" ref="DH60:DH70" ca="1" si="359">DH59+DG60</f>
        <v>#REF!</v>
      </c>
      <c r="DI60" s="692" t="str" cm="1">
        <f t="array" aca="1" ref="DI60" ca="1">IFERROR(VLOOKUP(INDEX(DE59:DE70,DH60),INDIRECT(BY59),2,FALSE),"----")</f>
        <v>----</v>
      </c>
      <c r="DJ60" s="691" t="e">
        <f t="shared" ref="DJ60:DJ70" ca="1" si="360">DJ59-1</f>
        <v>#N/A</v>
      </c>
      <c r="DK60" s="4" t="e">
        <f ca="1">IF(AND(INDEX(SSM,DJ60,4)&gt;=$AB65,INDEX(SSM,DJ60,5)&gt;=$S59,INDEX(SSM,DJ60,6)&gt;=$R59),1,0)</f>
        <v>#N/A</v>
      </c>
      <c r="DL60" s="4" t="e">
        <f t="shared" ref="DL60" ca="1" si="361">MATCH(1,OFFSET(DK59:DK70,DM59,0,COUNT(DK59:DK70)-DM59),0)</f>
        <v>#REF!</v>
      </c>
      <c r="DM60" s="4" t="e">
        <f t="shared" ref="DM60:DM70" ca="1" si="362">DL60+DM59</f>
        <v>#REF!</v>
      </c>
      <c r="DN60" s="692" t="str">
        <f ca="1">IFERROR(IF(AD66="Nested Steel Stud (wood infill)",VLOOKUP(INDEX(DJ59:DJ70,DM60),SSW,2,FALSE),VLOOKUP(INDEX(DJ59:DJ70,DM60),SSM,2,FALSE)),"----")</f>
        <v>----</v>
      </c>
      <c r="DO60" s="691" t="e">
        <f t="shared" ref="DO60:DO70" ca="1" si="363">DO59-1</f>
        <v>#N/A</v>
      </c>
      <c r="DP60" s="4" t="e">
        <f ca="1">IF(AND(INDEX(WSM,DO60,4)&gt;=$AB65,INDEX(WSM,DO60,5)&gt;=$S59,INDEX(WSM,DO60,6)&gt;=$R59),1,0)</f>
        <v>#N/A</v>
      </c>
      <c r="DQ60" s="4" t="e">
        <f t="shared" ref="DQ60" ca="1" si="364">MATCH(1,OFFSET(DP59:DP70,DR59,0,COUNT(DP59:DP70)-DR59),0)</f>
        <v>#REF!</v>
      </c>
      <c r="DR60" s="4" t="e">
        <f t="shared" ref="DR60:DR70" ca="1" si="365">DQ60+DR59</f>
        <v>#REF!</v>
      </c>
      <c r="DS60" s="692" t="str">
        <f ca="1">IFERROR(VLOOKUP(INDEX(DO59:DO70,DR60),WSM,2,FALSE),"----")</f>
        <v>----</v>
      </c>
      <c r="DT60" s="691" t="e">
        <f t="shared" ref="DT60:DT70" ca="1" si="366">DT59-1</f>
        <v>#N/A</v>
      </c>
      <c r="DU60" s="4" t="e">
        <f ca="1">IF(AND(INDEX(STM,DT60,4)&gt;=$AB65,INDEX(STM,DT60,5)&gt;=$S59,INDEX(STM,DT60,6)&gt;=$R59),1,0)</f>
        <v>#N/A</v>
      </c>
      <c r="DV60" s="4" t="e">
        <f t="shared" ref="DV60" ca="1" si="367">MATCH(1,OFFSET(DU59:DU70,DW59,0,COUNT(DU59:DU70)-DW59),0)</f>
        <v>#REF!</v>
      </c>
      <c r="DW60" s="4" t="e">
        <f t="shared" ref="DW60:DW70" ca="1" si="368">DV60+DW59</f>
        <v>#REF!</v>
      </c>
      <c r="DX60" s="692" t="str">
        <f ca="1">IFERROR(VLOOKUP(INDEX(DT59:DT70,DW60),STM,2,FALSE),"----")</f>
        <v>----</v>
      </c>
      <c r="DY60" s="691" t="e">
        <f t="shared" ref="DY60:DY70" ca="1" si="369">DY59-1</f>
        <v>#N/A</v>
      </c>
      <c r="DZ60" s="4" t="e">
        <f ca="1">IF(AND(INDEX(ELM,DY60,4)&gt;=$AB65,INDEX(ELM,DY60,5)&gt;=$S59,INDEX(ELM,DY60,6)&gt;=$R59),1,0)</f>
        <v>#N/A</v>
      </c>
      <c r="EA60" s="4" t="e">
        <f t="shared" ref="EA60" ca="1" si="370">MATCH(1,OFFSET(DZ59:DZ70,EB59,0,COUNT(DZ59:DZ70)-EB59),0)</f>
        <v>#REF!</v>
      </c>
      <c r="EB60" s="4" t="e">
        <f t="shared" ref="EB60:EB70" ca="1" si="371">EA60+EB59</f>
        <v>#REF!</v>
      </c>
      <c r="EC60" s="692" t="str">
        <f ca="1">IFERROR(VLOOKUP(INDEX(DY59:DY70,EB60),ELM,2,FALSE),"----")</f>
        <v>----</v>
      </c>
      <c r="ED60" s="691" t="e">
        <f t="shared" ref="ED60:ED70" ca="1" si="372">ED59-1</f>
        <v>#N/A</v>
      </c>
      <c r="EE60" s="4" t="e">
        <f ca="1">IF(LEFT($J59,7)="Clad Wo",IF(AND(INDEX(SPPWS,ED60,4)&gt;=$AB65,INDEX(SPPWS,ED60,5)&gt;=$S59,INDEX(SPPWS,ED60,6)&gt;=$R59),1,0),IF(AND(INDEX(SPM,ED60,4)&gt;=$AB65,INDEX(SPM,ED60,5)&gt;=$S59,INDEX(SPM,ED60,6)&gt;=$R59),1,0))</f>
        <v>#N/A</v>
      </c>
      <c r="EF60" s="4" t="e">
        <f t="shared" ref="EF60" ca="1" si="373">MATCH(1,OFFSET(EE59:EE70,EG59,0,COUNT(EE59:EE70)-EG59),0)</f>
        <v>#REF!</v>
      </c>
      <c r="EG60" s="4" t="e">
        <f t="shared" ref="EG60:EG70" ca="1" si="374">EG59+EF60</f>
        <v>#REF!</v>
      </c>
      <c r="EH60" s="692" t="str">
        <f ca="1">IF(LEFT($J59,7)="Clad Wo",IFERROR(VLOOKUP(INDEX(ED59:ED70,EG60),SPPWS,2,FALSE),"----"),IFERROR(VLOOKUP(INDEX(ED59:ED70,EG60),SPM,2,FALSE),"----"))</f>
        <v>----</v>
      </c>
    </row>
    <row r="61" spans="1:138" ht="15" customHeight="1" x14ac:dyDescent="0.25">
      <c r="A61" s="1085"/>
      <c r="B61" s="925"/>
      <c r="C61" s="926"/>
      <c r="D61" s="927"/>
      <c r="E61" s="995"/>
      <c r="F61" s="996"/>
      <c r="G61" s="997"/>
      <c r="H61" s="1062"/>
      <c r="I61" s="990"/>
      <c r="J61" s="908"/>
      <c r="K61" s="909"/>
      <c r="L61" s="1002"/>
      <c r="M61" s="923"/>
      <c r="N61" s="1042"/>
      <c r="O61" s="1018"/>
      <c r="P61" s="987"/>
      <c r="Q61" s="1015"/>
      <c r="R61" s="1012"/>
      <c r="S61" s="1006"/>
      <c r="T61" s="1007"/>
      <c r="U61" s="878"/>
      <c r="V61" s="881"/>
      <c r="W61" s="884"/>
      <c r="X61" s="884"/>
      <c r="Y61" s="887"/>
      <c r="Z61" s="887"/>
      <c r="AA61" s="887"/>
      <c r="AB61" s="1081"/>
      <c r="AC61" s="1078"/>
      <c r="AD61" s="1070" t="s">
        <v>333</v>
      </c>
      <c r="AE61" s="1071"/>
      <c r="AF61" s="1052"/>
      <c r="AG61" s="1053"/>
      <c r="AH61" s="1053"/>
      <c r="AI61" s="1066"/>
      <c r="AJ61" s="1067"/>
      <c r="AK61" s="154" t="str">
        <f t="shared" ca="1" si="62"/>
        <v/>
      </c>
      <c r="AL61" s="1039"/>
      <c r="AM61" s="344" t="str">
        <f ca="1">IFERROR(Q59/12*ROUND(VLOOKUP(AF61,OFFSET(WSM,0,1),6,FALSE),2),"")</f>
        <v/>
      </c>
      <c r="AN61" t="str">
        <f t="shared" ca="1" si="5"/>
        <v/>
      </c>
      <c r="AP61" s="122" t="str">
        <f t="shared" ref="AP61" si="375">_xlfn.CONCAT(AR61,AS64)</f>
        <v/>
      </c>
      <c r="AQ61" s="683" t="str">
        <f t="shared" si="65"/>
        <v/>
      </c>
      <c r="AR61" s="4" t="str">
        <f t="shared" si="3"/>
        <v/>
      </c>
      <c r="AS61" s="4"/>
      <c r="AT61" s="697" t="str">
        <f>AL59</f>
        <v/>
      </c>
      <c r="AU61" s="694" t="e">
        <f t="shared" ca="1" si="91"/>
        <v>#REF!</v>
      </c>
      <c r="AV61" s="686" t="str">
        <f ca="1">IFERROR(VLOOKUP(AU61,INDIRECT(AQ59),2,FALSE),"----")</f>
        <v>----</v>
      </c>
      <c r="AW61" s="694" t="e">
        <f t="shared" ca="1" si="328"/>
        <v>#REF!</v>
      </c>
      <c r="AX61" s="686" t="str">
        <f ca="1">IFERROR(VLOOKUP(AW61,INDIRECT(AQ60),2,FALSE),"----")</f>
        <v>----</v>
      </c>
      <c r="AY61" s="694" t="e">
        <f t="shared" ca="1" si="329"/>
        <v>#REF!</v>
      </c>
      <c r="AZ61" s="686" t="str">
        <f ca="1">IFERROR(VLOOKUP(AY61,INDIRECT(AQ61),2,FALSE),"----")</f>
        <v>----</v>
      </c>
      <c r="BA61" s="694" t="e">
        <f t="shared" ca="1" si="330"/>
        <v>#REF!</v>
      </c>
      <c r="BB61" s="686" t="str">
        <f ca="1">IFERROR(VLOOKUP(BA61,INDIRECT(AQ62),2,FALSE),"----")</f>
        <v>----</v>
      </c>
      <c r="BC61" s="694" t="e">
        <f t="shared" ca="1" si="331"/>
        <v>#REF!</v>
      </c>
      <c r="BD61" s="686" t="str">
        <f ca="1">IFERROR(VLOOKUP(BC61,INDIRECT(AQ63),2,FALSE),"----")</f>
        <v>----</v>
      </c>
      <c r="BE61" s="694" t="e">
        <f t="shared" ca="1" si="96"/>
        <v>#REF!</v>
      </c>
      <c r="BF61" s="686" t="str">
        <f ca="1">IFERROR(VLOOKUP(BE61,INDIRECT(AQ64),2,FALSE),"----")</f>
        <v>----</v>
      </c>
      <c r="BG61" s="694" t="e">
        <f t="shared" ca="1" si="97"/>
        <v>#REF!</v>
      </c>
      <c r="BH61" s="686" t="str">
        <f ca="1">IFERROR(VLOOKUP(BG61,INDIRECT(AQ65),2,FALSE),"----")</f>
        <v>----</v>
      </c>
      <c r="BI61" s="694" t="e">
        <f t="shared" ca="1" si="334"/>
        <v>#REF!</v>
      </c>
      <c r="BJ61" s="686" t="str">
        <f ca="1">IFERROR(VLOOKUP(BI61,INDIRECT(AQ66),2,FALSE),"----")</f>
        <v>----</v>
      </c>
      <c r="BK61" s="694" t="e">
        <f t="shared" ca="1" si="335"/>
        <v>#REF!</v>
      </c>
      <c r="BL61" s="686" t="str">
        <f ca="1">IFERROR(VLOOKUP(BK61,INDIRECT(AQ67),2,FALSE),"----")</f>
        <v>----</v>
      </c>
      <c r="BM61" s="694" t="e">
        <f t="shared" ca="1" si="336"/>
        <v>#REF!</v>
      </c>
      <c r="BN61" s="686" t="str">
        <f ca="1">IFERROR(VLOOKUP(BM61,INDIRECT(AQ68),2,FALSE),"----")</f>
        <v>----</v>
      </c>
      <c r="BO61" s="694" t="e">
        <f t="shared" ca="1" si="337"/>
        <v>#REF!</v>
      </c>
      <c r="BP61" s="686" t="str">
        <f ca="1">IFERROR(VLOOKUP(BO61,INDIRECT(AQ69),2,FALSE),"----")</f>
        <v>----</v>
      </c>
      <c r="BQ61" s="694" t="e">
        <f t="shared" ca="1" si="102"/>
        <v>#REF!</v>
      </c>
      <c r="BR61" s="686" t="str">
        <f ca="1">IFERROR(VLOOKUP(BQ61,INDIRECT(AQ70),2,FALSE),"----")</f>
        <v>----</v>
      </c>
      <c r="BS61" s="695">
        <f>IF(AI61="",1,IF(COUNTIF(AZ59:AZ70,AI61)=0,2,1))</f>
        <v>1</v>
      </c>
      <c r="BT61" s="696">
        <f>IF(AF61="",1,IF(AZ59=".",2,1))</f>
        <v>1</v>
      </c>
      <c r="BU61" s="706"/>
      <c r="BV61" s="155">
        <f ca="1">IF(COUNTIF(CO59:CO70,AF61)=0,IF(AF61&lt;&gt;"",0,1),1)</f>
        <v>1</v>
      </c>
      <c r="BW61" s="157">
        <f ca="1">IFERROR(MATCH(AF61,CO59:CO70,0),1)</f>
        <v>1</v>
      </c>
      <c r="BX61" s="769"/>
      <c r="BY61" s="769"/>
      <c r="BZ61" s="1110"/>
      <c r="CA61" s="691" t="e">
        <f t="shared" ca="1" si="339"/>
        <v>#REF!</v>
      </c>
      <c r="CB61" s="4" t="e" cm="1">
        <f t="array" aca="1" ref="CB61" ca="1">IF(AND(INDEX(INDIRECT(BY59),CA61,4)&gt;=$AB59,INDEX(INDIRECT(BY59),CA61,5)&gt;=$S59,INDEX(INDIRECT(BY59),CA61,6)&gt;=$R59),1,0)</f>
        <v>#REF!</v>
      </c>
      <c r="CC61" s="4" t="e">
        <f t="shared" ref="CC61" ca="1" si="376">MATCH(1,OFFSET(CB59:CB70,CD60,0,COUNT(CB59:CB70)-CD60),0)</f>
        <v>#REF!</v>
      </c>
      <c r="CD61" s="4" t="e">
        <f t="shared" ca="1" si="341"/>
        <v>#REF!</v>
      </c>
      <c r="CE61" s="692" t="str" cm="1">
        <f t="array" aca="1" ref="CE61" ca="1">IFERROR(VLOOKUP(INDEX(CA59:CA70,CD61),INDIRECT(BY59),2,FALSE),"----")</f>
        <v>----</v>
      </c>
      <c r="CF61" s="691" t="e">
        <f t="shared" ca="1" si="342"/>
        <v>#N/A</v>
      </c>
      <c r="CG61" s="4" t="e">
        <f ca="1">IF(AND(INDEX(SSM,CF61,4)&gt;=$AB59,INDEX(SSM,CF61,5)&gt;=$S59,INDEX(SSM,CF61,6)&gt;=$R59),1,0)</f>
        <v>#N/A</v>
      </c>
      <c r="CH61" s="4" t="e">
        <f t="shared" ref="CH61" ca="1" si="377">MATCH(1,OFFSET(CG59:CG70,CI60,0,COUNT(CG59:CG70)-CI60),0)</f>
        <v>#REF!</v>
      </c>
      <c r="CI61" s="4" t="e">
        <f t="shared" ca="1" si="344"/>
        <v>#REF!</v>
      </c>
      <c r="CJ61" s="692" t="str">
        <f ca="1">IFERROR(IF(AD60="Nested Steel Stud (wood infill)",VLOOKUP(INDEX(CF59:CF70,CI61),SSW,2,FALSE),VLOOKUP(INDEX(CF59:CF70,CI61),SSM,2,FALSE)),"----")</f>
        <v>----</v>
      </c>
      <c r="CK61" s="691" t="e">
        <f t="shared" ca="1" si="345"/>
        <v>#N/A</v>
      </c>
      <c r="CL61" s="4" t="e">
        <f ca="1">IF(AND(INDEX(WSM,CK61,4)&gt;=$AB59,INDEX(WSM,CK61,5)&gt;=$S59,INDEX(WSM,CK61,6)&gt;=$R59),1,0)</f>
        <v>#N/A</v>
      </c>
      <c r="CM61" s="4" t="e">
        <f t="shared" ref="CM61" ca="1" si="378">MATCH(1,OFFSET(CL59:CL70,CN60,0,COUNT(CL59:CL70)-CN60),0)</f>
        <v>#REF!</v>
      </c>
      <c r="CN61" s="4" t="e">
        <f t="shared" ca="1" si="347"/>
        <v>#REF!</v>
      </c>
      <c r="CO61" s="692" t="str">
        <f ca="1">IFERROR(VLOOKUP(INDEX(CK59:CK70,CN61),WSM,2,FALSE),"----")</f>
        <v>----</v>
      </c>
      <c r="CP61" s="691" t="e">
        <f t="shared" ca="1" si="348"/>
        <v>#N/A</v>
      </c>
      <c r="CQ61" s="4" t="e">
        <f ca="1">IF(AND(INDEX(STM,CP61,4)&gt;=$AB59,INDEX(STM,CP61,5)&gt;=$S59,INDEX(STM,CP61,6)&gt;=$R59),1,0)</f>
        <v>#N/A</v>
      </c>
      <c r="CR61" s="4" t="e">
        <f t="shared" ref="CR61" ca="1" si="379">MATCH(1,OFFSET(CQ59:CQ70,CS60,0,COUNT(CQ59:CQ70)-CS60),0)</f>
        <v>#REF!</v>
      </c>
      <c r="CS61" s="4" t="e">
        <f t="shared" ca="1" si="350"/>
        <v>#REF!</v>
      </c>
      <c r="CT61" s="692" t="str">
        <f ca="1">IFERROR(VLOOKUP(INDEX(CP59:CP70,CS61),STM,2,FALSE),"----")</f>
        <v>----</v>
      </c>
      <c r="CU61" s="691" t="e">
        <f t="shared" ca="1" si="351"/>
        <v>#N/A</v>
      </c>
      <c r="CV61" s="4" t="e">
        <f ca="1">IF(AND(INDEX(ELM,CU61,4)&gt;=$AB59,INDEX(ELM,CU61,5)&gt;=$S59,INDEX(ELM,CU61,6)&gt;=$R59),1,0)</f>
        <v>#N/A</v>
      </c>
      <c r="CW61" s="4" t="e">
        <f t="shared" ref="CW61" ca="1" si="380">MATCH(1,OFFSET(CV59:CV70,CX60,0,COUNT(CV59:CV70)-CX60),0)</f>
        <v>#REF!</v>
      </c>
      <c r="CX61" s="4" t="e">
        <f t="shared" ca="1" si="353"/>
        <v>#REF!</v>
      </c>
      <c r="CY61" s="692" t="str">
        <f ca="1">IFERROR(VLOOKUP(INDEX(CU59:CU70,CX61),ELM,2,FALSE),"----")</f>
        <v>----</v>
      </c>
      <c r="CZ61" s="691" t="e">
        <f t="shared" ca="1" si="354"/>
        <v>#N/A</v>
      </c>
      <c r="DA61" s="4" t="e">
        <f ca="1">IF(LEFT($J59,7)="Clad Wo",IF(AND(INDEX(SPPWS,CZ61,4)&gt;=$AB59,INDEX(SPPWS,CZ61,5)&gt;=$S59,INDEX(SPPWS,CZ61,6)&gt;=$R59),1,0),IF(AND(INDEX(SPM,CZ61,4)&gt;=$AB59,INDEX(SPM,CZ61,5)&gt;=$S59,INDEX(SPM,CZ61,6)&gt;=$R59),1,0))</f>
        <v>#N/A</v>
      </c>
      <c r="DB61" s="4" t="e">
        <f t="shared" ref="DB61" ca="1" si="381">MATCH(1,OFFSET(DA59:DA70,DC60,0,COUNT(DA59:DA70)-DC60),0)</f>
        <v>#REF!</v>
      </c>
      <c r="DC61" s="4" t="e">
        <f t="shared" ca="1" si="356"/>
        <v>#REF!</v>
      </c>
      <c r="DD61" s="693" t="str">
        <f ca="1">IF(LEFT($J59,7)="Clad Wo",IFERROR(VLOOKUP(INDEX(CZ59:CZ70,DC61),SPPWS,2,FALSE),"----"),IFERROR(VLOOKUP(INDEX(CZ59:CZ70,DC61),SPM,2,FALSE),"----"))</f>
        <v>----</v>
      </c>
      <c r="DE61" s="691" t="e">
        <f t="shared" ca="1" si="357"/>
        <v>#REF!</v>
      </c>
      <c r="DF61" s="4" t="e" cm="1">
        <f t="array" aca="1" ref="DF61" ca="1">IF(AND(INDEX(INDIRECT(BY59),DE61,4)&gt;=$AB65,INDEX(INDIRECT(BY59),DE61,5)&gt;=$S59,INDEX(INDIRECT(BY59),DE61,6)&gt;=$R59),1,0)</f>
        <v>#REF!</v>
      </c>
      <c r="DG61" s="4" t="e">
        <f t="shared" ref="DG61" ca="1" si="382">MATCH(1,OFFSET(DF59:DF70,DH60,0,COUNT(DF59:DF70)-DH60),0)</f>
        <v>#REF!</v>
      </c>
      <c r="DH61" s="4" t="e">
        <f t="shared" ca="1" si="359"/>
        <v>#REF!</v>
      </c>
      <c r="DI61" s="692" t="str" cm="1">
        <f t="array" aca="1" ref="DI61" ca="1">IFERROR(VLOOKUP(INDEX(DE59:DE70,DH61),INDIRECT(BY59),2,FALSE),"----")</f>
        <v>----</v>
      </c>
      <c r="DJ61" s="691" t="e">
        <f t="shared" ca="1" si="360"/>
        <v>#N/A</v>
      </c>
      <c r="DK61" s="4" t="e">
        <f ca="1">IF(AND(INDEX(SSM,DJ61,4)&gt;=$AB65,INDEX(SSM,DJ61,5)&gt;=$S59,INDEX(SSM,DJ61,6)&gt;=$R59),1,0)</f>
        <v>#N/A</v>
      </c>
      <c r="DL61" s="4" t="e">
        <f t="shared" ref="DL61" ca="1" si="383">MATCH(1,OFFSET(DK59:DK70,DM60,0,COUNT(DK59:DK70)-DM60),0)</f>
        <v>#REF!</v>
      </c>
      <c r="DM61" s="4" t="e">
        <f t="shared" ca="1" si="362"/>
        <v>#REF!</v>
      </c>
      <c r="DN61" s="692" t="str">
        <f ca="1">IFERROR(IF(AD66="Nested Steel Stud (wood infill)",VLOOKUP(INDEX(DJ59:DJ70,DM61),SSW,2,FALSE),VLOOKUP(INDEX(DJ59:DJ70,DM61),SSM,2,FALSE)),"----")</f>
        <v>----</v>
      </c>
      <c r="DO61" s="691" t="e">
        <f t="shared" ca="1" si="363"/>
        <v>#N/A</v>
      </c>
      <c r="DP61" s="4" t="e">
        <f ca="1">IF(AND(INDEX(WSM,DO61,4)&gt;=$AB65,INDEX(WSM,DO61,5)&gt;=$S59,INDEX(WSM,DO61,6)&gt;=$R59),1,0)</f>
        <v>#N/A</v>
      </c>
      <c r="DQ61" s="4" t="e">
        <f t="shared" ref="DQ61" ca="1" si="384">MATCH(1,OFFSET(DP59:DP70,DR60,0,COUNT(DP59:DP70)-DR60),0)</f>
        <v>#REF!</v>
      </c>
      <c r="DR61" s="4" t="e">
        <f t="shared" ca="1" si="365"/>
        <v>#REF!</v>
      </c>
      <c r="DS61" s="692" t="str">
        <f ca="1">IFERROR(VLOOKUP(INDEX(DO59:DO70,DR61),WSM,2,FALSE),"----")</f>
        <v>----</v>
      </c>
      <c r="DT61" s="691" t="e">
        <f t="shared" ca="1" si="366"/>
        <v>#N/A</v>
      </c>
      <c r="DU61" s="4" t="e">
        <f ca="1">IF(AND(INDEX(STM,DT61,4)&gt;=$AB65,INDEX(STM,DT61,5)&gt;=$S59,INDEX(STM,DT61,6)&gt;=$R59),1,0)</f>
        <v>#N/A</v>
      </c>
      <c r="DV61" s="4" t="e">
        <f t="shared" ref="DV61" ca="1" si="385">MATCH(1,OFFSET(DU59:DU70,DW60,0,COUNT(DU59:DU70)-DW60),0)</f>
        <v>#REF!</v>
      </c>
      <c r="DW61" s="4" t="e">
        <f t="shared" ca="1" si="368"/>
        <v>#REF!</v>
      </c>
      <c r="DX61" s="692" t="str">
        <f ca="1">IFERROR(VLOOKUP(INDEX(DT59:DT70,DW61),STM,2,FALSE),"----")</f>
        <v>----</v>
      </c>
      <c r="DY61" s="691" t="e">
        <f t="shared" ca="1" si="369"/>
        <v>#N/A</v>
      </c>
      <c r="DZ61" s="4" t="e">
        <f ca="1">IF(AND(INDEX(ELM,DY61,4)&gt;=$AB65,INDEX(ELM,DY61,5)&gt;=$S59,INDEX(ELM,DY61,6)&gt;=$R59),1,0)</f>
        <v>#N/A</v>
      </c>
      <c r="EA61" s="4" t="e">
        <f t="shared" ref="EA61" ca="1" si="386">MATCH(1,OFFSET(DZ59:DZ70,EB60,0,COUNT(DZ59:DZ70)-EB60),0)</f>
        <v>#REF!</v>
      </c>
      <c r="EB61" s="4" t="e">
        <f t="shared" ca="1" si="371"/>
        <v>#REF!</v>
      </c>
      <c r="EC61" s="692" t="str">
        <f ca="1">IFERROR(VLOOKUP(INDEX(DY59:DY70,EB61),ELM,2,FALSE),"----")</f>
        <v>----</v>
      </c>
      <c r="ED61" s="691" t="e">
        <f t="shared" ca="1" si="372"/>
        <v>#N/A</v>
      </c>
      <c r="EE61" s="4" t="e">
        <f ca="1">IF(LEFT($J59,7)="Clad Wo",IF(AND(INDEX(SPPWS,ED61,4)&gt;=$AB65,INDEX(SPPWS,ED61,5)&gt;=$S59,INDEX(SPPWS,ED61,6)&gt;=$R59),1,0),IF(AND(INDEX(SPM,ED61,4)&gt;=$AB65,INDEX(SPM,ED61,5)&gt;=$S59,INDEX(SPM,ED61,6)&gt;=$R59),1,0))</f>
        <v>#N/A</v>
      </c>
      <c r="EF61" s="4" t="e">
        <f t="shared" ref="EF61" ca="1" si="387">MATCH(1,OFFSET(EE59:EE70,EG60,0,COUNT(EE59:EE70)-EG60),0)</f>
        <v>#REF!</v>
      </c>
      <c r="EG61" s="4" t="e">
        <f t="shared" ca="1" si="374"/>
        <v>#REF!</v>
      </c>
      <c r="EH61" s="692" t="str">
        <f ca="1">IF(LEFT($J59,7)="Clad Wo",IFERROR(VLOOKUP(INDEX(ED59:ED70,EG61),SPPWS,2,FALSE),"----"),IFERROR(VLOOKUP(INDEX(ED59:ED70,EG61),SPM,2,FALSE),"----"))</f>
        <v>----</v>
      </c>
    </row>
    <row r="62" spans="1:138" ht="15" customHeight="1" x14ac:dyDescent="0.25">
      <c r="A62" s="1085"/>
      <c r="B62" s="925"/>
      <c r="C62" s="926"/>
      <c r="D62" s="927"/>
      <c r="E62" s="995"/>
      <c r="F62" s="996"/>
      <c r="G62" s="997"/>
      <c r="H62" s="1062"/>
      <c r="I62" s="990"/>
      <c r="J62" s="908"/>
      <c r="K62" s="909"/>
      <c r="L62" s="1002"/>
      <c r="M62" s="923"/>
      <c r="N62" s="1042"/>
      <c r="O62" s="1018"/>
      <c r="P62" s="987"/>
      <c r="Q62" s="1015"/>
      <c r="R62" s="1012"/>
      <c r="S62" s="1006"/>
      <c r="T62" s="1007"/>
      <c r="U62" s="878"/>
      <c r="V62" s="881"/>
      <c r="W62" s="884"/>
      <c r="X62" s="884"/>
      <c r="Y62" s="887"/>
      <c r="Z62" s="887"/>
      <c r="AA62" s="887"/>
      <c r="AB62" s="1081"/>
      <c r="AC62" s="1078"/>
      <c r="AD62" s="1070" t="s">
        <v>37</v>
      </c>
      <c r="AE62" s="1071"/>
      <c r="AF62" s="1052"/>
      <c r="AG62" s="1053"/>
      <c r="AH62" s="1053"/>
      <c r="AI62" s="1066"/>
      <c r="AJ62" s="1067"/>
      <c r="AK62" s="156" t="str">
        <f t="shared" ca="1" si="62"/>
        <v/>
      </c>
      <c r="AL62" s="1039"/>
      <c r="AM62" s="343" t="str">
        <f ca="1">IFERROR(Q59/12*ROUND(VLOOKUP(AF62,OFFSET(STM,0,1),6,FALSE),2),"")</f>
        <v/>
      </c>
      <c r="AN62" t="str">
        <f t="shared" ca="1" si="5"/>
        <v/>
      </c>
      <c r="AP62" s="122" t="str">
        <f t="shared" ref="AP62" si="388">_xlfn.CONCAT(AR62,AS64)</f>
        <v/>
      </c>
      <c r="AQ62" s="683" t="str">
        <f t="shared" si="65"/>
        <v/>
      </c>
      <c r="AR62" s="4" t="str">
        <f t="shared" si="3"/>
        <v/>
      </c>
      <c r="AS62" s="4"/>
      <c r="AT62" s="697" t="str">
        <f>AL59</f>
        <v/>
      </c>
      <c r="AU62" s="694" t="e">
        <f t="shared" ca="1" si="91"/>
        <v>#REF!</v>
      </c>
      <c r="AV62" s="686" t="str">
        <f ca="1">IFERROR(VLOOKUP(AU62,INDIRECT(AQ59),2,FALSE),"----")</f>
        <v>----</v>
      </c>
      <c r="AW62" s="694" t="e">
        <f t="shared" ca="1" si="92"/>
        <v>#REF!</v>
      </c>
      <c r="AX62" s="686" t="str">
        <f ca="1">IFERROR(VLOOKUP(AW62,INDIRECT(AQ60),2,FALSE),"----")</f>
        <v>----</v>
      </c>
      <c r="AY62" s="694" t="e">
        <f t="shared" ref="AY62" ca="1" si="389">AY61-1</f>
        <v>#REF!</v>
      </c>
      <c r="AZ62" s="686" t="str">
        <f ca="1">IFERROR(VLOOKUP(AY62,INDIRECT(AQ61),2,FALSE),"----")</f>
        <v>----</v>
      </c>
      <c r="BA62" s="694" t="e">
        <f t="shared" ref="BA62" ca="1" si="390">BA61-1</f>
        <v>#REF!</v>
      </c>
      <c r="BB62" s="686" t="str">
        <f ca="1">IFERROR(VLOOKUP(BA62,INDIRECT(AQ62),2,FALSE),"----")</f>
        <v>----</v>
      </c>
      <c r="BC62" s="694" t="e">
        <f t="shared" ca="1" si="95"/>
        <v>#REF!</v>
      </c>
      <c r="BD62" s="686" t="str">
        <f ca="1">IFERROR(VLOOKUP(BC62,INDIRECT(AQ63),2,FALSE),"----")</f>
        <v>----</v>
      </c>
      <c r="BE62" s="694" t="e">
        <f t="shared" ca="1" si="96"/>
        <v>#REF!</v>
      </c>
      <c r="BF62" s="686" t="str">
        <f ca="1">IFERROR(VLOOKUP(BE62,INDIRECT(AQ64),2,FALSE),"----")</f>
        <v>----</v>
      </c>
      <c r="BG62" s="694" t="e">
        <f t="shared" ca="1" si="97"/>
        <v>#REF!</v>
      </c>
      <c r="BH62" s="686" t="str">
        <f ca="1">IFERROR(VLOOKUP(BG62,INDIRECT(AQ65),2,FALSE),"----")</f>
        <v>----</v>
      </c>
      <c r="BI62" s="694" t="e">
        <f t="shared" ca="1" si="98"/>
        <v>#REF!</v>
      </c>
      <c r="BJ62" s="686" t="str">
        <f ca="1">IFERROR(VLOOKUP(BI62,INDIRECT(AQ66),2,FALSE),"----")</f>
        <v>----</v>
      </c>
      <c r="BK62" s="694" t="e">
        <f t="shared" ca="1" si="99"/>
        <v>#REF!</v>
      </c>
      <c r="BL62" s="686" t="str">
        <f ca="1">IFERROR(VLOOKUP(BK62,INDIRECT(AQ67),2,FALSE),"----")</f>
        <v>----</v>
      </c>
      <c r="BM62" s="694" t="e">
        <f t="shared" ca="1" si="100"/>
        <v>#REF!</v>
      </c>
      <c r="BN62" s="686" t="str">
        <f ca="1">IFERROR(VLOOKUP(BM62,INDIRECT(AQ68),2,FALSE),"----")</f>
        <v>----</v>
      </c>
      <c r="BO62" s="694" t="e">
        <f t="shared" ca="1" si="101"/>
        <v>#REF!</v>
      </c>
      <c r="BP62" s="686" t="str">
        <f ca="1">IFERROR(VLOOKUP(BO62,INDIRECT(AQ69),2,FALSE),"----")</f>
        <v>----</v>
      </c>
      <c r="BQ62" s="694" t="e">
        <f t="shared" ca="1" si="102"/>
        <v>#REF!</v>
      </c>
      <c r="BR62" s="686" t="str">
        <f ca="1">IFERROR(VLOOKUP(BQ62,INDIRECT(AQ70),2,FALSE),"----")</f>
        <v>----</v>
      </c>
      <c r="BS62" s="695">
        <f>IF(AI62="",1,IF(COUNTIF(BB59:BB70,AI62)=0,2,1))</f>
        <v>1</v>
      </c>
      <c r="BT62" s="696">
        <f>IF(AF62="",1,IF(BB59=".",2,1))</f>
        <v>1</v>
      </c>
      <c r="BU62" s="706"/>
      <c r="BV62" s="155">
        <f ca="1">IF(COUNTIF(CT59:CT70,AF62)=0,IF(AF62&lt;&gt;"",0,1),1)</f>
        <v>1</v>
      </c>
      <c r="BW62" s="157">
        <f ca="1">IFERROR(MATCH(AF62,CT59:CT70,0),1)</f>
        <v>1</v>
      </c>
      <c r="BX62" s="769"/>
      <c r="BY62" s="769"/>
      <c r="BZ62" s="1110"/>
      <c r="CA62" s="691" t="e">
        <f t="shared" ca="1" si="339"/>
        <v>#REF!</v>
      </c>
      <c r="CB62" s="4" t="e" cm="1">
        <f t="array" aca="1" ref="CB62" ca="1">IF(AND(INDEX(INDIRECT(BY59),CA62,4)&gt;=$AB59,INDEX(INDIRECT(BY59),CA62,5)&gt;=$S59,INDEX(INDIRECT(BY59),CA62,6)&gt;=$R59),1,0)</f>
        <v>#REF!</v>
      </c>
      <c r="CC62" s="4" t="e">
        <f t="shared" ref="CC62" ca="1" si="391">MATCH(1,OFFSET(CB59:CB70,CD61,0,COUNT(CB59:CB70)-CD61),0)</f>
        <v>#REF!</v>
      </c>
      <c r="CD62" s="4" t="e">
        <f t="shared" ca="1" si="341"/>
        <v>#REF!</v>
      </c>
      <c r="CE62" s="692" t="str" cm="1">
        <f t="array" aca="1" ref="CE62" ca="1">IFERROR(VLOOKUP(INDEX(CA59:CA70,CD62),INDIRECT(BY59),2,FALSE),"----")</f>
        <v>----</v>
      </c>
      <c r="CF62" s="691" t="e">
        <f t="shared" ca="1" si="342"/>
        <v>#N/A</v>
      </c>
      <c r="CG62" s="4" t="e">
        <f ca="1">IF(AND(INDEX(SSM,CF62,4)&gt;=$AB59,INDEX(SSM,CF62,5)&gt;=$S59,INDEX(SSM,CF62,6)&gt;=$R59),1,0)</f>
        <v>#N/A</v>
      </c>
      <c r="CH62" s="4" t="e">
        <f t="shared" ref="CH62" ca="1" si="392">MATCH(1,OFFSET(CG59:CG70,CI61,0,COUNT(CG59:CG70)-CI61),0)</f>
        <v>#REF!</v>
      </c>
      <c r="CI62" s="4" t="e">
        <f t="shared" ca="1" si="344"/>
        <v>#REF!</v>
      </c>
      <c r="CJ62" s="692" t="str">
        <f ca="1">IFERROR(IF(AD60="Nested Steel Stud (wood infill)",VLOOKUP(INDEX(CF59:CF70,CI62),SSW,2,FALSE),VLOOKUP(INDEX(CF59:CF70,CI62),SSM,2,FALSE)),"----")</f>
        <v>----</v>
      </c>
      <c r="CK62" s="691" t="e">
        <f t="shared" ca="1" si="345"/>
        <v>#N/A</v>
      </c>
      <c r="CL62" s="4" t="e">
        <f ca="1">IF(AND(INDEX(WSM,CK62,4)&gt;=$AB59,INDEX(WSM,CK62,5)&gt;=$S59,INDEX(WSM,CK62,6)&gt;=$R59),1,0)</f>
        <v>#N/A</v>
      </c>
      <c r="CM62" s="4" t="e">
        <f t="shared" ref="CM62" ca="1" si="393">MATCH(1,OFFSET(CL59:CL70,CN61,0,COUNT(CL59:CL70)-CN61),0)</f>
        <v>#REF!</v>
      </c>
      <c r="CN62" s="4" t="e">
        <f t="shared" ca="1" si="347"/>
        <v>#REF!</v>
      </c>
      <c r="CO62" s="692" t="str">
        <f ca="1">IFERROR(VLOOKUP(INDEX(CK59:CK70,CN62),WSM,2,FALSE),"----")</f>
        <v>----</v>
      </c>
      <c r="CP62" s="691" t="e">
        <f t="shared" ca="1" si="348"/>
        <v>#N/A</v>
      </c>
      <c r="CQ62" s="4" t="e">
        <f ca="1">IF(AND(INDEX(STM,CP62,4)&gt;=$AB59,INDEX(STM,CP62,5)&gt;=$S59,INDEX(STM,CP62,6)&gt;=$R59),1,0)</f>
        <v>#N/A</v>
      </c>
      <c r="CR62" s="4" t="e">
        <f t="shared" ref="CR62" ca="1" si="394">MATCH(1,OFFSET(CQ59:CQ70,CS61,0,COUNT(CQ59:CQ70)-CS61),0)</f>
        <v>#REF!</v>
      </c>
      <c r="CS62" s="4" t="e">
        <f t="shared" ca="1" si="350"/>
        <v>#REF!</v>
      </c>
      <c r="CT62" s="692" t="str">
        <f ca="1">IFERROR(VLOOKUP(INDEX(CP59:CP70,CS62),STM,2,FALSE),"----")</f>
        <v>----</v>
      </c>
      <c r="CU62" s="691" t="e">
        <f t="shared" ca="1" si="351"/>
        <v>#N/A</v>
      </c>
      <c r="CV62" s="4" t="e">
        <f ca="1">IF(AND(INDEX(ELM,CU62,4)&gt;=$AB59,INDEX(ELM,CU62,5)&gt;=$S59,INDEX(ELM,CU62,6)&gt;=$R59),1,0)</f>
        <v>#N/A</v>
      </c>
      <c r="CW62" s="4" t="e">
        <f t="shared" ref="CW62" ca="1" si="395">MATCH(1,OFFSET(CV59:CV70,CX61,0,COUNT(CV59:CV70)-CX61),0)</f>
        <v>#REF!</v>
      </c>
      <c r="CX62" s="4" t="e">
        <f t="shared" ca="1" si="353"/>
        <v>#REF!</v>
      </c>
      <c r="CY62" s="692" t="str">
        <f ca="1">IFERROR(VLOOKUP(INDEX(CU59:CU70,CX62),ELM,2,FALSE),"----")</f>
        <v>----</v>
      </c>
      <c r="CZ62" s="691" t="e">
        <f t="shared" ca="1" si="354"/>
        <v>#N/A</v>
      </c>
      <c r="DA62" s="4" t="e">
        <f ca="1">IF(LEFT($J59,7)="Clad Wo",IF(AND(INDEX(SPPWS,CZ62,4)&gt;=$AB59,INDEX(SPPWS,CZ62,5)&gt;=$S59,INDEX(SPPWS,CZ62,6)&gt;=$R59),1,0),IF(AND(INDEX(SPM,CZ62,4)&gt;=$AB59,INDEX(SPM,CZ62,5)&gt;=$S59,INDEX(SPM,CZ62,6)&gt;=$R59),1,0))</f>
        <v>#N/A</v>
      </c>
      <c r="DB62" s="4" t="e">
        <f t="shared" ref="DB62" ca="1" si="396">MATCH(1,OFFSET(DA59:DA70,DC61,0,COUNT(DA59:DA70)-DC61),0)</f>
        <v>#REF!</v>
      </c>
      <c r="DC62" s="4" t="e">
        <f t="shared" ca="1" si="356"/>
        <v>#REF!</v>
      </c>
      <c r="DD62" s="693" t="str">
        <f ca="1">IF(LEFT($J59,7)="Clad Wo",IFERROR(VLOOKUP(INDEX(CZ59:CZ70,DC62),SPPWS,2,FALSE),"----"),IFERROR(VLOOKUP(INDEX(CZ59:CZ70,DC62),SPM,2,FALSE),"----"))</f>
        <v>----</v>
      </c>
      <c r="DE62" s="691" t="e">
        <f t="shared" ca="1" si="357"/>
        <v>#REF!</v>
      </c>
      <c r="DF62" s="4" t="e" cm="1">
        <f t="array" aca="1" ref="DF62" ca="1">IF(AND(INDEX(INDIRECT(BY59),DE62,4)&gt;=$AB65,INDEX(INDIRECT(BY59),DE62,5)&gt;=$S59,INDEX(INDIRECT(BY59),DE62,6)&gt;=$R59),1,0)</f>
        <v>#REF!</v>
      </c>
      <c r="DG62" s="4" t="e">
        <f t="shared" ref="DG62" ca="1" si="397">MATCH(1,OFFSET(DF59:DF70,DH61,0,COUNT(DF59:DF70)-DH61),0)</f>
        <v>#REF!</v>
      </c>
      <c r="DH62" s="4" t="e">
        <f t="shared" ca="1" si="359"/>
        <v>#REF!</v>
      </c>
      <c r="DI62" s="692" t="str" cm="1">
        <f t="array" aca="1" ref="DI62" ca="1">IFERROR(VLOOKUP(INDEX(DE59:DE70,DH62),INDIRECT(BY59),2,FALSE),"----")</f>
        <v>----</v>
      </c>
      <c r="DJ62" s="691" t="e">
        <f t="shared" ca="1" si="360"/>
        <v>#N/A</v>
      </c>
      <c r="DK62" s="4" t="e">
        <f ca="1">IF(AND(INDEX(SSM,DJ62,4)&gt;=$AB65,INDEX(SSM,DJ62,5)&gt;=$S59,INDEX(SSM,DJ62,6)&gt;=$R59),1,0)</f>
        <v>#N/A</v>
      </c>
      <c r="DL62" s="4" t="e">
        <f t="shared" ref="DL62" ca="1" si="398">MATCH(1,OFFSET(DK59:DK70,DM61,0,COUNT(DK59:DK70)-DM61),0)</f>
        <v>#REF!</v>
      </c>
      <c r="DM62" s="4" t="e">
        <f t="shared" ca="1" si="362"/>
        <v>#REF!</v>
      </c>
      <c r="DN62" s="692" t="str">
        <f ca="1">IFERROR(IF(AD66="Nested Steel Stud (wood infill)",VLOOKUP(INDEX(DJ59:DJ70,DM62),SSW,2,FALSE),VLOOKUP(INDEX(DJ59:DJ70,DM62),SSM,2,FALSE)),"----")</f>
        <v>----</v>
      </c>
      <c r="DO62" s="691" t="e">
        <f t="shared" ca="1" si="363"/>
        <v>#N/A</v>
      </c>
      <c r="DP62" s="4" t="e">
        <f ca="1">IF(AND(INDEX(WSM,DO62,4)&gt;=$AB65,INDEX(WSM,DO62,5)&gt;=$S59,INDEX(WSM,DO62,6)&gt;=$R59),1,0)</f>
        <v>#N/A</v>
      </c>
      <c r="DQ62" s="4" t="e">
        <f t="shared" ref="DQ62" ca="1" si="399">MATCH(1,OFFSET(DP59:DP70,DR61,0,COUNT(DP59:DP70)-DR61),0)</f>
        <v>#REF!</v>
      </c>
      <c r="DR62" s="4" t="e">
        <f t="shared" ca="1" si="365"/>
        <v>#REF!</v>
      </c>
      <c r="DS62" s="692" t="str">
        <f ca="1">IFERROR(VLOOKUP(INDEX(DO59:DO70,DR62),WSM,2,FALSE),"----")</f>
        <v>----</v>
      </c>
      <c r="DT62" s="691" t="e">
        <f t="shared" ca="1" si="366"/>
        <v>#N/A</v>
      </c>
      <c r="DU62" s="4" t="e">
        <f ca="1">IF(AND(INDEX(STM,DT62,4)&gt;=$AB65,INDEX(STM,DT62,5)&gt;=$S59,INDEX(STM,DT62,6)&gt;=$R59),1,0)</f>
        <v>#N/A</v>
      </c>
      <c r="DV62" s="4" t="e">
        <f t="shared" ref="DV62" ca="1" si="400">MATCH(1,OFFSET(DU59:DU70,DW61,0,COUNT(DU59:DU70)-DW61),0)</f>
        <v>#REF!</v>
      </c>
      <c r="DW62" s="4" t="e">
        <f t="shared" ca="1" si="368"/>
        <v>#REF!</v>
      </c>
      <c r="DX62" s="692" t="str">
        <f ca="1">IFERROR(VLOOKUP(INDEX(DT59:DT70,DW62),STM,2,FALSE),"----")</f>
        <v>----</v>
      </c>
      <c r="DY62" s="691" t="e">
        <f t="shared" ca="1" si="369"/>
        <v>#N/A</v>
      </c>
      <c r="DZ62" s="4" t="e">
        <f ca="1">IF(AND(INDEX(ELM,DY62,4)&gt;=$AB65,INDEX(ELM,DY62,5)&gt;=$S59,INDEX(ELM,DY62,6)&gt;=$R59),1,0)</f>
        <v>#N/A</v>
      </c>
      <c r="EA62" s="4" t="e">
        <f t="shared" ref="EA62" ca="1" si="401">MATCH(1,OFFSET(DZ59:DZ70,EB61,0,COUNT(DZ59:DZ70)-EB61),0)</f>
        <v>#REF!</v>
      </c>
      <c r="EB62" s="4" t="e">
        <f t="shared" ca="1" si="371"/>
        <v>#REF!</v>
      </c>
      <c r="EC62" s="692" t="str">
        <f ca="1">IFERROR(VLOOKUP(INDEX(DY59:DY70,EB62),ELM,2,FALSE),"----")</f>
        <v>----</v>
      </c>
      <c r="ED62" s="691" t="e">
        <f t="shared" ca="1" si="372"/>
        <v>#N/A</v>
      </c>
      <c r="EE62" s="4" t="e">
        <f ca="1">IF(LEFT($J59,7)="Clad Wo",IF(AND(INDEX(SPPWS,ED62,4)&gt;=$AB65,INDEX(SPPWS,ED62,5)&gt;=$S59,INDEX(SPPWS,ED62,6)&gt;=$R59),1,0),IF(AND(INDEX(SPM,ED62,4)&gt;=$AB65,INDEX(SPM,ED62,5)&gt;=$S59,INDEX(SPM,ED62,6)&gt;=$R59),1,0))</f>
        <v>#N/A</v>
      </c>
      <c r="EF62" s="4" t="e">
        <f t="shared" ref="EF62" ca="1" si="402">MATCH(1,OFFSET(EE59:EE70,EG61,0,COUNT(EE59:EE70)-EG61),0)</f>
        <v>#REF!</v>
      </c>
      <c r="EG62" s="4" t="e">
        <f t="shared" ca="1" si="374"/>
        <v>#REF!</v>
      </c>
      <c r="EH62" s="692" t="str">
        <f ca="1">IF(LEFT($J59,7)="Clad Wo",IFERROR(VLOOKUP(INDEX(ED59:ED70,EG62),SPPWS,2,FALSE),"----"),IFERROR(VLOOKUP(INDEX(ED59:ED70,EG62),SPM,2,FALSE),"----"))</f>
        <v>----</v>
      </c>
    </row>
    <row r="63" spans="1:138" ht="15" customHeight="1" x14ac:dyDescent="0.25">
      <c r="A63" s="1085"/>
      <c r="B63" s="925"/>
      <c r="C63" s="926"/>
      <c r="D63" s="927"/>
      <c r="E63" s="995"/>
      <c r="F63" s="996"/>
      <c r="G63" s="997"/>
      <c r="H63" s="1062"/>
      <c r="I63" s="990"/>
      <c r="J63" s="910"/>
      <c r="K63" s="911"/>
      <c r="L63" s="1002"/>
      <c r="M63" s="923"/>
      <c r="N63" s="1042"/>
      <c r="O63" s="1018"/>
      <c r="P63" s="987"/>
      <c r="Q63" s="1015"/>
      <c r="R63" s="1012"/>
      <c r="S63" s="1006"/>
      <c r="T63" s="1007"/>
      <c r="U63" s="878"/>
      <c r="V63" s="881"/>
      <c r="W63" s="884"/>
      <c r="X63" s="884"/>
      <c r="Y63" s="887"/>
      <c r="Z63" s="887"/>
      <c r="AA63" s="887"/>
      <c r="AB63" s="1081"/>
      <c r="AC63" s="1078"/>
      <c r="AD63" s="1070" t="s">
        <v>39</v>
      </c>
      <c r="AE63" s="1071"/>
      <c r="AF63" s="1052"/>
      <c r="AG63" s="1053"/>
      <c r="AH63" s="1053"/>
      <c r="AI63" s="1068"/>
      <c r="AJ63" s="1069"/>
      <c r="AK63" s="154" t="str">
        <f t="shared" ca="1" si="62"/>
        <v/>
      </c>
      <c r="AL63" s="1039"/>
      <c r="AM63" s="344" t="str">
        <f ca="1">IFERROR(Q59/12*ROUND(VLOOKUP(AF63,OFFSET(ELM,0,1),6,FALSE),2),"")</f>
        <v/>
      </c>
      <c r="AN63" t="str">
        <f t="shared" ca="1" si="5"/>
        <v/>
      </c>
      <c r="AP63" s="122" t="str">
        <f t="shared" ref="AP63" si="403">_xlfn.CONCAT(AR63,AS64)</f>
        <v/>
      </c>
      <c r="AQ63" s="683" t="str">
        <f t="shared" si="65"/>
        <v/>
      </c>
      <c r="AR63" s="4" t="str">
        <f t="shared" si="3"/>
        <v/>
      </c>
      <c r="AS63" s="4"/>
      <c r="AT63" s="697" t="str">
        <f>AL59</f>
        <v/>
      </c>
      <c r="AU63" s="694" t="e">
        <f t="shared" ca="1" si="91"/>
        <v>#REF!</v>
      </c>
      <c r="AV63" s="698" t="str">
        <f ca="1">IFERROR(VLOOKUP(AU63,INDIRECT(AQ59),2,FALSE),"----")</f>
        <v>----</v>
      </c>
      <c r="AW63" s="694" t="e">
        <f t="shared" ca="1" si="92"/>
        <v>#REF!</v>
      </c>
      <c r="AX63" s="698" t="str">
        <f ca="1">IFERROR(VLOOKUP(AW63,INDIRECT(AQ60),2,FALSE),"----")</f>
        <v>----</v>
      </c>
      <c r="AY63" s="694" t="e">
        <f t="shared" ref="AY63" ca="1" si="404">AY62-1</f>
        <v>#REF!</v>
      </c>
      <c r="AZ63" s="698" t="str">
        <f ca="1">IFERROR(VLOOKUP(AY63,INDIRECT(AQ61),2,FALSE),"----")</f>
        <v>----</v>
      </c>
      <c r="BA63" s="694" t="e">
        <f t="shared" ref="BA63" ca="1" si="405">BA62-1</f>
        <v>#REF!</v>
      </c>
      <c r="BB63" s="698" t="str">
        <f ca="1">IFERROR(VLOOKUP(BA63,INDIRECT(AQ62),2,FALSE),"----")</f>
        <v>----</v>
      </c>
      <c r="BC63" s="694" t="e">
        <f t="shared" ca="1" si="95"/>
        <v>#REF!</v>
      </c>
      <c r="BD63" s="698" t="str">
        <f ca="1">IFERROR(VLOOKUP(BC63,INDIRECT(AQ63),2,FALSE),"----")</f>
        <v>----</v>
      </c>
      <c r="BE63" s="694" t="e">
        <f t="shared" ca="1" si="96"/>
        <v>#REF!</v>
      </c>
      <c r="BF63" s="698" t="str">
        <f ca="1">IFERROR(VLOOKUP(BE63,INDIRECT(AQ64),2,FALSE),"----")</f>
        <v>----</v>
      </c>
      <c r="BG63" s="694" t="e">
        <f t="shared" ca="1" si="97"/>
        <v>#REF!</v>
      </c>
      <c r="BH63" s="686" t="str">
        <f ca="1">IFERROR(VLOOKUP(BG63,INDIRECT(AQ65),2,FALSE),"----")</f>
        <v>----</v>
      </c>
      <c r="BI63" s="694" t="e">
        <f t="shared" ca="1" si="98"/>
        <v>#REF!</v>
      </c>
      <c r="BJ63" s="686" t="str">
        <f ca="1">IFERROR(VLOOKUP(BI63,INDIRECT(AQ66),2,FALSE),"----")</f>
        <v>----</v>
      </c>
      <c r="BK63" s="694" t="e">
        <f t="shared" ca="1" si="99"/>
        <v>#REF!</v>
      </c>
      <c r="BL63" s="686" t="str">
        <f ca="1">IFERROR(VLOOKUP(BK63,INDIRECT(AQ67),2,FALSE),"----")</f>
        <v>----</v>
      </c>
      <c r="BM63" s="694" t="e">
        <f t="shared" ca="1" si="100"/>
        <v>#REF!</v>
      </c>
      <c r="BN63" s="686" t="str">
        <f ca="1">IFERROR(VLOOKUP(BM63,INDIRECT(AQ68),2,FALSE),"----")</f>
        <v>----</v>
      </c>
      <c r="BO63" s="694" t="e">
        <f t="shared" ca="1" si="101"/>
        <v>#REF!</v>
      </c>
      <c r="BP63" s="686" t="str">
        <f ca="1">IFERROR(VLOOKUP(BO63,INDIRECT(AQ69),2,FALSE),"----")</f>
        <v>----</v>
      </c>
      <c r="BQ63" s="694" t="e">
        <f t="shared" ca="1" si="102"/>
        <v>#REF!</v>
      </c>
      <c r="BR63" s="686" t="str">
        <f ca="1">IFERROR(VLOOKUP(BQ63,INDIRECT(AQ70),2,FALSE),"----")</f>
        <v>----</v>
      </c>
      <c r="BS63" s="695">
        <f>IF(AI63="",1,IF(COUNTIF(BD59:BD70,AI63)=0,2,1))</f>
        <v>1</v>
      </c>
      <c r="BT63" s="696">
        <f>IF(AF63="",1,IF(BD59=".",2,1))</f>
        <v>1</v>
      </c>
      <c r="BU63" s="706"/>
      <c r="BV63" s="155">
        <f ca="1">IF(COUNTIF(CY59:CY70,AF63)=0,IF(AF63&lt;&gt;"",0,1),1)</f>
        <v>1</v>
      </c>
      <c r="BW63" s="157">
        <f ca="1">IFERROR(MATCH(AF63,CY59:CY70,0),1)</f>
        <v>1</v>
      </c>
      <c r="BX63" s="769"/>
      <c r="BY63" s="769"/>
      <c r="BZ63" s="1110"/>
      <c r="CA63" s="691" t="e">
        <f t="shared" ca="1" si="339"/>
        <v>#REF!</v>
      </c>
      <c r="CB63" s="4" t="e" cm="1">
        <f t="array" aca="1" ref="CB63" ca="1">IF(AND(INDEX(INDIRECT(BY59),CA63,4)&gt;=$AB59,INDEX(INDIRECT(BY59),CA63,5)&gt;=$S59,INDEX(INDIRECT(BY59),CA63,6)&gt;=$R59),1,0)</f>
        <v>#REF!</v>
      </c>
      <c r="CC63" s="4" t="e">
        <f t="shared" ref="CC63" ca="1" si="406">MATCH(1,OFFSET(CB59:CB70,CD62,0,COUNT(CB59:CB70)-CD62),0)</f>
        <v>#REF!</v>
      </c>
      <c r="CD63" s="4" t="e">
        <f t="shared" ca="1" si="341"/>
        <v>#REF!</v>
      </c>
      <c r="CE63" s="692" t="str" cm="1">
        <f t="array" aca="1" ref="CE63" ca="1">IFERROR(VLOOKUP(INDEX(CA59:CA70,CD63),INDIRECT(BY59),2,FALSE),"----")</f>
        <v>----</v>
      </c>
      <c r="CF63" s="691" t="e">
        <f t="shared" ca="1" si="342"/>
        <v>#N/A</v>
      </c>
      <c r="CG63" s="4" t="e">
        <f ca="1">IF(AND(INDEX(SSM,CF63,4)&gt;=$AB59,INDEX(SSM,CF63,5)&gt;=$S59,INDEX(SSM,CF63,6)&gt;=$R59),1,0)</f>
        <v>#N/A</v>
      </c>
      <c r="CH63" s="4" t="e">
        <f t="shared" ref="CH63" ca="1" si="407">MATCH(1,OFFSET(CG59:CG70,CI62,0,COUNT(CG59:CG70)-CI62),0)</f>
        <v>#REF!</v>
      </c>
      <c r="CI63" s="4" t="e">
        <f t="shared" ca="1" si="344"/>
        <v>#REF!</v>
      </c>
      <c r="CJ63" s="692" t="str">
        <f ca="1">IFERROR(IF(AD60="Nested Steel Stud (wood infill)",VLOOKUP(INDEX(CF59:CF70,CI63),SSW,2,FALSE),VLOOKUP(INDEX(CF59:CF70,CI63),SSM,2,FALSE)),"----")</f>
        <v>----</v>
      </c>
      <c r="CK63" s="691" t="e">
        <f t="shared" ca="1" si="345"/>
        <v>#N/A</v>
      </c>
      <c r="CL63" s="4" t="e">
        <f ca="1">IF(AND(INDEX(WSM,CK63,4)&gt;=$AB59,INDEX(WSM,CK63,5)&gt;=$S59,INDEX(WSM,CK63,6)&gt;=$R59),1,0)</f>
        <v>#N/A</v>
      </c>
      <c r="CM63" s="4" t="e">
        <f t="shared" ref="CM63" ca="1" si="408">MATCH(1,OFFSET(CL59:CL70,CN62,0,COUNT(CL59:CL70)-CN62),0)</f>
        <v>#REF!</v>
      </c>
      <c r="CN63" s="4" t="e">
        <f t="shared" ca="1" si="347"/>
        <v>#REF!</v>
      </c>
      <c r="CO63" s="692" t="str">
        <f ca="1">IFERROR(VLOOKUP(INDEX(CK59:CK70,CN63),WSM,2,FALSE),"----")</f>
        <v>----</v>
      </c>
      <c r="CP63" s="691" t="e">
        <f t="shared" ca="1" si="348"/>
        <v>#N/A</v>
      </c>
      <c r="CQ63" s="4" t="e">
        <f ca="1">IF(AND(INDEX(STM,CP63,4)&gt;=$AB59,INDEX(STM,CP63,5)&gt;=$S59,INDEX(STM,CP63,6)&gt;=$R59),1,0)</f>
        <v>#N/A</v>
      </c>
      <c r="CR63" s="4" t="e">
        <f t="shared" ref="CR63" ca="1" si="409">MATCH(1,OFFSET(CQ59:CQ70,CS62,0,COUNT(CQ59:CQ70)-CS62),0)</f>
        <v>#REF!</v>
      </c>
      <c r="CS63" s="4" t="e">
        <f t="shared" ca="1" si="350"/>
        <v>#REF!</v>
      </c>
      <c r="CT63" s="692" t="str">
        <f ca="1">IFERROR(VLOOKUP(INDEX(CP59:CP70,CS63),STM,2,FALSE),"----")</f>
        <v>----</v>
      </c>
      <c r="CU63" s="691" t="e">
        <f t="shared" ca="1" si="351"/>
        <v>#N/A</v>
      </c>
      <c r="CV63" s="4" t="e">
        <f ca="1">IF(AND(INDEX(ELM,CU63,4)&gt;=$AB59,INDEX(ELM,CU63,5)&gt;=$S59,INDEX(ELM,CU63,6)&gt;=$R59),1,0)</f>
        <v>#N/A</v>
      </c>
      <c r="CW63" s="4" t="e">
        <f t="shared" ref="CW63" ca="1" si="410">MATCH(1,OFFSET(CV59:CV70,CX62,0,COUNT(CV59:CV70)-CX62),0)</f>
        <v>#REF!</v>
      </c>
      <c r="CX63" s="4" t="e">
        <f t="shared" ca="1" si="353"/>
        <v>#REF!</v>
      </c>
      <c r="CY63" s="692" t="str">
        <f ca="1">IFERROR(VLOOKUP(INDEX(CU59:CU70,CX63),ELM,2,FALSE),"----")</f>
        <v>----</v>
      </c>
      <c r="CZ63" s="691" t="e">
        <f t="shared" ca="1" si="354"/>
        <v>#N/A</v>
      </c>
      <c r="DA63" s="4" t="e">
        <f ca="1">IF(LEFT($J59,7)="Clad Wo",IF(AND(INDEX(SPPWS,CZ63,4)&gt;=$AB59,INDEX(SPPWS,CZ63,5)&gt;=$S59,INDEX(SPPWS,CZ63,6)&gt;=$R59),1,0),IF(AND(INDEX(SPM,CZ63,4)&gt;=$AB59,INDEX(SPM,CZ63,5)&gt;=$S59,INDEX(SPM,CZ63,6)&gt;=$R59),1,0))</f>
        <v>#N/A</v>
      </c>
      <c r="DB63" s="4" t="e">
        <f t="shared" ref="DB63" ca="1" si="411">MATCH(1,OFFSET(DA59:DA70,DC62,0,COUNT(DA59:DA70)-DC62),0)</f>
        <v>#REF!</v>
      </c>
      <c r="DC63" s="4" t="e">
        <f t="shared" ca="1" si="356"/>
        <v>#REF!</v>
      </c>
      <c r="DD63" s="693" t="str">
        <f ca="1">IF(LEFT($J59,7)="Clad Wo",IFERROR(VLOOKUP(INDEX(CZ59:CZ70,DC63),SPPWS,2,FALSE),"----"),IFERROR(VLOOKUP(INDEX(CZ59:CZ70,DC63),SPM,2,FALSE),"----"))</f>
        <v>----</v>
      </c>
      <c r="DE63" s="691" t="e">
        <f t="shared" ca="1" si="357"/>
        <v>#REF!</v>
      </c>
      <c r="DF63" s="4" t="e" cm="1">
        <f t="array" aca="1" ref="DF63" ca="1">IF(AND(INDEX(INDIRECT(BY59),DE63,4)&gt;=$AB65,INDEX(INDIRECT(BY59),DE63,5)&gt;=$S59,INDEX(INDIRECT(BY59),DE63,6)&gt;=$R59),1,0)</f>
        <v>#REF!</v>
      </c>
      <c r="DG63" s="4" t="e">
        <f t="shared" ref="DG63" ca="1" si="412">MATCH(1,OFFSET(DF59:DF70,DH62,0,COUNT(DF59:DF70)-DH62),0)</f>
        <v>#REF!</v>
      </c>
      <c r="DH63" s="4" t="e">
        <f t="shared" ca="1" si="359"/>
        <v>#REF!</v>
      </c>
      <c r="DI63" s="692" t="str" cm="1">
        <f t="array" aca="1" ref="DI63" ca="1">IFERROR(VLOOKUP(INDEX(DE59:DE70,DH63),INDIRECT(BY59),2,FALSE),"----")</f>
        <v>----</v>
      </c>
      <c r="DJ63" s="691" t="e">
        <f t="shared" ca="1" si="360"/>
        <v>#N/A</v>
      </c>
      <c r="DK63" s="4" t="e">
        <f ca="1">IF(AND(INDEX(SSM,DJ63,4)&gt;=$AB65,INDEX(SSM,DJ63,5)&gt;=$S59,INDEX(SSM,DJ63,6)&gt;=$R59),1,0)</f>
        <v>#N/A</v>
      </c>
      <c r="DL63" s="4" t="e">
        <f t="shared" ref="DL63" ca="1" si="413">MATCH(1,OFFSET(DK59:DK70,DM62,0,COUNT(DK59:DK70)-DM62),0)</f>
        <v>#REF!</v>
      </c>
      <c r="DM63" s="4" t="e">
        <f t="shared" ca="1" si="362"/>
        <v>#REF!</v>
      </c>
      <c r="DN63" s="692" t="str">
        <f ca="1">IFERROR(IF(AD66="Nested Steel Stud (wood infill)",VLOOKUP(INDEX(DJ59:DJ70,DM63),SSW,2,FALSE),VLOOKUP(INDEX(DJ59:DJ70,DM63),SSM,2,FALSE)),"----")</f>
        <v>----</v>
      </c>
      <c r="DO63" s="691" t="e">
        <f t="shared" ca="1" si="363"/>
        <v>#N/A</v>
      </c>
      <c r="DP63" s="4" t="e">
        <f ca="1">IF(AND(INDEX(WSM,DO63,4)&gt;=$AB65,INDEX(WSM,DO63,5)&gt;=$S59,INDEX(WSM,DO63,6)&gt;=$R59),1,0)</f>
        <v>#N/A</v>
      </c>
      <c r="DQ63" s="4" t="e">
        <f t="shared" ref="DQ63" ca="1" si="414">MATCH(1,OFFSET(DP59:DP70,DR62,0,COUNT(DP59:DP70)-DR62),0)</f>
        <v>#REF!</v>
      </c>
      <c r="DR63" s="4" t="e">
        <f t="shared" ca="1" si="365"/>
        <v>#REF!</v>
      </c>
      <c r="DS63" s="692" t="str">
        <f ca="1">IFERROR(VLOOKUP(INDEX(DO59:DO70,DR63),WSM,2,FALSE),"----")</f>
        <v>----</v>
      </c>
      <c r="DT63" s="691" t="e">
        <f t="shared" ca="1" si="366"/>
        <v>#N/A</v>
      </c>
      <c r="DU63" s="4" t="e">
        <f ca="1">IF(AND(INDEX(STM,DT63,4)&gt;=$AB65,INDEX(STM,DT63,5)&gt;=$S59,INDEX(STM,DT63,6)&gt;=$R59),1,0)</f>
        <v>#N/A</v>
      </c>
      <c r="DV63" s="4" t="e">
        <f t="shared" ref="DV63" ca="1" si="415">MATCH(1,OFFSET(DU59:DU70,DW62,0,COUNT(DU59:DU70)-DW62),0)</f>
        <v>#REF!</v>
      </c>
      <c r="DW63" s="4" t="e">
        <f t="shared" ca="1" si="368"/>
        <v>#REF!</v>
      </c>
      <c r="DX63" s="692" t="str">
        <f ca="1">IFERROR(VLOOKUP(INDEX(DT59:DT70,DW63),STM,2,FALSE),"----")</f>
        <v>----</v>
      </c>
      <c r="DY63" s="691" t="e">
        <f t="shared" ca="1" si="369"/>
        <v>#N/A</v>
      </c>
      <c r="DZ63" s="4" t="e">
        <f ca="1">IF(AND(INDEX(ELM,DY63,4)&gt;=$AB65,INDEX(ELM,DY63,5)&gt;=$S59,INDEX(ELM,DY63,6)&gt;=$R59),1,0)</f>
        <v>#N/A</v>
      </c>
      <c r="EA63" s="4" t="e">
        <f t="shared" ref="EA63" ca="1" si="416">MATCH(1,OFFSET(DZ59:DZ70,EB62,0,COUNT(DZ59:DZ70)-EB62),0)</f>
        <v>#REF!</v>
      </c>
      <c r="EB63" s="4" t="e">
        <f t="shared" ca="1" si="371"/>
        <v>#REF!</v>
      </c>
      <c r="EC63" s="692" t="str">
        <f ca="1">IFERROR(VLOOKUP(INDEX(DY59:DY70,EB63),ELM,2,FALSE),"----")</f>
        <v>----</v>
      </c>
      <c r="ED63" s="691" t="e">
        <f t="shared" ca="1" si="372"/>
        <v>#N/A</v>
      </c>
      <c r="EE63" s="4" t="e">
        <f ca="1">IF(LEFT($J59,7)="Clad Wo",IF(AND(INDEX(SPPWS,ED63,4)&gt;=$AB65,INDEX(SPPWS,ED63,5)&gt;=$S59,INDEX(SPPWS,ED63,6)&gt;=$R59),1,0),IF(AND(INDEX(SPM,ED63,4)&gt;=$AB65,INDEX(SPM,ED63,5)&gt;=$S59,INDEX(SPM,ED63,6)&gt;=$R59),1,0))</f>
        <v>#N/A</v>
      </c>
      <c r="EF63" s="4" t="e">
        <f t="shared" ref="EF63" ca="1" si="417">MATCH(1,OFFSET(EE59:EE70,EG62,0,COUNT(EE59:EE70)-EG62),0)</f>
        <v>#REF!</v>
      </c>
      <c r="EG63" s="4" t="e">
        <f t="shared" ca="1" si="374"/>
        <v>#REF!</v>
      </c>
      <c r="EH63" s="692" t="str">
        <f ca="1">IF(LEFT($J59,7)="Clad Wo",IFERROR(VLOOKUP(INDEX(ED59:ED70,EG63),SPPWS,2,FALSE),"----"),IFERROR(VLOOKUP(INDEX(ED59:ED70,EG63),SPM,2,FALSE),"----"))</f>
        <v>----</v>
      </c>
    </row>
    <row r="64" spans="1:138" ht="15" customHeight="1" thickBot="1" x14ac:dyDescent="0.3">
      <c r="A64" s="1085"/>
      <c r="B64" s="934"/>
      <c r="C64" s="935"/>
      <c r="D64" s="936"/>
      <c r="E64" s="995"/>
      <c r="F64" s="996"/>
      <c r="G64" s="997"/>
      <c r="H64" s="1062"/>
      <c r="I64" s="990"/>
      <c r="J64" s="908"/>
      <c r="K64" s="909"/>
      <c r="L64" s="1010"/>
      <c r="M64" s="924"/>
      <c r="N64" s="1044"/>
      <c r="O64" s="1018"/>
      <c r="P64" s="987"/>
      <c r="Q64" s="1015"/>
      <c r="R64" s="1012"/>
      <c r="S64" s="1006"/>
      <c r="T64" s="1007"/>
      <c r="U64" s="878"/>
      <c r="V64" s="881"/>
      <c r="W64" s="889"/>
      <c r="X64" s="884"/>
      <c r="Y64" s="890"/>
      <c r="Z64" s="890"/>
      <c r="AA64" s="887"/>
      <c r="AB64" s="1084"/>
      <c r="AC64" s="1079"/>
      <c r="AD64" s="1072" t="str">
        <f t="shared" ref="AD64" si="418">IF(LEFT(J59,7)="Clad Wo","Pella Wood Spr / Steel Pte","Steel Plate")</f>
        <v>Steel Plate</v>
      </c>
      <c r="AE64" s="1073"/>
      <c r="AF64" s="1054"/>
      <c r="AG64" s="1055"/>
      <c r="AH64" s="1055"/>
      <c r="AI64" s="1092"/>
      <c r="AJ64" s="1093"/>
      <c r="AK64" s="159" t="str">
        <f t="shared" ca="1" si="62"/>
        <v/>
      </c>
      <c r="AL64" s="1040"/>
      <c r="AM64" s="345" t="str">
        <f ca="1">IFERROR(Q59/12*ROUND(VLOOKUP(AF64,OFFSET(SPM,0,1),6,FALSE),2),"")</f>
        <v/>
      </c>
      <c r="AN64" t="str">
        <f t="shared" ca="1" si="5"/>
        <v/>
      </c>
      <c r="AP64" s="699" t="str">
        <f t="shared" ref="AP64" si="419">_xlfn.CONCAT(AR64,AS64)</f>
        <v/>
      </c>
      <c r="AQ64" s="700" t="str">
        <f t="shared" si="65"/>
        <v/>
      </c>
      <c r="AR64" s="160" t="str">
        <f t="shared" si="3"/>
        <v/>
      </c>
      <c r="AS64" s="160" t="str">
        <f>IFERROR(VLOOKUP(J67, WallType,2,FALSE),"")</f>
        <v/>
      </c>
      <c r="AT64" s="701" t="str">
        <f>AL59</f>
        <v/>
      </c>
      <c r="AU64" s="694" t="e">
        <f t="shared" ca="1" si="91"/>
        <v>#REF!</v>
      </c>
      <c r="AV64" s="698" t="str">
        <f ca="1">IFERROR(VLOOKUP(AU64,INDIRECT(AQ59),2,FALSE),"----")</f>
        <v>----</v>
      </c>
      <c r="AW64" s="702" t="e">
        <f t="shared" ca="1" si="92"/>
        <v>#REF!</v>
      </c>
      <c r="AX64" s="698" t="str">
        <f ca="1">IFERROR(VLOOKUP(AW64,INDIRECT(AQ60),2,FALSE),"----")</f>
        <v>----</v>
      </c>
      <c r="AY64" s="702" t="e">
        <f t="shared" ref="AY64" ca="1" si="420">AY63-1</f>
        <v>#REF!</v>
      </c>
      <c r="AZ64" s="698" t="str">
        <f ca="1">IFERROR(VLOOKUP(AY64,INDIRECT(AQ61),2,FALSE),"----")</f>
        <v>----</v>
      </c>
      <c r="BA64" s="702" t="e">
        <f t="shared" ref="BA64" ca="1" si="421">BA63-1</f>
        <v>#REF!</v>
      </c>
      <c r="BB64" s="698" t="str">
        <f ca="1">IFERROR(VLOOKUP(BA64,INDIRECT(AQ62),2,FALSE),"----")</f>
        <v>----</v>
      </c>
      <c r="BC64" s="702" t="e">
        <f t="shared" ca="1" si="95"/>
        <v>#REF!</v>
      </c>
      <c r="BD64" s="698" t="str">
        <f ca="1">IFERROR(VLOOKUP(BC64,INDIRECT(AQ63),2,FALSE),"----")</f>
        <v>----</v>
      </c>
      <c r="BE64" s="702" t="e">
        <f t="shared" ca="1" si="96"/>
        <v>#REF!</v>
      </c>
      <c r="BF64" s="698" t="str">
        <f ca="1">IFERROR(VLOOKUP(BE64,INDIRECT(AQ64),2,FALSE),"----")</f>
        <v>----</v>
      </c>
      <c r="BG64" s="702" t="e">
        <f t="shared" ca="1" si="97"/>
        <v>#REF!</v>
      </c>
      <c r="BH64" s="686" t="str">
        <f ca="1">IFERROR(VLOOKUP(BG64,INDIRECT(AQ65),2,FALSE),"----")</f>
        <v>----</v>
      </c>
      <c r="BI64" s="702" t="e">
        <f t="shared" ca="1" si="98"/>
        <v>#REF!</v>
      </c>
      <c r="BJ64" s="686" t="str">
        <f ca="1">IFERROR(VLOOKUP(BI64,INDIRECT(AQ66),2,FALSE),"----")</f>
        <v>----</v>
      </c>
      <c r="BK64" s="702" t="e">
        <f t="shared" ca="1" si="99"/>
        <v>#REF!</v>
      </c>
      <c r="BL64" s="686" t="str">
        <f ca="1">IFERROR(VLOOKUP(BK64,INDIRECT(AQ67),2,FALSE),"----")</f>
        <v>----</v>
      </c>
      <c r="BM64" s="702" t="e">
        <f t="shared" ca="1" si="100"/>
        <v>#REF!</v>
      </c>
      <c r="BN64" s="686" t="str">
        <f ca="1">IFERROR(VLOOKUP(BM64,INDIRECT(AQ68),2,FALSE),"----")</f>
        <v>----</v>
      </c>
      <c r="BO64" s="702" t="e">
        <f t="shared" ca="1" si="101"/>
        <v>#REF!</v>
      </c>
      <c r="BP64" s="686" t="str">
        <f ca="1">IFERROR(VLOOKUP(BO64,INDIRECT(AQ69),2,FALSE),"----")</f>
        <v>----</v>
      </c>
      <c r="BQ64" s="702" t="e">
        <f t="shared" ca="1" si="102"/>
        <v>#REF!</v>
      </c>
      <c r="BR64" s="686" t="str">
        <f ca="1">IFERROR(VLOOKUP(BQ64,INDIRECT(AQ70),2,FALSE),"----")</f>
        <v>----</v>
      </c>
      <c r="BS64" s="703">
        <f>IF(AI64="",1,IF(COUNTIF(BF59:BF70,AI64)=0,2,1))</f>
        <v>1</v>
      </c>
      <c r="BT64" s="704">
        <f>IF(AF64="",1,IF(BF59=".",2,1))</f>
        <v>1</v>
      </c>
      <c r="BV64" s="155">
        <f ca="1">IF(COUNTIF(DD59:DD70,AF64)=0,IF(AF64&lt;&gt;"",0,1),1)</f>
        <v>1</v>
      </c>
      <c r="BW64" s="157">
        <f ca="1">IFERROR(MATCH(AF64,DD59:DD70,0),1)</f>
        <v>1</v>
      </c>
      <c r="BX64" s="875" t="s">
        <v>1594</v>
      </c>
      <c r="BY64" s="876"/>
      <c r="BZ64" s="1110"/>
      <c r="CA64" s="691" t="e">
        <f t="shared" ca="1" si="339"/>
        <v>#REF!</v>
      </c>
      <c r="CB64" s="4" t="e" cm="1">
        <f t="array" aca="1" ref="CB64" ca="1">IF(AND(INDEX(INDIRECT(BY59),CA64,4)&gt;=$AB59,INDEX(INDIRECT(BY59),CA64,5)&gt;=$S59,INDEX(INDIRECT(BY59),CA64,6)&gt;=$R59),1,0)</f>
        <v>#REF!</v>
      </c>
      <c r="CC64" s="4" t="e">
        <f t="shared" ref="CC64" ca="1" si="422">MATCH(1,OFFSET(CB59:CB70,CD63,0,COUNT(CB59:CB70)-CD63),0)</f>
        <v>#REF!</v>
      </c>
      <c r="CD64" s="4" t="e">
        <f t="shared" ca="1" si="341"/>
        <v>#REF!</v>
      </c>
      <c r="CE64" s="692" t="str" cm="1">
        <f t="array" aca="1" ref="CE64" ca="1">IFERROR(VLOOKUP(INDEX(CA59:CA70,CD64),INDIRECT(BY59),2,FALSE),"----")</f>
        <v>----</v>
      </c>
      <c r="CF64" s="691" t="e">
        <f t="shared" ca="1" si="342"/>
        <v>#N/A</v>
      </c>
      <c r="CG64" s="4" t="e">
        <f ca="1">IF(AND(INDEX(SSM,CF64,4)&gt;=$AB59,INDEX(SSM,CF64,5)&gt;=$S59,INDEX(SSM,CF64,6)&gt;=$R59),1,0)</f>
        <v>#N/A</v>
      </c>
      <c r="CH64" s="4" t="e">
        <f t="shared" ref="CH64" ca="1" si="423">MATCH(1,OFFSET(CG59:CG70,CI63,0,COUNT(CG59:CG70)-CI63),0)</f>
        <v>#REF!</v>
      </c>
      <c r="CI64" s="4" t="e">
        <f t="shared" ca="1" si="344"/>
        <v>#REF!</v>
      </c>
      <c r="CJ64" s="692" t="str">
        <f ca="1">IFERROR(IF(AD60="Nested Steel Stud (wood infill)",VLOOKUP(INDEX(CF59:CF70,CI64),SSW,2,FALSE),VLOOKUP(INDEX(CF59:CF70,CI64),SSM,2,FALSE)),"----")</f>
        <v>----</v>
      </c>
      <c r="CK64" s="691" t="e">
        <f t="shared" ca="1" si="345"/>
        <v>#N/A</v>
      </c>
      <c r="CL64" s="4" t="e">
        <f ca="1">IF(AND(INDEX(WSM,CK64,4)&gt;=$AB59,INDEX(WSM,CK64,5)&gt;=$S59,INDEX(WSM,CK64,6)&gt;=$R59),1,0)</f>
        <v>#N/A</v>
      </c>
      <c r="CM64" s="4" t="e">
        <f t="shared" ref="CM64" ca="1" si="424">MATCH(1,OFFSET(CL59:CL70,CN63,0,COUNT(CL59:CL70)-CN63),0)</f>
        <v>#REF!</v>
      </c>
      <c r="CN64" s="4" t="e">
        <f t="shared" ca="1" si="347"/>
        <v>#REF!</v>
      </c>
      <c r="CO64" s="692" t="str">
        <f ca="1">IFERROR(VLOOKUP(INDEX(CK59:CK70,CN64),WSM,2,FALSE),"----")</f>
        <v>----</v>
      </c>
      <c r="CP64" s="691" t="e">
        <f t="shared" ca="1" si="348"/>
        <v>#N/A</v>
      </c>
      <c r="CQ64" s="4" t="e">
        <f ca="1">IF(AND(INDEX(STM,CP64,4)&gt;=$AB59,INDEX(STM,CP64,5)&gt;=$S59,INDEX(STM,CP64,6)&gt;=$R59),1,0)</f>
        <v>#N/A</v>
      </c>
      <c r="CR64" s="4" t="e">
        <f t="shared" ref="CR64" ca="1" si="425">MATCH(1,OFFSET(CQ59:CQ70,CS63,0,COUNT(CQ59:CQ70)-CS63),0)</f>
        <v>#REF!</v>
      </c>
      <c r="CS64" s="4" t="e">
        <f t="shared" ca="1" si="350"/>
        <v>#REF!</v>
      </c>
      <c r="CT64" s="692" t="str">
        <f ca="1">IFERROR(VLOOKUP(INDEX(CP59:CP70,CS64),STM,2,FALSE),"----")</f>
        <v>----</v>
      </c>
      <c r="CU64" s="691" t="e">
        <f t="shared" ca="1" si="351"/>
        <v>#N/A</v>
      </c>
      <c r="CV64" s="4" t="e">
        <f ca="1">IF(AND(INDEX(ELM,CU64,4)&gt;=$AB59,INDEX(ELM,CU64,5)&gt;=$S59,INDEX(ELM,CU64,6)&gt;=$R59),1,0)</f>
        <v>#N/A</v>
      </c>
      <c r="CW64" s="4" t="e">
        <f t="shared" ref="CW64" ca="1" si="426">MATCH(1,OFFSET(CV59:CV70,CX63,0,COUNT(CV59:CV70)-CX63),0)</f>
        <v>#REF!</v>
      </c>
      <c r="CX64" s="4" t="e">
        <f t="shared" ca="1" si="353"/>
        <v>#REF!</v>
      </c>
      <c r="CY64" s="692" t="str">
        <f ca="1">IFERROR(VLOOKUP(INDEX(CU59:CU70,CX64),ELM,2,FALSE),"----")</f>
        <v>----</v>
      </c>
      <c r="CZ64" s="691" t="e">
        <f t="shared" ca="1" si="354"/>
        <v>#N/A</v>
      </c>
      <c r="DA64" s="4" t="e">
        <f ca="1">IF(LEFT($J59,7)="Clad Wo",IF(AND(INDEX(SPPWS,CZ64,4)&gt;=$AB59,INDEX(SPPWS,CZ64,5)&gt;=$S59,INDEX(SPPWS,CZ64,6)&gt;=$R59),1,0),IF(AND(INDEX(SPM,CZ64,4)&gt;=$AB59,INDEX(SPM,CZ64,5)&gt;=$S59,INDEX(SPM,CZ64,6)&gt;=$R59),1,0))</f>
        <v>#N/A</v>
      </c>
      <c r="DB64" s="4" t="e">
        <f t="shared" ref="DB64" ca="1" si="427">MATCH(1,OFFSET(DA59:DA70,DC63,0,COUNT(DA59:DA70)-DC63),0)</f>
        <v>#REF!</v>
      </c>
      <c r="DC64" s="4" t="e">
        <f t="shared" ca="1" si="356"/>
        <v>#REF!</v>
      </c>
      <c r="DD64" s="693" t="str">
        <f ca="1">IF(LEFT($J59,7)="Clad Wo",IFERROR(VLOOKUP(INDEX(CZ59:CZ70,DC64),SPPWS,2,FALSE),"----"),IFERROR(VLOOKUP(INDEX(CZ59:CZ70,DC64),SPM,2,FALSE),"----"))</f>
        <v>----</v>
      </c>
      <c r="DE64" s="691" t="e">
        <f t="shared" ca="1" si="357"/>
        <v>#REF!</v>
      </c>
      <c r="DF64" s="4" t="e" cm="1">
        <f t="array" aca="1" ref="DF64" ca="1">IF(AND(INDEX(INDIRECT(BY59),DE64,4)&gt;=$AB65,INDEX(INDIRECT(BY59),DE64,5)&gt;=$S59,INDEX(INDIRECT(BY59),DE64,6)&gt;=$R59),1,0)</f>
        <v>#REF!</v>
      </c>
      <c r="DG64" s="4" t="e">
        <f t="shared" ref="DG64" ca="1" si="428">MATCH(1,OFFSET(DF59:DF70,DH63,0,COUNT(DF59:DF70)-DH63),0)</f>
        <v>#REF!</v>
      </c>
      <c r="DH64" s="4" t="e">
        <f t="shared" ca="1" si="359"/>
        <v>#REF!</v>
      </c>
      <c r="DI64" s="692" t="str" cm="1">
        <f t="array" aca="1" ref="DI64" ca="1">IFERROR(VLOOKUP(INDEX(DE59:DE70,DH64),INDIRECT(BY59),2,FALSE),"----")</f>
        <v>----</v>
      </c>
      <c r="DJ64" s="691" t="e">
        <f t="shared" ca="1" si="360"/>
        <v>#N/A</v>
      </c>
      <c r="DK64" s="4" t="e">
        <f ca="1">IF(AND(INDEX(SSM,DJ64,4)&gt;=$AB65,INDEX(SSM,DJ64,5)&gt;=$S59,INDEX(SSM,DJ64,6)&gt;=$R59),1,0)</f>
        <v>#N/A</v>
      </c>
      <c r="DL64" s="4" t="e">
        <f t="shared" ref="DL64" ca="1" si="429">MATCH(1,OFFSET(DK59:DK70,DM63,0,COUNT(DK59:DK70)-DM63),0)</f>
        <v>#REF!</v>
      </c>
      <c r="DM64" s="4" t="e">
        <f t="shared" ca="1" si="362"/>
        <v>#REF!</v>
      </c>
      <c r="DN64" s="692" t="str">
        <f ca="1">IFERROR(IF(AD66="Nested Steel Stud (wood infill)",VLOOKUP(INDEX(DJ59:DJ70,DM64),SSW,2,FALSE),VLOOKUP(INDEX(DJ59:DJ70,DM64),SSM,2,FALSE)),"----")</f>
        <v>----</v>
      </c>
      <c r="DO64" s="691" t="e">
        <f t="shared" ca="1" si="363"/>
        <v>#N/A</v>
      </c>
      <c r="DP64" s="4" t="e">
        <f ca="1">IF(AND(INDEX(WSM,DO64,4)&gt;=$AB65,INDEX(WSM,DO64,5)&gt;=$S59,INDEX(WSM,DO64,6)&gt;=$R59),1,0)</f>
        <v>#N/A</v>
      </c>
      <c r="DQ64" s="4" t="e">
        <f t="shared" ref="DQ64" ca="1" si="430">MATCH(1,OFFSET(DP59:DP70,DR63,0,COUNT(DP59:DP70)-DR63),0)</f>
        <v>#REF!</v>
      </c>
      <c r="DR64" s="4" t="e">
        <f t="shared" ca="1" si="365"/>
        <v>#REF!</v>
      </c>
      <c r="DS64" s="692" t="str">
        <f ca="1">IFERROR(VLOOKUP(INDEX(DO59:DO70,DR64),WSM,2,FALSE),"----")</f>
        <v>----</v>
      </c>
      <c r="DT64" s="691" t="e">
        <f t="shared" ca="1" si="366"/>
        <v>#N/A</v>
      </c>
      <c r="DU64" s="4" t="e">
        <f ca="1">IF(AND(INDEX(STM,DT64,4)&gt;=$AB65,INDEX(STM,DT64,5)&gt;=$S59,INDEX(STM,DT64,6)&gt;=$R59),1,0)</f>
        <v>#N/A</v>
      </c>
      <c r="DV64" s="4" t="e">
        <f t="shared" ref="DV64" ca="1" si="431">MATCH(1,OFFSET(DU59:DU70,DW63,0,COUNT(DU59:DU70)-DW63),0)</f>
        <v>#REF!</v>
      </c>
      <c r="DW64" s="4" t="e">
        <f t="shared" ca="1" si="368"/>
        <v>#REF!</v>
      </c>
      <c r="DX64" s="692" t="str">
        <f ca="1">IFERROR(VLOOKUP(INDEX(DT59:DT70,DW64),STM,2,FALSE),"----")</f>
        <v>----</v>
      </c>
      <c r="DY64" s="691" t="e">
        <f t="shared" ca="1" si="369"/>
        <v>#N/A</v>
      </c>
      <c r="DZ64" s="4" t="e">
        <f ca="1">IF(AND(INDEX(ELM,DY64,4)&gt;=$AB65,INDEX(ELM,DY64,5)&gt;=$S59,INDEX(ELM,DY64,6)&gt;=$R59),1,0)</f>
        <v>#N/A</v>
      </c>
      <c r="EA64" s="4" t="e">
        <f t="shared" ref="EA64" ca="1" si="432">MATCH(1,OFFSET(DZ59:DZ70,EB63,0,COUNT(DZ59:DZ70)-EB63),0)</f>
        <v>#REF!</v>
      </c>
      <c r="EB64" s="4" t="e">
        <f t="shared" ca="1" si="371"/>
        <v>#REF!</v>
      </c>
      <c r="EC64" s="692" t="str">
        <f ca="1">IFERROR(VLOOKUP(INDEX(DY59:DY70,EB64),ELM,2,FALSE),"----")</f>
        <v>----</v>
      </c>
      <c r="ED64" s="691" t="e">
        <f t="shared" ca="1" si="372"/>
        <v>#N/A</v>
      </c>
      <c r="EE64" s="4" t="e">
        <f ca="1">IF(LEFT($J59,7)="Clad Wo",IF(AND(INDEX(SPPWS,ED64,4)&gt;=$AB65,INDEX(SPPWS,ED64,5)&gt;=$S59,INDEX(SPPWS,ED64,6)&gt;=$R59),1,0),IF(AND(INDEX(SPM,ED64,4)&gt;=$AB65,INDEX(SPM,ED64,5)&gt;=$S59,INDEX(SPM,ED64,6)&gt;=$R59),1,0))</f>
        <v>#N/A</v>
      </c>
      <c r="EF64" s="4" t="e">
        <f t="shared" ref="EF64" ca="1" si="433">MATCH(1,OFFSET(EE59:EE70,EG63,0,COUNT(EE59:EE70)-EG63),0)</f>
        <v>#REF!</v>
      </c>
      <c r="EG64" s="4" t="e">
        <f t="shared" ca="1" si="374"/>
        <v>#REF!</v>
      </c>
      <c r="EH64" s="692" t="str">
        <f ca="1">IF(LEFT($J59,7)="Clad Wo",IFERROR(VLOOKUP(INDEX(ED59:ED70,EG64),SPPWS,2,FALSE),"----"),IFERROR(VLOOKUP(INDEX(ED59:ED70,EG64),SPM,2,FALSE),"----"))</f>
        <v>----</v>
      </c>
    </row>
    <row r="65" spans="1:138" ht="15" customHeight="1" x14ac:dyDescent="0.25">
      <c r="A65" s="1085"/>
      <c r="B65" s="925" t="s">
        <v>409</v>
      </c>
      <c r="C65" s="926"/>
      <c r="D65" s="927"/>
      <c r="E65" s="995"/>
      <c r="F65" s="996"/>
      <c r="G65" s="997"/>
      <c r="H65" s="1062"/>
      <c r="I65" s="990"/>
      <c r="J65" s="908"/>
      <c r="K65" s="909"/>
      <c r="L65" s="1001">
        <f>L59+1</f>
        <v>5</v>
      </c>
      <c r="M65" s="1064" t="str">
        <f t="shared" ref="M65" si="434">IFERROR(IF($AE$17="",IF($AG$19="Wind Loading",MIN($V$31,IF(E$11="ASCE 7-05",$U$26,$V$7)*$V$9*(IF($E$12&lt;60,0.156*LN(MAX(MIN(500,O59),10)) -1.7618,IF($E$11="ASCE 7-22", 0.2026*LN(MAX(MIN(500,O59),20))-2.2638,0.2503*LN(MAX(MIN(500,O59),20)) -2.5526))-$V$8)),$V$7*IF(E$12&lt;60,$V$13*($V$15*(0.156*LN(MAX(MIN(500,O59),10)) -1.7618)-$V$16),$V$13*$V$15*((0.2026*LN(MAX(MIN(500,O59),20))-2.2638)-$V$16))),-ABS($AE$17)),"")</f>
        <v/>
      </c>
      <c r="N65" s="1041" t="str">
        <f t="shared" ref="N65" si="435">IFERROR(IF($AE$19="",IF($AG$19="Wind Loading",MAX($U$31,IF(E$11="ASCE 7-05",$U$26,$V$7)*$V$9*((IF($E$12&lt;60,-0.077*LN(MAX(MIN(500,O59),10))+1.1737,IF($E$11="ASCE 7-22",-0.077*LN(MAX(MIN(500,O59),20))+1.0798,-0.093*LN(MAX(MIN(500,O59),20))+1.1776)))+$V$8)),$V$7*IF(E$12&lt;60,$V$13*($V$15*(-0.077*LN(MAX(MIN(500,O59),10))+1.1737)-$V$17),$V$13*$V$15*((-0.077*LN(MAX(MIN(500,O59),20))+1.0798)-$V$17))),ABS($AE$19)),"")</f>
        <v/>
      </c>
      <c r="O65" s="1018"/>
      <c r="P65" s="987"/>
      <c r="Q65" s="1015"/>
      <c r="R65" s="1012">
        <f>P65*Q65/8</f>
        <v>0</v>
      </c>
      <c r="S65" s="1006"/>
      <c r="T65" s="1007"/>
      <c r="U65" s="878"/>
      <c r="V65" s="881"/>
      <c r="W65" s="883" t="e">
        <f t="shared" ref="W65" si="436">MAX(-M65,N65)*O59</f>
        <v>#VALUE!</v>
      </c>
      <c r="X65" s="884"/>
      <c r="Y65" s="886">
        <f>IFERROR(IF(AG$14="Trapezoidal",BY68,BX68)+IF($E$17="4",(400*E59^3)/(48*X59),0),0)</f>
        <v>0</v>
      </c>
      <c r="Z65" s="886" t="e">
        <f t="shared" ref="Z65" si="437">+($V59*MAX(-$M65,$N65)*$E59^2)/(144*8)+IF($E$17=4,(400*$E59)/4,0)</f>
        <v>#VALUE!</v>
      </c>
      <c r="AA65" s="887"/>
      <c r="AB65" s="1080" t="str">
        <f t="shared" ref="AB65" ca="1" si="438">IFERROR(Z65-AA59,"")</f>
        <v/>
      </c>
      <c r="AC65" s="1086" t="str">
        <f t="shared" ref="AC65" ca="1" si="439">IFERROR(Y65-U59,"")</f>
        <v/>
      </c>
      <c r="AD65" s="1074" t="str">
        <f t="shared" ref="AD65" si="440">AD59</f>
        <v/>
      </c>
      <c r="AE65" s="1075"/>
      <c r="AF65" s="1056"/>
      <c r="AG65" s="1057"/>
      <c r="AH65" s="1057"/>
      <c r="AI65" s="1088"/>
      <c r="AJ65" s="1089"/>
      <c r="AK65" s="162" t="str">
        <f t="shared" ca="1" si="62"/>
        <v/>
      </c>
      <c r="AL65" s="1058" t="str">
        <f t="shared" ref="AL65" si="441">IFERROR(ROUND(SQRT(P59^2+(W65/2+IF($E$17=4,200,0))^2),0),"")</f>
        <v/>
      </c>
      <c r="AM65" s="342" t="s">
        <v>669</v>
      </c>
      <c r="AN65" t="str">
        <f t="shared" ca="1" si="5"/>
        <v/>
      </c>
      <c r="AP65" s="122" t="str">
        <f t="shared" ref="AP65" si="442">_xlfn.CONCAT(AR65,AS70)</f>
        <v/>
      </c>
      <c r="AQ65" s="683" t="str">
        <f t="shared" si="65"/>
        <v/>
      </c>
      <c r="AR65" s="96" t="str">
        <f t="shared" si="3"/>
        <v/>
      </c>
      <c r="AS65" s="96" t="str">
        <f>IF(COUNTIF(imp_1,AF65)=1,"imp_1",IF(COUNTIF(imp_2,AF65)=1,"imp_2",IF(COUNTIF(imp_3,AF65)=1,"imp_3",IF(COUNTIF(impdoor,AF65)=1,"impdoor",""))))</f>
        <v/>
      </c>
      <c r="AT65" s="684" t="str">
        <f>AL65</f>
        <v/>
      </c>
      <c r="AU65" s="685" t="e">
        <f t="shared" ca="1" si="91"/>
        <v>#REF!</v>
      </c>
      <c r="AV65" s="686" t="str">
        <f ca="1">IFERROR(VLOOKUP(AU65,INDIRECT(AQ59),2,FALSE),"----")</f>
        <v>----</v>
      </c>
      <c r="AW65" s="685" t="e">
        <f t="shared" ca="1" si="92"/>
        <v>#REF!</v>
      </c>
      <c r="AX65" s="686" t="str">
        <f ca="1">IFERROR(VLOOKUP(AW65,INDIRECT(AQ60),2,FALSE),"----")</f>
        <v>----</v>
      </c>
      <c r="AY65" s="685" t="e">
        <f t="shared" ca="1" si="184"/>
        <v>#REF!</v>
      </c>
      <c r="AZ65" s="686" t="str">
        <f ca="1">IFERROR(VLOOKUP(AY65,INDIRECT(AQ61),2,FALSE),"----")</f>
        <v>----</v>
      </c>
      <c r="BA65" s="685" t="e">
        <f t="shared" ca="1" si="185"/>
        <v>#REF!</v>
      </c>
      <c r="BB65" s="686" t="str">
        <f ca="1">IFERROR(VLOOKUP(BA65,INDIRECT(AQ62),2,FALSE),"----")</f>
        <v>----</v>
      </c>
      <c r="BC65" s="685" t="e">
        <f t="shared" ca="1" si="95"/>
        <v>#REF!</v>
      </c>
      <c r="BD65" s="686" t="str">
        <f ca="1">IFERROR(VLOOKUP(BC65,INDIRECT(AQ63),2,FALSE),"----")</f>
        <v>----</v>
      </c>
      <c r="BE65" s="685" t="e">
        <f t="shared" ca="1" si="96"/>
        <v>#REF!</v>
      </c>
      <c r="BF65" s="686" t="str">
        <f ca="1">IFERROR(VLOOKUP(BE65,INDIRECT(AQ64),2,FALSE),"----")</f>
        <v>----</v>
      </c>
      <c r="BG65" s="702" t="e">
        <f t="shared" ca="1" si="97"/>
        <v>#REF!</v>
      </c>
      <c r="BH65" s="686" t="str">
        <f ca="1">IFERROR(VLOOKUP(BG65,INDIRECT(AQ65),2,FALSE),"----")</f>
        <v>----</v>
      </c>
      <c r="BI65" s="702" t="e">
        <f t="shared" ca="1" si="98"/>
        <v>#REF!</v>
      </c>
      <c r="BJ65" s="686" t="str">
        <f ca="1">IFERROR(VLOOKUP(BI65,INDIRECT(AQ66),2,FALSE),"----")</f>
        <v>----</v>
      </c>
      <c r="BK65" s="702" t="e">
        <f t="shared" ca="1" si="99"/>
        <v>#REF!</v>
      </c>
      <c r="BL65" s="686" t="str">
        <f ca="1">IFERROR(VLOOKUP(BK65,INDIRECT(AQ67),2,FALSE),"----")</f>
        <v>----</v>
      </c>
      <c r="BM65" s="702" t="e">
        <f t="shared" ca="1" si="100"/>
        <v>#REF!</v>
      </c>
      <c r="BN65" s="686" t="str">
        <f ca="1">IFERROR(VLOOKUP(BM65,INDIRECT(AQ68),2,FALSE),"----")</f>
        <v>----</v>
      </c>
      <c r="BO65" s="702" t="e">
        <f t="shared" ca="1" si="101"/>
        <v>#REF!</v>
      </c>
      <c r="BP65" s="686" t="str">
        <f ca="1">IFERROR(VLOOKUP(BO65,INDIRECT(AQ69),2,FALSE),"----")</f>
        <v>----</v>
      </c>
      <c r="BQ65" s="702" t="e">
        <f t="shared" ca="1" si="102"/>
        <v>#REF!</v>
      </c>
      <c r="BR65" s="686" t="str">
        <f ca="1">IFERROR(VLOOKUP(BQ65,INDIRECT(AQ70),2,FALSE),"----")</f>
        <v>----</v>
      </c>
      <c r="BS65" s="695">
        <f>IF(AI65="",1,IF(COUNTIF(BH59:BH70,AI65)=0,2,1))</f>
        <v>1</v>
      </c>
      <c r="BT65" s="696">
        <f>IF(AP65="1",1,IF(AF65="",1,IF(BH59=".",2,1)))</f>
        <v>1</v>
      </c>
      <c r="BU65" s="706"/>
      <c r="BV65" s="155">
        <f ca="1">IF(COUNTIF(DI59:DI70,AF65)=0,IF(AF65&lt;&gt;"",0,1),1)</f>
        <v>1</v>
      </c>
      <c r="BW65" s="157">
        <f ca="1">IFERROR(MATCH(AF65,DI59:DI70,0),1)</f>
        <v>1</v>
      </c>
      <c r="BX65" s="769" t="s">
        <v>1593</v>
      </c>
      <c r="BY65" s="769" t="s">
        <v>1629</v>
      </c>
      <c r="BZ65" s="1110"/>
      <c r="CA65" s="691" t="e">
        <f t="shared" ca="1" si="339"/>
        <v>#REF!</v>
      </c>
      <c r="CB65" s="4" t="e" cm="1">
        <f t="array" aca="1" ref="CB65" ca="1">IF(AND(INDEX(INDIRECT(BY59),CA65,4)&gt;=$AB59,INDEX(INDIRECT(BY59),CA65,5)&gt;=$S59,INDEX(INDIRECT(BY59),CA65,6)&gt;=$R59),1,0)</f>
        <v>#REF!</v>
      </c>
      <c r="CC65" s="4" t="e">
        <f t="shared" ref="CC65" ca="1" si="443">MATCH(1,OFFSET(CB59:CB70,CD64,0,COUNT(CB59:CB70)-CD64),0)</f>
        <v>#REF!</v>
      </c>
      <c r="CD65" s="4" t="e">
        <f t="shared" ca="1" si="341"/>
        <v>#REF!</v>
      </c>
      <c r="CE65" s="692" t="str" cm="1">
        <f t="array" aca="1" ref="CE65" ca="1">IFERROR(VLOOKUP(INDEX(CA59:CA70,CD65),INDIRECT(BY59),2,FALSE),"----")</f>
        <v>----</v>
      </c>
      <c r="CF65" s="691" t="e">
        <f t="shared" ca="1" si="342"/>
        <v>#N/A</v>
      </c>
      <c r="CG65" s="4" t="e">
        <f ca="1">IF(AND(INDEX(SSM,CF65,4)&gt;=$AB59,INDEX(SSM,CF65,5)&gt;=$S59,INDEX(SSM,CF65,6)&gt;=$R59),1,0)</f>
        <v>#N/A</v>
      </c>
      <c r="CH65" s="4" t="e">
        <f t="shared" ref="CH65" ca="1" si="444">MATCH(1,OFFSET(CG59:CG70,CI64,0,COUNT(CG59:CG70)-CI64),0)</f>
        <v>#REF!</v>
      </c>
      <c r="CI65" s="4" t="e">
        <f t="shared" ca="1" si="344"/>
        <v>#REF!</v>
      </c>
      <c r="CJ65" s="692" t="str">
        <f ca="1">IFERROR(IF(AD60="Nested Steel Stud (wood infill)",VLOOKUP(INDEX(CF59:CF70,CI65),SSW,2,FALSE),VLOOKUP(INDEX(CF59:CF70,CI65),SSM,2,FALSE)),"----")</f>
        <v>----</v>
      </c>
      <c r="CK65" s="691" t="e">
        <f t="shared" ca="1" si="345"/>
        <v>#N/A</v>
      </c>
      <c r="CL65" s="4" t="e">
        <f ca="1">IF(AND(INDEX(WSM,CK65,4)&gt;=$AB59,INDEX(WSM,CK65,5)&gt;=$S59,INDEX(WSM,CK65,6)&gt;=$R59),1,0)</f>
        <v>#N/A</v>
      </c>
      <c r="CM65" s="4" t="e">
        <f t="shared" ref="CM65" ca="1" si="445">MATCH(1,OFFSET(CL59:CL70,CN64,0,COUNT(CL59:CL70)-CN64),0)</f>
        <v>#REF!</v>
      </c>
      <c r="CN65" s="4" t="e">
        <f t="shared" ca="1" si="347"/>
        <v>#REF!</v>
      </c>
      <c r="CO65" s="692" t="str">
        <f ca="1">IFERROR(VLOOKUP(INDEX(CK59:CK70,CN65),WSM,2,FALSE),"----")</f>
        <v>----</v>
      </c>
      <c r="CP65" s="691" t="e">
        <f t="shared" ca="1" si="348"/>
        <v>#N/A</v>
      </c>
      <c r="CQ65" s="4" t="e">
        <f ca="1">IF(AND(INDEX(STM,CP65,4)&gt;=$AB59,INDEX(STM,CP65,5)&gt;=$S59,INDEX(STM,CP65,6)&gt;=$R59),1,0)</f>
        <v>#N/A</v>
      </c>
      <c r="CR65" s="4" t="e">
        <f t="shared" ref="CR65" ca="1" si="446">MATCH(1,OFFSET(CQ59:CQ70,CS64,0,COUNT(CQ59:CQ70)-CS64),0)</f>
        <v>#REF!</v>
      </c>
      <c r="CS65" s="4" t="e">
        <f t="shared" ca="1" si="350"/>
        <v>#REF!</v>
      </c>
      <c r="CT65" s="692" t="str">
        <f ca="1">IFERROR(VLOOKUP(INDEX(CP59:CP70,CS65),STM,2,FALSE),"----")</f>
        <v>----</v>
      </c>
      <c r="CU65" s="691" t="e">
        <f t="shared" ca="1" si="351"/>
        <v>#N/A</v>
      </c>
      <c r="CV65" s="4" t="e">
        <f ca="1">IF(AND(INDEX(ELM,CU65,4)&gt;=$AB59,INDEX(ELM,CU65,5)&gt;=$S59,INDEX(ELM,CU65,6)&gt;=$R59),1,0)</f>
        <v>#N/A</v>
      </c>
      <c r="CW65" s="4" t="e">
        <f t="shared" ref="CW65" ca="1" si="447">MATCH(1,OFFSET(CV59:CV70,CX64,0,COUNT(CV59:CV70)-CX64),0)</f>
        <v>#REF!</v>
      </c>
      <c r="CX65" s="4" t="e">
        <f t="shared" ca="1" si="353"/>
        <v>#REF!</v>
      </c>
      <c r="CY65" s="692" t="str">
        <f ca="1">IFERROR(VLOOKUP(INDEX(CU59:CU70,CX65),ELM,2,FALSE),"----")</f>
        <v>----</v>
      </c>
      <c r="CZ65" s="691" t="e">
        <f t="shared" ca="1" si="354"/>
        <v>#N/A</v>
      </c>
      <c r="DA65" s="4" t="e">
        <f ca="1">IF(LEFT($J59,7)="Clad Wo",IF(AND(INDEX(SPPWS,CZ65,4)&gt;=$AB59,INDEX(SPPWS,CZ65,5)&gt;=$S59,INDEX(SPPWS,CZ65,6)&gt;=$R59),1,0),IF(AND(INDEX(SPM,CZ65,4)&gt;=$AB59,INDEX(SPM,CZ65,5)&gt;=$S59,INDEX(SPM,CZ65,6)&gt;=$R59),1,0))</f>
        <v>#N/A</v>
      </c>
      <c r="DB65" s="4" t="e">
        <f t="shared" ref="DB65" ca="1" si="448">MATCH(1,OFFSET(DA59:DA70,DC64,0,COUNT(DA59:DA70)-DC64),0)</f>
        <v>#REF!</v>
      </c>
      <c r="DC65" s="4" t="e">
        <f t="shared" ca="1" si="356"/>
        <v>#REF!</v>
      </c>
      <c r="DD65" s="693" t="str">
        <f ca="1">IF(LEFT($J59,7)="Clad Wo",IFERROR(VLOOKUP(INDEX(CZ59:CZ70,DC65),SPPWS,2,FALSE),"----"),IFERROR(VLOOKUP(INDEX(CZ59:CZ70,DC65),SPM,2,FALSE),"----"))</f>
        <v>----</v>
      </c>
      <c r="DE65" s="691" t="e">
        <f t="shared" ca="1" si="357"/>
        <v>#REF!</v>
      </c>
      <c r="DF65" s="4" t="e" cm="1">
        <f t="array" aca="1" ref="DF65" ca="1">IF(AND(INDEX(INDIRECT(BY59),DE65,4)&gt;=$AB65,INDEX(INDIRECT(BY59),DE65,5)&gt;=$S59,INDEX(INDIRECT(BY59),DE65,6)&gt;=$R59),1,0)</f>
        <v>#REF!</v>
      </c>
      <c r="DG65" s="4" t="e">
        <f t="shared" ref="DG65" ca="1" si="449">MATCH(1,OFFSET(DF59:DF70,DH64,0,COUNT(DF59:DF70)-DH64),0)</f>
        <v>#REF!</v>
      </c>
      <c r="DH65" s="4" t="e">
        <f t="shared" ca="1" si="359"/>
        <v>#REF!</v>
      </c>
      <c r="DI65" s="692" t="str" cm="1">
        <f t="array" aca="1" ref="DI65" ca="1">IFERROR(VLOOKUP(INDEX(DE59:DE70,DH65),INDIRECT(BY59),2,FALSE),"----")</f>
        <v>----</v>
      </c>
      <c r="DJ65" s="691" t="e">
        <f t="shared" ca="1" si="360"/>
        <v>#N/A</v>
      </c>
      <c r="DK65" s="4" t="e">
        <f ca="1">IF(AND(INDEX(SSM,DJ65,4)&gt;=$AB65,INDEX(SSM,DJ65,5)&gt;=$S59,INDEX(SSM,DJ65,6)&gt;=$R59),1,0)</f>
        <v>#N/A</v>
      </c>
      <c r="DL65" s="4" t="e">
        <f t="shared" ref="DL65" ca="1" si="450">MATCH(1,OFFSET(DK59:DK70,DM64,0,COUNT(DK59:DK70)-DM64),0)</f>
        <v>#REF!</v>
      </c>
      <c r="DM65" s="4" t="e">
        <f t="shared" ca="1" si="362"/>
        <v>#REF!</v>
      </c>
      <c r="DN65" s="692" t="str">
        <f ca="1">IFERROR(IF(AD66="Nested Steel Stud (wood infill)",VLOOKUP(INDEX(DJ59:DJ70,DM65),SSW,2,FALSE),VLOOKUP(INDEX(DJ59:DJ70,DM65),SSM,2,FALSE)),"----")</f>
        <v>----</v>
      </c>
      <c r="DO65" s="691" t="e">
        <f t="shared" ca="1" si="363"/>
        <v>#N/A</v>
      </c>
      <c r="DP65" s="4" t="e">
        <f ca="1">IF(AND(INDEX(WSM,DO65,4)&gt;=$AB65,INDEX(WSM,DO65,5)&gt;=$S59,INDEX(WSM,DO65,6)&gt;=$R59),1,0)</f>
        <v>#N/A</v>
      </c>
      <c r="DQ65" s="4" t="e">
        <f t="shared" ref="DQ65" ca="1" si="451">MATCH(1,OFFSET(DP59:DP70,DR64,0,COUNT(DP59:DP70)-DR64),0)</f>
        <v>#REF!</v>
      </c>
      <c r="DR65" s="4" t="e">
        <f t="shared" ca="1" si="365"/>
        <v>#REF!</v>
      </c>
      <c r="DS65" s="692" t="str">
        <f ca="1">IFERROR(VLOOKUP(INDEX(DO59:DO70,DR65),WSM,2,FALSE),"----")</f>
        <v>----</v>
      </c>
      <c r="DT65" s="691" t="e">
        <f t="shared" ca="1" si="366"/>
        <v>#N/A</v>
      </c>
      <c r="DU65" s="4" t="e">
        <f ca="1">IF(AND(INDEX(STM,DT65,4)&gt;=$AB65,INDEX(STM,DT65,5)&gt;=$S59,INDEX(STM,DT65,6)&gt;=$R59),1,0)</f>
        <v>#N/A</v>
      </c>
      <c r="DV65" s="4" t="e">
        <f t="shared" ref="DV65" ca="1" si="452">MATCH(1,OFFSET(DU59:DU70,DW64,0,COUNT(DU59:DU70)-DW64),0)</f>
        <v>#REF!</v>
      </c>
      <c r="DW65" s="4" t="e">
        <f t="shared" ca="1" si="368"/>
        <v>#REF!</v>
      </c>
      <c r="DX65" s="692" t="str">
        <f ca="1">IFERROR(VLOOKUP(INDEX(DT59:DT70,DW65),STM,2,FALSE),"----")</f>
        <v>----</v>
      </c>
      <c r="DY65" s="691" t="e">
        <f t="shared" ca="1" si="369"/>
        <v>#N/A</v>
      </c>
      <c r="DZ65" s="4" t="e">
        <f ca="1">IF(AND(INDEX(ELM,DY65,4)&gt;=$AB65,INDEX(ELM,DY65,5)&gt;=$S59,INDEX(ELM,DY65,6)&gt;=$R59),1,0)</f>
        <v>#N/A</v>
      </c>
      <c r="EA65" s="4" t="e">
        <f t="shared" ref="EA65" ca="1" si="453">MATCH(1,OFFSET(DZ59:DZ70,EB64,0,COUNT(DZ59:DZ70)-EB64),0)</f>
        <v>#REF!</v>
      </c>
      <c r="EB65" s="4" t="e">
        <f t="shared" ca="1" si="371"/>
        <v>#REF!</v>
      </c>
      <c r="EC65" s="692" t="str">
        <f ca="1">IFERROR(VLOOKUP(INDEX(DY59:DY70,EB65),ELM,2,FALSE),"----")</f>
        <v>----</v>
      </c>
      <c r="ED65" s="691" t="e">
        <f t="shared" ca="1" si="372"/>
        <v>#N/A</v>
      </c>
      <c r="EE65" s="4" t="e">
        <f ca="1">IF(LEFT($J59,7)="Clad Wo",IF(AND(INDEX(SPPWS,ED65,4)&gt;=$AB65,INDEX(SPPWS,ED65,5)&gt;=$S59,INDEX(SPPWS,ED65,6)&gt;=$R59),1,0),IF(AND(INDEX(SPM,ED65,4)&gt;=$AB65,INDEX(SPM,ED65,5)&gt;=$S59,INDEX(SPM,ED65,6)&gt;=$R59),1,0))</f>
        <v>#N/A</v>
      </c>
      <c r="EF65" s="4" t="e">
        <f t="shared" ref="EF65" ca="1" si="454">MATCH(1,OFFSET(EE59:EE70,EG64,0,COUNT(EE59:EE70)-EG64),0)</f>
        <v>#REF!</v>
      </c>
      <c r="EG65" s="4" t="e">
        <f t="shared" ca="1" si="374"/>
        <v>#REF!</v>
      </c>
      <c r="EH65" s="692" t="str">
        <f ca="1">IF(LEFT($J59,7)="Clad Wo",IFERROR(VLOOKUP(INDEX(ED59:ED70,EG65),SPPWS,2,FALSE),"----"),IFERROR(VLOOKUP(INDEX(ED59:ED70,EG65),SPM,2,FALSE),"----"))</f>
        <v>----</v>
      </c>
    </row>
    <row r="66" spans="1:138" ht="15" customHeight="1" x14ac:dyDescent="0.25">
      <c r="A66" s="1085"/>
      <c r="B66" s="925"/>
      <c r="C66" s="926"/>
      <c r="D66" s="927"/>
      <c r="E66" s="995"/>
      <c r="F66" s="996"/>
      <c r="G66" s="997"/>
      <c r="H66" s="1062"/>
      <c r="I66" s="990"/>
      <c r="J66" s="912"/>
      <c r="K66" s="913"/>
      <c r="L66" s="1002"/>
      <c r="M66" s="923"/>
      <c r="N66" s="1042"/>
      <c r="O66" s="1018"/>
      <c r="P66" s="987"/>
      <c r="Q66" s="1015"/>
      <c r="R66" s="1012"/>
      <c r="S66" s="1006"/>
      <c r="T66" s="1007"/>
      <c r="U66" s="878"/>
      <c r="V66" s="881"/>
      <c r="W66" s="884"/>
      <c r="X66" s="884"/>
      <c r="Y66" s="887"/>
      <c r="Z66" s="887"/>
      <c r="AA66" s="887"/>
      <c r="AB66" s="1081"/>
      <c r="AC66" s="1078"/>
      <c r="AD66" s="1070" t="str">
        <f t="shared" ref="AD66" si="455">IF(ISBLANK(AD60)=TRUE,"",AD60)</f>
        <v>Nested Steel Stud</v>
      </c>
      <c r="AE66" s="1071"/>
      <c r="AF66" s="1052"/>
      <c r="AG66" s="1053"/>
      <c r="AH66" s="1053"/>
      <c r="AI66" s="1066"/>
      <c r="AJ66" s="1067"/>
      <c r="AK66" s="156" t="str">
        <f t="shared" ca="1" si="62"/>
        <v/>
      </c>
      <c r="AL66" s="1059"/>
      <c r="AM66" s="343" t="str">
        <f ca="1">IFERROR(Q59/12*ROUND(VLOOKUP(AF66,OFFSET(SSM,0,1),6,FALSE),2),"")</f>
        <v/>
      </c>
      <c r="AN66" t="str">
        <f t="shared" ca="1" si="5"/>
        <v/>
      </c>
      <c r="AP66" s="122" t="str">
        <f t="shared" ref="AP66" si="456">_xlfn.CONCAT(AR66,AS70)</f>
        <v/>
      </c>
      <c r="AQ66" s="683" t="str">
        <f t="shared" si="65"/>
        <v/>
      </c>
      <c r="AR66" s="96" t="str">
        <f t="shared" si="3"/>
        <v/>
      </c>
      <c r="AS66" s="96" t="str">
        <f>IF(COUNTIF(Vista_1,AF65)=1,"Vista_1",IF(COUNTIF(Vista_2,AF65)=1,"Vista_2",""))</f>
        <v/>
      </c>
      <c r="AT66" s="684" t="str">
        <f>AL65</f>
        <v/>
      </c>
      <c r="AU66" s="694" t="e">
        <f t="shared" ca="1" si="91"/>
        <v>#REF!</v>
      </c>
      <c r="AV66" s="686" t="str">
        <f ca="1">IFERROR(VLOOKUP(AU66,INDIRECT(AQ59),2,FALSE),"----")</f>
        <v>----</v>
      </c>
      <c r="AW66" s="694" t="e">
        <f t="shared" ca="1" si="92"/>
        <v>#REF!</v>
      </c>
      <c r="AX66" s="686" t="str">
        <f ca="1">IFERROR(VLOOKUP(AW66,INDIRECT(AQ60),2,FALSE),"----")</f>
        <v>----</v>
      </c>
      <c r="AY66" s="694" t="e">
        <f t="shared" ca="1" si="184"/>
        <v>#REF!</v>
      </c>
      <c r="AZ66" s="686" t="str">
        <f ca="1">IFERROR(VLOOKUP(AY66,INDIRECT(AQ61),2,FALSE),"----")</f>
        <v>----</v>
      </c>
      <c r="BA66" s="694" t="e">
        <f t="shared" ca="1" si="185"/>
        <v>#REF!</v>
      </c>
      <c r="BB66" s="686" t="str">
        <f ca="1">IFERROR(VLOOKUP(BA66,INDIRECT(AQ62),2,FALSE),"----")</f>
        <v>----</v>
      </c>
      <c r="BC66" s="694" t="e">
        <f t="shared" ca="1" si="95"/>
        <v>#REF!</v>
      </c>
      <c r="BD66" s="686" t="str">
        <f ca="1">IFERROR(VLOOKUP(BC66,INDIRECT(AQ63),2,FALSE),"----")</f>
        <v>----</v>
      </c>
      <c r="BE66" s="694" t="e">
        <f t="shared" ca="1" si="96"/>
        <v>#REF!</v>
      </c>
      <c r="BF66" s="686" t="str">
        <f ca="1">IFERROR(VLOOKUP(BE66,INDIRECT(AQ64),2,FALSE),"----")</f>
        <v>----</v>
      </c>
      <c r="BG66" s="702" t="e">
        <f t="shared" ca="1" si="97"/>
        <v>#REF!</v>
      </c>
      <c r="BH66" s="686" t="str">
        <f ca="1">IFERROR(VLOOKUP(BG66,INDIRECT(AQ65),2,FALSE),"----")</f>
        <v>----</v>
      </c>
      <c r="BI66" s="702" t="e">
        <f t="shared" ca="1" si="98"/>
        <v>#REF!</v>
      </c>
      <c r="BJ66" s="686" t="str">
        <f ca="1">IFERROR(VLOOKUP(BI66,INDIRECT(AQ66),2,FALSE),"----")</f>
        <v>----</v>
      </c>
      <c r="BK66" s="702" t="e">
        <f t="shared" ca="1" si="99"/>
        <v>#REF!</v>
      </c>
      <c r="BL66" s="686" t="str">
        <f ca="1">IFERROR(VLOOKUP(BK66,INDIRECT(AQ67),2,FALSE),"----")</f>
        <v>----</v>
      </c>
      <c r="BM66" s="702" t="e">
        <f t="shared" ca="1" si="100"/>
        <v>#REF!</v>
      </c>
      <c r="BN66" s="686" t="str">
        <f ca="1">IFERROR(VLOOKUP(BM66,INDIRECT(AQ68),2,FALSE),"----")</f>
        <v>----</v>
      </c>
      <c r="BO66" s="702" t="e">
        <f t="shared" ca="1" si="101"/>
        <v>#REF!</v>
      </c>
      <c r="BP66" s="686" t="str">
        <f ca="1">IFERROR(VLOOKUP(BO66,INDIRECT(AQ69),2,FALSE),"----")</f>
        <v>----</v>
      </c>
      <c r="BQ66" s="702" t="e">
        <f t="shared" ca="1" si="102"/>
        <v>#REF!</v>
      </c>
      <c r="BR66" s="686" t="str">
        <f ca="1">IFERROR(VLOOKUP(BQ66,INDIRECT(AQ70),2,FALSE),"----")</f>
        <v>----</v>
      </c>
      <c r="BS66" s="695">
        <f>IF(AI66="",1,IF(COUNTIF(BJ59:BJ70,AI66)=0,2,1))</f>
        <v>1</v>
      </c>
      <c r="BT66" s="696">
        <f>IF(AF66="",1,IF(BJ59=".",2,1))</f>
        <v>1</v>
      </c>
      <c r="BU66" s="706"/>
      <c r="BV66" s="155">
        <f ca="1">IF(COUNTIF(DN59:DN70,AF66)=0,IF(AF66&lt;&gt;"",0,1),1)</f>
        <v>1</v>
      </c>
      <c r="BW66" s="157">
        <f ca="1">IFERROR(MATCH(AF66,DN59:DN70,0),1)</f>
        <v>1</v>
      </c>
      <c r="BX66" s="769">
        <f t="shared" ref="BX66" si="457">E59*(H59+I59)/144/2</f>
        <v>0</v>
      </c>
      <c r="BY66" s="769">
        <f>SUM(IF(H59&gt;E59,E59^2/4,(H59*E59/2)-(H59^2/4))/144,IF(I59&gt;E59,E59^2/4,(I59*E59/2)-(I59^2/4))/144)</f>
        <v>0</v>
      </c>
      <c r="BZ66" s="1110"/>
      <c r="CA66" s="691" t="e">
        <f t="shared" ca="1" si="339"/>
        <v>#REF!</v>
      </c>
      <c r="CB66" s="4" t="e" cm="1">
        <f t="array" aca="1" ref="CB66" ca="1">IF(AND(INDEX(INDIRECT(BY59),CA66,4)&gt;=$AB59,INDEX(INDIRECT(BY59),CA66,5)&gt;=$S59,INDEX(INDIRECT(BY59),CA66,6)&gt;=$R59),1,0)</f>
        <v>#REF!</v>
      </c>
      <c r="CC66" s="4" t="e">
        <f t="shared" ref="CC66" ca="1" si="458">MATCH(1,OFFSET(CB59:CB70,CD65,0,COUNT(CB59:CB70)-CD65),0)</f>
        <v>#REF!</v>
      </c>
      <c r="CD66" s="4" t="e">
        <f t="shared" ca="1" si="341"/>
        <v>#REF!</v>
      </c>
      <c r="CE66" s="692" t="str" cm="1">
        <f t="array" aca="1" ref="CE66" ca="1">IFERROR(VLOOKUP(INDEX(CA59:CA70,CD66),INDIRECT(BY59),2,FALSE),"----")</f>
        <v>----</v>
      </c>
      <c r="CF66" s="691" t="e">
        <f t="shared" ca="1" si="342"/>
        <v>#N/A</v>
      </c>
      <c r="CG66" s="4" t="e">
        <f ca="1">IF(AND(INDEX(SSM,CF66,4)&gt;=$AB59,INDEX(SSM,CF66,5)&gt;=$S59,INDEX(SSM,CF66,6)&gt;=$R59),1,0)</f>
        <v>#N/A</v>
      </c>
      <c r="CH66" s="4" t="e">
        <f t="shared" ref="CH66" ca="1" si="459">MATCH(1,OFFSET(CG59:CG70,CI65,0,COUNT(CG59:CG70)-CI65),0)</f>
        <v>#REF!</v>
      </c>
      <c r="CI66" s="4" t="e">
        <f t="shared" ca="1" si="344"/>
        <v>#REF!</v>
      </c>
      <c r="CJ66" s="692" t="str">
        <f ca="1">IFERROR(IF(AD60="Nested Steel Stud (wood infill)",VLOOKUP(INDEX(CF59:CF70,CI66),SSW,2,FALSE),VLOOKUP(INDEX(CF59:CF70,CI66),SSM,2,FALSE)),"----")</f>
        <v>----</v>
      </c>
      <c r="CK66" s="691" t="e">
        <f t="shared" ca="1" si="345"/>
        <v>#N/A</v>
      </c>
      <c r="CL66" s="4" t="e">
        <f ca="1">IF(AND(INDEX(WSM,CK66,4)&gt;=$AB59,INDEX(WSM,CK66,5)&gt;=$S59,INDEX(WSM,CK66,6)&gt;=$R59),1,0)</f>
        <v>#N/A</v>
      </c>
      <c r="CM66" s="4" t="e">
        <f t="shared" ref="CM66" ca="1" si="460">MATCH(1,OFFSET(CL59:CL70,CN65,0,COUNT(CL59:CL70)-CN65),0)</f>
        <v>#REF!</v>
      </c>
      <c r="CN66" s="4" t="e">
        <f t="shared" ca="1" si="347"/>
        <v>#REF!</v>
      </c>
      <c r="CO66" s="692" t="str">
        <f ca="1">IFERROR(VLOOKUP(INDEX(CK59:CK70,CN66),WSM,2,FALSE),"----")</f>
        <v>----</v>
      </c>
      <c r="CP66" s="691" t="e">
        <f t="shared" ca="1" si="348"/>
        <v>#N/A</v>
      </c>
      <c r="CQ66" s="4" t="e">
        <f ca="1">IF(AND(INDEX(STM,CP66,4)&gt;=$AB59,INDEX(STM,CP66,5)&gt;=$S59,INDEX(STM,CP66,6)&gt;=$R59),1,0)</f>
        <v>#N/A</v>
      </c>
      <c r="CR66" s="4" t="e">
        <f t="shared" ref="CR66" ca="1" si="461">MATCH(1,OFFSET(CQ59:CQ70,CS65,0,COUNT(CQ59:CQ70)-CS65),0)</f>
        <v>#REF!</v>
      </c>
      <c r="CS66" s="4" t="e">
        <f t="shared" ca="1" si="350"/>
        <v>#REF!</v>
      </c>
      <c r="CT66" s="692" t="str">
        <f ca="1">IFERROR(VLOOKUP(INDEX(CP59:CP70,CS66),STM,2,FALSE),"----")</f>
        <v>----</v>
      </c>
      <c r="CU66" s="691" t="e">
        <f t="shared" ca="1" si="351"/>
        <v>#N/A</v>
      </c>
      <c r="CV66" s="4" t="e">
        <f ca="1">IF(AND(INDEX(ELM,CU66,4)&gt;=$AB59,INDEX(ELM,CU66,5)&gt;=$S59,INDEX(ELM,CU66,6)&gt;=$R59),1,0)</f>
        <v>#N/A</v>
      </c>
      <c r="CW66" s="4" t="e">
        <f t="shared" ref="CW66" ca="1" si="462">MATCH(1,OFFSET(CV59:CV70,CX65,0,COUNT(CV59:CV70)-CX65),0)</f>
        <v>#REF!</v>
      </c>
      <c r="CX66" s="4" t="e">
        <f t="shared" ca="1" si="353"/>
        <v>#REF!</v>
      </c>
      <c r="CY66" s="692" t="str">
        <f ca="1">IFERROR(VLOOKUP(INDEX(CU59:CU70,CX66),ELM,2,FALSE),"----")</f>
        <v>----</v>
      </c>
      <c r="CZ66" s="691" t="e">
        <f t="shared" ca="1" si="354"/>
        <v>#N/A</v>
      </c>
      <c r="DA66" s="4" t="e">
        <f ca="1">IF(LEFT($J59,7)="Clad Wo",IF(AND(INDEX(SPPWS,CZ66,4)&gt;=$AB59,INDEX(SPPWS,CZ66,5)&gt;=$S59,INDEX(SPPWS,CZ66,6)&gt;=$R59),1,0),IF(AND(INDEX(SPM,CZ66,4)&gt;=$AB59,INDEX(SPM,CZ66,5)&gt;=$S59,INDEX(SPM,CZ66,6)&gt;=$R59),1,0))</f>
        <v>#N/A</v>
      </c>
      <c r="DB66" s="4" t="e">
        <f t="shared" ref="DB66" ca="1" si="463">MATCH(1,OFFSET(DA59:DA70,DC65,0,COUNT(DA59:DA70)-DC65),0)</f>
        <v>#REF!</v>
      </c>
      <c r="DC66" s="4" t="e">
        <f t="shared" ca="1" si="356"/>
        <v>#REF!</v>
      </c>
      <c r="DD66" s="693" t="str">
        <f ca="1">IF(LEFT($J59,7)="Clad Wo",IFERROR(VLOOKUP(INDEX(CZ59:CZ70,DC66),SPPWS,2,FALSE),"----"),IFERROR(VLOOKUP(INDEX(CZ59:CZ70,DC66),SPM,2,FALSE),"----"))</f>
        <v>----</v>
      </c>
      <c r="DE66" s="691" t="e">
        <f t="shared" ca="1" si="357"/>
        <v>#REF!</v>
      </c>
      <c r="DF66" s="4" t="e" cm="1">
        <f t="array" aca="1" ref="DF66" ca="1">IF(AND(INDEX(INDIRECT(BY59),DE66,4)&gt;=$AB65,INDEX(INDIRECT(BY59),DE66,5)&gt;=$S59,INDEX(INDIRECT(BY59),DE66,6)&gt;=$R59),1,0)</f>
        <v>#REF!</v>
      </c>
      <c r="DG66" s="4" t="e">
        <f t="shared" ref="DG66" ca="1" si="464">MATCH(1,OFFSET(DF59:DF70,DH65,0,COUNT(DF59:DF70)-DH65),0)</f>
        <v>#REF!</v>
      </c>
      <c r="DH66" s="4" t="e">
        <f t="shared" ca="1" si="359"/>
        <v>#REF!</v>
      </c>
      <c r="DI66" s="692" t="str" cm="1">
        <f t="array" aca="1" ref="DI66" ca="1">IFERROR(VLOOKUP(INDEX(DE59:DE70,DH66),INDIRECT(BY59),2,FALSE),"----")</f>
        <v>----</v>
      </c>
      <c r="DJ66" s="691" t="e">
        <f t="shared" ca="1" si="360"/>
        <v>#N/A</v>
      </c>
      <c r="DK66" s="4" t="e">
        <f ca="1">IF(AND(INDEX(SSM,DJ66,4)&gt;=$AB65,INDEX(SSM,DJ66,5)&gt;=$S59,INDEX(SSM,DJ66,6)&gt;=$R59),1,0)</f>
        <v>#N/A</v>
      </c>
      <c r="DL66" s="4" t="e">
        <f t="shared" ref="DL66" ca="1" si="465">MATCH(1,OFFSET(DK59:DK70,DM65,0,COUNT(DK59:DK70)-DM65),0)</f>
        <v>#REF!</v>
      </c>
      <c r="DM66" s="4" t="e">
        <f t="shared" ca="1" si="362"/>
        <v>#REF!</v>
      </c>
      <c r="DN66" s="692" t="str">
        <f ca="1">IFERROR(IF(AD66="Nested Steel Stud (wood infill)",VLOOKUP(INDEX(DJ59:DJ70,DM66),SSW,2,FALSE),VLOOKUP(INDEX(DJ59:DJ70,DM66),SSM,2,FALSE)),"----")</f>
        <v>----</v>
      </c>
      <c r="DO66" s="691" t="e">
        <f t="shared" ca="1" si="363"/>
        <v>#N/A</v>
      </c>
      <c r="DP66" s="4" t="e">
        <f ca="1">IF(AND(INDEX(WSM,DO66,4)&gt;=$AB65,INDEX(WSM,DO66,5)&gt;=$S59,INDEX(WSM,DO66,6)&gt;=$R59),1,0)</f>
        <v>#N/A</v>
      </c>
      <c r="DQ66" s="4" t="e">
        <f t="shared" ref="DQ66" ca="1" si="466">MATCH(1,OFFSET(DP59:DP70,DR65,0,COUNT(DP59:DP70)-DR65),0)</f>
        <v>#REF!</v>
      </c>
      <c r="DR66" s="4" t="e">
        <f t="shared" ca="1" si="365"/>
        <v>#REF!</v>
      </c>
      <c r="DS66" s="692" t="str">
        <f ca="1">IFERROR(VLOOKUP(INDEX(DO59:DO70,DR66),WSM,2,FALSE),"----")</f>
        <v>----</v>
      </c>
      <c r="DT66" s="691" t="e">
        <f t="shared" ca="1" si="366"/>
        <v>#N/A</v>
      </c>
      <c r="DU66" s="4" t="e">
        <f ca="1">IF(AND(INDEX(STM,DT66,4)&gt;=$AB65,INDEX(STM,DT66,5)&gt;=$S59,INDEX(STM,DT66,6)&gt;=$R59),1,0)</f>
        <v>#N/A</v>
      </c>
      <c r="DV66" s="4" t="e">
        <f t="shared" ref="DV66" ca="1" si="467">MATCH(1,OFFSET(DU59:DU70,DW65,0,COUNT(DU59:DU70)-DW65),0)</f>
        <v>#REF!</v>
      </c>
      <c r="DW66" s="4" t="e">
        <f t="shared" ca="1" si="368"/>
        <v>#REF!</v>
      </c>
      <c r="DX66" s="692" t="str">
        <f ca="1">IFERROR(VLOOKUP(INDEX(DT59:DT70,DW66),STM,2,FALSE),"----")</f>
        <v>----</v>
      </c>
      <c r="DY66" s="691" t="e">
        <f t="shared" ca="1" si="369"/>
        <v>#N/A</v>
      </c>
      <c r="DZ66" s="4" t="e">
        <f ca="1">IF(AND(INDEX(ELM,DY66,4)&gt;=$AB65,INDEX(ELM,DY66,5)&gt;=$S59,INDEX(ELM,DY66,6)&gt;=$R59),1,0)</f>
        <v>#N/A</v>
      </c>
      <c r="EA66" s="4" t="e">
        <f t="shared" ref="EA66" ca="1" si="468">MATCH(1,OFFSET(DZ59:DZ70,EB65,0,COUNT(DZ59:DZ70)-EB65),0)</f>
        <v>#REF!</v>
      </c>
      <c r="EB66" s="4" t="e">
        <f t="shared" ca="1" si="371"/>
        <v>#REF!</v>
      </c>
      <c r="EC66" s="692" t="str">
        <f ca="1">IFERROR(VLOOKUP(INDEX(DY59:DY70,EB66),ELM,2,FALSE),"----")</f>
        <v>----</v>
      </c>
      <c r="ED66" s="691" t="e">
        <f t="shared" ca="1" si="372"/>
        <v>#N/A</v>
      </c>
      <c r="EE66" s="4" t="e">
        <f ca="1">IF(LEFT($J59,7)="Clad Wo",IF(AND(INDEX(SPPWS,ED66,4)&gt;=$AB65,INDEX(SPPWS,ED66,5)&gt;=$S59,INDEX(SPPWS,ED66,6)&gt;=$R59),1,0),IF(AND(INDEX(SPM,ED66,4)&gt;=$AB65,INDEX(SPM,ED66,5)&gt;=$S59,INDEX(SPM,ED66,6)&gt;=$R59),1,0))</f>
        <v>#N/A</v>
      </c>
      <c r="EF66" s="4" t="e">
        <f t="shared" ref="EF66" ca="1" si="469">MATCH(1,OFFSET(EE59:EE70,EG65,0,COUNT(EE59:EE70)-EG65),0)</f>
        <v>#REF!</v>
      </c>
      <c r="EG66" s="4" t="e">
        <f t="shared" ca="1" si="374"/>
        <v>#REF!</v>
      </c>
      <c r="EH66" s="692" t="str">
        <f ca="1">IF(LEFT($J59,7)="Clad Wo",IFERROR(VLOOKUP(INDEX(ED59:ED70,EG66),SPPWS,2,FALSE),"----"),IFERROR(VLOOKUP(INDEX(ED59:ED70,EG66),SPM,2,FALSE),"----"))</f>
        <v>----</v>
      </c>
    </row>
    <row r="67" spans="1:138" ht="15" customHeight="1" x14ac:dyDescent="0.25">
      <c r="A67" s="1085"/>
      <c r="B67" s="925"/>
      <c r="C67" s="926"/>
      <c r="D67" s="927"/>
      <c r="E67" s="995"/>
      <c r="F67" s="996"/>
      <c r="G67" s="997"/>
      <c r="H67" s="1062"/>
      <c r="I67" s="990"/>
      <c r="J67" s="902"/>
      <c r="K67" s="903"/>
      <c r="L67" s="1002"/>
      <c r="M67" s="923"/>
      <c r="N67" s="1042"/>
      <c r="O67" s="1018"/>
      <c r="P67" s="987"/>
      <c r="Q67" s="1015"/>
      <c r="R67" s="1012"/>
      <c r="S67" s="1006"/>
      <c r="T67" s="1007"/>
      <c r="U67" s="878"/>
      <c r="V67" s="881"/>
      <c r="W67" s="884"/>
      <c r="X67" s="884"/>
      <c r="Y67" s="887"/>
      <c r="Z67" s="887"/>
      <c r="AA67" s="887"/>
      <c r="AB67" s="1081"/>
      <c r="AC67" s="1078"/>
      <c r="AD67" s="1070" t="str">
        <f t="shared" si="233"/>
        <v>Wood Stud Framing</v>
      </c>
      <c r="AE67" s="1071"/>
      <c r="AF67" s="1052"/>
      <c r="AG67" s="1053"/>
      <c r="AH67" s="1053"/>
      <c r="AI67" s="1066"/>
      <c r="AJ67" s="1067"/>
      <c r="AK67" s="156" t="str">
        <f t="shared" ca="1" si="62"/>
        <v/>
      </c>
      <c r="AL67" s="1059"/>
      <c r="AM67" s="344" t="str">
        <f ca="1">IFERROR(Q59/12*ROUND(VLOOKUP(AF67,OFFSET(WSM,0,1),6,FALSE),2),"")</f>
        <v/>
      </c>
      <c r="AN67" t="str">
        <f t="shared" ca="1" si="5"/>
        <v/>
      </c>
      <c r="AP67" s="122" t="str">
        <f t="shared" ref="AP67" si="470">_xlfn.CONCAT(AR67,AS70)</f>
        <v/>
      </c>
      <c r="AQ67" s="683" t="str">
        <f t="shared" si="65"/>
        <v/>
      </c>
      <c r="AR67" s="4" t="str">
        <f t="shared" si="3"/>
        <v/>
      </c>
      <c r="AS67" s="4"/>
      <c r="AT67" s="697" t="str">
        <f>AL65</f>
        <v/>
      </c>
      <c r="AU67" s="694" t="e">
        <f t="shared" ca="1" si="91"/>
        <v>#REF!</v>
      </c>
      <c r="AV67" s="686" t="str">
        <f ca="1">IFERROR(VLOOKUP(AU67,INDIRECT(AQ59),2,FALSE),"----")</f>
        <v>----</v>
      </c>
      <c r="AW67" s="694" t="e">
        <f t="shared" ca="1" si="92"/>
        <v>#REF!</v>
      </c>
      <c r="AX67" s="686" t="str">
        <f ca="1">IFERROR(VLOOKUP(AW67,INDIRECT(AQ60),2,FALSE),"----")</f>
        <v>----</v>
      </c>
      <c r="AY67" s="694" t="e">
        <f t="shared" ca="1" si="184"/>
        <v>#REF!</v>
      </c>
      <c r="AZ67" s="686" t="str">
        <f ca="1">IFERROR(VLOOKUP(AY67,INDIRECT(AQ61),2,FALSE),"----")</f>
        <v>----</v>
      </c>
      <c r="BA67" s="694" t="e">
        <f t="shared" ca="1" si="185"/>
        <v>#REF!</v>
      </c>
      <c r="BB67" s="686" t="str">
        <f ca="1">IFERROR(VLOOKUP(BA67,INDIRECT(AQ62),2,FALSE),"----")</f>
        <v>----</v>
      </c>
      <c r="BC67" s="694" t="e">
        <f t="shared" ca="1" si="95"/>
        <v>#REF!</v>
      </c>
      <c r="BD67" s="686" t="str">
        <f ca="1">IFERROR(VLOOKUP(BC67,INDIRECT(AQ63),2,FALSE),"----")</f>
        <v>----</v>
      </c>
      <c r="BE67" s="694" t="e">
        <f t="shared" ca="1" si="96"/>
        <v>#REF!</v>
      </c>
      <c r="BF67" s="686" t="str">
        <f ca="1">IFERROR(VLOOKUP(BE67,INDIRECT(AQ64),2,FALSE),"----")</f>
        <v>----</v>
      </c>
      <c r="BG67" s="702" t="e">
        <f t="shared" ca="1" si="97"/>
        <v>#REF!</v>
      </c>
      <c r="BH67" s="686" t="str">
        <f ca="1">IFERROR(VLOOKUP(BG67,INDIRECT(AQ65),2,FALSE),"----")</f>
        <v>----</v>
      </c>
      <c r="BI67" s="702" t="e">
        <f t="shared" ca="1" si="98"/>
        <v>#REF!</v>
      </c>
      <c r="BJ67" s="686" t="str">
        <f ca="1">IFERROR(VLOOKUP(BI67,INDIRECT(AQ66),2,FALSE),"----")</f>
        <v>----</v>
      </c>
      <c r="BK67" s="702" t="e">
        <f t="shared" ca="1" si="99"/>
        <v>#REF!</v>
      </c>
      <c r="BL67" s="686" t="str">
        <f ca="1">IFERROR(VLOOKUP(BK67,INDIRECT(AQ67),2,FALSE),"----")</f>
        <v>----</v>
      </c>
      <c r="BM67" s="702" t="e">
        <f t="shared" ca="1" si="100"/>
        <v>#REF!</v>
      </c>
      <c r="BN67" s="686" t="str">
        <f ca="1">IFERROR(VLOOKUP(BM67,INDIRECT(AQ68),2,FALSE),"----")</f>
        <v>----</v>
      </c>
      <c r="BO67" s="702" t="e">
        <f t="shared" ca="1" si="101"/>
        <v>#REF!</v>
      </c>
      <c r="BP67" s="686" t="str">
        <f ca="1">IFERROR(VLOOKUP(BO67,INDIRECT(AQ69),2,FALSE),"----")</f>
        <v>----</v>
      </c>
      <c r="BQ67" s="702" t="e">
        <f t="shared" ca="1" si="102"/>
        <v>#REF!</v>
      </c>
      <c r="BR67" s="686" t="str">
        <f ca="1">IFERROR(VLOOKUP(BQ67,INDIRECT(AQ70),2,FALSE),"----")</f>
        <v>----</v>
      </c>
      <c r="BS67" s="695">
        <f>IF(AI67="",1,IF(COUNTIF(BL59:BL70,AI67)=0,2,1))</f>
        <v>1</v>
      </c>
      <c r="BT67" s="696">
        <f>IF(AF67="",1,IF(BL59=".",2,1))</f>
        <v>1</v>
      </c>
      <c r="BU67" s="706"/>
      <c r="BV67" s="155">
        <f ca="1">IF(COUNTIF(DS59:DS70,AF67)=0,IF(AF67&lt;&gt;"",0,1),1)</f>
        <v>1</v>
      </c>
      <c r="BW67" s="157">
        <f ca="1">IFERROR(MATCH(AF67,DS59:DS70,0),1)</f>
        <v>1</v>
      </c>
      <c r="BX67" s="769" t="e">
        <f t="shared" ref="BX67" si="471">5*E59^3*W59/(384*X59)</f>
        <v>#VALUE!</v>
      </c>
      <c r="BY67" s="769" t="e">
        <f t="shared" ref="BY67" si="472">W59*E59^3/(60*X59)</f>
        <v>#VALUE!</v>
      </c>
      <c r="BZ67" s="1110"/>
      <c r="CA67" s="691" t="e">
        <f t="shared" ca="1" si="339"/>
        <v>#REF!</v>
      </c>
      <c r="CB67" s="4" t="e" cm="1">
        <f t="array" aca="1" ref="CB67" ca="1">IF(AND(INDEX(INDIRECT(BY59),CA67,4)&gt;=$AB59,INDEX(INDIRECT(BY59),CA67,5)&gt;=$S59,INDEX(INDIRECT(BY59),CA67,6)&gt;=$R59),1,0)</f>
        <v>#REF!</v>
      </c>
      <c r="CC67" s="4" t="e">
        <f t="shared" ref="CC67" ca="1" si="473">MATCH(1,OFFSET(CB59:CB70,CD66,0,COUNT(CB59:CB70)-CD66),0)</f>
        <v>#REF!</v>
      </c>
      <c r="CD67" s="4" t="e">
        <f t="shared" ca="1" si="341"/>
        <v>#REF!</v>
      </c>
      <c r="CE67" s="692" t="str" cm="1">
        <f t="array" aca="1" ref="CE67" ca="1">IFERROR(VLOOKUP(INDEX(CA59:CA70,CD67),INDIRECT(BY59),2,FALSE),"----")</f>
        <v>----</v>
      </c>
      <c r="CF67" s="691" t="e">
        <f t="shared" ca="1" si="342"/>
        <v>#N/A</v>
      </c>
      <c r="CG67" s="4" t="e">
        <f ca="1">IF(AND(INDEX(SSM,CF67,4)&gt;=$AB59,INDEX(SSM,CF67,5)&gt;=$S59,INDEX(SSM,CF67,6)&gt;=$R59),1,0)</f>
        <v>#N/A</v>
      </c>
      <c r="CH67" s="4" t="e">
        <f t="shared" ref="CH67" ca="1" si="474">MATCH(1,OFFSET(CG59:CG70,CI66,0,COUNT(CG59:CG70)-CI66),0)</f>
        <v>#REF!</v>
      </c>
      <c r="CI67" s="4" t="e">
        <f t="shared" ca="1" si="344"/>
        <v>#REF!</v>
      </c>
      <c r="CJ67" s="692" t="str">
        <f ca="1">IFERROR(IF(AD60="Nested Steel Stud (wood infill)",VLOOKUP(INDEX(CF59:CF70,CI67),SSW,2,FALSE),VLOOKUP(INDEX(CF59:CF70,CI67),SSM,2,FALSE)),"----")</f>
        <v>----</v>
      </c>
      <c r="CK67" s="691" t="e">
        <f t="shared" ca="1" si="345"/>
        <v>#N/A</v>
      </c>
      <c r="CL67" s="4" t="e">
        <f ca="1">IF(AND(INDEX(WSM,CK67,4)&gt;=$AB59,INDEX(WSM,CK67,5)&gt;=$S59,INDEX(WSM,CK67,6)&gt;=$R59),1,0)</f>
        <v>#N/A</v>
      </c>
      <c r="CM67" s="4" t="e">
        <f t="shared" ref="CM67" ca="1" si="475">MATCH(1,OFFSET(CL59:CL70,CN66,0,COUNT(CL59:CL70)-CN66),0)</f>
        <v>#REF!</v>
      </c>
      <c r="CN67" s="4" t="e">
        <f t="shared" ca="1" si="347"/>
        <v>#REF!</v>
      </c>
      <c r="CO67" s="692" t="str">
        <f ca="1">IFERROR(VLOOKUP(INDEX(CK59:CK70,CN67),WSM,2,FALSE),"----")</f>
        <v>----</v>
      </c>
      <c r="CP67" s="691" t="e">
        <f t="shared" ca="1" si="348"/>
        <v>#N/A</v>
      </c>
      <c r="CQ67" s="4" t="e">
        <f ca="1">IF(AND(INDEX(STM,CP67,4)&gt;=$AB59,INDEX(STM,CP67,5)&gt;=$S59,INDEX(STM,CP67,6)&gt;=$R59),1,0)</f>
        <v>#N/A</v>
      </c>
      <c r="CR67" s="4" t="e">
        <f t="shared" ref="CR67" ca="1" si="476">MATCH(1,OFFSET(CQ59:CQ70,CS66,0,COUNT(CQ59:CQ70)-CS66),0)</f>
        <v>#REF!</v>
      </c>
      <c r="CS67" s="4" t="e">
        <f t="shared" ca="1" si="350"/>
        <v>#REF!</v>
      </c>
      <c r="CT67" s="692" t="str">
        <f ca="1">IFERROR(VLOOKUP(INDEX(CP59:CP70,CS67),STM,2,FALSE),"----")</f>
        <v>----</v>
      </c>
      <c r="CU67" s="691" t="e">
        <f t="shared" ca="1" si="351"/>
        <v>#N/A</v>
      </c>
      <c r="CV67" s="4" t="e">
        <f ca="1">IF(AND(INDEX(ELM,CU67,4)&gt;=$AB59,INDEX(ELM,CU67,5)&gt;=$S59,INDEX(ELM,CU67,6)&gt;=$R59),1,0)</f>
        <v>#N/A</v>
      </c>
      <c r="CW67" s="4" t="e">
        <f t="shared" ref="CW67" ca="1" si="477">MATCH(1,OFFSET(CV59:CV70,CX66,0,COUNT(CV59:CV70)-CX66),0)</f>
        <v>#REF!</v>
      </c>
      <c r="CX67" s="4" t="e">
        <f t="shared" ca="1" si="353"/>
        <v>#REF!</v>
      </c>
      <c r="CY67" s="692" t="str">
        <f ca="1">IFERROR(VLOOKUP(INDEX(CU59:CU70,CX67),ELM,2,FALSE),"----")</f>
        <v>----</v>
      </c>
      <c r="CZ67" s="691" t="e">
        <f t="shared" ca="1" si="354"/>
        <v>#N/A</v>
      </c>
      <c r="DA67" s="4" t="e">
        <f ca="1">IF(LEFT($J59,7)="Clad Wo",IF(AND(INDEX(SPPWS,CZ67,4)&gt;=$AB59,INDEX(SPPWS,CZ67,5)&gt;=$S59,INDEX(SPPWS,CZ67,6)&gt;=$R59),1,0),IF(AND(INDEX(SPM,CZ67,4)&gt;=$AB59,INDEX(SPM,CZ67,5)&gt;=$S59,INDEX(SPM,CZ67,6)&gt;=$R59),1,0))</f>
        <v>#N/A</v>
      </c>
      <c r="DB67" s="4" t="e">
        <f t="shared" ref="DB67" ca="1" si="478">MATCH(1,OFFSET(DA59:DA70,DC66,0,COUNT(DA59:DA70)-DC66),0)</f>
        <v>#REF!</v>
      </c>
      <c r="DC67" s="4" t="e">
        <f t="shared" ca="1" si="356"/>
        <v>#REF!</v>
      </c>
      <c r="DD67" s="693" t="str">
        <f ca="1">IF(LEFT($J59,7)="Clad Wo",IFERROR(VLOOKUP(INDEX(CZ59:CZ70,DC67),SPPWS,2,FALSE),"----"),IFERROR(VLOOKUP(INDEX(CZ59:CZ70,DC67),SPM,2,FALSE),"----"))</f>
        <v>----</v>
      </c>
      <c r="DE67" s="691" t="e">
        <f t="shared" ca="1" si="357"/>
        <v>#REF!</v>
      </c>
      <c r="DF67" s="4" t="e" cm="1">
        <f t="array" aca="1" ref="DF67" ca="1">IF(AND(INDEX(INDIRECT(BY59),DE67,4)&gt;=$AB65,INDEX(INDIRECT(BY59),DE67,5)&gt;=$S59,INDEX(INDIRECT(BY59),DE67,6)&gt;=$R59),1,0)</f>
        <v>#REF!</v>
      </c>
      <c r="DG67" s="4" t="e">
        <f t="shared" ref="DG67" ca="1" si="479">MATCH(1,OFFSET(DF59:DF70,DH66,0,COUNT(DF59:DF70)-DH66),0)</f>
        <v>#REF!</v>
      </c>
      <c r="DH67" s="4" t="e">
        <f t="shared" ca="1" si="359"/>
        <v>#REF!</v>
      </c>
      <c r="DI67" s="692" t="str" cm="1">
        <f t="array" aca="1" ref="DI67" ca="1">IFERROR(VLOOKUP(INDEX(DE59:DE70,DH67),INDIRECT(BY59),2,FALSE),"----")</f>
        <v>----</v>
      </c>
      <c r="DJ67" s="691" t="e">
        <f t="shared" ca="1" si="360"/>
        <v>#N/A</v>
      </c>
      <c r="DK67" s="4" t="e">
        <f ca="1">IF(AND(INDEX(SSM,DJ67,4)&gt;=$AB65,INDEX(SSM,DJ67,5)&gt;=$S59,INDEX(SSM,DJ67,6)&gt;=$R59),1,0)</f>
        <v>#N/A</v>
      </c>
      <c r="DL67" s="4" t="e">
        <f t="shared" ref="DL67" ca="1" si="480">MATCH(1,OFFSET(DK59:DK70,DM66,0,COUNT(DK59:DK70)-DM66),0)</f>
        <v>#REF!</v>
      </c>
      <c r="DM67" s="4" t="e">
        <f t="shared" ca="1" si="362"/>
        <v>#REF!</v>
      </c>
      <c r="DN67" s="692" t="str">
        <f ca="1">IFERROR(IF(AD66="Nested Steel Stud (wood infill)",VLOOKUP(INDEX(DJ59:DJ70,DM67),SSW,2,FALSE),VLOOKUP(INDEX(DJ59:DJ70,DM67),SSM,2,FALSE)),"----")</f>
        <v>----</v>
      </c>
      <c r="DO67" s="691" t="e">
        <f t="shared" ca="1" si="363"/>
        <v>#N/A</v>
      </c>
      <c r="DP67" s="4" t="e">
        <f ca="1">IF(AND(INDEX(WSM,DO67,4)&gt;=$AB65,INDEX(WSM,DO67,5)&gt;=$S59,INDEX(WSM,DO67,6)&gt;=$R59),1,0)</f>
        <v>#N/A</v>
      </c>
      <c r="DQ67" s="4" t="e">
        <f t="shared" ref="DQ67" ca="1" si="481">MATCH(1,OFFSET(DP59:DP70,DR66,0,COUNT(DP59:DP70)-DR66),0)</f>
        <v>#REF!</v>
      </c>
      <c r="DR67" s="4" t="e">
        <f t="shared" ca="1" si="365"/>
        <v>#REF!</v>
      </c>
      <c r="DS67" s="692" t="str">
        <f ca="1">IFERROR(VLOOKUP(INDEX(DO59:DO70,DR67),WSM,2,FALSE),"----")</f>
        <v>----</v>
      </c>
      <c r="DT67" s="691" t="e">
        <f t="shared" ca="1" si="366"/>
        <v>#N/A</v>
      </c>
      <c r="DU67" s="4" t="e">
        <f ca="1">IF(AND(INDEX(STM,DT67,4)&gt;=$AB65,INDEX(STM,DT67,5)&gt;=$S59,INDEX(STM,DT67,6)&gt;=$R59),1,0)</f>
        <v>#N/A</v>
      </c>
      <c r="DV67" s="4" t="e">
        <f t="shared" ref="DV67" ca="1" si="482">MATCH(1,OFFSET(DU59:DU70,DW66,0,COUNT(DU59:DU70)-DW66),0)</f>
        <v>#REF!</v>
      </c>
      <c r="DW67" s="4" t="e">
        <f t="shared" ca="1" si="368"/>
        <v>#REF!</v>
      </c>
      <c r="DX67" s="692" t="str">
        <f ca="1">IFERROR(VLOOKUP(INDEX(DT59:DT70,DW67),STM,2,FALSE),"----")</f>
        <v>----</v>
      </c>
      <c r="DY67" s="691" t="e">
        <f t="shared" ca="1" si="369"/>
        <v>#N/A</v>
      </c>
      <c r="DZ67" s="4" t="e">
        <f ca="1">IF(AND(INDEX(ELM,DY67,4)&gt;=$AB65,INDEX(ELM,DY67,5)&gt;=$S59,INDEX(ELM,DY67,6)&gt;=$R59),1,0)</f>
        <v>#N/A</v>
      </c>
      <c r="EA67" s="4" t="e">
        <f t="shared" ref="EA67" ca="1" si="483">MATCH(1,OFFSET(DZ59:DZ70,EB66,0,COUNT(DZ59:DZ70)-EB66),0)</f>
        <v>#REF!</v>
      </c>
      <c r="EB67" s="4" t="e">
        <f t="shared" ca="1" si="371"/>
        <v>#REF!</v>
      </c>
      <c r="EC67" s="692" t="str">
        <f ca="1">IFERROR(VLOOKUP(INDEX(DY59:DY70,EB67),ELM,2,FALSE),"----")</f>
        <v>----</v>
      </c>
      <c r="ED67" s="691" t="e">
        <f t="shared" ca="1" si="372"/>
        <v>#N/A</v>
      </c>
      <c r="EE67" s="4" t="e">
        <f ca="1">IF(LEFT($J59,7)="Clad Wo",IF(AND(INDEX(SPPWS,ED67,4)&gt;=$AB65,INDEX(SPPWS,ED67,5)&gt;=$S59,INDEX(SPPWS,ED67,6)&gt;=$R59),1,0),IF(AND(INDEX(SPM,ED67,4)&gt;=$AB65,INDEX(SPM,ED67,5)&gt;=$S59,INDEX(SPM,ED67,6)&gt;=$R59),1,0))</f>
        <v>#N/A</v>
      </c>
      <c r="EF67" s="4" t="e">
        <f t="shared" ref="EF67" ca="1" si="484">MATCH(1,OFFSET(EE59:EE70,EG66,0,COUNT(EE59:EE70)-EG66),0)</f>
        <v>#REF!</v>
      </c>
      <c r="EG67" s="4" t="e">
        <f t="shared" ca="1" si="374"/>
        <v>#REF!</v>
      </c>
      <c r="EH67" s="692" t="str">
        <f ca="1">IF(LEFT($J59,7)="Clad Wo",IFERROR(VLOOKUP(INDEX(ED59:ED70,EG67),SPPWS,2,FALSE),"----"),IFERROR(VLOOKUP(INDEX(ED59:ED70,EG67),SPM,2,FALSE),"----"))</f>
        <v>----</v>
      </c>
    </row>
    <row r="68" spans="1:138" ht="15" customHeight="1" x14ac:dyDescent="0.25">
      <c r="A68" s="1085"/>
      <c r="B68" s="925"/>
      <c r="C68" s="926"/>
      <c r="D68" s="927"/>
      <c r="E68" s="995"/>
      <c r="F68" s="996"/>
      <c r="G68" s="997"/>
      <c r="H68" s="1062"/>
      <c r="I68" s="990"/>
      <c r="J68" s="902"/>
      <c r="K68" s="903"/>
      <c r="L68" s="1002"/>
      <c r="M68" s="923"/>
      <c r="N68" s="1042"/>
      <c r="O68" s="1018"/>
      <c r="P68" s="987"/>
      <c r="Q68" s="1015"/>
      <c r="R68" s="1012"/>
      <c r="S68" s="1006"/>
      <c r="T68" s="1007"/>
      <c r="U68" s="878"/>
      <c r="V68" s="881"/>
      <c r="W68" s="884"/>
      <c r="X68" s="884"/>
      <c r="Y68" s="887"/>
      <c r="Z68" s="887"/>
      <c r="AA68" s="887"/>
      <c r="AB68" s="1081"/>
      <c r="AC68" s="1078"/>
      <c r="AD68" s="1070" t="str">
        <f t="shared" si="233"/>
        <v>Steel Tube</v>
      </c>
      <c r="AE68" s="1071"/>
      <c r="AF68" s="1052"/>
      <c r="AG68" s="1053"/>
      <c r="AH68" s="1053"/>
      <c r="AI68" s="1066"/>
      <c r="AJ68" s="1067"/>
      <c r="AK68" s="156" t="str">
        <f t="shared" ca="1" si="62"/>
        <v/>
      </c>
      <c r="AL68" s="1059"/>
      <c r="AM68" s="343" t="str">
        <f ca="1">IFERROR(Q59/12*ROUND(VLOOKUP(AF68,OFFSET(STM,0,1),6,FALSE),2),"")</f>
        <v/>
      </c>
      <c r="AN68" t="str">
        <f t="shared" ca="1" si="5"/>
        <v/>
      </c>
      <c r="AP68" s="122" t="str">
        <f t="shared" ref="AP68" si="485">_xlfn.CONCAT(AR68,AS70)</f>
        <v/>
      </c>
      <c r="AQ68" s="683" t="str">
        <f t="shared" si="65"/>
        <v/>
      </c>
      <c r="AR68" s="4" t="str">
        <f t="shared" si="3"/>
        <v/>
      </c>
      <c r="AS68" s="4"/>
      <c r="AT68" s="697" t="str">
        <f>AL65</f>
        <v/>
      </c>
      <c r="AU68" s="694" t="e">
        <f t="shared" ca="1" si="91"/>
        <v>#REF!</v>
      </c>
      <c r="AV68" s="686" t="str">
        <f ca="1">IFERROR(VLOOKUP(AU68,INDIRECT(AQ59),2,FALSE),"----")</f>
        <v>----</v>
      </c>
      <c r="AW68" s="694" t="e">
        <f t="shared" ca="1" si="92"/>
        <v>#REF!</v>
      </c>
      <c r="AX68" s="686" t="str">
        <f ca="1">IFERROR(VLOOKUP(AW68,INDIRECT(AQ60),2,FALSE),"----")</f>
        <v>----</v>
      </c>
      <c r="AY68" s="694" t="e">
        <f t="shared" ref="AY68:AY130" ca="1" si="486">AY67-1</f>
        <v>#REF!</v>
      </c>
      <c r="AZ68" s="686" t="str">
        <f ca="1">IFERROR(VLOOKUP(AY68,INDIRECT(AQ61),2,FALSE),"----")</f>
        <v>----</v>
      </c>
      <c r="BA68" s="694" t="e">
        <f t="shared" ref="BA68:BA130" ca="1" si="487">BA67-1</f>
        <v>#REF!</v>
      </c>
      <c r="BB68" s="686" t="str">
        <f ca="1">IFERROR(VLOOKUP(BA68,INDIRECT(AQ62),2,FALSE),"----")</f>
        <v>----</v>
      </c>
      <c r="BC68" s="694" t="e">
        <f t="shared" ca="1" si="95"/>
        <v>#REF!</v>
      </c>
      <c r="BD68" s="686" t="str">
        <f ca="1">IFERROR(VLOOKUP(BC68,INDIRECT(AQ63),2,FALSE),"----")</f>
        <v>----</v>
      </c>
      <c r="BE68" s="694" t="e">
        <f t="shared" ca="1" si="96"/>
        <v>#REF!</v>
      </c>
      <c r="BF68" s="686" t="str">
        <f ca="1">IFERROR(VLOOKUP(BE68,INDIRECT(AQ64),2,FALSE),"----")</f>
        <v>----</v>
      </c>
      <c r="BG68" s="702" t="e">
        <f t="shared" ca="1" si="97"/>
        <v>#REF!</v>
      </c>
      <c r="BH68" s="686" t="str">
        <f ca="1">IFERROR(VLOOKUP(BG68,INDIRECT(AQ65),2,FALSE),"----")</f>
        <v>----</v>
      </c>
      <c r="BI68" s="702" t="e">
        <f t="shared" ca="1" si="98"/>
        <v>#REF!</v>
      </c>
      <c r="BJ68" s="686" t="str">
        <f ca="1">IFERROR(VLOOKUP(BI68,INDIRECT(AQ66),2,FALSE),"----")</f>
        <v>----</v>
      </c>
      <c r="BK68" s="702" t="e">
        <f t="shared" ca="1" si="99"/>
        <v>#REF!</v>
      </c>
      <c r="BL68" s="686" t="str">
        <f ca="1">IFERROR(VLOOKUP(BK68,INDIRECT(AQ67),2,FALSE),"----")</f>
        <v>----</v>
      </c>
      <c r="BM68" s="702" t="e">
        <f t="shared" ca="1" si="100"/>
        <v>#REF!</v>
      </c>
      <c r="BN68" s="686" t="str">
        <f ca="1">IFERROR(VLOOKUP(BM68,INDIRECT(AQ68),2,FALSE),"----")</f>
        <v>----</v>
      </c>
      <c r="BO68" s="702" t="e">
        <f t="shared" ca="1" si="101"/>
        <v>#REF!</v>
      </c>
      <c r="BP68" s="686" t="str">
        <f ca="1">IFERROR(VLOOKUP(BO68,INDIRECT(AQ69),2,FALSE),"----")</f>
        <v>----</v>
      </c>
      <c r="BQ68" s="702" t="e">
        <f t="shared" ca="1" si="102"/>
        <v>#REF!</v>
      </c>
      <c r="BR68" s="686" t="str">
        <f ca="1">IFERROR(VLOOKUP(BQ68,INDIRECT(AQ70),2,FALSE),"----")</f>
        <v>----</v>
      </c>
      <c r="BS68" s="695">
        <f>IF(AI68="",1,IF(COUNTIF(BN59:BN70,AI68)=0,2,1))</f>
        <v>1</v>
      </c>
      <c r="BT68" s="696">
        <f>IF(AF68="",1,IF(BN59=".",2,1))</f>
        <v>1</v>
      </c>
      <c r="BU68" s="706"/>
      <c r="BV68" s="155">
        <f ca="1">IF(COUNTIF(DX59:DX70,AF68)=0,IF(AF68&lt;&gt;"",0,1),1)</f>
        <v>1</v>
      </c>
      <c r="BW68" s="157">
        <f ca="1">IFERROR(MATCH(AF68,DX59:DX70,0),1)</f>
        <v>1</v>
      </c>
      <c r="BX68" s="769" t="e">
        <f t="shared" ref="BX68" si="488">5*E59^3*W65/(384*X59)</f>
        <v>#VALUE!</v>
      </c>
      <c r="BY68" s="769" t="e">
        <f t="shared" ref="BY68" si="489">E59^3*W65/(60*X59)</f>
        <v>#VALUE!</v>
      </c>
      <c r="BZ68" s="1110"/>
      <c r="CA68" s="691" t="e">
        <f t="shared" ca="1" si="339"/>
        <v>#REF!</v>
      </c>
      <c r="CB68" s="4" t="e" cm="1">
        <f t="array" aca="1" ref="CB68" ca="1">IF(AND(INDEX(INDIRECT(BY59),CA68,4)&gt;=$AB59,INDEX(INDIRECT(BY59),CA68,5)&gt;=$S59,INDEX(INDIRECT(BY59),CA68,6)&gt;=$R59),1,0)</f>
        <v>#REF!</v>
      </c>
      <c r="CC68" s="4" t="e">
        <f t="shared" ref="CC68" ca="1" si="490">MATCH(1,OFFSET(CB59:CB70,CD67,0,COUNT(CB59:CB70)-CD67),0)</f>
        <v>#REF!</v>
      </c>
      <c r="CD68" s="4" t="e">
        <f t="shared" ca="1" si="341"/>
        <v>#REF!</v>
      </c>
      <c r="CE68" s="692" t="str" cm="1">
        <f t="array" aca="1" ref="CE68" ca="1">IFERROR(VLOOKUP(INDEX(CA59:CA70,CD68),INDIRECT(BY59),2,FALSE),"----")</f>
        <v>----</v>
      </c>
      <c r="CF68" s="691" t="e">
        <f t="shared" ca="1" si="342"/>
        <v>#N/A</v>
      </c>
      <c r="CG68" s="4" t="e">
        <f ca="1">IF(AND(INDEX(SSM,CF68,4)&gt;=$AB59,INDEX(SSM,CF68,5)&gt;=$S59,INDEX(SSM,CF68,6)&gt;=$R59),1,0)</f>
        <v>#N/A</v>
      </c>
      <c r="CH68" s="4" t="e">
        <f t="shared" ref="CH68" ca="1" si="491">MATCH(1,OFFSET(CG59:CG70,CI67,0,COUNT(CG59:CG70)-CI67),0)</f>
        <v>#REF!</v>
      </c>
      <c r="CI68" s="4" t="e">
        <f t="shared" ca="1" si="344"/>
        <v>#REF!</v>
      </c>
      <c r="CJ68" s="692" t="str">
        <f ca="1">IFERROR(IF(AD60="Nested Steel Stud (wood infill)",VLOOKUP(INDEX(CF59:CF70,CI68),SSW,2,FALSE),VLOOKUP(INDEX(CF59:CF70,CI68),SSM,2,FALSE)),"----")</f>
        <v>----</v>
      </c>
      <c r="CK68" s="691" t="e">
        <f t="shared" ca="1" si="345"/>
        <v>#N/A</v>
      </c>
      <c r="CL68" s="4" t="e">
        <f ca="1">IF(AND(INDEX(WSM,CK68,4)&gt;=$AB59,INDEX(WSM,CK68,5)&gt;=$S59,INDEX(WSM,CK68,6)&gt;=$R59),1,0)</f>
        <v>#N/A</v>
      </c>
      <c r="CM68" s="4" t="e">
        <f t="shared" ref="CM68" ca="1" si="492">MATCH(1,OFFSET(CL59:CL70,CN67,0,COUNT(CL59:CL70)-CN67),0)</f>
        <v>#REF!</v>
      </c>
      <c r="CN68" s="4" t="e">
        <f t="shared" ca="1" si="347"/>
        <v>#REF!</v>
      </c>
      <c r="CO68" s="692" t="str">
        <f ca="1">IFERROR(VLOOKUP(INDEX(CK59:CK70,CN68),WSM,2,FALSE),"----")</f>
        <v>----</v>
      </c>
      <c r="CP68" s="691" t="e">
        <f t="shared" ca="1" si="348"/>
        <v>#N/A</v>
      </c>
      <c r="CQ68" s="4" t="e">
        <f ca="1">IF(AND(INDEX(STM,CP68,4)&gt;=$AB59,INDEX(STM,CP68,5)&gt;=$S59,INDEX(STM,CP68,6)&gt;=$R59),1,0)</f>
        <v>#N/A</v>
      </c>
      <c r="CR68" s="4" t="e">
        <f t="shared" ref="CR68" ca="1" si="493">MATCH(1,OFFSET(CQ59:CQ70,CS67,0,COUNT(CQ59:CQ70)-CS67),0)</f>
        <v>#REF!</v>
      </c>
      <c r="CS68" s="4" t="e">
        <f t="shared" ca="1" si="350"/>
        <v>#REF!</v>
      </c>
      <c r="CT68" s="692" t="str">
        <f ca="1">IFERROR(VLOOKUP(INDEX(CP59:CP70,CS68),STM,2,FALSE),"----")</f>
        <v>----</v>
      </c>
      <c r="CU68" s="691" t="e">
        <f t="shared" ca="1" si="351"/>
        <v>#N/A</v>
      </c>
      <c r="CV68" s="4" t="e">
        <f ca="1">IF(AND(INDEX(ELM,CU68,4)&gt;=$AB59,INDEX(ELM,CU68,5)&gt;=$S59,INDEX(ELM,CU68,6)&gt;=$R59),1,0)</f>
        <v>#N/A</v>
      </c>
      <c r="CW68" s="4" t="e">
        <f t="shared" ref="CW68" ca="1" si="494">MATCH(1,OFFSET(CV59:CV70,CX67,0,COUNT(CV59:CV70)-CX67),0)</f>
        <v>#REF!</v>
      </c>
      <c r="CX68" s="4" t="e">
        <f t="shared" ca="1" si="353"/>
        <v>#REF!</v>
      </c>
      <c r="CY68" s="692" t="str">
        <f ca="1">IFERROR(VLOOKUP(INDEX(CU59:CU70,CX68),ELM,2,FALSE),"----")</f>
        <v>----</v>
      </c>
      <c r="CZ68" s="691" t="e">
        <f t="shared" ca="1" si="354"/>
        <v>#N/A</v>
      </c>
      <c r="DA68" s="4" t="e">
        <f ca="1">IF(LEFT($J59,7)="Clad Wo",IF(AND(INDEX(SPPWS,CZ68,4)&gt;=$AB59,INDEX(SPPWS,CZ68,5)&gt;=$S59,INDEX(SPPWS,CZ68,6)&gt;=$R59),1,0),IF(AND(INDEX(SPM,CZ68,4)&gt;=$AB59,INDEX(SPM,CZ68,5)&gt;=$S59,INDEX(SPM,CZ68,6)&gt;=$R59),1,0))</f>
        <v>#N/A</v>
      </c>
      <c r="DB68" s="4" t="e">
        <f t="shared" ref="DB68" ca="1" si="495">MATCH(1,OFFSET(DA59:DA70,DC67,0,COUNT(DA59:DA70)-DC67),0)</f>
        <v>#REF!</v>
      </c>
      <c r="DC68" s="4" t="e">
        <f t="shared" ca="1" si="356"/>
        <v>#REF!</v>
      </c>
      <c r="DD68" s="693" t="str">
        <f ca="1">IF(LEFT($J59,7)="Clad Wo",IFERROR(VLOOKUP(INDEX(CZ59:CZ70,DC68),SPPWS,2,FALSE),"----"),IFERROR(VLOOKUP(INDEX(CZ59:CZ70,DC68),SPM,2,FALSE),"----"))</f>
        <v>----</v>
      </c>
      <c r="DE68" s="691" t="e">
        <f t="shared" ca="1" si="357"/>
        <v>#REF!</v>
      </c>
      <c r="DF68" s="4" t="e" cm="1">
        <f t="array" aca="1" ref="DF68" ca="1">IF(AND(INDEX(INDIRECT(BY59),DE68,4)&gt;=$AB65,INDEX(INDIRECT(BY59),DE68,5)&gt;=$S59,INDEX(INDIRECT(BY59),DE68,6)&gt;=$R59),1,0)</f>
        <v>#REF!</v>
      </c>
      <c r="DG68" s="4" t="e">
        <f t="shared" ref="DG68" ca="1" si="496">MATCH(1,OFFSET(DF59:DF70,DH67,0,COUNT(DF59:DF70)-DH67),0)</f>
        <v>#REF!</v>
      </c>
      <c r="DH68" s="4" t="e">
        <f t="shared" ca="1" si="359"/>
        <v>#REF!</v>
      </c>
      <c r="DI68" s="692" t="str" cm="1">
        <f t="array" aca="1" ref="DI68" ca="1">IFERROR(VLOOKUP(INDEX(DE59:DE70,DH68),INDIRECT(BY59),2,FALSE),"----")</f>
        <v>----</v>
      </c>
      <c r="DJ68" s="691" t="e">
        <f t="shared" ca="1" si="360"/>
        <v>#N/A</v>
      </c>
      <c r="DK68" s="4" t="e">
        <f ca="1">IF(AND(INDEX(SSM,DJ68,4)&gt;=$AB65,INDEX(SSM,DJ68,5)&gt;=$S59,INDEX(SSM,DJ68,6)&gt;=$R59),1,0)</f>
        <v>#N/A</v>
      </c>
      <c r="DL68" s="4" t="e">
        <f t="shared" ref="DL68" ca="1" si="497">MATCH(1,OFFSET(DK59:DK70,DM67,0,COUNT(DK59:DK70)-DM67),0)</f>
        <v>#REF!</v>
      </c>
      <c r="DM68" s="4" t="e">
        <f t="shared" ca="1" si="362"/>
        <v>#REF!</v>
      </c>
      <c r="DN68" s="692" t="str">
        <f ca="1">IFERROR(IF(AD66="Nested Steel Stud (wood infill)",VLOOKUP(INDEX(DJ59:DJ70,DM68),SSW,2,FALSE),VLOOKUP(INDEX(DJ59:DJ70,DM68),SSM,2,FALSE)),"----")</f>
        <v>----</v>
      </c>
      <c r="DO68" s="691" t="e">
        <f t="shared" ca="1" si="363"/>
        <v>#N/A</v>
      </c>
      <c r="DP68" s="4" t="e">
        <f ca="1">IF(AND(INDEX(WSM,DO68,4)&gt;=$AB65,INDEX(WSM,DO68,5)&gt;=$S59,INDEX(WSM,DO68,6)&gt;=$R59),1,0)</f>
        <v>#N/A</v>
      </c>
      <c r="DQ68" s="4" t="e">
        <f t="shared" ref="DQ68" ca="1" si="498">MATCH(1,OFFSET(DP59:DP70,DR67,0,COUNT(DP59:DP70)-DR67),0)</f>
        <v>#REF!</v>
      </c>
      <c r="DR68" s="4" t="e">
        <f t="shared" ca="1" si="365"/>
        <v>#REF!</v>
      </c>
      <c r="DS68" s="692" t="str">
        <f ca="1">IFERROR(VLOOKUP(INDEX(DO59:DO70,DR68),WSM,2,FALSE),"----")</f>
        <v>----</v>
      </c>
      <c r="DT68" s="691" t="e">
        <f t="shared" ca="1" si="366"/>
        <v>#N/A</v>
      </c>
      <c r="DU68" s="4" t="e">
        <f ca="1">IF(AND(INDEX(STM,DT68,4)&gt;=$AB65,INDEX(STM,DT68,5)&gt;=$S59,INDEX(STM,DT68,6)&gt;=$R59),1,0)</f>
        <v>#N/A</v>
      </c>
      <c r="DV68" s="4" t="e">
        <f t="shared" ref="DV68" ca="1" si="499">MATCH(1,OFFSET(DU59:DU70,DW67,0,COUNT(DU59:DU70)-DW67),0)</f>
        <v>#REF!</v>
      </c>
      <c r="DW68" s="4" t="e">
        <f t="shared" ca="1" si="368"/>
        <v>#REF!</v>
      </c>
      <c r="DX68" s="692" t="str">
        <f ca="1">IFERROR(VLOOKUP(INDEX(DT59:DT70,DW68),STM,2,FALSE),"----")</f>
        <v>----</v>
      </c>
      <c r="DY68" s="691" t="e">
        <f t="shared" ca="1" si="369"/>
        <v>#N/A</v>
      </c>
      <c r="DZ68" s="4" t="e">
        <f ca="1">IF(AND(INDEX(ELM,DY68,4)&gt;=$AB65,INDEX(ELM,DY68,5)&gt;=$S59,INDEX(ELM,DY68,6)&gt;=$R59),1,0)</f>
        <v>#N/A</v>
      </c>
      <c r="EA68" s="4" t="e">
        <f t="shared" ref="EA68" ca="1" si="500">MATCH(1,OFFSET(DZ59:DZ70,EB67,0,COUNT(DZ59:DZ70)-EB67),0)</f>
        <v>#REF!</v>
      </c>
      <c r="EB68" s="4" t="e">
        <f t="shared" ca="1" si="371"/>
        <v>#REF!</v>
      </c>
      <c r="EC68" s="692" t="str">
        <f ca="1">IFERROR(VLOOKUP(INDEX(DY59:DY70,EB68),ELM,2,FALSE),"----")</f>
        <v>----</v>
      </c>
      <c r="ED68" s="691" t="e">
        <f t="shared" ca="1" si="372"/>
        <v>#N/A</v>
      </c>
      <c r="EE68" s="4" t="e">
        <f ca="1">IF(LEFT($J59,7)="Clad Wo",IF(AND(INDEX(SPPWS,ED68,4)&gt;=$AB65,INDEX(SPPWS,ED68,5)&gt;=$S59,INDEX(SPPWS,ED68,6)&gt;=$R59),1,0),IF(AND(INDEX(SPM,ED68,4)&gt;=$AB65,INDEX(SPM,ED68,5)&gt;=$S59,INDEX(SPM,ED68,6)&gt;=$R59),1,0))</f>
        <v>#N/A</v>
      </c>
      <c r="EF68" s="4" t="e">
        <f t="shared" ref="EF68" ca="1" si="501">MATCH(1,OFFSET(EE59:EE70,EG67,0,COUNT(EE59:EE70)-EG67),0)</f>
        <v>#REF!</v>
      </c>
      <c r="EG68" s="4" t="e">
        <f t="shared" ca="1" si="374"/>
        <v>#REF!</v>
      </c>
      <c r="EH68" s="692" t="str">
        <f ca="1">IF(LEFT($J59,7)="Clad Wo",IFERROR(VLOOKUP(INDEX(ED59:ED70,EG68),SPPWS,2,FALSE),"----"),IFERROR(VLOOKUP(INDEX(ED59:ED70,EG68),SPM,2,FALSE),"----"))</f>
        <v>----</v>
      </c>
    </row>
    <row r="69" spans="1:138" ht="15" customHeight="1" x14ac:dyDescent="0.25">
      <c r="A69" s="1085"/>
      <c r="B69" s="925"/>
      <c r="C69" s="926"/>
      <c r="D69" s="927"/>
      <c r="E69" s="995"/>
      <c r="F69" s="996"/>
      <c r="G69" s="997"/>
      <c r="H69" s="1062"/>
      <c r="I69" s="990"/>
      <c r="J69" s="902"/>
      <c r="K69" s="903"/>
      <c r="L69" s="1002"/>
      <c r="M69" s="923"/>
      <c r="N69" s="1042"/>
      <c r="O69" s="1018"/>
      <c r="P69" s="987"/>
      <c r="Q69" s="1015"/>
      <c r="R69" s="1012"/>
      <c r="S69" s="1006"/>
      <c r="T69" s="1007"/>
      <c r="U69" s="878"/>
      <c r="V69" s="881"/>
      <c r="W69" s="884"/>
      <c r="X69" s="884"/>
      <c r="Y69" s="887"/>
      <c r="Z69" s="887"/>
      <c r="AA69" s="887"/>
      <c r="AB69" s="1081"/>
      <c r="AC69" s="1078"/>
      <c r="AD69" s="1070" t="str">
        <f t="shared" si="233"/>
        <v>Engineered Lumber</v>
      </c>
      <c r="AE69" s="1071"/>
      <c r="AF69" s="1052"/>
      <c r="AG69" s="1053"/>
      <c r="AH69" s="1053"/>
      <c r="AI69" s="1068"/>
      <c r="AJ69" s="1069"/>
      <c r="AK69" s="154" t="str">
        <f t="shared" ca="1" si="62"/>
        <v/>
      </c>
      <c r="AL69" s="1059"/>
      <c r="AM69" s="344" t="str">
        <f ca="1">IFERROR(Q59/12*ROUND(VLOOKUP(AF69,OFFSET(ELM,0,1),6,FALSE),2),"")</f>
        <v/>
      </c>
      <c r="AN69" t="str">
        <f t="shared" ca="1" si="5"/>
        <v/>
      </c>
      <c r="AP69" s="122" t="str">
        <f t="shared" ref="AP69" si="502">_xlfn.CONCAT(AR69,AS70)</f>
        <v/>
      </c>
      <c r="AQ69" s="683" t="str">
        <f t="shared" si="65"/>
        <v/>
      </c>
      <c r="AR69" s="4" t="str">
        <f t="shared" si="3"/>
        <v/>
      </c>
      <c r="AS69" s="4"/>
      <c r="AT69" s="697" t="str">
        <f>AL65</f>
        <v/>
      </c>
      <c r="AU69" s="694" t="e">
        <f t="shared" ca="1" si="91"/>
        <v>#REF!</v>
      </c>
      <c r="AV69" s="698" t="str">
        <f ca="1">IFERROR(VLOOKUP(AU69,INDIRECT(AQ59),2,FALSE),"----")</f>
        <v>----</v>
      </c>
      <c r="AW69" s="694" t="e">
        <f t="shared" ca="1" si="92"/>
        <v>#REF!</v>
      </c>
      <c r="AX69" s="698" t="str">
        <f ca="1">IFERROR(VLOOKUP(AW69,INDIRECT(AQ60),2,FALSE),"----")</f>
        <v>----</v>
      </c>
      <c r="AY69" s="694" t="e">
        <f t="shared" ca="1" si="486"/>
        <v>#REF!</v>
      </c>
      <c r="AZ69" s="698" t="str">
        <f ca="1">IFERROR(VLOOKUP(AY69,INDIRECT(AQ61),2,FALSE),"----")</f>
        <v>----</v>
      </c>
      <c r="BA69" s="694" t="e">
        <f t="shared" ca="1" si="487"/>
        <v>#REF!</v>
      </c>
      <c r="BB69" s="698" t="str">
        <f ca="1">IFERROR(VLOOKUP(BA69,INDIRECT(AQ62),2,FALSE),"----")</f>
        <v>----</v>
      </c>
      <c r="BC69" s="694" t="e">
        <f t="shared" ca="1" si="95"/>
        <v>#REF!</v>
      </c>
      <c r="BD69" s="698" t="str">
        <f ca="1">IFERROR(VLOOKUP(BC69,INDIRECT(AQ63),2,FALSE),"----")</f>
        <v>----</v>
      </c>
      <c r="BE69" s="694" t="e">
        <f t="shared" ca="1" si="96"/>
        <v>#REF!</v>
      </c>
      <c r="BF69" s="698" t="str">
        <f ca="1">IFERROR(VLOOKUP(BE69,INDIRECT(AQ64),2,FALSE),"----")</f>
        <v>----</v>
      </c>
      <c r="BG69" s="702" t="e">
        <f t="shared" ca="1" si="97"/>
        <v>#REF!</v>
      </c>
      <c r="BH69" s="686" t="str">
        <f ca="1">IFERROR(VLOOKUP(BG69,INDIRECT(AQ65),2,FALSE),"----")</f>
        <v>----</v>
      </c>
      <c r="BI69" s="702" t="e">
        <f t="shared" ca="1" si="98"/>
        <v>#REF!</v>
      </c>
      <c r="BJ69" s="686" t="str">
        <f ca="1">IFERROR(VLOOKUP(BI69,INDIRECT(AQ66),2,FALSE),"----")</f>
        <v>----</v>
      </c>
      <c r="BK69" s="702" t="e">
        <f t="shared" ca="1" si="99"/>
        <v>#REF!</v>
      </c>
      <c r="BL69" s="686" t="str">
        <f ca="1">IFERROR(VLOOKUP(BK69,INDIRECT(AQ67),2,FALSE),"----")</f>
        <v>----</v>
      </c>
      <c r="BM69" s="702" t="e">
        <f t="shared" ca="1" si="100"/>
        <v>#REF!</v>
      </c>
      <c r="BN69" s="686" t="str">
        <f ca="1">IFERROR(VLOOKUP(BM69,INDIRECT(AQ68),2,FALSE),"----")</f>
        <v>----</v>
      </c>
      <c r="BO69" s="702" t="e">
        <f t="shared" ca="1" si="101"/>
        <v>#REF!</v>
      </c>
      <c r="BP69" s="686" t="str">
        <f ca="1">IFERROR(VLOOKUP(BO69,INDIRECT(AQ69),2,FALSE),"----")</f>
        <v>----</v>
      </c>
      <c r="BQ69" s="702" t="e">
        <f t="shared" ca="1" si="102"/>
        <v>#REF!</v>
      </c>
      <c r="BR69" s="686" t="str">
        <f ca="1">IFERROR(VLOOKUP(BQ69,INDIRECT(AQ70),2,FALSE),"----")</f>
        <v>----</v>
      </c>
      <c r="BS69" s="695">
        <f>IF(AI69="",1,IF(COUNTIF(BP59:BP70,AI69)=0,2,1))</f>
        <v>1</v>
      </c>
      <c r="BT69" s="696">
        <f>IF(AF69="",1,IF(BP59=".",2,1))</f>
        <v>1</v>
      </c>
      <c r="BU69" s="706"/>
      <c r="BV69" s="155">
        <f ca="1">IF(COUNTIF(EC59:EC70,AF69)=0,IF(AF69&lt;&gt;"",0,1),1)</f>
        <v>1</v>
      </c>
      <c r="BW69" s="157">
        <f ca="1">IFERROR(MATCH(AF69,EC59:EC70,0),1)</f>
        <v>1</v>
      </c>
      <c r="BX69" s="769"/>
      <c r="BY69" s="769"/>
      <c r="BZ69" s="1110"/>
      <c r="CA69" s="691" t="e">
        <f t="shared" ca="1" si="339"/>
        <v>#REF!</v>
      </c>
      <c r="CB69" s="4" t="e" cm="1">
        <f t="array" aca="1" ref="CB69" ca="1">IF(AND(INDEX(INDIRECT(BY59),CA69,4)&gt;=$AB59,INDEX(INDIRECT(BY59),CA69,5)&gt;=$S59,INDEX(INDIRECT(BY59),CA69,6)&gt;=$R59),1,0)</f>
        <v>#REF!</v>
      </c>
      <c r="CC69" s="4" t="e">
        <f t="shared" ref="CC69" ca="1" si="503">MATCH(1,OFFSET(CB59:CB70,CD68,0,COUNT(CB59:CB70)-CD68),0)</f>
        <v>#REF!</v>
      </c>
      <c r="CD69" s="4" t="e">
        <f t="shared" ca="1" si="341"/>
        <v>#REF!</v>
      </c>
      <c r="CE69" s="692" t="str" cm="1">
        <f t="array" aca="1" ref="CE69" ca="1">IFERROR(VLOOKUP(INDEX(CA59:CA70,CD69),INDIRECT(BY59),2,FALSE),"----")</f>
        <v>----</v>
      </c>
      <c r="CF69" s="691" t="e">
        <f t="shared" ca="1" si="342"/>
        <v>#N/A</v>
      </c>
      <c r="CG69" s="4" t="e">
        <f ca="1">IF(AND(INDEX(SSM,CF69,4)&gt;=$AB59,INDEX(SSM,CF69,5)&gt;=$S59,INDEX(SSM,CF69,6)&gt;=$R59),1,0)</f>
        <v>#N/A</v>
      </c>
      <c r="CH69" s="4" t="e">
        <f t="shared" ref="CH69" ca="1" si="504">MATCH(1,OFFSET(CG59:CG70,CI68,0,COUNT(CG59:CG70)-CI68),0)</f>
        <v>#REF!</v>
      </c>
      <c r="CI69" s="4" t="e">
        <f t="shared" ca="1" si="344"/>
        <v>#REF!</v>
      </c>
      <c r="CJ69" s="692" t="str">
        <f ca="1">IFERROR(IF(AD60="Nested Steel Stud (wood infill)",VLOOKUP(INDEX(CF59:CF70,CI69),SSW,2,FALSE),VLOOKUP(INDEX(CF59:CF70,CI69),SSM,2,FALSE)),"----")</f>
        <v>----</v>
      </c>
      <c r="CK69" s="691" t="e">
        <f t="shared" ca="1" si="345"/>
        <v>#N/A</v>
      </c>
      <c r="CL69" s="4" t="e">
        <f ca="1">IF(AND(INDEX(WSM,CK69,4)&gt;=$AB59,INDEX(WSM,CK69,5)&gt;=$S59,INDEX(WSM,CK69,6)&gt;=$R59),1,0)</f>
        <v>#N/A</v>
      </c>
      <c r="CM69" s="4" t="e">
        <f t="shared" ref="CM69" ca="1" si="505">MATCH(1,OFFSET(CL59:CL70,CN68,0,COUNT(CL59:CL70)-CN68),0)</f>
        <v>#REF!</v>
      </c>
      <c r="CN69" s="4" t="e">
        <f t="shared" ca="1" si="347"/>
        <v>#REF!</v>
      </c>
      <c r="CO69" s="692" t="str">
        <f ca="1">IFERROR(VLOOKUP(INDEX(CK59:CK70,CN69),WSM,2,FALSE),"----")</f>
        <v>----</v>
      </c>
      <c r="CP69" s="691" t="e">
        <f t="shared" ca="1" si="348"/>
        <v>#N/A</v>
      </c>
      <c r="CQ69" s="4" t="e">
        <f ca="1">IF(AND(INDEX(STM,CP69,4)&gt;=$AB59,INDEX(STM,CP69,5)&gt;=$S59,INDEX(STM,CP69,6)&gt;=$R59),1,0)</f>
        <v>#N/A</v>
      </c>
      <c r="CR69" s="4" t="e">
        <f t="shared" ref="CR69" ca="1" si="506">MATCH(1,OFFSET(CQ59:CQ70,CS68,0,COUNT(CQ59:CQ70)-CS68),0)</f>
        <v>#REF!</v>
      </c>
      <c r="CS69" s="4" t="e">
        <f t="shared" ca="1" si="350"/>
        <v>#REF!</v>
      </c>
      <c r="CT69" s="692" t="str">
        <f ca="1">IFERROR(VLOOKUP(INDEX(CP59:CP70,CS69),STM,2,FALSE),"----")</f>
        <v>----</v>
      </c>
      <c r="CU69" s="691" t="e">
        <f t="shared" ca="1" si="351"/>
        <v>#N/A</v>
      </c>
      <c r="CV69" s="4" t="e">
        <f ca="1">IF(AND(INDEX(ELM,CU69,4)&gt;=$AB59,INDEX(ELM,CU69,5)&gt;=$S59,INDEX(ELM,CU69,6)&gt;=$R59),1,0)</f>
        <v>#N/A</v>
      </c>
      <c r="CW69" s="4" t="e">
        <f t="shared" ref="CW69" ca="1" si="507">MATCH(1,OFFSET(CV59:CV70,CX68,0,COUNT(CV59:CV70)-CX68),0)</f>
        <v>#REF!</v>
      </c>
      <c r="CX69" s="4" t="e">
        <f t="shared" ca="1" si="353"/>
        <v>#REF!</v>
      </c>
      <c r="CY69" s="692" t="str">
        <f ca="1">IFERROR(VLOOKUP(INDEX(CU59:CU70,CX69),ELM,2,FALSE),"----")</f>
        <v>----</v>
      </c>
      <c r="CZ69" s="691" t="e">
        <f t="shared" ca="1" si="354"/>
        <v>#N/A</v>
      </c>
      <c r="DA69" s="4" t="e">
        <f ca="1">IF(LEFT($J59,7)="Clad Wo",IF(AND(INDEX(SPPWS,CZ69,4)&gt;=$AB59,INDEX(SPPWS,CZ69,5)&gt;=$S59,INDEX(SPPWS,CZ69,6)&gt;=$R59),1,0),IF(AND(INDEX(SPM,CZ69,4)&gt;=$AB59,INDEX(SPM,CZ69,5)&gt;=$S59,INDEX(SPM,CZ69,6)&gt;=$R59),1,0))</f>
        <v>#N/A</v>
      </c>
      <c r="DB69" s="4" t="e">
        <f t="shared" ref="DB69" ca="1" si="508">MATCH(1,OFFSET(DA59:DA70,DC68,0,COUNT(DA59:DA70)-DC68),0)</f>
        <v>#REF!</v>
      </c>
      <c r="DC69" s="4" t="e">
        <f t="shared" ca="1" si="356"/>
        <v>#REF!</v>
      </c>
      <c r="DD69" s="693" t="str">
        <f ca="1">IF(LEFT($J59,7)="Clad Wo",IFERROR(VLOOKUP(INDEX(CZ59:CZ70,DC69),SPPWS,2,FALSE),"----"),IFERROR(VLOOKUP(INDEX(CZ59:CZ70,DC69),SPM,2,FALSE),"----"))</f>
        <v>----</v>
      </c>
      <c r="DE69" s="691" t="e">
        <f t="shared" ca="1" si="357"/>
        <v>#REF!</v>
      </c>
      <c r="DF69" s="4" t="e" cm="1">
        <f t="array" aca="1" ref="DF69" ca="1">IF(AND(INDEX(INDIRECT(BY59),DE69,4)&gt;=$AB65,INDEX(INDIRECT(BY59),DE69,5)&gt;=$S59,INDEX(INDIRECT(BY59),DE69,6)&gt;=$R59),1,0)</f>
        <v>#REF!</v>
      </c>
      <c r="DG69" s="4" t="e">
        <f t="shared" ref="DG69" ca="1" si="509">MATCH(1,OFFSET(DF59:DF70,DH68,0,COUNT(DF59:DF70)-DH68),0)</f>
        <v>#REF!</v>
      </c>
      <c r="DH69" s="4" t="e">
        <f t="shared" ca="1" si="359"/>
        <v>#REF!</v>
      </c>
      <c r="DI69" s="692" t="str" cm="1">
        <f t="array" aca="1" ref="DI69" ca="1">IFERROR(VLOOKUP(INDEX(DE59:DE70,DH69),INDIRECT(BY59),2,FALSE),"----")</f>
        <v>----</v>
      </c>
      <c r="DJ69" s="691" t="e">
        <f t="shared" ca="1" si="360"/>
        <v>#N/A</v>
      </c>
      <c r="DK69" s="4" t="e">
        <f ca="1">IF(AND(INDEX(SSM,DJ69,4)&gt;=$AB65,INDEX(SSM,DJ69,5)&gt;=$S59,INDEX(SSM,DJ69,6)&gt;=$R59),1,0)</f>
        <v>#N/A</v>
      </c>
      <c r="DL69" s="4" t="e">
        <f t="shared" ref="DL69" ca="1" si="510">MATCH(1,OFFSET(DK59:DK70,DM68,0,COUNT(DK59:DK70)-DM68),0)</f>
        <v>#REF!</v>
      </c>
      <c r="DM69" s="4" t="e">
        <f t="shared" ca="1" si="362"/>
        <v>#REF!</v>
      </c>
      <c r="DN69" s="692" t="str">
        <f ca="1">IFERROR(IF(AD66="Nested Steel Stud (wood infill)",VLOOKUP(INDEX(DJ59:DJ70,DM69),SSW,2,FALSE),VLOOKUP(INDEX(DJ59:DJ70,DM69),SSM,2,FALSE)),"----")</f>
        <v>----</v>
      </c>
      <c r="DO69" s="691" t="e">
        <f t="shared" ca="1" si="363"/>
        <v>#N/A</v>
      </c>
      <c r="DP69" s="4" t="e">
        <f ca="1">IF(AND(INDEX(WSM,DO69,4)&gt;=$AB65,INDEX(WSM,DO69,5)&gt;=$S59,INDEX(WSM,DO69,6)&gt;=$R59),1,0)</f>
        <v>#N/A</v>
      </c>
      <c r="DQ69" s="4" t="e">
        <f t="shared" ref="DQ69" ca="1" si="511">MATCH(1,OFFSET(DP59:DP70,DR68,0,COUNT(DP59:DP70)-DR68),0)</f>
        <v>#REF!</v>
      </c>
      <c r="DR69" s="4" t="e">
        <f t="shared" ca="1" si="365"/>
        <v>#REF!</v>
      </c>
      <c r="DS69" s="692" t="str">
        <f ca="1">IFERROR(VLOOKUP(INDEX(DO59:DO70,DR69),WSM,2,FALSE),"----")</f>
        <v>----</v>
      </c>
      <c r="DT69" s="691" t="e">
        <f t="shared" ca="1" si="366"/>
        <v>#N/A</v>
      </c>
      <c r="DU69" s="4" t="e">
        <f ca="1">IF(AND(INDEX(STM,DT69,4)&gt;=$AB65,INDEX(STM,DT69,5)&gt;=$S59,INDEX(STM,DT69,6)&gt;=$R59),1,0)</f>
        <v>#N/A</v>
      </c>
      <c r="DV69" s="4" t="e">
        <f t="shared" ref="DV69" ca="1" si="512">MATCH(1,OFFSET(DU59:DU70,DW68,0,COUNT(DU59:DU70)-DW68),0)</f>
        <v>#REF!</v>
      </c>
      <c r="DW69" s="4" t="e">
        <f t="shared" ca="1" si="368"/>
        <v>#REF!</v>
      </c>
      <c r="DX69" s="692" t="str">
        <f ca="1">IFERROR(VLOOKUP(INDEX(DT59:DT70,DW69),STM,2,FALSE),"----")</f>
        <v>----</v>
      </c>
      <c r="DY69" s="691" t="e">
        <f t="shared" ca="1" si="369"/>
        <v>#N/A</v>
      </c>
      <c r="DZ69" s="4" t="e">
        <f ca="1">IF(AND(INDEX(ELM,DY69,4)&gt;=$AB65,INDEX(ELM,DY69,5)&gt;=$S59,INDEX(ELM,DY69,6)&gt;=$R59),1,0)</f>
        <v>#N/A</v>
      </c>
      <c r="EA69" s="4" t="e">
        <f t="shared" ref="EA69" ca="1" si="513">MATCH(1,OFFSET(DZ59:DZ70,EB68,0,COUNT(DZ59:DZ70)-EB68),0)</f>
        <v>#REF!</v>
      </c>
      <c r="EB69" s="4" t="e">
        <f t="shared" ca="1" si="371"/>
        <v>#REF!</v>
      </c>
      <c r="EC69" s="692" t="str">
        <f ca="1">IFERROR(VLOOKUP(INDEX(DY59:DY70,EB69),ELM,2,FALSE),"----")</f>
        <v>----</v>
      </c>
      <c r="ED69" s="691" t="e">
        <f t="shared" ca="1" si="372"/>
        <v>#N/A</v>
      </c>
      <c r="EE69" s="4" t="e">
        <f ca="1">IF(LEFT($J59,7)="Clad Wo",IF(AND(INDEX(SPPWS,ED69,4)&gt;=$AB65,INDEX(SPPWS,ED69,5)&gt;=$S59,INDEX(SPPWS,ED69,6)&gt;=$R59),1,0),IF(AND(INDEX(SPM,ED69,4)&gt;=$AB65,INDEX(SPM,ED69,5)&gt;=$S59,INDEX(SPM,ED69,6)&gt;=$R59),1,0))</f>
        <v>#N/A</v>
      </c>
      <c r="EF69" s="4" t="e">
        <f t="shared" ref="EF69" ca="1" si="514">MATCH(1,OFFSET(EE59:EE70,EG68,0,COUNT(EE59:EE70)-EG68),0)</f>
        <v>#REF!</v>
      </c>
      <c r="EG69" s="4" t="e">
        <f t="shared" ca="1" si="374"/>
        <v>#REF!</v>
      </c>
      <c r="EH69" s="692" t="str">
        <f ca="1">IF(LEFT($J59,7)="Clad Wo",IFERROR(VLOOKUP(INDEX(ED59:ED70,EG69),SPPWS,2,FALSE),"----"),IFERROR(VLOOKUP(INDEX(ED59:ED70,EG69),SPM,2,FALSE),"----"))</f>
        <v>----</v>
      </c>
    </row>
    <row r="70" spans="1:138" ht="15" customHeight="1" thickBot="1" x14ac:dyDescent="0.3">
      <c r="A70" s="1085"/>
      <c r="B70" s="928"/>
      <c r="C70" s="929"/>
      <c r="D70" s="930"/>
      <c r="E70" s="998"/>
      <c r="F70" s="999"/>
      <c r="G70" s="1000"/>
      <c r="H70" s="1063"/>
      <c r="I70" s="991"/>
      <c r="J70" s="904"/>
      <c r="K70" s="905"/>
      <c r="L70" s="1002"/>
      <c r="M70" s="1065"/>
      <c r="N70" s="1043"/>
      <c r="O70" s="1019"/>
      <c r="P70" s="988"/>
      <c r="Q70" s="1016"/>
      <c r="R70" s="1013"/>
      <c r="S70" s="1008"/>
      <c r="T70" s="1009"/>
      <c r="U70" s="879"/>
      <c r="V70" s="882"/>
      <c r="W70" s="885"/>
      <c r="X70" s="885"/>
      <c r="Y70" s="888"/>
      <c r="Z70" s="888"/>
      <c r="AA70" s="888"/>
      <c r="AB70" s="1082"/>
      <c r="AC70" s="1087"/>
      <c r="AD70" s="1098" t="str">
        <f t="shared" ref="AD70" si="515">IF(LEFT(J59,7)="Clad Wo","Pella Wood Spr / Steel Pte","Steel Plate")</f>
        <v>Steel Plate</v>
      </c>
      <c r="AE70" s="1099"/>
      <c r="AF70" s="1096"/>
      <c r="AG70" s="1097"/>
      <c r="AH70" s="1097"/>
      <c r="AI70" s="1094"/>
      <c r="AJ70" s="1095"/>
      <c r="AK70" s="163" t="str">
        <f t="shared" ca="1" si="62"/>
        <v/>
      </c>
      <c r="AL70" s="1060"/>
      <c r="AM70" s="345" t="str">
        <f ca="1">IFERROR(Q59/12*ROUND(VLOOKUP(AF70,OFFSET(SPM,0,1),6,FALSE),2),"")</f>
        <v/>
      </c>
      <c r="AN70" t="str">
        <f t="shared" ca="1" si="5"/>
        <v/>
      </c>
      <c r="AP70" s="699" t="str">
        <f t="shared" ref="AP70" si="516">_xlfn.CONCAT(AR70,AS70)</f>
        <v/>
      </c>
      <c r="AQ70" s="700" t="str">
        <f t="shared" si="65"/>
        <v/>
      </c>
      <c r="AR70" s="160" t="str">
        <f t="shared" si="3"/>
        <v/>
      </c>
      <c r="AS70" s="160" t="str">
        <f>IFERROR(VLOOKUP(J67, WallType,2,FALSE),"")</f>
        <v/>
      </c>
      <c r="AT70" s="707" t="str">
        <f>AL65</f>
        <v/>
      </c>
      <c r="AU70" s="708" t="e">
        <f t="shared" ca="1" si="91"/>
        <v>#REF!</v>
      </c>
      <c r="AV70" s="709" t="str">
        <f ca="1">IFERROR(VLOOKUP(AU70,INDIRECT(AQ59),2,FALSE),"----")</f>
        <v>----</v>
      </c>
      <c r="AW70" s="710" t="e">
        <f t="shared" ca="1" si="92"/>
        <v>#REF!</v>
      </c>
      <c r="AX70" s="709" t="str">
        <f ca="1">IFERROR(VLOOKUP(AW70,INDIRECT(AQ60),2,FALSE),"----")</f>
        <v>----</v>
      </c>
      <c r="AY70" s="710" t="e">
        <f t="shared" ca="1" si="486"/>
        <v>#REF!</v>
      </c>
      <c r="AZ70" s="709" t="str">
        <f ca="1">IFERROR(VLOOKUP(AY70,INDIRECT(AQ61),2,FALSE),"----")</f>
        <v>----</v>
      </c>
      <c r="BA70" s="710" t="e">
        <f t="shared" ca="1" si="487"/>
        <v>#REF!</v>
      </c>
      <c r="BB70" s="709" t="str">
        <f ca="1">IFERROR(VLOOKUP(BA70,INDIRECT(AQ62),2,FALSE),"----")</f>
        <v>----</v>
      </c>
      <c r="BC70" s="710" t="e">
        <f t="shared" ca="1" si="95"/>
        <v>#REF!</v>
      </c>
      <c r="BD70" s="709" t="str">
        <f ca="1">IFERROR(VLOOKUP(BC70,INDIRECT(AQ63),2,FALSE),"----")</f>
        <v>----</v>
      </c>
      <c r="BE70" s="710" t="e">
        <f t="shared" ca="1" si="96"/>
        <v>#REF!</v>
      </c>
      <c r="BF70" s="709" t="str">
        <f ca="1">IFERROR(VLOOKUP(BE70,INDIRECT(AQ64),2,FALSE),"----")</f>
        <v>----</v>
      </c>
      <c r="BG70" s="710" t="e">
        <f t="shared" ca="1" si="97"/>
        <v>#REF!</v>
      </c>
      <c r="BH70" s="711" t="str">
        <f ca="1">IFERROR(VLOOKUP(BG70,INDIRECT(AQ65),2,FALSE),"----")</f>
        <v>----</v>
      </c>
      <c r="BI70" s="710" t="e">
        <f t="shared" ca="1" si="98"/>
        <v>#REF!</v>
      </c>
      <c r="BJ70" s="711" t="str">
        <f ca="1">IFERROR(VLOOKUP(BI70,INDIRECT(AQ66),2,FALSE),"----")</f>
        <v>----</v>
      </c>
      <c r="BK70" s="710" t="e">
        <f t="shared" ca="1" si="99"/>
        <v>#REF!</v>
      </c>
      <c r="BL70" s="711" t="str">
        <f ca="1">IFERROR(VLOOKUP(BK70,INDIRECT(AQ67),2,FALSE),"----")</f>
        <v>----</v>
      </c>
      <c r="BM70" s="710" t="e">
        <f t="shared" ca="1" si="100"/>
        <v>#REF!</v>
      </c>
      <c r="BN70" s="711" t="str">
        <f ca="1">IFERROR(VLOOKUP(BM70,INDIRECT(AQ68),2,FALSE),"----")</f>
        <v>----</v>
      </c>
      <c r="BO70" s="710" t="e">
        <f t="shared" ca="1" si="101"/>
        <v>#REF!</v>
      </c>
      <c r="BP70" s="711" t="str">
        <f ca="1">IFERROR(VLOOKUP(BO70,INDIRECT(AQ69),2,FALSE),"----")</f>
        <v>----</v>
      </c>
      <c r="BQ70" s="710" t="e">
        <f t="shared" ca="1" si="102"/>
        <v>#REF!</v>
      </c>
      <c r="BR70" s="712" t="str">
        <f ca="1">IFERROR(VLOOKUP(BQ70,INDIRECT(AQ70),2,FALSE),"----")</f>
        <v>----</v>
      </c>
      <c r="BS70" s="695">
        <f>IF(AI70="",1,IF(COUNTIF(BR59:BR70,AI70)=0,2,1))</f>
        <v>1</v>
      </c>
      <c r="BT70" s="713">
        <f>IF(AF70="",1,IF(BR59=".",2,1))</f>
        <v>1</v>
      </c>
      <c r="BV70" s="155">
        <f ca="1">IF(COUNTIF(EH59:EH70,AF70)=0,IF(AF70&lt;&gt;"",0,1),1)</f>
        <v>1</v>
      </c>
      <c r="BW70" s="157">
        <f ca="1">IFERROR(MATCH(AF70,EH59:EH70,0),1)</f>
        <v>1</v>
      </c>
      <c r="BX70" s="718"/>
      <c r="BY70" s="777"/>
      <c r="BZ70" s="1110"/>
      <c r="CA70" s="714" t="e">
        <f t="shared" ca="1" si="339"/>
        <v>#REF!</v>
      </c>
      <c r="CB70" s="715" t="e" cm="1">
        <f t="array" aca="1" ref="CB70" ca="1">IF(AND(INDEX(INDIRECT(BY59),CA70,4)&gt;=$AB59,INDEX(INDIRECT(BY59),CA70,5)&gt;=$S59,INDEX(INDIRECT(BY59),CA70,6)&gt;=$R59),1,0)</f>
        <v>#REF!</v>
      </c>
      <c r="CC70" s="715" t="e">
        <f t="shared" ref="CC70" ca="1" si="517">MATCH(1,OFFSET(CB59:CB70,CD69,0,COUNT(CB59:CB70)-CD69),0)</f>
        <v>#REF!</v>
      </c>
      <c r="CD70" s="715" t="e">
        <f t="shared" ca="1" si="341"/>
        <v>#REF!</v>
      </c>
      <c r="CE70" s="716" t="str" cm="1">
        <f t="array" aca="1" ref="CE70" ca="1">IFERROR(VLOOKUP(INDEX(CA59:CA70,CD70),INDIRECT(BY59),2,FALSE),"----")</f>
        <v>----</v>
      </c>
      <c r="CF70" s="714" t="e">
        <f t="shared" ca="1" si="342"/>
        <v>#N/A</v>
      </c>
      <c r="CG70" s="715" t="e">
        <f ca="1">IF(AND(INDEX(SSM,CF70,4)&gt;=$AB59,INDEX(SSM,CF70,5)&gt;=$S59,INDEX(SSM,CF70,6)&gt;=$R59),1,0)</f>
        <v>#N/A</v>
      </c>
      <c r="CH70" s="715" t="e">
        <f t="shared" ref="CH70" ca="1" si="518">MATCH(1,OFFSET(CG59:CG70,CI69,0,COUNT(CG59:CG70)-CI69),0)</f>
        <v>#REF!</v>
      </c>
      <c r="CI70" s="715" t="e">
        <f t="shared" ca="1" si="344"/>
        <v>#REF!</v>
      </c>
      <c r="CJ70" s="716" t="str">
        <f ca="1">IFERROR(IF(AD60="Nested Steel Stud (wood infill)",VLOOKUP(INDEX(CF59:CF70,CI70),SSW,2,FALSE),VLOOKUP(INDEX(CF59:CF70,CI70),SSM,2,FALSE)),"----")</f>
        <v>----</v>
      </c>
      <c r="CK70" s="714" t="e">
        <f t="shared" ca="1" si="345"/>
        <v>#N/A</v>
      </c>
      <c r="CL70" s="715" t="e">
        <f ca="1">IF(AND(INDEX(WSM,CK70,4)&gt;=$AB59,INDEX(WSM,CK70,5)&gt;=$S59,INDEX(WSM,CK70,6)&gt;=$R59),1,0)</f>
        <v>#N/A</v>
      </c>
      <c r="CM70" s="715" t="e">
        <f t="shared" ref="CM70" ca="1" si="519">MATCH(1,OFFSET(CL59:CL70,CN69,0,COUNT(CL59:CL70)-CN69),0)</f>
        <v>#REF!</v>
      </c>
      <c r="CN70" s="715" t="e">
        <f t="shared" ca="1" si="347"/>
        <v>#REF!</v>
      </c>
      <c r="CO70" s="716" t="str">
        <f ca="1">IFERROR(VLOOKUP(INDEX(CK59:CK70,CN70),WSM,2,FALSE),"----")</f>
        <v>----</v>
      </c>
      <c r="CP70" s="714" t="e">
        <f t="shared" ca="1" si="348"/>
        <v>#N/A</v>
      </c>
      <c r="CQ70" s="715" t="e">
        <f ca="1">IF(AND(INDEX(STM,CP70,4)&gt;=$AB59,INDEX(STM,CP70,5)&gt;=$S59,INDEX(STM,CP70,6)&gt;=$R59),1,0)</f>
        <v>#N/A</v>
      </c>
      <c r="CR70" s="715" t="e">
        <f t="shared" ref="CR70" ca="1" si="520">MATCH(1,OFFSET(CQ59:CQ70,CS69,0,COUNT(CQ59:CQ70)-CS69),0)</f>
        <v>#REF!</v>
      </c>
      <c r="CS70" s="715" t="e">
        <f t="shared" ca="1" si="350"/>
        <v>#REF!</v>
      </c>
      <c r="CT70" s="716" t="str">
        <f ca="1">IFERROR(VLOOKUP(INDEX(CP59:CP70,CS70),STM,2,FALSE),"----")</f>
        <v>----</v>
      </c>
      <c r="CU70" s="714" t="e">
        <f t="shared" ca="1" si="351"/>
        <v>#N/A</v>
      </c>
      <c r="CV70" s="715" t="e">
        <f ca="1">IF(AND(INDEX(ELM,CU70,4)&gt;=$AB59,INDEX(ELM,CU70,5)&gt;=$S59,INDEX(ELM,CU70,6)&gt;=$R59),1,0)</f>
        <v>#N/A</v>
      </c>
      <c r="CW70" s="715" t="e">
        <f t="shared" ref="CW70" ca="1" si="521">MATCH(1,OFFSET(CV59:CV70,CX69,0,COUNT(CV59:CV70)-CX69),0)</f>
        <v>#REF!</v>
      </c>
      <c r="CX70" s="715" t="e">
        <f t="shared" ca="1" si="353"/>
        <v>#REF!</v>
      </c>
      <c r="CY70" s="716" t="str">
        <f ca="1">IFERROR(VLOOKUP(INDEX(CU59:CU70,CX70),ELM,2,FALSE),"----")</f>
        <v>----</v>
      </c>
      <c r="CZ70" s="714" t="e">
        <f t="shared" ca="1" si="354"/>
        <v>#N/A</v>
      </c>
      <c r="DA70" s="715" t="e">
        <f ca="1">IF(LEFT($J59,7)="Clad Wo",IF(AND(INDEX(SPPWS,CZ70,4)&gt;=$AB59,INDEX(SPPWS,CZ70,5)&gt;=$S59,INDEX(SPPWS,CZ70,6)&gt;=$R59),1,0),IF(AND(INDEX(SPM,CZ70,4)&gt;=$AB59,INDEX(SPM,CZ70,5)&gt;=$S59,INDEX(SPM,CZ70,6)&gt;=$R59),1,0))</f>
        <v>#N/A</v>
      </c>
      <c r="DB70" s="715" t="e">
        <f t="shared" ref="DB70" ca="1" si="522">MATCH(1,OFFSET(DA59:DA70,DC69,0,COUNT(DA59:DA70)-DC69),0)</f>
        <v>#REF!</v>
      </c>
      <c r="DC70" s="715" t="e">
        <f t="shared" ca="1" si="356"/>
        <v>#REF!</v>
      </c>
      <c r="DD70" s="717" t="str">
        <f ca="1">IF(LEFT($J59,7)="Clad Wo",IFERROR(VLOOKUP(INDEX(CZ59:CZ70,DC70),SPPWS,2,FALSE),"----"),IFERROR(VLOOKUP(INDEX(CZ59:CZ70,DC70),SPM,2,FALSE),"----"))</f>
        <v>----</v>
      </c>
      <c r="DE70" s="714" t="e">
        <f t="shared" ca="1" si="357"/>
        <v>#REF!</v>
      </c>
      <c r="DF70" s="715" t="e" cm="1">
        <f t="array" aca="1" ref="DF70" ca="1">IF(AND(INDEX(INDIRECT(BY59),DE70,4)&gt;=$AB65,INDEX(INDIRECT(BY59),DE70,5)&gt;=$S59,INDEX(INDIRECT(BY59),DE70,6)&gt;=$R59),1,0)</f>
        <v>#REF!</v>
      </c>
      <c r="DG70" s="715" t="e">
        <f t="shared" ref="DG70" ca="1" si="523">MATCH(1,OFFSET(DF59:DF70,DH69,0,COUNT(DF59:DF70)-DH69),0)</f>
        <v>#REF!</v>
      </c>
      <c r="DH70" s="715" t="e">
        <f t="shared" ca="1" si="359"/>
        <v>#REF!</v>
      </c>
      <c r="DI70" s="716" t="str" cm="1">
        <f t="array" aca="1" ref="DI70" ca="1">IFERROR(VLOOKUP(INDEX(DE59:DE70,DH70),INDIRECT(BY59),2,FALSE),"----")</f>
        <v>----</v>
      </c>
      <c r="DJ70" s="714" t="e">
        <f t="shared" ca="1" si="360"/>
        <v>#N/A</v>
      </c>
      <c r="DK70" s="715" t="e">
        <f ca="1">IF(AND(INDEX(SSM,DJ70,4)&gt;=$AB65,INDEX(SSM,DJ70,5)&gt;=$S59,INDEX(SSM,DJ70,6)&gt;=$R59),1,0)</f>
        <v>#N/A</v>
      </c>
      <c r="DL70" s="715" t="e">
        <f t="shared" ref="DL70" ca="1" si="524">MATCH(1,OFFSET(DK59:DK70,DM69,0,COUNT(DK59:DK70)-DM69),0)</f>
        <v>#REF!</v>
      </c>
      <c r="DM70" s="715" t="e">
        <f t="shared" ca="1" si="362"/>
        <v>#REF!</v>
      </c>
      <c r="DN70" s="716" t="str">
        <f ca="1">IFERROR(IF(AD66="Nested Steel Stud (wood infill)",VLOOKUP(INDEX(DJ59:DJ70,DM70),SSW,2,FALSE),VLOOKUP(INDEX(DJ59:DJ70,DM70),SSM,2,FALSE)),"----")</f>
        <v>----</v>
      </c>
      <c r="DO70" s="714" t="e">
        <f t="shared" ca="1" si="363"/>
        <v>#N/A</v>
      </c>
      <c r="DP70" s="715" t="e">
        <f ca="1">IF(AND(INDEX(WSM,DO70,4)&gt;=$AB65,INDEX(WSM,DO70,5)&gt;=$S59,INDEX(WSM,DO70,6)&gt;=$R59),1,0)</f>
        <v>#N/A</v>
      </c>
      <c r="DQ70" s="715" t="e">
        <f t="shared" ref="DQ70" ca="1" si="525">MATCH(1,OFFSET(DP59:DP70,DR69,0,COUNT(DP59:DP70)-DR69),0)</f>
        <v>#REF!</v>
      </c>
      <c r="DR70" s="715" t="e">
        <f t="shared" ca="1" si="365"/>
        <v>#REF!</v>
      </c>
      <c r="DS70" s="716" t="str">
        <f ca="1">IFERROR(VLOOKUP(INDEX(DO59:DO70,DR70),WSM,2,FALSE),"----")</f>
        <v>----</v>
      </c>
      <c r="DT70" s="714" t="e">
        <f t="shared" ca="1" si="366"/>
        <v>#N/A</v>
      </c>
      <c r="DU70" s="715" t="e">
        <f ca="1">IF(AND(INDEX(STM,DT70,4)&gt;=$AB65,INDEX(STM,DT70,5)&gt;=$S59,INDEX(STM,DT70,6)&gt;=$R59),1,0)</f>
        <v>#N/A</v>
      </c>
      <c r="DV70" s="715" t="e">
        <f t="shared" ref="DV70" ca="1" si="526">MATCH(1,OFFSET(DU59:DU70,DW69,0,COUNT(DU59:DU70)-DW69),0)</f>
        <v>#REF!</v>
      </c>
      <c r="DW70" s="715" t="e">
        <f t="shared" ca="1" si="368"/>
        <v>#REF!</v>
      </c>
      <c r="DX70" s="716" t="str">
        <f ca="1">IFERROR(VLOOKUP(INDEX(DT59:DT70,DW70),STM,2,FALSE),"----")</f>
        <v>----</v>
      </c>
      <c r="DY70" s="714" t="e">
        <f t="shared" ca="1" si="369"/>
        <v>#N/A</v>
      </c>
      <c r="DZ70" s="715" t="e">
        <f ca="1">IF(AND(INDEX(ELM,DY70,4)&gt;=$AB65,INDEX(ELM,DY70,5)&gt;=$S59,INDEX(ELM,DY70,6)&gt;=$R59),1,0)</f>
        <v>#N/A</v>
      </c>
      <c r="EA70" s="715" t="e">
        <f t="shared" ref="EA70" ca="1" si="527">MATCH(1,OFFSET(DZ59:DZ70,EB69,0,COUNT(DZ59:DZ70)-EB69),0)</f>
        <v>#REF!</v>
      </c>
      <c r="EB70" s="715" t="e">
        <f t="shared" ca="1" si="371"/>
        <v>#REF!</v>
      </c>
      <c r="EC70" s="716" t="str">
        <f ca="1">IFERROR(VLOOKUP(INDEX(DY59:DY70,EB70),ELM,2,FALSE),"----")</f>
        <v>----</v>
      </c>
      <c r="ED70" s="714" t="e">
        <f t="shared" ca="1" si="372"/>
        <v>#N/A</v>
      </c>
      <c r="EE70" s="715" t="e">
        <f ca="1">IF(LEFT($J59,7)="Clad Wo",IF(AND(INDEX(SPPWS,ED70,4)&gt;=$AB65,INDEX(SPPWS,ED70,5)&gt;=$S59,INDEX(SPPWS,ED70,6)&gt;=$R59),1,0),IF(AND(INDEX(SPM,ED70,4)&gt;=$AB65,INDEX(SPM,ED70,5)&gt;=$S59,INDEX(SPM,ED70,6)&gt;=$R59),1,0))</f>
        <v>#N/A</v>
      </c>
      <c r="EF70" s="715" t="e">
        <f t="shared" ref="EF70" ca="1" si="528">MATCH(1,OFFSET(EE59:EE70,EG69,0,COUNT(EE59:EE70)-EG69),0)</f>
        <v>#REF!</v>
      </c>
      <c r="EG70" s="715" t="e">
        <f t="shared" ca="1" si="374"/>
        <v>#REF!</v>
      </c>
      <c r="EH70" s="716" t="str">
        <f ca="1">IF(LEFT($J59,7)="Clad Wo",IFERROR(VLOOKUP(INDEX(ED59:ED70,EG70),SPPWS,2,FALSE),"----"),IFERROR(VLOOKUP(INDEX(ED59:ED70,EG70),SPM,2,FALSE),"----"))</f>
        <v>----</v>
      </c>
    </row>
    <row r="71" spans="1:138" ht="15" customHeight="1" thickTop="1" x14ac:dyDescent="0.25">
      <c r="A71" s="1085"/>
      <c r="B71" s="931" t="s">
        <v>92</v>
      </c>
      <c r="C71" s="932"/>
      <c r="D71" s="933"/>
      <c r="E71" s="992"/>
      <c r="F71" s="993"/>
      <c r="G71" s="994"/>
      <c r="H71" s="1061"/>
      <c r="I71" s="1076"/>
      <c r="J71" s="906"/>
      <c r="K71" s="907"/>
      <c r="L71" s="1001">
        <f>$W$3</f>
        <v>4</v>
      </c>
      <c r="M71" s="923" t="str">
        <f t="shared" ref="M71" si="529">IFERROR(IF($AE$13="",IF($AG$19="Wind Loading",MIN($V$31,IF(E$11="ASCE 7-05",$U$26,$V$7)*$V$9*(IF($E$12&lt;60,0.0771*LN(MAX(MIN(500,O71),10)) -1.2737,IF($E$11="ASCE 7-22",0.0524*LN(MAX(MIN(500,O71),50))-1.0278,0.0614*LN(MAX(MIN(500,O71),20)) -1.0829))-$V$8)),$V$7*IF(E$12&lt;60,$V$13*($V$15*0.0771*LN(MAX(MIN(500,O71),10))-1.2737-$V$16),$V$13*$V$15*((0.0524*LN(MAX(MIN(500,O71),20))-1.0278)-$V$16))),-ABS($AE$13)),"")</f>
        <v/>
      </c>
      <c r="N71" s="1042" t="str">
        <f t="shared" ref="N71" si="530">IFERROR(IF($AE$15="",IF($AG$19="Wind Loading",MAX($U$31,IF(E$11="ASCE 7-05",$U$26,$V$7)*$V$9*((IF($E$12&lt;60,-0.077*LN(MAX(MIN(500,O71),10))+1.1737,IF($E$11="ASCE 7-22",-0.077*LN(MAX(MIN(500,O71),20))+1.0798,-0.093*LN(MAX(MIN(500,O71),20))+1.1776)))+$V$8)),$V$7*IF(E$12&lt;60,$V$13*($V$15*(-0.077*LN(MAX(MIN(500,O71),10))+1.1737)-$V$17),$V$13*$V$15*((-0.077*LN(MAX(MIN(500,O71),20))+1.0798)-$V$17))),ABS($AE$15)),"")</f>
        <v/>
      </c>
      <c r="O71" s="1017" t="str">
        <f>IF(BX78=0,"",IF(AG$14="Trapezoidal",BY78,BX78))</f>
        <v/>
      </c>
      <c r="P71" s="986"/>
      <c r="Q71" s="1014"/>
      <c r="R71" s="1011">
        <f>P71*Q71/8</f>
        <v>0</v>
      </c>
      <c r="S71" s="1004">
        <f t="shared" ref="S71" si="531">IF(5*(P71*Q71^3/(384*0.125))=0,0,5*(P71*Q71^3/(384*0.125)))</f>
        <v>0</v>
      </c>
      <c r="T71" s="1005"/>
      <c r="U71" s="877" t="e">
        <f ca="1">VLOOKUP(J75,INDIRECT(VLOOKUP(J71,FrameStrength,2,FALSE)),3,FALSE)</f>
        <v>#N/A</v>
      </c>
      <c r="V71" s="880">
        <f t="shared" ref="V71" si="532">(H71+I71)/2</f>
        <v>0</v>
      </c>
      <c r="W71" s="883" t="e">
        <f t="shared" ref="W71" si="533">MAX(-M71,N71)*O71</f>
        <v>#VALUE!</v>
      </c>
      <c r="X71" s="883">
        <f t="shared" ref="X71" si="534">IF(E71&gt;162,(E71/240+0.25),IF(AND(E71&lt;162,E71/175&lt;0.75),E71/175,0.75))</f>
        <v>0</v>
      </c>
      <c r="Y71" s="886">
        <f>IFERROR(IF(AG$14="Trapezoidal",BY79,BX79)+IF($E$17="4",(400*E71^3)/(48*X71),0),0)</f>
        <v>0</v>
      </c>
      <c r="Z71" s="886" t="e">
        <f t="shared" ref="Z71" si="535">+($V71*MAX(-$M71,$N71)*$E71^2)/(144*8)+IF($E$17=4,(400*$E71)/4,0)</f>
        <v>#VALUE!</v>
      </c>
      <c r="AA71" s="886" t="e">
        <f ca="1">VLOOKUP(J75,INDIRECT(VLOOKUP(J71,FrameStrength,2,FALSE)),2,FALSE)</f>
        <v>#N/A</v>
      </c>
      <c r="AB71" s="1083" t="str">
        <f t="shared" ref="AB71" ca="1" si="536">IFERROR(Z71-AA71,"")</f>
        <v/>
      </c>
      <c r="AC71" s="1077" t="str">
        <f t="shared" ref="AC71" ca="1" si="537">IFERROR(Y71-U71,"")</f>
        <v/>
      </c>
      <c r="AD71" s="1100" t="str">
        <f>IFERROR(IF(LEFT(J75,2)="As",VLOOKUP(J75,EIMM,4,FALSE),VLOOKUP(J71,EIMM,4,FALSE)),IF(AND(ISNUMBER(SEARCH("Impervia",J71)),ISNUMBER(SEARCH("door",J75))),'New Lookup Cells'!AF$10,IF(ISNUMBER(SEARCH("Impervia",J71)),'New Lookup Cells'!AF$7,IF(AND(ISNUMBER(SEARCH("250",J71)),ISNUMBER(SEARCH("door",J75))),'New Lookup Cells'!AF$14,IF(ISNUMBER(SEARCH("250",J71)),'New Lookup Cells'!AF$13,"")))))</f>
        <v/>
      </c>
      <c r="AE71" s="1101"/>
      <c r="AF71" s="1050"/>
      <c r="AG71" s="1051"/>
      <c r="AH71" s="1051"/>
      <c r="AI71" s="1088"/>
      <c r="AJ71" s="1089"/>
      <c r="AK71" s="154" t="str">
        <f t="shared" ca="1" si="62"/>
        <v/>
      </c>
      <c r="AL71" s="1038" t="str">
        <f t="shared" ref="AL71" si="538">IFERROR(ROUND(SQRT(P71^2+(W71/2+IF($E$17=4,200,0))^2),0),"")</f>
        <v/>
      </c>
      <c r="AM71" s="342" t="s">
        <v>669</v>
      </c>
      <c r="AN71" t="str">
        <f t="shared" ca="1" si="5"/>
        <v/>
      </c>
      <c r="AP71" s="122" t="str">
        <f t="shared" ref="AP71" si="539">_xlfn.CONCAT(AR71,AS76)</f>
        <v/>
      </c>
      <c r="AQ71" s="683" t="str">
        <f t="shared" si="65"/>
        <v/>
      </c>
      <c r="AR71" s="96" t="str">
        <f t="shared" si="3"/>
        <v/>
      </c>
      <c r="AS71" s="96" t="str">
        <f>IF(COUNTIF(imp_1,AF71)=1,"imp_1",IF(COUNTIF(imp_2,AF71)=1,"imp_2",IF(COUNTIF(imp_3,AF71)=1,"imp_3",IF(COUNTIF(impdoor,AF71)=1,"impdoor",""))))</f>
        <v/>
      </c>
      <c r="AT71" s="684" t="str">
        <f>AL71</f>
        <v/>
      </c>
      <c r="AU71" s="685" t="e">
        <f ca="1">MATCH(AL71,INDIRECT(AP71),-1)</f>
        <v>#REF!</v>
      </c>
      <c r="AV71" s="686" t="str">
        <f ca="1">IFERROR(VLOOKUP(AU71,INDIRECT(AQ71),2,FALSE),"----")</f>
        <v>----</v>
      </c>
      <c r="AW71" s="685" t="e">
        <f ca="1">MATCH(AL71,INDIRECT(AP72),-1)</f>
        <v>#REF!</v>
      </c>
      <c r="AX71" s="686" t="str">
        <f ca="1">IFERROR(VLOOKUP(AW71,INDIRECT(AQ72),2,FALSE),"----")</f>
        <v>----</v>
      </c>
      <c r="AY71" s="685" t="e">
        <f ca="1">MATCH(AL71,INDIRECT(AP73),-1)</f>
        <v>#REF!</v>
      </c>
      <c r="AZ71" s="686" t="str">
        <f ca="1">IFERROR(VLOOKUP(AY71,INDIRECT(AQ73),2,FALSE),"----")</f>
        <v>----</v>
      </c>
      <c r="BA71" s="685" t="e">
        <f ca="1">MATCH(AL71,INDIRECT(AP74),-1)</f>
        <v>#REF!</v>
      </c>
      <c r="BB71" s="686" t="str">
        <f ca="1">IFERROR(VLOOKUP(BA71,INDIRECT(AQ74),2,FALSE),"----")</f>
        <v>----</v>
      </c>
      <c r="BC71" s="685" t="e">
        <f ca="1">MATCH(AL71,INDIRECT(AP75),-1)</f>
        <v>#REF!</v>
      </c>
      <c r="BD71" s="686" t="str">
        <f ca="1">IFERROR(VLOOKUP(BC71,INDIRECT(AQ75),2,FALSE),"----")</f>
        <v>----</v>
      </c>
      <c r="BE71" s="685" t="e">
        <f ca="1">MATCH(AL71,INDIRECT(AP76),-1)</f>
        <v>#REF!</v>
      </c>
      <c r="BF71" s="686" t="str">
        <f ca="1">IFERROR(VLOOKUP(BE71,INDIRECT(AQ76),2,FALSE),"----")</f>
        <v>----</v>
      </c>
      <c r="BG71" s="685" t="e">
        <f ca="1">MATCH(AL77,INDIRECT(AP77),-1)</f>
        <v>#REF!</v>
      </c>
      <c r="BH71" s="686" t="str">
        <f ca="1">IFERROR(VLOOKUP(BG71,INDIRECT(AQ77),2,FALSE),"----")</f>
        <v>----</v>
      </c>
      <c r="BI71" s="685" t="e">
        <f ca="1">MATCH(AL77,INDIRECT(AP78),-1)</f>
        <v>#REF!</v>
      </c>
      <c r="BJ71" s="686" t="str">
        <f ca="1">IFERROR(VLOOKUP(BI71,INDIRECT(AQ78),2,FALSE),"----")</f>
        <v>----</v>
      </c>
      <c r="BK71" s="685" t="e">
        <f ca="1">MATCH(AL77,INDIRECT(AP79),-1)</f>
        <v>#REF!</v>
      </c>
      <c r="BL71" s="686" t="str">
        <f ca="1">IFERROR(VLOOKUP(BK71,INDIRECT(AQ79),2,FALSE),"----")</f>
        <v>----</v>
      </c>
      <c r="BM71" s="685" t="e">
        <f ca="1">MATCH(AL77,INDIRECT(AP80),-1)</f>
        <v>#REF!</v>
      </c>
      <c r="BN71" s="686" t="str">
        <f ca="1">IFERROR(VLOOKUP(BM71,INDIRECT(AQ80),2,FALSE),"----")</f>
        <v>----</v>
      </c>
      <c r="BO71" s="685" t="e">
        <f ca="1">MATCH(AL77,INDIRECT(AP81),-1)</f>
        <v>#REF!</v>
      </c>
      <c r="BP71" s="686" t="str">
        <f ca="1">IFERROR(VLOOKUP(BO71,INDIRECT(AQ81),2,FALSE),"----")</f>
        <v>----</v>
      </c>
      <c r="BQ71" s="685" t="e">
        <f ca="1">MATCH(AL77,INDIRECT(AP82),-1)</f>
        <v>#REF!</v>
      </c>
      <c r="BR71" s="686" t="str">
        <f ca="1">IFERROR(VLOOKUP(BQ71,INDIRECT(AQ82),2,FALSE),"----")</f>
        <v>----</v>
      </c>
      <c r="BS71" s="687">
        <f>IF(AI71="",1,IF(COUNTIF(AV71:AV82,AI71)=0,2,1))</f>
        <v>1</v>
      </c>
      <c r="BT71" s="688">
        <f>IF(AP71="1",1,IF(AF71="",1,IF(AV71=".",2,1)))</f>
        <v>1</v>
      </c>
      <c r="BU71" s="706"/>
      <c r="BV71" s="155">
        <f ca="1">IF(COUNTIF(CE71:CE82,AF71)=0,IF(AF71&lt;&gt;"",0,1),1)</f>
        <v>1</v>
      </c>
      <c r="BW71" s="157">
        <f ca="1">IFERROR(MATCH(AF71,CE71:CE82,0),1)</f>
        <v>1</v>
      </c>
      <c r="BX71" s="769" t="str">
        <f>IFERROR(IF(LEFT(J75,2)="As",VLOOKUP(J75,EIMM,2,FALSE),IF(AND(ISNUMBER(SEARCH("Impervia",J71)),ISNUMBER(SEARCH("door",J75))),VLOOKUP("Impervia Door",EIMM,2,FALSE),IF(AND(ISNUMBER(SEARCH("250",J71)),ISNUMBER(SEARCH("door",J75))),VLOOKUP("250 Series Door",EIMM,2,FALSE),VLOOKUP(J71,EIMM,2,FALSE)))),"")</f>
        <v/>
      </c>
      <c r="BY71" s="769" t="str">
        <f ca="1">IFERROR(VLOOKUP(BX71,OFFSET(EIMM,0,1),2,FALSE),"")</f>
        <v/>
      </c>
      <c r="BZ71" s="1110" t="e">
        <f ca="1">IF((COUNTIF(INDIRECT(SUBSTITUTE(J71," ","_")),J75))=0,IF(J75="",1,0),1)</f>
        <v>#REF!</v>
      </c>
      <c r="CA71" s="691" t="e">
        <f ca="1">MATCH(AC71,INDIRECT(BX71),-1)</f>
        <v>#REF!</v>
      </c>
      <c r="CB71" s="4" t="e" cm="1">
        <f t="array" aca="1" ref="CB71" ca="1">IF(AND(INDEX(INDIRECT(BY71),CA71,4)&gt;=$AB71,INDEX(INDIRECT(BY71),CA71,5)&gt;=$S71,INDEX(INDIRECT(BY71),CA71,6)&gt;=$R71),1,0)</f>
        <v>#REF!</v>
      </c>
      <c r="CC71" s="4" t="e">
        <f t="shared" ref="CC71" ca="1" si="540">MATCH(1,OFFSET(CB71:CB82,$W$2,0,COUNT(CB71:CB82)-$W$2),0)</f>
        <v>#REF!</v>
      </c>
      <c r="CD71" s="4" t="e">
        <f t="shared" ref="CD71" ca="1" si="541">$W$2+CC71</f>
        <v>#REF!</v>
      </c>
      <c r="CE71" s="692" t="str" cm="1">
        <f t="array" aca="1" ref="CE71" ca="1">IFERROR(VLOOKUP(INDEX(CA71:CA82,CD71),INDIRECT(BY71),2,FALSE),"----")</f>
        <v>----</v>
      </c>
      <c r="CF71" s="691" t="e">
        <f ca="1">MATCH($AC71,SSEI,-1)</f>
        <v>#N/A</v>
      </c>
      <c r="CG71" s="4" t="e">
        <f ca="1">IF(AND(INDEX(SSM,CF71,4)&gt;=$AB71,INDEX(SSM,CF71,5)&gt;=$S71,INDEX(SSM,CF71,6)&gt;=$R71),1,0)</f>
        <v>#N/A</v>
      </c>
      <c r="CH71" s="4" t="e">
        <f t="shared" ref="CH71" ca="1" si="542">MATCH(1,OFFSET(CG71:CG82,$W$2,0,COUNT(CG71:CG82)-$W$2),0)</f>
        <v>#REF!</v>
      </c>
      <c r="CI71" s="4" t="e">
        <f t="shared" ref="CI71" ca="1" si="543">$W$2+CH71</f>
        <v>#REF!</v>
      </c>
      <c r="CJ71" s="692" t="str">
        <f ca="1">IFERROR(IF(AD72="Nested Steel Stud (wood infill)",VLOOKUP(INDEX(CF71:CF82,CI71),SSW,2,FALSE),VLOOKUP(INDEX(CF71:CF82,CI71),SSM,2,FALSE)),"----")</f>
        <v>----</v>
      </c>
      <c r="CK71" s="691" t="e">
        <f ca="1">MATCH($AC71,WSEI,-1)</f>
        <v>#N/A</v>
      </c>
      <c r="CL71" s="4" t="e">
        <f ca="1">IF(AND(INDEX(WSM,CK71,4)&gt;=$AB71,INDEX(WSM,CK71,5)&gt;=$S71,INDEX(WSM,CK71,6)&gt;=$R71),1,0)</f>
        <v>#N/A</v>
      </c>
      <c r="CM71" s="4" t="e">
        <f t="shared" ref="CM71" ca="1" si="544">MATCH(1,OFFSET(CL71:CL82,$W$2,0,COUNT(CL71:CL82)-$W$2),0)</f>
        <v>#REF!</v>
      </c>
      <c r="CN71" s="4" t="e">
        <f t="shared" ref="CN71" ca="1" si="545">$W$2+CM71</f>
        <v>#REF!</v>
      </c>
      <c r="CO71" s="692" t="str">
        <f ca="1">IFERROR(VLOOKUP(INDEX(CK71:CK82,CN71),WSM,2,FALSE),"----")</f>
        <v>----</v>
      </c>
      <c r="CP71" s="691" t="e">
        <f ca="1">MATCH($AC71,STEI,-1)</f>
        <v>#N/A</v>
      </c>
      <c r="CQ71" s="4" t="e">
        <f ca="1">IF(AND(INDEX(STM,CP71,4)&gt;=$AB71,INDEX(STM,CP71,5)&gt;=$S71,INDEX(STM,CP71,6)&gt;=$R71),1,0)</f>
        <v>#N/A</v>
      </c>
      <c r="CR71" s="4" t="e">
        <f t="shared" ref="CR71" ca="1" si="546">MATCH(1,OFFSET(CQ71:CQ82,$W$2,0,COUNT(CQ71:CQ82)-$W$2),0)</f>
        <v>#REF!</v>
      </c>
      <c r="CS71" s="4" t="e">
        <f t="shared" ref="CS71" ca="1" si="547">$W$2+CR71</f>
        <v>#REF!</v>
      </c>
      <c r="CT71" s="692" t="str">
        <f ca="1">IFERROR(VLOOKUP(INDEX(CP71:CP82,CS71),STM,2,FALSE),"----")</f>
        <v>----</v>
      </c>
      <c r="CU71" s="691" t="e">
        <f ca="1">MATCH($AC71,ELEI,-1)</f>
        <v>#N/A</v>
      </c>
      <c r="CV71" s="4" t="e">
        <f ca="1">IF(AND(INDEX(ELM,CU71,4)&gt;=$AB71,INDEX(ELM,CU71,5)&gt;=$S71,INDEX(ELM,CU71,6)&gt;=$R71),1,0)</f>
        <v>#N/A</v>
      </c>
      <c r="CW71" s="4" t="e">
        <f t="shared" ref="CW71" ca="1" si="548">MATCH(1,OFFSET(CV71:CV82,$W$2,0,COUNT(CV71:CV82)-$W$2),0)</f>
        <v>#REF!</v>
      </c>
      <c r="CX71" s="4" t="e">
        <f t="shared" ref="CX71" ca="1" si="549">$W$2+CW71</f>
        <v>#REF!</v>
      </c>
      <c r="CY71" s="692" t="str">
        <f ca="1">IFERROR(VLOOKUP(INDEX(CU71:CU82,CX71),ELM,2,FALSE),"----")</f>
        <v>----</v>
      </c>
      <c r="CZ71" s="691" t="e">
        <f ca="1">IF(LEFT($J71,7)="Clad Wo",MATCH($AC71,SPEIW,-1),MATCH($AC71,SPEI,-1))</f>
        <v>#N/A</v>
      </c>
      <c r="DA71" s="4" t="e">
        <f ca="1">IF(LEFT($J71,7)="Clad Wo",IF(AND(INDEX(SPPWS,CZ71,4)&gt;=$AB71,INDEX(SPPWS,CZ71,5)&gt;=$S71,INDEX(SPPWS,CZ71,6)&gt;=$R71),1,0),IF(AND(INDEX(SPM,CZ71,4)&gt;=$AB71,INDEX(SPM,CZ71,5)&gt;=$S71,INDEX(SPM,CZ71,6)&gt;=$R71),1,0))</f>
        <v>#N/A</v>
      </c>
      <c r="DB71" s="4" t="e">
        <f t="shared" ref="DB71" ca="1" si="550">MATCH(1,OFFSET(DA71:DA82,$W$2,0,COUNT(DA71:DA82)-$W$2),0)</f>
        <v>#REF!</v>
      </c>
      <c r="DC71" s="4" t="e">
        <f t="shared" ref="DC71" ca="1" si="551">$W$2+DB71</f>
        <v>#REF!</v>
      </c>
      <c r="DD71" s="693" t="str">
        <f ca="1">IF(LEFT($J71,7)="Clad Wo",IFERROR(VLOOKUP(INDEX(CZ71:CZ82,DC71),SPPWS,2,FALSE),"----"),IFERROR(VLOOKUP(INDEX(CZ71:CZ82,DC71),SPM,2,FALSE),"----"))</f>
        <v>----</v>
      </c>
      <c r="DE71" s="691" t="e">
        <f ca="1">MATCH(AC77,INDIRECT(BX71),-1)</f>
        <v>#REF!</v>
      </c>
      <c r="DF71" s="4" t="e" cm="1">
        <f t="array" aca="1" ref="DF71" ca="1">IF(AND(INDEX(INDIRECT(BY71),DE71,4)&gt;=$AB77,INDEX(INDIRECT(BY71),DE71,5)&gt;=$S71,INDEX(INDIRECT(BY71),DE71,6)&gt;=$R71),1,0)</f>
        <v>#REF!</v>
      </c>
      <c r="DG71" s="4" t="e">
        <f t="shared" ref="DG71" ca="1" si="552">MATCH(1,OFFSET(DF71:DF82,$W$2,0,COUNT(DF71:DF82)-$W$2),0)</f>
        <v>#REF!</v>
      </c>
      <c r="DH71" s="4" t="e">
        <f t="shared" ref="DH71" ca="1" si="553">$W$2+DG71</f>
        <v>#REF!</v>
      </c>
      <c r="DI71" s="692" t="str" cm="1">
        <f t="array" aca="1" ref="DI71" ca="1">IFERROR(VLOOKUP(INDEX(DE71:DE82,DH71),INDIRECT(BY71),2,FALSE),"----")</f>
        <v>----</v>
      </c>
      <c r="DJ71" s="691" t="e">
        <f ca="1">MATCH($AC77,SSEI,-1)</f>
        <v>#N/A</v>
      </c>
      <c r="DK71" s="4" t="e">
        <f ca="1">IF(AND(INDEX(SSM,DJ71,4)&gt;=$AB77,INDEX(SSM,DJ71,5)&gt;=$S71,INDEX(SSM,DJ71,6)&gt;=$R71),1,0)</f>
        <v>#N/A</v>
      </c>
      <c r="DL71" s="4" t="e">
        <f t="shared" ref="DL71" ca="1" si="554">MATCH(1,OFFSET(DK71:DK82,$W$2,0,COUNT(DK71:DK82)-$W$2),0)</f>
        <v>#REF!</v>
      </c>
      <c r="DM71" s="4" t="e">
        <f t="shared" ref="DM71" ca="1" si="555">$W$2+DL71</f>
        <v>#REF!</v>
      </c>
      <c r="DN71" s="692" t="str">
        <f ca="1">IFERROR(IF(AD78="Nested Steel Stud (wood infill)",VLOOKUP(INDEX(DJ71:DJ82,DM71),SSW,2,FALSE),VLOOKUP(INDEX(DJ71:DJ82,DM71),SSM,2,FALSE)),"----")</f>
        <v>----</v>
      </c>
      <c r="DO71" s="691" t="e">
        <f ca="1">MATCH($AC77,WSEI,-1)</f>
        <v>#N/A</v>
      </c>
      <c r="DP71" s="4" t="e">
        <f ca="1">IF(AND(INDEX(WSM,DO71,4)&gt;=$AB77,INDEX(WSM,DO71,5)&gt;=$S71,INDEX(WSM,DO71,6)&gt;=$R71),1,0)</f>
        <v>#N/A</v>
      </c>
      <c r="DQ71" s="4" t="e">
        <f t="shared" ref="DQ71" ca="1" si="556">MATCH(1,OFFSET(DP71:DP82,$W$2,0,COUNT(DP71:DP82)-$W$2),0)</f>
        <v>#REF!</v>
      </c>
      <c r="DR71" s="4" t="e">
        <f t="shared" ref="DR71" ca="1" si="557">$W$2+DQ71</f>
        <v>#REF!</v>
      </c>
      <c r="DS71" s="692" t="str">
        <f ca="1">IFERROR(VLOOKUP(INDEX(DO71:DO82,DR71),WSM,2,FALSE),"----")</f>
        <v>----</v>
      </c>
      <c r="DT71" s="691" t="e">
        <f ca="1">MATCH($AC77,STEI,-1)</f>
        <v>#N/A</v>
      </c>
      <c r="DU71" s="4" t="e">
        <f ca="1">IF(AND(INDEX(STM,DT71,4)&gt;=$AB77,INDEX(STM,DT71,5)&gt;=$S71,INDEX(STM,DT71,6)&gt;=$R71),1,0)</f>
        <v>#N/A</v>
      </c>
      <c r="DV71" s="4" t="e">
        <f t="shared" ref="DV71" ca="1" si="558">MATCH(1,OFFSET(DU71:DU82,$W$2,0,COUNT(DU71:DU82)-$W$2),0)</f>
        <v>#REF!</v>
      </c>
      <c r="DW71" s="4" t="e">
        <f t="shared" ref="DW71" ca="1" si="559">$W$2+DV71</f>
        <v>#REF!</v>
      </c>
      <c r="DX71" s="692" t="str">
        <f ca="1">IFERROR(VLOOKUP(INDEX(DT71:DT82,DW71),STM,2,FALSE),"----")</f>
        <v>----</v>
      </c>
      <c r="DY71" s="691" t="e">
        <f ca="1">MATCH($AC77,ELEI,-1)</f>
        <v>#N/A</v>
      </c>
      <c r="DZ71" s="4" t="e">
        <f ca="1">IF(AND(INDEX(ELM,DY71,4)&gt;=$AB77,INDEX(ELM,DY71,5)&gt;=$S71,INDEX(ELM,DY71,6)&gt;=$R71),1,0)</f>
        <v>#N/A</v>
      </c>
      <c r="EA71" s="4" t="e">
        <f t="shared" ref="EA71" ca="1" si="560">MATCH(1,OFFSET(DZ71:DZ82,$W$2,0,COUNT(DZ71:DZ82)-$W$2),0)</f>
        <v>#REF!</v>
      </c>
      <c r="EB71" s="4" t="e">
        <f t="shared" ref="EB71" ca="1" si="561">EA71+$W$2</f>
        <v>#REF!</v>
      </c>
      <c r="EC71" s="692" t="str">
        <f ca="1">IFERROR(VLOOKUP(INDEX(DY71:DY82,EB71),ELM,2,FALSE),"----")</f>
        <v>----</v>
      </c>
      <c r="ED71" s="691" t="e">
        <f ca="1">IF(LEFT($J71,7)="Clad Wo",MATCH($AC77,SPEIW,-1),MATCH($AC77,SPEI,-1))</f>
        <v>#N/A</v>
      </c>
      <c r="EE71" s="4" t="e">
        <f ca="1">IF(LEFT($J71,7)="Clad Wo",IF(AND(INDEX(SPPWS,ED71,4)&gt;=$AB77,INDEX(SPPWS,ED71,5)&gt;=$S71,INDEX(SPPWS,ED71,6)&gt;=$R71),1,0),IF(AND(INDEX(SPM,ED71,4)&gt;=$AB77,INDEX(SPM,ED71,5)&gt;=$S71,INDEX(SPM,ED71,6)&gt;=$R71),1,0))</f>
        <v>#N/A</v>
      </c>
      <c r="EF71" s="4" t="e">
        <f t="shared" ref="EF71" ca="1" si="562">MATCH(1,OFFSET(EE71:EE82,$W$2,0,COUNT(EE71:EE82)-$W$2),0)</f>
        <v>#REF!</v>
      </c>
      <c r="EG71" s="4" t="e">
        <f t="shared" ref="EG71" ca="1" si="563">$W$2+EF71</f>
        <v>#REF!</v>
      </c>
      <c r="EH71" s="692" t="str">
        <f ca="1">IF(LEFT($J71,7)="Clad Wo",IFERROR(VLOOKUP(INDEX(ED71:ED82,EG71),SPPWS,2,FALSE),"----"),IFERROR(VLOOKUP(INDEX(ED71:ED82,EG71),SPM,2,FALSE),"----"))</f>
        <v>----</v>
      </c>
    </row>
    <row r="72" spans="1:138" ht="15" customHeight="1" x14ac:dyDescent="0.25">
      <c r="A72" s="1085"/>
      <c r="B72" s="925"/>
      <c r="C72" s="926"/>
      <c r="D72" s="927"/>
      <c r="E72" s="995"/>
      <c r="F72" s="996"/>
      <c r="G72" s="997"/>
      <c r="H72" s="1062"/>
      <c r="I72" s="990"/>
      <c r="J72" s="908"/>
      <c r="K72" s="909"/>
      <c r="L72" s="1002"/>
      <c r="M72" s="923"/>
      <c r="N72" s="1042"/>
      <c r="O72" s="1018"/>
      <c r="P72" s="987"/>
      <c r="Q72" s="1015"/>
      <c r="R72" s="1012"/>
      <c r="S72" s="1006"/>
      <c r="T72" s="1007"/>
      <c r="U72" s="878"/>
      <c r="V72" s="881"/>
      <c r="W72" s="884"/>
      <c r="X72" s="884"/>
      <c r="Y72" s="887"/>
      <c r="Z72" s="887"/>
      <c r="AA72" s="887"/>
      <c r="AB72" s="1081"/>
      <c r="AC72" s="1078"/>
      <c r="AD72" s="1102" t="s">
        <v>38</v>
      </c>
      <c r="AE72" s="1103"/>
      <c r="AF72" s="1052"/>
      <c r="AG72" s="1053"/>
      <c r="AH72" s="1053"/>
      <c r="AI72" s="1066"/>
      <c r="AJ72" s="1067"/>
      <c r="AK72" s="156" t="str">
        <f ca="1">IFERROR(VLOOKUP(AI72,OFFSET(INDIRECT(AQ72),0,1),2,FALSE),"")</f>
        <v/>
      </c>
      <c r="AL72" s="1039"/>
      <c r="AM72" s="343" t="str">
        <f ca="1">IFERROR(Q71/12*ROUND(VLOOKUP(AF72,OFFSET(SSM,0,1),6,FALSE),2),"")</f>
        <v/>
      </c>
      <c r="AN72" t="str">
        <f t="shared" ca="1" si="5"/>
        <v/>
      </c>
      <c r="AP72" s="122" t="str">
        <f t="shared" ref="AP72" si="564">_xlfn.CONCAT(AR72,AS76)</f>
        <v/>
      </c>
      <c r="AQ72" s="683" t="str">
        <f t="shared" si="65"/>
        <v/>
      </c>
      <c r="AR72" s="96" t="str">
        <f t="shared" si="3"/>
        <v/>
      </c>
      <c r="AS72" s="96" t="str">
        <f>IF(COUNTIF(Vista_1,AF71)=1,"Vista_1",IF(COUNTIF(Vista_2,AF71)=1,"Vista_2",""))</f>
        <v/>
      </c>
      <c r="AT72" s="684" t="str">
        <f>AL71</f>
        <v/>
      </c>
      <c r="AU72" s="694" t="e">
        <f t="shared" ref="AU72" ca="1" si="565">AU71-1</f>
        <v>#REF!</v>
      </c>
      <c r="AV72" s="686" t="str">
        <f ca="1">IFERROR(VLOOKUP(AU72,INDIRECT(AQ71),2,FALSE),"----")</f>
        <v>----</v>
      </c>
      <c r="AW72" s="694" t="e">
        <f t="shared" ref="AW72:AW73" ca="1" si="566">AW71-1</f>
        <v>#REF!</v>
      </c>
      <c r="AX72" s="686" t="str">
        <f ca="1">IFERROR(VLOOKUP(AW72,INDIRECT(AQ72),2,FALSE),"----")</f>
        <v>----</v>
      </c>
      <c r="AY72" s="694" t="e">
        <f t="shared" ref="AY72:AY73" ca="1" si="567">AY71-1</f>
        <v>#REF!</v>
      </c>
      <c r="AZ72" s="686" t="str">
        <f ca="1">IFERROR(VLOOKUP(AY72,INDIRECT(AQ73),2,FALSE),"----")</f>
        <v>----</v>
      </c>
      <c r="BA72" s="694" t="e">
        <f t="shared" ref="BA72:BA73" ca="1" si="568">BA71-1</f>
        <v>#REF!</v>
      </c>
      <c r="BB72" s="686" t="str">
        <f ca="1">IFERROR(VLOOKUP(BA72,INDIRECT(AQ74),2,FALSE),"----")</f>
        <v>----</v>
      </c>
      <c r="BC72" s="694" t="e">
        <f t="shared" ref="BC72:BC73" ca="1" si="569">BC71-1</f>
        <v>#REF!</v>
      </c>
      <c r="BD72" s="686" t="str">
        <f ca="1">IFERROR(VLOOKUP(BC72,INDIRECT(AQ75),2,FALSE),"----")</f>
        <v>----</v>
      </c>
      <c r="BE72" s="694" t="e">
        <f t="shared" ref="BE72" ca="1" si="570">BE71-1</f>
        <v>#REF!</v>
      </c>
      <c r="BF72" s="686" t="str">
        <f ca="1">IFERROR(VLOOKUP(BE72,INDIRECT(AQ76),2,FALSE),"----")</f>
        <v>----</v>
      </c>
      <c r="BG72" s="694" t="e">
        <f t="shared" ref="BG72" ca="1" si="571">BG71-1</f>
        <v>#REF!</v>
      </c>
      <c r="BH72" s="686" t="str">
        <f ca="1">IFERROR(VLOOKUP(BG72,INDIRECT(AQ77),2,FALSE),"----")</f>
        <v>----</v>
      </c>
      <c r="BI72" s="694" t="e">
        <f t="shared" ref="BI72:BI73" ca="1" si="572">BI71-1</f>
        <v>#REF!</v>
      </c>
      <c r="BJ72" s="686" t="str">
        <f ca="1">IFERROR(VLOOKUP(BI72,INDIRECT(AQ78),2,FALSE),"----")</f>
        <v>----</v>
      </c>
      <c r="BK72" s="694" t="e">
        <f t="shared" ref="BK72:BK73" ca="1" si="573">BK71-1</f>
        <v>#REF!</v>
      </c>
      <c r="BL72" s="686" t="str">
        <f ca="1">IFERROR(VLOOKUP(BK72,INDIRECT(AQ79),2,FALSE),"----")</f>
        <v>----</v>
      </c>
      <c r="BM72" s="694" t="e">
        <f t="shared" ref="BM72:BM73" ca="1" si="574">BM71-1</f>
        <v>#REF!</v>
      </c>
      <c r="BN72" s="686" t="str">
        <f ca="1">IFERROR(VLOOKUP(BM72,INDIRECT(AQ80),2,FALSE),"----")</f>
        <v>----</v>
      </c>
      <c r="BO72" s="694" t="e">
        <f t="shared" ref="BO72:BO73" ca="1" si="575">BO71-1</f>
        <v>#REF!</v>
      </c>
      <c r="BP72" s="686" t="str">
        <f ca="1">IFERROR(VLOOKUP(BO72,INDIRECT(AQ81),2,FALSE),"----")</f>
        <v>----</v>
      </c>
      <c r="BQ72" s="694" t="e">
        <f t="shared" ref="BQ72" ca="1" si="576">BQ71-1</f>
        <v>#REF!</v>
      </c>
      <c r="BR72" s="686" t="str">
        <f ca="1">IFERROR(VLOOKUP(BQ72,INDIRECT(AQ82),2,FALSE),"----")</f>
        <v>----</v>
      </c>
      <c r="BS72" s="695">
        <f>IF(AI72="",1,IF(COUNTIF(AX71:AX82,AI72)=0,2,1))</f>
        <v>1</v>
      </c>
      <c r="BT72" s="696">
        <f>IF(AF72="",1,IF(AX71=".",2,1))</f>
        <v>1</v>
      </c>
      <c r="BU72" s="706"/>
      <c r="BV72" s="155">
        <f ca="1">IF(COUNTIF(CJ71:CJ82,AF72)=0,IF(AF72&lt;&gt;"",0,1),1)</f>
        <v>1</v>
      </c>
      <c r="BW72" s="157">
        <f ca="1">IFERROR(MATCH(AF72,CJ71:CJ82,0),1)</f>
        <v>1</v>
      </c>
      <c r="BX72" s="769"/>
      <c r="BY72" s="769"/>
      <c r="BZ72" s="1110"/>
      <c r="CA72" s="691" t="e">
        <f t="shared" ref="CA72:CA82" ca="1" si="577">CA71-1</f>
        <v>#REF!</v>
      </c>
      <c r="CB72" s="4" t="e" cm="1">
        <f t="array" aca="1" ref="CB72" ca="1">IF(AND(INDEX(INDIRECT(BY71),CA72,4)&gt;=$AB71,INDEX(INDIRECT(BY71),CA72,5)&gt;=$S71,INDEX(INDIRECT(BY71),CA72,6)&gt;=$R71),1,0)</f>
        <v>#REF!</v>
      </c>
      <c r="CC72" s="4" t="e">
        <f t="shared" ref="CC72" ca="1" si="578">MATCH(1,OFFSET(CB71:CB82,CD71,0,COUNT(CB71:CB82)-CD71),0)</f>
        <v>#REF!</v>
      </c>
      <c r="CD72" s="4" t="e">
        <f t="shared" ref="CD72:CD82" ca="1" si="579">CD71+CC72</f>
        <v>#REF!</v>
      </c>
      <c r="CE72" s="692" t="str" cm="1">
        <f t="array" aca="1" ref="CE72" ca="1">IFERROR(VLOOKUP(INDEX(CA71:CA82,CD72),INDIRECT(BY71),2,FALSE),"----")</f>
        <v>----</v>
      </c>
      <c r="CF72" s="691" t="e">
        <f t="shared" ref="CF72:CF82" ca="1" si="580">CF71-1</f>
        <v>#N/A</v>
      </c>
      <c r="CG72" s="4" t="e">
        <f ca="1">IF(AND(INDEX(SSM,CF72,4)&gt;=$AB71,INDEX(SSM,CF72,5)&gt;=$S71,INDEX(SSM,CF72,6)&gt;=$R71),1,0)</f>
        <v>#N/A</v>
      </c>
      <c r="CH72" s="4" t="e">
        <f t="shared" ref="CH72" ca="1" si="581">MATCH(1,OFFSET(CG71:CG82,CI71,0,COUNT(CG71:CG82)-CI71),0)</f>
        <v>#REF!</v>
      </c>
      <c r="CI72" s="4" t="e">
        <f t="shared" ref="CI72:CI82" ca="1" si="582">CI71+CH72</f>
        <v>#REF!</v>
      </c>
      <c r="CJ72" s="692" t="str">
        <f ca="1">IFERROR(IF(AD72="Nested Steel Stud (wood infill)",VLOOKUP(INDEX(CF71:CF82,CI72),SSW,2,FALSE),VLOOKUP(INDEX(CF71:CF82,CI72),SSM,2,FALSE)),"----")</f>
        <v>----</v>
      </c>
      <c r="CK72" s="691" t="e">
        <f t="shared" ref="CK72:CK82" ca="1" si="583">CK71-1</f>
        <v>#N/A</v>
      </c>
      <c r="CL72" s="4" t="e">
        <f ca="1">IF(AND(INDEX(WSM,CK72,4)&gt;=$AB71,INDEX(WSM,CK72,5)&gt;=$S71,INDEX(WSM,CK72,6)&gt;=$R71),1,0)</f>
        <v>#N/A</v>
      </c>
      <c r="CM72" s="4" t="e">
        <f t="shared" ref="CM72" ca="1" si="584">MATCH(1,OFFSET(CL71:CL82,CN71,0,COUNT(CL71:CL82)-CN71),0)</f>
        <v>#REF!</v>
      </c>
      <c r="CN72" s="4" t="e">
        <f t="shared" ref="CN72:CN82" ca="1" si="585">CM72+CN71</f>
        <v>#REF!</v>
      </c>
      <c r="CO72" s="692" t="str">
        <f ca="1">IFERROR(VLOOKUP(INDEX(CK71:CK82,CN72),WSM,2,FALSE),"----")</f>
        <v>----</v>
      </c>
      <c r="CP72" s="691" t="e">
        <f t="shared" ref="CP72:CP82" ca="1" si="586">CP71-1</f>
        <v>#N/A</v>
      </c>
      <c r="CQ72" s="4" t="e">
        <f ca="1">IF(AND(INDEX(STM,CP72,4)&gt;=$AB71,INDEX(STM,CP72,5)&gt;=$S71,INDEX(STM,CP72,6)&gt;=$R71),1,0)</f>
        <v>#N/A</v>
      </c>
      <c r="CR72" s="4" t="e">
        <f t="shared" ref="CR72" ca="1" si="587">MATCH(1,OFFSET(CQ71:CQ82,CS71,0,COUNT(CQ71:CQ82)-CS71),0)</f>
        <v>#REF!</v>
      </c>
      <c r="CS72" s="4" t="e">
        <f t="shared" ref="CS72:CS82" ca="1" si="588">CR72+CS71</f>
        <v>#REF!</v>
      </c>
      <c r="CT72" s="692" t="str">
        <f ca="1">IFERROR(VLOOKUP(INDEX(CP71:CP82,CS72),STM,2,FALSE),"----")</f>
        <v>----</v>
      </c>
      <c r="CU72" s="691" t="e">
        <f t="shared" ref="CU72:CU82" ca="1" si="589">CU71-1</f>
        <v>#N/A</v>
      </c>
      <c r="CV72" s="4" t="e">
        <f ca="1">IF(AND(INDEX(ELM,CU72,4)&gt;=$AB71,INDEX(ELM,CU72,5)&gt;=$S71,INDEX(ELM,CU72,6)&gt;=$R71),1,0)</f>
        <v>#N/A</v>
      </c>
      <c r="CW72" s="4" t="e">
        <f t="shared" ref="CW72" ca="1" si="590">MATCH(1,OFFSET(CV71:CV82,CX71,0,COUNT(CV71:CV82)-CX71),0)</f>
        <v>#REF!</v>
      </c>
      <c r="CX72" s="4" t="e">
        <f t="shared" ref="CX72:CX82" ca="1" si="591">CW72+CX71</f>
        <v>#REF!</v>
      </c>
      <c r="CY72" s="692" t="str">
        <f ca="1">IFERROR(VLOOKUP(INDEX(CU71:CU82,CX72),ELM,2,FALSE),"----")</f>
        <v>----</v>
      </c>
      <c r="CZ72" s="691" t="e">
        <f t="shared" ref="CZ72:CZ82" ca="1" si="592">CZ71-1</f>
        <v>#N/A</v>
      </c>
      <c r="DA72" s="4" t="e">
        <f ca="1">IF(LEFT($J71,7)="Clad Wo",IF(AND(INDEX(SPPWS,CZ72,4)&gt;=$AB71,INDEX(SPPWS,CZ72,5)&gt;=$S71,INDEX(SPPWS,CZ72,6)&gt;=$R71),1,0),IF(AND(INDEX(SPM,CZ72,4)&gt;=$AB71,INDEX(SPM,CZ72,5)&gt;=$S71,INDEX(SPM,CZ72,6)&gt;=$R71),1,0))</f>
        <v>#N/A</v>
      </c>
      <c r="DB72" s="4" t="e">
        <f t="shared" ref="DB72" ca="1" si="593">MATCH(1,OFFSET(DA71:DA82,DC71,0,COUNT(DA71:DA82)-DC71),0)</f>
        <v>#REF!</v>
      </c>
      <c r="DC72" s="4" t="e">
        <f t="shared" ref="DC72:DC82" ca="1" si="594">DC71+DB72</f>
        <v>#REF!</v>
      </c>
      <c r="DD72" s="693" t="str">
        <f ca="1">IF(LEFT($J71,7)="Clad Wo",IFERROR(VLOOKUP(INDEX(CZ71:CZ82,DC72),SPPWS,2,FALSE),"----"),IFERROR(VLOOKUP(INDEX(CZ71:CZ82,DC72),SPM,2,FALSE),"----"))</f>
        <v>----</v>
      </c>
      <c r="DE72" s="691" t="e">
        <f t="shared" ref="DE72:DE82" ca="1" si="595">DE71-1</f>
        <v>#REF!</v>
      </c>
      <c r="DF72" s="4" t="e" cm="1">
        <f t="array" aca="1" ref="DF72" ca="1">IF(AND(INDEX(INDIRECT(BY71),DE72,4)&gt;=$AB77,INDEX(INDIRECT(BY71),DE72,5)&gt;=$S71,INDEX(INDIRECT(BY71),DE72,6)&gt;=$R71),1,0)</f>
        <v>#REF!</v>
      </c>
      <c r="DG72" s="4" t="e">
        <f t="shared" ref="DG72" ca="1" si="596">MATCH(1,OFFSET(DF71:DF82,DH71,0,COUNT(DF71:DF82)-DH71),0)</f>
        <v>#REF!</v>
      </c>
      <c r="DH72" s="4" t="e">
        <f t="shared" ref="DH72:DH82" ca="1" si="597">DH71+DG72</f>
        <v>#REF!</v>
      </c>
      <c r="DI72" s="692" t="str" cm="1">
        <f t="array" aca="1" ref="DI72" ca="1">IFERROR(VLOOKUP(INDEX(DE71:DE82,DH72),INDIRECT(BY71),2,FALSE),"----")</f>
        <v>----</v>
      </c>
      <c r="DJ72" s="691" t="e">
        <f t="shared" ref="DJ72:DJ82" ca="1" si="598">DJ71-1</f>
        <v>#N/A</v>
      </c>
      <c r="DK72" s="4" t="e">
        <f ca="1">IF(AND(INDEX(SSM,DJ72,4)&gt;=$AB77,INDEX(SSM,DJ72,5)&gt;=$S71,INDEX(SSM,DJ72,6)&gt;=$R71),1,0)</f>
        <v>#N/A</v>
      </c>
      <c r="DL72" s="4" t="e">
        <f t="shared" ref="DL72" ca="1" si="599">MATCH(1,OFFSET(DK71:DK82,DM71,0,COUNT(DK71:DK82)-DM71),0)</f>
        <v>#REF!</v>
      </c>
      <c r="DM72" s="4" t="e">
        <f t="shared" ref="DM72:DM82" ca="1" si="600">DL72+DM71</f>
        <v>#REF!</v>
      </c>
      <c r="DN72" s="692" t="str">
        <f ca="1">IFERROR(IF(AD78="Nested Steel Stud (wood infill)",VLOOKUP(INDEX(DJ71:DJ82,DM72),SSW,2,FALSE),VLOOKUP(INDEX(DJ71:DJ82,DM72),SSM,2,FALSE)),"----")</f>
        <v>----</v>
      </c>
      <c r="DO72" s="691" t="e">
        <f t="shared" ref="DO72:DO82" ca="1" si="601">DO71-1</f>
        <v>#N/A</v>
      </c>
      <c r="DP72" s="4" t="e">
        <f ca="1">IF(AND(INDEX(WSM,DO72,4)&gt;=$AB77,INDEX(WSM,DO72,5)&gt;=$S71,INDEX(WSM,DO72,6)&gt;=$R71),1,0)</f>
        <v>#N/A</v>
      </c>
      <c r="DQ72" s="4" t="e">
        <f t="shared" ref="DQ72" ca="1" si="602">MATCH(1,OFFSET(DP71:DP82,DR71,0,COUNT(DP71:DP82)-DR71),0)</f>
        <v>#REF!</v>
      </c>
      <c r="DR72" s="4" t="e">
        <f t="shared" ref="DR72:DR82" ca="1" si="603">DQ72+DR71</f>
        <v>#REF!</v>
      </c>
      <c r="DS72" s="692" t="str">
        <f ca="1">IFERROR(VLOOKUP(INDEX(DO71:DO82,DR72),WSM,2,FALSE),"----")</f>
        <v>----</v>
      </c>
      <c r="DT72" s="691" t="e">
        <f t="shared" ref="DT72:DT82" ca="1" si="604">DT71-1</f>
        <v>#N/A</v>
      </c>
      <c r="DU72" s="4" t="e">
        <f ca="1">IF(AND(INDEX(STM,DT72,4)&gt;=$AB77,INDEX(STM,DT72,5)&gt;=$S71,INDEX(STM,DT72,6)&gt;=$R71),1,0)</f>
        <v>#N/A</v>
      </c>
      <c r="DV72" s="4" t="e">
        <f t="shared" ref="DV72" ca="1" si="605">MATCH(1,OFFSET(DU71:DU82,DW71,0,COUNT(DU71:DU82)-DW71),0)</f>
        <v>#REF!</v>
      </c>
      <c r="DW72" s="4" t="e">
        <f t="shared" ref="DW72:DW82" ca="1" si="606">DV72+DW71</f>
        <v>#REF!</v>
      </c>
      <c r="DX72" s="692" t="str">
        <f ca="1">IFERROR(VLOOKUP(INDEX(DT71:DT82,DW72),STM,2,FALSE),"----")</f>
        <v>----</v>
      </c>
      <c r="DY72" s="691" t="e">
        <f t="shared" ref="DY72:DY82" ca="1" si="607">DY71-1</f>
        <v>#N/A</v>
      </c>
      <c r="DZ72" s="4" t="e">
        <f ca="1">IF(AND(INDEX(ELM,DY72,4)&gt;=$AB77,INDEX(ELM,DY72,5)&gt;=$S71,INDEX(ELM,DY72,6)&gt;=$R71),1,0)</f>
        <v>#N/A</v>
      </c>
      <c r="EA72" s="4" t="e">
        <f t="shared" ref="EA72" ca="1" si="608">MATCH(1,OFFSET(DZ71:DZ82,EB71,0,COUNT(DZ71:DZ82)-EB71),0)</f>
        <v>#REF!</v>
      </c>
      <c r="EB72" s="4" t="e">
        <f t="shared" ref="EB72:EB82" ca="1" si="609">EA72+EB71</f>
        <v>#REF!</v>
      </c>
      <c r="EC72" s="692" t="str">
        <f ca="1">IFERROR(VLOOKUP(INDEX(DY71:DY82,EB72),ELM,2,FALSE),"----")</f>
        <v>----</v>
      </c>
      <c r="ED72" s="691" t="e">
        <f t="shared" ref="ED72:ED82" ca="1" si="610">ED71-1</f>
        <v>#N/A</v>
      </c>
      <c r="EE72" s="4" t="e">
        <f ca="1">IF(LEFT($J71,7)="Clad Wo",IF(AND(INDEX(SPPWS,ED72,4)&gt;=$AB77,INDEX(SPPWS,ED72,5)&gt;=$S71,INDEX(SPPWS,ED72,6)&gt;=$R71),1,0),IF(AND(INDEX(SPM,ED72,4)&gt;=$AB77,INDEX(SPM,ED72,5)&gt;=$S71,INDEX(SPM,ED72,6)&gt;=$R71),1,0))</f>
        <v>#N/A</v>
      </c>
      <c r="EF72" s="4" t="e">
        <f t="shared" ref="EF72" ca="1" si="611">MATCH(1,OFFSET(EE71:EE82,EG71,0,COUNT(EE71:EE82)-EG71),0)</f>
        <v>#REF!</v>
      </c>
      <c r="EG72" s="4" t="e">
        <f t="shared" ref="EG72:EG82" ca="1" si="612">EG71+EF72</f>
        <v>#REF!</v>
      </c>
      <c r="EH72" s="692" t="str">
        <f ca="1">IF(LEFT($J71,7)="Clad Wo",IFERROR(VLOOKUP(INDEX(ED71:ED82,EG72),SPPWS,2,FALSE),"----"),IFERROR(VLOOKUP(INDEX(ED71:ED82,EG72),SPM,2,FALSE),"----"))</f>
        <v>----</v>
      </c>
    </row>
    <row r="73" spans="1:138" ht="15" customHeight="1" x14ac:dyDescent="0.25">
      <c r="A73" s="1085"/>
      <c r="B73" s="925"/>
      <c r="C73" s="926"/>
      <c r="D73" s="927"/>
      <c r="E73" s="995"/>
      <c r="F73" s="996"/>
      <c r="G73" s="997"/>
      <c r="H73" s="1062"/>
      <c r="I73" s="990"/>
      <c r="J73" s="908"/>
      <c r="K73" s="909"/>
      <c r="L73" s="1002"/>
      <c r="M73" s="923"/>
      <c r="N73" s="1042"/>
      <c r="O73" s="1018"/>
      <c r="P73" s="987"/>
      <c r="Q73" s="1015"/>
      <c r="R73" s="1012"/>
      <c r="S73" s="1006"/>
      <c r="T73" s="1007"/>
      <c r="U73" s="878"/>
      <c r="V73" s="881"/>
      <c r="W73" s="884"/>
      <c r="X73" s="884"/>
      <c r="Y73" s="887"/>
      <c r="Z73" s="887"/>
      <c r="AA73" s="887"/>
      <c r="AB73" s="1081"/>
      <c r="AC73" s="1078"/>
      <c r="AD73" s="1070" t="s">
        <v>333</v>
      </c>
      <c r="AE73" s="1071"/>
      <c r="AF73" s="1052"/>
      <c r="AG73" s="1053"/>
      <c r="AH73" s="1053"/>
      <c r="AI73" s="1066"/>
      <c r="AJ73" s="1067"/>
      <c r="AK73" s="154" t="str">
        <f t="shared" ca="1" si="62"/>
        <v/>
      </c>
      <c r="AL73" s="1039"/>
      <c r="AM73" s="344" t="str">
        <f ca="1">IFERROR(Q71/12*ROUND(VLOOKUP(AF73,OFFSET(WSM,0,1),6,FALSE),2),"")</f>
        <v/>
      </c>
      <c r="AN73" t="str">
        <f t="shared" ca="1" si="5"/>
        <v/>
      </c>
      <c r="AP73" s="122" t="str">
        <f t="shared" ref="AP73" si="613">_xlfn.CONCAT(AR73,AS76)</f>
        <v/>
      </c>
      <c r="AQ73" s="683" t="str">
        <f t="shared" si="65"/>
        <v/>
      </c>
      <c r="AR73" s="4" t="str">
        <f t="shared" si="3"/>
        <v/>
      </c>
      <c r="AS73" s="4"/>
      <c r="AT73" s="697" t="str">
        <f>AL71</f>
        <v/>
      </c>
      <c r="AU73" s="694" t="e">
        <f t="shared" ca="1" si="91"/>
        <v>#REF!</v>
      </c>
      <c r="AV73" s="686" t="str">
        <f ca="1">IFERROR(VLOOKUP(AU73,INDIRECT(AQ71),2,FALSE),"----")</f>
        <v>----</v>
      </c>
      <c r="AW73" s="694" t="e">
        <f t="shared" ca="1" si="566"/>
        <v>#REF!</v>
      </c>
      <c r="AX73" s="686" t="str">
        <f ca="1">IFERROR(VLOOKUP(AW73,INDIRECT(AQ72),2,FALSE),"----")</f>
        <v>----</v>
      </c>
      <c r="AY73" s="694" t="e">
        <f t="shared" ca="1" si="567"/>
        <v>#REF!</v>
      </c>
      <c r="AZ73" s="686" t="str">
        <f ca="1">IFERROR(VLOOKUP(AY73,INDIRECT(AQ73),2,FALSE),"----")</f>
        <v>----</v>
      </c>
      <c r="BA73" s="694" t="e">
        <f t="shared" ca="1" si="568"/>
        <v>#REF!</v>
      </c>
      <c r="BB73" s="686" t="str">
        <f ca="1">IFERROR(VLOOKUP(BA73,INDIRECT(AQ74),2,FALSE),"----")</f>
        <v>----</v>
      </c>
      <c r="BC73" s="694" t="e">
        <f t="shared" ca="1" si="569"/>
        <v>#REF!</v>
      </c>
      <c r="BD73" s="686" t="str">
        <f ca="1">IFERROR(VLOOKUP(BC73,INDIRECT(AQ75),2,FALSE),"----")</f>
        <v>----</v>
      </c>
      <c r="BE73" s="694" t="e">
        <f t="shared" ca="1" si="96"/>
        <v>#REF!</v>
      </c>
      <c r="BF73" s="686" t="str">
        <f ca="1">IFERROR(VLOOKUP(BE73,INDIRECT(AQ76),2,FALSE),"----")</f>
        <v>----</v>
      </c>
      <c r="BG73" s="694" t="e">
        <f t="shared" ca="1" si="97"/>
        <v>#REF!</v>
      </c>
      <c r="BH73" s="686" t="str">
        <f ca="1">IFERROR(VLOOKUP(BG73,INDIRECT(AQ77),2,FALSE),"----")</f>
        <v>----</v>
      </c>
      <c r="BI73" s="694" t="e">
        <f t="shared" ca="1" si="572"/>
        <v>#REF!</v>
      </c>
      <c r="BJ73" s="686" t="str">
        <f ca="1">IFERROR(VLOOKUP(BI73,INDIRECT(AQ78),2,FALSE),"----")</f>
        <v>----</v>
      </c>
      <c r="BK73" s="694" t="e">
        <f t="shared" ca="1" si="573"/>
        <v>#REF!</v>
      </c>
      <c r="BL73" s="686" t="str">
        <f ca="1">IFERROR(VLOOKUP(BK73,INDIRECT(AQ79),2,FALSE),"----")</f>
        <v>----</v>
      </c>
      <c r="BM73" s="694" t="e">
        <f t="shared" ca="1" si="574"/>
        <v>#REF!</v>
      </c>
      <c r="BN73" s="686" t="str">
        <f ca="1">IFERROR(VLOOKUP(BM73,INDIRECT(AQ80),2,FALSE),"----")</f>
        <v>----</v>
      </c>
      <c r="BO73" s="694" t="e">
        <f t="shared" ca="1" si="575"/>
        <v>#REF!</v>
      </c>
      <c r="BP73" s="686" t="str">
        <f ca="1">IFERROR(VLOOKUP(BO73,INDIRECT(AQ81),2,FALSE),"----")</f>
        <v>----</v>
      </c>
      <c r="BQ73" s="694" t="e">
        <f t="shared" ca="1" si="102"/>
        <v>#REF!</v>
      </c>
      <c r="BR73" s="686" t="str">
        <f ca="1">IFERROR(VLOOKUP(BQ73,INDIRECT(AQ82),2,FALSE),"----")</f>
        <v>----</v>
      </c>
      <c r="BS73" s="695">
        <f>IF(AI73="",1,IF(COUNTIF(AZ71:AZ82,AI73)=0,2,1))</f>
        <v>1</v>
      </c>
      <c r="BT73" s="696">
        <f>IF(AF73="",1,IF(AZ71=".",2,1))</f>
        <v>1</v>
      </c>
      <c r="BU73" s="706"/>
      <c r="BV73" s="155">
        <f ca="1">IF(COUNTIF(CO71:CO82,AF73)=0,IF(AF73&lt;&gt;"",0,1),1)</f>
        <v>1</v>
      </c>
      <c r="BW73" s="157">
        <f ca="1">IFERROR(MATCH(AF73,CO71:CO82,0),1)</f>
        <v>1</v>
      </c>
      <c r="BX73" s="769"/>
      <c r="BY73" s="769"/>
      <c r="BZ73" s="1110"/>
      <c r="CA73" s="691" t="e">
        <f t="shared" ca="1" si="577"/>
        <v>#REF!</v>
      </c>
      <c r="CB73" s="4" t="e" cm="1">
        <f t="array" aca="1" ref="CB73" ca="1">IF(AND(INDEX(INDIRECT(BY71),CA73,4)&gt;=$AB71,INDEX(INDIRECT(BY71),CA73,5)&gt;=$S71,INDEX(INDIRECT(BY71),CA73,6)&gt;=$R71),1,0)</f>
        <v>#REF!</v>
      </c>
      <c r="CC73" s="4" t="e">
        <f t="shared" ref="CC73" ca="1" si="614">MATCH(1,OFFSET(CB71:CB82,CD72,0,COUNT(CB71:CB82)-CD72),0)</f>
        <v>#REF!</v>
      </c>
      <c r="CD73" s="4" t="e">
        <f t="shared" ca="1" si="579"/>
        <v>#REF!</v>
      </c>
      <c r="CE73" s="692" t="str" cm="1">
        <f t="array" aca="1" ref="CE73" ca="1">IFERROR(VLOOKUP(INDEX(CA71:CA82,CD73),INDIRECT(BY71),2,FALSE),"----")</f>
        <v>----</v>
      </c>
      <c r="CF73" s="691" t="e">
        <f t="shared" ca="1" si="580"/>
        <v>#N/A</v>
      </c>
      <c r="CG73" s="4" t="e">
        <f ca="1">IF(AND(INDEX(SSM,CF73,4)&gt;=$AB71,INDEX(SSM,CF73,5)&gt;=$S71,INDEX(SSM,CF73,6)&gt;=$R71),1,0)</f>
        <v>#N/A</v>
      </c>
      <c r="CH73" s="4" t="e">
        <f t="shared" ref="CH73" ca="1" si="615">MATCH(1,OFFSET(CG71:CG82,CI72,0,COUNT(CG71:CG82)-CI72),0)</f>
        <v>#REF!</v>
      </c>
      <c r="CI73" s="4" t="e">
        <f t="shared" ca="1" si="582"/>
        <v>#REF!</v>
      </c>
      <c r="CJ73" s="692" t="str">
        <f ca="1">IFERROR(IF(AD72="Nested Steel Stud (wood infill)",VLOOKUP(INDEX(CF71:CF82,CI73),SSW,2,FALSE),VLOOKUP(INDEX(CF71:CF82,CI73),SSM,2,FALSE)),"----")</f>
        <v>----</v>
      </c>
      <c r="CK73" s="691" t="e">
        <f t="shared" ca="1" si="583"/>
        <v>#N/A</v>
      </c>
      <c r="CL73" s="4" t="e">
        <f ca="1">IF(AND(INDEX(WSM,CK73,4)&gt;=$AB71,INDEX(WSM,CK73,5)&gt;=$S71,INDEX(WSM,CK73,6)&gt;=$R71),1,0)</f>
        <v>#N/A</v>
      </c>
      <c r="CM73" s="4" t="e">
        <f t="shared" ref="CM73" ca="1" si="616">MATCH(1,OFFSET(CL71:CL82,CN72,0,COUNT(CL71:CL82)-CN72),0)</f>
        <v>#REF!</v>
      </c>
      <c r="CN73" s="4" t="e">
        <f t="shared" ca="1" si="585"/>
        <v>#REF!</v>
      </c>
      <c r="CO73" s="692" t="str">
        <f ca="1">IFERROR(VLOOKUP(INDEX(CK71:CK82,CN73),WSM,2,FALSE),"----")</f>
        <v>----</v>
      </c>
      <c r="CP73" s="691" t="e">
        <f t="shared" ca="1" si="586"/>
        <v>#N/A</v>
      </c>
      <c r="CQ73" s="4" t="e">
        <f ca="1">IF(AND(INDEX(STM,CP73,4)&gt;=$AB71,INDEX(STM,CP73,5)&gt;=$S71,INDEX(STM,CP73,6)&gt;=$R71),1,0)</f>
        <v>#N/A</v>
      </c>
      <c r="CR73" s="4" t="e">
        <f t="shared" ref="CR73" ca="1" si="617">MATCH(1,OFFSET(CQ71:CQ82,CS72,0,COUNT(CQ71:CQ82)-CS72),0)</f>
        <v>#REF!</v>
      </c>
      <c r="CS73" s="4" t="e">
        <f t="shared" ca="1" si="588"/>
        <v>#REF!</v>
      </c>
      <c r="CT73" s="692" t="str">
        <f ca="1">IFERROR(VLOOKUP(INDEX(CP71:CP82,CS73),STM,2,FALSE),"----")</f>
        <v>----</v>
      </c>
      <c r="CU73" s="691" t="e">
        <f t="shared" ca="1" si="589"/>
        <v>#N/A</v>
      </c>
      <c r="CV73" s="4" t="e">
        <f ca="1">IF(AND(INDEX(ELM,CU73,4)&gt;=$AB71,INDEX(ELM,CU73,5)&gt;=$S71,INDEX(ELM,CU73,6)&gt;=$R71),1,0)</f>
        <v>#N/A</v>
      </c>
      <c r="CW73" s="4" t="e">
        <f t="shared" ref="CW73" ca="1" si="618">MATCH(1,OFFSET(CV71:CV82,CX72,0,COUNT(CV71:CV82)-CX72),0)</f>
        <v>#REF!</v>
      </c>
      <c r="CX73" s="4" t="e">
        <f t="shared" ca="1" si="591"/>
        <v>#REF!</v>
      </c>
      <c r="CY73" s="692" t="str">
        <f ca="1">IFERROR(VLOOKUP(INDEX(CU71:CU82,CX73),ELM,2,FALSE),"----")</f>
        <v>----</v>
      </c>
      <c r="CZ73" s="691" t="e">
        <f t="shared" ca="1" si="592"/>
        <v>#N/A</v>
      </c>
      <c r="DA73" s="4" t="e">
        <f ca="1">IF(LEFT($J71,7)="Clad Wo",IF(AND(INDEX(SPPWS,CZ73,4)&gt;=$AB71,INDEX(SPPWS,CZ73,5)&gt;=$S71,INDEX(SPPWS,CZ73,6)&gt;=$R71),1,0),IF(AND(INDEX(SPM,CZ73,4)&gt;=$AB71,INDEX(SPM,CZ73,5)&gt;=$S71,INDEX(SPM,CZ73,6)&gt;=$R71),1,0))</f>
        <v>#N/A</v>
      </c>
      <c r="DB73" s="4" t="e">
        <f t="shared" ref="DB73" ca="1" si="619">MATCH(1,OFFSET(DA71:DA82,DC72,0,COUNT(DA71:DA82)-DC72),0)</f>
        <v>#REF!</v>
      </c>
      <c r="DC73" s="4" t="e">
        <f t="shared" ca="1" si="594"/>
        <v>#REF!</v>
      </c>
      <c r="DD73" s="693" t="str">
        <f ca="1">IF(LEFT($J71,7)="Clad Wo",IFERROR(VLOOKUP(INDEX(CZ71:CZ82,DC73),SPPWS,2,FALSE),"----"),IFERROR(VLOOKUP(INDEX(CZ71:CZ82,DC73),SPM,2,FALSE),"----"))</f>
        <v>----</v>
      </c>
      <c r="DE73" s="691" t="e">
        <f t="shared" ca="1" si="595"/>
        <v>#REF!</v>
      </c>
      <c r="DF73" s="4" t="e" cm="1">
        <f t="array" aca="1" ref="DF73" ca="1">IF(AND(INDEX(INDIRECT(BY71),DE73,4)&gt;=$AB77,INDEX(INDIRECT(BY71),DE73,5)&gt;=$S71,INDEX(INDIRECT(BY71),DE73,6)&gt;=$R71),1,0)</f>
        <v>#REF!</v>
      </c>
      <c r="DG73" s="4" t="e">
        <f t="shared" ref="DG73" ca="1" si="620">MATCH(1,OFFSET(DF71:DF82,DH72,0,COUNT(DF71:DF82)-DH72),0)</f>
        <v>#REF!</v>
      </c>
      <c r="DH73" s="4" t="e">
        <f t="shared" ca="1" si="597"/>
        <v>#REF!</v>
      </c>
      <c r="DI73" s="692" t="str" cm="1">
        <f t="array" aca="1" ref="DI73" ca="1">IFERROR(VLOOKUP(INDEX(DE71:DE82,DH73),INDIRECT(BY71),2,FALSE),"----")</f>
        <v>----</v>
      </c>
      <c r="DJ73" s="691" t="e">
        <f t="shared" ca="1" si="598"/>
        <v>#N/A</v>
      </c>
      <c r="DK73" s="4" t="e">
        <f ca="1">IF(AND(INDEX(SSM,DJ73,4)&gt;=$AB77,INDEX(SSM,DJ73,5)&gt;=$S71,INDEX(SSM,DJ73,6)&gt;=$R71),1,0)</f>
        <v>#N/A</v>
      </c>
      <c r="DL73" s="4" t="e">
        <f t="shared" ref="DL73" ca="1" si="621">MATCH(1,OFFSET(DK71:DK82,DM72,0,COUNT(DK71:DK82)-DM72),0)</f>
        <v>#REF!</v>
      </c>
      <c r="DM73" s="4" t="e">
        <f t="shared" ca="1" si="600"/>
        <v>#REF!</v>
      </c>
      <c r="DN73" s="692" t="str">
        <f ca="1">IFERROR(IF(AD78="Nested Steel Stud (wood infill)",VLOOKUP(INDEX(DJ71:DJ82,DM73),SSW,2,FALSE),VLOOKUP(INDEX(DJ71:DJ82,DM73),SSM,2,FALSE)),"----")</f>
        <v>----</v>
      </c>
      <c r="DO73" s="691" t="e">
        <f t="shared" ca="1" si="601"/>
        <v>#N/A</v>
      </c>
      <c r="DP73" s="4" t="e">
        <f ca="1">IF(AND(INDEX(WSM,DO73,4)&gt;=$AB77,INDEX(WSM,DO73,5)&gt;=$S71,INDEX(WSM,DO73,6)&gt;=$R71),1,0)</f>
        <v>#N/A</v>
      </c>
      <c r="DQ73" s="4" t="e">
        <f t="shared" ref="DQ73" ca="1" si="622">MATCH(1,OFFSET(DP71:DP82,DR72,0,COUNT(DP71:DP82)-DR72),0)</f>
        <v>#REF!</v>
      </c>
      <c r="DR73" s="4" t="e">
        <f t="shared" ca="1" si="603"/>
        <v>#REF!</v>
      </c>
      <c r="DS73" s="692" t="str">
        <f ca="1">IFERROR(VLOOKUP(INDEX(DO71:DO82,DR73),WSM,2,FALSE),"----")</f>
        <v>----</v>
      </c>
      <c r="DT73" s="691" t="e">
        <f t="shared" ca="1" si="604"/>
        <v>#N/A</v>
      </c>
      <c r="DU73" s="4" t="e">
        <f ca="1">IF(AND(INDEX(STM,DT73,4)&gt;=$AB77,INDEX(STM,DT73,5)&gt;=$S71,INDEX(STM,DT73,6)&gt;=$R71),1,0)</f>
        <v>#N/A</v>
      </c>
      <c r="DV73" s="4" t="e">
        <f t="shared" ref="DV73" ca="1" si="623">MATCH(1,OFFSET(DU71:DU82,DW72,0,COUNT(DU71:DU82)-DW72),0)</f>
        <v>#REF!</v>
      </c>
      <c r="DW73" s="4" t="e">
        <f t="shared" ca="1" si="606"/>
        <v>#REF!</v>
      </c>
      <c r="DX73" s="692" t="str">
        <f ca="1">IFERROR(VLOOKUP(INDEX(DT71:DT82,DW73),STM,2,FALSE),"----")</f>
        <v>----</v>
      </c>
      <c r="DY73" s="691" t="e">
        <f t="shared" ca="1" si="607"/>
        <v>#N/A</v>
      </c>
      <c r="DZ73" s="4" t="e">
        <f ca="1">IF(AND(INDEX(ELM,DY73,4)&gt;=$AB77,INDEX(ELM,DY73,5)&gt;=$S71,INDEX(ELM,DY73,6)&gt;=$R71),1,0)</f>
        <v>#N/A</v>
      </c>
      <c r="EA73" s="4" t="e">
        <f t="shared" ref="EA73" ca="1" si="624">MATCH(1,OFFSET(DZ71:DZ82,EB72,0,COUNT(DZ71:DZ82)-EB72),0)</f>
        <v>#REF!</v>
      </c>
      <c r="EB73" s="4" t="e">
        <f t="shared" ca="1" si="609"/>
        <v>#REF!</v>
      </c>
      <c r="EC73" s="692" t="str">
        <f ca="1">IFERROR(VLOOKUP(INDEX(DY71:DY82,EB73),ELM,2,FALSE),"----")</f>
        <v>----</v>
      </c>
      <c r="ED73" s="691" t="e">
        <f t="shared" ca="1" si="610"/>
        <v>#N/A</v>
      </c>
      <c r="EE73" s="4" t="e">
        <f ca="1">IF(LEFT($J71,7)="Clad Wo",IF(AND(INDEX(SPPWS,ED73,4)&gt;=$AB77,INDEX(SPPWS,ED73,5)&gt;=$S71,INDEX(SPPWS,ED73,6)&gt;=$R71),1,0),IF(AND(INDEX(SPM,ED73,4)&gt;=$AB77,INDEX(SPM,ED73,5)&gt;=$S71,INDEX(SPM,ED73,6)&gt;=$R71),1,0))</f>
        <v>#N/A</v>
      </c>
      <c r="EF73" s="4" t="e">
        <f t="shared" ref="EF73" ca="1" si="625">MATCH(1,OFFSET(EE71:EE82,EG72,0,COUNT(EE71:EE82)-EG72),0)</f>
        <v>#REF!</v>
      </c>
      <c r="EG73" s="4" t="e">
        <f t="shared" ca="1" si="612"/>
        <v>#REF!</v>
      </c>
      <c r="EH73" s="692" t="str">
        <f ca="1">IF(LEFT($J71,7)="Clad Wo",IFERROR(VLOOKUP(INDEX(ED71:ED82,EG73),SPPWS,2,FALSE),"----"),IFERROR(VLOOKUP(INDEX(ED71:ED82,EG73),SPM,2,FALSE),"----"))</f>
        <v>----</v>
      </c>
    </row>
    <row r="74" spans="1:138" ht="15" customHeight="1" x14ac:dyDescent="0.25">
      <c r="A74" s="1085"/>
      <c r="B74" s="925"/>
      <c r="C74" s="926"/>
      <c r="D74" s="927"/>
      <c r="E74" s="995"/>
      <c r="F74" s="996"/>
      <c r="G74" s="997"/>
      <c r="H74" s="1062"/>
      <c r="I74" s="990"/>
      <c r="J74" s="908"/>
      <c r="K74" s="909"/>
      <c r="L74" s="1002"/>
      <c r="M74" s="923"/>
      <c r="N74" s="1042"/>
      <c r="O74" s="1018"/>
      <c r="P74" s="987"/>
      <c r="Q74" s="1015"/>
      <c r="R74" s="1012"/>
      <c r="S74" s="1006"/>
      <c r="T74" s="1007"/>
      <c r="U74" s="878"/>
      <c r="V74" s="881"/>
      <c r="W74" s="884"/>
      <c r="X74" s="884"/>
      <c r="Y74" s="887"/>
      <c r="Z74" s="887"/>
      <c r="AA74" s="887"/>
      <c r="AB74" s="1081"/>
      <c r="AC74" s="1078"/>
      <c r="AD74" s="1070" t="s">
        <v>37</v>
      </c>
      <c r="AE74" s="1071"/>
      <c r="AF74" s="1052"/>
      <c r="AG74" s="1053"/>
      <c r="AH74" s="1053"/>
      <c r="AI74" s="1066"/>
      <c r="AJ74" s="1067"/>
      <c r="AK74" s="156" t="str">
        <f t="shared" ca="1" si="62"/>
        <v/>
      </c>
      <c r="AL74" s="1039"/>
      <c r="AM74" s="343" t="str">
        <f ca="1">IFERROR(Q71/12*ROUND(VLOOKUP(AF74,OFFSET(STM,0,1),6,FALSE),2),"")</f>
        <v/>
      </c>
      <c r="AN74" t="str">
        <f t="shared" ca="1" si="5"/>
        <v/>
      </c>
      <c r="AP74" s="122" t="str">
        <f t="shared" ref="AP74" si="626">_xlfn.CONCAT(AR74,AS76)</f>
        <v/>
      </c>
      <c r="AQ74" s="683" t="str">
        <f t="shared" si="65"/>
        <v/>
      </c>
      <c r="AR74" s="4" t="str">
        <f t="shared" si="3"/>
        <v/>
      </c>
      <c r="AS74" s="4"/>
      <c r="AT74" s="697" t="str">
        <f>AL71</f>
        <v/>
      </c>
      <c r="AU74" s="694" t="e">
        <f t="shared" ca="1" si="91"/>
        <v>#REF!</v>
      </c>
      <c r="AV74" s="686" t="str">
        <f ca="1">IFERROR(VLOOKUP(AU74,INDIRECT(AQ71),2,FALSE),"----")</f>
        <v>----</v>
      </c>
      <c r="AW74" s="694" t="e">
        <f t="shared" ca="1" si="92"/>
        <v>#REF!</v>
      </c>
      <c r="AX74" s="686" t="str">
        <f ca="1">IFERROR(VLOOKUP(AW74,INDIRECT(AQ72),2,FALSE),"----")</f>
        <v>----</v>
      </c>
      <c r="AY74" s="694" t="e">
        <f t="shared" ref="AY74" ca="1" si="627">AY73-1</f>
        <v>#REF!</v>
      </c>
      <c r="AZ74" s="686" t="str">
        <f ca="1">IFERROR(VLOOKUP(AY74,INDIRECT(AQ73),2,FALSE),"----")</f>
        <v>----</v>
      </c>
      <c r="BA74" s="694" t="e">
        <f t="shared" ref="BA74" ca="1" si="628">BA73-1</f>
        <v>#REF!</v>
      </c>
      <c r="BB74" s="686" t="str">
        <f ca="1">IFERROR(VLOOKUP(BA74,INDIRECT(AQ74),2,FALSE),"----")</f>
        <v>----</v>
      </c>
      <c r="BC74" s="694" t="e">
        <f t="shared" ca="1" si="95"/>
        <v>#REF!</v>
      </c>
      <c r="BD74" s="686" t="str">
        <f ca="1">IFERROR(VLOOKUP(BC74,INDIRECT(AQ75),2,FALSE),"----")</f>
        <v>----</v>
      </c>
      <c r="BE74" s="694" t="e">
        <f t="shared" ca="1" si="96"/>
        <v>#REF!</v>
      </c>
      <c r="BF74" s="686" t="str">
        <f ca="1">IFERROR(VLOOKUP(BE74,INDIRECT(AQ76),2,FALSE),"----")</f>
        <v>----</v>
      </c>
      <c r="BG74" s="694" t="e">
        <f t="shared" ca="1" si="97"/>
        <v>#REF!</v>
      </c>
      <c r="BH74" s="686" t="str">
        <f ca="1">IFERROR(VLOOKUP(BG74,INDIRECT(AQ77),2,FALSE),"----")</f>
        <v>----</v>
      </c>
      <c r="BI74" s="694" t="e">
        <f t="shared" ca="1" si="98"/>
        <v>#REF!</v>
      </c>
      <c r="BJ74" s="686" t="str">
        <f ca="1">IFERROR(VLOOKUP(BI74,INDIRECT(AQ78),2,FALSE),"----")</f>
        <v>----</v>
      </c>
      <c r="BK74" s="694" t="e">
        <f t="shared" ca="1" si="99"/>
        <v>#REF!</v>
      </c>
      <c r="BL74" s="686" t="str">
        <f ca="1">IFERROR(VLOOKUP(BK74,INDIRECT(AQ79),2,FALSE),"----")</f>
        <v>----</v>
      </c>
      <c r="BM74" s="694" t="e">
        <f t="shared" ca="1" si="100"/>
        <v>#REF!</v>
      </c>
      <c r="BN74" s="686" t="str">
        <f ca="1">IFERROR(VLOOKUP(BM74,INDIRECT(AQ80),2,FALSE),"----")</f>
        <v>----</v>
      </c>
      <c r="BO74" s="694" t="e">
        <f t="shared" ca="1" si="101"/>
        <v>#REF!</v>
      </c>
      <c r="BP74" s="686" t="str">
        <f ca="1">IFERROR(VLOOKUP(BO74,INDIRECT(AQ81),2,FALSE),"----")</f>
        <v>----</v>
      </c>
      <c r="BQ74" s="694" t="e">
        <f t="shared" ca="1" si="102"/>
        <v>#REF!</v>
      </c>
      <c r="BR74" s="686" t="str">
        <f ca="1">IFERROR(VLOOKUP(BQ74,INDIRECT(AQ82),2,FALSE),"----")</f>
        <v>----</v>
      </c>
      <c r="BS74" s="695">
        <f>IF(AI74="",1,IF(COUNTIF(BB71:BB82,AI74)=0,2,1))</f>
        <v>1</v>
      </c>
      <c r="BT74" s="696">
        <f>IF(AF74="",1,IF(BB71=".",2,1))</f>
        <v>1</v>
      </c>
      <c r="BU74" s="706"/>
      <c r="BV74" s="155">
        <f ca="1">IF(COUNTIF(CT71:CT82,AF74)=0,IF(AF74&lt;&gt;"",0,1),1)</f>
        <v>1</v>
      </c>
      <c r="BW74" s="157">
        <f ca="1">IFERROR(MATCH(AF74,CT71:CT82,0),1)</f>
        <v>1</v>
      </c>
      <c r="BX74" s="769"/>
      <c r="BY74" s="769"/>
      <c r="BZ74" s="1110"/>
      <c r="CA74" s="691" t="e">
        <f t="shared" ca="1" si="577"/>
        <v>#REF!</v>
      </c>
      <c r="CB74" s="4" t="e" cm="1">
        <f t="array" aca="1" ref="CB74" ca="1">IF(AND(INDEX(INDIRECT(BY71),CA74,4)&gt;=$AB71,INDEX(INDIRECT(BY71),CA74,5)&gt;=$S71,INDEX(INDIRECT(BY71),CA74,6)&gt;=$R71),1,0)</f>
        <v>#REF!</v>
      </c>
      <c r="CC74" s="4" t="e">
        <f t="shared" ref="CC74" ca="1" si="629">MATCH(1,OFFSET(CB71:CB82,CD73,0,COUNT(CB71:CB82)-CD73),0)</f>
        <v>#REF!</v>
      </c>
      <c r="CD74" s="4" t="e">
        <f t="shared" ca="1" si="579"/>
        <v>#REF!</v>
      </c>
      <c r="CE74" s="692" t="str" cm="1">
        <f t="array" aca="1" ref="CE74" ca="1">IFERROR(VLOOKUP(INDEX(CA71:CA82,CD74),INDIRECT(BY71),2,FALSE),"----")</f>
        <v>----</v>
      </c>
      <c r="CF74" s="691" t="e">
        <f t="shared" ca="1" si="580"/>
        <v>#N/A</v>
      </c>
      <c r="CG74" s="4" t="e">
        <f ca="1">IF(AND(INDEX(SSM,CF74,4)&gt;=$AB71,INDEX(SSM,CF74,5)&gt;=$S71,INDEX(SSM,CF74,6)&gt;=$R71),1,0)</f>
        <v>#N/A</v>
      </c>
      <c r="CH74" s="4" t="e">
        <f t="shared" ref="CH74" ca="1" si="630">MATCH(1,OFFSET(CG71:CG82,CI73,0,COUNT(CG71:CG82)-CI73),0)</f>
        <v>#REF!</v>
      </c>
      <c r="CI74" s="4" t="e">
        <f t="shared" ca="1" si="582"/>
        <v>#REF!</v>
      </c>
      <c r="CJ74" s="692" t="str">
        <f ca="1">IFERROR(IF(AD72="Nested Steel Stud (wood infill)",VLOOKUP(INDEX(CF71:CF82,CI74),SSW,2,FALSE),VLOOKUP(INDEX(CF71:CF82,CI74),SSM,2,FALSE)),"----")</f>
        <v>----</v>
      </c>
      <c r="CK74" s="691" t="e">
        <f t="shared" ca="1" si="583"/>
        <v>#N/A</v>
      </c>
      <c r="CL74" s="4" t="e">
        <f ca="1">IF(AND(INDEX(WSM,CK74,4)&gt;=$AB71,INDEX(WSM,CK74,5)&gt;=$S71,INDEX(WSM,CK74,6)&gt;=$R71),1,0)</f>
        <v>#N/A</v>
      </c>
      <c r="CM74" s="4" t="e">
        <f t="shared" ref="CM74" ca="1" si="631">MATCH(1,OFFSET(CL71:CL82,CN73,0,COUNT(CL71:CL82)-CN73),0)</f>
        <v>#REF!</v>
      </c>
      <c r="CN74" s="4" t="e">
        <f t="shared" ca="1" si="585"/>
        <v>#REF!</v>
      </c>
      <c r="CO74" s="692" t="str">
        <f ca="1">IFERROR(VLOOKUP(INDEX(CK71:CK82,CN74),WSM,2,FALSE),"----")</f>
        <v>----</v>
      </c>
      <c r="CP74" s="691" t="e">
        <f t="shared" ca="1" si="586"/>
        <v>#N/A</v>
      </c>
      <c r="CQ74" s="4" t="e">
        <f ca="1">IF(AND(INDEX(STM,CP74,4)&gt;=$AB71,INDEX(STM,CP74,5)&gt;=$S71,INDEX(STM,CP74,6)&gt;=$R71),1,0)</f>
        <v>#N/A</v>
      </c>
      <c r="CR74" s="4" t="e">
        <f t="shared" ref="CR74" ca="1" si="632">MATCH(1,OFFSET(CQ71:CQ82,CS73,0,COUNT(CQ71:CQ82)-CS73),0)</f>
        <v>#REF!</v>
      </c>
      <c r="CS74" s="4" t="e">
        <f t="shared" ca="1" si="588"/>
        <v>#REF!</v>
      </c>
      <c r="CT74" s="692" t="str">
        <f ca="1">IFERROR(VLOOKUP(INDEX(CP71:CP82,CS74),STM,2,FALSE),"----")</f>
        <v>----</v>
      </c>
      <c r="CU74" s="691" t="e">
        <f t="shared" ca="1" si="589"/>
        <v>#N/A</v>
      </c>
      <c r="CV74" s="4" t="e">
        <f ca="1">IF(AND(INDEX(ELM,CU74,4)&gt;=$AB71,INDEX(ELM,CU74,5)&gt;=$S71,INDEX(ELM,CU74,6)&gt;=$R71),1,0)</f>
        <v>#N/A</v>
      </c>
      <c r="CW74" s="4" t="e">
        <f t="shared" ref="CW74" ca="1" si="633">MATCH(1,OFFSET(CV71:CV82,CX73,0,COUNT(CV71:CV82)-CX73),0)</f>
        <v>#REF!</v>
      </c>
      <c r="CX74" s="4" t="e">
        <f t="shared" ca="1" si="591"/>
        <v>#REF!</v>
      </c>
      <c r="CY74" s="692" t="str">
        <f ca="1">IFERROR(VLOOKUP(INDEX(CU71:CU82,CX74),ELM,2,FALSE),"----")</f>
        <v>----</v>
      </c>
      <c r="CZ74" s="691" t="e">
        <f t="shared" ca="1" si="592"/>
        <v>#N/A</v>
      </c>
      <c r="DA74" s="4" t="e">
        <f ca="1">IF(LEFT($J71,7)="Clad Wo",IF(AND(INDEX(SPPWS,CZ74,4)&gt;=$AB71,INDEX(SPPWS,CZ74,5)&gt;=$S71,INDEX(SPPWS,CZ74,6)&gt;=$R71),1,0),IF(AND(INDEX(SPM,CZ74,4)&gt;=$AB71,INDEX(SPM,CZ74,5)&gt;=$S71,INDEX(SPM,CZ74,6)&gt;=$R71),1,0))</f>
        <v>#N/A</v>
      </c>
      <c r="DB74" s="4" t="e">
        <f t="shared" ref="DB74" ca="1" si="634">MATCH(1,OFFSET(DA71:DA82,DC73,0,COUNT(DA71:DA82)-DC73),0)</f>
        <v>#REF!</v>
      </c>
      <c r="DC74" s="4" t="e">
        <f t="shared" ca="1" si="594"/>
        <v>#REF!</v>
      </c>
      <c r="DD74" s="693" t="str">
        <f ca="1">IF(LEFT($J71,7)="Clad Wo",IFERROR(VLOOKUP(INDEX(CZ71:CZ82,DC74),SPPWS,2,FALSE),"----"),IFERROR(VLOOKUP(INDEX(CZ71:CZ82,DC74),SPM,2,FALSE),"----"))</f>
        <v>----</v>
      </c>
      <c r="DE74" s="691" t="e">
        <f t="shared" ca="1" si="595"/>
        <v>#REF!</v>
      </c>
      <c r="DF74" s="4" t="e" cm="1">
        <f t="array" aca="1" ref="DF74" ca="1">IF(AND(INDEX(INDIRECT(BY71),DE74,4)&gt;=$AB77,INDEX(INDIRECT(BY71),DE74,5)&gt;=$S71,INDEX(INDIRECT(BY71),DE74,6)&gt;=$R71),1,0)</f>
        <v>#REF!</v>
      </c>
      <c r="DG74" s="4" t="e">
        <f t="shared" ref="DG74" ca="1" si="635">MATCH(1,OFFSET(DF71:DF82,DH73,0,COUNT(DF71:DF82)-DH73),0)</f>
        <v>#REF!</v>
      </c>
      <c r="DH74" s="4" t="e">
        <f t="shared" ca="1" si="597"/>
        <v>#REF!</v>
      </c>
      <c r="DI74" s="692" t="str" cm="1">
        <f t="array" aca="1" ref="DI74" ca="1">IFERROR(VLOOKUP(INDEX(DE71:DE82,DH74),INDIRECT(BY71),2,FALSE),"----")</f>
        <v>----</v>
      </c>
      <c r="DJ74" s="691" t="e">
        <f t="shared" ca="1" si="598"/>
        <v>#N/A</v>
      </c>
      <c r="DK74" s="4" t="e">
        <f ca="1">IF(AND(INDEX(SSM,DJ74,4)&gt;=$AB77,INDEX(SSM,DJ74,5)&gt;=$S71,INDEX(SSM,DJ74,6)&gt;=$R71),1,0)</f>
        <v>#N/A</v>
      </c>
      <c r="DL74" s="4" t="e">
        <f t="shared" ref="DL74" ca="1" si="636">MATCH(1,OFFSET(DK71:DK82,DM73,0,COUNT(DK71:DK82)-DM73),0)</f>
        <v>#REF!</v>
      </c>
      <c r="DM74" s="4" t="e">
        <f t="shared" ca="1" si="600"/>
        <v>#REF!</v>
      </c>
      <c r="DN74" s="692" t="str">
        <f ca="1">IFERROR(IF(AD78="Nested Steel Stud (wood infill)",VLOOKUP(INDEX(DJ71:DJ82,DM74),SSW,2,FALSE),VLOOKUP(INDEX(DJ71:DJ82,DM74),SSM,2,FALSE)),"----")</f>
        <v>----</v>
      </c>
      <c r="DO74" s="691" t="e">
        <f t="shared" ca="1" si="601"/>
        <v>#N/A</v>
      </c>
      <c r="DP74" s="4" t="e">
        <f ca="1">IF(AND(INDEX(WSM,DO74,4)&gt;=$AB77,INDEX(WSM,DO74,5)&gt;=$S71,INDEX(WSM,DO74,6)&gt;=$R71),1,0)</f>
        <v>#N/A</v>
      </c>
      <c r="DQ74" s="4" t="e">
        <f t="shared" ref="DQ74" ca="1" si="637">MATCH(1,OFFSET(DP71:DP82,DR73,0,COUNT(DP71:DP82)-DR73),0)</f>
        <v>#REF!</v>
      </c>
      <c r="DR74" s="4" t="e">
        <f t="shared" ca="1" si="603"/>
        <v>#REF!</v>
      </c>
      <c r="DS74" s="692" t="str">
        <f ca="1">IFERROR(VLOOKUP(INDEX(DO71:DO82,DR74),WSM,2,FALSE),"----")</f>
        <v>----</v>
      </c>
      <c r="DT74" s="691" t="e">
        <f t="shared" ca="1" si="604"/>
        <v>#N/A</v>
      </c>
      <c r="DU74" s="4" t="e">
        <f ca="1">IF(AND(INDEX(STM,DT74,4)&gt;=$AB77,INDEX(STM,DT74,5)&gt;=$S71,INDEX(STM,DT74,6)&gt;=$R71),1,0)</f>
        <v>#N/A</v>
      </c>
      <c r="DV74" s="4" t="e">
        <f t="shared" ref="DV74" ca="1" si="638">MATCH(1,OFFSET(DU71:DU82,DW73,0,COUNT(DU71:DU82)-DW73),0)</f>
        <v>#REF!</v>
      </c>
      <c r="DW74" s="4" t="e">
        <f t="shared" ca="1" si="606"/>
        <v>#REF!</v>
      </c>
      <c r="DX74" s="692" t="str">
        <f ca="1">IFERROR(VLOOKUP(INDEX(DT71:DT82,DW74),STM,2,FALSE),"----")</f>
        <v>----</v>
      </c>
      <c r="DY74" s="691" t="e">
        <f t="shared" ca="1" si="607"/>
        <v>#N/A</v>
      </c>
      <c r="DZ74" s="4" t="e">
        <f ca="1">IF(AND(INDEX(ELM,DY74,4)&gt;=$AB77,INDEX(ELM,DY74,5)&gt;=$S71,INDEX(ELM,DY74,6)&gt;=$R71),1,0)</f>
        <v>#N/A</v>
      </c>
      <c r="EA74" s="4" t="e">
        <f t="shared" ref="EA74" ca="1" si="639">MATCH(1,OFFSET(DZ71:DZ82,EB73,0,COUNT(DZ71:DZ82)-EB73),0)</f>
        <v>#REF!</v>
      </c>
      <c r="EB74" s="4" t="e">
        <f t="shared" ca="1" si="609"/>
        <v>#REF!</v>
      </c>
      <c r="EC74" s="692" t="str">
        <f ca="1">IFERROR(VLOOKUP(INDEX(DY71:DY82,EB74),ELM,2,FALSE),"----")</f>
        <v>----</v>
      </c>
      <c r="ED74" s="691" t="e">
        <f t="shared" ca="1" si="610"/>
        <v>#N/A</v>
      </c>
      <c r="EE74" s="4" t="e">
        <f ca="1">IF(LEFT($J71,7)="Clad Wo",IF(AND(INDEX(SPPWS,ED74,4)&gt;=$AB77,INDEX(SPPWS,ED74,5)&gt;=$S71,INDEX(SPPWS,ED74,6)&gt;=$R71),1,0),IF(AND(INDEX(SPM,ED74,4)&gt;=$AB77,INDEX(SPM,ED74,5)&gt;=$S71,INDEX(SPM,ED74,6)&gt;=$R71),1,0))</f>
        <v>#N/A</v>
      </c>
      <c r="EF74" s="4" t="e">
        <f t="shared" ref="EF74" ca="1" si="640">MATCH(1,OFFSET(EE71:EE82,EG73,0,COUNT(EE71:EE82)-EG73),0)</f>
        <v>#REF!</v>
      </c>
      <c r="EG74" s="4" t="e">
        <f t="shared" ca="1" si="612"/>
        <v>#REF!</v>
      </c>
      <c r="EH74" s="692" t="str">
        <f ca="1">IF(LEFT($J71,7)="Clad Wo",IFERROR(VLOOKUP(INDEX(ED71:ED82,EG74),SPPWS,2,FALSE),"----"),IFERROR(VLOOKUP(INDEX(ED71:ED82,EG74),SPM,2,FALSE),"----"))</f>
        <v>----</v>
      </c>
    </row>
    <row r="75" spans="1:138" ht="15" customHeight="1" x14ac:dyDescent="0.25">
      <c r="A75" s="1085"/>
      <c r="B75" s="925"/>
      <c r="C75" s="926"/>
      <c r="D75" s="927"/>
      <c r="E75" s="995"/>
      <c r="F75" s="996"/>
      <c r="G75" s="997"/>
      <c r="H75" s="1062"/>
      <c r="I75" s="990"/>
      <c r="J75" s="910"/>
      <c r="K75" s="911"/>
      <c r="L75" s="1002"/>
      <c r="M75" s="923"/>
      <c r="N75" s="1042"/>
      <c r="O75" s="1018"/>
      <c r="P75" s="987"/>
      <c r="Q75" s="1015"/>
      <c r="R75" s="1012"/>
      <c r="S75" s="1006"/>
      <c r="T75" s="1007"/>
      <c r="U75" s="878"/>
      <c r="V75" s="881"/>
      <c r="W75" s="884"/>
      <c r="X75" s="884"/>
      <c r="Y75" s="887"/>
      <c r="Z75" s="887"/>
      <c r="AA75" s="887"/>
      <c r="AB75" s="1081"/>
      <c r="AC75" s="1078"/>
      <c r="AD75" s="1070" t="s">
        <v>39</v>
      </c>
      <c r="AE75" s="1071"/>
      <c r="AF75" s="1052"/>
      <c r="AG75" s="1053"/>
      <c r="AH75" s="1053"/>
      <c r="AI75" s="1068"/>
      <c r="AJ75" s="1069"/>
      <c r="AK75" s="154" t="str">
        <f t="shared" ca="1" si="62"/>
        <v/>
      </c>
      <c r="AL75" s="1039"/>
      <c r="AM75" s="344" t="str">
        <f ca="1">IFERROR(Q71/12*ROUND(VLOOKUP(AF75,OFFSET(ELM,0,1),6,FALSE),2),"")</f>
        <v/>
      </c>
      <c r="AN75" t="str">
        <f t="shared" ca="1" si="5"/>
        <v/>
      </c>
      <c r="AP75" s="122" t="str">
        <f t="shared" ref="AP75" si="641">_xlfn.CONCAT(AR75,AS76)</f>
        <v/>
      </c>
      <c r="AQ75" s="683" t="str">
        <f t="shared" si="65"/>
        <v/>
      </c>
      <c r="AR75" s="4" t="str">
        <f t="shared" si="3"/>
        <v/>
      </c>
      <c r="AS75" s="4"/>
      <c r="AT75" s="697" t="str">
        <f>AL71</f>
        <v/>
      </c>
      <c r="AU75" s="694" t="e">
        <f t="shared" ca="1" si="91"/>
        <v>#REF!</v>
      </c>
      <c r="AV75" s="698" t="str">
        <f ca="1">IFERROR(VLOOKUP(AU75,INDIRECT(AQ71),2,FALSE),"----")</f>
        <v>----</v>
      </c>
      <c r="AW75" s="694" t="e">
        <f t="shared" ca="1" si="92"/>
        <v>#REF!</v>
      </c>
      <c r="AX75" s="698" t="str">
        <f ca="1">IFERROR(VLOOKUP(AW75,INDIRECT(AQ72),2,FALSE),"----")</f>
        <v>----</v>
      </c>
      <c r="AY75" s="694" t="e">
        <f t="shared" ref="AY75" ca="1" si="642">AY74-1</f>
        <v>#REF!</v>
      </c>
      <c r="AZ75" s="698" t="str">
        <f ca="1">IFERROR(VLOOKUP(AY75,INDIRECT(AQ73),2,FALSE),"----")</f>
        <v>----</v>
      </c>
      <c r="BA75" s="694" t="e">
        <f t="shared" ref="BA75" ca="1" si="643">BA74-1</f>
        <v>#REF!</v>
      </c>
      <c r="BB75" s="698" t="str">
        <f ca="1">IFERROR(VLOOKUP(BA75,INDIRECT(AQ74),2,FALSE),"----")</f>
        <v>----</v>
      </c>
      <c r="BC75" s="694" t="e">
        <f t="shared" ca="1" si="95"/>
        <v>#REF!</v>
      </c>
      <c r="BD75" s="698" t="str">
        <f ca="1">IFERROR(VLOOKUP(BC75,INDIRECT(AQ75),2,FALSE),"----")</f>
        <v>----</v>
      </c>
      <c r="BE75" s="694" t="e">
        <f t="shared" ca="1" si="96"/>
        <v>#REF!</v>
      </c>
      <c r="BF75" s="698" t="str">
        <f ca="1">IFERROR(VLOOKUP(BE75,INDIRECT(AQ76),2,FALSE),"----")</f>
        <v>----</v>
      </c>
      <c r="BG75" s="694" t="e">
        <f t="shared" ca="1" si="97"/>
        <v>#REF!</v>
      </c>
      <c r="BH75" s="686" t="str">
        <f ca="1">IFERROR(VLOOKUP(BG75,INDIRECT(AQ77),2,FALSE),"----")</f>
        <v>----</v>
      </c>
      <c r="BI75" s="694" t="e">
        <f t="shared" ca="1" si="98"/>
        <v>#REF!</v>
      </c>
      <c r="BJ75" s="686" t="str">
        <f ca="1">IFERROR(VLOOKUP(BI75,INDIRECT(AQ78),2,FALSE),"----")</f>
        <v>----</v>
      </c>
      <c r="BK75" s="694" t="e">
        <f t="shared" ca="1" si="99"/>
        <v>#REF!</v>
      </c>
      <c r="BL75" s="686" t="str">
        <f ca="1">IFERROR(VLOOKUP(BK75,INDIRECT(AQ79),2,FALSE),"----")</f>
        <v>----</v>
      </c>
      <c r="BM75" s="694" t="e">
        <f t="shared" ca="1" si="100"/>
        <v>#REF!</v>
      </c>
      <c r="BN75" s="686" t="str">
        <f ca="1">IFERROR(VLOOKUP(BM75,INDIRECT(AQ80),2,FALSE),"----")</f>
        <v>----</v>
      </c>
      <c r="BO75" s="694" t="e">
        <f t="shared" ca="1" si="101"/>
        <v>#REF!</v>
      </c>
      <c r="BP75" s="686" t="str">
        <f ca="1">IFERROR(VLOOKUP(BO75,INDIRECT(AQ81),2,FALSE),"----")</f>
        <v>----</v>
      </c>
      <c r="BQ75" s="694" t="e">
        <f t="shared" ca="1" si="102"/>
        <v>#REF!</v>
      </c>
      <c r="BR75" s="686" t="str">
        <f ca="1">IFERROR(VLOOKUP(BQ75,INDIRECT(AQ82),2,FALSE),"----")</f>
        <v>----</v>
      </c>
      <c r="BS75" s="695">
        <f>IF(AI75="",1,IF(COUNTIF(BD71:BD82,AI75)=0,2,1))</f>
        <v>1</v>
      </c>
      <c r="BT75" s="696">
        <f>IF(AF75="",1,IF(BD71=".",2,1))</f>
        <v>1</v>
      </c>
      <c r="BU75" s="706"/>
      <c r="BV75" s="155">
        <f ca="1">IF(COUNTIF(CY71:CY82,AF75)=0,IF(AF75&lt;&gt;"",0,1),1)</f>
        <v>1</v>
      </c>
      <c r="BW75" s="157">
        <f ca="1">IFERROR(MATCH(AF75,CY71:CY82,0),1)</f>
        <v>1</v>
      </c>
      <c r="BX75" s="769"/>
      <c r="BY75" s="769"/>
      <c r="BZ75" s="1110"/>
      <c r="CA75" s="691" t="e">
        <f t="shared" ca="1" si="577"/>
        <v>#REF!</v>
      </c>
      <c r="CB75" s="4" t="e" cm="1">
        <f t="array" aca="1" ref="CB75" ca="1">IF(AND(INDEX(INDIRECT(BY71),CA75,4)&gt;=$AB71,INDEX(INDIRECT(BY71),CA75,5)&gt;=$S71,INDEX(INDIRECT(BY71),CA75,6)&gt;=$R71),1,0)</f>
        <v>#REF!</v>
      </c>
      <c r="CC75" s="4" t="e">
        <f t="shared" ref="CC75" ca="1" si="644">MATCH(1,OFFSET(CB71:CB82,CD74,0,COUNT(CB71:CB82)-CD74),0)</f>
        <v>#REF!</v>
      </c>
      <c r="CD75" s="4" t="e">
        <f t="shared" ca="1" si="579"/>
        <v>#REF!</v>
      </c>
      <c r="CE75" s="692" t="str" cm="1">
        <f t="array" aca="1" ref="CE75" ca="1">IFERROR(VLOOKUP(INDEX(CA71:CA82,CD75),INDIRECT(BY71),2,FALSE),"----")</f>
        <v>----</v>
      </c>
      <c r="CF75" s="691" t="e">
        <f t="shared" ca="1" si="580"/>
        <v>#N/A</v>
      </c>
      <c r="CG75" s="4" t="e">
        <f ca="1">IF(AND(INDEX(SSM,CF75,4)&gt;=$AB71,INDEX(SSM,CF75,5)&gt;=$S71,INDEX(SSM,CF75,6)&gt;=$R71),1,0)</f>
        <v>#N/A</v>
      </c>
      <c r="CH75" s="4" t="e">
        <f t="shared" ref="CH75" ca="1" si="645">MATCH(1,OFFSET(CG71:CG82,CI74,0,COUNT(CG71:CG82)-CI74),0)</f>
        <v>#REF!</v>
      </c>
      <c r="CI75" s="4" t="e">
        <f t="shared" ca="1" si="582"/>
        <v>#REF!</v>
      </c>
      <c r="CJ75" s="692" t="str">
        <f ca="1">IFERROR(IF(AD72="Nested Steel Stud (wood infill)",VLOOKUP(INDEX(CF71:CF82,CI75),SSW,2,FALSE),VLOOKUP(INDEX(CF71:CF82,CI75),SSM,2,FALSE)),"----")</f>
        <v>----</v>
      </c>
      <c r="CK75" s="691" t="e">
        <f t="shared" ca="1" si="583"/>
        <v>#N/A</v>
      </c>
      <c r="CL75" s="4" t="e">
        <f ca="1">IF(AND(INDEX(WSM,CK75,4)&gt;=$AB71,INDEX(WSM,CK75,5)&gt;=$S71,INDEX(WSM,CK75,6)&gt;=$R71),1,0)</f>
        <v>#N/A</v>
      </c>
      <c r="CM75" s="4" t="e">
        <f t="shared" ref="CM75" ca="1" si="646">MATCH(1,OFFSET(CL71:CL82,CN74,0,COUNT(CL71:CL82)-CN74),0)</f>
        <v>#REF!</v>
      </c>
      <c r="CN75" s="4" t="e">
        <f t="shared" ca="1" si="585"/>
        <v>#REF!</v>
      </c>
      <c r="CO75" s="692" t="str">
        <f ca="1">IFERROR(VLOOKUP(INDEX(CK71:CK82,CN75),WSM,2,FALSE),"----")</f>
        <v>----</v>
      </c>
      <c r="CP75" s="691" t="e">
        <f t="shared" ca="1" si="586"/>
        <v>#N/A</v>
      </c>
      <c r="CQ75" s="4" t="e">
        <f ca="1">IF(AND(INDEX(STM,CP75,4)&gt;=$AB71,INDEX(STM,CP75,5)&gt;=$S71,INDEX(STM,CP75,6)&gt;=$R71),1,0)</f>
        <v>#N/A</v>
      </c>
      <c r="CR75" s="4" t="e">
        <f t="shared" ref="CR75" ca="1" si="647">MATCH(1,OFFSET(CQ71:CQ82,CS74,0,COUNT(CQ71:CQ82)-CS74),0)</f>
        <v>#REF!</v>
      </c>
      <c r="CS75" s="4" t="e">
        <f t="shared" ca="1" si="588"/>
        <v>#REF!</v>
      </c>
      <c r="CT75" s="692" t="str">
        <f ca="1">IFERROR(VLOOKUP(INDEX(CP71:CP82,CS75),STM,2,FALSE),"----")</f>
        <v>----</v>
      </c>
      <c r="CU75" s="691" t="e">
        <f t="shared" ca="1" si="589"/>
        <v>#N/A</v>
      </c>
      <c r="CV75" s="4" t="e">
        <f ca="1">IF(AND(INDEX(ELM,CU75,4)&gt;=$AB71,INDEX(ELM,CU75,5)&gt;=$S71,INDEX(ELM,CU75,6)&gt;=$R71),1,0)</f>
        <v>#N/A</v>
      </c>
      <c r="CW75" s="4" t="e">
        <f t="shared" ref="CW75" ca="1" si="648">MATCH(1,OFFSET(CV71:CV82,CX74,0,COUNT(CV71:CV82)-CX74),0)</f>
        <v>#REF!</v>
      </c>
      <c r="CX75" s="4" t="e">
        <f t="shared" ca="1" si="591"/>
        <v>#REF!</v>
      </c>
      <c r="CY75" s="692" t="str">
        <f ca="1">IFERROR(VLOOKUP(INDEX(CU71:CU82,CX75),ELM,2,FALSE),"----")</f>
        <v>----</v>
      </c>
      <c r="CZ75" s="691" t="e">
        <f t="shared" ca="1" si="592"/>
        <v>#N/A</v>
      </c>
      <c r="DA75" s="4" t="e">
        <f ca="1">IF(LEFT($J71,7)="Clad Wo",IF(AND(INDEX(SPPWS,CZ75,4)&gt;=$AB71,INDEX(SPPWS,CZ75,5)&gt;=$S71,INDEX(SPPWS,CZ75,6)&gt;=$R71),1,0),IF(AND(INDEX(SPM,CZ75,4)&gt;=$AB71,INDEX(SPM,CZ75,5)&gt;=$S71,INDEX(SPM,CZ75,6)&gt;=$R71),1,0))</f>
        <v>#N/A</v>
      </c>
      <c r="DB75" s="4" t="e">
        <f t="shared" ref="DB75" ca="1" si="649">MATCH(1,OFFSET(DA71:DA82,DC74,0,COUNT(DA71:DA82)-DC74),0)</f>
        <v>#REF!</v>
      </c>
      <c r="DC75" s="4" t="e">
        <f t="shared" ca="1" si="594"/>
        <v>#REF!</v>
      </c>
      <c r="DD75" s="693" t="str">
        <f ca="1">IF(LEFT($J71,7)="Clad Wo",IFERROR(VLOOKUP(INDEX(CZ71:CZ82,DC75),SPPWS,2,FALSE),"----"),IFERROR(VLOOKUP(INDEX(CZ71:CZ82,DC75),SPM,2,FALSE),"----"))</f>
        <v>----</v>
      </c>
      <c r="DE75" s="691" t="e">
        <f t="shared" ca="1" si="595"/>
        <v>#REF!</v>
      </c>
      <c r="DF75" s="4" t="e" cm="1">
        <f t="array" aca="1" ref="DF75" ca="1">IF(AND(INDEX(INDIRECT(BY71),DE75,4)&gt;=$AB77,INDEX(INDIRECT(BY71),DE75,5)&gt;=$S71,INDEX(INDIRECT(BY71),DE75,6)&gt;=$R71),1,0)</f>
        <v>#REF!</v>
      </c>
      <c r="DG75" s="4" t="e">
        <f t="shared" ref="DG75" ca="1" si="650">MATCH(1,OFFSET(DF71:DF82,DH74,0,COUNT(DF71:DF82)-DH74),0)</f>
        <v>#REF!</v>
      </c>
      <c r="DH75" s="4" t="e">
        <f t="shared" ca="1" si="597"/>
        <v>#REF!</v>
      </c>
      <c r="DI75" s="692" t="str" cm="1">
        <f t="array" aca="1" ref="DI75" ca="1">IFERROR(VLOOKUP(INDEX(DE71:DE82,DH75),INDIRECT(BY71),2,FALSE),"----")</f>
        <v>----</v>
      </c>
      <c r="DJ75" s="691" t="e">
        <f t="shared" ca="1" si="598"/>
        <v>#N/A</v>
      </c>
      <c r="DK75" s="4" t="e">
        <f ca="1">IF(AND(INDEX(SSM,DJ75,4)&gt;=$AB77,INDEX(SSM,DJ75,5)&gt;=$S71,INDEX(SSM,DJ75,6)&gt;=$R71),1,0)</f>
        <v>#N/A</v>
      </c>
      <c r="DL75" s="4" t="e">
        <f t="shared" ref="DL75" ca="1" si="651">MATCH(1,OFFSET(DK71:DK82,DM74,0,COUNT(DK71:DK82)-DM74),0)</f>
        <v>#REF!</v>
      </c>
      <c r="DM75" s="4" t="e">
        <f t="shared" ca="1" si="600"/>
        <v>#REF!</v>
      </c>
      <c r="DN75" s="692" t="str">
        <f ca="1">IFERROR(IF(AD78="Nested Steel Stud (wood infill)",VLOOKUP(INDEX(DJ71:DJ82,DM75),SSW,2,FALSE),VLOOKUP(INDEX(DJ71:DJ82,DM75),SSM,2,FALSE)),"----")</f>
        <v>----</v>
      </c>
      <c r="DO75" s="691" t="e">
        <f t="shared" ca="1" si="601"/>
        <v>#N/A</v>
      </c>
      <c r="DP75" s="4" t="e">
        <f ca="1">IF(AND(INDEX(WSM,DO75,4)&gt;=$AB77,INDEX(WSM,DO75,5)&gt;=$S71,INDEX(WSM,DO75,6)&gt;=$R71),1,0)</f>
        <v>#N/A</v>
      </c>
      <c r="DQ75" s="4" t="e">
        <f t="shared" ref="DQ75" ca="1" si="652">MATCH(1,OFFSET(DP71:DP82,DR74,0,COUNT(DP71:DP82)-DR74),0)</f>
        <v>#REF!</v>
      </c>
      <c r="DR75" s="4" t="e">
        <f t="shared" ca="1" si="603"/>
        <v>#REF!</v>
      </c>
      <c r="DS75" s="692" t="str">
        <f ca="1">IFERROR(VLOOKUP(INDEX(DO71:DO82,DR75),WSM,2,FALSE),"----")</f>
        <v>----</v>
      </c>
      <c r="DT75" s="691" t="e">
        <f t="shared" ca="1" si="604"/>
        <v>#N/A</v>
      </c>
      <c r="DU75" s="4" t="e">
        <f ca="1">IF(AND(INDEX(STM,DT75,4)&gt;=$AB77,INDEX(STM,DT75,5)&gt;=$S71,INDEX(STM,DT75,6)&gt;=$R71),1,0)</f>
        <v>#N/A</v>
      </c>
      <c r="DV75" s="4" t="e">
        <f t="shared" ref="DV75" ca="1" si="653">MATCH(1,OFFSET(DU71:DU82,DW74,0,COUNT(DU71:DU82)-DW74),0)</f>
        <v>#REF!</v>
      </c>
      <c r="DW75" s="4" t="e">
        <f t="shared" ca="1" si="606"/>
        <v>#REF!</v>
      </c>
      <c r="DX75" s="692" t="str">
        <f ca="1">IFERROR(VLOOKUP(INDEX(DT71:DT82,DW75),STM,2,FALSE),"----")</f>
        <v>----</v>
      </c>
      <c r="DY75" s="691" t="e">
        <f t="shared" ca="1" si="607"/>
        <v>#N/A</v>
      </c>
      <c r="DZ75" s="4" t="e">
        <f ca="1">IF(AND(INDEX(ELM,DY75,4)&gt;=$AB77,INDEX(ELM,DY75,5)&gt;=$S71,INDEX(ELM,DY75,6)&gt;=$R71),1,0)</f>
        <v>#N/A</v>
      </c>
      <c r="EA75" s="4" t="e">
        <f t="shared" ref="EA75" ca="1" si="654">MATCH(1,OFFSET(DZ71:DZ82,EB74,0,COUNT(DZ71:DZ82)-EB74),0)</f>
        <v>#REF!</v>
      </c>
      <c r="EB75" s="4" t="e">
        <f t="shared" ca="1" si="609"/>
        <v>#REF!</v>
      </c>
      <c r="EC75" s="692" t="str">
        <f ca="1">IFERROR(VLOOKUP(INDEX(DY71:DY82,EB75),ELM,2,FALSE),"----")</f>
        <v>----</v>
      </c>
      <c r="ED75" s="691" t="e">
        <f t="shared" ca="1" si="610"/>
        <v>#N/A</v>
      </c>
      <c r="EE75" s="4" t="e">
        <f ca="1">IF(LEFT($J71,7)="Clad Wo",IF(AND(INDEX(SPPWS,ED75,4)&gt;=$AB77,INDEX(SPPWS,ED75,5)&gt;=$S71,INDEX(SPPWS,ED75,6)&gt;=$R71),1,0),IF(AND(INDEX(SPM,ED75,4)&gt;=$AB77,INDEX(SPM,ED75,5)&gt;=$S71,INDEX(SPM,ED75,6)&gt;=$R71),1,0))</f>
        <v>#N/A</v>
      </c>
      <c r="EF75" s="4" t="e">
        <f t="shared" ref="EF75" ca="1" si="655">MATCH(1,OFFSET(EE71:EE82,EG74,0,COUNT(EE71:EE82)-EG74),0)</f>
        <v>#REF!</v>
      </c>
      <c r="EG75" s="4" t="e">
        <f t="shared" ca="1" si="612"/>
        <v>#REF!</v>
      </c>
      <c r="EH75" s="692" t="str">
        <f ca="1">IF(LEFT($J71,7)="Clad Wo",IFERROR(VLOOKUP(INDEX(ED71:ED82,EG75),SPPWS,2,FALSE),"----"),IFERROR(VLOOKUP(INDEX(ED71:ED82,EG75),SPM,2,FALSE),"----"))</f>
        <v>----</v>
      </c>
    </row>
    <row r="76" spans="1:138" ht="15" customHeight="1" thickBot="1" x14ac:dyDescent="0.3">
      <c r="A76" s="1085"/>
      <c r="B76" s="934"/>
      <c r="C76" s="935"/>
      <c r="D76" s="936"/>
      <c r="E76" s="995"/>
      <c r="F76" s="996"/>
      <c r="G76" s="997"/>
      <c r="H76" s="1062"/>
      <c r="I76" s="990"/>
      <c r="J76" s="908"/>
      <c r="K76" s="909"/>
      <c r="L76" s="1010"/>
      <c r="M76" s="924"/>
      <c r="N76" s="1044"/>
      <c r="O76" s="1018"/>
      <c r="P76" s="987"/>
      <c r="Q76" s="1015"/>
      <c r="R76" s="1012"/>
      <c r="S76" s="1006"/>
      <c r="T76" s="1007"/>
      <c r="U76" s="878"/>
      <c r="V76" s="881"/>
      <c r="W76" s="889"/>
      <c r="X76" s="884"/>
      <c r="Y76" s="890"/>
      <c r="Z76" s="890"/>
      <c r="AA76" s="887"/>
      <c r="AB76" s="1084"/>
      <c r="AC76" s="1079"/>
      <c r="AD76" s="1072" t="str">
        <f t="shared" ref="AD76" si="656">IF(LEFT(J71,7)="Clad Wo","Pella Wood Spr / Steel Pte","Steel Plate")</f>
        <v>Steel Plate</v>
      </c>
      <c r="AE76" s="1073"/>
      <c r="AF76" s="1054"/>
      <c r="AG76" s="1055"/>
      <c r="AH76" s="1055"/>
      <c r="AI76" s="1092"/>
      <c r="AJ76" s="1093"/>
      <c r="AK76" s="159" t="str">
        <f t="shared" ca="1" si="62"/>
        <v/>
      </c>
      <c r="AL76" s="1040"/>
      <c r="AM76" s="345" t="str">
        <f ca="1">IFERROR(Q71/12*ROUND(VLOOKUP(AF76,OFFSET(SPM,0,1),6,FALSE),2),"")</f>
        <v/>
      </c>
      <c r="AN76" t="str">
        <f t="shared" ca="1" si="5"/>
        <v/>
      </c>
      <c r="AP76" s="699" t="str">
        <f t="shared" ref="AP76" si="657">_xlfn.CONCAT(AR76,AS76)</f>
        <v/>
      </c>
      <c r="AQ76" s="700" t="str">
        <f t="shared" si="65"/>
        <v/>
      </c>
      <c r="AR76" s="160" t="str">
        <f t="shared" si="3"/>
        <v/>
      </c>
      <c r="AS76" s="160" t="str">
        <f>IFERROR(VLOOKUP(J79, WallType,2,FALSE),"")</f>
        <v/>
      </c>
      <c r="AT76" s="701" t="str">
        <f>AL71</f>
        <v/>
      </c>
      <c r="AU76" s="694" t="e">
        <f t="shared" ca="1" si="91"/>
        <v>#REF!</v>
      </c>
      <c r="AV76" s="698" t="str">
        <f ca="1">IFERROR(VLOOKUP(AU76,INDIRECT(AQ71),2,FALSE),"----")</f>
        <v>----</v>
      </c>
      <c r="AW76" s="702" t="e">
        <f t="shared" ca="1" si="92"/>
        <v>#REF!</v>
      </c>
      <c r="AX76" s="698" t="str">
        <f ca="1">IFERROR(VLOOKUP(AW76,INDIRECT(AQ72),2,FALSE),"----")</f>
        <v>----</v>
      </c>
      <c r="AY76" s="702" t="e">
        <f t="shared" ref="AY76:AY91" ca="1" si="658">AY75-1</f>
        <v>#REF!</v>
      </c>
      <c r="AZ76" s="698" t="str">
        <f ca="1">IFERROR(VLOOKUP(AY76,INDIRECT(AQ73),2,FALSE),"----")</f>
        <v>----</v>
      </c>
      <c r="BA76" s="702" t="e">
        <f t="shared" ref="BA76:BA91" ca="1" si="659">BA75-1</f>
        <v>#REF!</v>
      </c>
      <c r="BB76" s="698" t="str">
        <f ca="1">IFERROR(VLOOKUP(BA76,INDIRECT(AQ74),2,FALSE),"----")</f>
        <v>----</v>
      </c>
      <c r="BC76" s="702" t="e">
        <f t="shared" ca="1" si="95"/>
        <v>#REF!</v>
      </c>
      <c r="BD76" s="698" t="str">
        <f ca="1">IFERROR(VLOOKUP(BC76,INDIRECT(AQ75),2,FALSE),"----")</f>
        <v>----</v>
      </c>
      <c r="BE76" s="702" t="e">
        <f t="shared" ca="1" si="96"/>
        <v>#REF!</v>
      </c>
      <c r="BF76" s="698" t="str">
        <f ca="1">IFERROR(VLOOKUP(BE76,INDIRECT(AQ76),2,FALSE),"----")</f>
        <v>----</v>
      </c>
      <c r="BG76" s="702" t="e">
        <f t="shared" ca="1" si="97"/>
        <v>#REF!</v>
      </c>
      <c r="BH76" s="686" t="str">
        <f ca="1">IFERROR(VLOOKUP(BG76,INDIRECT(AQ77),2,FALSE),"----")</f>
        <v>----</v>
      </c>
      <c r="BI76" s="702" t="e">
        <f t="shared" ca="1" si="98"/>
        <v>#REF!</v>
      </c>
      <c r="BJ76" s="686" t="str">
        <f ca="1">IFERROR(VLOOKUP(BI76,INDIRECT(AQ78),2,FALSE),"----")</f>
        <v>----</v>
      </c>
      <c r="BK76" s="702" t="e">
        <f t="shared" ca="1" si="99"/>
        <v>#REF!</v>
      </c>
      <c r="BL76" s="686" t="str">
        <f ca="1">IFERROR(VLOOKUP(BK76,INDIRECT(AQ79),2,FALSE),"----")</f>
        <v>----</v>
      </c>
      <c r="BM76" s="702" t="e">
        <f t="shared" ca="1" si="100"/>
        <v>#REF!</v>
      </c>
      <c r="BN76" s="686" t="str">
        <f ca="1">IFERROR(VLOOKUP(BM76,INDIRECT(AQ80),2,FALSE),"----")</f>
        <v>----</v>
      </c>
      <c r="BO76" s="702" t="e">
        <f t="shared" ca="1" si="101"/>
        <v>#REF!</v>
      </c>
      <c r="BP76" s="686" t="str">
        <f ca="1">IFERROR(VLOOKUP(BO76,INDIRECT(AQ81),2,FALSE),"----")</f>
        <v>----</v>
      </c>
      <c r="BQ76" s="702" t="e">
        <f t="shared" ca="1" si="102"/>
        <v>#REF!</v>
      </c>
      <c r="BR76" s="686" t="str">
        <f ca="1">IFERROR(VLOOKUP(BQ76,INDIRECT(AQ82),2,FALSE),"----")</f>
        <v>----</v>
      </c>
      <c r="BS76" s="703">
        <f>IF(AI76="",1,IF(COUNTIF(BF71:BF82,AI76)=0,2,1))</f>
        <v>1</v>
      </c>
      <c r="BT76" s="704">
        <f>IF(AF76="",1,IF(BF71=".",2,1))</f>
        <v>1</v>
      </c>
      <c r="BV76" s="155">
        <f ca="1">IF(COUNTIF(DD71:DD82,AF76)=0,IF(AF76&lt;&gt;"",0,1),1)</f>
        <v>1</v>
      </c>
      <c r="BW76" s="157">
        <f ca="1">IFERROR(MATCH(AF76,DD71:DD82,0),1)</f>
        <v>1</v>
      </c>
      <c r="BX76" s="875" t="s">
        <v>1594</v>
      </c>
      <c r="BY76" s="876"/>
      <c r="BZ76" s="1110"/>
      <c r="CA76" s="691" t="e">
        <f t="shared" ca="1" si="577"/>
        <v>#REF!</v>
      </c>
      <c r="CB76" s="4" t="e" cm="1">
        <f t="array" aca="1" ref="CB76" ca="1">IF(AND(INDEX(INDIRECT(BY71),CA76,4)&gt;=$AB71,INDEX(INDIRECT(BY71),CA76,5)&gt;=$S71,INDEX(INDIRECT(BY71),CA76,6)&gt;=$R71),1,0)</f>
        <v>#REF!</v>
      </c>
      <c r="CC76" s="4" t="e">
        <f t="shared" ref="CC76" ca="1" si="660">MATCH(1,OFFSET(CB71:CB82,CD75,0,COUNT(CB71:CB82)-CD75),0)</f>
        <v>#REF!</v>
      </c>
      <c r="CD76" s="4" t="e">
        <f t="shared" ca="1" si="579"/>
        <v>#REF!</v>
      </c>
      <c r="CE76" s="692" t="str" cm="1">
        <f t="array" aca="1" ref="CE76" ca="1">IFERROR(VLOOKUP(INDEX(CA71:CA82,CD76),INDIRECT(BY71),2,FALSE),"----")</f>
        <v>----</v>
      </c>
      <c r="CF76" s="691" t="e">
        <f t="shared" ca="1" si="580"/>
        <v>#N/A</v>
      </c>
      <c r="CG76" s="4" t="e">
        <f ca="1">IF(AND(INDEX(SSM,CF76,4)&gt;=$AB71,INDEX(SSM,CF76,5)&gt;=$S71,INDEX(SSM,CF76,6)&gt;=$R71),1,0)</f>
        <v>#N/A</v>
      </c>
      <c r="CH76" s="4" t="e">
        <f t="shared" ref="CH76" ca="1" si="661">MATCH(1,OFFSET(CG71:CG82,CI75,0,COUNT(CG71:CG82)-CI75),0)</f>
        <v>#REF!</v>
      </c>
      <c r="CI76" s="4" t="e">
        <f t="shared" ca="1" si="582"/>
        <v>#REF!</v>
      </c>
      <c r="CJ76" s="692" t="str">
        <f ca="1">IFERROR(IF(AD72="Nested Steel Stud (wood infill)",VLOOKUP(INDEX(CF71:CF82,CI76),SSW,2,FALSE),VLOOKUP(INDEX(CF71:CF82,CI76),SSM,2,FALSE)),"----")</f>
        <v>----</v>
      </c>
      <c r="CK76" s="691" t="e">
        <f t="shared" ca="1" si="583"/>
        <v>#N/A</v>
      </c>
      <c r="CL76" s="4" t="e">
        <f ca="1">IF(AND(INDEX(WSM,CK76,4)&gt;=$AB71,INDEX(WSM,CK76,5)&gt;=$S71,INDEX(WSM,CK76,6)&gt;=$R71),1,0)</f>
        <v>#N/A</v>
      </c>
      <c r="CM76" s="4" t="e">
        <f t="shared" ref="CM76" ca="1" si="662">MATCH(1,OFFSET(CL71:CL82,CN75,0,COUNT(CL71:CL82)-CN75),0)</f>
        <v>#REF!</v>
      </c>
      <c r="CN76" s="4" t="e">
        <f t="shared" ca="1" si="585"/>
        <v>#REF!</v>
      </c>
      <c r="CO76" s="692" t="str">
        <f ca="1">IFERROR(VLOOKUP(INDEX(CK71:CK82,CN76),WSM,2,FALSE),"----")</f>
        <v>----</v>
      </c>
      <c r="CP76" s="691" t="e">
        <f t="shared" ca="1" si="586"/>
        <v>#N/A</v>
      </c>
      <c r="CQ76" s="4" t="e">
        <f ca="1">IF(AND(INDEX(STM,CP76,4)&gt;=$AB71,INDEX(STM,CP76,5)&gt;=$S71,INDEX(STM,CP76,6)&gt;=$R71),1,0)</f>
        <v>#N/A</v>
      </c>
      <c r="CR76" s="4" t="e">
        <f t="shared" ref="CR76" ca="1" si="663">MATCH(1,OFFSET(CQ71:CQ82,CS75,0,COUNT(CQ71:CQ82)-CS75),0)</f>
        <v>#REF!</v>
      </c>
      <c r="CS76" s="4" t="e">
        <f t="shared" ca="1" si="588"/>
        <v>#REF!</v>
      </c>
      <c r="CT76" s="692" t="str">
        <f ca="1">IFERROR(VLOOKUP(INDEX(CP71:CP82,CS76),STM,2,FALSE),"----")</f>
        <v>----</v>
      </c>
      <c r="CU76" s="691" t="e">
        <f t="shared" ca="1" si="589"/>
        <v>#N/A</v>
      </c>
      <c r="CV76" s="4" t="e">
        <f ca="1">IF(AND(INDEX(ELM,CU76,4)&gt;=$AB71,INDEX(ELM,CU76,5)&gt;=$S71,INDEX(ELM,CU76,6)&gt;=$R71),1,0)</f>
        <v>#N/A</v>
      </c>
      <c r="CW76" s="4" t="e">
        <f t="shared" ref="CW76" ca="1" si="664">MATCH(1,OFFSET(CV71:CV82,CX75,0,COUNT(CV71:CV82)-CX75),0)</f>
        <v>#REF!</v>
      </c>
      <c r="CX76" s="4" t="e">
        <f t="shared" ca="1" si="591"/>
        <v>#REF!</v>
      </c>
      <c r="CY76" s="692" t="str">
        <f ca="1">IFERROR(VLOOKUP(INDEX(CU71:CU82,CX76),ELM,2,FALSE),"----")</f>
        <v>----</v>
      </c>
      <c r="CZ76" s="691" t="e">
        <f t="shared" ca="1" si="592"/>
        <v>#N/A</v>
      </c>
      <c r="DA76" s="4" t="e">
        <f ca="1">IF(LEFT($J71,7)="Clad Wo",IF(AND(INDEX(SPPWS,CZ76,4)&gt;=$AB71,INDEX(SPPWS,CZ76,5)&gt;=$S71,INDEX(SPPWS,CZ76,6)&gt;=$R71),1,0),IF(AND(INDEX(SPM,CZ76,4)&gt;=$AB71,INDEX(SPM,CZ76,5)&gt;=$S71,INDEX(SPM,CZ76,6)&gt;=$R71),1,0))</f>
        <v>#N/A</v>
      </c>
      <c r="DB76" s="4" t="e">
        <f t="shared" ref="DB76" ca="1" si="665">MATCH(1,OFFSET(DA71:DA82,DC75,0,COUNT(DA71:DA82)-DC75),0)</f>
        <v>#REF!</v>
      </c>
      <c r="DC76" s="4" t="e">
        <f t="shared" ca="1" si="594"/>
        <v>#REF!</v>
      </c>
      <c r="DD76" s="693" t="str">
        <f ca="1">IF(LEFT($J71,7)="Clad Wo",IFERROR(VLOOKUP(INDEX(CZ71:CZ82,DC76),SPPWS,2,FALSE),"----"),IFERROR(VLOOKUP(INDEX(CZ71:CZ82,DC76),SPM,2,FALSE),"----"))</f>
        <v>----</v>
      </c>
      <c r="DE76" s="691" t="e">
        <f t="shared" ca="1" si="595"/>
        <v>#REF!</v>
      </c>
      <c r="DF76" s="4" t="e" cm="1">
        <f t="array" aca="1" ref="DF76" ca="1">IF(AND(INDEX(INDIRECT(BY71),DE76,4)&gt;=$AB77,INDEX(INDIRECT(BY71),DE76,5)&gt;=$S71,INDEX(INDIRECT(BY71),DE76,6)&gt;=$R71),1,0)</f>
        <v>#REF!</v>
      </c>
      <c r="DG76" s="4" t="e">
        <f t="shared" ref="DG76" ca="1" si="666">MATCH(1,OFFSET(DF71:DF82,DH75,0,COUNT(DF71:DF82)-DH75),0)</f>
        <v>#REF!</v>
      </c>
      <c r="DH76" s="4" t="e">
        <f t="shared" ca="1" si="597"/>
        <v>#REF!</v>
      </c>
      <c r="DI76" s="692" t="str" cm="1">
        <f t="array" aca="1" ref="DI76" ca="1">IFERROR(VLOOKUP(INDEX(DE71:DE82,DH76),INDIRECT(BY71),2,FALSE),"----")</f>
        <v>----</v>
      </c>
      <c r="DJ76" s="691" t="e">
        <f t="shared" ca="1" si="598"/>
        <v>#N/A</v>
      </c>
      <c r="DK76" s="4" t="e">
        <f ca="1">IF(AND(INDEX(SSM,DJ76,4)&gt;=$AB77,INDEX(SSM,DJ76,5)&gt;=$S71,INDEX(SSM,DJ76,6)&gt;=$R71),1,0)</f>
        <v>#N/A</v>
      </c>
      <c r="DL76" s="4" t="e">
        <f t="shared" ref="DL76" ca="1" si="667">MATCH(1,OFFSET(DK71:DK82,DM75,0,COUNT(DK71:DK82)-DM75),0)</f>
        <v>#REF!</v>
      </c>
      <c r="DM76" s="4" t="e">
        <f t="shared" ca="1" si="600"/>
        <v>#REF!</v>
      </c>
      <c r="DN76" s="692" t="str">
        <f ca="1">IFERROR(IF(AD78="Nested Steel Stud (wood infill)",VLOOKUP(INDEX(DJ71:DJ82,DM76),SSW,2,FALSE),VLOOKUP(INDEX(DJ71:DJ82,DM76),SSM,2,FALSE)),"----")</f>
        <v>----</v>
      </c>
      <c r="DO76" s="691" t="e">
        <f t="shared" ca="1" si="601"/>
        <v>#N/A</v>
      </c>
      <c r="DP76" s="4" t="e">
        <f ca="1">IF(AND(INDEX(WSM,DO76,4)&gt;=$AB77,INDEX(WSM,DO76,5)&gt;=$S71,INDEX(WSM,DO76,6)&gt;=$R71),1,0)</f>
        <v>#N/A</v>
      </c>
      <c r="DQ76" s="4" t="e">
        <f t="shared" ref="DQ76" ca="1" si="668">MATCH(1,OFFSET(DP71:DP82,DR75,0,COUNT(DP71:DP82)-DR75),0)</f>
        <v>#REF!</v>
      </c>
      <c r="DR76" s="4" t="e">
        <f t="shared" ca="1" si="603"/>
        <v>#REF!</v>
      </c>
      <c r="DS76" s="692" t="str">
        <f ca="1">IFERROR(VLOOKUP(INDEX(DO71:DO82,DR76),WSM,2,FALSE),"----")</f>
        <v>----</v>
      </c>
      <c r="DT76" s="691" t="e">
        <f t="shared" ca="1" si="604"/>
        <v>#N/A</v>
      </c>
      <c r="DU76" s="4" t="e">
        <f ca="1">IF(AND(INDEX(STM,DT76,4)&gt;=$AB77,INDEX(STM,DT76,5)&gt;=$S71,INDEX(STM,DT76,6)&gt;=$R71),1,0)</f>
        <v>#N/A</v>
      </c>
      <c r="DV76" s="4" t="e">
        <f t="shared" ref="DV76" ca="1" si="669">MATCH(1,OFFSET(DU71:DU82,DW75,0,COUNT(DU71:DU82)-DW75),0)</f>
        <v>#REF!</v>
      </c>
      <c r="DW76" s="4" t="e">
        <f t="shared" ca="1" si="606"/>
        <v>#REF!</v>
      </c>
      <c r="DX76" s="692" t="str">
        <f ca="1">IFERROR(VLOOKUP(INDEX(DT71:DT82,DW76),STM,2,FALSE),"----")</f>
        <v>----</v>
      </c>
      <c r="DY76" s="691" t="e">
        <f t="shared" ca="1" si="607"/>
        <v>#N/A</v>
      </c>
      <c r="DZ76" s="4" t="e">
        <f ca="1">IF(AND(INDEX(ELM,DY76,4)&gt;=$AB77,INDEX(ELM,DY76,5)&gt;=$S71,INDEX(ELM,DY76,6)&gt;=$R71),1,0)</f>
        <v>#N/A</v>
      </c>
      <c r="EA76" s="4" t="e">
        <f t="shared" ref="EA76" ca="1" si="670">MATCH(1,OFFSET(DZ71:DZ82,EB75,0,COUNT(DZ71:DZ82)-EB75),0)</f>
        <v>#REF!</v>
      </c>
      <c r="EB76" s="4" t="e">
        <f t="shared" ca="1" si="609"/>
        <v>#REF!</v>
      </c>
      <c r="EC76" s="692" t="str">
        <f ca="1">IFERROR(VLOOKUP(INDEX(DY71:DY82,EB76),ELM,2,FALSE),"----")</f>
        <v>----</v>
      </c>
      <c r="ED76" s="691" t="e">
        <f t="shared" ca="1" si="610"/>
        <v>#N/A</v>
      </c>
      <c r="EE76" s="4" t="e">
        <f ca="1">IF(LEFT($J71,7)="Clad Wo",IF(AND(INDEX(SPPWS,ED76,4)&gt;=$AB77,INDEX(SPPWS,ED76,5)&gt;=$S71,INDEX(SPPWS,ED76,6)&gt;=$R71),1,0),IF(AND(INDEX(SPM,ED76,4)&gt;=$AB77,INDEX(SPM,ED76,5)&gt;=$S71,INDEX(SPM,ED76,6)&gt;=$R71),1,0))</f>
        <v>#N/A</v>
      </c>
      <c r="EF76" s="4" t="e">
        <f t="shared" ref="EF76" ca="1" si="671">MATCH(1,OFFSET(EE71:EE82,EG75,0,COUNT(EE71:EE82)-EG75),0)</f>
        <v>#REF!</v>
      </c>
      <c r="EG76" s="4" t="e">
        <f t="shared" ca="1" si="612"/>
        <v>#REF!</v>
      </c>
      <c r="EH76" s="692" t="str">
        <f ca="1">IF(LEFT($J71,7)="Clad Wo",IFERROR(VLOOKUP(INDEX(ED71:ED82,EG76),SPPWS,2,FALSE),"----"),IFERROR(VLOOKUP(INDEX(ED71:ED82,EG76),SPM,2,FALSE),"----"))</f>
        <v>----</v>
      </c>
    </row>
    <row r="77" spans="1:138" ht="15" customHeight="1" x14ac:dyDescent="0.25">
      <c r="A77" s="1085"/>
      <c r="B77" s="925" t="s">
        <v>409</v>
      </c>
      <c r="C77" s="926"/>
      <c r="D77" s="927"/>
      <c r="E77" s="995"/>
      <c r="F77" s="996"/>
      <c r="G77" s="997"/>
      <c r="H77" s="1062"/>
      <c r="I77" s="990"/>
      <c r="J77" s="908"/>
      <c r="K77" s="909"/>
      <c r="L77" s="1001">
        <f>L71+1</f>
        <v>5</v>
      </c>
      <c r="M77" s="1064" t="str">
        <f t="shared" ref="M77" si="672">IFERROR(IF($AE$17="",IF($AG$19="Wind Loading",MIN($V$31,IF(E$11="ASCE 7-05",$U$26,$V$7)*$V$9*(IF($E$12&lt;60,0.156*LN(MAX(MIN(500,O71),10)) -1.7618,IF($E$11="ASCE 7-22", 0.2026*LN(MAX(MIN(500,O71),20))-2.2638,0.2503*LN(MAX(MIN(500,O71),20)) -2.5526))-$V$8)),$V$7*IF(E$12&lt;60,$V$13*($V$15*(0.156*LN(MAX(MIN(500,O71),10)) -1.7618)-$V$16),$V$13*$V$15*((0.2026*LN(MAX(MIN(500,O71),20))-2.2638)-$V$16))),-ABS($AE$17)),"")</f>
        <v/>
      </c>
      <c r="N77" s="1041" t="str">
        <f t="shared" ref="N77" si="673">IFERROR(IF($AE$19="",IF($AG$19="Wind Loading",MAX($U$31,IF(E$11="ASCE 7-05",$U$26,$V$7)*$V$9*((IF($E$12&lt;60,-0.077*LN(MAX(MIN(500,O71),10))+1.1737,IF($E$11="ASCE 7-22",-0.077*LN(MAX(MIN(500,O71),20))+1.0798,-0.093*LN(MAX(MIN(500,O71),20))+1.1776)))+$V$8)),$V$7*IF(E$12&lt;60,$V$13*($V$15*(-0.077*LN(MAX(MIN(500,O71),10))+1.1737)-$V$17),$V$13*$V$15*((-0.077*LN(MAX(MIN(500,O71),20))+1.0798)-$V$17))),ABS($AE$19)),"")</f>
        <v/>
      </c>
      <c r="O77" s="1018"/>
      <c r="P77" s="987"/>
      <c r="Q77" s="1015"/>
      <c r="R77" s="1012">
        <f>P77*Q77/8</f>
        <v>0</v>
      </c>
      <c r="S77" s="1006"/>
      <c r="T77" s="1007"/>
      <c r="U77" s="878"/>
      <c r="V77" s="881"/>
      <c r="W77" s="883" t="e">
        <f t="shared" ref="W77" si="674">MAX(-M77,N77)*O71</f>
        <v>#VALUE!</v>
      </c>
      <c r="X77" s="884"/>
      <c r="Y77" s="886">
        <f>IFERROR(IF(AG$14="Trapezoidal",BY80,BX80)+IF($E$17="4",(400*E71^3)/(48*X71),0),0)</f>
        <v>0</v>
      </c>
      <c r="Z77" s="886" t="e">
        <f t="shared" ref="Z77" si="675">+($V71*MAX(-$M77,$N77)*$E71^2)/(144*8)+IF($E$17=4,(400*$E71)/4,0)</f>
        <v>#VALUE!</v>
      </c>
      <c r="AA77" s="887"/>
      <c r="AB77" s="1080" t="str">
        <f t="shared" ref="AB77" ca="1" si="676">IFERROR(Z77-AA71,"")</f>
        <v/>
      </c>
      <c r="AC77" s="1086" t="str">
        <f t="shared" ref="AC77" ca="1" si="677">IFERROR(Y77-U71,"")</f>
        <v/>
      </c>
      <c r="AD77" s="1074" t="str">
        <f t="shared" ref="AD77" si="678">AD71</f>
        <v/>
      </c>
      <c r="AE77" s="1075"/>
      <c r="AF77" s="1056"/>
      <c r="AG77" s="1057"/>
      <c r="AH77" s="1057"/>
      <c r="AI77" s="1088"/>
      <c r="AJ77" s="1089"/>
      <c r="AK77" s="162" t="str">
        <f t="shared" ca="1" si="62"/>
        <v/>
      </c>
      <c r="AL77" s="1058" t="str">
        <f t="shared" ref="AL77" si="679">IFERROR(ROUND(SQRT(P71^2+(W77/2+IF($E$17=4,200,0))^2),0),"")</f>
        <v/>
      </c>
      <c r="AM77" s="342" t="s">
        <v>669</v>
      </c>
      <c r="AN77" t="str">
        <f t="shared" ca="1" si="5"/>
        <v/>
      </c>
      <c r="AP77" s="122" t="str">
        <f t="shared" ref="AP77" si="680">_xlfn.CONCAT(AR77,AS82)</f>
        <v/>
      </c>
      <c r="AQ77" s="683" t="str">
        <f t="shared" si="65"/>
        <v/>
      </c>
      <c r="AR77" s="96" t="str">
        <f t="shared" si="3"/>
        <v/>
      </c>
      <c r="AS77" s="96" t="str">
        <f>IF(COUNTIF(imp_1,AF77)=1,"imp_1",IF(COUNTIF(imp_2,AF77)=1,"imp_2",IF(COUNTIF(imp_3,AF77)=1,"imp_3",IF(COUNTIF(impdoor,AF77)=1,"impdoor",""))))</f>
        <v/>
      </c>
      <c r="AT77" s="684" t="str">
        <f>AL77</f>
        <v/>
      </c>
      <c r="AU77" s="685" t="e">
        <f t="shared" ca="1" si="91"/>
        <v>#REF!</v>
      </c>
      <c r="AV77" s="686" t="str">
        <f ca="1">IFERROR(VLOOKUP(AU77,INDIRECT(AQ71),2,FALSE),"----")</f>
        <v>----</v>
      </c>
      <c r="AW77" s="685" t="e">
        <f t="shared" ca="1" si="92"/>
        <v>#REF!</v>
      </c>
      <c r="AX77" s="686" t="str">
        <f ca="1">IFERROR(VLOOKUP(AW77,INDIRECT(AQ72),2,FALSE),"----")</f>
        <v>----</v>
      </c>
      <c r="AY77" s="685" t="e">
        <f t="shared" ca="1" si="658"/>
        <v>#REF!</v>
      </c>
      <c r="AZ77" s="686" t="str">
        <f ca="1">IFERROR(VLOOKUP(AY77,INDIRECT(AQ73),2,FALSE),"----")</f>
        <v>----</v>
      </c>
      <c r="BA77" s="685" t="e">
        <f t="shared" ca="1" si="659"/>
        <v>#REF!</v>
      </c>
      <c r="BB77" s="686" t="str">
        <f ca="1">IFERROR(VLOOKUP(BA77,INDIRECT(AQ74),2,FALSE),"----")</f>
        <v>----</v>
      </c>
      <c r="BC77" s="685" t="e">
        <f t="shared" ca="1" si="95"/>
        <v>#REF!</v>
      </c>
      <c r="BD77" s="686" t="str">
        <f ca="1">IFERROR(VLOOKUP(BC77,INDIRECT(AQ75),2,FALSE),"----")</f>
        <v>----</v>
      </c>
      <c r="BE77" s="685" t="e">
        <f t="shared" ca="1" si="96"/>
        <v>#REF!</v>
      </c>
      <c r="BF77" s="686" t="str">
        <f ca="1">IFERROR(VLOOKUP(BE77,INDIRECT(AQ76),2,FALSE),"----")</f>
        <v>----</v>
      </c>
      <c r="BG77" s="702" t="e">
        <f t="shared" ca="1" si="97"/>
        <v>#REF!</v>
      </c>
      <c r="BH77" s="686" t="str">
        <f ca="1">IFERROR(VLOOKUP(BG77,INDIRECT(AQ77),2,FALSE),"----")</f>
        <v>----</v>
      </c>
      <c r="BI77" s="702" t="e">
        <f t="shared" ca="1" si="98"/>
        <v>#REF!</v>
      </c>
      <c r="BJ77" s="686" t="str">
        <f ca="1">IFERROR(VLOOKUP(BI77,INDIRECT(AQ78),2,FALSE),"----")</f>
        <v>----</v>
      </c>
      <c r="BK77" s="702" t="e">
        <f t="shared" ca="1" si="99"/>
        <v>#REF!</v>
      </c>
      <c r="BL77" s="686" t="str">
        <f ca="1">IFERROR(VLOOKUP(BK77,INDIRECT(AQ79),2,FALSE),"----")</f>
        <v>----</v>
      </c>
      <c r="BM77" s="702" t="e">
        <f t="shared" ca="1" si="100"/>
        <v>#REF!</v>
      </c>
      <c r="BN77" s="686" t="str">
        <f ca="1">IFERROR(VLOOKUP(BM77,INDIRECT(AQ80),2,FALSE),"----")</f>
        <v>----</v>
      </c>
      <c r="BO77" s="702" t="e">
        <f t="shared" ca="1" si="101"/>
        <v>#REF!</v>
      </c>
      <c r="BP77" s="686" t="str">
        <f ca="1">IFERROR(VLOOKUP(BO77,INDIRECT(AQ81),2,FALSE),"----")</f>
        <v>----</v>
      </c>
      <c r="BQ77" s="702" t="e">
        <f t="shared" ca="1" si="102"/>
        <v>#REF!</v>
      </c>
      <c r="BR77" s="686" t="str">
        <f ca="1">IFERROR(VLOOKUP(BQ77,INDIRECT(AQ82),2,FALSE),"----")</f>
        <v>----</v>
      </c>
      <c r="BS77" s="695">
        <f>IF(AI77="",1,IF(COUNTIF(BH71:BH82,AI77)=0,2,1))</f>
        <v>1</v>
      </c>
      <c r="BT77" s="696">
        <f>IF(AP77="1",1,IF(AF77="",1,IF(BH71=".",2,1)))</f>
        <v>1</v>
      </c>
      <c r="BU77" s="706"/>
      <c r="BV77" s="155">
        <f ca="1">IF(COUNTIF(DI71:DI82,AF77)=0,IF(AF77&lt;&gt;"",0,1),1)</f>
        <v>1</v>
      </c>
      <c r="BW77" s="157">
        <f ca="1">IFERROR(MATCH(AF77,DI71:DI82,0),1)</f>
        <v>1</v>
      </c>
      <c r="BX77" s="769" t="s">
        <v>1593</v>
      </c>
      <c r="BY77" s="769" t="s">
        <v>1629</v>
      </c>
      <c r="BZ77" s="1110"/>
      <c r="CA77" s="691" t="e">
        <f t="shared" ca="1" si="577"/>
        <v>#REF!</v>
      </c>
      <c r="CB77" s="4" t="e" cm="1">
        <f t="array" aca="1" ref="CB77" ca="1">IF(AND(INDEX(INDIRECT(BY71),CA77,4)&gt;=$AB71,INDEX(INDIRECT(BY71),CA77,5)&gt;=$S71,INDEX(INDIRECT(BY71),CA77,6)&gt;=$R71),1,0)</f>
        <v>#REF!</v>
      </c>
      <c r="CC77" s="4" t="e">
        <f t="shared" ref="CC77" ca="1" si="681">MATCH(1,OFFSET(CB71:CB82,CD76,0,COUNT(CB71:CB82)-CD76),0)</f>
        <v>#REF!</v>
      </c>
      <c r="CD77" s="4" t="e">
        <f t="shared" ca="1" si="579"/>
        <v>#REF!</v>
      </c>
      <c r="CE77" s="692" t="str" cm="1">
        <f t="array" aca="1" ref="CE77" ca="1">IFERROR(VLOOKUP(INDEX(CA71:CA82,CD77),INDIRECT(BY71),2,FALSE),"----")</f>
        <v>----</v>
      </c>
      <c r="CF77" s="691" t="e">
        <f t="shared" ca="1" si="580"/>
        <v>#N/A</v>
      </c>
      <c r="CG77" s="4" t="e">
        <f ca="1">IF(AND(INDEX(SSM,CF77,4)&gt;=$AB71,INDEX(SSM,CF77,5)&gt;=$S71,INDEX(SSM,CF77,6)&gt;=$R71),1,0)</f>
        <v>#N/A</v>
      </c>
      <c r="CH77" s="4" t="e">
        <f t="shared" ref="CH77" ca="1" si="682">MATCH(1,OFFSET(CG71:CG82,CI76,0,COUNT(CG71:CG82)-CI76),0)</f>
        <v>#REF!</v>
      </c>
      <c r="CI77" s="4" t="e">
        <f t="shared" ca="1" si="582"/>
        <v>#REF!</v>
      </c>
      <c r="CJ77" s="692" t="str">
        <f ca="1">IFERROR(IF(AD72="Nested Steel Stud (wood infill)",VLOOKUP(INDEX(CF71:CF82,CI77),SSW,2,FALSE),VLOOKUP(INDEX(CF71:CF82,CI77),SSM,2,FALSE)),"----")</f>
        <v>----</v>
      </c>
      <c r="CK77" s="691" t="e">
        <f t="shared" ca="1" si="583"/>
        <v>#N/A</v>
      </c>
      <c r="CL77" s="4" t="e">
        <f ca="1">IF(AND(INDEX(WSM,CK77,4)&gt;=$AB71,INDEX(WSM,CK77,5)&gt;=$S71,INDEX(WSM,CK77,6)&gt;=$R71),1,0)</f>
        <v>#N/A</v>
      </c>
      <c r="CM77" s="4" t="e">
        <f t="shared" ref="CM77" ca="1" si="683">MATCH(1,OFFSET(CL71:CL82,CN76,0,COUNT(CL71:CL82)-CN76),0)</f>
        <v>#REF!</v>
      </c>
      <c r="CN77" s="4" t="e">
        <f t="shared" ca="1" si="585"/>
        <v>#REF!</v>
      </c>
      <c r="CO77" s="692" t="str">
        <f ca="1">IFERROR(VLOOKUP(INDEX(CK71:CK82,CN77),WSM,2,FALSE),"----")</f>
        <v>----</v>
      </c>
      <c r="CP77" s="691" t="e">
        <f t="shared" ca="1" si="586"/>
        <v>#N/A</v>
      </c>
      <c r="CQ77" s="4" t="e">
        <f ca="1">IF(AND(INDEX(STM,CP77,4)&gt;=$AB71,INDEX(STM,CP77,5)&gt;=$S71,INDEX(STM,CP77,6)&gt;=$R71),1,0)</f>
        <v>#N/A</v>
      </c>
      <c r="CR77" s="4" t="e">
        <f t="shared" ref="CR77" ca="1" si="684">MATCH(1,OFFSET(CQ71:CQ82,CS76,0,COUNT(CQ71:CQ82)-CS76),0)</f>
        <v>#REF!</v>
      </c>
      <c r="CS77" s="4" t="e">
        <f t="shared" ca="1" si="588"/>
        <v>#REF!</v>
      </c>
      <c r="CT77" s="692" t="str">
        <f ca="1">IFERROR(VLOOKUP(INDEX(CP71:CP82,CS77),STM,2,FALSE),"----")</f>
        <v>----</v>
      </c>
      <c r="CU77" s="691" t="e">
        <f t="shared" ca="1" si="589"/>
        <v>#N/A</v>
      </c>
      <c r="CV77" s="4" t="e">
        <f ca="1">IF(AND(INDEX(ELM,CU77,4)&gt;=$AB71,INDEX(ELM,CU77,5)&gt;=$S71,INDEX(ELM,CU77,6)&gt;=$R71),1,0)</f>
        <v>#N/A</v>
      </c>
      <c r="CW77" s="4" t="e">
        <f t="shared" ref="CW77" ca="1" si="685">MATCH(1,OFFSET(CV71:CV82,CX76,0,COUNT(CV71:CV82)-CX76),0)</f>
        <v>#REF!</v>
      </c>
      <c r="CX77" s="4" t="e">
        <f t="shared" ca="1" si="591"/>
        <v>#REF!</v>
      </c>
      <c r="CY77" s="692" t="str">
        <f ca="1">IFERROR(VLOOKUP(INDEX(CU71:CU82,CX77),ELM,2,FALSE),"----")</f>
        <v>----</v>
      </c>
      <c r="CZ77" s="691" t="e">
        <f t="shared" ca="1" si="592"/>
        <v>#N/A</v>
      </c>
      <c r="DA77" s="4" t="e">
        <f ca="1">IF(LEFT($J71,7)="Clad Wo",IF(AND(INDEX(SPPWS,CZ77,4)&gt;=$AB71,INDEX(SPPWS,CZ77,5)&gt;=$S71,INDEX(SPPWS,CZ77,6)&gt;=$R71),1,0),IF(AND(INDEX(SPM,CZ77,4)&gt;=$AB71,INDEX(SPM,CZ77,5)&gt;=$S71,INDEX(SPM,CZ77,6)&gt;=$R71),1,0))</f>
        <v>#N/A</v>
      </c>
      <c r="DB77" s="4" t="e">
        <f t="shared" ref="DB77" ca="1" si="686">MATCH(1,OFFSET(DA71:DA82,DC76,0,COUNT(DA71:DA82)-DC76),0)</f>
        <v>#REF!</v>
      </c>
      <c r="DC77" s="4" t="e">
        <f t="shared" ca="1" si="594"/>
        <v>#REF!</v>
      </c>
      <c r="DD77" s="693" t="str">
        <f ca="1">IF(LEFT($J71,7)="Clad Wo",IFERROR(VLOOKUP(INDEX(CZ71:CZ82,DC77),SPPWS,2,FALSE),"----"),IFERROR(VLOOKUP(INDEX(CZ71:CZ82,DC77),SPM,2,FALSE),"----"))</f>
        <v>----</v>
      </c>
      <c r="DE77" s="691" t="e">
        <f t="shared" ca="1" si="595"/>
        <v>#REF!</v>
      </c>
      <c r="DF77" s="4" t="e" cm="1">
        <f t="array" aca="1" ref="DF77" ca="1">IF(AND(INDEX(INDIRECT(BY71),DE77,4)&gt;=$AB77,INDEX(INDIRECT(BY71),DE77,5)&gt;=$S71,INDEX(INDIRECT(BY71),DE77,6)&gt;=$R71),1,0)</f>
        <v>#REF!</v>
      </c>
      <c r="DG77" s="4" t="e">
        <f t="shared" ref="DG77" ca="1" si="687">MATCH(1,OFFSET(DF71:DF82,DH76,0,COUNT(DF71:DF82)-DH76),0)</f>
        <v>#REF!</v>
      </c>
      <c r="DH77" s="4" t="e">
        <f t="shared" ca="1" si="597"/>
        <v>#REF!</v>
      </c>
      <c r="DI77" s="692" t="str" cm="1">
        <f t="array" aca="1" ref="DI77" ca="1">IFERROR(VLOOKUP(INDEX(DE71:DE82,DH77),INDIRECT(BY71),2,FALSE),"----")</f>
        <v>----</v>
      </c>
      <c r="DJ77" s="691" t="e">
        <f t="shared" ca="1" si="598"/>
        <v>#N/A</v>
      </c>
      <c r="DK77" s="4" t="e">
        <f ca="1">IF(AND(INDEX(SSM,DJ77,4)&gt;=$AB77,INDEX(SSM,DJ77,5)&gt;=$S71,INDEX(SSM,DJ77,6)&gt;=$R71),1,0)</f>
        <v>#N/A</v>
      </c>
      <c r="DL77" s="4" t="e">
        <f t="shared" ref="DL77" ca="1" si="688">MATCH(1,OFFSET(DK71:DK82,DM76,0,COUNT(DK71:DK82)-DM76),0)</f>
        <v>#REF!</v>
      </c>
      <c r="DM77" s="4" t="e">
        <f t="shared" ca="1" si="600"/>
        <v>#REF!</v>
      </c>
      <c r="DN77" s="692" t="str">
        <f ca="1">IFERROR(IF(AD78="Nested Steel Stud (wood infill)",VLOOKUP(INDEX(DJ71:DJ82,DM77),SSW,2,FALSE),VLOOKUP(INDEX(DJ71:DJ82,DM77),SSM,2,FALSE)),"----")</f>
        <v>----</v>
      </c>
      <c r="DO77" s="691" t="e">
        <f t="shared" ca="1" si="601"/>
        <v>#N/A</v>
      </c>
      <c r="DP77" s="4" t="e">
        <f ca="1">IF(AND(INDEX(WSM,DO77,4)&gt;=$AB77,INDEX(WSM,DO77,5)&gt;=$S71,INDEX(WSM,DO77,6)&gt;=$R71),1,0)</f>
        <v>#N/A</v>
      </c>
      <c r="DQ77" s="4" t="e">
        <f t="shared" ref="DQ77" ca="1" si="689">MATCH(1,OFFSET(DP71:DP82,DR76,0,COUNT(DP71:DP82)-DR76),0)</f>
        <v>#REF!</v>
      </c>
      <c r="DR77" s="4" t="e">
        <f t="shared" ca="1" si="603"/>
        <v>#REF!</v>
      </c>
      <c r="DS77" s="692" t="str">
        <f ca="1">IFERROR(VLOOKUP(INDEX(DO71:DO82,DR77),WSM,2,FALSE),"----")</f>
        <v>----</v>
      </c>
      <c r="DT77" s="691" t="e">
        <f t="shared" ca="1" si="604"/>
        <v>#N/A</v>
      </c>
      <c r="DU77" s="4" t="e">
        <f ca="1">IF(AND(INDEX(STM,DT77,4)&gt;=$AB77,INDEX(STM,DT77,5)&gt;=$S71,INDEX(STM,DT77,6)&gt;=$R71),1,0)</f>
        <v>#N/A</v>
      </c>
      <c r="DV77" s="4" t="e">
        <f t="shared" ref="DV77" ca="1" si="690">MATCH(1,OFFSET(DU71:DU82,DW76,0,COUNT(DU71:DU82)-DW76),0)</f>
        <v>#REF!</v>
      </c>
      <c r="DW77" s="4" t="e">
        <f t="shared" ca="1" si="606"/>
        <v>#REF!</v>
      </c>
      <c r="DX77" s="692" t="str">
        <f ca="1">IFERROR(VLOOKUP(INDEX(DT71:DT82,DW77),STM,2,FALSE),"----")</f>
        <v>----</v>
      </c>
      <c r="DY77" s="691" t="e">
        <f t="shared" ca="1" si="607"/>
        <v>#N/A</v>
      </c>
      <c r="DZ77" s="4" t="e">
        <f ca="1">IF(AND(INDEX(ELM,DY77,4)&gt;=$AB77,INDEX(ELM,DY77,5)&gt;=$S71,INDEX(ELM,DY77,6)&gt;=$R71),1,0)</f>
        <v>#N/A</v>
      </c>
      <c r="EA77" s="4" t="e">
        <f t="shared" ref="EA77" ca="1" si="691">MATCH(1,OFFSET(DZ71:DZ82,EB76,0,COUNT(DZ71:DZ82)-EB76),0)</f>
        <v>#REF!</v>
      </c>
      <c r="EB77" s="4" t="e">
        <f t="shared" ca="1" si="609"/>
        <v>#REF!</v>
      </c>
      <c r="EC77" s="692" t="str">
        <f ca="1">IFERROR(VLOOKUP(INDEX(DY71:DY82,EB77),ELM,2,FALSE),"----")</f>
        <v>----</v>
      </c>
      <c r="ED77" s="691" t="e">
        <f t="shared" ca="1" si="610"/>
        <v>#N/A</v>
      </c>
      <c r="EE77" s="4" t="e">
        <f ca="1">IF(LEFT($J71,7)="Clad Wo",IF(AND(INDEX(SPPWS,ED77,4)&gt;=$AB77,INDEX(SPPWS,ED77,5)&gt;=$S71,INDEX(SPPWS,ED77,6)&gt;=$R71),1,0),IF(AND(INDEX(SPM,ED77,4)&gt;=$AB77,INDEX(SPM,ED77,5)&gt;=$S71,INDEX(SPM,ED77,6)&gt;=$R71),1,0))</f>
        <v>#N/A</v>
      </c>
      <c r="EF77" s="4" t="e">
        <f t="shared" ref="EF77" ca="1" si="692">MATCH(1,OFFSET(EE71:EE82,EG76,0,COUNT(EE71:EE82)-EG76),0)</f>
        <v>#REF!</v>
      </c>
      <c r="EG77" s="4" t="e">
        <f t="shared" ca="1" si="612"/>
        <v>#REF!</v>
      </c>
      <c r="EH77" s="692" t="str">
        <f ca="1">IF(LEFT($J71,7)="Clad Wo",IFERROR(VLOOKUP(INDEX(ED71:ED82,EG77),SPPWS,2,FALSE),"----"),IFERROR(VLOOKUP(INDEX(ED71:ED82,EG77),SPM,2,FALSE),"----"))</f>
        <v>----</v>
      </c>
    </row>
    <row r="78" spans="1:138" ht="15" customHeight="1" x14ac:dyDescent="0.25">
      <c r="A78" s="1085"/>
      <c r="B78" s="925"/>
      <c r="C78" s="926"/>
      <c r="D78" s="927"/>
      <c r="E78" s="995"/>
      <c r="F78" s="996"/>
      <c r="G78" s="997"/>
      <c r="H78" s="1062"/>
      <c r="I78" s="990"/>
      <c r="J78" s="912"/>
      <c r="K78" s="913"/>
      <c r="L78" s="1002"/>
      <c r="M78" s="923"/>
      <c r="N78" s="1042"/>
      <c r="O78" s="1018"/>
      <c r="P78" s="987"/>
      <c r="Q78" s="1015"/>
      <c r="R78" s="1012"/>
      <c r="S78" s="1006"/>
      <c r="T78" s="1007"/>
      <c r="U78" s="878"/>
      <c r="V78" s="881"/>
      <c r="W78" s="884"/>
      <c r="X78" s="884"/>
      <c r="Y78" s="887"/>
      <c r="Z78" s="887"/>
      <c r="AA78" s="887"/>
      <c r="AB78" s="1081"/>
      <c r="AC78" s="1078"/>
      <c r="AD78" s="1070" t="str">
        <f t="shared" ref="AD78" si="693">IF(ISBLANK(AD72)=TRUE,"",AD72)</f>
        <v>Nested Steel Stud</v>
      </c>
      <c r="AE78" s="1071"/>
      <c r="AF78" s="1052"/>
      <c r="AG78" s="1053"/>
      <c r="AH78" s="1053"/>
      <c r="AI78" s="1066"/>
      <c r="AJ78" s="1067"/>
      <c r="AK78" s="156" t="str">
        <f t="shared" ca="1" si="62"/>
        <v/>
      </c>
      <c r="AL78" s="1059"/>
      <c r="AM78" s="343" t="str">
        <f ca="1">IFERROR(Q71/12*ROUND(VLOOKUP(AF78,OFFSET(SSM,0,1),6,FALSE),2),"")</f>
        <v/>
      </c>
      <c r="AN78" t="str">
        <f t="shared" ca="1" si="5"/>
        <v/>
      </c>
      <c r="AP78" s="122" t="str">
        <f t="shared" ref="AP78" si="694">_xlfn.CONCAT(AR78,AS82)</f>
        <v/>
      </c>
      <c r="AQ78" s="683" t="str">
        <f t="shared" si="65"/>
        <v/>
      </c>
      <c r="AR78" s="96" t="str">
        <f t="shared" si="3"/>
        <v/>
      </c>
      <c r="AS78" s="96" t="str">
        <f>IF(COUNTIF(Vista_1,AF77)=1,"Vista_1",IF(COUNTIF(Vista_2,AF77)=1,"Vista_2",""))</f>
        <v/>
      </c>
      <c r="AT78" s="684" t="str">
        <f>AL77</f>
        <v/>
      </c>
      <c r="AU78" s="694" t="e">
        <f t="shared" ca="1" si="91"/>
        <v>#REF!</v>
      </c>
      <c r="AV78" s="686" t="str">
        <f ca="1">IFERROR(VLOOKUP(AU78,INDIRECT(AQ71),2,FALSE),"----")</f>
        <v>----</v>
      </c>
      <c r="AW78" s="694" t="e">
        <f t="shared" ca="1" si="92"/>
        <v>#REF!</v>
      </c>
      <c r="AX78" s="686" t="str">
        <f ca="1">IFERROR(VLOOKUP(AW78,INDIRECT(AQ72),2,FALSE),"----")</f>
        <v>----</v>
      </c>
      <c r="AY78" s="694" t="e">
        <f t="shared" ca="1" si="658"/>
        <v>#REF!</v>
      </c>
      <c r="AZ78" s="686" t="str">
        <f ca="1">IFERROR(VLOOKUP(AY78,INDIRECT(AQ73),2,FALSE),"----")</f>
        <v>----</v>
      </c>
      <c r="BA78" s="694" t="e">
        <f t="shared" ca="1" si="659"/>
        <v>#REF!</v>
      </c>
      <c r="BB78" s="686" t="str">
        <f ca="1">IFERROR(VLOOKUP(BA78,INDIRECT(AQ74),2,FALSE),"----")</f>
        <v>----</v>
      </c>
      <c r="BC78" s="694" t="e">
        <f t="shared" ca="1" si="95"/>
        <v>#REF!</v>
      </c>
      <c r="BD78" s="686" t="str">
        <f ca="1">IFERROR(VLOOKUP(BC78,INDIRECT(AQ75),2,FALSE),"----")</f>
        <v>----</v>
      </c>
      <c r="BE78" s="694" t="e">
        <f t="shared" ca="1" si="96"/>
        <v>#REF!</v>
      </c>
      <c r="BF78" s="686" t="str">
        <f ca="1">IFERROR(VLOOKUP(BE78,INDIRECT(AQ76),2,FALSE),"----")</f>
        <v>----</v>
      </c>
      <c r="BG78" s="702" t="e">
        <f t="shared" ca="1" si="97"/>
        <v>#REF!</v>
      </c>
      <c r="BH78" s="686" t="str">
        <f ca="1">IFERROR(VLOOKUP(BG78,INDIRECT(AQ77),2,FALSE),"----")</f>
        <v>----</v>
      </c>
      <c r="BI78" s="702" t="e">
        <f t="shared" ca="1" si="98"/>
        <v>#REF!</v>
      </c>
      <c r="BJ78" s="686" t="str">
        <f ca="1">IFERROR(VLOOKUP(BI78,INDIRECT(AQ78),2,FALSE),"----")</f>
        <v>----</v>
      </c>
      <c r="BK78" s="702" t="e">
        <f t="shared" ca="1" si="99"/>
        <v>#REF!</v>
      </c>
      <c r="BL78" s="686" t="str">
        <f ca="1">IFERROR(VLOOKUP(BK78,INDIRECT(AQ79),2,FALSE),"----")</f>
        <v>----</v>
      </c>
      <c r="BM78" s="702" t="e">
        <f t="shared" ca="1" si="100"/>
        <v>#REF!</v>
      </c>
      <c r="BN78" s="686" t="str">
        <f ca="1">IFERROR(VLOOKUP(BM78,INDIRECT(AQ80),2,FALSE),"----")</f>
        <v>----</v>
      </c>
      <c r="BO78" s="702" t="e">
        <f t="shared" ca="1" si="101"/>
        <v>#REF!</v>
      </c>
      <c r="BP78" s="686" t="str">
        <f ca="1">IFERROR(VLOOKUP(BO78,INDIRECT(AQ81),2,FALSE),"----")</f>
        <v>----</v>
      </c>
      <c r="BQ78" s="702" t="e">
        <f t="shared" ca="1" si="102"/>
        <v>#REF!</v>
      </c>
      <c r="BR78" s="686" t="str">
        <f ca="1">IFERROR(VLOOKUP(BQ78,INDIRECT(AQ82),2,FALSE),"----")</f>
        <v>----</v>
      </c>
      <c r="BS78" s="695">
        <f>IF(AI78="",1,IF(COUNTIF(BJ71:BJ82,AI78)=0,2,1))</f>
        <v>1</v>
      </c>
      <c r="BT78" s="696">
        <f>IF(AF78="",1,IF(BJ71=".",2,1))</f>
        <v>1</v>
      </c>
      <c r="BU78" s="706"/>
      <c r="BV78" s="155">
        <f ca="1">IF(COUNTIF(DN71:DN82,AF78)=0,IF(AF78&lt;&gt;"",0,1),1)</f>
        <v>1</v>
      </c>
      <c r="BW78" s="157">
        <f ca="1">IFERROR(MATCH(AF78,DN71:DN82,0),1)</f>
        <v>1</v>
      </c>
      <c r="BX78" s="769">
        <f t="shared" ref="BX78" si="695">E71*(H71+I71)/144/2</f>
        <v>0</v>
      </c>
      <c r="BY78" s="769">
        <f>SUM(IF(H71&gt;E71,E71^2/4,(H71*E71/2)-(H71^2/4))/144,IF(I71&gt;E71,E71^2/4,(I71*E71/2)-(I71^2/4))/144)</f>
        <v>0</v>
      </c>
      <c r="BZ78" s="1110"/>
      <c r="CA78" s="691" t="e">
        <f t="shared" ca="1" si="577"/>
        <v>#REF!</v>
      </c>
      <c r="CB78" s="4" t="e" cm="1">
        <f t="array" aca="1" ref="CB78" ca="1">IF(AND(INDEX(INDIRECT(BY71),CA78,4)&gt;=$AB71,INDEX(INDIRECT(BY71),CA78,5)&gt;=$S71,INDEX(INDIRECT(BY71),CA78,6)&gt;=$R71),1,0)</f>
        <v>#REF!</v>
      </c>
      <c r="CC78" s="4" t="e">
        <f t="shared" ref="CC78" ca="1" si="696">MATCH(1,OFFSET(CB71:CB82,CD77,0,COUNT(CB71:CB82)-CD77),0)</f>
        <v>#REF!</v>
      </c>
      <c r="CD78" s="4" t="e">
        <f t="shared" ca="1" si="579"/>
        <v>#REF!</v>
      </c>
      <c r="CE78" s="692" t="str" cm="1">
        <f t="array" aca="1" ref="CE78" ca="1">IFERROR(VLOOKUP(INDEX(CA71:CA82,CD78),INDIRECT(BY71),2,FALSE),"----")</f>
        <v>----</v>
      </c>
      <c r="CF78" s="691" t="e">
        <f t="shared" ca="1" si="580"/>
        <v>#N/A</v>
      </c>
      <c r="CG78" s="4" t="e">
        <f ca="1">IF(AND(INDEX(SSM,CF78,4)&gt;=$AB71,INDEX(SSM,CF78,5)&gt;=$S71,INDEX(SSM,CF78,6)&gt;=$R71),1,0)</f>
        <v>#N/A</v>
      </c>
      <c r="CH78" s="4" t="e">
        <f t="shared" ref="CH78" ca="1" si="697">MATCH(1,OFFSET(CG71:CG82,CI77,0,COUNT(CG71:CG82)-CI77),0)</f>
        <v>#REF!</v>
      </c>
      <c r="CI78" s="4" t="e">
        <f t="shared" ca="1" si="582"/>
        <v>#REF!</v>
      </c>
      <c r="CJ78" s="692" t="str">
        <f ca="1">IFERROR(IF(AD72="Nested Steel Stud (wood infill)",VLOOKUP(INDEX(CF71:CF82,CI78),SSW,2,FALSE),VLOOKUP(INDEX(CF71:CF82,CI78),SSM,2,FALSE)),"----")</f>
        <v>----</v>
      </c>
      <c r="CK78" s="691" t="e">
        <f t="shared" ca="1" si="583"/>
        <v>#N/A</v>
      </c>
      <c r="CL78" s="4" t="e">
        <f ca="1">IF(AND(INDEX(WSM,CK78,4)&gt;=$AB71,INDEX(WSM,CK78,5)&gt;=$S71,INDEX(WSM,CK78,6)&gt;=$R71),1,0)</f>
        <v>#N/A</v>
      </c>
      <c r="CM78" s="4" t="e">
        <f t="shared" ref="CM78" ca="1" si="698">MATCH(1,OFFSET(CL71:CL82,CN77,0,COUNT(CL71:CL82)-CN77),0)</f>
        <v>#REF!</v>
      </c>
      <c r="CN78" s="4" t="e">
        <f t="shared" ca="1" si="585"/>
        <v>#REF!</v>
      </c>
      <c r="CO78" s="692" t="str">
        <f ca="1">IFERROR(VLOOKUP(INDEX(CK71:CK82,CN78),WSM,2,FALSE),"----")</f>
        <v>----</v>
      </c>
      <c r="CP78" s="691" t="e">
        <f t="shared" ca="1" si="586"/>
        <v>#N/A</v>
      </c>
      <c r="CQ78" s="4" t="e">
        <f ca="1">IF(AND(INDEX(STM,CP78,4)&gt;=$AB71,INDEX(STM,CP78,5)&gt;=$S71,INDEX(STM,CP78,6)&gt;=$R71),1,0)</f>
        <v>#N/A</v>
      </c>
      <c r="CR78" s="4" t="e">
        <f t="shared" ref="CR78" ca="1" si="699">MATCH(1,OFFSET(CQ71:CQ82,CS77,0,COUNT(CQ71:CQ82)-CS77),0)</f>
        <v>#REF!</v>
      </c>
      <c r="CS78" s="4" t="e">
        <f t="shared" ca="1" si="588"/>
        <v>#REF!</v>
      </c>
      <c r="CT78" s="692" t="str">
        <f ca="1">IFERROR(VLOOKUP(INDEX(CP71:CP82,CS78),STM,2,FALSE),"----")</f>
        <v>----</v>
      </c>
      <c r="CU78" s="691" t="e">
        <f t="shared" ca="1" si="589"/>
        <v>#N/A</v>
      </c>
      <c r="CV78" s="4" t="e">
        <f ca="1">IF(AND(INDEX(ELM,CU78,4)&gt;=$AB71,INDEX(ELM,CU78,5)&gt;=$S71,INDEX(ELM,CU78,6)&gt;=$R71),1,0)</f>
        <v>#N/A</v>
      </c>
      <c r="CW78" s="4" t="e">
        <f t="shared" ref="CW78" ca="1" si="700">MATCH(1,OFFSET(CV71:CV82,CX77,0,COUNT(CV71:CV82)-CX77),0)</f>
        <v>#REF!</v>
      </c>
      <c r="CX78" s="4" t="e">
        <f t="shared" ca="1" si="591"/>
        <v>#REF!</v>
      </c>
      <c r="CY78" s="692" t="str">
        <f ca="1">IFERROR(VLOOKUP(INDEX(CU71:CU82,CX78),ELM,2,FALSE),"----")</f>
        <v>----</v>
      </c>
      <c r="CZ78" s="691" t="e">
        <f t="shared" ca="1" si="592"/>
        <v>#N/A</v>
      </c>
      <c r="DA78" s="4" t="e">
        <f ca="1">IF(LEFT($J71,7)="Clad Wo",IF(AND(INDEX(SPPWS,CZ78,4)&gt;=$AB71,INDEX(SPPWS,CZ78,5)&gt;=$S71,INDEX(SPPWS,CZ78,6)&gt;=$R71),1,0),IF(AND(INDEX(SPM,CZ78,4)&gt;=$AB71,INDEX(SPM,CZ78,5)&gt;=$S71,INDEX(SPM,CZ78,6)&gt;=$R71),1,0))</f>
        <v>#N/A</v>
      </c>
      <c r="DB78" s="4" t="e">
        <f t="shared" ref="DB78" ca="1" si="701">MATCH(1,OFFSET(DA71:DA82,DC77,0,COUNT(DA71:DA82)-DC77),0)</f>
        <v>#REF!</v>
      </c>
      <c r="DC78" s="4" t="e">
        <f t="shared" ca="1" si="594"/>
        <v>#REF!</v>
      </c>
      <c r="DD78" s="693" t="str">
        <f ca="1">IF(LEFT($J71,7)="Clad Wo",IFERROR(VLOOKUP(INDEX(CZ71:CZ82,DC78),SPPWS,2,FALSE),"----"),IFERROR(VLOOKUP(INDEX(CZ71:CZ82,DC78),SPM,2,FALSE),"----"))</f>
        <v>----</v>
      </c>
      <c r="DE78" s="691" t="e">
        <f t="shared" ca="1" si="595"/>
        <v>#REF!</v>
      </c>
      <c r="DF78" s="4" t="e" cm="1">
        <f t="array" aca="1" ref="DF78" ca="1">IF(AND(INDEX(INDIRECT(BY71),DE78,4)&gt;=$AB77,INDEX(INDIRECT(BY71),DE78,5)&gt;=$S71,INDEX(INDIRECT(BY71),DE78,6)&gt;=$R71),1,0)</f>
        <v>#REF!</v>
      </c>
      <c r="DG78" s="4" t="e">
        <f t="shared" ref="DG78" ca="1" si="702">MATCH(1,OFFSET(DF71:DF82,DH77,0,COUNT(DF71:DF82)-DH77),0)</f>
        <v>#REF!</v>
      </c>
      <c r="DH78" s="4" t="e">
        <f t="shared" ca="1" si="597"/>
        <v>#REF!</v>
      </c>
      <c r="DI78" s="692" t="str" cm="1">
        <f t="array" aca="1" ref="DI78" ca="1">IFERROR(VLOOKUP(INDEX(DE71:DE82,DH78),INDIRECT(BY71),2,FALSE),"----")</f>
        <v>----</v>
      </c>
      <c r="DJ78" s="691" t="e">
        <f t="shared" ca="1" si="598"/>
        <v>#N/A</v>
      </c>
      <c r="DK78" s="4" t="e">
        <f ca="1">IF(AND(INDEX(SSM,DJ78,4)&gt;=$AB77,INDEX(SSM,DJ78,5)&gt;=$S71,INDEX(SSM,DJ78,6)&gt;=$R71),1,0)</f>
        <v>#N/A</v>
      </c>
      <c r="DL78" s="4" t="e">
        <f t="shared" ref="DL78" ca="1" si="703">MATCH(1,OFFSET(DK71:DK82,DM77,0,COUNT(DK71:DK82)-DM77),0)</f>
        <v>#REF!</v>
      </c>
      <c r="DM78" s="4" t="e">
        <f t="shared" ca="1" si="600"/>
        <v>#REF!</v>
      </c>
      <c r="DN78" s="692" t="str">
        <f ca="1">IFERROR(IF(AD78="Nested Steel Stud (wood infill)",VLOOKUP(INDEX(DJ71:DJ82,DM78),SSW,2,FALSE),VLOOKUP(INDEX(DJ71:DJ82,DM78),SSM,2,FALSE)),"----")</f>
        <v>----</v>
      </c>
      <c r="DO78" s="691" t="e">
        <f t="shared" ca="1" si="601"/>
        <v>#N/A</v>
      </c>
      <c r="DP78" s="4" t="e">
        <f ca="1">IF(AND(INDEX(WSM,DO78,4)&gt;=$AB77,INDEX(WSM,DO78,5)&gt;=$S71,INDEX(WSM,DO78,6)&gt;=$R71),1,0)</f>
        <v>#N/A</v>
      </c>
      <c r="DQ78" s="4" t="e">
        <f t="shared" ref="DQ78" ca="1" si="704">MATCH(1,OFFSET(DP71:DP82,DR77,0,COUNT(DP71:DP82)-DR77),0)</f>
        <v>#REF!</v>
      </c>
      <c r="DR78" s="4" t="e">
        <f t="shared" ca="1" si="603"/>
        <v>#REF!</v>
      </c>
      <c r="DS78" s="692" t="str">
        <f ca="1">IFERROR(VLOOKUP(INDEX(DO71:DO82,DR78),WSM,2,FALSE),"----")</f>
        <v>----</v>
      </c>
      <c r="DT78" s="691" t="e">
        <f t="shared" ca="1" si="604"/>
        <v>#N/A</v>
      </c>
      <c r="DU78" s="4" t="e">
        <f ca="1">IF(AND(INDEX(STM,DT78,4)&gt;=$AB77,INDEX(STM,DT78,5)&gt;=$S71,INDEX(STM,DT78,6)&gt;=$R71),1,0)</f>
        <v>#N/A</v>
      </c>
      <c r="DV78" s="4" t="e">
        <f t="shared" ref="DV78" ca="1" si="705">MATCH(1,OFFSET(DU71:DU82,DW77,0,COUNT(DU71:DU82)-DW77),0)</f>
        <v>#REF!</v>
      </c>
      <c r="DW78" s="4" t="e">
        <f t="shared" ca="1" si="606"/>
        <v>#REF!</v>
      </c>
      <c r="DX78" s="692" t="str">
        <f ca="1">IFERROR(VLOOKUP(INDEX(DT71:DT82,DW78),STM,2,FALSE),"----")</f>
        <v>----</v>
      </c>
      <c r="DY78" s="691" t="e">
        <f t="shared" ca="1" si="607"/>
        <v>#N/A</v>
      </c>
      <c r="DZ78" s="4" t="e">
        <f ca="1">IF(AND(INDEX(ELM,DY78,4)&gt;=$AB77,INDEX(ELM,DY78,5)&gt;=$S71,INDEX(ELM,DY78,6)&gt;=$R71),1,0)</f>
        <v>#N/A</v>
      </c>
      <c r="EA78" s="4" t="e">
        <f t="shared" ref="EA78" ca="1" si="706">MATCH(1,OFFSET(DZ71:DZ82,EB77,0,COUNT(DZ71:DZ82)-EB77),0)</f>
        <v>#REF!</v>
      </c>
      <c r="EB78" s="4" t="e">
        <f t="shared" ca="1" si="609"/>
        <v>#REF!</v>
      </c>
      <c r="EC78" s="692" t="str">
        <f ca="1">IFERROR(VLOOKUP(INDEX(DY71:DY82,EB78),ELM,2,FALSE),"----")</f>
        <v>----</v>
      </c>
      <c r="ED78" s="691" t="e">
        <f t="shared" ca="1" si="610"/>
        <v>#N/A</v>
      </c>
      <c r="EE78" s="4" t="e">
        <f ca="1">IF(LEFT($J71,7)="Clad Wo",IF(AND(INDEX(SPPWS,ED78,4)&gt;=$AB77,INDEX(SPPWS,ED78,5)&gt;=$S71,INDEX(SPPWS,ED78,6)&gt;=$R71),1,0),IF(AND(INDEX(SPM,ED78,4)&gt;=$AB77,INDEX(SPM,ED78,5)&gt;=$S71,INDEX(SPM,ED78,6)&gt;=$R71),1,0))</f>
        <v>#N/A</v>
      </c>
      <c r="EF78" s="4" t="e">
        <f t="shared" ref="EF78" ca="1" si="707">MATCH(1,OFFSET(EE71:EE82,EG77,0,COUNT(EE71:EE82)-EG77),0)</f>
        <v>#REF!</v>
      </c>
      <c r="EG78" s="4" t="e">
        <f t="shared" ca="1" si="612"/>
        <v>#REF!</v>
      </c>
      <c r="EH78" s="692" t="str">
        <f ca="1">IF(LEFT($J71,7)="Clad Wo",IFERROR(VLOOKUP(INDEX(ED71:ED82,EG78),SPPWS,2,FALSE),"----"),IFERROR(VLOOKUP(INDEX(ED71:ED82,EG78),SPM,2,FALSE),"----"))</f>
        <v>----</v>
      </c>
    </row>
    <row r="79" spans="1:138" ht="15" customHeight="1" x14ac:dyDescent="0.25">
      <c r="A79" s="1085"/>
      <c r="B79" s="925"/>
      <c r="C79" s="926"/>
      <c r="D79" s="927"/>
      <c r="E79" s="995"/>
      <c r="F79" s="996"/>
      <c r="G79" s="997"/>
      <c r="H79" s="1062"/>
      <c r="I79" s="990"/>
      <c r="J79" s="902"/>
      <c r="K79" s="903"/>
      <c r="L79" s="1002"/>
      <c r="M79" s="923"/>
      <c r="N79" s="1042"/>
      <c r="O79" s="1018"/>
      <c r="P79" s="987"/>
      <c r="Q79" s="1015"/>
      <c r="R79" s="1012"/>
      <c r="S79" s="1006"/>
      <c r="T79" s="1007"/>
      <c r="U79" s="878"/>
      <c r="V79" s="881"/>
      <c r="W79" s="884"/>
      <c r="X79" s="884"/>
      <c r="Y79" s="887"/>
      <c r="Z79" s="887"/>
      <c r="AA79" s="887"/>
      <c r="AB79" s="1081"/>
      <c r="AC79" s="1078"/>
      <c r="AD79" s="1070" t="str">
        <f t="shared" si="233"/>
        <v>Wood Stud Framing</v>
      </c>
      <c r="AE79" s="1071"/>
      <c r="AF79" s="1052"/>
      <c r="AG79" s="1053"/>
      <c r="AH79" s="1053"/>
      <c r="AI79" s="1066"/>
      <c r="AJ79" s="1067"/>
      <c r="AK79" s="156" t="str">
        <f t="shared" ca="1" si="62"/>
        <v/>
      </c>
      <c r="AL79" s="1059"/>
      <c r="AM79" s="344" t="str">
        <f ca="1">IFERROR(Q71/12*ROUND(VLOOKUP(AF79,OFFSET(WSM,0,1),6,FALSE),2),"")</f>
        <v/>
      </c>
      <c r="AN79" t="str">
        <f t="shared" ca="1" si="5"/>
        <v/>
      </c>
      <c r="AP79" s="122" t="str">
        <f t="shared" ref="AP79" si="708">_xlfn.CONCAT(AR79,AS82)</f>
        <v/>
      </c>
      <c r="AQ79" s="683" t="str">
        <f t="shared" si="65"/>
        <v/>
      </c>
      <c r="AR79" s="4" t="str">
        <f t="shared" si="3"/>
        <v/>
      </c>
      <c r="AS79" s="4"/>
      <c r="AT79" s="697" t="str">
        <f>AL77</f>
        <v/>
      </c>
      <c r="AU79" s="694" t="e">
        <f t="shared" ca="1" si="91"/>
        <v>#REF!</v>
      </c>
      <c r="AV79" s="686" t="str">
        <f ca="1">IFERROR(VLOOKUP(AU79,INDIRECT(AQ71),2,FALSE),"----")</f>
        <v>----</v>
      </c>
      <c r="AW79" s="694" t="e">
        <f t="shared" ca="1" si="92"/>
        <v>#REF!</v>
      </c>
      <c r="AX79" s="686" t="str">
        <f ca="1">IFERROR(VLOOKUP(AW79,INDIRECT(AQ72),2,FALSE),"----")</f>
        <v>----</v>
      </c>
      <c r="AY79" s="694" t="e">
        <f t="shared" ca="1" si="658"/>
        <v>#REF!</v>
      </c>
      <c r="AZ79" s="686" t="str">
        <f ca="1">IFERROR(VLOOKUP(AY79,INDIRECT(AQ73),2,FALSE),"----")</f>
        <v>----</v>
      </c>
      <c r="BA79" s="694" t="e">
        <f t="shared" ca="1" si="659"/>
        <v>#REF!</v>
      </c>
      <c r="BB79" s="686" t="str">
        <f ca="1">IFERROR(VLOOKUP(BA79,INDIRECT(AQ74),2,FALSE),"----")</f>
        <v>----</v>
      </c>
      <c r="BC79" s="694" t="e">
        <f t="shared" ca="1" si="95"/>
        <v>#REF!</v>
      </c>
      <c r="BD79" s="686" t="str">
        <f ca="1">IFERROR(VLOOKUP(BC79,INDIRECT(AQ75),2,FALSE),"----")</f>
        <v>----</v>
      </c>
      <c r="BE79" s="694" t="e">
        <f t="shared" ca="1" si="96"/>
        <v>#REF!</v>
      </c>
      <c r="BF79" s="686" t="str">
        <f ca="1">IFERROR(VLOOKUP(BE79,INDIRECT(AQ76),2,FALSE),"----")</f>
        <v>----</v>
      </c>
      <c r="BG79" s="702" t="e">
        <f t="shared" ca="1" si="97"/>
        <v>#REF!</v>
      </c>
      <c r="BH79" s="686" t="str">
        <f ca="1">IFERROR(VLOOKUP(BG79,INDIRECT(AQ77),2,FALSE),"----")</f>
        <v>----</v>
      </c>
      <c r="BI79" s="702" t="e">
        <f t="shared" ca="1" si="98"/>
        <v>#REF!</v>
      </c>
      <c r="BJ79" s="686" t="str">
        <f ca="1">IFERROR(VLOOKUP(BI79,INDIRECT(AQ78),2,FALSE),"----")</f>
        <v>----</v>
      </c>
      <c r="BK79" s="702" t="e">
        <f t="shared" ca="1" si="99"/>
        <v>#REF!</v>
      </c>
      <c r="BL79" s="686" t="str">
        <f ca="1">IFERROR(VLOOKUP(BK79,INDIRECT(AQ79),2,FALSE),"----")</f>
        <v>----</v>
      </c>
      <c r="BM79" s="702" t="e">
        <f t="shared" ca="1" si="100"/>
        <v>#REF!</v>
      </c>
      <c r="BN79" s="686" t="str">
        <f ca="1">IFERROR(VLOOKUP(BM79,INDIRECT(AQ80),2,FALSE),"----")</f>
        <v>----</v>
      </c>
      <c r="BO79" s="702" t="e">
        <f t="shared" ca="1" si="101"/>
        <v>#REF!</v>
      </c>
      <c r="BP79" s="686" t="str">
        <f ca="1">IFERROR(VLOOKUP(BO79,INDIRECT(AQ81),2,FALSE),"----")</f>
        <v>----</v>
      </c>
      <c r="BQ79" s="702" t="e">
        <f t="shared" ca="1" si="102"/>
        <v>#REF!</v>
      </c>
      <c r="BR79" s="686" t="str">
        <f ca="1">IFERROR(VLOOKUP(BQ79,INDIRECT(AQ82),2,FALSE),"----")</f>
        <v>----</v>
      </c>
      <c r="BS79" s="695">
        <f>IF(AI79="",1,IF(COUNTIF(BL71:BL82,AI79)=0,2,1))</f>
        <v>1</v>
      </c>
      <c r="BT79" s="696">
        <f>IF(AF79="",1,IF(BL71=".",2,1))</f>
        <v>1</v>
      </c>
      <c r="BU79" s="706"/>
      <c r="BV79" s="155">
        <f ca="1">IF(COUNTIF(DS71:DS82,AF79)=0,IF(AF79&lt;&gt;"",0,1),1)</f>
        <v>1</v>
      </c>
      <c r="BW79" s="157">
        <f ca="1">IFERROR(MATCH(AF79,DS71:DS82,0),1)</f>
        <v>1</v>
      </c>
      <c r="BX79" s="769" t="e">
        <f t="shared" ref="BX79" si="709">5*E71^3*W71/(384*X71)</f>
        <v>#VALUE!</v>
      </c>
      <c r="BY79" s="769" t="e">
        <f t="shared" ref="BY79" si="710">W71*E71^3/(60*X71)</f>
        <v>#VALUE!</v>
      </c>
      <c r="BZ79" s="1110"/>
      <c r="CA79" s="691" t="e">
        <f t="shared" ca="1" si="577"/>
        <v>#REF!</v>
      </c>
      <c r="CB79" s="4" t="e" cm="1">
        <f t="array" aca="1" ref="CB79" ca="1">IF(AND(INDEX(INDIRECT(BY71),CA79,4)&gt;=$AB71,INDEX(INDIRECT(BY71),CA79,5)&gt;=$S71,INDEX(INDIRECT(BY71),CA79,6)&gt;=$R71),1,0)</f>
        <v>#REF!</v>
      </c>
      <c r="CC79" s="4" t="e">
        <f t="shared" ref="CC79" ca="1" si="711">MATCH(1,OFFSET(CB71:CB82,CD78,0,COUNT(CB71:CB82)-CD78),0)</f>
        <v>#REF!</v>
      </c>
      <c r="CD79" s="4" t="e">
        <f t="shared" ca="1" si="579"/>
        <v>#REF!</v>
      </c>
      <c r="CE79" s="692" t="str" cm="1">
        <f t="array" aca="1" ref="CE79" ca="1">IFERROR(VLOOKUP(INDEX(CA71:CA82,CD79),INDIRECT(BY71),2,FALSE),"----")</f>
        <v>----</v>
      </c>
      <c r="CF79" s="691" t="e">
        <f t="shared" ca="1" si="580"/>
        <v>#N/A</v>
      </c>
      <c r="CG79" s="4" t="e">
        <f ca="1">IF(AND(INDEX(SSM,CF79,4)&gt;=$AB71,INDEX(SSM,CF79,5)&gt;=$S71,INDEX(SSM,CF79,6)&gt;=$R71),1,0)</f>
        <v>#N/A</v>
      </c>
      <c r="CH79" s="4" t="e">
        <f t="shared" ref="CH79" ca="1" si="712">MATCH(1,OFFSET(CG71:CG82,CI78,0,COUNT(CG71:CG82)-CI78),0)</f>
        <v>#REF!</v>
      </c>
      <c r="CI79" s="4" t="e">
        <f t="shared" ca="1" si="582"/>
        <v>#REF!</v>
      </c>
      <c r="CJ79" s="692" t="str">
        <f ca="1">IFERROR(IF(AD72="Nested Steel Stud (wood infill)",VLOOKUP(INDEX(CF71:CF82,CI79),SSW,2,FALSE),VLOOKUP(INDEX(CF71:CF82,CI79),SSM,2,FALSE)),"----")</f>
        <v>----</v>
      </c>
      <c r="CK79" s="691" t="e">
        <f t="shared" ca="1" si="583"/>
        <v>#N/A</v>
      </c>
      <c r="CL79" s="4" t="e">
        <f ca="1">IF(AND(INDEX(WSM,CK79,4)&gt;=$AB71,INDEX(WSM,CK79,5)&gt;=$S71,INDEX(WSM,CK79,6)&gt;=$R71),1,0)</f>
        <v>#N/A</v>
      </c>
      <c r="CM79" s="4" t="e">
        <f t="shared" ref="CM79" ca="1" si="713">MATCH(1,OFFSET(CL71:CL82,CN78,0,COUNT(CL71:CL82)-CN78),0)</f>
        <v>#REF!</v>
      </c>
      <c r="CN79" s="4" t="e">
        <f t="shared" ca="1" si="585"/>
        <v>#REF!</v>
      </c>
      <c r="CO79" s="692" t="str">
        <f ca="1">IFERROR(VLOOKUP(INDEX(CK71:CK82,CN79),WSM,2,FALSE),"----")</f>
        <v>----</v>
      </c>
      <c r="CP79" s="691" t="e">
        <f t="shared" ca="1" si="586"/>
        <v>#N/A</v>
      </c>
      <c r="CQ79" s="4" t="e">
        <f ca="1">IF(AND(INDEX(STM,CP79,4)&gt;=$AB71,INDEX(STM,CP79,5)&gt;=$S71,INDEX(STM,CP79,6)&gt;=$R71),1,0)</f>
        <v>#N/A</v>
      </c>
      <c r="CR79" s="4" t="e">
        <f t="shared" ref="CR79" ca="1" si="714">MATCH(1,OFFSET(CQ71:CQ82,CS78,0,COUNT(CQ71:CQ82)-CS78),0)</f>
        <v>#REF!</v>
      </c>
      <c r="CS79" s="4" t="e">
        <f t="shared" ca="1" si="588"/>
        <v>#REF!</v>
      </c>
      <c r="CT79" s="692" t="str">
        <f ca="1">IFERROR(VLOOKUP(INDEX(CP71:CP82,CS79),STM,2,FALSE),"----")</f>
        <v>----</v>
      </c>
      <c r="CU79" s="691" t="e">
        <f t="shared" ca="1" si="589"/>
        <v>#N/A</v>
      </c>
      <c r="CV79" s="4" t="e">
        <f ca="1">IF(AND(INDEX(ELM,CU79,4)&gt;=$AB71,INDEX(ELM,CU79,5)&gt;=$S71,INDEX(ELM,CU79,6)&gt;=$R71),1,0)</f>
        <v>#N/A</v>
      </c>
      <c r="CW79" s="4" t="e">
        <f t="shared" ref="CW79" ca="1" si="715">MATCH(1,OFFSET(CV71:CV82,CX78,0,COUNT(CV71:CV82)-CX78),0)</f>
        <v>#REF!</v>
      </c>
      <c r="CX79" s="4" t="e">
        <f t="shared" ca="1" si="591"/>
        <v>#REF!</v>
      </c>
      <c r="CY79" s="692" t="str">
        <f ca="1">IFERROR(VLOOKUP(INDEX(CU71:CU82,CX79),ELM,2,FALSE),"----")</f>
        <v>----</v>
      </c>
      <c r="CZ79" s="691" t="e">
        <f t="shared" ca="1" si="592"/>
        <v>#N/A</v>
      </c>
      <c r="DA79" s="4" t="e">
        <f ca="1">IF(LEFT($J71,7)="Clad Wo",IF(AND(INDEX(SPPWS,CZ79,4)&gt;=$AB71,INDEX(SPPWS,CZ79,5)&gt;=$S71,INDEX(SPPWS,CZ79,6)&gt;=$R71),1,0),IF(AND(INDEX(SPM,CZ79,4)&gt;=$AB71,INDEX(SPM,CZ79,5)&gt;=$S71,INDEX(SPM,CZ79,6)&gt;=$R71),1,0))</f>
        <v>#N/A</v>
      </c>
      <c r="DB79" s="4" t="e">
        <f t="shared" ref="DB79" ca="1" si="716">MATCH(1,OFFSET(DA71:DA82,DC78,0,COUNT(DA71:DA82)-DC78),0)</f>
        <v>#REF!</v>
      </c>
      <c r="DC79" s="4" t="e">
        <f t="shared" ca="1" si="594"/>
        <v>#REF!</v>
      </c>
      <c r="DD79" s="693" t="str">
        <f ca="1">IF(LEFT($J71,7)="Clad Wo",IFERROR(VLOOKUP(INDEX(CZ71:CZ82,DC79),SPPWS,2,FALSE),"----"),IFERROR(VLOOKUP(INDEX(CZ71:CZ82,DC79),SPM,2,FALSE),"----"))</f>
        <v>----</v>
      </c>
      <c r="DE79" s="691" t="e">
        <f t="shared" ca="1" si="595"/>
        <v>#REF!</v>
      </c>
      <c r="DF79" s="4" t="e" cm="1">
        <f t="array" aca="1" ref="DF79" ca="1">IF(AND(INDEX(INDIRECT(BY71),DE79,4)&gt;=$AB77,INDEX(INDIRECT(BY71),DE79,5)&gt;=$S71,INDEX(INDIRECT(BY71),DE79,6)&gt;=$R71),1,0)</f>
        <v>#REF!</v>
      </c>
      <c r="DG79" s="4" t="e">
        <f t="shared" ref="DG79" ca="1" si="717">MATCH(1,OFFSET(DF71:DF82,DH78,0,COUNT(DF71:DF82)-DH78),0)</f>
        <v>#REF!</v>
      </c>
      <c r="DH79" s="4" t="e">
        <f t="shared" ca="1" si="597"/>
        <v>#REF!</v>
      </c>
      <c r="DI79" s="692" t="str" cm="1">
        <f t="array" aca="1" ref="DI79" ca="1">IFERROR(VLOOKUP(INDEX(DE71:DE82,DH79),INDIRECT(BY71),2,FALSE),"----")</f>
        <v>----</v>
      </c>
      <c r="DJ79" s="691" t="e">
        <f t="shared" ca="1" si="598"/>
        <v>#N/A</v>
      </c>
      <c r="DK79" s="4" t="e">
        <f ca="1">IF(AND(INDEX(SSM,DJ79,4)&gt;=$AB77,INDEX(SSM,DJ79,5)&gt;=$S71,INDEX(SSM,DJ79,6)&gt;=$R71),1,0)</f>
        <v>#N/A</v>
      </c>
      <c r="DL79" s="4" t="e">
        <f t="shared" ref="DL79" ca="1" si="718">MATCH(1,OFFSET(DK71:DK82,DM78,0,COUNT(DK71:DK82)-DM78),0)</f>
        <v>#REF!</v>
      </c>
      <c r="DM79" s="4" t="e">
        <f t="shared" ca="1" si="600"/>
        <v>#REF!</v>
      </c>
      <c r="DN79" s="692" t="str">
        <f ca="1">IFERROR(IF(AD78="Nested Steel Stud (wood infill)",VLOOKUP(INDEX(DJ71:DJ82,DM79),SSW,2,FALSE),VLOOKUP(INDEX(DJ71:DJ82,DM79),SSM,2,FALSE)),"----")</f>
        <v>----</v>
      </c>
      <c r="DO79" s="691" t="e">
        <f t="shared" ca="1" si="601"/>
        <v>#N/A</v>
      </c>
      <c r="DP79" s="4" t="e">
        <f ca="1">IF(AND(INDEX(WSM,DO79,4)&gt;=$AB77,INDEX(WSM,DO79,5)&gt;=$S71,INDEX(WSM,DO79,6)&gt;=$R71),1,0)</f>
        <v>#N/A</v>
      </c>
      <c r="DQ79" s="4" t="e">
        <f t="shared" ref="DQ79" ca="1" si="719">MATCH(1,OFFSET(DP71:DP82,DR78,0,COUNT(DP71:DP82)-DR78),0)</f>
        <v>#REF!</v>
      </c>
      <c r="DR79" s="4" t="e">
        <f t="shared" ca="1" si="603"/>
        <v>#REF!</v>
      </c>
      <c r="DS79" s="692" t="str">
        <f ca="1">IFERROR(VLOOKUP(INDEX(DO71:DO82,DR79),WSM,2,FALSE),"----")</f>
        <v>----</v>
      </c>
      <c r="DT79" s="691" t="e">
        <f t="shared" ca="1" si="604"/>
        <v>#N/A</v>
      </c>
      <c r="DU79" s="4" t="e">
        <f ca="1">IF(AND(INDEX(STM,DT79,4)&gt;=$AB77,INDEX(STM,DT79,5)&gt;=$S71,INDEX(STM,DT79,6)&gt;=$R71),1,0)</f>
        <v>#N/A</v>
      </c>
      <c r="DV79" s="4" t="e">
        <f t="shared" ref="DV79" ca="1" si="720">MATCH(1,OFFSET(DU71:DU82,DW78,0,COUNT(DU71:DU82)-DW78),0)</f>
        <v>#REF!</v>
      </c>
      <c r="DW79" s="4" t="e">
        <f t="shared" ca="1" si="606"/>
        <v>#REF!</v>
      </c>
      <c r="DX79" s="692" t="str">
        <f ca="1">IFERROR(VLOOKUP(INDEX(DT71:DT82,DW79),STM,2,FALSE),"----")</f>
        <v>----</v>
      </c>
      <c r="DY79" s="691" t="e">
        <f t="shared" ca="1" si="607"/>
        <v>#N/A</v>
      </c>
      <c r="DZ79" s="4" t="e">
        <f ca="1">IF(AND(INDEX(ELM,DY79,4)&gt;=$AB77,INDEX(ELM,DY79,5)&gt;=$S71,INDEX(ELM,DY79,6)&gt;=$R71),1,0)</f>
        <v>#N/A</v>
      </c>
      <c r="EA79" s="4" t="e">
        <f t="shared" ref="EA79" ca="1" si="721">MATCH(1,OFFSET(DZ71:DZ82,EB78,0,COUNT(DZ71:DZ82)-EB78),0)</f>
        <v>#REF!</v>
      </c>
      <c r="EB79" s="4" t="e">
        <f t="shared" ca="1" si="609"/>
        <v>#REF!</v>
      </c>
      <c r="EC79" s="692" t="str">
        <f ca="1">IFERROR(VLOOKUP(INDEX(DY71:DY82,EB79),ELM,2,FALSE),"----")</f>
        <v>----</v>
      </c>
      <c r="ED79" s="691" t="e">
        <f t="shared" ca="1" si="610"/>
        <v>#N/A</v>
      </c>
      <c r="EE79" s="4" t="e">
        <f ca="1">IF(LEFT($J71,7)="Clad Wo",IF(AND(INDEX(SPPWS,ED79,4)&gt;=$AB77,INDEX(SPPWS,ED79,5)&gt;=$S71,INDEX(SPPWS,ED79,6)&gt;=$R71),1,0),IF(AND(INDEX(SPM,ED79,4)&gt;=$AB77,INDEX(SPM,ED79,5)&gt;=$S71,INDEX(SPM,ED79,6)&gt;=$R71),1,0))</f>
        <v>#N/A</v>
      </c>
      <c r="EF79" s="4" t="e">
        <f t="shared" ref="EF79" ca="1" si="722">MATCH(1,OFFSET(EE71:EE82,EG78,0,COUNT(EE71:EE82)-EG78),0)</f>
        <v>#REF!</v>
      </c>
      <c r="EG79" s="4" t="e">
        <f t="shared" ca="1" si="612"/>
        <v>#REF!</v>
      </c>
      <c r="EH79" s="692" t="str">
        <f ca="1">IF(LEFT($J71,7)="Clad Wo",IFERROR(VLOOKUP(INDEX(ED71:ED82,EG79),SPPWS,2,FALSE),"----"),IFERROR(VLOOKUP(INDEX(ED71:ED82,EG79),SPM,2,FALSE),"----"))</f>
        <v>----</v>
      </c>
    </row>
    <row r="80" spans="1:138" ht="15" customHeight="1" x14ac:dyDescent="0.25">
      <c r="A80" s="1085"/>
      <c r="B80" s="925"/>
      <c r="C80" s="926"/>
      <c r="D80" s="927"/>
      <c r="E80" s="995"/>
      <c r="F80" s="996"/>
      <c r="G80" s="997"/>
      <c r="H80" s="1062"/>
      <c r="I80" s="990"/>
      <c r="J80" s="902"/>
      <c r="K80" s="903"/>
      <c r="L80" s="1002"/>
      <c r="M80" s="923"/>
      <c r="N80" s="1042"/>
      <c r="O80" s="1018"/>
      <c r="P80" s="987"/>
      <c r="Q80" s="1015"/>
      <c r="R80" s="1012"/>
      <c r="S80" s="1006"/>
      <c r="T80" s="1007"/>
      <c r="U80" s="878"/>
      <c r="V80" s="881"/>
      <c r="W80" s="884"/>
      <c r="X80" s="884"/>
      <c r="Y80" s="887"/>
      <c r="Z80" s="887"/>
      <c r="AA80" s="887"/>
      <c r="AB80" s="1081"/>
      <c r="AC80" s="1078"/>
      <c r="AD80" s="1070" t="str">
        <f t="shared" si="233"/>
        <v>Steel Tube</v>
      </c>
      <c r="AE80" s="1071"/>
      <c r="AF80" s="1052"/>
      <c r="AG80" s="1053"/>
      <c r="AH80" s="1053"/>
      <c r="AI80" s="1066"/>
      <c r="AJ80" s="1067"/>
      <c r="AK80" s="156" t="str">
        <f t="shared" ca="1" si="62"/>
        <v/>
      </c>
      <c r="AL80" s="1059"/>
      <c r="AM80" s="343" t="str">
        <f ca="1">IFERROR(Q71/12*ROUND(VLOOKUP(AF80,OFFSET(STM,0,1),6,FALSE),2),"")</f>
        <v/>
      </c>
      <c r="AN80" t="str">
        <f t="shared" ca="1" si="5"/>
        <v/>
      </c>
      <c r="AP80" s="122" t="str">
        <f t="shared" ref="AP80" si="723">_xlfn.CONCAT(AR80,AS82)</f>
        <v/>
      </c>
      <c r="AQ80" s="683" t="str">
        <f t="shared" si="65"/>
        <v/>
      </c>
      <c r="AR80" s="4" t="str">
        <f t="shared" si="3"/>
        <v/>
      </c>
      <c r="AS80" s="4"/>
      <c r="AT80" s="697" t="str">
        <f>AL77</f>
        <v/>
      </c>
      <c r="AU80" s="694" t="e">
        <f t="shared" ca="1" si="91"/>
        <v>#REF!</v>
      </c>
      <c r="AV80" s="686" t="str">
        <f ca="1">IFERROR(VLOOKUP(AU80,INDIRECT(AQ71),2,FALSE),"----")</f>
        <v>----</v>
      </c>
      <c r="AW80" s="694" t="e">
        <f t="shared" ca="1" si="92"/>
        <v>#REF!</v>
      </c>
      <c r="AX80" s="686" t="str">
        <f ca="1">IFERROR(VLOOKUP(AW80,INDIRECT(AQ72),2,FALSE),"----")</f>
        <v>----</v>
      </c>
      <c r="AY80" s="694" t="e">
        <f t="shared" ca="1" si="486"/>
        <v>#REF!</v>
      </c>
      <c r="AZ80" s="686" t="str">
        <f ca="1">IFERROR(VLOOKUP(AY80,INDIRECT(AQ73),2,FALSE),"----")</f>
        <v>----</v>
      </c>
      <c r="BA80" s="694" t="e">
        <f t="shared" ca="1" si="487"/>
        <v>#REF!</v>
      </c>
      <c r="BB80" s="686" t="str">
        <f ca="1">IFERROR(VLOOKUP(BA80,INDIRECT(AQ74),2,FALSE),"----")</f>
        <v>----</v>
      </c>
      <c r="BC80" s="694" t="e">
        <f t="shared" ca="1" si="95"/>
        <v>#REF!</v>
      </c>
      <c r="BD80" s="686" t="str">
        <f ca="1">IFERROR(VLOOKUP(BC80,INDIRECT(AQ75),2,FALSE),"----")</f>
        <v>----</v>
      </c>
      <c r="BE80" s="694" t="e">
        <f t="shared" ca="1" si="96"/>
        <v>#REF!</v>
      </c>
      <c r="BF80" s="686" t="str">
        <f ca="1">IFERROR(VLOOKUP(BE80,INDIRECT(AQ76),2,FALSE),"----")</f>
        <v>----</v>
      </c>
      <c r="BG80" s="702" t="e">
        <f t="shared" ca="1" si="97"/>
        <v>#REF!</v>
      </c>
      <c r="BH80" s="686" t="str">
        <f ca="1">IFERROR(VLOOKUP(BG80,INDIRECT(AQ77),2,FALSE),"----")</f>
        <v>----</v>
      </c>
      <c r="BI80" s="702" t="e">
        <f t="shared" ca="1" si="98"/>
        <v>#REF!</v>
      </c>
      <c r="BJ80" s="686" t="str">
        <f ca="1">IFERROR(VLOOKUP(BI80,INDIRECT(AQ78),2,FALSE),"----")</f>
        <v>----</v>
      </c>
      <c r="BK80" s="702" t="e">
        <f t="shared" ca="1" si="99"/>
        <v>#REF!</v>
      </c>
      <c r="BL80" s="686" t="str">
        <f ca="1">IFERROR(VLOOKUP(BK80,INDIRECT(AQ79),2,FALSE),"----")</f>
        <v>----</v>
      </c>
      <c r="BM80" s="702" t="e">
        <f t="shared" ca="1" si="100"/>
        <v>#REF!</v>
      </c>
      <c r="BN80" s="686" t="str">
        <f ca="1">IFERROR(VLOOKUP(BM80,INDIRECT(AQ80),2,FALSE),"----")</f>
        <v>----</v>
      </c>
      <c r="BO80" s="702" t="e">
        <f t="shared" ca="1" si="101"/>
        <v>#REF!</v>
      </c>
      <c r="BP80" s="686" t="str">
        <f ca="1">IFERROR(VLOOKUP(BO80,INDIRECT(AQ81),2,FALSE),"----")</f>
        <v>----</v>
      </c>
      <c r="BQ80" s="702" t="e">
        <f t="shared" ca="1" si="102"/>
        <v>#REF!</v>
      </c>
      <c r="BR80" s="686" t="str">
        <f ca="1">IFERROR(VLOOKUP(BQ80,INDIRECT(AQ82),2,FALSE),"----")</f>
        <v>----</v>
      </c>
      <c r="BS80" s="695">
        <f>IF(AI80="",1,IF(COUNTIF(BN71:BN82,AI80)=0,2,1))</f>
        <v>1</v>
      </c>
      <c r="BT80" s="696">
        <f>IF(AF80="",1,IF(BN71=".",2,1))</f>
        <v>1</v>
      </c>
      <c r="BU80" s="706"/>
      <c r="BV80" s="155">
        <f ca="1">IF(COUNTIF(DX71:DX82,AF80)=0,IF(AF80&lt;&gt;"",0,1),1)</f>
        <v>1</v>
      </c>
      <c r="BW80" s="157">
        <f ca="1">IFERROR(MATCH(AF80,DX71:DX82,0),1)</f>
        <v>1</v>
      </c>
      <c r="BX80" s="769" t="e">
        <f t="shared" ref="BX80" si="724">5*E71^3*W77/(384*X71)</f>
        <v>#VALUE!</v>
      </c>
      <c r="BY80" s="769" t="e">
        <f t="shared" ref="BY80" si="725">E71^3*W77/(60*X71)</f>
        <v>#VALUE!</v>
      </c>
      <c r="BZ80" s="1110"/>
      <c r="CA80" s="691" t="e">
        <f t="shared" ca="1" si="577"/>
        <v>#REF!</v>
      </c>
      <c r="CB80" s="4" t="e" cm="1">
        <f t="array" aca="1" ref="CB80" ca="1">IF(AND(INDEX(INDIRECT(BY71),CA80,4)&gt;=$AB71,INDEX(INDIRECT(BY71),CA80,5)&gt;=$S71,INDEX(INDIRECT(BY71),CA80,6)&gt;=$R71),1,0)</f>
        <v>#REF!</v>
      </c>
      <c r="CC80" s="4" t="e">
        <f t="shared" ref="CC80" ca="1" si="726">MATCH(1,OFFSET(CB71:CB82,CD79,0,COUNT(CB71:CB82)-CD79),0)</f>
        <v>#REF!</v>
      </c>
      <c r="CD80" s="4" t="e">
        <f t="shared" ca="1" si="579"/>
        <v>#REF!</v>
      </c>
      <c r="CE80" s="692" t="str" cm="1">
        <f t="array" aca="1" ref="CE80" ca="1">IFERROR(VLOOKUP(INDEX(CA71:CA82,CD80),INDIRECT(BY71),2,FALSE),"----")</f>
        <v>----</v>
      </c>
      <c r="CF80" s="691" t="e">
        <f t="shared" ca="1" si="580"/>
        <v>#N/A</v>
      </c>
      <c r="CG80" s="4" t="e">
        <f ca="1">IF(AND(INDEX(SSM,CF80,4)&gt;=$AB71,INDEX(SSM,CF80,5)&gt;=$S71,INDEX(SSM,CF80,6)&gt;=$R71),1,0)</f>
        <v>#N/A</v>
      </c>
      <c r="CH80" s="4" t="e">
        <f t="shared" ref="CH80" ca="1" si="727">MATCH(1,OFFSET(CG71:CG82,CI79,0,COUNT(CG71:CG82)-CI79),0)</f>
        <v>#REF!</v>
      </c>
      <c r="CI80" s="4" t="e">
        <f t="shared" ca="1" si="582"/>
        <v>#REF!</v>
      </c>
      <c r="CJ80" s="692" t="str">
        <f ca="1">IFERROR(IF(AD72="Nested Steel Stud (wood infill)",VLOOKUP(INDEX(CF71:CF82,CI80),SSW,2,FALSE),VLOOKUP(INDEX(CF71:CF82,CI80),SSM,2,FALSE)),"----")</f>
        <v>----</v>
      </c>
      <c r="CK80" s="691" t="e">
        <f t="shared" ca="1" si="583"/>
        <v>#N/A</v>
      </c>
      <c r="CL80" s="4" t="e">
        <f ca="1">IF(AND(INDEX(WSM,CK80,4)&gt;=$AB71,INDEX(WSM,CK80,5)&gt;=$S71,INDEX(WSM,CK80,6)&gt;=$R71),1,0)</f>
        <v>#N/A</v>
      </c>
      <c r="CM80" s="4" t="e">
        <f t="shared" ref="CM80" ca="1" si="728">MATCH(1,OFFSET(CL71:CL82,CN79,0,COUNT(CL71:CL82)-CN79),0)</f>
        <v>#REF!</v>
      </c>
      <c r="CN80" s="4" t="e">
        <f t="shared" ca="1" si="585"/>
        <v>#REF!</v>
      </c>
      <c r="CO80" s="692" t="str">
        <f ca="1">IFERROR(VLOOKUP(INDEX(CK71:CK82,CN80),WSM,2,FALSE),"----")</f>
        <v>----</v>
      </c>
      <c r="CP80" s="691" t="e">
        <f t="shared" ca="1" si="586"/>
        <v>#N/A</v>
      </c>
      <c r="CQ80" s="4" t="e">
        <f ca="1">IF(AND(INDEX(STM,CP80,4)&gt;=$AB71,INDEX(STM,CP80,5)&gt;=$S71,INDEX(STM,CP80,6)&gt;=$R71),1,0)</f>
        <v>#N/A</v>
      </c>
      <c r="CR80" s="4" t="e">
        <f t="shared" ref="CR80" ca="1" si="729">MATCH(1,OFFSET(CQ71:CQ82,CS79,0,COUNT(CQ71:CQ82)-CS79),0)</f>
        <v>#REF!</v>
      </c>
      <c r="CS80" s="4" t="e">
        <f t="shared" ca="1" si="588"/>
        <v>#REF!</v>
      </c>
      <c r="CT80" s="692" t="str">
        <f ca="1">IFERROR(VLOOKUP(INDEX(CP71:CP82,CS80),STM,2,FALSE),"----")</f>
        <v>----</v>
      </c>
      <c r="CU80" s="691" t="e">
        <f t="shared" ca="1" si="589"/>
        <v>#N/A</v>
      </c>
      <c r="CV80" s="4" t="e">
        <f ca="1">IF(AND(INDEX(ELM,CU80,4)&gt;=$AB71,INDEX(ELM,CU80,5)&gt;=$S71,INDEX(ELM,CU80,6)&gt;=$R71),1,0)</f>
        <v>#N/A</v>
      </c>
      <c r="CW80" s="4" t="e">
        <f t="shared" ref="CW80" ca="1" si="730">MATCH(1,OFFSET(CV71:CV82,CX79,0,COUNT(CV71:CV82)-CX79),0)</f>
        <v>#REF!</v>
      </c>
      <c r="CX80" s="4" t="e">
        <f t="shared" ca="1" si="591"/>
        <v>#REF!</v>
      </c>
      <c r="CY80" s="692" t="str">
        <f ca="1">IFERROR(VLOOKUP(INDEX(CU71:CU82,CX80),ELM,2,FALSE),"----")</f>
        <v>----</v>
      </c>
      <c r="CZ80" s="691" t="e">
        <f t="shared" ca="1" si="592"/>
        <v>#N/A</v>
      </c>
      <c r="DA80" s="4" t="e">
        <f ca="1">IF(LEFT($J71,7)="Clad Wo",IF(AND(INDEX(SPPWS,CZ80,4)&gt;=$AB71,INDEX(SPPWS,CZ80,5)&gt;=$S71,INDEX(SPPWS,CZ80,6)&gt;=$R71),1,0),IF(AND(INDEX(SPM,CZ80,4)&gt;=$AB71,INDEX(SPM,CZ80,5)&gt;=$S71,INDEX(SPM,CZ80,6)&gt;=$R71),1,0))</f>
        <v>#N/A</v>
      </c>
      <c r="DB80" s="4" t="e">
        <f t="shared" ref="DB80" ca="1" si="731">MATCH(1,OFFSET(DA71:DA82,DC79,0,COUNT(DA71:DA82)-DC79),0)</f>
        <v>#REF!</v>
      </c>
      <c r="DC80" s="4" t="e">
        <f t="shared" ca="1" si="594"/>
        <v>#REF!</v>
      </c>
      <c r="DD80" s="693" t="str">
        <f ca="1">IF(LEFT($J71,7)="Clad Wo",IFERROR(VLOOKUP(INDEX(CZ71:CZ82,DC80),SPPWS,2,FALSE),"----"),IFERROR(VLOOKUP(INDEX(CZ71:CZ82,DC80),SPM,2,FALSE),"----"))</f>
        <v>----</v>
      </c>
      <c r="DE80" s="691" t="e">
        <f t="shared" ca="1" si="595"/>
        <v>#REF!</v>
      </c>
      <c r="DF80" s="4" t="e" cm="1">
        <f t="array" aca="1" ref="DF80" ca="1">IF(AND(INDEX(INDIRECT(BY71),DE80,4)&gt;=$AB77,INDEX(INDIRECT(BY71),DE80,5)&gt;=$S71,INDEX(INDIRECT(BY71),DE80,6)&gt;=$R71),1,0)</f>
        <v>#REF!</v>
      </c>
      <c r="DG80" s="4" t="e">
        <f t="shared" ref="DG80" ca="1" si="732">MATCH(1,OFFSET(DF71:DF82,DH79,0,COUNT(DF71:DF82)-DH79),0)</f>
        <v>#REF!</v>
      </c>
      <c r="DH80" s="4" t="e">
        <f t="shared" ca="1" si="597"/>
        <v>#REF!</v>
      </c>
      <c r="DI80" s="692" t="str" cm="1">
        <f t="array" aca="1" ref="DI80" ca="1">IFERROR(VLOOKUP(INDEX(DE71:DE82,DH80),INDIRECT(BY71),2,FALSE),"----")</f>
        <v>----</v>
      </c>
      <c r="DJ80" s="691" t="e">
        <f t="shared" ca="1" si="598"/>
        <v>#N/A</v>
      </c>
      <c r="DK80" s="4" t="e">
        <f ca="1">IF(AND(INDEX(SSM,DJ80,4)&gt;=$AB77,INDEX(SSM,DJ80,5)&gt;=$S71,INDEX(SSM,DJ80,6)&gt;=$R71),1,0)</f>
        <v>#N/A</v>
      </c>
      <c r="DL80" s="4" t="e">
        <f t="shared" ref="DL80" ca="1" si="733">MATCH(1,OFFSET(DK71:DK82,DM79,0,COUNT(DK71:DK82)-DM79),0)</f>
        <v>#REF!</v>
      </c>
      <c r="DM80" s="4" t="e">
        <f t="shared" ca="1" si="600"/>
        <v>#REF!</v>
      </c>
      <c r="DN80" s="692" t="str">
        <f ca="1">IFERROR(IF(AD78="Nested Steel Stud (wood infill)",VLOOKUP(INDEX(DJ71:DJ82,DM80),SSW,2,FALSE),VLOOKUP(INDEX(DJ71:DJ82,DM80),SSM,2,FALSE)),"----")</f>
        <v>----</v>
      </c>
      <c r="DO80" s="691" t="e">
        <f t="shared" ca="1" si="601"/>
        <v>#N/A</v>
      </c>
      <c r="DP80" s="4" t="e">
        <f ca="1">IF(AND(INDEX(WSM,DO80,4)&gt;=$AB77,INDEX(WSM,DO80,5)&gt;=$S71,INDEX(WSM,DO80,6)&gt;=$R71),1,0)</f>
        <v>#N/A</v>
      </c>
      <c r="DQ80" s="4" t="e">
        <f t="shared" ref="DQ80" ca="1" si="734">MATCH(1,OFFSET(DP71:DP82,DR79,0,COUNT(DP71:DP82)-DR79),0)</f>
        <v>#REF!</v>
      </c>
      <c r="DR80" s="4" t="e">
        <f t="shared" ca="1" si="603"/>
        <v>#REF!</v>
      </c>
      <c r="DS80" s="692" t="str">
        <f ca="1">IFERROR(VLOOKUP(INDEX(DO71:DO82,DR80),WSM,2,FALSE),"----")</f>
        <v>----</v>
      </c>
      <c r="DT80" s="691" t="e">
        <f t="shared" ca="1" si="604"/>
        <v>#N/A</v>
      </c>
      <c r="DU80" s="4" t="e">
        <f ca="1">IF(AND(INDEX(STM,DT80,4)&gt;=$AB77,INDEX(STM,DT80,5)&gt;=$S71,INDEX(STM,DT80,6)&gt;=$R71),1,0)</f>
        <v>#N/A</v>
      </c>
      <c r="DV80" s="4" t="e">
        <f t="shared" ref="DV80" ca="1" si="735">MATCH(1,OFFSET(DU71:DU82,DW79,0,COUNT(DU71:DU82)-DW79),0)</f>
        <v>#REF!</v>
      </c>
      <c r="DW80" s="4" t="e">
        <f t="shared" ca="1" si="606"/>
        <v>#REF!</v>
      </c>
      <c r="DX80" s="692" t="str">
        <f ca="1">IFERROR(VLOOKUP(INDEX(DT71:DT82,DW80),STM,2,FALSE),"----")</f>
        <v>----</v>
      </c>
      <c r="DY80" s="691" t="e">
        <f t="shared" ca="1" si="607"/>
        <v>#N/A</v>
      </c>
      <c r="DZ80" s="4" t="e">
        <f ca="1">IF(AND(INDEX(ELM,DY80,4)&gt;=$AB77,INDEX(ELM,DY80,5)&gt;=$S71,INDEX(ELM,DY80,6)&gt;=$R71),1,0)</f>
        <v>#N/A</v>
      </c>
      <c r="EA80" s="4" t="e">
        <f t="shared" ref="EA80" ca="1" si="736">MATCH(1,OFFSET(DZ71:DZ82,EB79,0,COUNT(DZ71:DZ82)-EB79),0)</f>
        <v>#REF!</v>
      </c>
      <c r="EB80" s="4" t="e">
        <f t="shared" ca="1" si="609"/>
        <v>#REF!</v>
      </c>
      <c r="EC80" s="692" t="str">
        <f ca="1">IFERROR(VLOOKUP(INDEX(DY71:DY82,EB80),ELM,2,FALSE),"----")</f>
        <v>----</v>
      </c>
      <c r="ED80" s="691" t="e">
        <f t="shared" ca="1" si="610"/>
        <v>#N/A</v>
      </c>
      <c r="EE80" s="4" t="e">
        <f ca="1">IF(LEFT($J71,7)="Clad Wo",IF(AND(INDEX(SPPWS,ED80,4)&gt;=$AB77,INDEX(SPPWS,ED80,5)&gt;=$S71,INDEX(SPPWS,ED80,6)&gt;=$R71),1,0),IF(AND(INDEX(SPM,ED80,4)&gt;=$AB77,INDEX(SPM,ED80,5)&gt;=$S71,INDEX(SPM,ED80,6)&gt;=$R71),1,0))</f>
        <v>#N/A</v>
      </c>
      <c r="EF80" s="4" t="e">
        <f t="shared" ref="EF80" ca="1" si="737">MATCH(1,OFFSET(EE71:EE82,EG79,0,COUNT(EE71:EE82)-EG79),0)</f>
        <v>#REF!</v>
      </c>
      <c r="EG80" s="4" t="e">
        <f t="shared" ca="1" si="612"/>
        <v>#REF!</v>
      </c>
      <c r="EH80" s="692" t="str">
        <f ca="1">IF(LEFT($J71,7)="Clad Wo",IFERROR(VLOOKUP(INDEX(ED71:ED82,EG80),SPPWS,2,FALSE),"----"),IFERROR(VLOOKUP(INDEX(ED71:ED82,EG80),SPM,2,FALSE),"----"))</f>
        <v>----</v>
      </c>
    </row>
    <row r="81" spans="1:138" ht="15" customHeight="1" x14ac:dyDescent="0.25">
      <c r="A81" s="1085"/>
      <c r="B81" s="925"/>
      <c r="C81" s="926"/>
      <c r="D81" s="927"/>
      <c r="E81" s="995"/>
      <c r="F81" s="996"/>
      <c r="G81" s="997"/>
      <c r="H81" s="1062"/>
      <c r="I81" s="990"/>
      <c r="J81" s="902"/>
      <c r="K81" s="903"/>
      <c r="L81" s="1002"/>
      <c r="M81" s="923"/>
      <c r="N81" s="1042"/>
      <c r="O81" s="1018"/>
      <c r="P81" s="987"/>
      <c r="Q81" s="1015"/>
      <c r="R81" s="1012"/>
      <c r="S81" s="1006"/>
      <c r="T81" s="1007"/>
      <c r="U81" s="878"/>
      <c r="V81" s="881"/>
      <c r="W81" s="884"/>
      <c r="X81" s="884"/>
      <c r="Y81" s="887"/>
      <c r="Z81" s="887"/>
      <c r="AA81" s="887"/>
      <c r="AB81" s="1081"/>
      <c r="AC81" s="1078"/>
      <c r="AD81" s="1070" t="str">
        <f t="shared" si="233"/>
        <v>Engineered Lumber</v>
      </c>
      <c r="AE81" s="1071"/>
      <c r="AF81" s="1052"/>
      <c r="AG81" s="1053"/>
      <c r="AH81" s="1053"/>
      <c r="AI81" s="1068"/>
      <c r="AJ81" s="1069"/>
      <c r="AK81" s="154" t="str">
        <f t="shared" ca="1" si="62"/>
        <v/>
      </c>
      <c r="AL81" s="1059"/>
      <c r="AM81" s="344" t="str">
        <f ca="1">IFERROR(Q71/12*ROUND(VLOOKUP(AF81,OFFSET(ELM,0,1),6,FALSE),2),"")</f>
        <v/>
      </c>
      <c r="AN81" t="str">
        <f t="shared" ca="1" si="5"/>
        <v/>
      </c>
      <c r="AP81" s="122" t="str">
        <f t="shared" ref="AP81" si="738">_xlfn.CONCAT(AR81,AS82)</f>
        <v/>
      </c>
      <c r="AQ81" s="683" t="str">
        <f t="shared" si="65"/>
        <v/>
      </c>
      <c r="AR81" s="4" t="str">
        <f t="shared" si="3"/>
        <v/>
      </c>
      <c r="AS81" s="4"/>
      <c r="AT81" s="697" t="str">
        <f>AL77</f>
        <v/>
      </c>
      <c r="AU81" s="694" t="e">
        <f t="shared" ca="1" si="91"/>
        <v>#REF!</v>
      </c>
      <c r="AV81" s="698" t="str">
        <f ca="1">IFERROR(VLOOKUP(AU81,INDIRECT(AQ71),2,FALSE),"----")</f>
        <v>----</v>
      </c>
      <c r="AW81" s="694" t="e">
        <f t="shared" ca="1" si="92"/>
        <v>#REF!</v>
      </c>
      <c r="AX81" s="698" t="str">
        <f ca="1">IFERROR(VLOOKUP(AW81,INDIRECT(AQ72),2,FALSE),"----")</f>
        <v>----</v>
      </c>
      <c r="AY81" s="694" t="e">
        <f t="shared" ca="1" si="486"/>
        <v>#REF!</v>
      </c>
      <c r="AZ81" s="698" t="str">
        <f ca="1">IFERROR(VLOOKUP(AY81,INDIRECT(AQ73),2,FALSE),"----")</f>
        <v>----</v>
      </c>
      <c r="BA81" s="694" t="e">
        <f t="shared" ca="1" si="487"/>
        <v>#REF!</v>
      </c>
      <c r="BB81" s="698" t="str">
        <f ca="1">IFERROR(VLOOKUP(BA81,INDIRECT(AQ74),2,FALSE),"----")</f>
        <v>----</v>
      </c>
      <c r="BC81" s="694" t="e">
        <f t="shared" ca="1" si="95"/>
        <v>#REF!</v>
      </c>
      <c r="BD81" s="698" t="str">
        <f ca="1">IFERROR(VLOOKUP(BC81,INDIRECT(AQ75),2,FALSE),"----")</f>
        <v>----</v>
      </c>
      <c r="BE81" s="694" t="e">
        <f t="shared" ca="1" si="96"/>
        <v>#REF!</v>
      </c>
      <c r="BF81" s="698" t="str">
        <f ca="1">IFERROR(VLOOKUP(BE81,INDIRECT(AQ76),2,FALSE),"----")</f>
        <v>----</v>
      </c>
      <c r="BG81" s="702" t="e">
        <f t="shared" ca="1" si="97"/>
        <v>#REF!</v>
      </c>
      <c r="BH81" s="686" t="str">
        <f ca="1">IFERROR(VLOOKUP(BG81,INDIRECT(AQ77),2,FALSE),"----")</f>
        <v>----</v>
      </c>
      <c r="BI81" s="702" t="e">
        <f t="shared" ca="1" si="98"/>
        <v>#REF!</v>
      </c>
      <c r="BJ81" s="686" t="str">
        <f ca="1">IFERROR(VLOOKUP(BI81,INDIRECT(AQ78),2,FALSE),"----")</f>
        <v>----</v>
      </c>
      <c r="BK81" s="702" t="e">
        <f t="shared" ca="1" si="99"/>
        <v>#REF!</v>
      </c>
      <c r="BL81" s="686" t="str">
        <f ca="1">IFERROR(VLOOKUP(BK81,INDIRECT(AQ79),2,FALSE),"----")</f>
        <v>----</v>
      </c>
      <c r="BM81" s="702" t="e">
        <f t="shared" ca="1" si="100"/>
        <v>#REF!</v>
      </c>
      <c r="BN81" s="686" t="str">
        <f ca="1">IFERROR(VLOOKUP(BM81,INDIRECT(AQ80),2,FALSE),"----")</f>
        <v>----</v>
      </c>
      <c r="BO81" s="702" t="e">
        <f t="shared" ca="1" si="101"/>
        <v>#REF!</v>
      </c>
      <c r="BP81" s="686" t="str">
        <f ca="1">IFERROR(VLOOKUP(BO81,INDIRECT(AQ81),2,FALSE),"----")</f>
        <v>----</v>
      </c>
      <c r="BQ81" s="702" t="e">
        <f t="shared" ca="1" si="102"/>
        <v>#REF!</v>
      </c>
      <c r="BR81" s="686" t="str">
        <f ca="1">IFERROR(VLOOKUP(BQ81,INDIRECT(AQ82),2,FALSE),"----")</f>
        <v>----</v>
      </c>
      <c r="BS81" s="695">
        <f>IF(AI81="",1,IF(COUNTIF(BP71:BP82,AI81)=0,2,1))</f>
        <v>1</v>
      </c>
      <c r="BT81" s="696">
        <f>IF(AF81="",1,IF(BP71=".",2,1))</f>
        <v>1</v>
      </c>
      <c r="BU81" s="706"/>
      <c r="BV81" s="155">
        <f ca="1">IF(COUNTIF(EC71:EC82,AF81)=0,IF(AF81&lt;&gt;"",0,1),1)</f>
        <v>1</v>
      </c>
      <c r="BW81" s="157">
        <f ca="1">IFERROR(MATCH(AF81,EC71:EC82,0),1)</f>
        <v>1</v>
      </c>
      <c r="BX81" s="769"/>
      <c r="BY81" s="769"/>
      <c r="BZ81" s="1110"/>
      <c r="CA81" s="691" t="e">
        <f t="shared" ca="1" si="577"/>
        <v>#REF!</v>
      </c>
      <c r="CB81" s="4" t="e" cm="1">
        <f t="array" aca="1" ref="CB81" ca="1">IF(AND(INDEX(INDIRECT(BY71),CA81,4)&gt;=$AB71,INDEX(INDIRECT(BY71),CA81,5)&gt;=$S71,INDEX(INDIRECT(BY71),CA81,6)&gt;=$R71),1,0)</f>
        <v>#REF!</v>
      </c>
      <c r="CC81" s="4" t="e">
        <f t="shared" ref="CC81" ca="1" si="739">MATCH(1,OFFSET(CB71:CB82,CD80,0,COUNT(CB71:CB82)-CD80),0)</f>
        <v>#REF!</v>
      </c>
      <c r="CD81" s="4" t="e">
        <f t="shared" ca="1" si="579"/>
        <v>#REF!</v>
      </c>
      <c r="CE81" s="692" t="str" cm="1">
        <f t="array" aca="1" ref="CE81" ca="1">IFERROR(VLOOKUP(INDEX(CA71:CA82,CD81),INDIRECT(BY71),2,FALSE),"----")</f>
        <v>----</v>
      </c>
      <c r="CF81" s="691" t="e">
        <f t="shared" ca="1" si="580"/>
        <v>#N/A</v>
      </c>
      <c r="CG81" s="4" t="e">
        <f ca="1">IF(AND(INDEX(SSM,CF81,4)&gt;=$AB71,INDEX(SSM,CF81,5)&gt;=$S71,INDEX(SSM,CF81,6)&gt;=$R71),1,0)</f>
        <v>#N/A</v>
      </c>
      <c r="CH81" s="4" t="e">
        <f t="shared" ref="CH81" ca="1" si="740">MATCH(1,OFFSET(CG71:CG82,CI80,0,COUNT(CG71:CG82)-CI80),0)</f>
        <v>#REF!</v>
      </c>
      <c r="CI81" s="4" t="e">
        <f t="shared" ca="1" si="582"/>
        <v>#REF!</v>
      </c>
      <c r="CJ81" s="692" t="str">
        <f ca="1">IFERROR(IF(AD72="Nested Steel Stud (wood infill)",VLOOKUP(INDEX(CF71:CF82,CI81),SSW,2,FALSE),VLOOKUP(INDEX(CF71:CF82,CI81),SSM,2,FALSE)),"----")</f>
        <v>----</v>
      </c>
      <c r="CK81" s="691" t="e">
        <f t="shared" ca="1" si="583"/>
        <v>#N/A</v>
      </c>
      <c r="CL81" s="4" t="e">
        <f ca="1">IF(AND(INDEX(WSM,CK81,4)&gt;=$AB71,INDEX(WSM,CK81,5)&gt;=$S71,INDEX(WSM,CK81,6)&gt;=$R71),1,0)</f>
        <v>#N/A</v>
      </c>
      <c r="CM81" s="4" t="e">
        <f t="shared" ref="CM81" ca="1" si="741">MATCH(1,OFFSET(CL71:CL82,CN80,0,COUNT(CL71:CL82)-CN80),0)</f>
        <v>#REF!</v>
      </c>
      <c r="CN81" s="4" t="e">
        <f t="shared" ca="1" si="585"/>
        <v>#REF!</v>
      </c>
      <c r="CO81" s="692" t="str">
        <f ca="1">IFERROR(VLOOKUP(INDEX(CK71:CK82,CN81),WSM,2,FALSE),"----")</f>
        <v>----</v>
      </c>
      <c r="CP81" s="691" t="e">
        <f t="shared" ca="1" si="586"/>
        <v>#N/A</v>
      </c>
      <c r="CQ81" s="4" t="e">
        <f ca="1">IF(AND(INDEX(STM,CP81,4)&gt;=$AB71,INDEX(STM,CP81,5)&gt;=$S71,INDEX(STM,CP81,6)&gt;=$R71),1,0)</f>
        <v>#N/A</v>
      </c>
      <c r="CR81" s="4" t="e">
        <f t="shared" ref="CR81" ca="1" si="742">MATCH(1,OFFSET(CQ71:CQ82,CS80,0,COUNT(CQ71:CQ82)-CS80),0)</f>
        <v>#REF!</v>
      </c>
      <c r="CS81" s="4" t="e">
        <f t="shared" ca="1" si="588"/>
        <v>#REF!</v>
      </c>
      <c r="CT81" s="692" t="str">
        <f ca="1">IFERROR(VLOOKUP(INDEX(CP71:CP82,CS81),STM,2,FALSE),"----")</f>
        <v>----</v>
      </c>
      <c r="CU81" s="691" t="e">
        <f t="shared" ca="1" si="589"/>
        <v>#N/A</v>
      </c>
      <c r="CV81" s="4" t="e">
        <f ca="1">IF(AND(INDEX(ELM,CU81,4)&gt;=$AB71,INDEX(ELM,CU81,5)&gt;=$S71,INDEX(ELM,CU81,6)&gt;=$R71),1,0)</f>
        <v>#N/A</v>
      </c>
      <c r="CW81" s="4" t="e">
        <f t="shared" ref="CW81" ca="1" si="743">MATCH(1,OFFSET(CV71:CV82,CX80,0,COUNT(CV71:CV82)-CX80),0)</f>
        <v>#REF!</v>
      </c>
      <c r="CX81" s="4" t="e">
        <f t="shared" ca="1" si="591"/>
        <v>#REF!</v>
      </c>
      <c r="CY81" s="692" t="str">
        <f ca="1">IFERROR(VLOOKUP(INDEX(CU71:CU82,CX81),ELM,2,FALSE),"----")</f>
        <v>----</v>
      </c>
      <c r="CZ81" s="691" t="e">
        <f t="shared" ca="1" si="592"/>
        <v>#N/A</v>
      </c>
      <c r="DA81" s="4" t="e">
        <f ca="1">IF(LEFT($J71,7)="Clad Wo",IF(AND(INDEX(SPPWS,CZ81,4)&gt;=$AB71,INDEX(SPPWS,CZ81,5)&gt;=$S71,INDEX(SPPWS,CZ81,6)&gt;=$R71),1,0),IF(AND(INDEX(SPM,CZ81,4)&gt;=$AB71,INDEX(SPM,CZ81,5)&gt;=$S71,INDEX(SPM,CZ81,6)&gt;=$R71),1,0))</f>
        <v>#N/A</v>
      </c>
      <c r="DB81" s="4" t="e">
        <f t="shared" ref="DB81" ca="1" si="744">MATCH(1,OFFSET(DA71:DA82,DC80,0,COUNT(DA71:DA82)-DC80),0)</f>
        <v>#REF!</v>
      </c>
      <c r="DC81" s="4" t="e">
        <f t="shared" ca="1" si="594"/>
        <v>#REF!</v>
      </c>
      <c r="DD81" s="693" t="str">
        <f ca="1">IF(LEFT($J71,7)="Clad Wo",IFERROR(VLOOKUP(INDEX(CZ71:CZ82,DC81),SPPWS,2,FALSE),"----"),IFERROR(VLOOKUP(INDEX(CZ71:CZ82,DC81),SPM,2,FALSE),"----"))</f>
        <v>----</v>
      </c>
      <c r="DE81" s="691" t="e">
        <f t="shared" ca="1" si="595"/>
        <v>#REF!</v>
      </c>
      <c r="DF81" s="4" t="e" cm="1">
        <f t="array" aca="1" ref="DF81" ca="1">IF(AND(INDEX(INDIRECT(BY71),DE81,4)&gt;=$AB77,INDEX(INDIRECT(BY71),DE81,5)&gt;=$S71,INDEX(INDIRECT(BY71),DE81,6)&gt;=$R71),1,0)</f>
        <v>#REF!</v>
      </c>
      <c r="DG81" s="4" t="e">
        <f t="shared" ref="DG81" ca="1" si="745">MATCH(1,OFFSET(DF71:DF82,DH80,0,COUNT(DF71:DF82)-DH80),0)</f>
        <v>#REF!</v>
      </c>
      <c r="DH81" s="4" t="e">
        <f t="shared" ca="1" si="597"/>
        <v>#REF!</v>
      </c>
      <c r="DI81" s="692" t="str" cm="1">
        <f t="array" aca="1" ref="DI81" ca="1">IFERROR(VLOOKUP(INDEX(DE71:DE82,DH81),INDIRECT(BY71),2,FALSE),"----")</f>
        <v>----</v>
      </c>
      <c r="DJ81" s="691" t="e">
        <f t="shared" ca="1" si="598"/>
        <v>#N/A</v>
      </c>
      <c r="DK81" s="4" t="e">
        <f ca="1">IF(AND(INDEX(SSM,DJ81,4)&gt;=$AB77,INDEX(SSM,DJ81,5)&gt;=$S71,INDEX(SSM,DJ81,6)&gt;=$R71),1,0)</f>
        <v>#N/A</v>
      </c>
      <c r="DL81" s="4" t="e">
        <f t="shared" ref="DL81" ca="1" si="746">MATCH(1,OFFSET(DK71:DK82,DM80,0,COUNT(DK71:DK82)-DM80),0)</f>
        <v>#REF!</v>
      </c>
      <c r="DM81" s="4" t="e">
        <f t="shared" ca="1" si="600"/>
        <v>#REF!</v>
      </c>
      <c r="DN81" s="692" t="str">
        <f ca="1">IFERROR(IF(AD78="Nested Steel Stud (wood infill)",VLOOKUP(INDEX(DJ71:DJ82,DM81),SSW,2,FALSE),VLOOKUP(INDEX(DJ71:DJ82,DM81),SSM,2,FALSE)),"----")</f>
        <v>----</v>
      </c>
      <c r="DO81" s="691" t="e">
        <f t="shared" ca="1" si="601"/>
        <v>#N/A</v>
      </c>
      <c r="DP81" s="4" t="e">
        <f ca="1">IF(AND(INDEX(WSM,DO81,4)&gt;=$AB77,INDEX(WSM,DO81,5)&gt;=$S71,INDEX(WSM,DO81,6)&gt;=$R71),1,0)</f>
        <v>#N/A</v>
      </c>
      <c r="DQ81" s="4" t="e">
        <f t="shared" ref="DQ81" ca="1" si="747">MATCH(1,OFFSET(DP71:DP82,DR80,0,COUNT(DP71:DP82)-DR80),0)</f>
        <v>#REF!</v>
      </c>
      <c r="DR81" s="4" t="e">
        <f t="shared" ca="1" si="603"/>
        <v>#REF!</v>
      </c>
      <c r="DS81" s="692" t="str">
        <f ca="1">IFERROR(VLOOKUP(INDEX(DO71:DO82,DR81),WSM,2,FALSE),"----")</f>
        <v>----</v>
      </c>
      <c r="DT81" s="691" t="e">
        <f t="shared" ca="1" si="604"/>
        <v>#N/A</v>
      </c>
      <c r="DU81" s="4" t="e">
        <f ca="1">IF(AND(INDEX(STM,DT81,4)&gt;=$AB77,INDEX(STM,DT81,5)&gt;=$S71,INDEX(STM,DT81,6)&gt;=$R71),1,0)</f>
        <v>#N/A</v>
      </c>
      <c r="DV81" s="4" t="e">
        <f t="shared" ref="DV81" ca="1" si="748">MATCH(1,OFFSET(DU71:DU82,DW80,0,COUNT(DU71:DU82)-DW80),0)</f>
        <v>#REF!</v>
      </c>
      <c r="DW81" s="4" t="e">
        <f t="shared" ca="1" si="606"/>
        <v>#REF!</v>
      </c>
      <c r="DX81" s="692" t="str">
        <f ca="1">IFERROR(VLOOKUP(INDEX(DT71:DT82,DW81),STM,2,FALSE),"----")</f>
        <v>----</v>
      </c>
      <c r="DY81" s="691" t="e">
        <f t="shared" ca="1" si="607"/>
        <v>#N/A</v>
      </c>
      <c r="DZ81" s="4" t="e">
        <f ca="1">IF(AND(INDEX(ELM,DY81,4)&gt;=$AB77,INDEX(ELM,DY81,5)&gt;=$S71,INDEX(ELM,DY81,6)&gt;=$R71),1,0)</f>
        <v>#N/A</v>
      </c>
      <c r="EA81" s="4" t="e">
        <f t="shared" ref="EA81" ca="1" si="749">MATCH(1,OFFSET(DZ71:DZ82,EB80,0,COUNT(DZ71:DZ82)-EB80),0)</f>
        <v>#REF!</v>
      </c>
      <c r="EB81" s="4" t="e">
        <f t="shared" ca="1" si="609"/>
        <v>#REF!</v>
      </c>
      <c r="EC81" s="692" t="str">
        <f ca="1">IFERROR(VLOOKUP(INDEX(DY71:DY82,EB81),ELM,2,FALSE),"----")</f>
        <v>----</v>
      </c>
      <c r="ED81" s="691" t="e">
        <f t="shared" ca="1" si="610"/>
        <v>#N/A</v>
      </c>
      <c r="EE81" s="4" t="e">
        <f ca="1">IF(LEFT($J71,7)="Clad Wo",IF(AND(INDEX(SPPWS,ED81,4)&gt;=$AB77,INDEX(SPPWS,ED81,5)&gt;=$S71,INDEX(SPPWS,ED81,6)&gt;=$R71),1,0),IF(AND(INDEX(SPM,ED81,4)&gt;=$AB77,INDEX(SPM,ED81,5)&gt;=$S71,INDEX(SPM,ED81,6)&gt;=$R71),1,0))</f>
        <v>#N/A</v>
      </c>
      <c r="EF81" s="4" t="e">
        <f t="shared" ref="EF81" ca="1" si="750">MATCH(1,OFFSET(EE71:EE82,EG80,0,COUNT(EE71:EE82)-EG80),0)</f>
        <v>#REF!</v>
      </c>
      <c r="EG81" s="4" t="e">
        <f t="shared" ca="1" si="612"/>
        <v>#REF!</v>
      </c>
      <c r="EH81" s="692" t="str">
        <f ca="1">IF(LEFT($J71,7)="Clad Wo",IFERROR(VLOOKUP(INDEX(ED71:ED82,EG81),SPPWS,2,FALSE),"----"),IFERROR(VLOOKUP(INDEX(ED71:ED82,EG81),SPM,2,FALSE),"----"))</f>
        <v>----</v>
      </c>
    </row>
    <row r="82" spans="1:138" ht="15" customHeight="1" thickBot="1" x14ac:dyDescent="0.3">
      <c r="A82" s="1085"/>
      <c r="B82" s="928"/>
      <c r="C82" s="929"/>
      <c r="D82" s="930"/>
      <c r="E82" s="998"/>
      <c r="F82" s="999"/>
      <c r="G82" s="1000"/>
      <c r="H82" s="1063"/>
      <c r="I82" s="991"/>
      <c r="J82" s="904"/>
      <c r="K82" s="905"/>
      <c r="L82" s="1010"/>
      <c r="M82" s="1065"/>
      <c r="N82" s="1043"/>
      <c r="O82" s="1019"/>
      <c r="P82" s="988"/>
      <c r="Q82" s="1016"/>
      <c r="R82" s="1013"/>
      <c r="S82" s="1008"/>
      <c r="T82" s="1009"/>
      <c r="U82" s="879"/>
      <c r="V82" s="882"/>
      <c r="W82" s="885"/>
      <c r="X82" s="885"/>
      <c r="Y82" s="888"/>
      <c r="Z82" s="888"/>
      <c r="AA82" s="888"/>
      <c r="AB82" s="1082"/>
      <c r="AC82" s="1087"/>
      <c r="AD82" s="1098" t="str">
        <f t="shared" ref="AD82" si="751">IF(LEFT(J71,7)="Clad Wo","Pella Wood Spr / Steel Pte","Steel Plate")</f>
        <v>Steel Plate</v>
      </c>
      <c r="AE82" s="1099"/>
      <c r="AF82" s="1096"/>
      <c r="AG82" s="1097"/>
      <c r="AH82" s="1097"/>
      <c r="AI82" s="1094"/>
      <c r="AJ82" s="1095"/>
      <c r="AK82" s="163" t="str">
        <f t="shared" ca="1" si="62"/>
        <v/>
      </c>
      <c r="AL82" s="1060"/>
      <c r="AM82" s="345" t="str">
        <f ca="1">IFERROR(Q71/12*ROUND(VLOOKUP(AF82,OFFSET(SPM,0,1),6,FALSE),2),"")</f>
        <v/>
      </c>
      <c r="AN82" t="str">
        <f t="shared" ca="1" si="5"/>
        <v/>
      </c>
      <c r="AP82" s="699" t="str">
        <f t="shared" ref="AP82" si="752">_xlfn.CONCAT(AR82,AS82)</f>
        <v/>
      </c>
      <c r="AQ82" s="700" t="str">
        <f t="shared" si="65"/>
        <v/>
      </c>
      <c r="AR82" s="160" t="str">
        <f t="shared" si="3"/>
        <v/>
      </c>
      <c r="AS82" s="160" t="str">
        <f>IFERROR(VLOOKUP(J79, WallType,2,FALSE),"")</f>
        <v/>
      </c>
      <c r="AT82" s="707" t="str">
        <f>AL77</f>
        <v/>
      </c>
      <c r="AU82" s="708" t="e">
        <f t="shared" ca="1" si="91"/>
        <v>#REF!</v>
      </c>
      <c r="AV82" s="709" t="str">
        <f ca="1">IFERROR(VLOOKUP(AU82,INDIRECT(AQ71),2,FALSE),"----")</f>
        <v>----</v>
      </c>
      <c r="AW82" s="710" t="e">
        <f t="shared" ca="1" si="92"/>
        <v>#REF!</v>
      </c>
      <c r="AX82" s="709" t="str">
        <f ca="1">IFERROR(VLOOKUP(AW82,INDIRECT(AQ72),2,FALSE),"----")</f>
        <v>----</v>
      </c>
      <c r="AY82" s="710" t="e">
        <f t="shared" ca="1" si="486"/>
        <v>#REF!</v>
      </c>
      <c r="AZ82" s="709" t="str">
        <f ca="1">IFERROR(VLOOKUP(AY82,INDIRECT(AQ73),2,FALSE),"----")</f>
        <v>----</v>
      </c>
      <c r="BA82" s="710" t="e">
        <f t="shared" ca="1" si="487"/>
        <v>#REF!</v>
      </c>
      <c r="BB82" s="709" t="str">
        <f ca="1">IFERROR(VLOOKUP(BA82,INDIRECT(AQ74),2,FALSE),"----")</f>
        <v>----</v>
      </c>
      <c r="BC82" s="710" t="e">
        <f t="shared" ca="1" si="95"/>
        <v>#REF!</v>
      </c>
      <c r="BD82" s="709" t="str">
        <f ca="1">IFERROR(VLOOKUP(BC82,INDIRECT(AQ75),2,FALSE),"----")</f>
        <v>----</v>
      </c>
      <c r="BE82" s="710" t="e">
        <f t="shared" ca="1" si="96"/>
        <v>#REF!</v>
      </c>
      <c r="BF82" s="709" t="str">
        <f ca="1">IFERROR(VLOOKUP(BE82,INDIRECT(AQ76),2,FALSE),"----")</f>
        <v>----</v>
      </c>
      <c r="BG82" s="710" t="e">
        <f t="shared" ca="1" si="97"/>
        <v>#REF!</v>
      </c>
      <c r="BH82" s="711" t="str">
        <f ca="1">IFERROR(VLOOKUP(BG82,INDIRECT(AQ77),2,FALSE),"----")</f>
        <v>----</v>
      </c>
      <c r="BI82" s="710" t="e">
        <f t="shared" ca="1" si="98"/>
        <v>#REF!</v>
      </c>
      <c r="BJ82" s="711" t="str">
        <f ca="1">IFERROR(VLOOKUP(BI82,INDIRECT(AQ78),2,FALSE),"----")</f>
        <v>----</v>
      </c>
      <c r="BK82" s="710" t="e">
        <f t="shared" ca="1" si="99"/>
        <v>#REF!</v>
      </c>
      <c r="BL82" s="711" t="str">
        <f ca="1">IFERROR(VLOOKUP(BK82,INDIRECT(AQ79),2,FALSE),"----")</f>
        <v>----</v>
      </c>
      <c r="BM82" s="710" t="e">
        <f t="shared" ca="1" si="100"/>
        <v>#REF!</v>
      </c>
      <c r="BN82" s="711" t="str">
        <f ca="1">IFERROR(VLOOKUP(BM82,INDIRECT(AQ80),2,FALSE),"----")</f>
        <v>----</v>
      </c>
      <c r="BO82" s="710" t="e">
        <f t="shared" ca="1" si="101"/>
        <v>#REF!</v>
      </c>
      <c r="BP82" s="711" t="str">
        <f ca="1">IFERROR(VLOOKUP(BO82,INDIRECT(AQ81),2,FALSE),"----")</f>
        <v>----</v>
      </c>
      <c r="BQ82" s="710" t="e">
        <f t="shared" ca="1" si="102"/>
        <v>#REF!</v>
      </c>
      <c r="BR82" s="712" t="str">
        <f ca="1">IFERROR(VLOOKUP(BQ82,INDIRECT(AQ82),2,FALSE),"----")</f>
        <v>----</v>
      </c>
      <c r="BS82" s="695">
        <f>IF(AI82="",1,IF(COUNTIF(BR71:BR82,AI82)=0,2,1))</f>
        <v>1</v>
      </c>
      <c r="BT82" s="713">
        <f>IF(AF82="",1,IF(BR71=".",2,1))</f>
        <v>1</v>
      </c>
      <c r="BV82" s="155">
        <f ca="1">IF(COUNTIF(EH71:EH82,AF82)=0,IF(AF82&lt;&gt;"",0,1),1)</f>
        <v>1</v>
      </c>
      <c r="BW82" s="157">
        <f ca="1">IFERROR(MATCH(AF82,EH71:EH82,0),1)</f>
        <v>1</v>
      </c>
      <c r="BX82" s="718"/>
      <c r="BY82" s="777"/>
      <c r="BZ82" s="1110"/>
      <c r="CA82" s="714" t="e">
        <f t="shared" ca="1" si="577"/>
        <v>#REF!</v>
      </c>
      <c r="CB82" s="715" t="e" cm="1">
        <f t="array" aca="1" ref="CB82" ca="1">IF(AND(INDEX(INDIRECT(BY71),CA82,4)&gt;=$AB71,INDEX(INDIRECT(BY71),CA82,5)&gt;=$S71,INDEX(INDIRECT(BY71),CA82,6)&gt;=$R71),1,0)</f>
        <v>#REF!</v>
      </c>
      <c r="CC82" s="715" t="e">
        <f t="shared" ref="CC82" ca="1" si="753">MATCH(1,OFFSET(CB71:CB82,CD81,0,COUNT(CB71:CB82)-CD81),0)</f>
        <v>#REF!</v>
      </c>
      <c r="CD82" s="715" t="e">
        <f t="shared" ca="1" si="579"/>
        <v>#REF!</v>
      </c>
      <c r="CE82" s="716" t="str" cm="1">
        <f t="array" aca="1" ref="CE82" ca="1">IFERROR(VLOOKUP(INDEX(CA71:CA82,CD82),INDIRECT(BY71),2,FALSE),"----")</f>
        <v>----</v>
      </c>
      <c r="CF82" s="714" t="e">
        <f t="shared" ca="1" si="580"/>
        <v>#N/A</v>
      </c>
      <c r="CG82" s="715" t="e">
        <f ca="1">IF(AND(INDEX(SSM,CF82,4)&gt;=$AB71,INDEX(SSM,CF82,5)&gt;=$S71,INDEX(SSM,CF82,6)&gt;=$R71),1,0)</f>
        <v>#N/A</v>
      </c>
      <c r="CH82" s="715" t="e">
        <f t="shared" ref="CH82" ca="1" si="754">MATCH(1,OFFSET(CG71:CG82,CI81,0,COUNT(CG71:CG82)-CI81),0)</f>
        <v>#REF!</v>
      </c>
      <c r="CI82" s="715" t="e">
        <f t="shared" ca="1" si="582"/>
        <v>#REF!</v>
      </c>
      <c r="CJ82" s="716" t="str">
        <f ca="1">IFERROR(IF(AD72="Nested Steel Stud (wood infill)",VLOOKUP(INDEX(CF71:CF82,CI82),SSW,2,FALSE),VLOOKUP(INDEX(CF71:CF82,CI82),SSM,2,FALSE)),"----")</f>
        <v>----</v>
      </c>
      <c r="CK82" s="714" t="e">
        <f t="shared" ca="1" si="583"/>
        <v>#N/A</v>
      </c>
      <c r="CL82" s="715" t="e">
        <f ca="1">IF(AND(INDEX(WSM,CK82,4)&gt;=$AB71,INDEX(WSM,CK82,5)&gt;=$S71,INDEX(WSM,CK82,6)&gt;=$R71),1,0)</f>
        <v>#N/A</v>
      </c>
      <c r="CM82" s="715" t="e">
        <f t="shared" ref="CM82" ca="1" si="755">MATCH(1,OFFSET(CL71:CL82,CN81,0,COUNT(CL71:CL82)-CN81),0)</f>
        <v>#REF!</v>
      </c>
      <c r="CN82" s="715" t="e">
        <f t="shared" ca="1" si="585"/>
        <v>#REF!</v>
      </c>
      <c r="CO82" s="716" t="str">
        <f ca="1">IFERROR(VLOOKUP(INDEX(CK71:CK82,CN82),WSM,2,FALSE),"----")</f>
        <v>----</v>
      </c>
      <c r="CP82" s="714" t="e">
        <f t="shared" ca="1" si="586"/>
        <v>#N/A</v>
      </c>
      <c r="CQ82" s="715" t="e">
        <f ca="1">IF(AND(INDEX(STM,CP82,4)&gt;=$AB71,INDEX(STM,CP82,5)&gt;=$S71,INDEX(STM,CP82,6)&gt;=$R71),1,0)</f>
        <v>#N/A</v>
      </c>
      <c r="CR82" s="715" t="e">
        <f t="shared" ref="CR82" ca="1" si="756">MATCH(1,OFFSET(CQ71:CQ82,CS81,0,COUNT(CQ71:CQ82)-CS81),0)</f>
        <v>#REF!</v>
      </c>
      <c r="CS82" s="715" t="e">
        <f t="shared" ca="1" si="588"/>
        <v>#REF!</v>
      </c>
      <c r="CT82" s="716" t="str">
        <f ca="1">IFERROR(VLOOKUP(INDEX(CP71:CP82,CS82),STM,2,FALSE),"----")</f>
        <v>----</v>
      </c>
      <c r="CU82" s="714" t="e">
        <f t="shared" ca="1" si="589"/>
        <v>#N/A</v>
      </c>
      <c r="CV82" s="715" t="e">
        <f ca="1">IF(AND(INDEX(ELM,CU82,4)&gt;=$AB71,INDEX(ELM,CU82,5)&gt;=$S71,INDEX(ELM,CU82,6)&gt;=$R71),1,0)</f>
        <v>#N/A</v>
      </c>
      <c r="CW82" s="715" t="e">
        <f t="shared" ref="CW82" ca="1" si="757">MATCH(1,OFFSET(CV71:CV82,CX81,0,COUNT(CV71:CV82)-CX81),0)</f>
        <v>#REF!</v>
      </c>
      <c r="CX82" s="715" t="e">
        <f t="shared" ca="1" si="591"/>
        <v>#REF!</v>
      </c>
      <c r="CY82" s="716" t="str">
        <f ca="1">IFERROR(VLOOKUP(INDEX(CU71:CU82,CX82),ELM,2,FALSE),"----")</f>
        <v>----</v>
      </c>
      <c r="CZ82" s="714" t="e">
        <f t="shared" ca="1" si="592"/>
        <v>#N/A</v>
      </c>
      <c r="DA82" s="715" t="e">
        <f ca="1">IF(LEFT($J71,7)="Clad Wo",IF(AND(INDEX(SPPWS,CZ82,4)&gt;=$AB71,INDEX(SPPWS,CZ82,5)&gt;=$S71,INDEX(SPPWS,CZ82,6)&gt;=$R71),1,0),IF(AND(INDEX(SPM,CZ82,4)&gt;=$AB71,INDEX(SPM,CZ82,5)&gt;=$S71,INDEX(SPM,CZ82,6)&gt;=$R71),1,0))</f>
        <v>#N/A</v>
      </c>
      <c r="DB82" s="715" t="e">
        <f t="shared" ref="DB82" ca="1" si="758">MATCH(1,OFFSET(DA71:DA82,DC81,0,COUNT(DA71:DA82)-DC81),0)</f>
        <v>#REF!</v>
      </c>
      <c r="DC82" s="715" t="e">
        <f t="shared" ca="1" si="594"/>
        <v>#REF!</v>
      </c>
      <c r="DD82" s="717" t="str">
        <f ca="1">IF(LEFT($J71,7)="Clad Wo",IFERROR(VLOOKUP(INDEX(CZ71:CZ82,DC82),SPPWS,2,FALSE),"----"),IFERROR(VLOOKUP(INDEX(CZ71:CZ82,DC82),SPM,2,FALSE),"----"))</f>
        <v>----</v>
      </c>
      <c r="DE82" s="714" t="e">
        <f t="shared" ca="1" si="595"/>
        <v>#REF!</v>
      </c>
      <c r="DF82" s="715" t="e" cm="1">
        <f t="array" aca="1" ref="DF82" ca="1">IF(AND(INDEX(INDIRECT(BY71),DE82,4)&gt;=$AB77,INDEX(INDIRECT(BY71),DE82,5)&gt;=$S71,INDEX(INDIRECT(BY71),DE82,6)&gt;=$R71),1,0)</f>
        <v>#REF!</v>
      </c>
      <c r="DG82" s="715" t="e">
        <f t="shared" ref="DG82" ca="1" si="759">MATCH(1,OFFSET(DF71:DF82,DH81,0,COUNT(DF71:DF82)-DH81),0)</f>
        <v>#REF!</v>
      </c>
      <c r="DH82" s="715" t="e">
        <f t="shared" ca="1" si="597"/>
        <v>#REF!</v>
      </c>
      <c r="DI82" s="716" t="str" cm="1">
        <f t="array" aca="1" ref="DI82" ca="1">IFERROR(VLOOKUP(INDEX(DE71:DE82,DH82),INDIRECT(BY71),2,FALSE),"----")</f>
        <v>----</v>
      </c>
      <c r="DJ82" s="714" t="e">
        <f t="shared" ca="1" si="598"/>
        <v>#N/A</v>
      </c>
      <c r="DK82" s="715" t="e">
        <f ca="1">IF(AND(INDEX(SSM,DJ82,4)&gt;=$AB77,INDEX(SSM,DJ82,5)&gt;=$S71,INDEX(SSM,DJ82,6)&gt;=$R71),1,0)</f>
        <v>#N/A</v>
      </c>
      <c r="DL82" s="715" t="e">
        <f t="shared" ref="DL82" ca="1" si="760">MATCH(1,OFFSET(DK71:DK82,DM81,0,COUNT(DK71:DK82)-DM81),0)</f>
        <v>#REF!</v>
      </c>
      <c r="DM82" s="715" t="e">
        <f t="shared" ca="1" si="600"/>
        <v>#REF!</v>
      </c>
      <c r="DN82" s="716" t="str">
        <f ca="1">IFERROR(IF(AD78="Nested Steel Stud (wood infill)",VLOOKUP(INDEX(DJ71:DJ82,DM82),SSW,2,FALSE),VLOOKUP(INDEX(DJ71:DJ82,DM82),SSM,2,FALSE)),"----")</f>
        <v>----</v>
      </c>
      <c r="DO82" s="714" t="e">
        <f t="shared" ca="1" si="601"/>
        <v>#N/A</v>
      </c>
      <c r="DP82" s="715" t="e">
        <f ca="1">IF(AND(INDEX(WSM,DO82,4)&gt;=$AB77,INDEX(WSM,DO82,5)&gt;=$S71,INDEX(WSM,DO82,6)&gt;=$R71),1,0)</f>
        <v>#N/A</v>
      </c>
      <c r="DQ82" s="715" t="e">
        <f t="shared" ref="DQ82" ca="1" si="761">MATCH(1,OFFSET(DP71:DP82,DR81,0,COUNT(DP71:DP82)-DR81),0)</f>
        <v>#REF!</v>
      </c>
      <c r="DR82" s="715" t="e">
        <f t="shared" ca="1" si="603"/>
        <v>#REF!</v>
      </c>
      <c r="DS82" s="716" t="str">
        <f ca="1">IFERROR(VLOOKUP(INDEX(DO71:DO82,DR82),WSM,2,FALSE),"----")</f>
        <v>----</v>
      </c>
      <c r="DT82" s="714" t="e">
        <f t="shared" ca="1" si="604"/>
        <v>#N/A</v>
      </c>
      <c r="DU82" s="715" t="e">
        <f ca="1">IF(AND(INDEX(STM,DT82,4)&gt;=$AB77,INDEX(STM,DT82,5)&gt;=$S71,INDEX(STM,DT82,6)&gt;=$R71),1,0)</f>
        <v>#N/A</v>
      </c>
      <c r="DV82" s="715" t="e">
        <f t="shared" ref="DV82" ca="1" si="762">MATCH(1,OFFSET(DU71:DU82,DW81,0,COUNT(DU71:DU82)-DW81),0)</f>
        <v>#REF!</v>
      </c>
      <c r="DW82" s="715" t="e">
        <f t="shared" ca="1" si="606"/>
        <v>#REF!</v>
      </c>
      <c r="DX82" s="716" t="str">
        <f ca="1">IFERROR(VLOOKUP(INDEX(DT71:DT82,DW82),STM,2,FALSE),"----")</f>
        <v>----</v>
      </c>
      <c r="DY82" s="714" t="e">
        <f t="shared" ca="1" si="607"/>
        <v>#N/A</v>
      </c>
      <c r="DZ82" s="715" t="e">
        <f ca="1">IF(AND(INDEX(ELM,DY82,4)&gt;=$AB77,INDEX(ELM,DY82,5)&gt;=$S71,INDEX(ELM,DY82,6)&gt;=$R71),1,0)</f>
        <v>#N/A</v>
      </c>
      <c r="EA82" s="715" t="e">
        <f t="shared" ref="EA82" ca="1" si="763">MATCH(1,OFFSET(DZ71:DZ82,EB81,0,COUNT(DZ71:DZ82)-EB81),0)</f>
        <v>#REF!</v>
      </c>
      <c r="EB82" s="715" t="e">
        <f t="shared" ca="1" si="609"/>
        <v>#REF!</v>
      </c>
      <c r="EC82" s="716" t="str">
        <f ca="1">IFERROR(VLOOKUP(INDEX(DY71:DY82,EB82),ELM,2,FALSE),"----")</f>
        <v>----</v>
      </c>
      <c r="ED82" s="714" t="e">
        <f t="shared" ca="1" si="610"/>
        <v>#N/A</v>
      </c>
      <c r="EE82" s="715" t="e">
        <f ca="1">IF(LEFT($J71,7)="Clad Wo",IF(AND(INDEX(SPPWS,ED82,4)&gt;=$AB77,INDEX(SPPWS,ED82,5)&gt;=$S71,INDEX(SPPWS,ED82,6)&gt;=$R71),1,0),IF(AND(INDEX(SPM,ED82,4)&gt;=$AB77,INDEX(SPM,ED82,5)&gt;=$S71,INDEX(SPM,ED82,6)&gt;=$R71),1,0))</f>
        <v>#N/A</v>
      </c>
      <c r="EF82" s="715" t="e">
        <f t="shared" ref="EF82" ca="1" si="764">MATCH(1,OFFSET(EE71:EE82,EG81,0,COUNT(EE71:EE82)-EG81),0)</f>
        <v>#REF!</v>
      </c>
      <c r="EG82" s="715" t="e">
        <f t="shared" ca="1" si="612"/>
        <v>#REF!</v>
      </c>
      <c r="EH82" s="716" t="str">
        <f ca="1">IF(LEFT($J71,7)="Clad Wo",IFERROR(VLOOKUP(INDEX(ED71:ED82,EG82),SPPWS,2,FALSE),"----"),IFERROR(VLOOKUP(INDEX(ED71:ED82,EG82),SPM,2,FALSE),"----"))</f>
        <v>----</v>
      </c>
    </row>
    <row r="83" spans="1:138" ht="15" customHeight="1" thickTop="1" x14ac:dyDescent="0.25">
      <c r="A83" s="1085"/>
      <c r="B83" s="931" t="s">
        <v>92</v>
      </c>
      <c r="C83" s="932"/>
      <c r="D83" s="933"/>
      <c r="E83" s="992"/>
      <c r="F83" s="993"/>
      <c r="G83" s="994"/>
      <c r="H83" s="1061"/>
      <c r="I83" s="1076"/>
      <c r="J83" s="906"/>
      <c r="K83" s="907"/>
      <c r="L83" s="1002">
        <f>$W$3</f>
        <v>4</v>
      </c>
      <c r="M83" s="923" t="str">
        <f t="shared" ref="M83" si="765">IFERROR(IF($AE$13="",IF($AG$19="Wind Loading",MIN($V$31,IF(E$11="ASCE 7-05",$U$26,$V$7)*$V$9*(IF($E$12&lt;60,0.0771*LN(MAX(MIN(500,O83),10)) -1.2737,IF($E$11="ASCE 7-22",0.0524*LN(MAX(MIN(500,O83),50))-1.0278,0.0614*LN(MAX(MIN(500,O83),20)) -1.0829))-$V$8)),$V$7*IF(E$12&lt;60,$V$13*($V$15*0.0771*LN(MAX(MIN(500,O83),10))-1.2737-$V$16),$V$13*$V$15*((0.0524*LN(MAX(MIN(500,O83),20))-1.0278)-$V$16))),-ABS($AE$13)),"")</f>
        <v/>
      </c>
      <c r="N83" s="1042" t="str">
        <f t="shared" ref="N83" si="766">IFERROR(IF($AE$15="",IF($AG$19="Wind Loading",MAX($U$31,IF(E$11="ASCE 7-05",$U$26,$V$7)*$V$9*((IF($E$12&lt;60,-0.077*LN(MAX(MIN(500,O83),10))+1.1737,IF($E$11="ASCE 7-22",-0.077*LN(MAX(MIN(500,O83),20))+1.0798,-0.093*LN(MAX(MIN(500,O83),20))+1.1776)))+$V$8)),$V$7*IF(E$12&lt;60,$V$13*($V$15*(-0.077*LN(MAX(MIN(500,O83),10))+1.1737)-$V$17),$V$13*$V$15*((-0.077*LN(MAX(MIN(500,O83),20))+1.0798)-$V$17))),ABS($AE$15)),"")</f>
        <v/>
      </c>
      <c r="O83" s="1017" t="str">
        <f>IF(BX90=0,"",IF(AG$14="Trapezoidal",BY90,BX90))</f>
        <v/>
      </c>
      <c r="P83" s="986"/>
      <c r="Q83" s="1014"/>
      <c r="R83" s="1011">
        <f>P83*Q83/8</f>
        <v>0</v>
      </c>
      <c r="S83" s="1004">
        <f t="shared" ref="S83" si="767">IF(5*(P83*Q83^3/(384*0.125))=0,0,5*(P83*Q83^3/(384*0.125)))</f>
        <v>0</v>
      </c>
      <c r="T83" s="1005"/>
      <c r="U83" s="877" t="e">
        <f ca="1">VLOOKUP(J87,INDIRECT(VLOOKUP(J83,FrameStrength,2,FALSE)),3,FALSE)</f>
        <v>#N/A</v>
      </c>
      <c r="V83" s="880">
        <f t="shared" ref="V83" si="768">(H83+I83)/2</f>
        <v>0</v>
      </c>
      <c r="W83" s="883" t="e">
        <f t="shared" ref="W83" si="769">MAX(-M83,N83)*O83</f>
        <v>#VALUE!</v>
      </c>
      <c r="X83" s="883">
        <f t="shared" ref="X83" si="770">IF(E83&gt;162,(E83/240+0.25),IF(AND(E83&lt;162,E83/175&lt;0.75),E83/175,0.75))</f>
        <v>0</v>
      </c>
      <c r="Y83" s="886">
        <f>IFERROR(IF(AG$14="Trapezoidal",BY91,BX91)+IF($E$17="4",(400*E83^3)/(48*X83),0),0)</f>
        <v>0</v>
      </c>
      <c r="Z83" s="886" t="e">
        <f t="shared" ref="Z83" si="771">+($V83*MAX(-$M83,$N83)*$E83^2)/(144*8)+IF($E$17=4,(400*$E83)/4,0)</f>
        <v>#VALUE!</v>
      </c>
      <c r="AA83" s="886" t="e">
        <f ca="1">VLOOKUP(J87,INDIRECT(VLOOKUP(J83,FrameStrength,2,FALSE)),2,FALSE)</f>
        <v>#N/A</v>
      </c>
      <c r="AB83" s="1083" t="str">
        <f t="shared" ref="AB83" ca="1" si="772">IFERROR(Z83-AA83,"")</f>
        <v/>
      </c>
      <c r="AC83" s="1077" t="str">
        <f t="shared" ref="AC83" ca="1" si="773">IFERROR(Y83-U83,"")</f>
        <v/>
      </c>
      <c r="AD83" s="1100" t="str">
        <f>IFERROR(IF(LEFT(J87,2)="As",VLOOKUP(J87,EIMM,4,FALSE),VLOOKUP(J83,EIMM,4,FALSE)),IF(AND(ISNUMBER(SEARCH("Impervia",J83)),ISNUMBER(SEARCH("door",J87))),'New Lookup Cells'!AF$10,IF(ISNUMBER(SEARCH("Impervia",J83)),'New Lookup Cells'!AF$7,IF(AND(ISNUMBER(SEARCH("250",J83)),ISNUMBER(SEARCH("door",J87))),'New Lookup Cells'!AF$14,IF(ISNUMBER(SEARCH("250",J83)),'New Lookup Cells'!AF$13,"")))))</f>
        <v/>
      </c>
      <c r="AE83" s="1101"/>
      <c r="AF83" s="1050"/>
      <c r="AG83" s="1051"/>
      <c r="AH83" s="1051"/>
      <c r="AI83" s="1088"/>
      <c r="AJ83" s="1089"/>
      <c r="AK83" s="154" t="str">
        <f t="shared" ca="1" si="62"/>
        <v/>
      </c>
      <c r="AL83" s="1038" t="str">
        <f t="shared" ref="AL83" si="774">IFERROR(ROUND(SQRT(P83^2+(W83/2+IF($E$17=4,200,0))^2),0),"")</f>
        <v/>
      </c>
      <c r="AM83" s="342" t="s">
        <v>669</v>
      </c>
      <c r="AN83" t="str">
        <f t="shared" ca="1" si="5"/>
        <v/>
      </c>
      <c r="AP83" s="122" t="str">
        <f t="shared" ref="AP83" si="775">_xlfn.CONCAT(AR83,AS88)</f>
        <v/>
      </c>
      <c r="AQ83" s="683" t="str">
        <f t="shared" si="65"/>
        <v/>
      </c>
      <c r="AR83" s="96" t="str">
        <f t="shared" si="3"/>
        <v/>
      </c>
      <c r="AS83" s="96" t="str">
        <f>IF(COUNTIF(imp_1,AF83)=1,"imp_1",IF(COUNTIF(imp_2,AF83)=1,"imp_2",IF(COUNTIF(imp_3,AF83)=1,"imp_3",IF(COUNTIF(impdoor,AF83)=1,"impdoor",""))))</f>
        <v/>
      </c>
      <c r="AT83" s="684" t="str">
        <f>AL83</f>
        <v/>
      </c>
      <c r="AU83" s="685" t="e">
        <f ca="1">MATCH(AL83,INDIRECT(AP83),-1)</f>
        <v>#REF!</v>
      </c>
      <c r="AV83" s="686" t="str">
        <f ca="1">IFERROR(VLOOKUP(AU83,INDIRECT(AQ83),2,FALSE),"----")</f>
        <v>----</v>
      </c>
      <c r="AW83" s="685" t="e">
        <f ca="1">MATCH(AL83,INDIRECT(AP84),-1)</f>
        <v>#REF!</v>
      </c>
      <c r="AX83" s="686" t="str">
        <f ca="1">IFERROR(VLOOKUP(AW83,INDIRECT(AQ84),2,FALSE),"----")</f>
        <v>----</v>
      </c>
      <c r="AY83" s="685" t="e">
        <f ca="1">MATCH(AL83,INDIRECT(AP85),-1)</f>
        <v>#REF!</v>
      </c>
      <c r="AZ83" s="686" t="str">
        <f ca="1">IFERROR(VLOOKUP(AY83,INDIRECT(AQ85),2,FALSE),"----")</f>
        <v>----</v>
      </c>
      <c r="BA83" s="685" t="e">
        <f ca="1">MATCH(AL83,INDIRECT(AP86),-1)</f>
        <v>#REF!</v>
      </c>
      <c r="BB83" s="686" t="str">
        <f ca="1">IFERROR(VLOOKUP(BA83,INDIRECT(AQ86),2,FALSE),"----")</f>
        <v>----</v>
      </c>
      <c r="BC83" s="685" t="e">
        <f ca="1">MATCH(AL83,INDIRECT(AP87),-1)</f>
        <v>#REF!</v>
      </c>
      <c r="BD83" s="686" t="str">
        <f ca="1">IFERROR(VLOOKUP(BC83,INDIRECT(AQ87),2,FALSE),"----")</f>
        <v>----</v>
      </c>
      <c r="BE83" s="685" t="e">
        <f ca="1">MATCH(AL83,INDIRECT(AP88),-1)</f>
        <v>#REF!</v>
      </c>
      <c r="BF83" s="686" t="str">
        <f ca="1">IFERROR(VLOOKUP(BE83,INDIRECT(AQ88),2,FALSE),"----")</f>
        <v>----</v>
      </c>
      <c r="BG83" s="685" t="e">
        <f ca="1">MATCH(AL89,INDIRECT(AP89),-1)</f>
        <v>#REF!</v>
      </c>
      <c r="BH83" s="686" t="str">
        <f ca="1">IFERROR(VLOOKUP(BG83,INDIRECT(AQ89),2,FALSE),"----")</f>
        <v>----</v>
      </c>
      <c r="BI83" s="685" t="e">
        <f ca="1">MATCH(AL89,INDIRECT(AP90),-1)</f>
        <v>#REF!</v>
      </c>
      <c r="BJ83" s="686" t="str">
        <f ca="1">IFERROR(VLOOKUP(BI83,INDIRECT(AQ90),2,FALSE),"----")</f>
        <v>----</v>
      </c>
      <c r="BK83" s="685" t="e">
        <f ca="1">MATCH(AL89,INDIRECT(AP91),-1)</f>
        <v>#REF!</v>
      </c>
      <c r="BL83" s="686" t="str">
        <f ca="1">IFERROR(VLOOKUP(BK83,INDIRECT(AQ91),2,FALSE),"----")</f>
        <v>----</v>
      </c>
      <c r="BM83" s="685" t="e">
        <f ca="1">MATCH(AL89,INDIRECT(AP92),-1)</f>
        <v>#REF!</v>
      </c>
      <c r="BN83" s="686" t="str">
        <f ca="1">IFERROR(VLOOKUP(BM83,INDIRECT(AQ92),2,FALSE),"----")</f>
        <v>----</v>
      </c>
      <c r="BO83" s="685" t="e">
        <f ca="1">MATCH(AL89,INDIRECT(AP93),-1)</f>
        <v>#REF!</v>
      </c>
      <c r="BP83" s="686" t="str">
        <f ca="1">IFERROR(VLOOKUP(BO83,INDIRECT(AQ93),2,FALSE),"----")</f>
        <v>----</v>
      </c>
      <c r="BQ83" s="685" t="e">
        <f ca="1">MATCH(AL89,INDIRECT(AP94),-1)</f>
        <v>#REF!</v>
      </c>
      <c r="BR83" s="686" t="str">
        <f ca="1">IFERROR(VLOOKUP(BQ83,INDIRECT(AQ94),2,FALSE),"----")</f>
        <v>----</v>
      </c>
      <c r="BS83" s="687">
        <f>IF(AI83="",1,IF(COUNTIF(AV83:AV94,AI83)=0,2,1))</f>
        <v>1</v>
      </c>
      <c r="BT83" s="688">
        <f>IF(AP83="1",1,IF(AF83="",1,IF(AV83=".",2,1)))</f>
        <v>1</v>
      </c>
      <c r="BU83" s="706"/>
      <c r="BV83" s="155">
        <f ca="1">IF(COUNTIF(CE83:CE94,AF83)=0,IF(AF83&lt;&gt;"",0,1),1)</f>
        <v>1</v>
      </c>
      <c r="BW83" s="157">
        <f ca="1">IFERROR(MATCH(AF83,CE83:CE94,0),1)</f>
        <v>1</v>
      </c>
      <c r="BX83" s="769" t="str">
        <f>IFERROR(IF(LEFT(J87,2)="As",VLOOKUP(J87,EIMM,2,FALSE),IF(AND(ISNUMBER(SEARCH("Impervia",J83)),ISNUMBER(SEARCH("door",J87))),VLOOKUP("Impervia Door",EIMM,2,FALSE),IF(AND(ISNUMBER(SEARCH("250",J83)),ISNUMBER(SEARCH("door",J87))),VLOOKUP("250 Series Door",EIMM,2,FALSE),VLOOKUP(J83,EIMM,2,FALSE)))),"")</f>
        <v/>
      </c>
      <c r="BY83" s="769" t="str">
        <f ca="1">IFERROR(VLOOKUP(BX83,OFFSET(EIMM,0,1),2,FALSE),"")</f>
        <v/>
      </c>
      <c r="BZ83" s="1110" t="e">
        <f ca="1">IF((COUNTIF(INDIRECT(SUBSTITUTE(J83," ","_")),J87))=0,IF(J87="",1,0),1)</f>
        <v>#REF!</v>
      </c>
      <c r="CA83" s="691" t="e">
        <f ca="1">MATCH(AC83,INDIRECT(BX83),-1)</f>
        <v>#REF!</v>
      </c>
      <c r="CB83" s="4" t="e" cm="1">
        <f t="array" aca="1" ref="CB83" ca="1">IF(AND(INDEX(INDIRECT(BY83),CA83,4)&gt;=$AB83,INDEX(INDIRECT(BY83),CA83,5)&gt;=$S83,INDEX(INDIRECT(BY83),CA83,6)&gt;=$R83),1,0)</f>
        <v>#REF!</v>
      </c>
      <c r="CC83" s="4" t="e">
        <f t="shared" ref="CC83" ca="1" si="776">MATCH(1,OFFSET(CB83:CB94,$W$2,0,COUNT(CB83:CB94)-$W$2),0)</f>
        <v>#REF!</v>
      </c>
      <c r="CD83" s="4" t="e">
        <f t="shared" ref="CD83" ca="1" si="777">$W$2+CC83</f>
        <v>#REF!</v>
      </c>
      <c r="CE83" s="692" t="str" cm="1">
        <f t="array" aca="1" ref="CE83" ca="1">IFERROR(VLOOKUP(INDEX(CA83:CA94,CD83),INDIRECT(BY83),2,FALSE),"----")</f>
        <v>----</v>
      </c>
      <c r="CF83" s="691" t="e">
        <f ca="1">MATCH($AC83,SSEI,-1)</f>
        <v>#N/A</v>
      </c>
      <c r="CG83" s="4" t="e">
        <f ca="1">IF(AND(INDEX(SSM,CF83,4)&gt;=$AB83,INDEX(SSM,CF83,5)&gt;=$S83,INDEX(SSM,CF83,6)&gt;=$R83),1,0)</f>
        <v>#N/A</v>
      </c>
      <c r="CH83" s="4" t="e">
        <f t="shared" ref="CH83" ca="1" si="778">MATCH(1,OFFSET(CG83:CG94,$W$2,0,COUNT(CG83:CG94)-$W$2),0)</f>
        <v>#REF!</v>
      </c>
      <c r="CI83" s="4" t="e">
        <f t="shared" ref="CI83" ca="1" si="779">$W$2+CH83</f>
        <v>#REF!</v>
      </c>
      <c r="CJ83" s="692" t="str">
        <f ca="1">IFERROR(IF(AD84="Nested Steel Stud (wood infill)",VLOOKUP(INDEX(CF83:CF94,CI83),SSW,2,FALSE),VLOOKUP(INDEX(CF83:CF94,CI83),SSM,2,FALSE)),"----")</f>
        <v>----</v>
      </c>
      <c r="CK83" s="691" t="e">
        <f ca="1">MATCH($AC83,WSEI,-1)</f>
        <v>#N/A</v>
      </c>
      <c r="CL83" s="4" t="e">
        <f ca="1">IF(AND(INDEX(WSM,CK83,4)&gt;=$AB83,INDEX(WSM,CK83,5)&gt;=$S83,INDEX(WSM,CK83,6)&gt;=$R83),1,0)</f>
        <v>#N/A</v>
      </c>
      <c r="CM83" s="4" t="e">
        <f t="shared" ref="CM83" ca="1" si="780">MATCH(1,OFFSET(CL83:CL94,$W$2,0,COUNT(CL83:CL94)-$W$2),0)</f>
        <v>#REF!</v>
      </c>
      <c r="CN83" s="4" t="e">
        <f t="shared" ref="CN83" ca="1" si="781">$W$2+CM83</f>
        <v>#REF!</v>
      </c>
      <c r="CO83" s="692" t="str">
        <f ca="1">IFERROR(VLOOKUP(INDEX(CK83:CK94,CN83),WSM,2,FALSE),"----")</f>
        <v>----</v>
      </c>
      <c r="CP83" s="691" t="e">
        <f ca="1">MATCH($AC83,STEI,-1)</f>
        <v>#N/A</v>
      </c>
      <c r="CQ83" s="4" t="e">
        <f ca="1">IF(AND(INDEX(STM,CP83,4)&gt;=$AB83,INDEX(STM,CP83,5)&gt;=$S83,INDEX(STM,CP83,6)&gt;=$R83),1,0)</f>
        <v>#N/A</v>
      </c>
      <c r="CR83" s="4" t="e">
        <f t="shared" ref="CR83" ca="1" si="782">MATCH(1,OFFSET(CQ83:CQ94,$W$2,0,COUNT(CQ83:CQ94)-$W$2),0)</f>
        <v>#REF!</v>
      </c>
      <c r="CS83" s="4" t="e">
        <f t="shared" ref="CS83" ca="1" si="783">$W$2+CR83</f>
        <v>#REF!</v>
      </c>
      <c r="CT83" s="692" t="str">
        <f ca="1">IFERROR(VLOOKUP(INDEX(CP83:CP94,CS83),STM,2,FALSE),"----")</f>
        <v>----</v>
      </c>
      <c r="CU83" s="691" t="e">
        <f ca="1">MATCH($AC83,ELEI,-1)</f>
        <v>#N/A</v>
      </c>
      <c r="CV83" s="4" t="e">
        <f ca="1">IF(AND(INDEX(ELM,CU83,4)&gt;=$AB83,INDEX(ELM,CU83,5)&gt;=$S83,INDEX(ELM,CU83,6)&gt;=$R83),1,0)</f>
        <v>#N/A</v>
      </c>
      <c r="CW83" s="4" t="e">
        <f t="shared" ref="CW83" ca="1" si="784">MATCH(1,OFFSET(CV83:CV94,$W$2,0,COUNT(CV83:CV94)-$W$2),0)</f>
        <v>#REF!</v>
      </c>
      <c r="CX83" s="4" t="e">
        <f t="shared" ref="CX83" ca="1" si="785">$W$2+CW83</f>
        <v>#REF!</v>
      </c>
      <c r="CY83" s="692" t="str">
        <f ca="1">IFERROR(VLOOKUP(INDEX(CU83:CU94,CX83),ELM,2,FALSE),"----")</f>
        <v>----</v>
      </c>
      <c r="CZ83" s="691" t="e">
        <f ca="1">IF(LEFT($J83,7)="Clad Wo",MATCH($AC83,SPEIW,-1),MATCH($AC83,SPEI,-1))</f>
        <v>#N/A</v>
      </c>
      <c r="DA83" s="4" t="e">
        <f ca="1">IF(LEFT($J83,7)="Clad Wo",IF(AND(INDEX(SPPWS,CZ83,4)&gt;=$AB83,INDEX(SPPWS,CZ83,5)&gt;=$S83,INDEX(SPPWS,CZ83,6)&gt;=$R83),1,0),IF(AND(INDEX(SPM,CZ83,4)&gt;=$AB83,INDEX(SPM,CZ83,5)&gt;=$S83,INDEX(SPM,CZ83,6)&gt;=$R83),1,0))</f>
        <v>#N/A</v>
      </c>
      <c r="DB83" s="4" t="e">
        <f t="shared" ref="DB83" ca="1" si="786">MATCH(1,OFFSET(DA83:DA94,$W$2,0,COUNT(DA83:DA94)-$W$2),0)</f>
        <v>#REF!</v>
      </c>
      <c r="DC83" s="4" t="e">
        <f t="shared" ref="DC83" ca="1" si="787">$W$2+DB83</f>
        <v>#REF!</v>
      </c>
      <c r="DD83" s="693" t="str">
        <f ca="1">IF(LEFT($J83,7)="Clad Wo",IFERROR(VLOOKUP(INDEX(CZ83:CZ94,DC83),SPPWS,2,FALSE),"----"),IFERROR(VLOOKUP(INDEX(CZ83:CZ94,DC83),SPM,2,FALSE),"----"))</f>
        <v>----</v>
      </c>
      <c r="DE83" s="691" t="e">
        <f ca="1">MATCH(AC89,INDIRECT(BX83),-1)</f>
        <v>#REF!</v>
      </c>
      <c r="DF83" s="4" t="e" cm="1">
        <f t="array" aca="1" ref="DF83" ca="1">IF(AND(INDEX(INDIRECT(BY83),DE83,4)&gt;=$AB89,INDEX(INDIRECT(BY83),DE83,5)&gt;=$S83,INDEX(INDIRECT(BY83),DE83,6)&gt;=$R83),1,0)</f>
        <v>#REF!</v>
      </c>
      <c r="DG83" s="4" t="e">
        <f t="shared" ref="DG83" ca="1" si="788">MATCH(1,OFFSET(DF83:DF94,$W$2,0,COUNT(DF83:DF94)-$W$2),0)</f>
        <v>#REF!</v>
      </c>
      <c r="DH83" s="4" t="e">
        <f t="shared" ref="DH83" ca="1" si="789">$W$2+DG83</f>
        <v>#REF!</v>
      </c>
      <c r="DI83" s="692" t="str" cm="1">
        <f t="array" aca="1" ref="DI83" ca="1">IFERROR(VLOOKUP(INDEX(DE83:DE94,DH83),INDIRECT(BY83),2,FALSE),"----")</f>
        <v>----</v>
      </c>
      <c r="DJ83" s="691" t="e">
        <f ca="1">MATCH($AC89,SSEI,-1)</f>
        <v>#N/A</v>
      </c>
      <c r="DK83" s="4" t="e">
        <f ca="1">IF(AND(INDEX(SSM,DJ83,4)&gt;=$AB89,INDEX(SSM,DJ83,5)&gt;=$S83,INDEX(SSM,DJ83,6)&gt;=$R83),1,0)</f>
        <v>#N/A</v>
      </c>
      <c r="DL83" s="4" t="e">
        <f t="shared" ref="DL83" ca="1" si="790">MATCH(1,OFFSET(DK83:DK94,$W$2,0,COUNT(DK83:DK94)-$W$2),0)</f>
        <v>#REF!</v>
      </c>
      <c r="DM83" s="4" t="e">
        <f t="shared" ref="DM83" ca="1" si="791">$W$2+DL83</f>
        <v>#REF!</v>
      </c>
      <c r="DN83" s="692" t="str">
        <f ca="1">IFERROR(IF(AD90="Nested Steel Stud (wood infill)",VLOOKUP(INDEX(DJ83:DJ94,DM83),SSW,2,FALSE),VLOOKUP(INDEX(DJ83:DJ94,DM83),SSM,2,FALSE)),"----")</f>
        <v>----</v>
      </c>
      <c r="DO83" s="691" t="e">
        <f ca="1">MATCH($AC89,WSEI,-1)</f>
        <v>#N/A</v>
      </c>
      <c r="DP83" s="4" t="e">
        <f ca="1">IF(AND(INDEX(WSM,DO83,4)&gt;=$AB89,INDEX(WSM,DO83,5)&gt;=$S83,INDEX(WSM,DO83,6)&gt;=$R83),1,0)</f>
        <v>#N/A</v>
      </c>
      <c r="DQ83" s="4" t="e">
        <f t="shared" ref="DQ83" ca="1" si="792">MATCH(1,OFFSET(DP83:DP94,$W$2,0,COUNT(DP83:DP94)-$W$2),0)</f>
        <v>#REF!</v>
      </c>
      <c r="DR83" s="4" t="e">
        <f t="shared" ref="DR83" ca="1" si="793">$W$2+DQ83</f>
        <v>#REF!</v>
      </c>
      <c r="DS83" s="692" t="str">
        <f ca="1">IFERROR(VLOOKUP(INDEX(DO83:DO94,DR83),WSM,2,FALSE),"----")</f>
        <v>----</v>
      </c>
      <c r="DT83" s="691" t="e">
        <f ca="1">MATCH($AC89,STEI,-1)</f>
        <v>#N/A</v>
      </c>
      <c r="DU83" s="4" t="e">
        <f ca="1">IF(AND(INDEX(STM,DT83,4)&gt;=$AB89,INDEX(STM,DT83,5)&gt;=$S83,INDEX(STM,DT83,6)&gt;=$R83),1,0)</f>
        <v>#N/A</v>
      </c>
      <c r="DV83" s="4" t="e">
        <f t="shared" ref="DV83" ca="1" si="794">MATCH(1,OFFSET(DU83:DU94,$W$2,0,COUNT(DU83:DU94)-$W$2),0)</f>
        <v>#REF!</v>
      </c>
      <c r="DW83" s="4" t="e">
        <f t="shared" ref="DW83" ca="1" si="795">$W$2+DV83</f>
        <v>#REF!</v>
      </c>
      <c r="DX83" s="692" t="str">
        <f ca="1">IFERROR(VLOOKUP(INDEX(DT83:DT94,DW83),STM,2,FALSE),"----")</f>
        <v>----</v>
      </c>
      <c r="DY83" s="691" t="e">
        <f ca="1">MATCH($AC89,ELEI,-1)</f>
        <v>#N/A</v>
      </c>
      <c r="DZ83" s="4" t="e">
        <f ca="1">IF(AND(INDEX(ELM,DY83,4)&gt;=$AB89,INDEX(ELM,DY83,5)&gt;=$S83,INDEX(ELM,DY83,6)&gt;=$R83),1,0)</f>
        <v>#N/A</v>
      </c>
      <c r="EA83" s="4" t="e">
        <f t="shared" ref="EA83" ca="1" si="796">MATCH(1,OFFSET(DZ83:DZ94,$W$2,0,COUNT(DZ83:DZ94)-$W$2),0)</f>
        <v>#REF!</v>
      </c>
      <c r="EB83" s="4" t="e">
        <f t="shared" ref="EB83" ca="1" si="797">EA83+$W$2</f>
        <v>#REF!</v>
      </c>
      <c r="EC83" s="692" t="str">
        <f ca="1">IFERROR(VLOOKUP(INDEX(DY83:DY94,EB83),ELM,2,FALSE),"----")</f>
        <v>----</v>
      </c>
      <c r="ED83" s="691" t="e">
        <f ca="1">IF(LEFT($J83,7)="Clad Wo",MATCH($AC89,SPEIW,-1),MATCH($AC89,SPEI,-1))</f>
        <v>#N/A</v>
      </c>
      <c r="EE83" s="4" t="e">
        <f ca="1">IF(LEFT($J83,7)="Clad Wo",IF(AND(INDEX(SPPWS,ED83,4)&gt;=$AB89,INDEX(SPPWS,ED83,5)&gt;=$S83,INDEX(SPPWS,ED83,6)&gt;=$R83),1,0),IF(AND(INDEX(SPM,ED83,4)&gt;=$AB89,INDEX(SPM,ED83,5)&gt;=$S83,INDEX(SPM,ED83,6)&gt;=$R83),1,0))</f>
        <v>#N/A</v>
      </c>
      <c r="EF83" s="4" t="e">
        <f t="shared" ref="EF83" ca="1" si="798">MATCH(1,OFFSET(EE83:EE94,$W$2,0,COUNT(EE83:EE94)-$W$2),0)</f>
        <v>#REF!</v>
      </c>
      <c r="EG83" s="4" t="e">
        <f t="shared" ref="EG83" ca="1" si="799">$W$2+EF83</f>
        <v>#REF!</v>
      </c>
      <c r="EH83" s="692" t="str">
        <f ca="1">IF(LEFT($J83,7)="Clad Wo",IFERROR(VLOOKUP(INDEX(ED83:ED94,EG83),SPPWS,2,FALSE),"----"),IFERROR(VLOOKUP(INDEX(ED83:ED94,EG83),SPM,2,FALSE),"----"))</f>
        <v>----</v>
      </c>
    </row>
    <row r="84" spans="1:138" ht="15" customHeight="1" x14ac:dyDescent="0.25">
      <c r="A84" s="1085"/>
      <c r="B84" s="925"/>
      <c r="C84" s="926"/>
      <c r="D84" s="927"/>
      <c r="E84" s="995"/>
      <c r="F84" s="996"/>
      <c r="G84" s="997"/>
      <c r="H84" s="1062"/>
      <c r="I84" s="990"/>
      <c r="J84" s="908"/>
      <c r="K84" s="909"/>
      <c r="L84" s="1002"/>
      <c r="M84" s="923"/>
      <c r="N84" s="1042"/>
      <c r="O84" s="1018"/>
      <c r="P84" s="987"/>
      <c r="Q84" s="1015"/>
      <c r="R84" s="1012"/>
      <c r="S84" s="1006"/>
      <c r="T84" s="1007"/>
      <c r="U84" s="878"/>
      <c r="V84" s="881"/>
      <c r="W84" s="884"/>
      <c r="X84" s="884"/>
      <c r="Y84" s="887"/>
      <c r="Z84" s="887"/>
      <c r="AA84" s="887"/>
      <c r="AB84" s="1081"/>
      <c r="AC84" s="1078"/>
      <c r="AD84" s="1102" t="s">
        <v>38</v>
      </c>
      <c r="AE84" s="1103"/>
      <c r="AF84" s="1052"/>
      <c r="AG84" s="1053"/>
      <c r="AH84" s="1053"/>
      <c r="AI84" s="1066"/>
      <c r="AJ84" s="1067"/>
      <c r="AK84" s="156" t="str">
        <f t="shared" ca="1" si="62"/>
        <v/>
      </c>
      <c r="AL84" s="1039"/>
      <c r="AM84" s="343" t="str">
        <f ca="1">IFERROR(Q83/12*ROUND(VLOOKUP(AF84,OFFSET(SSM,0,1),6,FALSE),2),"")</f>
        <v/>
      </c>
      <c r="AN84" t="str">
        <f t="shared" ca="1" si="5"/>
        <v/>
      </c>
      <c r="AP84" s="122" t="str">
        <f t="shared" ref="AP84" si="800">_xlfn.CONCAT(AR84,AS88)</f>
        <v/>
      </c>
      <c r="AQ84" s="683" t="str">
        <f t="shared" si="65"/>
        <v/>
      </c>
      <c r="AR84" s="96" t="str">
        <f t="shared" si="3"/>
        <v/>
      </c>
      <c r="AS84" s="96" t="str">
        <f>IF(COUNTIF(Vista_1,AF83)=1,"Vista_1",IF(COUNTIF(Vista_2,AF83)=1,"Vista_2",""))</f>
        <v/>
      </c>
      <c r="AT84" s="684" t="str">
        <f>AL83</f>
        <v/>
      </c>
      <c r="AU84" s="694" t="e">
        <f t="shared" ref="AU84" ca="1" si="801">AU83-1</f>
        <v>#REF!</v>
      </c>
      <c r="AV84" s="686" t="str">
        <f ca="1">IFERROR(VLOOKUP(AU84,INDIRECT(AQ83),2,FALSE),"----")</f>
        <v>----</v>
      </c>
      <c r="AW84" s="694" t="e">
        <f t="shared" ref="AW84:AW85" ca="1" si="802">AW83-1</f>
        <v>#REF!</v>
      </c>
      <c r="AX84" s="686" t="str">
        <f ca="1">IFERROR(VLOOKUP(AW84,INDIRECT(AQ84),2,FALSE),"----")</f>
        <v>----</v>
      </c>
      <c r="AY84" s="694" t="e">
        <f t="shared" ref="AY84:AY85" ca="1" si="803">AY83-1</f>
        <v>#REF!</v>
      </c>
      <c r="AZ84" s="686" t="str">
        <f ca="1">IFERROR(VLOOKUP(AY84,INDIRECT(AQ85),2,FALSE),"----")</f>
        <v>----</v>
      </c>
      <c r="BA84" s="694" t="e">
        <f t="shared" ref="BA84:BA85" ca="1" si="804">BA83-1</f>
        <v>#REF!</v>
      </c>
      <c r="BB84" s="686" t="str">
        <f ca="1">IFERROR(VLOOKUP(BA84,INDIRECT(AQ86),2,FALSE),"----")</f>
        <v>----</v>
      </c>
      <c r="BC84" s="694" t="e">
        <f t="shared" ref="BC84:BC85" ca="1" si="805">BC83-1</f>
        <v>#REF!</v>
      </c>
      <c r="BD84" s="686" t="str">
        <f ca="1">IFERROR(VLOOKUP(BC84,INDIRECT(AQ87),2,FALSE),"----")</f>
        <v>----</v>
      </c>
      <c r="BE84" s="694" t="e">
        <f t="shared" ref="BE84" ca="1" si="806">BE83-1</f>
        <v>#REF!</v>
      </c>
      <c r="BF84" s="686" t="str">
        <f ca="1">IFERROR(VLOOKUP(BE84,INDIRECT(AQ88),2,FALSE),"----")</f>
        <v>----</v>
      </c>
      <c r="BG84" s="694" t="e">
        <f t="shared" ref="BG84" ca="1" si="807">BG83-1</f>
        <v>#REF!</v>
      </c>
      <c r="BH84" s="686" t="str">
        <f ca="1">IFERROR(VLOOKUP(BG84,INDIRECT(AQ89),2,FALSE),"----")</f>
        <v>----</v>
      </c>
      <c r="BI84" s="694" t="e">
        <f t="shared" ref="BI84:BI85" ca="1" si="808">BI83-1</f>
        <v>#REF!</v>
      </c>
      <c r="BJ84" s="686" t="str">
        <f ca="1">IFERROR(VLOOKUP(BI84,INDIRECT(AQ90),2,FALSE),"----")</f>
        <v>----</v>
      </c>
      <c r="BK84" s="694" t="e">
        <f t="shared" ref="BK84:BK85" ca="1" si="809">BK83-1</f>
        <v>#REF!</v>
      </c>
      <c r="BL84" s="686" t="str">
        <f ca="1">IFERROR(VLOOKUP(BK84,INDIRECT(AQ91),2,FALSE),"----")</f>
        <v>----</v>
      </c>
      <c r="BM84" s="694" t="e">
        <f t="shared" ref="BM84:BM85" ca="1" si="810">BM83-1</f>
        <v>#REF!</v>
      </c>
      <c r="BN84" s="686" t="str">
        <f ca="1">IFERROR(VLOOKUP(BM84,INDIRECT(AQ92),2,FALSE),"----")</f>
        <v>----</v>
      </c>
      <c r="BO84" s="694" t="e">
        <f t="shared" ref="BO84:BO85" ca="1" si="811">BO83-1</f>
        <v>#REF!</v>
      </c>
      <c r="BP84" s="686" t="str">
        <f ca="1">IFERROR(VLOOKUP(BO84,INDIRECT(AQ93),2,FALSE),"----")</f>
        <v>----</v>
      </c>
      <c r="BQ84" s="694" t="e">
        <f t="shared" ref="BQ84" ca="1" si="812">BQ83-1</f>
        <v>#REF!</v>
      </c>
      <c r="BR84" s="686" t="str">
        <f ca="1">IFERROR(VLOOKUP(BQ84,INDIRECT(AQ94),2,FALSE),"----")</f>
        <v>----</v>
      </c>
      <c r="BS84" s="695">
        <f>IF(AI84="",1,IF(COUNTIF(AX83:AX94,AI84)=0,2,1))</f>
        <v>1</v>
      </c>
      <c r="BT84" s="696">
        <f>IF(AF84="",1,IF(AX83=".",2,1))</f>
        <v>1</v>
      </c>
      <c r="BU84" s="706"/>
      <c r="BV84" s="155">
        <f ca="1">IF(COUNTIF(CJ83:CJ94,AF84)=0,IF(AF84&lt;&gt;"",0,1),1)</f>
        <v>1</v>
      </c>
      <c r="BW84" s="157">
        <f ca="1">IFERROR(MATCH(AF84,CJ83:CJ94,0),1)</f>
        <v>1</v>
      </c>
      <c r="BX84" s="769"/>
      <c r="BY84" s="769"/>
      <c r="BZ84" s="1110"/>
      <c r="CA84" s="691" t="e">
        <f t="shared" ref="CA84:CA94" ca="1" si="813">CA83-1</f>
        <v>#REF!</v>
      </c>
      <c r="CB84" s="4" t="e" cm="1">
        <f t="array" aca="1" ref="CB84" ca="1">IF(AND(INDEX(INDIRECT(BY83),CA84,4)&gt;=$AB83,INDEX(INDIRECT(BY83),CA84,5)&gt;=$S83,INDEX(INDIRECT(BY83),CA84,6)&gt;=$R83),1,0)</f>
        <v>#REF!</v>
      </c>
      <c r="CC84" s="4" t="e">
        <f t="shared" ref="CC84" ca="1" si="814">MATCH(1,OFFSET(CB83:CB94,CD83,0,COUNT(CB83:CB94)-CD83),0)</f>
        <v>#REF!</v>
      </c>
      <c r="CD84" s="4" t="e">
        <f t="shared" ref="CD84:CD94" ca="1" si="815">CD83+CC84</f>
        <v>#REF!</v>
      </c>
      <c r="CE84" s="692" t="str" cm="1">
        <f t="array" aca="1" ref="CE84" ca="1">IFERROR(VLOOKUP(INDEX(CA83:CA94,CD84),INDIRECT(BY83),2,FALSE),"----")</f>
        <v>----</v>
      </c>
      <c r="CF84" s="691" t="e">
        <f t="shared" ref="CF84:CF94" ca="1" si="816">CF83-1</f>
        <v>#N/A</v>
      </c>
      <c r="CG84" s="4" t="e">
        <f ca="1">IF(AND(INDEX(SSM,CF84,4)&gt;=$AB83,INDEX(SSM,CF84,5)&gt;=$S83,INDEX(SSM,CF84,6)&gt;=$R83),1,0)</f>
        <v>#N/A</v>
      </c>
      <c r="CH84" s="4" t="e">
        <f t="shared" ref="CH84" ca="1" si="817">MATCH(1,OFFSET(CG83:CG94,CI83,0,COUNT(CG83:CG94)-CI83),0)</f>
        <v>#REF!</v>
      </c>
      <c r="CI84" s="4" t="e">
        <f t="shared" ref="CI84:CI94" ca="1" si="818">CI83+CH84</f>
        <v>#REF!</v>
      </c>
      <c r="CJ84" s="692" t="str">
        <f ca="1">IFERROR(IF(AD84="Nested Steel Stud (wood infill)",VLOOKUP(INDEX(CF83:CF94,CI84),SSW,2,FALSE),VLOOKUP(INDEX(CF83:CF94,CI84),SSM,2,FALSE)),"----")</f>
        <v>----</v>
      </c>
      <c r="CK84" s="691" t="e">
        <f t="shared" ref="CK84:CK94" ca="1" si="819">CK83-1</f>
        <v>#N/A</v>
      </c>
      <c r="CL84" s="4" t="e">
        <f ca="1">IF(AND(INDEX(WSM,CK84,4)&gt;=$AB83,INDEX(WSM,CK84,5)&gt;=$S83,INDEX(WSM,CK84,6)&gt;=$R83),1,0)</f>
        <v>#N/A</v>
      </c>
      <c r="CM84" s="4" t="e">
        <f t="shared" ref="CM84" ca="1" si="820">MATCH(1,OFFSET(CL83:CL94,CN83,0,COUNT(CL83:CL94)-CN83),0)</f>
        <v>#REF!</v>
      </c>
      <c r="CN84" s="4" t="e">
        <f t="shared" ref="CN84:CN94" ca="1" si="821">CM84+CN83</f>
        <v>#REF!</v>
      </c>
      <c r="CO84" s="692" t="str">
        <f ca="1">IFERROR(VLOOKUP(INDEX(CK83:CK94,CN84),WSM,2,FALSE),"----")</f>
        <v>----</v>
      </c>
      <c r="CP84" s="691" t="e">
        <f t="shared" ref="CP84:CP94" ca="1" si="822">CP83-1</f>
        <v>#N/A</v>
      </c>
      <c r="CQ84" s="4" t="e">
        <f ca="1">IF(AND(INDEX(STM,CP84,4)&gt;=$AB83,INDEX(STM,CP84,5)&gt;=$S83,INDEX(STM,CP84,6)&gt;=$R83),1,0)</f>
        <v>#N/A</v>
      </c>
      <c r="CR84" s="4" t="e">
        <f t="shared" ref="CR84" ca="1" si="823">MATCH(1,OFFSET(CQ83:CQ94,CS83,0,COUNT(CQ83:CQ94)-CS83),0)</f>
        <v>#REF!</v>
      </c>
      <c r="CS84" s="4" t="e">
        <f t="shared" ref="CS84:CS94" ca="1" si="824">CR84+CS83</f>
        <v>#REF!</v>
      </c>
      <c r="CT84" s="692" t="str">
        <f ca="1">IFERROR(VLOOKUP(INDEX(CP83:CP94,CS84),STM,2,FALSE),"----")</f>
        <v>----</v>
      </c>
      <c r="CU84" s="691" t="e">
        <f t="shared" ref="CU84:CU94" ca="1" si="825">CU83-1</f>
        <v>#N/A</v>
      </c>
      <c r="CV84" s="4" t="e">
        <f ca="1">IF(AND(INDEX(ELM,CU84,4)&gt;=$AB83,INDEX(ELM,CU84,5)&gt;=$S83,INDEX(ELM,CU84,6)&gt;=$R83),1,0)</f>
        <v>#N/A</v>
      </c>
      <c r="CW84" s="4" t="e">
        <f t="shared" ref="CW84" ca="1" si="826">MATCH(1,OFFSET(CV83:CV94,CX83,0,COUNT(CV83:CV94)-CX83),0)</f>
        <v>#REF!</v>
      </c>
      <c r="CX84" s="4" t="e">
        <f t="shared" ref="CX84:CX94" ca="1" si="827">CW84+CX83</f>
        <v>#REF!</v>
      </c>
      <c r="CY84" s="692" t="str">
        <f ca="1">IFERROR(VLOOKUP(INDEX(CU83:CU94,CX84),ELM,2,FALSE),"----")</f>
        <v>----</v>
      </c>
      <c r="CZ84" s="691" t="e">
        <f t="shared" ref="CZ84:CZ94" ca="1" si="828">CZ83-1</f>
        <v>#N/A</v>
      </c>
      <c r="DA84" s="4" t="e">
        <f ca="1">IF(LEFT($J83,7)="Clad Wo",IF(AND(INDEX(SPPWS,CZ84,4)&gt;=$AB83,INDEX(SPPWS,CZ84,5)&gt;=$S83,INDEX(SPPWS,CZ84,6)&gt;=$R83),1,0),IF(AND(INDEX(SPM,CZ84,4)&gt;=$AB83,INDEX(SPM,CZ84,5)&gt;=$S83,INDEX(SPM,CZ84,6)&gt;=$R83),1,0))</f>
        <v>#N/A</v>
      </c>
      <c r="DB84" s="4" t="e">
        <f t="shared" ref="DB84" ca="1" si="829">MATCH(1,OFFSET(DA83:DA94,DC83,0,COUNT(DA83:DA94)-DC83),0)</f>
        <v>#REF!</v>
      </c>
      <c r="DC84" s="4" t="e">
        <f t="shared" ref="DC84:DC94" ca="1" si="830">DC83+DB84</f>
        <v>#REF!</v>
      </c>
      <c r="DD84" s="693" t="str">
        <f ca="1">IF(LEFT($J83,7)="Clad Wo",IFERROR(VLOOKUP(INDEX(CZ83:CZ94,DC84),SPPWS,2,FALSE),"----"),IFERROR(VLOOKUP(INDEX(CZ83:CZ94,DC84),SPM,2,FALSE),"----"))</f>
        <v>----</v>
      </c>
      <c r="DE84" s="691" t="e">
        <f t="shared" ref="DE84:DE94" ca="1" si="831">DE83-1</f>
        <v>#REF!</v>
      </c>
      <c r="DF84" s="4" t="e" cm="1">
        <f t="array" aca="1" ref="DF84" ca="1">IF(AND(INDEX(INDIRECT(BY83),DE84,4)&gt;=$AB89,INDEX(INDIRECT(BY83),DE84,5)&gt;=$S83,INDEX(INDIRECT(BY83),DE84,6)&gt;=$R83),1,0)</f>
        <v>#REF!</v>
      </c>
      <c r="DG84" s="4" t="e">
        <f t="shared" ref="DG84" ca="1" si="832">MATCH(1,OFFSET(DF83:DF94,DH83,0,COUNT(DF83:DF94)-DH83),0)</f>
        <v>#REF!</v>
      </c>
      <c r="DH84" s="4" t="e">
        <f t="shared" ref="DH84:DH94" ca="1" si="833">DH83+DG84</f>
        <v>#REF!</v>
      </c>
      <c r="DI84" s="692" t="str" cm="1">
        <f t="array" aca="1" ref="DI84" ca="1">IFERROR(VLOOKUP(INDEX(DE83:DE94,DH84),INDIRECT(BY83),2,FALSE),"----")</f>
        <v>----</v>
      </c>
      <c r="DJ84" s="691" t="e">
        <f t="shared" ref="DJ84:DJ94" ca="1" si="834">DJ83-1</f>
        <v>#N/A</v>
      </c>
      <c r="DK84" s="4" t="e">
        <f ca="1">IF(AND(INDEX(SSM,DJ84,4)&gt;=$AB89,INDEX(SSM,DJ84,5)&gt;=$S83,INDEX(SSM,DJ84,6)&gt;=$R83),1,0)</f>
        <v>#N/A</v>
      </c>
      <c r="DL84" s="4" t="e">
        <f t="shared" ref="DL84" ca="1" si="835">MATCH(1,OFFSET(DK83:DK94,DM83,0,COUNT(DK83:DK94)-DM83),0)</f>
        <v>#REF!</v>
      </c>
      <c r="DM84" s="4" t="e">
        <f t="shared" ref="DM84:DM94" ca="1" si="836">DL84+DM83</f>
        <v>#REF!</v>
      </c>
      <c r="DN84" s="692" t="str">
        <f ca="1">IFERROR(IF(AD90="Nested Steel Stud (wood infill)",VLOOKUP(INDEX(DJ83:DJ94,DM84),SSW,2,FALSE),VLOOKUP(INDEX(DJ83:DJ94,DM84),SSM,2,FALSE)),"----")</f>
        <v>----</v>
      </c>
      <c r="DO84" s="691" t="e">
        <f t="shared" ref="DO84:DO94" ca="1" si="837">DO83-1</f>
        <v>#N/A</v>
      </c>
      <c r="DP84" s="4" t="e">
        <f ca="1">IF(AND(INDEX(WSM,DO84,4)&gt;=$AB89,INDEX(WSM,DO84,5)&gt;=$S83,INDEX(WSM,DO84,6)&gt;=$R83),1,0)</f>
        <v>#N/A</v>
      </c>
      <c r="DQ84" s="4" t="e">
        <f t="shared" ref="DQ84" ca="1" si="838">MATCH(1,OFFSET(DP83:DP94,DR83,0,COUNT(DP83:DP94)-DR83),0)</f>
        <v>#REF!</v>
      </c>
      <c r="DR84" s="4" t="e">
        <f t="shared" ref="DR84:DR94" ca="1" si="839">DQ84+DR83</f>
        <v>#REF!</v>
      </c>
      <c r="DS84" s="692" t="str">
        <f ca="1">IFERROR(VLOOKUP(INDEX(DO83:DO94,DR84),WSM,2,FALSE),"----")</f>
        <v>----</v>
      </c>
      <c r="DT84" s="691" t="e">
        <f t="shared" ref="DT84:DT94" ca="1" si="840">DT83-1</f>
        <v>#N/A</v>
      </c>
      <c r="DU84" s="4" t="e">
        <f ca="1">IF(AND(INDEX(STM,DT84,4)&gt;=$AB89,INDEX(STM,DT84,5)&gt;=$S83,INDEX(STM,DT84,6)&gt;=$R83),1,0)</f>
        <v>#N/A</v>
      </c>
      <c r="DV84" s="4" t="e">
        <f t="shared" ref="DV84" ca="1" si="841">MATCH(1,OFFSET(DU83:DU94,DW83,0,COUNT(DU83:DU94)-DW83),0)</f>
        <v>#REF!</v>
      </c>
      <c r="DW84" s="4" t="e">
        <f t="shared" ref="DW84:DW94" ca="1" si="842">DV84+DW83</f>
        <v>#REF!</v>
      </c>
      <c r="DX84" s="692" t="str">
        <f ca="1">IFERROR(VLOOKUP(INDEX(DT83:DT94,DW84),STM,2,FALSE),"----")</f>
        <v>----</v>
      </c>
      <c r="DY84" s="691" t="e">
        <f t="shared" ref="DY84:DY94" ca="1" si="843">DY83-1</f>
        <v>#N/A</v>
      </c>
      <c r="DZ84" s="4" t="e">
        <f ca="1">IF(AND(INDEX(ELM,DY84,4)&gt;=$AB89,INDEX(ELM,DY84,5)&gt;=$S83,INDEX(ELM,DY84,6)&gt;=$R83),1,0)</f>
        <v>#N/A</v>
      </c>
      <c r="EA84" s="4" t="e">
        <f t="shared" ref="EA84" ca="1" si="844">MATCH(1,OFFSET(DZ83:DZ94,EB83,0,COUNT(DZ83:DZ94)-EB83),0)</f>
        <v>#REF!</v>
      </c>
      <c r="EB84" s="4" t="e">
        <f t="shared" ref="EB84:EB94" ca="1" si="845">EA84+EB83</f>
        <v>#REF!</v>
      </c>
      <c r="EC84" s="692" t="str">
        <f ca="1">IFERROR(VLOOKUP(INDEX(DY83:DY94,EB84),ELM,2,FALSE),"----")</f>
        <v>----</v>
      </c>
      <c r="ED84" s="691" t="e">
        <f t="shared" ref="ED84:ED94" ca="1" si="846">ED83-1</f>
        <v>#N/A</v>
      </c>
      <c r="EE84" s="4" t="e">
        <f ca="1">IF(LEFT($J83,7)="Clad Wo",IF(AND(INDEX(SPPWS,ED84,4)&gt;=$AB89,INDEX(SPPWS,ED84,5)&gt;=$S83,INDEX(SPPWS,ED84,6)&gt;=$R83),1,0),IF(AND(INDEX(SPM,ED84,4)&gt;=$AB89,INDEX(SPM,ED84,5)&gt;=$S83,INDEX(SPM,ED84,6)&gt;=$R83),1,0))</f>
        <v>#N/A</v>
      </c>
      <c r="EF84" s="4" t="e">
        <f t="shared" ref="EF84" ca="1" si="847">MATCH(1,OFFSET(EE83:EE94,EG83,0,COUNT(EE83:EE94)-EG83),0)</f>
        <v>#REF!</v>
      </c>
      <c r="EG84" s="4" t="e">
        <f t="shared" ref="EG84:EG94" ca="1" si="848">EG83+EF84</f>
        <v>#REF!</v>
      </c>
      <c r="EH84" s="692" t="str">
        <f ca="1">IF(LEFT($J83,7)="Clad Wo",IFERROR(VLOOKUP(INDEX(ED83:ED94,EG84),SPPWS,2,FALSE),"----"),IFERROR(VLOOKUP(INDEX(ED83:ED94,EG84),SPM,2,FALSE),"----"))</f>
        <v>----</v>
      </c>
    </row>
    <row r="85" spans="1:138" ht="15" customHeight="1" x14ac:dyDescent="0.25">
      <c r="A85" s="1085"/>
      <c r="B85" s="925"/>
      <c r="C85" s="926"/>
      <c r="D85" s="927"/>
      <c r="E85" s="995"/>
      <c r="F85" s="996"/>
      <c r="G85" s="997"/>
      <c r="H85" s="1062"/>
      <c r="I85" s="990"/>
      <c r="J85" s="908"/>
      <c r="K85" s="909"/>
      <c r="L85" s="1002"/>
      <c r="M85" s="923"/>
      <c r="N85" s="1042"/>
      <c r="O85" s="1018"/>
      <c r="P85" s="987"/>
      <c r="Q85" s="1015"/>
      <c r="R85" s="1012"/>
      <c r="S85" s="1006"/>
      <c r="T85" s="1007"/>
      <c r="U85" s="878"/>
      <c r="V85" s="881"/>
      <c r="W85" s="884"/>
      <c r="X85" s="884"/>
      <c r="Y85" s="887"/>
      <c r="Z85" s="887"/>
      <c r="AA85" s="887"/>
      <c r="AB85" s="1081"/>
      <c r="AC85" s="1078"/>
      <c r="AD85" s="1070" t="s">
        <v>333</v>
      </c>
      <c r="AE85" s="1071"/>
      <c r="AF85" s="1052"/>
      <c r="AG85" s="1053"/>
      <c r="AH85" s="1053"/>
      <c r="AI85" s="1066"/>
      <c r="AJ85" s="1067"/>
      <c r="AK85" s="154" t="str">
        <f t="shared" ca="1" si="62"/>
        <v/>
      </c>
      <c r="AL85" s="1039"/>
      <c r="AM85" s="344" t="str">
        <f ca="1">IFERROR(Q83/12*ROUND(VLOOKUP(AF85,OFFSET(WSM,0,1),6,FALSE),2),"")</f>
        <v/>
      </c>
      <c r="AN85" t="str">
        <f t="shared" ca="1" si="5"/>
        <v/>
      </c>
      <c r="AP85" s="122" t="str">
        <f t="shared" ref="AP85" si="849">_xlfn.CONCAT(AR85,AS88)</f>
        <v/>
      </c>
      <c r="AQ85" s="683" t="str">
        <f t="shared" si="65"/>
        <v/>
      </c>
      <c r="AR85" s="4" t="str">
        <f t="shared" si="3"/>
        <v/>
      </c>
      <c r="AS85" s="4"/>
      <c r="AT85" s="697" t="str">
        <f>AL83</f>
        <v/>
      </c>
      <c r="AU85" s="694" t="e">
        <f t="shared" ca="1" si="91"/>
        <v>#REF!</v>
      </c>
      <c r="AV85" s="686" t="str">
        <f ca="1">IFERROR(VLOOKUP(AU85,INDIRECT(AQ83),2,FALSE),"----")</f>
        <v>----</v>
      </c>
      <c r="AW85" s="694" t="e">
        <f t="shared" ca="1" si="802"/>
        <v>#REF!</v>
      </c>
      <c r="AX85" s="686" t="str">
        <f ca="1">IFERROR(VLOOKUP(AW85,INDIRECT(AQ84),2,FALSE),"----")</f>
        <v>----</v>
      </c>
      <c r="AY85" s="694" t="e">
        <f t="shared" ca="1" si="803"/>
        <v>#REF!</v>
      </c>
      <c r="AZ85" s="686" t="str">
        <f ca="1">IFERROR(VLOOKUP(AY85,INDIRECT(AQ85),2,FALSE),"----")</f>
        <v>----</v>
      </c>
      <c r="BA85" s="694" t="e">
        <f t="shared" ca="1" si="804"/>
        <v>#REF!</v>
      </c>
      <c r="BB85" s="686" t="str">
        <f ca="1">IFERROR(VLOOKUP(BA85,INDIRECT(AQ86),2,FALSE),"----")</f>
        <v>----</v>
      </c>
      <c r="BC85" s="694" t="e">
        <f t="shared" ca="1" si="805"/>
        <v>#REF!</v>
      </c>
      <c r="BD85" s="686" t="str">
        <f ca="1">IFERROR(VLOOKUP(BC85,INDIRECT(AQ87),2,FALSE),"----")</f>
        <v>----</v>
      </c>
      <c r="BE85" s="694" t="e">
        <f t="shared" ca="1" si="96"/>
        <v>#REF!</v>
      </c>
      <c r="BF85" s="686" t="str">
        <f ca="1">IFERROR(VLOOKUP(BE85,INDIRECT(AQ88),2,FALSE),"----")</f>
        <v>----</v>
      </c>
      <c r="BG85" s="694" t="e">
        <f t="shared" ca="1" si="97"/>
        <v>#REF!</v>
      </c>
      <c r="BH85" s="686" t="str">
        <f ca="1">IFERROR(VLOOKUP(BG85,INDIRECT(AQ89),2,FALSE),"----")</f>
        <v>----</v>
      </c>
      <c r="BI85" s="694" t="e">
        <f t="shared" ca="1" si="808"/>
        <v>#REF!</v>
      </c>
      <c r="BJ85" s="686" t="str">
        <f ca="1">IFERROR(VLOOKUP(BI85,INDIRECT(AQ90),2,FALSE),"----")</f>
        <v>----</v>
      </c>
      <c r="BK85" s="694" t="e">
        <f t="shared" ca="1" si="809"/>
        <v>#REF!</v>
      </c>
      <c r="BL85" s="686" t="str">
        <f ca="1">IFERROR(VLOOKUP(BK85,INDIRECT(AQ91),2,FALSE),"----")</f>
        <v>----</v>
      </c>
      <c r="BM85" s="694" t="e">
        <f t="shared" ca="1" si="810"/>
        <v>#REF!</v>
      </c>
      <c r="BN85" s="686" t="str">
        <f ca="1">IFERROR(VLOOKUP(BM85,INDIRECT(AQ92),2,FALSE),"----")</f>
        <v>----</v>
      </c>
      <c r="BO85" s="694" t="e">
        <f t="shared" ca="1" si="811"/>
        <v>#REF!</v>
      </c>
      <c r="BP85" s="686" t="str">
        <f ca="1">IFERROR(VLOOKUP(BO85,INDIRECT(AQ93),2,FALSE),"----")</f>
        <v>----</v>
      </c>
      <c r="BQ85" s="694" t="e">
        <f t="shared" ca="1" si="102"/>
        <v>#REF!</v>
      </c>
      <c r="BR85" s="686" t="str">
        <f ca="1">IFERROR(VLOOKUP(BQ85,INDIRECT(AQ94),2,FALSE),"----")</f>
        <v>----</v>
      </c>
      <c r="BS85" s="695">
        <f>IF(AI85="",1,IF(COUNTIF(AZ83:AZ94,AI85)=0,2,1))</f>
        <v>1</v>
      </c>
      <c r="BT85" s="696">
        <f>IF(AF85="",1,IF(AZ83=".",2,1))</f>
        <v>1</v>
      </c>
      <c r="BU85" s="706"/>
      <c r="BV85" s="155">
        <f ca="1">IF(COUNTIF(CO83:CO94,AF85)=0,IF(AF85&lt;&gt;"",0,1),1)</f>
        <v>1</v>
      </c>
      <c r="BW85" s="157">
        <f ca="1">IFERROR(MATCH(AF85,CO83:CO94,0),1)</f>
        <v>1</v>
      </c>
      <c r="BX85" s="769"/>
      <c r="BY85" s="769"/>
      <c r="BZ85" s="1110"/>
      <c r="CA85" s="691" t="e">
        <f t="shared" ca="1" si="813"/>
        <v>#REF!</v>
      </c>
      <c r="CB85" s="4" t="e" cm="1">
        <f t="array" aca="1" ref="CB85" ca="1">IF(AND(INDEX(INDIRECT(BY83),CA85,4)&gt;=$AB83,INDEX(INDIRECT(BY83),CA85,5)&gt;=$S83,INDEX(INDIRECT(BY83),CA85,6)&gt;=$R83),1,0)</f>
        <v>#REF!</v>
      </c>
      <c r="CC85" s="4" t="e">
        <f t="shared" ref="CC85" ca="1" si="850">MATCH(1,OFFSET(CB83:CB94,CD84,0,COUNT(CB83:CB94)-CD84),0)</f>
        <v>#REF!</v>
      </c>
      <c r="CD85" s="4" t="e">
        <f t="shared" ca="1" si="815"/>
        <v>#REF!</v>
      </c>
      <c r="CE85" s="692" t="str" cm="1">
        <f t="array" aca="1" ref="CE85" ca="1">IFERROR(VLOOKUP(INDEX(CA83:CA94,CD85),INDIRECT(BY83),2,FALSE),"----")</f>
        <v>----</v>
      </c>
      <c r="CF85" s="691" t="e">
        <f t="shared" ca="1" si="816"/>
        <v>#N/A</v>
      </c>
      <c r="CG85" s="4" t="e">
        <f ca="1">IF(AND(INDEX(SSM,CF85,4)&gt;=$AB83,INDEX(SSM,CF85,5)&gt;=$S83,INDEX(SSM,CF85,6)&gt;=$R83),1,0)</f>
        <v>#N/A</v>
      </c>
      <c r="CH85" s="4" t="e">
        <f t="shared" ref="CH85" ca="1" si="851">MATCH(1,OFFSET(CG83:CG94,CI84,0,COUNT(CG83:CG94)-CI84),0)</f>
        <v>#REF!</v>
      </c>
      <c r="CI85" s="4" t="e">
        <f t="shared" ca="1" si="818"/>
        <v>#REF!</v>
      </c>
      <c r="CJ85" s="692" t="str">
        <f ca="1">IFERROR(IF(AD84="Nested Steel Stud (wood infill)",VLOOKUP(INDEX(CF83:CF94,CI85),SSW,2,FALSE),VLOOKUP(INDEX(CF83:CF94,CI85),SSM,2,FALSE)),"----")</f>
        <v>----</v>
      </c>
      <c r="CK85" s="691" t="e">
        <f t="shared" ca="1" si="819"/>
        <v>#N/A</v>
      </c>
      <c r="CL85" s="4" t="e">
        <f ca="1">IF(AND(INDEX(WSM,CK85,4)&gt;=$AB83,INDEX(WSM,CK85,5)&gt;=$S83,INDEX(WSM,CK85,6)&gt;=$R83),1,0)</f>
        <v>#N/A</v>
      </c>
      <c r="CM85" s="4" t="e">
        <f t="shared" ref="CM85" ca="1" si="852">MATCH(1,OFFSET(CL83:CL94,CN84,0,COUNT(CL83:CL94)-CN84),0)</f>
        <v>#REF!</v>
      </c>
      <c r="CN85" s="4" t="e">
        <f t="shared" ca="1" si="821"/>
        <v>#REF!</v>
      </c>
      <c r="CO85" s="692" t="str">
        <f ca="1">IFERROR(VLOOKUP(INDEX(CK83:CK94,CN85),WSM,2,FALSE),"----")</f>
        <v>----</v>
      </c>
      <c r="CP85" s="691" t="e">
        <f t="shared" ca="1" si="822"/>
        <v>#N/A</v>
      </c>
      <c r="CQ85" s="4" t="e">
        <f ca="1">IF(AND(INDEX(STM,CP85,4)&gt;=$AB83,INDEX(STM,CP85,5)&gt;=$S83,INDEX(STM,CP85,6)&gt;=$R83),1,0)</f>
        <v>#N/A</v>
      </c>
      <c r="CR85" s="4" t="e">
        <f t="shared" ref="CR85" ca="1" si="853">MATCH(1,OFFSET(CQ83:CQ94,CS84,0,COUNT(CQ83:CQ94)-CS84),0)</f>
        <v>#REF!</v>
      </c>
      <c r="CS85" s="4" t="e">
        <f t="shared" ca="1" si="824"/>
        <v>#REF!</v>
      </c>
      <c r="CT85" s="692" t="str">
        <f ca="1">IFERROR(VLOOKUP(INDEX(CP83:CP94,CS85),STM,2,FALSE),"----")</f>
        <v>----</v>
      </c>
      <c r="CU85" s="691" t="e">
        <f t="shared" ca="1" si="825"/>
        <v>#N/A</v>
      </c>
      <c r="CV85" s="4" t="e">
        <f ca="1">IF(AND(INDEX(ELM,CU85,4)&gt;=$AB83,INDEX(ELM,CU85,5)&gt;=$S83,INDEX(ELM,CU85,6)&gt;=$R83),1,0)</f>
        <v>#N/A</v>
      </c>
      <c r="CW85" s="4" t="e">
        <f t="shared" ref="CW85" ca="1" si="854">MATCH(1,OFFSET(CV83:CV94,CX84,0,COUNT(CV83:CV94)-CX84),0)</f>
        <v>#REF!</v>
      </c>
      <c r="CX85" s="4" t="e">
        <f t="shared" ca="1" si="827"/>
        <v>#REF!</v>
      </c>
      <c r="CY85" s="692" t="str">
        <f ca="1">IFERROR(VLOOKUP(INDEX(CU83:CU94,CX85),ELM,2,FALSE),"----")</f>
        <v>----</v>
      </c>
      <c r="CZ85" s="691" t="e">
        <f t="shared" ca="1" si="828"/>
        <v>#N/A</v>
      </c>
      <c r="DA85" s="4" t="e">
        <f ca="1">IF(LEFT($J83,7)="Clad Wo",IF(AND(INDEX(SPPWS,CZ85,4)&gt;=$AB83,INDEX(SPPWS,CZ85,5)&gt;=$S83,INDEX(SPPWS,CZ85,6)&gt;=$R83),1,0),IF(AND(INDEX(SPM,CZ85,4)&gt;=$AB83,INDEX(SPM,CZ85,5)&gt;=$S83,INDEX(SPM,CZ85,6)&gt;=$R83),1,0))</f>
        <v>#N/A</v>
      </c>
      <c r="DB85" s="4" t="e">
        <f t="shared" ref="DB85" ca="1" si="855">MATCH(1,OFFSET(DA83:DA94,DC84,0,COUNT(DA83:DA94)-DC84),0)</f>
        <v>#REF!</v>
      </c>
      <c r="DC85" s="4" t="e">
        <f t="shared" ca="1" si="830"/>
        <v>#REF!</v>
      </c>
      <c r="DD85" s="693" t="str">
        <f ca="1">IF(LEFT($J83,7)="Clad Wo",IFERROR(VLOOKUP(INDEX(CZ83:CZ94,DC85),SPPWS,2,FALSE),"----"),IFERROR(VLOOKUP(INDEX(CZ83:CZ94,DC85),SPM,2,FALSE),"----"))</f>
        <v>----</v>
      </c>
      <c r="DE85" s="691" t="e">
        <f t="shared" ca="1" si="831"/>
        <v>#REF!</v>
      </c>
      <c r="DF85" s="4" t="e" cm="1">
        <f t="array" aca="1" ref="DF85" ca="1">IF(AND(INDEX(INDIRECT(BY83),DE85,4)&gt;=$AB89,INDEX(INDIRECT(BY83),DE85,5)&gt;=$S83,INDEX(INDIRECT(BY83),DE85,6)&gt;=$R83),1,0)</f>
        <v>#REF!</v>
      </c>
      <c r="DG85" s="4" t="e">
        <f t="shared" ref="DG85" ca="1" si="856">MATCH(1,OFFSET(DF83:DF94,DH84,0,COUNT(DF83:DF94)-DH84),0)</f>
        <v>#REF!</v>
      </c>
      <c r="DH85" s="4" t="e">
        <f t="shared" ca="1" si="833"/>
        <v>#REF!</v>
      </c>
      <c r="DI85" s="692" t="str" cm="1">
        <f t="array" aca="1" ref="DI85" ca="1">IFERROR(VLOOKUP(INDEX(DE83:DE94,DH85),INDIRECT(BY83),2,FALSE),"----")</f>
        <v>----</v>
      </c>
      <c r="DJ85" s="691" t="e">
        <f t="shared" ca="1" si="834"/>
        <v>#N/A</v>
      </c>
      <c r="DK85" s="4" t="e">
        <f ca="1">IF(AND(INDEX(SSM,DJ85,4)&gt;=$AB89,INDEX(SSM,DJ85,5)&gt;=$S83,INDEX(SSM,DJ85,6)&gt;=$R83),1,0)</f>
        <v>#N/A</v>
      </c>
      <c r="DL85" s="4" t="e">
        <f t="shared" ref="DL85" ca="1" si="857">MATCH(1,OFFSET(DK83:DK94,DM84,0,COUNT(DK83:DK94)-DM84),0)</f>
        <v>#REF!</v>
      </c>
      <c r="DM85" s="4" t="e">
        <f t="shared" ca="1" si="836"/>
        <v>#REF!</v>
      </c>
      <c r="DN85" s="692" t="str">
        <f ca="1">IFERROR(IF(AD90="Nested Steel Stud (wood infill)",VLOOKUP(INDEX(DJ83:DJ94,DM85),SSW,2,FALSE),VLOOKUP(INDEX(DJ83:DJ94,DM85),SSM,2,FALSE)),"----")</f>
        <v>----</v>
      </c>
      <c r="DO85" s="691" t="e">
        <f t="shared" ca="1" si="837"/>
        <v>#N/A</v>
      </c>
      <c r="DP85" s="4" t="e">
        <f ca="1">IF(AND(INDEX(WSM,DO85,4)&gt;=$AB89,INDEX(WSM,DO85,5)&gt;=$S83,INDEX(WSM,DO85,6)&gt;=$R83),1,0)</f>
        <v>#N/A</v>
      </c>
      <c r="DQ85" s="4" t="e">
        <f t="shared" ref="DQ85" ca="1" si="858">MATCH(1,OFFSET(DP83:DP94,DR84,0,COUNT(DP83:DP94)-DR84),0)</f>
        <v>#REF!</v>
      </c>
      <c r="DR85" s="4" t="e">
        <f t="shared" ca="1" si="839"/>
        <v>#REF!</v>
      </c>
      <c r="DS85" s="692" t="str">
        <f ca="1">IFERROR(VLOOKUP(INDEX(DO83:DO94,DR85),WSM,2,FALSE),"----")</f>
        <v>----</v>
      </c>
      <c r="DT85" s="691" t="e">
        <f t="shared" ca="1" si="840"/>
        <v>#N/A</v>
      </c>
      <c r="DU85" s="4" t="e">
        <f ca="1">IF(AND(INDEX(STM,DT85,4)&gt;=$AB89,INDEX(STM,DT85,5)&gt;=$S83,INDEX(STM,DT85,6)&gt;=$R83),1,0)</f>
        <v>#N/A</v>
      </c>
      <c r="DV85" s="4" t="e">
        <f t="shared" ref="DV85" ca="1" si="859">MATCH(1,OFFSET(DU83:DU94,DW84,0,COUNT(DU83:DU94)-DW84),0)</f>
        <v>#REF!</v>
      </c>
      <c r="DW85" s="4" t="e">
        <f t="shared" ca="1" si="842"/>
        <v>#REF!</v>
      </c>
      <c r="DX85" s="692" t="str">
        <f ca="1">IFERROR(VLOOKUP(INDEX(DT83:DT94,DW85),STM,2,FALSE),"----")</f>
        <v>----</v>
      </c>
      <c r="DY85" s="691" t="e">
        <f t="shared" ca="1" si="843"/>
        <v>#N/A</v>
      </c>
      <c r="DZ85" s="4" t="e">
        <f ca="1">IF(AND(INDEX(ELM,DY85,4)&gt;=$AB89,INDEX(ELM,DY85,5)&gt;=$S83,INDEX(ELM,DY85,6)&gt;=$R83),1,0)</f>
        <v>#N/A</v>
      </c>
      <c r="EA85" s="4" t="e">
        <f t="shared" ref="EA85" ca="1" si="860">MATCH(1,OFFSET(DZ83:DZ94,EB84,0,COUNT(DZ83:DZ94)-EB84),0)</f>
        <v>#REF!</v>
      </c>
      <c r="EB85" s="4" t="e">
        <f t="shared" ca="1" si="845"/>
        <v>#REF!</v>
      </c>
      <c r="EC85" s="692" t="str">
        <f ca="1">IFERROR(VLOOKUP(INDEX(DY83:DY94,EB85),ELM,2,FALSE),"----")</f>
        <v>----</v>
      </c>
      <c r="ED85" s="691" t="e">
        <f t="shared" ca="1" si="846"/>
        <v>#N/A</v>
      </c>
      <c r="EE85" s="4" t="e">
        <f ca="1">IF(LEFT($J83,7)="Clad Wo",IF(AND(INDEX(SPPWS,ED85,4)&gt;=$AB89,INDEX(SPPWS,ED85,5)&gt;=$S83,INDEX(SPPWS,ED85,6)&gt;=$R83),1,0),IF(AND(INDEX(SPM,ED85,4)&gt;=$AB89,INDEX(SPM,ED85,5)&gt;=$S83,INDEX(SPM,ED85,6)&gt;=$R83),1,0))</f>
        <v>#N/A</v>
      </c>
      <c r="EF85" s="4" t="e">
        <f t="shared" ref="EF85" ca="1" si="861">MATCH(1,OFFSET(EE83:EE94,EG84,0,COUNT(EE83:EE94)-EG84),0)</f>
        <v>#REF!</v>
      </c>
      <c r="EG85" s="4" t="e">
        <f t="shared" ca="1" si="848"/>
        <v>#REF!</v>
      </c>
      <c r="EH85" s="692" t="str">
        <f ca="1">IF(LEFT($J83,7)="Clad Wo",IFERROR(VLOOKUP(INDEX(ED83:ED94,EG85),SPPWS,2,FALSE),"----"),IFERROR(VLOOKUP(INDEX(ED83:ED94,EG85),SPM,2,FALSE),"----"))</f>
        <v>----</v>
      </c>
    </row>
    <row r="86" spans="1:138" ht="15" customHeight="1" x14ac:dyDescent="0.25">
      <c r="A86" s="1085"/>
      <c r="B86" s="925"/>
      <c r="C86" s="926"/>
      <c r="D86" s="927"/>
      <c r="E86" s="995"/>
      <c r="F86" s="996"/>
      <c r="G86" s="997"/>
      <c r="H86" s="1062"/>
      <c r="I86" s="990"/>
      <c r="J86" s="908"/>
      <c r="K86" s="909"/>
      <c r="L86" s="1002"/>
      <c r="M86" s="923"/>
      <c r="N86" s="1042"/>
      <c r="O86" s="1018"/>
      <c r="P86" s="987"/>
      <c r="Q86" s="1015"/>
      <c r="R86" s="1012"/>
      <c r="S86" s="1006"/>
      <c r="T86" s="1007"/>
      <c r="U86" s="878"/>
      <c r="V86" s="881"/>
      <c r="W86" s="884"/>
      <c r="X86" s="884"/>
      <c r="Y86" s="887"/>
      <c r="Z86" s="887"/>
      <c r="AA86" s="887"/>
      <c r="AB86" s="1081"/>
      <c r="AC86" s="1078"/>
      <c r="AD86" s="1070" t="s">
        <v>37</v>
      </c>
      <c r="AE86" s="1071"/>
      <c r="AF86" s="1052"/>
      <c r="AG86" s="1053"/>
      <c r="AH86" s="1053"/>
      <c r="AI86" s="1066"/>
      <c r="AJ86" s="1067"/>
      <c r="AK86" s="156" t="str">
        <f t="shared" ca="1" si="62"/>
        <v/>
      </c>
      <c r="AL86" s="1039"/>
      <c r="AM86" s="343" t="str">
        <f ca="1">IFERROR(Q83/12*ROUND(VLOOKUP(AF86,OFFSET(STM,0,1),6,FALSE),2),"")</f>
        <v/>
      </c>
      <c r="AN86" t="str">
        <f t="shared" ca="1" si="5"/>
        <v/>
      </c>
      <c r="AP86" s="122" t="str">
        <f t="shared" ref="AP86" si="862">_xlfn.CONCAT(AR86,AS88)</f>
        <v/>
      </c>
      <c r="AQ86" s="683" t="str">
        <f t="shared" si="65"/>
        <v/>
      </c>
      <c r="AR86" s="4" t="str">
        <f t="shared" si="3"/>
        <v/>
      </c>
      <c r="AS86" s="4"/>
      <c r="AT86" s="697" t="str">
        <f>AL83</f>
        <v/>
      </c>
      <c r="AU86" s="694" t="e">
        <f t="shared" ca="1" si="91"/>
        <v>#REF!</v>
      </c>
      <c r="AV86" s="686" t="str">
        <f ca="1">IFERROR(VLOOKUP(AU86,INDIRECT(AQ83),2,FALSE),"----")</f>
        <v>----</v>
      </c>
      <c r="AW86" s="694" t="e">
        <f t="shared" ca="1" si="92"/>
        <v>#REF!</v>
      </c>
      <c r="AX86" s="686" t="str">
        <f ca="1">IFERROR(VLOOKUP(AW86,INDIRECT(AQ84),2,FALSE),"----")</f>
        <v>----</v>
      </c>
      <c r="AY86" s="694" t="e">
        <f t="shared" ref="AY86" ca="1" si="863">AY85-1</f>
        <v>#REF!</v>
      </c>
      <c r="AZ86" s="686" t="str">
        <f ca="1">IFERROR(VLOOKUP(AY86,INDIRECT(AQ85),2,FALSE),"----")</f>
        <v>----</v>
      </c>
      <c r="BA86" s="694" t="e">
        <f t="shared" ref="BA86" ca="1" si="864">BA85-1</f>
        <v>#REF!</v>
      </c>
      <c r="BB86" s="686" t="str">
        <f ca="1">IFERROR(VLOOKUP(BA86,INDIRECT(AQ86),2,FALSE),"----")</f>
        <v>----</v>
      </c>
      <c r="BC86" s="694" t="e">
        <f t="shared" ca="1" si="95"/>
        <v>#REF!</v>
      </c>
      <c r="BD86" s="686" t="str">
        <f ca="1">IFERROR(VLOOKUP(BC86,INDIRECT(AQ87),2,FALSE),"----")</f>
        <v>----</v>
      </c>
      <c r="BE86" s="694" t="e">
        <f t="shared" ca="1" si="96"/>
        <v>#REF!</v>
      </c>
      <c r="BF86" s="686" t="str">
        <f ca="1">IFERROR(VLOOKUP(BE86,INDIRECT(AQ88),2,FALSE),"----")</f>
        <v>----</v>
      </c>
      <c r="BG86" s="694" t="e">
        <f t="shared" ca="1" si="97"/>
        <v>#REF!</v>
      </c>
      <c r="BH86" s="686" t="str">
        <f ca="1">IFERROR(VLOOKUP(BG86,INDIRECT(AQ89),2,FALSE),"----")</f>
        <v>----</v>
      </c>
      <c r="BI86" s="694" t="e">
        <f t="shared" ca="1" si="98"/>
        <v>#REF!</v>
      </c>
      <c r="BJ86" s="686" t="str">
        <f ca="1">IFERROR(VLOOKUP(BI86,INDIRECT(AQ90),2,FALSE),"----")</f>
        <v>----</v>
      </c>
      <c r="BK86" s="694" t="e">
        <f t="shared" ca="1" si="99"/>
        <v>#REF!</v>
      </c>
      <c r="BL86" s="686" t="str">
        <f ca="1">IFERROR(VLOOKUP(BK86,INDIRECT(AQ91),2,FALSE),"----")</f>
        <v>----</v>
      </c>
      <c r="BM86" s="694" t="e">
        <f t="shared" ca="1" si="100"/>
        <v>#REF!</v>
      </c>
      <c r="BN86" s="686" t="str">
        <f ca="1">IFERROR(VLOOKUP(BM86,INDIRECT(AQ92),2,FALSE),"----")</f>
        <v>----</v>
      </c>
      <c r="BO86" s="694" t="e">
        <f t="shared" ca="1" si="101"/>
        <v>#REF!</v>
      </c>
      <c r="BP86" s="686" t="str">
        <f ca="1">IFERROR(VLOOKUP(BO86,INDIRECT(AQ93),2,FALSE),"----")</f>
        <v>----</v>
      </c>
      <c r="BQ86" s="694" t="e">
        <f t="shared" ca="1" si="102"/>
        <v>#REF!</v>
      </c>
      <c r="BR86" s="686" t="str">
        <f ca="1">IFERROR(VLOOKUP(BQ86,INDIRECT(AQ94),2,FALSE),"----")</f>
        <v>----</v>
      </c>
      <c r="BS86" s="695">
        <f>IF(AI86="",1,IF(COUNTIF(BB83:BB94,AI86)=0,2,1))</f>
        <v>1</v>
      </c>
      <c r="BT86" s="696">
        <f>IF(AF86="",1,IF(BB83=".",2,1))</f>
        <v>1</v>
      </c>
      <c r="BU86" s="706"/>
      <c r="BV86" s="155">
        <f ca="1">IF(COUNTIF(CT83:CT94,AF86)=0,IF(AF86&lt;&gt;"",0,1),1)</f>
        <v>1</v>
      </c>
      <c r="BW86" s="157">
        <f ca="1">IFERROR(MATCH(AF86,CT83:CT94,0),1)</f>
        <v>1</v>
      </c>
      <c r="BX86" s="769"/>
      <c r="BY86" s="769"/>
      <c r="BZ86" s="1110"/>
      <c r="CA86" s="691" t="e">
        <f t="shared" ca="1" si="813"/>
        <v>#REF!</v>
      </c>
      <c r="CB86" s="4" t="e" cm="1">
        <f t="array" aca="1" ref="CB86" ca="1">IF(AND(INDEX(INDIRECT(BY83),CA86,4)&gt;=$AB83,INDEX(INDIRECT(BY83),CA86,5)&gt;=$S83,INDEX(INDIRECT(BY83),CA86,6)&gt;=$R83),1,0)</f>
        <v>#REF!</v>
      </c>
      <c r="CC86" s="4" t="e">
        <f t="shared" ref="CC86" ca="1" si="865">MATCH(1,OFFSET(CB83:CB94,CD85,0,COUNT(CB83:CB94)-CD85),0)</f>
        <v>#REF!</v>
      </c>
      <c r="CD86" s="4" t="e">
        <f t="shared" ca="1" si="815"/>
        <v>#REF!</v>
      </c>
      <c r="CE86" s="692" t="str" cm="1">
        <f t="array" aca="1" ref="CE86" ca="1">IFERROR(VLOOKUP(INDEX(CA83:CA94,CD86),INDIRECT(BY83),2,FALSE),"----")</f>
        <v>----</v>
      </c>
      <c r="CF86" s="691" t="e">
        <f t="shared" ca="1" si="816"/>
        <v>#N/A</v>
      </c>
      <c r="CG86" s="4" t="e">
        <f ca="1">IF(AND(INDEX(SSM,CF86,4)&gt;=$AB83,INDEX(SSM,CF86,5)&gt;=$S83,INDEX(SSM,CF86,6)&gt;=$R83),1,0)</f>
        <v>#N/A</v>
      </c>
      <c r="CH86" s="4" t="e">
        <f t="shared" ref="CH86" ca="1" si="866">MATCH(1,OFFSET(CG83:CG94,CI85,0,COUNT(CG83:CG94)-CI85),0)</f>
        <v>#REF!</v>
      </c>
      <c r="CI86" s="4" t="e">
        <f t="shared" ca="1" si="818"/>
        <v>#REF!</v>
      </c>
      <c r="CJ86" s="692" t="str">
        <f ca="1">IFERROR(IF(AD84="Nested Steel Stud (wood infill)",VLOOKUP(INDEX(CF83:CF94,CI86),SSW,2,FALSE),VLOOKUP(INDEX(CF83:CF94,CI86),SSM,2,FALSE)),"----")</f>
        <v>----</v>
      </c>
      <c r="CK86" s="691" t="e">
        <f t="shared" ca="1" si="819"/>
        <v>#N/A</v>
      </c>
      <c r="CL86" s="4" t="e">
        <f ca="1">IF(AND(INDEX(WSM,CK86,4)&gt;=$AB83,INDEX(WSM,CK86,5)&gt;=$S83,INDEX(WSM,CK86,6)&gt;=$R83),1,0)</f>
        <v>#N/A</v>
      </c>
      <c r="CM86" s="4" t="e">
        <f t="shared" ref="CM86" ca="1" si="867">MATCH(1,OFFSET(CL83:CL94,CN85,0,COUNT(CL83:CL94)-CN85),0)</f>
        <v>#REF!</v>
      </c>
      <c r="CN86" s="4" t="e">
        <f t="shared" ca="1" si="821"/>
        <v>#REF!</v>
      </c>
      <c r="CO86" s="692" t="str">
        <f ca="1">IFERROR(VLOOKUP(INDEX(CK83:CK94,CN86),WSM,2,FALSE),"----")</f>
        <v>----</v>
      </c>
      <c r="CP86" s="691" t="e">
        <f t="shared" ca="1" si="822"/>
        <v>#N/A</v>
      </c>
      <c r="CQ86" s="4" t="e">
        <f ca="1">IF(AND(INDEX(STM,CP86,4)&gt;=$AB83,INDEX(STM,CP86,5)&gt;=$S83,INDEX(STM,CP86,6)&gt;=$R83),1,0)</f>
        <v>#N/A</v>
      </c>
      <c r="CR86" s="4" t="e">
        <f t="shared" ref="CR86" ca="1" si="868">MATCH(1,OFFSET(CQ83:CQ94,CS85,0,COUNT(CQ83:CQ94)-CS85),0)</f>
        <v>#REF!</v>
      </c>
      <c r="CS86" s="4" t="e">
        <f t="shared" ca="1" si="824"/>
        <v>#REF!</v>
      </c>
      <c r="CT86" s="692" t="str">
        <f ca="1">IFERROR(VLOOKUP(INDEX(CP83:CP94,CS86),STM,2,FALSE),"----")</f>
        <v>----</v>
      </c>
      <c r="CU86" s="691" t="e">
        <f t="shared" ca="1" si="825"/>
        <v>#N/A</v>
      </c>
      <c r="CV86" s="4" t="e">
        <f ca="1">IF(AND(INDEX(ELM,CU86,4)&gt;=$AB83,INDEX(ELM,CU86,5)&gt;=$S83,INDEX(ELM,CU86,6)&gt;=$R83),1,0)</f>
        <v>#N/A</v>
      </c>
      <c r="CW86" s="4" t="e">
        <f t="shared" ref="CW86" ca="1" si="869">MATCH(1,OFFSET(CV83:CV94,CX85,0,COUNT(CV83:CV94)-CX85),0)</f>
        <v>#REF!</v>
      </c>
      <c r="CX86" s="4" t="e">
        <f t="shared" ca="1" si="827"/>
        <v>#REF!</v>
      </c>
      <c r="CY86" s="692" t="str">
        <f ca="1">IFERROR(VLOOKUP(INDEX(CU83:CU94,CX86),ELM,2,FALSE),"----")</f>
        <v>----</v>
      </c>
      <c r="CZ86" s="691" t="e">
        <f t="shared" ca="1" si="828"/>
        <v>#N/A</v>
      </c>
      <c r="DA86" s="4" t="e">
        <f ca="1">IF(LEFT($J83,7)="Clad Wo",IF(AND(INDEX(SPPWS,CZ86,4)&gt;=$AB83,INDEX(SPPWS,CZ86,5)&gt;=$S83,INDEX(SPPWS,CZ86,6)&gt;=$R83),1,0),IF(AND(INDEX(SPM,CZ86,4)&gt;=$AB83,INDEX(SPM,CZ86,5)&gt;=$S83,INDEX(SPM,CZ86,6)&gt;=$R83),1,0))</f>
        <v>#N/A</v>
      </c>
      <c r="DB86" s="4" t="e">
        <f t="shared" ref="DB86" ca="1" si="870">MATCH(1,OFFSET(DA83:DA94,DC85,0,COUNT(DA83:DA94)-DC85),0)</f>
        <v>#REF!</v>
      </c>
      <c r="DC86" s="4" t="e">
        <f t="shared" ca="1" si="830"/>
        <v>#REF!</v>
      </c>
      <c r="DD86" s="693" t="str">
        <f ca="1">IF(LEFT($J83,7)="Clad Wo",IFERROR(VLOOKUP(INDEX(CZ83:CZ94,DC86),SPPWS,2,FALSE),"----"),IFERROR(VLOOKUP(INDEX(CZ83:CZ94,DC86),SPM,2,FALSE),"----"))</f>
        <v>----</v>
      </c>
      <c r="DE86" s="691" t="e">
        <f t="shared" ca="1" si="831"/>
        <v>#REF!</v>
      </c>
      <c r="DF86" s="4" t="e" cm="1">
        <f t="array" aca="1" ref="DF86" ca="1">IF(AND(INDEX(INDIRECT(BY83),DE86,4)&gt;=$AB89,INDEX(INDIRECT(BY83),DE86,5)&gt;=$S83,INDEX(INDIRECT(BY83),DE86,6)&gt;=$R83),1,0)</f>
        <v>#REF!</v>
      </c>
      <c r="DG86" s="4" t="e">
        <f t="shared" ref="DG86" ca="1" si="871">MATCH(1,OFFSET(DF83:DF94,DH85,0,COUNT(DF83:DF94)-DH85),0)</f>
        <v>#REF!</v>
      </c>
      <c r="DH86" s="4" t="e">
        <f t="shared" ca="1" si="833"/>
        <v>#REF!</v>
      </c>
      <c r="DI86" s="692" t="str" cm="1">
        <f t="array" aca="1" ref="DI86" ca="1">IFERROR(VLOOKUP(INDEX(DE83:DE94,DH86),INDIRECT(BY83),2,FALSE),"----")</f>
        <v>----</v>
      </c>
      <c r="DJ86" s="691" t="e">
        <f t="shared" ca="1" si="834"/>
        <v>#N/A</v>
      </c>
      <c r="DK86" s="4" t="e">
        <f ca="1">IF(AND(INDEX(SSM,DJ86,4)&gt;=$AB89,INDEX(SSM,DJ86,5)&gt;=$S83,INDEX(SSM,DJ86,6)&gt;=$R83),1,0)</f>
        <v>#N/A</v>
      </c>
      <c r="DL86" s="4" t="e">
        <f t="shared" ref="DL86" ca="1" si="872">MATCH(1,OFFSET(DK83:DK94,DM85,0,COUNT(DK83:DK94)-DM85),0)</f>
        <v>#REF!</v>
      </c>
      <c r="DM86" s="4" t="e">
        <f t="shared" ca="1" si="836"/>
        <v>#REF!</v>
      </c>
      <c r="DN86" s="692" t="str">
        <f ca="1">IFERROR(IF(AD90="Nested Steel Stud (wood infill)",VLOOKUP(INDEX(DJ83:DJ94,DM86),SSW,2,FALSE),VLOOKUP(INDEX(DJ83:DJ94,DM86),SSM,2,FALSE)),"----")</f>
        <v>----</v>
      </c>
      <c r="DO86" s="691" t="e">
        <f t="shared" ca="1" si="837"/>
        <v>#N/A</v>
      </c>
      <c r="DP86" s="4" t="e">
        <f ca="1">IF(AND(INDEX(WSM,DO86,4)&gt;=$AB89,INDEX(WSM,DO86,5)&gt;=$S83,INDEX(WSM,DO86,6)&gt;=$R83),1,0)</f>
        <v>#N/A</v>
      </c>
      <c r="DQ86" s="4" t="e">
        <f t="shared" ref="DQ86" ca="1" si="873">MATCH(1,OFFSET(DP83:DP94,DR85,0,COUNT(DP83:DP94)-DR85),0)</f>
        <v>#REF!</v>
      </c>
      <c r="DR86" s="4" t="e">
        <f t="shared" ca="1" si="839"/>
        <v>#REF!</v>
      </c>
      <c r="DS86" s="692" t="str">
        <f ca="1">IFERROR(VLOOKUP(INDEX(DO83:DO94,DR86),WSM,2,FALSE),"----")</f>
        <v>----</v>
      </c>
      <c r="DT86" s="691" t="e">
        <f t="shared" ca="1" si="840"/>
        <v>#N/A</v>
      </c>
      <c r="DU86" s="4" t="e">
        <f ca="1">IF(AND(INDEX(STM,DT86,4)&gt;=$AB89,INDEX(STM,DT86,5)&gt;=$S83,INDEX(STM,DT86,6)&gt;=$R83),1,0)</f>
        <v>#N/A</v>
      </c>
      <c r="DV86" s="4" t="e">
        <f t="shared" ref="DV86" ca="1" si="874">MATCH(1,OFFSET(DU83:DU94,DW85,0,COUNT(DU83:DU94)-DW85),0)</f>
        <v>#REF!</v>
      </c>
      <c r="DW86" s="4" t="e">
        <f t="shared" ca="1" si="842"/>
        <v>#REF!</v>
      </c>
      <c r="DX86" s="692" t="str">
        <f ca="1">IFERROR(VLOOKUP(INDEX(DT83:DT94,DW86),STM,2,FALSE),"----")</f>
        <v>----</v>
      </c>
      <c r="DY86" s="691" t="e">
        <f t="shared" ca="1" si="843"/>
        <v>#N/A</v>
      </c>
      <c r="DZ86" s="4" t="e">
        <f ca="1">IF(AND(INDEX(ELM,DY86,4)&gt;=$AB89,INDEX(ELM,DY86,5)&gt;=$S83,INDEX(ELM,DY86,6)&gt;=$R83),1,0)</f>
        <v>#N/A</v>
      </c>
      <c r="EA86" s="4" t="e">
        <f t="shared" ref="EA86" ca="1" si="875">MATCH(1,OFFSET(DZ83:DZ94,EB85,0,COUNT(DZ83:DZ94)-EB85),0)</f>
        <v>#REF!</v>
      </c>
      <c r="EB86" s="4" t="e">
        <f t="shared" ca="1" si="845"/>
        <v>#REF!</v>
      </c>
      <c r="EC86" s="692" t="str">
        <f ca="1">IFERROR(VLOOKUP(INDEX(DY83:DY94,EB86),ELM,2,FALSE),"----")</f>
        <v>----</v>
      </c>
      <c r="ED86" s="691" t="e">
        <f t="shared" ca="1" si="846"/>
        <v>#N/A</v>
      </c>
      <c r="EE86" s="4" t="e">
        <f ca="1">IF(LEFT($J83,7)="Clad Wo",IF(AND(INDEX(SPPWS,ED86,4)&gt;=$AB89,INDEX(SPPWS,ED86,5)&gt;=$S83,INDEX(SPPWS,ED86,6)&gt;=$R83),1,0),IF(AND(INDEX(SPM,ED86,4)&gt;=$AB89,INDEX(SPM,ED86,5)&gt;=$S83,INDEX(SPM,ED86,6)&gt;=$R83),1,0))</f>
        <v>#N/A</v>
      </c>
      <c r="EF86" s="4" t="e">
        <f t="shared" ref="EF86" ca="1" si="876">MATCH(1,OFFSET(EE83:EE94,EG85,0,COUNT(EE83:EE94)-EG85),0)</f>
        <v>#REF!</v>
      </c>
      <c r="EG86" s="4" t="e">
        <f t="shared" ca="1" si="848"/>
        <v>#REF!</v>
      </c>
      <c r="EH86" s="692" t="str">
        <f ca="1">IF(LEFT($J83,7)="Clad Wo",IFERROR(VLOOKUP(INDEX(ED83:ED94,EG86),SPPWS,2,FALSE),"----"),IFERROR(VLOOKUP(INDEX(ED83:ED94,EG86),SPM,2,FALSE),"----"))</f>
        <v>----</v>
      </c>
    </row>
    <row r="87" spans="1:138" ht="15" customHeight="1" x14ac:dyDescent="0.25">
      <c r="A87" s="1085"/>
      <c r="B87" s="925"/>
      <c r="C87" s="926"/>
      <c r="D87" s="927"/>
      <c r="E87" s="995"/>
      <c r="F87" s="996"/>
      <c r="G87" s="997"/>
      <c r="H87" s="1062"/>
      <c r="I87" s="990"/>
      <c r="J87" s="910"/>
      <c r="K87" s="911"/>
      <c r="L87" s="1002"/>
      <c r="M87" s="923"/>
      <c r="N87" s="1042"/>
      <c r="O87" s="1018"/>
      <c r="P87" s="987"/>
      <c r="Q87" s="1015"/>
      <c r="R87" s="1012"/>
      <c r="S87" s="1006"/>
      <c r="T87" s="1007"/>
      <c r="U87" s="878"/>
      <c r="V87" s="881"/>
      <c r="W87" s="884"/>
      <c r="X87" s="884"/>
      <c r="Y87" s="887"/>
      <c r="Z87" s="887"/>
      <c r="AA87" s="887"/>
      <c r="AB87" s="1081"/>
      <c r="AC87" s="1078"/>
      <c r="AD87" s="1070" t="s">
        <v>39</v>
      </c>
      <c r="AE87" s="1071"/>
      <c r="AF87" s="1052"/>
      <c r="AG87" s="1053"/>
      <c r="AH87" s="1053"/>
      <c r="AI87" s="1068"/>
      <c r="AJ87" s="1069"/>
      <c r="AK87" s="154" t="str">
        <f t="shared" ca="1" si="62"/>
        <v/>
      </c>
      <c r="AL87" s="1039"/>
      <c r="AM87" s="344" t="str">
        <f ca="1">IFERROR(Q83/12*ROUND(VLOOKUP(AF87,OFFSET(ELM,0,1),6,FALSE),2),"")</f>
        <v/>
      </c>
      <c r="AN87" t="str">
        <f t="shared" ca="1" si="5"/>
        <v/>
      </c>
      <c r="AP87" s="122" t="str">
        <f t="shared" ref="AP87" si="877">_xlfn.CONCAT(AR87,AS88)</f>
        <v/>
      </c>
      <c r="AQ87" s="683" t="str">
        <f t="shared" si="65"/>
        <v/>
      </c>
      <c r="AR87" s="4" t="str">
        <f t="shared" si="3"/>
        <v/>
      </c>
      <c r="AS87" s="4"/>
      <c r="AT87" s="697" t="str">
        <f>AL83</f>
        <v/>
      </c>
      <c r="AU87" s="694" t="e">
        <f t="shared" ca="1" si="91"/>
        <v>#REF!</v>
      </c>
      <c r="AV87" s="698" t="str">
        <f ca="1">IFERROR(VLOOKUP(AU87,INDIRECT(AQ83),2,FALSE),"----")</f>
        <v>----</v>
      </c>
      <c r="AW87" s="694" t="e">
        <f t="shared" ca="1" si="92"/>
        <v>#REF!</v>
      </c>
      <c r="AX87" s="698" t="str">
        <f ca="1">IFERROR(VLOOKUP(AW87,INDIRECT(AQ84),2,FALSE),"----")</f>
        <v>----</v>
      </c>
      <c r="AY87" s="694" t="e">
        <f t="shared" ref="AY87" ca="1" si="878">AY86-1</f>
        <v>#REF!</v>
      </c>
      <c r="AZ87" s="698" t="str">
        <f ca="1">IFERROR(VLOOKUP(AY87,INDIRECT(AQ85),2,FALSE),"----")</f>
        <v>----</v>
      </c>
      <c r="BA87" s="694" t="e">
        <f t="shared" ref="BA87" ca="1" si="879">BA86-1</f>
        <v>#REF!</v>
      </c>
      <c r="BB87" s="698" t="str">
        <f ca="1">IFERROR(VLOOKUP(BA87,INDIRECT(AQ86),2,FALSE),"----")</f>
        <v>----</v>
      </c>
      <c r="BC87" s="694" t="e">
        <f t="shared" ca="1" si="95"/>
        <v>#REF!</v>
      </c>
      <c r="BD87" s="698" t="str">
        <f ca="1">IFERROR(VLOOKUP(BC87,INDIRECT(AQ87),2,FALSE),"----")</f>
        <v>----</v>
      </c>
      <c r="BE87" s="694" t="e">
        <f t="shared" ca="1" si="96"/>
        <v>#REF!</v>
      </c>
      <c r="BF87" s="698" t="str">
        <f ca="1">IFERROR(VLOOKUP(BE87,INDIRECT(AQ88),2,FALSE),"----")</f>
        <v>----</v>
      </c>
      <c r="BG87" s="694" t="e">
        <f t="shared" ca="1" si="97"/>
        <v>#REF!</v>
      </c>
      <c r="BH87" s="686" t="str">
        <f ca="1">IFERROR(VLOOKUP(BG87,INDIRECT(AQ89),2,FALSE),"----")</f>
        <v>----</v>
      </c>
      <c r="BI87" s="694" t="e">
        <f t="shared" ca="1" si="98"/>
        <v>#REF!</v>
      </c>
      <c r="BJ87" s="686" t="str">
        <f ca="1">IFERROR(VLOOKUP(BI87,INDIRECT(AQ90),2,FALSE),"----")</f>
        <v>----</v>
      </c>
      <c r="BK87" s="694" t="e">
        <f t="shared" ca="1" si="99"/>
        <v>#REF!</v>
      </c>
      <c r="BL87" s="686" t="str">
        <f ca="1">IFERROR(VLOOKUP(BK87,INDIRECT(AQ91),2,FALSE),"----")</f>
        <v>----</v>
      </c>
      <c r="BM87" s="694" t="e">
        <f t="shared" ca="1" si="100"/>
        <v>#REF!</v>
      </c>
      <c r="BN87" s="686" t="str">
        <f ca="1">IFERROR(VLOOKUP(BM87,INDIRECT(AQ92),2,FALSE),"----")</f>
        <v>----</v>
      </c>
      <c r="BO87" s="694" t="e">
        <f t="shared" ca="1" si="101"/>
        <v>#REF!</v>
      </c>
      <c r="BP87" s="686" t="str">
        <f ca="1">IFERROR(VLOOKUP(BO87,INDIRECT(AQ93),2,FALSE),"----")</f>
        <v>----</v>
      </c>
      <c r="BQ87" s="694" t="e">
        <f t="shared" ca="1" si="102"/>
        <v>#REF!</v>
      </c>
      <c r="BR87" s="686" t="str">
        <f ca="1">IFERROR(VLOOKUP(BQ87,INDIRECT(AQ94),2,FALSE),"----")</f>
        <v>----</v>
      </c>
      <c r="BS87" s="695">
        <f>IF(AI87="",1,IF(COUNTIF(BD83:BD94,AI87)=0,2,1))</f>
        <v>1</v>
      </c>
      <c r="BT87" s="696">
        <f>IF(AF87="",1,IF(BD83=".",2,1))</f>
        <v>1</v>
      </c>
      <c r="BU87" s="706"/>
      <c r="BV87" s="155">
        <f ca="1">IF(COUNTIF(CY83:CY94,AF87)=0,IF(AF87&lt;&gt;"",0,1),1)</f>
        <v>1</v>
      </c>
      <c r="BW87" s="157">
        <f ca="1">IFERROR(MATCH(AF87,CY83:CY94,0),1)</f>
        <v>1</v>
      </c>
      <c r="BX87" s="769"/>
      <c r="BY87" s="769"/>
      <c r="BZ87" s="1110"/>
      <c r="CA87" s="691" t="e">
        <f t="shared" ca="1" si="813"/>
        <v>#REF!</v>
      </c>
      <c r="CB87" s="4" t="e" cm="1">
        <f t="array" aca="1" ref="CB87" ca="1">IF(AND(INDEX(INDIRECT(BY83),CA87,4)&gt;=$AB83,INDEX(INDIRECT(BY83),CA87,5)&gt;=$S83,INDEX(INDIRECT(BY83),CA87,6)&gt;=$R83),1,0)</f>
        <v>#REF!</v>
      </c>
      <c r="CC87" s="4" t="e">
        <f t="shared" ref="CC87" ca="1" si="880">MATCH(1,OFFSET(CB83:CB94,CD86,0,COUNT(CB83:CB94)-CD86),0)</f>
        <v>#REF!</v>
      </c>
      <c r="CD87" s="4" t="e">
        <f t="shared" ca="1" si="815"/>
        <v>#REF!</v>
      </c>
      <c r="CE87" s="692" t="str" cm="1">
        <f t="array" aca="1" ref="CE87" ca="1">IFERROR(VLOOKUP(INDEX(CA83:CA94,CD87),INDIRECT(BY83),2,FALSE),"----")</f>
        <v>----</v>
      </c>
      <c r="CF87" s="691" t="e">
        <f t="shared" ca="1" si="816"/>
        <v>#N/A</v>
      </c>
      <c r="CG87" s="4" t="e">
        <f ca="1">IF(AND(INDEX(SSM,CF87,4)&gt;=$AB83,INDEX(SSM,CF87,5)&gt;=$S83,INDEX(SSM,CF87,6)&gt;=$R83),1,0)</f>
        <v>#N/A</v>
      </c>
      <c r="CH87" s="4" t="e">
        <f t="shared" ref="CH87" ca="1" si="881">MATCH(1,OFFSET(CG83:CG94,CI86,0,COUNT(CG83:CG94)-CI86),0)</f>
        <v>#REF!</v>
      </c>
      <c r="CI87" s="4" t="e">
        <f t="shared" ca="1" si="818"/>
        <v>#REF!</v>
      </c>
      <c r="CJ87" s="692" t="str">
        <f ca="1">IFERROR(IF(AD84="Nested Steel Stud (wood infill)",VLOOKUP(INDEX(CF83:CF94,CI87),SSW,2,FALSE),VLOOKUP(INDEX(CF83:CF94,CI87),SSM,2,FALSE)),"----")</f>
        <v>----</v>
      </c>
      <c r="CK87" s="691" t="e">
        <f t="shared" ca="1" si="819"/>
        <v>#N/A</v>
      </c>
      <c r="CL87" s="4" t="e">
        <f ca="1">IF(AND(INDEX(WSM,CK87,4)&gt;=$AB83,INDEX(WSM,CK87,5)&gt;=$S83,INDEX(WSM,CK87,6)&gt;=$R83),1,0)</f>
        <v>#N/A</v>
      </c>
      <c r="CM87" s="4" t="e">
        <f t="shared" ref="CM87" ca="1" si="882">MATCH(1,OFFSET(CL83:CL94,CN86,0,COUNT(CL83:CL94)-CN86),0)</f>
        <v>#REF!</v>
      </c>
      <c r="CN87" s="4" t="e">
        <f t="shared" ca="1" si="821"/>
        <v>#REF!</v>
      </c>
      <c r="CO87" s="692" t="str">
        <f ca="1">IFERROR(VLOOKUP(INDEX(CK83:CK94,CN87),WSM,2,FALSE),"----")</f>
        <v>----</v>
      </c>
      <c r="CP87" s="691" t="e">
        <f t="shared" ca="1" si="822"/>
        <v>#N/A</v>
      </c>
      <c r="CQ87" s="4" t="e">
        <f ca="1">IF(AND(INDEX(STM,CP87,4)&gt;=$AB83,INDEX(STM,CP87,5)&gt;=$S83,INDEX(STM,CP87,6)&gt;=$R83),1,0)</f>
        <v>#N/A</v>
      </c>
      <c r="CR87" s="4" t="e">
        <f t="shared" ref="CR87" ca="1" si="883">MATCH(1,OFFSET(CQ83:CQ94,CS86,0,COUNT(CQ83:CQ94)-CS86),0)</f>
        <v>#REF!</v>
      </c>
      <c r="CS87" s="4" t="e">
        <f t="shared" ca="1" si="824"/>
        <v>#REF!</v>
      </c>
      <c r="CT87" s="692" t="str">
        <f ca="1">IFERROR(VLOOKUP(INDEX(CP83:CP94,CS87),STM,2,FALSE),"----")</f>
        <v>----</v>
      </c>
      <c r="CU87" s="691" t="e">
        <f t="shared" ca="1" si="825"/>
        <v>#N/A</v>
      </c>
      <c r="CV87" s="4" t="e">
        <f ca="1">IF(AND(INDEX(ELM,CU87,4)&gt;=$AB83,INDEX(ELM,CU87,5)&gt;=$S83,INDEX(ELM,CU87,6)&gt;=$R83),1,0)</f>
        <v>#N/A</v>
      </c>
      <c r="CW87" s="4" t="e">
        <f t="shared" ref="CW87" ca="1" si="884">MATCH(1,OFFSET(CV83:CV94,CX86,0,COUNT(CV83:CV94)-CX86),0)</f>
        <v>#REF!</v>
      </c>
      <c r="CX87" s="4" t="e">
        <f t="shared" ca="1" si="827"/>
        <v>#REF!</v>
      </c>
      <c r="CY87" s="692" t="str">
        <f ca="1">IFERROR(VLOOKUP(INDEX(CU83:CU94,CX87),ELM,2,FALSE),"----")</f>
        <v>----</v>
      </c>
      <c r="CZ87" s="691" t="e">
        <f t="shared" ca="1" si="828"/>
        <v>#N/A</v>
      </c>
      <c r="DA87" s="4" t="e">
        <f ca="1">IF(LEFT($J83,7)="Clad Wo",IF(AND(INDEX(SPPWS,CZ87,4)&gt;=$AB83,INDEX(SPPWS,CZ87,5)&gt;=$S83,INDEX(SPPWS,CZ87,6)&gt;=$R83),1,0),IF(AND(INDEX(SPM,CZ87,4)&gt;=$AB83,INDEX(SPM,CZ87,5)&gt;=$S83,INDEX(SPM,CZ87,6)&gt;=$R83),1,0))</f>
        <v>#N/A</v>
      </c>
      <c r="DB87" s="4" t="e">
        <f t="shared" ref="DB87" ca="1" si="885">MATCH(1,OFFSET(DA83:DA94,DC86,0,COUNT(DA83:DA94)-DC86),0)</f>
        <v>#REF!</v>
      </c>
      <c r="DC87" s="4" t="e">
        <f t="shared" ca="1" si="830"/>
        <v>#REF!</v>
      </c>
      <c r="DD87" s="693" t="str">
        <f ca="1">IF(LEFT($J83,7)="Clad Wo",IFERROR(VLOOKUP(INDEX(CZ83:CZ94,DC87),SPPWS,2,FALSE),"----"),IFERROR(VLOOKUP(INDEX(CZ83:CZ94,DC87),SPM,2,FALSE),"----"))</f>
        <v>----</v>
      </c>
      <c r="DE87" s="691" t="e">
        <f t="shared" ca="1" si="831"/>
        <v>#REF!</v>
      </c>
      <c r="DF87" s="4" t="e" cm="1">
        <f t="array" aca="1" ref="DF87" ca="1">IF(AND(INDEX(INDIRECT(BY83),DE87,4)&gt;=$AB89,INDEX(INDIRECT(BY83),DE87,5)&gt;=$S83,INDEX(INDIRECT(BY83),DE87,6)&gt;=$R83),1,0)</f>
        <v>#REF!</v>
      </c>
      <c r="DG87" s="4" t="e">
        <f t="shared" ref="DG87" ca="1" si="886">MATCH(1,OFFSET(DF83:DF94,DH86,0,COUNT(DF83:DF94)-DH86),0)</f>
        <v>#REF!</v>
      </c>
      <c r="DH87" s="4" t="e">
        <f t="shared" ca="1" si="833"/>
        <v>#REF!</v>
      </c>
      <c r="DI87" s="692" t="str" cm="1">
        <f t="array" aca="1" ref="DI87" ca="1">IFERROR(VLOOKUP(INDEX(DE83:DE94,DH87),INDIRECT(BY83),2,FALSE),"----")</f>
        <v>----</v>
      </c>
      <c r="DJ87" s="691" t="e">
        <f t="shared" ca="1" si="834"/>
        <v>#N/A</v>
      </c>
      <c r="DK87" s="4" t="e">
        <f ca="1">IF(AND(INDEX(SSM,DJ87,4)&gt;=$AB89,INDEX(SSM,DJ87,5)&gt;=$S83,INDEX(SSM,DJ87,6)&gt;=$R83),1,0)</f>
        <v>#N/A</v>
      </c>
      <c r="DL87" s="4" t="e">
        <f t="shared" ref="DL87" ca="1" si="887">MATCH(1,OFFSET(DK83:DK94,DM86,0,COUNT(DK83:DK94)-DM86),0)</f>
        <v>#REF!</v>
      </c>
      <c r="DM87" s="4" t="e">
        <f t="shared" ca="1" si="836"/>
        <v>#REF!</v>
      </c>
      <c r="DN87" s="692" t="str">
        <f ca="1">IFERROR(IF(AD90="Nested Steel Stud (wood infill)",VLOOKUP(INDEX(DJ83:DJ94,DM87),SSW,2,FALSE),VLOOKUP(INDEX(DJ83:DJ94,DM87),SSM,2,FALSE)),"----")</f>
        <v>----</v>
      </c>
      <c r="DO87" s="691" t="e">
        <f t="shared" ca="1" si="837"/>
        <v>#N/A</v>
      </c>
      <c r="DP87" s="4" t="e">
        <f ca="1">IF(AND(INDEX(WSM,DO87,4)&gt;=$AB89,INDEX(WSM,DO87,5)&gt;=$S83,INDEX(WSM,DO87,6)&gt;=$R83),1,0)</f>
        <v>#N/A</v>
      </c>
      <c r="DQ87" s="4" t="e">
        <f t="shared" ref="DQ87" ca="1" si="888">MATCH(1,OFFSET(DP83:DP94,DR86,0,COUNT(DP83:DP94)-DR86),0)</f>
        <v>#REF!</v>
      </c>
      <c r="DR87" s="4" t="e">
        <f t="shared" ca="1" si="839"/>
        <v>#REF!</v>
      </c>
      <c r="DS87" s="692" t="str">
        <f ca="1">IFERROR(VLOOKUP(INDEX(DO83:DO94,DR87),WSM,2,FALSE),"----")</f>
        <v>----</v>
      </c>
      <c r="DT87" s="691" t="e">
        <f t="shared" ca="1" si="840"/>
        <v>#N/A</v>
      </c>
      <c r="DU87" s="4" t="e">
        <f ca="1">IF(AND(INDEX(STM,DT87,4)&gt;=$AB89,INDEX(STM,DT87,5)&gt;=$S83,INDEX(STM,DT87,6)&gt;=$R83),1,0)</f>
        <v>#N/A</v>
      </c>
      <c r="DV87" s="4" t="e">
        <f t="shared" ref="DV87" ca="1" si="889">MATCH(1,OFFSET(DU83:DU94,DW86,0,COUNT(DU83:DU94)-DW86),0)</f>
        <v>#REF!</v>
      </c>
      <c r="DW87" s="4" t="e">
        <f t="shared" ca="1" si="842"/>
        <v>#REF!</v>
      </c>
      <c r="DX87" s="692" t="str">
        <f ca="1">IFERROR(VLOOKUP(INDEX(DT83:DT94,DW87),STM,2,FALSE),"----")</f>
        <v>----</v>
      </c>
      <c r="DY87" s="691" t="e">
        <f t="shared" ca="1" si="843"/>
        <v>#N/A</v>
      </c>
      <c r="DZ87" s="4" t="e">
        <f ca="1">IF(AND(INDEX(ELM,DY87,4)&gt;=$AB89,INDEX(ELM,DY87,5)&gt;=$S83,INDEX(ELM,DY87,6)&gt;=$R83),1,0)</f>
        <v>#N/A</v>
      </c>
      <c r="EA87" s="4" t="e">
        <f t="shared" ref="EA87" ca="1" si="890">MATCH(1,OFFSET(DZ83:DZ94,EB86,0,COUNT(DZ83:DZ94)-EB86),0)</f>
        <v>#REF!</v>
      </c>
      <c r="EB87" s="4" t="e">
        <f t="shared" ca="1" si="845"/>
        <v>#REF!</v>
      </c>
      <c r="EC87" s="692" t="str">
        <f ca="1">IFERROR(VLOOKUP(INDEX(DY83:DY94,EB87),ELM,2,FALSE),"----")</f>
        <v>----</v>
      </c>
      <c r="ED87" s="691" t="e">
        <f t="shared" ca="1" si="846"/>
        <v>#N/A</v>
      </c>
      <c r="EE87" s="4" t="e">
        <f ca="1">IF(LEFT($J83,7)="Clad Wo",IF(AND(INDEX(SPPWS,ED87,4)&gt;=$AB89,INDEX(SPPWS,ED87,5)&gt;=$S83,INDEX(SPPWS,ED87,6)&gt;=$R83),1,0),IF(AND(INDEX(SPM,ED87,4)&gt;=$AB89,INDEX(SPM,ED87,5)&gt;=$S83,INDEX(SPM,ED87,6)&gt;=$R83),1,0))</f>
        <v>#N/A</v>
      </c>
      <c r="EF87" s="4" t="e">
        <f t="shared" ref="EF87" ca="1" si="891">MATCH(1,OFFSET(EE83:EE94,EG86,0,COUNT(EE83:EE94)-EG86),0)</f>
        <v>#REF!</v>
      </c>
      <c r="EG87" s="4" t="e">
        <f t="shared" ca="1" si="848"/>
        <v>#REF!</v>
      </c>
      <c r="EH87" s="692" t="str">
        <f ca="1">IF(LEFT($J83,7)="Clad Wo",IFERROR(VLOOKUP(INDEX(ED83:ED94,EG87),SPPWS,2,FALSE),"----"),IFERROR(VLOOKUP(INDEX(ED83:ED94,EG87),SPM,2,FALSE),"----"))</f>
        <v>----</v>
      </c>
    </row>
    <row r="88" spans="1:138" ht="15" customHeight="1" thickBot="1" x14ac:dyDescent="0.3">
      <c r="A88" s="1085"/>
      <c r="B88" s="934"/>
      <c r="C88" s="935"/>
      <c r="D88" s="936"/>
      <c r="E88" s="995"/>
      <c r="F88" s="996"/>
      <c r="G88" s="997"/>
      <c r="H88" s="1062"/>
      <c r="I88" s="990"/>
      <c r="J88" s="908"/>
      <c r="K88" s="909"/>
      <c r="L88" s="1010"/>
      <c r="M88" s="924"/>
      <c r="N88" s="1044"/>
      <c r="O88" s="1018"/>
      <c r="P88" s="987"/>
      <c r="Q88" s="1015"/>
      <c r="R88" s="1012"/>
      <c r="S88" s="1006"/>
      <c r="T88" s="1007"/>
      <c r="U88" s="878"/>
      <c r="V88" s="881"/>
      <c r="W88" s="889"/>
      <c r="X88" s="884"/>
      <c r="Y88" s="890"/>
      <c r="Z88" s="890"/>
      <c r="AA88" s="887"/>
      <c r="AB88" s="1084"/>
      <c r="AC88" s="1079"/>
      <c r="AD88" s="1072" t="str">
        <f t="shared" ref="AD88" si="892">IF(LEFT(J83,7)="Clad Wo","Pella Wood Spr / Steel Pte","Steel Plate")</f>
        <v>Steel Plate</v>
      </c>
      <c r="AE88" s="1073"/>
      <c r="AF88" s="1054"/>
      <c r="AG88" s="1055"/>
      <c r="AH88" s="1055"/>
      <c r="AI88" s="1092"/>
      <c r="AJ88" s="1093"/>
      <c r="AK88" s="159" t="str">
        <f t="shared" ca="1" si="62"/>
        <v/>
      </c>
      <c r="AL88" s="1040"/>
      <c r="AM88" s="345" t="str">
        <f ca="1">IFERROR(Q83/12*ROUND(VLOOKUP(AF88,OFFSET(SPM,0,1),6,FALSE),2),"")</f>
        <v/>
      </c>
      <c r="AN88" t="str">
        <f t="shared" ca="1" si="5"/>
        <v/>
      </c>
      <c r="AP88" s="699" t="str">
        <f t="shared" ref="AP88" si="893">_xlfn.CONCAT(AR88,AS88)</f>
        <v/>
      </c>
      <c r="AQ88" s="700" t="str">
        <f t="shared" si="65"/>
        <v/>
      </c>
      <c r="AR88" s="160" t="str">
        <f t="shared" si="3"/>
        <v/>
      </c>
      <c r="AS88" s="160" t="str">
        <f>IFERROR(VLOOKUP(J91, WallType,2,FALSE),"")</f>
        <v/>
      </c>
      <c r="AT88" s="701" t="str">
        <f>AL83</f>
        <v/>
      </c>
      <c r="AU88" s="694" t="e">
        <f t="shared" ca="1" si="91"/>
        <v>#REF!</v>
      </c>
      <c r="AV88" s="698" t="str">
        <f ca="1">IFERROR(VLOOKUP(AU88,INDIRECT(AQ83),2,FALSE),"----")</f>
        <v>----</v>
      </c>
      <c r="AW88" s="702" t="e">
        <f t="shared" ca="1" si="92"/>
        <v>#REF!</v>
      </c>
      <c r="AX88" s="698" t="str">
        <f ca="1">IFERROR(VLOOKUP(AW88,INDIRECT(AQ84),2,FALSE),"----")</f>
        <v>----</v>
      </c>
      <c r="AY88" s="702" t="e">
        <f t="shared" ref="AY88" ca="1" si="894">AY87-1</f>
        <v>#REF!</v>
      </c>
      <c r="AZ88" s="698" t="str">
        <f ca="1">IFERROR(VLOOKUP(AY88,INDIRECT(AQ85),2,FALSE),"----")</f>
        <v>----</v>
      </c>
      <c r="BA88" s="702" t="e">
        <f t="shared" ref="BA88" ca="1" si="895">BA87-1</f>
        <v>#REF!</v>
      </c>
      <c r="BB88" s="698" t="str">
        <f ca="1">IFERROR(VLOOKUP(BA88,INDIRECT(AQ86),2,FALSE),"----")</f>
        <v>----</v>
      </c>
      <c r="BC88" s="702" t="e">
        <f t="shared" ca="1" si="95"/>
        <v>#REF!</v>
      </c>
      <c r="BD88" s="698" t="str">
        <f ca="1">IFERROR(VLOOKUP(BC88,INDIRECT(AQ87),2,FALSE),"----")</f>
        <v>----</v>
      </c>
      <c r="BE88" s="702" t="e">
        <f t="shared" ca="1" si="96"/>
        <v>#REF!</v>
      </c>
      <c r="BF88" s="698" t="str">
        <f ca="1">IFERROR(VLOOKUP(BE88,INDIRECT(AQ88),2,FALSE),"----")</f>
        <v>----</v>
      </c>
      <c r="BG88" s="702" t="e">
        <f t="shared" ca="1" si="97"/>
        <v>#REF!</v>
      </c>
      <c r="BH88" s="686" t="str">
        <f ca="1">IFERROR(VLOOKUP(BG88,INDIRECT(AQ89),2,FALSE),"----")</f>
        <v>----</v>
      </c>
      <c r="BI88" s="702" t="e">
        <f t="shared" ca="1" si="98"/>
        <v>#REF!</v>
      </c>
      <c r="BJ88" s="686" t="str">
        <f ca="1">IFERROR(VLOOKUP(BI88,INDIRECT(AQ90),2,FALSE),"----")</f>
        <v>----</v>
      </c>
      <c r="BK88" s="702" t="e">
        <f t="shared" ca="1" si="99"/>
        <v>#REF!</v>
      </c>
      <c r="BL88" s="686" t="str">
        <f ca="1">IFERROR(VLOOKUP(BK88,INDIRECT(AQ91),2,FALSE),"----")</f>
        <v>----</v>
      </c>
      <c r="BM88" s="702" t="e">
        <f t="shared" ca="1" si="100"/>
        <v>#REF!</v>
      </c>
      <c r="BN88" s="686" t="str">
        <f ca="1">IFERROR(VLOOKUP(BM88,INDIRECT(AQ92),2,FALSE),"----")</f>
        <v>----</v>
      </c>
      <c r="BO88" s="702" t="e">
        <f t="shared" ca="1" si="101"/>
        <v>#REF!</v>
      </c>
      <c r="BP88" s="686" t="str">
        <f ca="1">IFERROR(VLOOKUP(BO88,INDIRECT(AQ93),2,FALSE),"----")</f>
        <v>----</v>
      </c>
      <c r="BQ88" s="702" t="e">
        <f t="shared" ca="1" si="102"/>
        <v>#REF!</v>
      </c>
      <c r="BR88" s="686" t="str">
        <f ca="1">IFERROR(VLOOKUP(BQ88,INDIRECT(AQ94),2,FALSE),"----")</f>
        <v>----</v>
      </c>
      <c r="BS88" s="703">
        <f>IF(AI88="",1,IF(COUNTIF(BF83:BF94,AI88)=0,2,1))</f>
        <v>1</v>
      </c>
      <c r="BT88" s="704">
        <f>IF(AF88="",1,IF(BF83=".",2,1))</f>
        <v>1</v>
      </c>
      <c r="BV88" s="155">
        <f ca="1">IF(COUNTIF(DD83:DD94,AF88)=0,IF(AF88&lt;&gt;"",0,1),1)</f>
        <v>1</v>
      </c>
      <c r="BW88" s="157">
        <f ca="1">IFERROR(MATCH(AF88,DD83:DD94,0),1)</f>
        <v>1</v>
      </c>
      <c r="BX88" s="875" t="s">
        <v>1594</v>
      </c>
      <c r="BY88" s="876"/>
      <c r="BZ88" s="1110"/>
      <c r="CA88" s="691" t="e">
        <f t="shared" ca="1" si="813"/>
        <v>#REF!</v>
      </c>
      <c r="CB88" s="4" t="e" cm="1">
        <f t="array" aca="1" ref="CB88" ca="1">IF(AND(INDEX(INDIRECT(BY83),CA88,4)&gt;=$AB83,INDEX(INDIRECT(BY83),CA88,5)&gt;=$S83,INDEX(INDIRECT(BY83),CA88,6)&gt;=$R83),1,0)</f>
        <v>#REF!</v>
      </c>
      <c r="CC88" s="4" t="e">
        <f t="shared" ref="CC88" ca="1" si="896">MATCH(1,OFFSET(CB83:CB94,CD87,0,COUNT(CB83:CB94)-CD87),0)</f>
        <v>#REF!</v>
      </c>
      <c r="CD88" s="4" t="e">
        <f t="shared" ca="1" si="815"/>
        <v>#REF!</v>
      </c>
      <c r="CE88" s="692" t="str" cm="1">
        <f t="array" aca="1" ref="CE88" ca="1">IFERROR(VLOOKUP(INDEX(CA83:CA94,CD88),INDIRECT(BY83),2,FALSE),"----")</f>
        <v>----</v>
      </c>
      <c r="CF88" s="691" t="e">
        <f t="shared" ca="1" si="816"/>
        <v>#N/A</v>
      </c>
      <c r="CG88" s="4" t="e">
        <f ca="1">IF(AND(INDEX(SSM,CF88,4)&gt;=$AB83,INDEX(SSM,CF88,5)&gt;=$S83,INDEX(SSM,CF88,6)&gt;=$R83),1,0)</f>
        <v>#N/A</v>
      </c>
      <c r="CH88" s="4" t="e">
        <f t="shared" ref="CH88" ca="1" si="897">MATCH(1,OFFSET(CG83:CG94,CI87,0,COUNT(CG83:CG94)-CI87),0)</f>
        <v>#REF!</v>
      </c>
      <c r="CI88" s="4" t="e">
        <f t="shared" ca="1" si="818"/>
        <v>#REF!</v>
      </c>
      <c r="CJ88" s="692" t="str">
        <f ca="1">IFERROR(IF(AD84="Nested Steel Stud (wood infill)",VLOOKUP(INDEX(CF83:CF94,CI88),SSW,2,FALSE),VLOOKUP(INDEX(CF83:CF94,CI88),SSM,2,FALSE)),"----")</f>
        <v>----</v>
      </c>
      <c r="CK88" s="691" t="e">
        <f t="shared" ca="1" si="819"/>
        <v>#N/A</v>
      </c>
      <c r="CL88" s="4" t="e">
        <f ca="1">IF(AND(INDEX(WSM,CK88,4)&gt;=$AB83,INDEX(WSM,CK88,5)&gt;=$S83,INDEX(WSM,CK88,6)&gt;=$R83),1,0)</f>
        <v>#N/A</v>
      </c>
      <c r="CM88" s="4" t="e">
        <f t="shared" ref="CM88" ca="1" si="898">MATCH(1,OFFSET(CL83:CL94,CN87,0,COUNT(CL83:CL94)-CN87),0)</f>
        <v>#REF!</v>
      </c>
      <c r="CN88" s="4" t="e">
        <f t="shared" ca="1" si="821"/>
        <v>#REF!</v>
      </c>
      <c r="CO88" s="692" t="str">
        <f ca="1">IFERROR(VLOOKUP(INDEX(CK83:CK94,CN88),WSM,2,FALSE),"----")</f>
        <v>----</v>
      </c>
      <c r="CP88" s="691" t="e">
        <f t="shared" ca="1" si="822"/>
        <v>#N/A</v>
      </c>
      <c r="CQ88" s="4" t="e">
        <f ca="1">IF(AND(INDEX(STM,CP88,4)&gt;=$AB83,INDEX(STM,CP88,5)&gt;=$S83,INDEX(STM,CP88,6)&gt;=$R83),1,0)</f>
        <v>#N/A</v>
      </c>
      <c r="CR88" s="4" t="e">
        <f t="shared" ref="CR88" ca="1" si="899">MATCH(1,OFFSET(CQ83:CQ94,CS87,0,COUNT(CQ83:CQ94)-CS87),0)</f>
        <v>#REF!</v>
      </c>
      <c r="CS88" s="4" t="e">
        <f t="shared" ca="1" si="824"/>
        <v>#REF!</v>
      </c>
      <c r="CT88" s="692" t="str">
        <f ca="1">IFERROR(VLOOKUP(INDEX(CP83:CP94,CS88),STM,2,FALSE),"----")</f>
        <v>----</v>
      </c>
      <c r="CU88" s="691" t="e">
        <f t="shared" ca="1" si="825"/>
        <v>#N/A</v>
      </c>
      <c r="CV88" s="4" t="e">
        <f ca="1">IF(AND(INDEX(ELM,CU88,4)&gt;=$AB83,INDEX(ELM,CU88,5)&gt;=$S83,INDEX(ELM,CU88,6)&gt;=$R83),1,0)</f>
        <v>#N/A</v>
      </c>
      <c r="CW88" s="4" t="e">
        <f t="shared" ref="CW88" ca="1" si="900">MATCH(1,OFFSET(CV83:CV94,CX87,0,COUNT(CV83:CV94)-CX87),0)</f>
        <v>#REF!</v>
      </c>
      <c r="CX88" s="4" t="e">
        <f t="shared" ca="1" si="827"/>
        <v>#REF!</v>
      </c>
      <c r="CY88" s="692" t="str">
        <f ca="1">IFERROR(VLOOKUP(INDEX(CU83:CU94,CX88),ELM,2,FALSE),"----")</f>
        <v>----</v>
      </c>
      <c r="CZ88" s="691" t="e">
        <f t="shared" ca="1" si="828"/>
        <v>#N/A</v>
      </c>
      <c r="DA88" s="4" t="e">
        <f ca="1">IF(LEFT($J83,7)="Clad Wo",IF(AND(INDEX(SPPWS,CZ88,4)&gt;=$AB83,INDEX(SPPWS,CZ88,5)&gt;=$S83,INDEX(SPPWS,CZ88,6)&gt;=$R83),1,0),IF(AND(INDEX(SPM,CZ88,4)&gt;=$AB83,INDEX(SPM,CZ88,5)&gt;=$S83,INDEX(SPM,CZ88,6)&gt;=$R83),1,0))</f>
        <v>#N/A</v>
      </c>
      <c r="DB88" s="4" t="e">
        <f t="shared" ref="DB88" ca="1" si="901">MATCH(1,OFFSET(DA83:DA94,DC87,0,COUNT(DA83:DA94)-DC87),0)</f>
        <v>#REF!</v>
      </c>
      <c r="DC88" s="4" t="e">
        <f t="shared" ca="1" si="830"/>
        <v>#REF!</v>
      </c>
      <c r="DD88" s="693" t="str">
        <f ca="1">IF(LEFT($J83,7)="Clad Wo",IFERROR(VLOOKUP(INDEX(CZ83:CZ94,DC88),SPPWS,2,FALSE),"----"),IFERROR(VLOOKUP(INDEX(CZ83:CZ94,DC88),SPM,2,FALSE),"----"))</f>
        <v>----</v>
      </c>
      <c r="DE88" s="691" t="e">
        <f t="shared" ca="1" si="831"/>
        <v>#REF!</v>
      </c>
      <c r="DF88" s="4" t="e" cm="1">
        <f t="array" aca="1" ref="DF88" ca="1">IF(AND(INDEX(INDIRECT(BY83),DE88,4)&gt;=$AB89,INDEX(INDIRECT(BY83),DE88,5)&gt;=$S83,INDEX(INDIRECT(BY83),DE88,6)&gt;=$R83),1,0)</f>
        <v>#REF!</v>
      </c>
      <c r="DG88" s="4" t="e">
        <f t="shared" ref="DG88" ca="1" si="902">MATCH(1,OFFSET(DF83:DF94,DH87,0,COUNT(DF83:DF94)-DH87),0)</f>
        <v>#REF!</v>
      </c>
      <c r="DH88" s="4" t="e">
        <f t="shared" ca="1" si="833"/>
        <v>#REF!</v>
      </c>
      <c r="DI88" s="692" t="str" cm="1">
        <f t="array" aca="1" ref="DI88" ca="1">IFERROR(VLOOKUP(INDEX(DE83:DE94,DH88),INDIRECT(BY83),2,FALSE),"----")</f>
        <v>----</v>
      </c>
      <c r="DJ88" s="691" t="e">
        <f t="shared" ca="1" si="834"/>
        <v>#N/A</v>
      </c>
      <c r="DK88" s="4" t="e">
        <f ca="1">IF(AND(INDEX(SSM,DJ88,4)&gt;=$AB89,INDEX(SSM,DJ88,5)&gt;=$S83,INDEX(SSM,DJ88,6)&gt;=$R83),1,0)</f>
        <v>#N/A</v>
      </c>
      <c r="DL88" s="4" t="e">
        <f t="shared" ref="DL88" ca="1" si="903">MATCH(1,OFFSET(DK83:DK94,DM87,0,COUNT(DK83:DK94)-DM87),0)</f>
        <v>#REF!</v>
      </c>
      <c r="DM88" s="4" t="e">
        <f t="shared" ca="1" si="836"/>
        <v>#REF!</v>
      </c>
      <c r="DN88" s="692" t="str">
        <f ca="1">IFERROR(IF(AD90="Nested Steel Stud (wood infill)",VLOOKUP(INDEX(DJ83:DJ94,DM88),SSW,2,FALSE),VLOOKUP(INDEX(DJ83:DJ94,DM88),SSM,2,FALSE)),"----")</f>
        <v>----</v>
      </c>
      <c r="DO88" s="691" t="e">
        <f t="shared" ca="1" si="837"/>
        <v>#N/A</v>
      </c>
      <c r="DP88" s="4" t="e">
        <f ca="1">IF(AND(INDEX(WSM,DO88,4)&gt;=$AB89,INDEX(WSM,DO88,5)&gt;=$S83,INDEX(WSM,DO88,6)&gt;=$R83),1,0)</f>
        <v>#N/A</v>
      </c>
      <c r="DQ88" s="4" t="e">
        <f t="shared" ref="DQ88" ca="1" si="904">MATCH(1,OFFSET(DP83:DP94,DR87,0,COUNT(DP83:DP94)-DR87),0)</f>
        <v>#REF!</v>
      </c>
      <c r="DR88" s="4" t="e">
        <f t="shared" ca="1" si="839"/>
        <v>#REF!</v>
      </c>
      <c r="DS88" s="692" t="str">
        <f ca="1">IFERROR(VLOOKUP(INDEX(DO83:DO94,DR88),WSM,2,FALSE),"----")</f>
        <v>----</v>
      </c>
      <c r="DT88" s="691" t="e">
        <f t="shared" ca="1" si="840"/>
        <v>#N/A</v>
      </c>
      <c r="DU88" s="4" t="e">
        <f ca="1">IF(AND(INDEX(STM,DT88,4)&gt;=$AB89,INDEX(STM,DT88,5)&gt;=$S83,INDEX(STM,DT88,6)&gt;=$R83),1,0)</f>
        <v>#N/A</v>
      </c>
      <c r="DV88" s="4" t="e">
        <f t="shared" ref="DV88" ca="1" si="905">MATCH(1,OFFSET(DU83:DU94,DW87,0,COUNT(DU83:DU94)-DW87),0)</f>
        <v>#REF!</v>
      </c>
      <c r="DW88" s="4" t="e">
        <f t="shared" ca="1" si="842"/>
        <v>#REF!</v>
      </c>
      <c r="DX88" s="692" t="str">
        <f ca="1">IFERROR(VLOOKUP(INDEX(DT83:DT94,DW88),STM,2,FALSE),"----")</f>
        <v>----</v>
      </c>
      <c r="DY88" s="691" t="e">
        <f t="shared" ca="1" si="843"/>
        <v>#N/A</v>
      </c>
      <c r="DZ88" s="4" t="e">
        <f ca="1">IF(AND(INDEX(ELM,DY88,4)&gt;=$AB89,INDEX(ELM,DY88,5)&gt;=$S83,INDEX(ELM,DY88,6)&gt;=$R83),1,0)</f>
        <v>#N/A</v>
      </c>
      <c r="EA88" s="4" t="e">
        <f t="shared" ref="EA88" ca="1" si="906">MATCH(1,OFFSET(DZ83:DZ94,EB87,0,COUNT(DZ83:DZ94)-EB87),0)</f>
        <v>#REF!</v>
      </c>
      <c r="EB88" s="4" t="e">
        <f t="shared" ca="1" si="845"/>
        <v>#REF!</v>
      </c>
      <c r="EC88" s="692" t="str">
        <f ca="1">IFERROR(VLOOKUP(INDEX(DY83:DY94,EB88),ELM,2,FALSE),"----")</f>
        <v>----</v>
      </c>
      <c r="ED88" s="691" t="e">
        <f t="shared" ca="1" si="846"/>
        <v>#N/A</v>
      </c>
      <c r="EE88" s="4" t="e">
        <f ca="1">IF(LEFT($J83,7)="Clad Wo",IF(AND(INDEX(SPPWS,ED88,4)&gt;=$AB89,INDEX(SPPWS,ED88,5)&gt;=$S83,INDEX(SPPWS,ED88,6)&gt;=$R83),1,0),IF(AND(INDEX(SPM,ED88,4)&gt;=$AB89,INDEX(SPM,ED88,5)&gt;=$S83,INDEX(SPM,ED88,6)&gt;=$R83),1,0))</f>
        <v>#N/A</v>
      </c>
      <c r="EF88" s="4" t="e">
        <f t="shared" ref="EF88" ca="1" si="907">MATCH(1,OFFSET(EE83:EE94,EG87,0,COUNT(EE83:EE94)-EG87),0)</f>
        <v>#REF!</v>
      </c>
      <c r="EG88" s="4" t="e">
        <f t="shared" ca="1" si="848"/>
        <v>#REF!</v>
      </c>
      <c r="EH88" s="692" t="str">
        <f ca="1">IF(LEFT($J83,7)="Clad Wo",IFERROR(VLOOKUP(INDEX(ED83:ED94,EG88),SPPWS,2,FALSE),"----"),IFERROR(VLOOKUP(INDEX(ED83:ED94,EG88),SPM,2,FALSE),"----"))</f>
        <v>----</v>
      </c>
    </row>
    <row r="89" spans="1:138" ht="15" customHeight="1" x14ac:dyDescent="0.25">
      <c r="A89" s="1085"/>
      <c r="B89" s="925" t="s">
        <v>409</v>
      </c>
      <c r="C89" s="926"/>
      <c r="D89" s="927"/>
      <c r="E89" s="995"/>
      <c r="F89" s="996"/>
      <c r="G89" s="997"/>
      <c r="H89" s="1062"/>
      <c r="I89" s="990"/>
      <c r="J89" s="908"/>
      <c r="K89" s="909"/>
      <c r="L89" s="1001">
        <f>L83+1</f>
        <v>5</v>
      </c>
      <c r="M89" s="1064" t="str">
        <f t="shared" ref="M89" si="908">IFERROR(IF($AE$17="",IF($AG$19="Wind Loading",MIN($V$31,IF(E$11="ASCE 7-05",$U$26,$V$7)*$V$9*(IF($E$12&lt;60,0.156*LN(MAX(MIN(500,O83),10)) -1.7618,IF($E$11="ASCE 7-22", 0.2026*LN(MAX(MIN(500,O83),20))-2.2638,0.2503*LN(MAX(MIN(500,O83),20)) -2.5526))-$V$8)),$V$7*IF(E$12&lt;60,$V$13*($V$15*(0.156*LN(MAX(MIN(500,O83),10)) -1.7618)-$V$16),$V$13*$V$15*((0.2026*LN(MAX(MIN(500,O83),20))-2.2638)-$V$16))),-ABS($AE$17)),"")</f>
        <v/>
      </c>
      <c r="N89" s="1041" t="str">
        <f t="shared" ref="N89" si="909">IFERROR(IF($AE$19="",IF($AG$19="Wind Loading",MAX($U$31,IF(E$11="ASCE 7-05",$U$26,$V$7)*$V$9*((IF($E$12&lt;60,-0.077*LN(MAX(MIN(500,O83),10))+1.1737,IF($E$11="ASCE 7-22",-0.077*LN(MAX(MIN(500,O83),20))+1.0798,-0.093*LN(MAX(MIN(500,O83),20))+1.1776)))+$V$8)),$V$7*IF(E$12&lt;60,$V$13*($V$15*(-0.077*LN(MAX(MIN(500,O83),10))+1.1737)-$V$17),$V$13*$V$15*((-0.077*LN(MAX(MIN(500,O83),20))+1.0798)-$V$17))),ABS($AE$19)),"")</f>
        <v/>
      </c>
      <c r="O89" s="1018"/>
      <c r="P89" s="987"/>
      <c r="Q89" s="1015"/>
      <c r="R89" s="1012">
        <f>P89*Q89/8</f>
        <v>0</v>
      </c>
      <c r="S89" s="1006"/>
      <c r="T89" s="1007"/>
      <c r="U89" s="878"/>
      <c r="V89" s="881"/>
      <c r="W89" s="883" t="e">
        <f t="shared" ref="W89" si="910">MAX(-M89,N89)*O83</f>
        <v>#VALUE!</v>
      </c>
      <c r="X89" s="884"/>
      <c r="Y89" s="886">
        <f>IFERROR(IF(AG$14="Trapezoidal",BY92,BX92)+IF($E$17="4",(400*E83^3)/(48*X83),0),0)</f>
        <v>0</v>
      </c>
      <c r="Z89" s="886" t="e">
        <f t="shared" ref="Z89" si="911">+($V83*MAX(-$M89,$N89)*$E83^2)/(144*8)+IF($E$17=4,(400*$E83)/4,0)</f>
        <v>#VALUE!</v>
      </c>
      <c r="AA89" s="887"/>
      <c r="AB89" s="1080" t="str">
        <f t="shared" ref="AB89" ca="1" si="912">IFERROR(Z89-AA83,"")</f>
        <v/>
      </c>
      <c r="AC89" s="1086" t="str">
        <f t="shared" ref="AC89" ca="1" si="913">IFERROR(Y89-U83,"")</f>
        <v/>
      </c>
      <c r="AD89" s="1074" t="str">
        <f t="shared" ref="AD89" si="914">AD83</f>
        <v/>
      </c>
      <c r="AE89" s="1075"/>
      <c r="AF89" s="1056"/>
      <c r="AG89" s="1057"/>
      <c r="AH89" s="1057"/>
      <c r="AI89" s="1088"/>
      <c r="AJ89" s="1089"/>
      <c r="AK89" s="162" t="str">
        <f t="shared" ca="1" si="62"/>
        <v/>
      </c>
      <c r="AL89" s="1058" t="str">
        <f t="shared" ref="AL89" si="915">IFERROR(ROUND(SQRT(P83^2+(W89/2+IF($E$17=4,200,0))^2),0),"")</f>
        <v/>
      </c>
      <c r="AM89" s="342" t="s">
        <v>669</v>
      </c>
      <c r="AN89" t="str">
        <f t="shared" ca="1" si="5"/>
        <v/>
      </c>
      <c r="AP89" s="122" t="str">
        <f t="shared" ref="AP89" si="916">_xlfn.CONCAT(AR89,AS94)</f>
        <v/>
      </c>
      <c r="AQ89" s="683" t="str">
        <f t="shared" si="65"/>
        <v/>
      </c>
      <c r="AR89" s="96" t="str">
        <f t="shared" si="3"/>
        <v/>
      </c>
      <c r="AS89" s="96" t="str">
        <f>IF(COUNTIF(imp_1,AF89)=1,"imp_1",IF(COUNTIF(imp_2,AF89)=1,"imp_2",IF(COUNTIF(imp_3,AF89)=1,"imp_3",IF(COUNTIF(impdoor,AF89)=1,"impdoor",""))))</f>
        <v/>
      </c>
      <c r="AT89" s="684" t="str">
        <f>AL89</f>
        <v/>
      </c>
      <c r="AU89" s="685" t="e">
        <f t="shared" ca="1" si="91"/>
        <v>#REF!</v>
      </c>
      <c r="AV89" s="686" t="str">
        <f ca="1">IFERROR(VLOOKUP(AU89,INDIRECT(AQ83),2,FALSE),"----")</f>
        <v>----</v>
      </c>
      <c r="AW89" s="685" t="e">
        <f t="shared" ca="1" si="92"/>
        <v>#REF!</v>
      </c>
      <c r="AX89" s="686" t="str">
        <f ca="1">IFERROR(VLOOKUP(AW89,INDIRECT(AQ84),2,FALSE),"----")</f>
        <v>----</v>
      </c>
      <c r="AY89" s="685" t="e">
        <f t="shared" ca="1" si="658"/>
        <v>#REF!</v>
      </c>
      <c r="AZ89" s="686" t="str">
        <f ca="1">IFERROR(VLOOKUP(AY89,INDIRECT(AQ85),2,FALSE),"----")</f>
        <v>----</v>
      </c>
      <c r="BA89" s="685" t="e">
        <f t="shared" ca="1" si="659"/>
        <v>#REF!</v>
      </c>
      <c r="BB89" s="686" t="str">
        <f ca="1">IFERROR(VLOOKUP(BA89,INDIRECT(AQ86),2,FALSE),"----")</f>
        <v>----</v>
      </c>
      <c r="BC89" s="685" t="e">
        <f t="shared" ca="1" si="95"/>
        <v>#REF!</v>
      </c>
      <c r="BD89" s="686" t="str">
        <f ca="1">IFERROR(VLOOKUP(BC89,INDIRECT(AQ87),2,FALSE),"----")</f>
        <v>----</v>
      </c>
      <c r="BE89" s="685" t="e">
        <f t="shared" ca="1" si="96"/>
        <v>#REF!</v>
      </c>
      <c r="BF89" s="686" t="str">
        <f ca="1">IFERROR(VLOOKUP(BE89,INDIRECT(AQ88),2,FALSE),"----")</f>
        <v>----</v>
      </c>
      <c r="BG89" s="702" t="e">
        <f t="shared" ca="1" si="97"/>
        <v>#REF!</v>
      </c>
      <c r="BH89" s="686" t="str">
        <f ca="1">IFERROR(VLOOKUP(BG89,INDIRECT(AQ89),2,FALSE),"----")</f>
        <v>----</v>
      </c>
      <c r="BI89" s="702" t="e">
        <f t="shared" ca="1" si="98"/>
        <v>#REF!</v>
      </c>
      <c r="BJ89" s="686" t="str">
        <f ca="1">IFERROR(VLOOKUP(BI89,INDIRECT(AQ90),2,FALSE),"----")</f>
        <v>----</v>
      </c>
      <c r="BK89" s="702" t="e">
        <f t="shared" ca="1" si="99"/>
        <v>#REF!</v>
      </c>
      <c r="BL89" s="686" t="str">
        <f ca="1">IFERROR(VLOOKUP(BK89,INDIRECT(AQ91),2,FALSE),"----")</f>
        <v>----</v>
      </c>
      <c r="BM89" s="702" t="e">
        <f t="shared" ca="1" si="100"/>
        <v>#REF!</v>
      </c>
      <c r="BN89" s="686" t="str">
        <f ca="1">IFERROR(VLOOKUP(BM89,INDIRECT(AQ92),2,FALSE),"----")</f>
        <v>----</v>
      </c>
      <c r="BO89" s="702" t="e">
        <f t="shared" ca="1" si="101"/>
        <v>#REF!</v>
      </c>
      <c r="BP89" s="686" t="str">
        <f ca="1">IFERROR(VLOOKUP(BO89,INDIRECT(AQ93),2,FALSE),"----")</f>
        <v>----</v>
      </c>
      <c r="BQ89" s="702" t="e">
        <f t="shared" ca="1" si="102"/>
        <v>#REF!</v>
      </c>
      <c r="BR89" s="686" t="str">
        <f ca="1">IFERROR(VLOOKUP(BQ89,INDIRECT(AQ94),2,FALSE),"----")</f>
        <v>----</v>
      </c>
      <c r="BS89" s="695">
        <f>IF(AI89="",1,IF(COUNTIF(BH83:BH94,AI89)=0,2,1))</f>
        <v>1</v>
      </c>
      <c r="BT89" s="696">
        <f>IF(AP89="1",1,IF(AF89="",1,IF(BH83=".",2,1)))</f>
        <v>1</v>
      </c>
      <c r="BU89" s="706"/>
      <c r="BV89" s="155">
        <f ca="1">IF(COUNTIF(DI83:DI94,AF89)=0,IF(AF89&lt;&gt;"",0,1),1)</f>
        <v>1</v>
      </c>
      <c r="BW89" s="157">
        <f ca="1">IFERROR(MATCH(AF89,DI83:DI94,0),1)</f>
        <v>1</v>
      </c>
      <c r="BX89" s="769" t="s">
        <v>1593</v>
      </c>
      <c r="BY89" s="769" t="s">
        <v>1629</v>
      </c>
      <c r="BZ89" s="1110"/>
      <c r="CA89" s="691" t="e">
        <f t="shared" ca="1" si="813"/>
        <v>#REF!</v>
      </c>
      <c r="CB89" s="4" t="e" cm="1">
        <f t="array" aca="1" ref="CB89" ca="1">IF(AND(INDEX(INDIRECT(BY83),CA89,4)&gt;=$AB83,INDEX(INDIRECT(BY83),CA89,5)&gt;=$S83,INDEX(INDIRECT(BY83),CA89,6)&gt;=$R83),1,0)</f>
        <v>#REF!</v>
      </c>
      <c r="CC89" s="4" t="e">
        <f t="shared" ref="CC89" ca="1" si="917">MATCH(1,OFFSET(CB83:CB94,CD88,0,COUNT(CB83:CB94)-CD88),0)</f>
        <v>#REF!</v>
      </c>
      <c r="CD89" s="4" t="e">
        <f t="shared" ca="1" si="815"/>
        <v>#REF!</v>
      </c>
      <c r="CE89" s="692" t="str" cm="1">
        <f t="array" aca="1" ref="CE89" ca="1">IFERROR(VLOOKUP(INDEX(CA83:CA94,CD89),INDIRECT(BY83),2,FALSE),"----")</f>
        <v>----</v>
      </c>
      <c r="CF89" s="691" t="e">
        <f t="shared" ca="1" si="816"/>
        <v>#N/A</v>
      </c>
      <c r="CG89" s="4" t="e">
        <f ca="1">IF(AND(INDEX(SSM,CF89,4)&gt;=$AB83,INDEX(SSM,CF89,5)&gt;=$S83,INDEX(SSM,CF89,6)&gt;=$R83),1,0)</f>
        <v>#N/A</v>
      </c>
      <c r="CH89" s="4" t="e">
        <f t="shared" ref="CH89" ca="1" si="918">MATCH(1,OFFSET(CG83:CG94,CI88,0,COUNT(CG83:CG94)-CI88),0)</f>
        <v>#REF!</v>
      </c>
      <c r="CI89" s="4" t="e">
        <f t="shared" ca="1" si="818"/>
        <v>#REF!</v>
      </c>
      <c r="CJ89" s="692" t="str">
        <f ca="1">IFERROR(IF(AD84="Nested Steel Stud (wood infill)",VLOOKUP(INDEX(CF83:CF94,CI89),SSW,2,FALSE),VLOOKUP(INDEX(CF83:CF94,CI89),SSM,2,FALSE)),"----")</f>
        <v>----</v>
      </c>
      <c r="CK89" s="691" t="e">
        <f t="shared" ca="1" si="819"/>
        <v>#N/A</v>
      </c>
      <c r="CL89" s="4" t="e">
        <f ca="1">IF(AND(INDEX(WSM,CK89,4)&gt;=$AB83,INDEX(WSM,CK89,5)&gt;=$S83,INDEX(WSM,CK89,6)&gt;=$R83),1,0)</f>
        <v>#N/A</v>
      </c>
      <c r="CM89" s="4" t="e">
        <f t="shared" ref="CM89" ca="1" si="919">MATCH(1,OFFSET(CL83:CL94,CN88,0,COUNT(CL83:CL94)-CN88),0)</f>
        <v>#REF!</v>
      </c>
      <c r="CN89" s="4" t="e">
        <f t="shared" ca="1" si="821"/>
        <v>#REF!</v>
      </c>
      <c r="CO89" s="692" t="str">
        <f ca="1">IFERROR(VLOOKUP(INDEX(CK83:CK94,CN89),WSM,2,FALSE),"----")</f>
        <v>----</v>
      </c>
      <c r="CP89" s="691" t="e">
        <f t="shared" ca="1" si="822"/>
        <v>#N/A</v>
      </c>
      <c r="CQ89" s="4" t="e">
        <f ca="1">IF(AND(INDEX(STM,CP89,4)&gt;=$AB83,INDEX(STM,CP89,5)&gt;=$S83,INDEX(STM,CP89,6)&gt;=$R83),1,0)</f>
        <v>#N/A</v>
      </c>
      <c r="CR89" s="4" t="e">
        <f t="shared" ref="CR89" ca="1" si="920">MATCH(1,OFFSET(CQ83:CQ94,CS88,0,COUNT(CQ83:CQ94)-CS88),0)</f>
        <v>#REF!</v>
      </c>
      <c r="CS89" s="4" t="e">
        <f t="shared" ca="1" si="824"/>
        <v>#REF!</v>
      </c>
      <c r="CT89" s="692" t="str">
        <f ca="1">IFERROR(VLOOKUP(INDEX(CP83:CP94,CS89),STM,2,FALSE),"----")</f>
        <v>----</v>
      </c>
      <c r="CU89" s="691" t="e">
        <f t="shared" ca="1" si="825"/>
        <v>#N/A</v>
      </c>
      <c r="CV89" s="4" t="e">
        <f ca="1">IF(AND(INDEX(ELM,CU89,4)&gt;=$AB83,INDEX(ELM,CU89,5)&gt;=$S83,INDEX(ELM,CU89,6)&gt;=$R83),1,0)</f>
        <v>#N/A</v>
      </c>
      <c r="CW89" s="4" t="e">
        <f t="shared" ref="CW89" ca="1" si="921">MATCH(1,OFFSET(CV83:CV94,CX88,0,COUNT(CV83:CV94)-CX88),0)</f>
        <v>#REF!</v>
      </c>
      <c r="CX89" s="4" t="e">
        <f t="shared" ca="1" si="827"/>
        <v>#REF!</v>
      </c>
      <c r="CY89" s="692" t="str">
        <f ca="1">IFERROR(VLOOKUP(INDEX(CU83:CU94,CX89),ELM,2,FALSE),"----")</f>
        <v>----</v>
      </c>
      <c r="CZ89" s="691" t="e">
        <f t="shared" ca="1" si="828"/>
        <v>#N/A</v>
      </c>
      <c r="DA89" s="4" t="e">
        <f ca="1">IF(LEFT($J83,7)="Clad Wo",IF(AND(INDEX(SPPWS,CZ89,4)&gt;=$AB83,INDEX(SPPWS,CZ89,5)&gt;=$S83,INDEX(SPPWS,CZ89,6)&gt;=$R83),1,0),IF(AND(INDEX(SPM,CZ89,4)&gt;=$AB83,INDEX(SPM,CZ89,5)&gt;=$S83,INDEX(SPM,CZ89,6)&gt;=$R83),1,0))</f>
        <v>#N/A</v>
      </c>
      <c r="DB89" s="4" t="e">
        <f t="shared" ref="DB89" ca="1" si="922">MATCH(1,OFFSET(DA83:DA94,DC88,0,COUNT(DA83:DA94)-DC88),0)</f>
        <v>#REF!</v>
      </c>
      <c r="DC89" s="4" t="e">
        <f t="shared" ca="1" si="830"/>
        <v>#REF!</v>
      </c>
      <c r="DD89" s="693" t="str">
        <f ca="1">IF(LEFT($J83,7)="Clad Wo",IFERROR(VLOOKUP(INDEX(CZ83:CZ94,DC89),SPPWS,2,FALSE),"----"),IFERROR(VLOOKUP(INDEX(CZ83:CZ94,DC89),SPM,2,FALSE),"----"))</f>
        <v>----</v>
      </c>
      <c r="DE89" s="691" t="e">
        <f t="shared" ca="1" si="831"/>
        <v>#REF!</v>
      </c>
      <c r="DF89" s="4" t="e" cm="1">
        <f t="array" aca="1" ref="DF89" ca="1">IF(AND(INDEX(INDIRECT(BY83),DE89,4)&gt;=$AB89,INDEX(INDIRECT(BY83),DE89,5)&gt;=$S83,INDEX(INDIRECT(BY83),DE89,6)&gt;=$R83),1,0)</f>
        <v>#REF!</v>
      </c>
      <c r="DG89" s="4" t="e">
        <f t="shared" ref="DG89" ca="1" si="923">MATCH(1,OFFSET(DF83:DF94,DH88,0,COUNT(DF83:DF94)-DH88),0)</f>
        <v>#REF!</v>
      </c>
      <c r="DH89" s="4" t="e">
        <f t="shared" ca="1" si="833"/>
        <v>#REF!</v>
      </c>
      <c r="DI89" s="692" t="str" cm="1">
        <f t="array" aca="1" ref="DI89" ca="1">IFERROR(VLOOKUP(INDEX(DE83:DE94,DH89),INDIRECT(BY83),2,FALSE),"----")</f>
        <v>----</v>
      </c>
      <c r="DJ89" s="691" t="e">
        <f t="shared" ca="1" si="834"/>
        <v>#N/A</v>
      </c>
      <c r="DK89" s="4" t="e">
        <f ca="1">IF(AND(INDEX(SSM,DJ89,4)&gt;=$AB89,INDEX(SSM,DJ89,5)&gt;=$S83,INDEX(SSM,DJ89,6)&gt;=$R83),1,0)</f>
        <v>#N/A</v>
      </c>
      <c r="DL89" s="4" t="e">
        <f t="shared" ref="DL89" ca="1" si="924">MATCH(1,OFFSET(DK83:DK94,DM88,0,COUNT(DK83:DK94)-DM88),0)</f>
        <v>#REF!</v>
      </c>
      <c r="DM89" s="4" t="e">
        <f t="shared" ca="1" si="836"/>
        <v>#REF!</v>
      </c>
      <c r="DN89" s="692" t="str">
        <f ca="1">IFERROR(IF(AD90="Nested Steel Stud (wood infill)",VLOOKUP(INDEX(DJ83:DJ94,DM89),SSW,2,FALSE),VLOOKUP(INDEX(DJ83:DJ94,DM89),SSM,2,FALSE)),"----")</f>
        <v>----</v>
      </c>
      <c r="DO89" s="691" t="e">
        <f t="shared" ca="1" si="837"/>
        <v>#N/A</v>
      </c>
      <c r="DP89" s="4" t="e">
        <f ca="1">IF(AND(INDEX(WSM,DO89,4)&gt;=$AB89,INDEX(WSM,DO89,5)&gt;=$S83,INDEX(WSM,DO89,6)&gt;=$R83),1,0)</f>
        <v>#N/A</v>
      </c>
      <c r="DQ89" s="4" t="e">
        <f t="shared" ref="DQ89" ca="1" si="925">MATCH(1,OFFSET(DP83:DP94,DR88,0,COUNT(DP83:DP94)-DR88),0)</f>
        <v>#REF!</v>
      </c>
      <c r="DR89" s="4" t="e">
        <f t="shared" ca="1" si="839"/>
        <v>#REF!</v>
      </c>
      <c r="DS89" s="692" t="str">
        <f ca="1">IFERROR(VLOOKUP(INDEX(DO83:DO94,DR89),WSM,2,FALSE),"----")</f>
        <v>----</v>
      </c>
      <c r="DT89" s="691" t="e">
        <f t="shared" ca="1" si="840"/>
        <v>#N/A</v>
      </c>
      <c r="DU89" s="4" t="e">
        <f ca="1">IF(AND(INDEX(STM,DT89,4)&gt;=$AB89,INDEX(STM,DT89,5)&gt;=$S83,INDEX(STM,DT89,6)&gt;=$R83),1,0)</f>
        <v>#N/A</v>
      </c>
      <c r="DV89" s="4" t="e">
        <f t="shared" ref="DV89" ca="1" si="926">MATCH(1,OFFSET(DU83:DU94,DW88,0,COUNT(DU83:DU94)-DW88),0)</f>
        <v>#REF!</v>
      </c>
      <c r="DW89" s="4" t="e">
        <f t="shared" ca="1" si="842"/>
        <v>#REF!</v>
      </c>
      <c r="DX89" s="692" t="str">
        <f ca="1">IFERROR(VLOOKUP(INDEX(DT83:DT94,DW89),STM,2,FALSE),"----")</f>
        <v>----</v>
      </c>
      <c r="DY89" s="691" t="e">
        <f t="shared" ca="1" si="843"/>
        <v>#N/A</v>
      </c>
      <c r="DZ89" s="4" t="e">
        <f ca="1">IF(AND(INDEX(ELM,DY89,4)&gt;=$AB89,INDEX(ELM,DY89,5)&gt;=$S83,INDEX(ELM,DY89,6)&gt;=$R83),1,0)</f>
        <v>#N/A</v>
      </c>
      <c r="EA89" s="4" t="e">
        <f t="shared" ref="EA89" ca="1" si="927">MATCH(1,OFFSET(DZ83:DZ94,EB88,0,COUNT(DZ83:DZ94)-EB88),0)</f>
        <v>#REF!</v>
      </c>
      <c r="EB89" s="4" t="e">
        <f t="shared" ca="1" si="845"/>
        <v>#REF!</v>
      </c>
      <c r="EC89" s="692" t="str">
        <f ca="1">IFERROR(VLOOKUP(INDEX(DY83:DY94,EB89),ELM,2,FALSE),"----")</f>
        <v>----</v>
      </c>
      <c r="ED89" s="691" t="e">
        <f t="shared" ca="1" si="846"/>
        <v>#N/A</v>
      </c>
      <c r="EE89" s="4" t="e">
        <f ca="1">IF(LEFT($J83,7)="Clad Wo",IF(AND(INDEX(SPPWS,ED89,4)&gt;=$AB89,INDEX(SPPWS,ED89,5)&gt;=$S83,INDEX(SPPWS,ED89,6)&gt;=$R83),1,0),IF(AND(INDEX(SPM,ED89,4)&gt;=$AB89,INDEX(SPM,ED89,5)&gt;=$S83,INDEX(SPM,ED89,6)&gt;=$R83),1,0))</f>
        <v>#N/A</v>
      </c>
      <c r="EF89" s="4" t="e">
        <f t="shared" ref="EF89" ca="1" si="928">MATCH(1,OFFSET(EE83:EE94,EG88,0,COUNT(EE83:EE94)-EG88),0)</f>
        <v>#REF!</v>
      </c>
      <c r="EG89" s="4" t="e">
        <f t="shared" ca="1" si="848"/>
        <v>#REF!</v>
      </c>
      <c r="EH89" s="692" t="str">
        <f ca="1">IF(LEFT($J83,7)="Clad Wo",IFERROR(VLOOKUP(INDEX(ED83:ED94,EG89),SPPWS,2,FALSE),"----"),IFERROR(VLOOKUP(INDEX(ED83:ED94,EG89),SPM,2,FALSE),"----"))</f>
        <v>----</v>
      </c>
    </row>
    <row r="90" spans="1:138" ht="15" customHeight="1" x14ac:dyDescent="0.25">
      <c r="A90" s="1085"/>
      <c r="B90" s="925"/>
      <c r="C90" s="926"/>
      <c r="D90" s="927"/>
      <c r="E90" s="995"/>
      <c r="F90" s="996"/>
      <c r="G90" s="997"/>
      <c r="H90" s="1062"/>
      <c r="I90" s="990"/>
      <c r="J90" s="912"/>
      <c r="K90" s="913"/>
      <c r="L90" s="1002"/>
      <c r="M90" s="923"/>
      <c r="N90" s="1042"/>
      <c r="O90" s="1018"/>
      <c r="P90" s="987"/>
      <c r="Q90" s="1015"/>
      <c r="R90" s="1012"/>
      <c r="S90" s="1006"/>
      <c r="T90" s="1007"/>
      <c r="U90" s="878"/>
      <c r="V90" s="881"/>
      <c r="W90" s="884"/>
      <c r="X90" s="884"/>
      <c r="Y90" s="887"/>
      <c r="Z90" s="887"/>
      <c r="AA90" s="887"/>
      <c r="AB90" s="1081"/>
      <c r="AC90" s="1078"/>
      <c r="AD90" s="1070" t="str">
        <f t="shared" ref="AD90" si="929">IF(ISBLANK(AD84)=TRUE,"",AD84)</f>
        <v>Nested Steel Stud</v>
      </c>
      <c r="AE90" s="1071"/>
      <c r="AF90" s="1052"/>
      <c r="AG90" s="1053"/>
      <c r="AH90" s="1053"/>
      <c r="AI90" s="1066"/>
      <c r="AJ90" s="1067"/>
      <c r="AK90" s="156" t="str">
        <f t="shared" ca="1" si="62"/>
        <v/>
      </c>
      <c r="AL90" s="1059"/>
      <c r="AM90" s="343" t="str">
        <f ca="1">IFERROR(Q83/12*ROUND(VLOOKUP(AF90,OFFSET(SSM,0,1),6,FALSE),2),"")</f>
        <v/>
      </c>
      <c r="AN90" t="str">
        <f t="shared" ca="1" si="5"/>
        <v/>
      </c>
      <c r="AP90" s="122" t="str">
        <f t="shared" ref="AP90" si="930">_xlfn.CONCAT(AR90,AS94)</f>
        <v/>
      </c>
      <c r="AQ90" s="683" t="str">
        <f t="shared" si="65"/>
        <v/>
      </c>
      <c r="AR90" s="96" t="str">
        <f t="shared" si="3"/>
        <v/>
      </c>
      <c r="AS90" s="96" t="str">
        <f>IF(COUNTIF(Vista_1,AF89)=1,"Vista_1",IF(COUNTIF(Vista_2,AF89)=1,"Vista_2",""))</f>
        <v/>
      </c>
      <c r="AT90" s="684" t="str">
        <f>AL89</f>
        <v/>
      </c>
      <c r="AU90" s="694" t="e">
        <f t="shared" ca="1" si="91"/>
        <v>#REF!</v>
      </c>
      <c r="AV90" s="686" t="str">
        <f ca="1">IFERROR(VLOOKUP(AU90,INDIRECT(AQ83),2,FALSE),"----")</f>
        <v>----</v>
      </c>
      <c r="AW90" s="694" t="e">
        <f t="shared" ca="1" si="92"/>
        <v>#REF!</v>
      </c>
      <c r="AX90" s="686" t="str">
        <f ca="1">IFERROR(VLOOKUP(AW90,INDIRECT(AQ84),2,FALSE),"----")</f>
        <v>----</v>
      </c>
      <c r="AY90" s="694" t="e">
        <f t="shared" ca="1" si="658"/>
        <v>#REF!</v>
      </c>
      <c r="AZ90" s="686" t="str">
        <f ca="1">IFERROR(VLOOKUP(AY90,INDIRECT(AQ85),2,FALSE),"----")</f>
        <v>----</v>
      </c>
      <c r="BA90" s="694" t="e">
        <f t="shared" ca="1" si="659"/>
        <v>#REF!</v>
      </c>
      <c r="BB90" s="686" t="str">
        <f ca="1">IFERROR(VLOOKUP(BA90,INDIRECT(AQ86),2,FALSE),"----")</f>
        <v>----</v>
      </c>
      <c r="BC90" s="694" t="e">
        <f t="shared" ca="1" si="95"/>
        <v>#REF!</v>
      </c>
      <c r="BD90" s="686" t="str">
        <f ca="1">IFERROR(VLOOKUP(BC90,INDIRECT(AQ87),2,FALSE),"----")</f>
        <v>----</v>
      </c>
      <c r="BE90" s="694" t="e">
        <f t="shared" ca="1" si="96"/>
        <v>#REF!</v>
      </c>
      <c r="BF90" s="686" t="str">
        <f ca="1">IFERROR(VLOOKUP(BE90,INDIRECT(AQ88),2,FALSE),"----")</f>
        <v>----</v>
      </c>
      <c r="BG90" s="702" t="e">
        <f t="shared" ca="1" si="97"/>
        <v>#REF!</v>
      </c>
      <c r="BH90" s="686" t="str">
        <f ca="1">IFERROR(VLOOKUP(BG90,INDIRECT(AQ89),2,FALSE),"----")</f>
        <v>----</v>
      </c>
      <c r="BI90" s="702" t="e">
        <f t="shared" ca="1" si="98"/>
        <v>#REF!</v>
      </c>
      <c r="BJ90" s="686" t="str">
        <f ca="1">IFERROR(VLOOKUP(BI90,INDIRECT(AQ90),2,FALSE),"----")</f>
        <v>----</v>
      </c>
      <c r="BK90" s="702" t="e">
        <f t="shared" ca="1" si="99"/>
        <v>#REF!</v>
      </c>
      <c r="BL90" s="686" t="str">
        <f ca="1">IFERROR(VLOOKUP(BK90,INDIRECT(AQ91),2,FALSE),"----")</f>
        <v>----</v>
      </c>
      <c r="BM90" s="702" t="e">
        <f t="shared" ca="1" si="100"/>
        <v>#REF!</v>
      </c>
      <c r="BN90" s="686" t="str">
        <f ca="1">IFERROR(VLOOKUP(BM90,INDIRECT(AQ92),2,FALSE),"----")</f>
        <v>----</v>
      </c>
      <c r="BO90" s="702" t="e">
        <f t="shared" ca="1" si="101"/>
        <v>#REF!</v>
      </c>
      <c r="BP90" s="686" t="str">
        <f ca="1">IFERROR(VLOOKUP(BO90,INDIRECT(AQ93),2,FALSE),"----")</f>
        <v>----</v>
      </c>
      <c r="BQ90" s="702" t="e">
        <f t="shared" ca="1" si="102"/>
        <v>#REF!</v>
      </c>
      <c r="BR90" s="686" t="str">
        <f ca="1">IFERROR(VLOOKUP(BQ90,INDIRECT(AQ94),2,FALSE),"----")</f>
        <v>----</v>
      </c>
      <c r="BS90" s="695">
        <f>IF(AI90="",1,IF(COUNTIF(BJ83:BJ94,AI90)=0,2,1))</f>
        <v>1</v>
      </c>
      <c r="BT90" s="696">
        <f>IF(AF90="",1,IF(BJ83=".",2,1))</f>
        <v>1</v>
      </c>
      <c r="BU90" s="706"/>
      <c r="BV90" s="155">
        <f ca="1">IF(COUNTIF(DN83:DN94,AF90)=0,IF(AF90&lt;&gt;"",0,1),1)</f>
        <v>1</v>
      </c>
      <c r="BW90" s="157">
        <f ca="1">IFERROR(MATCH(AF90,DN83:DN94,0),1)</f>
        <v>1</v>
      </c>
      <c r="BX90" s="769">
        <f t="shared" ref="BX90" si="931">E83*(H83+I83)/144/2</f>
        <v>0</v>
      </c>
      <c r="BY90" s="769">
        <f>SUM(IF(H83&gt;E83,E83^2/4,(H83*E83/2)-(H83^2/4))/144,IF(I83&gt;E83,E83^2/4,(I83*E83/2)-(I83^2/4))/144)</f>
        <v>0</v>
      </c>
      <c r="BZ90" s="1110"/>
      <c r="CA90" s="691" t="e">
        <f t="shared" ca="1" si="813"/>
        <v>#REF!</v>
      </c>
      <c r="CB90" s="4" t="e" cm="1">
        <f t="array" aca="1" ref="CB90" ca="1">IF(AND(INDEX(INDIRECT(BY83),CA90,4)&gt;=$AB83,INDEX(INDIRECT(BY83),CA90,5)&gt;=$S83,INDEX(INDIRECT(BY83),CA90,6)&gt;=$R83),1,0)</f>
        <v>#REF!</v>
      </c>
      <c r="CC90" s="4" t="e">
        <f t="shared" ref="CC90" ca="1" si="932">MATCH(1,OFFSET(CB83:CB94,CD89,0,COUNT(CB83:CB94)-CD89),0)</f>
        <v>#REF!</v>
      </c>
      <c r="CD90" s="4" t="e">
        <f t="shared" ca="1" si="815"/>
        <v>#REF!</v>
      </c>
      <c r="CE90" s="692" t="str" cm="1">
        <f t="array" aca="1" ref="CE90" ca="1">IFERROR(VLOOKUP(INDEX(CA83:CA94,CD90),INDIRECT(BY83),2,FALSE),"----")</f>
        <v>----</v>
      </c>
      <c r="CF90" s="691" t="e">
        <f t="shared" ca="1" si="816"/>
        <v>#N/A</v>
      </c>
      <c r="CG90" s="4" t="e">
        <f ca="1">IF(AND(INDEX(SSM,CF90,4)&gt;=$AB83,INDEX(SSM,CF90,5)&gt;=$S83,INDEX(SSM,CF90,6)&gt;=$R83),1,0)</f>
        <v>#N/A</v>
      </c>
      <c r="CH90" s="4" t="e">
        <f t="shared" ref="CH90" ca="1" si="933">MATCH(1,OFFSET(CG83:CG94,CI89,0,COUNT(CG83:CG94)-CI89),0)</f>
        <v>#REF!</v>
      </c>
      <c r="CI90" s="4" t="e">
        <f t="shared" ca="1" si="818"/>
        <v>#REF!</v>
      </c>
      <c r="CJ90" s="692" t="str">
        <f ca="1">IFERROR(IF(AD84="Nested Steel Stud (wood infill)",VLOOKUP(INDEX(CF83:CF94,CI90),SSW,2,FALSE),VLOOKUP(INDEX(CF83:CF94,CI90),SSM,2,FALSE)),"----")</f>
        <v>----</v>
      </c>
      <c r="CK90" s="691" t="e">
        <f t="shared" ca="1" si="819"/>
        <v>#N/A</v>
      </c>
      <c r="CL90" s="4" t="e">
        <f ca="1">IF(AND(INDEX(WSM,CK90,4)&gt;=$AB83,INDEX(WSM,CK90,5)&gt;=$S83,INDEX(WSM,CK90,6)&gt;=$R83),1,0)</f>
        <v>#N/A</v>
      </c>
      <c r="CM90" s="4" t="e">
        <f t="shared" ref="CM90" ca="1" si="934">MATCH(1,OFFSET(CL83:CL94,CN89,0,COUNT(CL83:CL94)-CN89),0)</f>
        <v>#REF!</v>
      </c>
      <c r="CN90" s="4" t="e">
        <f t="shared" ca="1" si="821"/>
        <v>#REF!</v>
      </c>
      <c r="CO90" s="692" t="str">
        <f ca="1">IFERROR(VLOOKUP(INDEX(CK83:CK94,CN90),WSM,2,FALSE),"----")</f>
        <v>----</v>
      </c>
      <c r="CP90" s="691" t="e">
        <f t="shared" ca="1" si="822"/>
        <v>#N/A</v>
      </c>
      <c r="CQ90" s="4" t="e">
        <f ca="1">IF(AND(INDEX(STM,CP90,4)&gt;=$AB83,INDEX(STM,CP90,5)&gt;=$S83,INDEX(STM,CP90,6)&gt;=$R83),1,0)</f>
        <v>#N/A</v>
      </c>
      <c r="CR90" s="4" t="e">
        <f t="shared" ref="CR90" ca="1" si="935">MATCH(1,OFFSET(CQ83:CQ94,CS89,0,COUNT(CQ83:CQ94)-CS89),0)</f>
        <v>#REF!</v>
      </c>
      <c r="CS90" s="4" t="e">
        <f t="shared" ca="1" si="824"/>
        <v>#REF!</v>
      </c>
      <c r="CT90" s="692" t="str">
        <f ca="1">IFERROR(VLOOKUP(INDEX(CP83:CP94,CS90),STM,2,FALSE),"----")</f>
        <v>----</v>
      </c>
      <c r="CU90" s="691" t="e">
        <f t="shared" ca="1" si="825"/>
        <v>#N/A</v>
      </c>
      <c r="CV90" s="4" t="e">
        <f ca="1">IF(AND(INDEX(ELM,CU90,4)&gt;=$AB83,INDEX(ELM,CU90,5)&gt;=$S83,INDEX(ELM,CU90,6)&gt;=$R83),1,0)</f>
        <v>#N/A</v>
      </c>
      <c r="CW90" s="4" t="e">
        <f t="shared" ref="CW90" ca="1" si="936">MATCH(1,OFFSET(CV83:CV94,CX89,0,COUNT(CV83:CV94)-CX89),0)</f>
        <v>#REF!</v>
      </c>
      <c r="CX90" s="4" t="e">
        <f t="shared" ca="1" si="827"/>
        <v>#REF!</v>
      </c>
      <c r="CY90" s="692" t="str">
        <f ca="1">IFERROR(VLOOKUP(INDEX(CU83:CU94,CX90),ELM,2,FALSE),"----")</f>
        <v>----</v>
      </c>
      <c r="CZ90" s="691" t="e">
        <f t="shared" ca="1" si="828"/>
        <v>#N/A</v>
      </c>
      <c r="DA90" s="4" t="e">
        <f ca="1">IF(LEFT($J83,7)="Clad Wo",IF(AND(INDEX(SPPWS,CZ90,4)&gt;=$AB83,INDEX(SPPWS,CZ90,5)&gt;=$S83,INDEX(SPPWS,CZ90,6)&gt;=$R83),1,0),IF(AND(INDEX(SPM,CZ90,4)&gt;=$AB83,INDEX(SPM,CZ90,5)&gt;=$S83,INDEX(SPM,CZ90,6)&gt;=$R83),1,0))</f>
        <v>#N/A</v>
      </c>
      <c r="DB90" s="4" t="e">
        <f t="shared" ref="DB90" ca="1" si="937">MATCH(1,OFFSET(DA83:DA94,DC89,0,COUNT(DA83:DA94)-DC89),0)</f>
        <v>#REF!</v>
      </c>
      <c r="DC90" s="4" t="e">
        <f t="shared" ca="1" si="830"/>
        <v>#REF!</v>
      </c>
      <c r="DD90" s="693" t="str">
        <f ca="1">IF(LEFT($J83,7)="Clad Wo",IFERROR(VLOOKUP(INDEX(CZ83:CZ94,DC90),SPPWS,2,FALSE),"----"),IFERROR(VLOOKUP(INDEX(CZ83:CZ94,DC90),SPM,2,FALSE),"----"))</f>
        <v>----</v>
      </c>
      <c r="DE90" s="691" t="e">
        <f t="shared" ca="1" si="831"/>
        <v>#REF!</v>
      </c>
      <c r="DF90" s="4" t="e" cm="1">
        <f t="array" aca="1" ref="DF90" ca="1">IF(AND(INDEX(INDIRECT(BY83),DE90,4)&gt;=$AB89,INDEX(INDIRECT(BY83),DE90,5)&gt;=$S83,INDEX(INDIRECT(BY83),DE90,6)&gt;=$R83),1,0)</f>
        <v>#REF!</v>
      </c>
      <c r="DG90" s="4" t="e">
        <f t="shared" ref="DG90" ca="1" si="938">MATCH(1,OFFSET(DF83:DF94,DH89,0,COUNT(DF83:DF94)-DH89),0)</f>
        <v>#REF!</v>
      </c>
      <c r="DH90" s="4" t="e">
        <f t="shared" ca="1" si="833"/>
        <v>#REF!</v>
      </c>
      <c r="DI90" s="692" t="str" cm="1">
        <f t="array" aca="1" ref="DI90" ca="1">IFERROR(VLOOKUP(INDEX(DE83:DE94,DH90),INDIRECT(BY83),2,FALSE),"----")</f>
        <v>----</v>
      </c>
      <c r="DJ90" s="691" t="e">
        <f t="shared" ca="1" si="834"/>
        <v>#N/A</v>
      </c>
      <c r="DK90" s="4" t="e">
        <f ca="1">IF(AND(INDEX(SSM,DJ90,4)&gt;=$AB89,INDEX(SSM,DJ90,5)&gt;=$S83,INDEX(SSM,DJ90,6)&gt;=$R83),1,0)</f>
        <v>#N/A</v>
      </c>
      <c r="DL90" s="4" t="e">
        <f t="shared" ref="DL90" ca="1" si="939">MATCH(1,OFFSET(DK83:DK94,DM89,0,COUNT(DK83:DK94)-DM89),0)</f>
        <v>#REF!</v>
      </c>
      <c r="DM90" s="4" t="e">
        <f t="shared" ca="1" si="836"/>
        <v>#REF!</v>
      </c>
      <c r="DN90" s="692" t="str">
        <f ca="1">IFERROR(IF(AD90="Nested Steel Stud (wood infill)",VLOOKUP(INDEX(DJ83:DJ94,DM90),SSW,2,FALSE),VLOOKUP(INDEX(DJ83:DJ94,DM90),SSM,2,FALSE)),"----")</f>
        <v>----</v>
      </c>
      <c r="DO90" s="691" t="e">
        <f t="shared" ca="1" si="837"/>
        <v>#N/A</v>
      </c>
      <c r="DP90" s="4" t="e">
        <f ca="1">IF(AND(INDEX(WSM,DO90,4)&gt;=$AB89,INDEX(WSM,DO90,5)&gt;=$S83,INDEX(WSM,DO90,6)&gt;=$R83),1,0)</f>
        <v>#N/A</v>
      </c>
      <c r="DQ90" s="4" t="e">
        <f t="shared" ref="DQ90" ca="1" si="940">MATCH(1,OFFSET(DP83:DP94,DR89,0,COUNT(DP83:DP94)-DR89),0)</f>
        <v>#REF!</v>
      </c>
      <c r="DR90" s="4" t="e">
        <f t="shared" ca="1" si="839"/>
        <v>#REF!</v>
      </c>
      <c r="DS90" s="692" t="str">
        <f ca="1">IFERROR(VLOOKUP(INDEX(DO83:DO94,DR90),WSM,2,FALSE),"----")</f>
        <v>----</v>
      </c>
      <c r="DT90" s="691" t="e">
        <f t="shared" ca="1" si="840"/>
        <v>#N/A</v>
      </c>
      <c r="DU90" s="4" t="e">
        <f ca="1">IF(AND(INDEX(STM,DT90,4)&gt;=$AB89,INDEX(STM,DT90,5)&gt;=$S83,INDEX(STM,DT90,6)&gt;=$R83),1,0)</f>
        <v>#N/A</v>
      </c>
      <c r="DV90" s="4" t="e">
        <f t="shared" ref="DV90" ca="1" si="941">MATCH(1,OFFSET(DU83:DU94,DW89,0,COUNT(DU83:DU94)-DW89),0)</f>
        <v>#REF!</v>
      </c>
      <c r="DW90" s="4" t="e">
        <f t="shared" ca="1" si="842"/>
        <v>#REF!</v>
      </c>
      <c r="DX90" s="692" t="str">
        <f ca="1">IFERROR(VLOOKUP(INDEX(DT83:DT94,DW90),STM,2,FALSE),"----")</f>
        <v>----</v>
      </c>
      <c r="DY90" s="691" t="e">
        <f t="shared" ca="1" si="843"/>
        <v>#N/A</v>
      </c>
      <c r="DZ90" s="4" t="e">
        <f ca="1">IF(AND(INDEX(ELM,DY90,4)&gt;=$AB89,INDEX(ELM,DY90,5)&gt;=$S83,INDEX(ELM,DY90,6)&gt;=$R83),1,0)</f>
        <v>#N/A</v>
      </c>
      <c r="EA90" s="4" t="e">
        <f t="shared" ref="EA90" ca="1" si="942">MATCH(1,OFFSET(DZ83:DZ94,EB89,0,COUNT(DZ83:DZ94)-EB89),0)</f>
        <v>#REF!</v>
      </c>
      <c r="EB90" s="4" t="e">
        <f t="shared" ca="1" si="845"/>
        <v>#REF!</v>
      </c>
      <c r="EC90" s="692" t="str">
        <f ca="1">IFERROR(VLOOKUP(INDEX(DY83:DY94,EB90),ELM,2,FALSE),"----")</f>
        <v>----</v>
      </c>
      <c r="ED90" s="691" t="e">
        <f t="shared" ca="1" si="846"/>
        <v>#N/A</v>
      </c>
      <c r="EE90" s="4" t="e">
        <f ca="1">IF(LEFT($J83,7)="Clad Wo",IF(AND(INDEX(SPPWS,ED90,4)&gt;=$AB89,INDEX(SPPWS,ED90,5)&gt;=$S83,INDEX(SPPWS,ED90,6)&gt;=$R83),1,0),IF(AND(INDEX(SPM,ED90,4)&gt;=$AB89,INDEX(SPM,ED90,5)&gt;=$S83,INDEX(SPM,ED90,6)&gt;=$R83),1,0))</f>
        <v>#N/A</v>
      </c>
      <c r="EF90" s="4" t="e">
        <f t="shared" ref="EF90" ca="1" si="943">MATCH(1,OFFSET(EE83:EE94,EG89,0,COUNT(EE83:EE94)-EG89),0)</f>
        <v>#REF!</v>
      </c>
      <c r="EG90" s="4" t="e">
        <f t="shared" ca="1" si="848"/>
        <v>#REF!</v>
      </c>
      <c r="EH90" s="692" t="str">
        <f ca="1">IF(LEFT($J83,7)="Clad Wo",IFERROR(VLOOKUP(INDEX(ED83:ED94,EG90),SPPWS,2,FALSE),"----"),IFERROR(VLOOKUP(INDEX(ED83:ED94,EG90),SPM,2,FALSE),"----"))</f>
        <v>----</v>
      </c>
    </row>
    <row r="91" spans="1:138" ht="15" customHeight="1" x14ac:dyDescent="0.25">
      <c r="A91" s="1085"/>
      <c r="B91" s="925"/>
      <c r="C91" s="926"/>
      <c r="D91" s="927"/>
      <c r="E91" s="995"/>
      <c r="F91" s="996"/>
      <c r="G91" s="997"/>
      <c r="H91" s="1062"/>
      <c r="I91" s="990"/>
      <c r="J91" s="902"/>
      <c r="K91" s="903"/>
      <c r="L91" s="1002"/>
      <c r="M91" s="923"/>
      <c r="N91" s="1042"/>
      <c r="O91" s="1018"/>
      <c r="P91" s="987"/>
      <c r="Q91" s="1015"/>
      <c r="R91" s="1012"/>
      <c r="S91" s="1006"/>
      <c r="T91" s="1007"/>
      <c r="U91" s="878"/>
      <c r="V91" s="881"/>
      <c r="W91" s="884"/>
      <c r="X91" s="884"/>
      <c r="Y91" s="887"/>
      <c r="Z91" s="887"/>
      <c r="AA91" s="887"/>
      <c r="AB91" s="1081"/>
      <c r="AC91" s="1078"/>
      <c r="AD91" s="1070" t="str">
        <f t="shared" si="233"/>
        <v>Wood Stud Framing</v>
      </c>
      <c r="AE91" s="1071"/>
      <c r="AF91" s="1052"/>
      <c r="AG91" s="1053"/>
      <c r="AH91" s="1053"/>
      <c r="AI91" s="1066"/>
      <c r="AJ91" s="1067"/>
      <c r="AK91" s="156" t="str">
        <f t="shared" ca="1" si="62"/>
        <v/>
      </c>
      <c r="AL91" s="1059"/>
      <c r="AM91" s="344" t="str">
        <f ca="1">IFERROR(Q83/12*ROUND(VLOOKUP(AF91,OFFSET(WSM,0,1),6,FALSE),2),"")</f>
        <v/>
      </c>
      <c r="AN91" t="str">
        <f t="shared" ca="1" si="5"/>
        <v/>
      </c>
      <c r="AP91" s="122" t="str">
        <f t="shared" ref="AP91" si="944">_xlfn.CONCAT(AR91,AS94)</f>
        <v/>
      </c>
      <c r="AQ91" s="683" t="str">
        <f t="shared" si="65"/>
        <v/>
      </c>
      <c r="AR91" s="4" t="str">
        <f t="shared" si="3"/>
        <v/>
      </c>
      <c r="AS91" s="4"/>
      <c r="AT91" s="697" t="str">
        <f>AL89</f>
        <v/>
      </c>
      <c r="AU91" s="694" t="e">
        <f t="shared" ca="1" si="91"/>
        <v>#REF!</v>
      </c>
      <c r="AV91" s="686" t="str">
        <f ca="1">IFERROR(VLOOKUP(AU91,INDIRECT(AQ83),2,FALSE),"----")</f>
        <v>----</v>
      </c>
      <c r="AW91" s="694" t="e">
        <f t="shared" ca="1" si="92"/>
        <v>#REF!</v>
      </c>
      <c r="AX91" s="686" t="str">
        <f ca="1">IFERROR(VLOOKUP(AW91,INDIRECT(AQ84),2,FALSE),"----")</f>
        <v>----</v>
      </c>
      <c r="AY91" s="694" t="e">
        <f t="shared" ca="1" si="658"/>
        <v>#REF!</v>
      </c>
      <c r="AZ91" s="686" t="str">
        <f ca="1">IFERROR(VLOOKUP(AY91,INDIRECT(AQ85),2,FALSE),"----")</f>
        <v>----</v>
      </c>
      <c r="BA91" s="694" t="e">
        <f t="shared" ca="1" si="659"/>
        <v>#REF!</v>
      </c>
      <c r="BB91" s="686" t="str">
        <f ca="1">IFERROR(VLOOKUP(BA91,INDIRECT(AQ86),2,FALSE),"----")</f>
        <v>----</v>
      </c>
      <c r="BC91" s="694" t="e">
        <f t="shared" ca="1" si="95"/>
        <v>#REF!</v>
      </c>
      <c r="BD91" s="686" t="str">
        <f ca="1">IFERROR(VLOOKUP(BC91,INDIRECT(AQ87),2,FALSE),"----")</f>
        <v>----</v>
      </c>
      <c r="BE91" s="694" t="e">
        <f t="shared" ca="1" si="96"/>
        <v>#REF!</v>
      </c>
      <c r="BF91" s="686" t="str">
        <f ca="1">IFERROR(VLOOKUP(BE91,INDIRECT(AQ88),2,FALSE),"----")</f>
        <v>----</v>
      </c>
      <c r="BG91" s="702" t="e">
        <f t="shared" ca="1" si="97"/>
        <v>#REF!</v>
      </c>
      <c r="BH91" s="686" t="str">
        <f ca="1">IFERROR(VLOOKUP(BG91,INDIRECT(AQ89),2,FALSE),"----")</f>
        <v>----</v>
      </c>
      <c r="BI91" s="702" t="e">
        <f t="shared" ca="1" si="98"/>
        <v>#REF!</v>
      </c>
      <c r="BJ91" s="686" t="str">
        <f ca="1">IFERROR(VLOOKUP(BI91,INDIRECT(AQ90),2,FALSE),"----")</f>
        <v>----</v>
      </c>
      <c r="BK91" s="702" t="e">
        <f t="shared" ca="1" si="99"/>
        <v>#REF!</v>
      </c>
      <c r="BL91" s="686" t="str">
        <f ca="1">IFERROR(VLOOKUP(BK91,INDIRECT(AQ91),2,FALSE),"----")</f>
        <v>----</v>
      </c>
      <c r="BM91" s="702" t="e">
        <f t="shared" ca="1" si="100"/>
        <v>#REF!</v>
      </c>
      <c r="BN91" s="686" t="str">
        <f ca="1">IFERROR(VLOOKUP(BM91,INDIRECT(AQ92),2,FALSE),"----")</f>
        <v>----</v>
      </c>
      <c r="BO91" s="702" t="e">
        <f t="shared" ca="1" si="101"/>
        <v>#REF!</v>
      </c>
      <c r="BP91" s="686" t="str">
        <f ca="1">IFERROR(VLOOKUP(BO91,INDIRECT(AQ93),2,FALSE),"----")</f>
        <v>----</v>
      </c>
      <c r="BQ91" s="702" t="e">
        <f t="shared" ca="1" si="102"/>
        <v>#REF!</v>
      </c>
      <c r="BR91" s="686" t="str">
        <f ca="1">IFERROR(VLOOKUP(BQ91,INDIRECT(AQ94),2,FALSE),"----")</f>
        <v>----</v>
      </c>
      <c r="BS91" s="695">
        <f>IF(AI91="",1,IF(COUNTIF(BL83:BL94,AI91)=0,2,1))</f>
        <v>1</v>
      </c>
      <c r="BT91" s="696">
        <f>IF(AF91="",1,IF(BL83=".",2,1))</f>
        <v>1</v>
      </c>
      <c r="BU91" s="706"/>
      <c r="BV91" s="155">
        <f ca="1">IF(COUNTIF(DS83:DS94,AF91)=0,IF(AF91&lt;&gt;"",0,1),1)</f>
        <v>1</v>
      </c>
      <c r="BW91" s="157">
        <f ca="1">IFERROR(MATCH(AF91,DS83:DS94,0),1)</f>
        <v>1</v>
      </c>
      <c r="BX91" s="769" t="e">
        <f t="shared" ref="BX91" si="945">5*E83^3*W83/(384*X83)</f>
        <v>#VALUE!</v>
      </c>
      <c r="BY91" s="769" t="e">
        <f t="shared" ref="BY91" si="946">W83*E83^3/(60*X83)</f>
        <v>#VALUE!</v>
      </c>
      <c r="BZ91" s="1110"/>
      <c r="CA91" s="691" t="e">
        <f t="shared" ca="1" si="813"/>
        <v>#REF!</v>
      </c>
      <c r="CB91" s="4" t="e" cm="1">
        <f t="array" aca="1" ref="CB91" ca="1">IF(AND(INDEX(INDIRECT(BY83),CA91,4)&gt;=$AB83,INDEX(INDIRECT(BY83),CA91,5)&gt;=$S83,INDEX(INDIRECT(BY83),CA91,6)&gt;=$R83),1,0)</f>
        <v>#REF!</v>
      </c>
      <c r="CC91" s="4" t="e">
        <f t="shared" ref="CC91" ca="1" si="947">MATCH(1,OFFSET(CB83:CB94,CD90,0,COUNT(CB83:CB94)-CD90),0)</f>
        <v>#REF!</v>
      </c>
      <c r="CD91" s="4" t="e">
        <f t="shared" ca="1" si="815"/>
        <v>#REF!</v>
      </c>
      <c r="CE91" s="692" t="str" cm="1">
        <f t="array" aca="1" ref="CE91" ca="1">IFERROR(VLOOKUP(INDEX(CA83:CA94,CD91),INDIRECT(BY83),2,FALSE),"----")</f>
        <v>----</v>
      </c>
      <c r="CF91" s="691" t="e">
        <f t="shared" ca="1" si="816"/>
        <v>#N/A</v>
      </c>
      <c r="CG91" s="4" t="e">
        <f ca="1">IF(AND(INDEX(SSM,CF91,4)&gt;=$AB83,INDEX(SSM,CF91,5)&gt;=$S83,INDEX(SSM,CF91,6)&gt;=$R83),1,0)</f>
        <v>#N/A</v>
      </c>
      <c r="CH91" s="4" t="e">
        <f t="shared" ref="CH91" ca="1" si="948">MATCH(1,OFFSET(CG83:CG94,CI90,0,COUNT(CG83:CG94)-CI90),0)</f>
        <v>#REF!</v>
      </c>
      <c r="CI91" s="4" t="e">
        <f t="shared" ca="1" si="818"/>
        <v>#REF!</v>
      </c>
      <c r="CJ91" s="692" t="str">
        <f ca="1">IFERROR(IF(AD84="Nested Steel Stud (wood infill)",VLOOKUP(INDEX(CF83:CF94,CI91),SSW,2,FALSE),VLOOKUP(INDEX(CF83:CF94,CI91),SSM,2,FALSE)),"----")</f>
        <v>----</v>
      </c>
      <c r="CK91" s="691" t="e">
        <f t="shared" ca="1" si="819"/>
        <v>#N/A</v>
      </c>
      <c r="CL91" s="4" t="e">
        <f ca="1">IF(AND(INDEX(WSM,CK91,4)&gt;=$AB83,INDEX(WSM,CK91,5)&gt;=$S83,INDEX(WSM,CK91,6)&gt;=$R83),1,0)</f>
        <v>#N/A</v>
      </c>
      <c r="CM91" s="4" t="e">
        <f t="shared" ref="CM91" ca="1" si="949">MATCH(1,OFFSET(CL83:CL94,CN90,0,COUNT(CL83:CL94)-CN90),0)</f>
        <v>#REF!</v>
      </c>
      <c r="CN91" s="4" t="e">
        <f t="shared" ca="1" si="821"/>
        <v>#REF!</v>
      </c>
      <c r="CO91" s="692" t="str">
        <f ca="1">IFERROR(VLOOKUP(INDEX(CK83:CK94,CN91),WSM,2,FALSE),"----")</f>
        <v>----</v>
      </c>
      <c r="CP91" s="691" t="e">
        <f t="shared" ca="1" si="822"/>
        <v>#N/A</v>
      </c>
      <c r="CQ91" s="4" t="e">
        <f ca="1">IF(AND(INDEX(STM,CP91,4)&gt;=$AB83,INDEX(STM,CP91,5)&gt;=$S83,INDEX(STM,CP91,6)&gt;=$R83),1,0)</f>
        <v>#N/A</v>
      </c>
      <c r="CR91" s="4" t="e">
        <f t="shared" ref="CR91" ca="1" si="950">MATCH(1,OFFSET(CQ83:CQ94,CS90,0,COUNT(CQ83:CQ94)-CS90),0)</f>
        <v>#REF!</v>
      </c>
      <c r="CS91" s="4" t="e">
        <f t="shared" ca="1" si="824"/>
        <v>#REF!</v>
      </c>
      <c r="CT91" s="692" t="str">
        <f ca="1">IFERROR(VLOOKUP(INDEX(CP83:CP94,CS91),STM,2,FALSE),"----")</f>
        <v>----</v>
      </c>
      <c r="CU91" s="691" t="e">
        <f t="shared" ca="1" si="825"/>
        <v>#N/A</v>
      </c>
      <c r="CV91" s="4" t="e">
        <f ca="1">IF(AND(INDEX(ELM,CU91,4)&gt;=$AB83,INDEX(ELM,CU91,5)&gt;=$S83,INDEX(ELM,CU91,6)&gt;=$R83),1,0)</f>
        <v>#N/A</v>
      </c>
      <c r="CW91" s="4" t="e">
        <f t="shared" ref="CW91" ca="1" si="951">MATCH(1,OFFSET(CV83:CV94,CX90,0,COUNT(CV83:CV94)-CX90),0)</f>
        <v>#REF!</v>
      </c>
      <c r="CX91" s="4" t="e">
        <f t="shared" ca="1" si="827"/>
        <v>#REF!</v>
      </c>
      <c r="CY91" s="692" t="str">
        <f ca="1">IFERROR(VLOOKUP(INDEX(CU83:CU94,CX91),ELM,2,FALSE),"----")</f>
        <v>----</v>
      </c>
      <c r="CZ91" s="691" t="e">
        <f t="shared" ca="1" si="828"/>
        <v>#N/A</v>
      </c>
      <c r="DA91" s="4" t="e">
        <f ca="1">IF(LEFT($J83,7)="Clad Wo",IF(AND(INDEX(SPPWS,CZ91,4)&gt;=$AB83,INDEX(SPPWS,CZ91,5)&gt;=$S83,INDEX(SPPWS,CZ91,6)&gt;=$R83),1,0),IF(AND(INDEX(SPM,CZ91,4)&gt;=$AB83,INDEX(SPM,CZ91,5)&gt;=$S83,INDEX(SPM,CZ91,6)&gt;=$R83),1,0))</f>
        <v>#N/A</v>
      </c>
      <c r="DB91" s="4" t="e">
        <f t="shared" ref="DB91" ca="1" si="952">MATCH(1,OFFSET(DA83:DA94,DC90,0,COUNT(DA83:DA94)-DC90),0)</f>
        <v>#REF!</v>
      </c>
      <c r="DC91" s="4" t="e">
        <f t="shared" ca="1" si="830"/>
        <v>#REF!</v>
      </c>
      <c r="DD91" s="693" t="str">
        <f ca="1">IF(LEFT($J83,7)="Clad Wo",IFERROR(VLOOKUP(INDEX(CZ83:CZ94,DC91),SPPWS,2,FALSE),"----"),IFERROR(VLOOKUP(INDEX(CZ83:CZ94,DC91),SPM,2,FALSE),"----"))</f>
        <v>----</v>
      </c>
      <c r="DE91" s="691" t="e">
        <f t="shared" ca="1" si="831"/>
        <v>#REF!</v>
      </c>
      <c r="DF91" s="4" t="e" cm="1">
        <f t="array" aca="1" ref="DF91" ca="1">IF(AND(INDEX(INDIRECT(BY83),DE91,4)&gt;=$AB89,INDEX(INDIRECT(BY83),DE91,5)&gt;=$S83,INDEX(INDIRECT(BY83),DE91,6)&gt;=$R83),1,0)</f>
        <v>#REF!</v>
      </c>
      <c r="DG91" s="4" t="e">
        <f t="shared" ref="DG91" ca="1" si="953">MATCH(1,OFFSET(DF83:DF94,DH90,0,COUNT(DF83:DF94)-DH90),0)</f>
        <v>#REF!</v>
      </c>
      <c r="DH91" s="4" t="e">
        <f t="shared" ca="1" si="833"/>
        <v>#REF!</v>
      </c>
      <c r="DI91" s="692" t="str" cm="1">
        <f t="array" aca="1" ref="DI91" ca="1">IFERROR(VLOOKUP(INDEX(DE83:DE94,DH91),INDIRECT(BY83),2,FALSE),"----")</f>
        <v>----</v>
      </c>
      <c r="DJ91" s="691" t="e">
        <f t="shared" ca="1" si="834"/>
        <v>#N/A</v>
      </c>
      <c r="DK91" s="4" t="e">
        <f ca="1">IF(AND(INDEX(SSM,DJ91,4)&gt;=$AB89,INDEX(SSM,DJ91,5)&gt;=$S83,INDEX(SSM,DJ91,6)&gt;=$R83),1,0)</f>
        <v>#N/A</v>
      </c>
      <c r="DL91" s="4" t="e">
        <f t="shared" ref="DL91" ca="1" si="954">MATCH(1,OFFSET(DK83:DK94,DM90,0,COUNT(DK83:DK94)-DM90),0)</f>
        <v>#REF!</v>
      </c>
      <c r="DM91" s="4" t="e">
        <f t="shared" ca="1" si="836"/>
        <v>#REF!</v>
      </c>
      <c r="DN91" s="692" t="str">
        <f ca="1">IFERROR(IF(AD90="Nested Steel Stud (wood infill)",VLOOKUP(INDEX(DJ83:DJ94,DM91),SSW,2,FALSE),VLOOKUP(INDEX(DJ83:DJ94,DM91),SSM,2,FALSE)),"----")</f>
        <v>----</v>
      </c>
      <c r="DO91" s="691" t="e">
        <f t="shared" ca="1" si="837"/>
        <v>#N/A</v>
      </c>
      <c r="DP91" s="4" t="e">
        <f ca="1">IF(AND(INDEX(WSM,DO91,4)&gt;=$AB89,INDEX(WSM,DO91,5)&gt;=$S83,INDEX(WSM,DO91,6)&gt;=$R83),1,0)</f>
        <v>#N/A</v>
      </c>
      <c r="DQ91" s="4" t="e">
        <f t="shared" ref="DQ91" ca="1" si="955">MATCH(1,OFFSET(DP83:DP94,DR90,0,COUNT(DP83:DP94)-DR90),0)</f>
        <v>#REF!</v>
      </c>
      <c r="DR91" s="4" t="e">
        <f t="shared" ca="1" si="839"/>
        <v>#REF!</v>
      </c>
      <c r="DS91" s="692" t="str">
        <f ca="1">IFERROR(VLOOKUP(INDEX(DO83:DO94,DR91),WSM,2,FALSE),"----")</f>
        <v>----</v>
      </c>
      <c r="DT91" s="691" t="e">
        <f t="shared" ca="1" si="840"/>
        <v>#N/A</v>
      </c>
      <c r="DU91" s="4" t="e">
        <f ca="1">IF(AND(INDEX(STM,DT91,4)&gt;=$AB89,INDEX(STM,DT91,5)&gt;=$S83,INDEX(STM,DT91,6)&gt;=$R83),1,0)</f>
        <v>#N/A</v>
      </c>
      <c r="DV91" s="4" t="e">
        <f t="shared" ref="DV91" ca="1" si="956">MATCH(1,OFFSET(DU83:DU94,DW90,0,COUNT(DU83:DU94)-DW90),0)</f>
        <v>#REF!</v>
      </c>
      <c r="DW91" s="4" t="e">
        <f t="shared" ca="1" si="842"/>
        <v>#REF!</v>
      </c>
      <c r="DX91" s="692" t="str">
        <f ca="1">IFERROR(VLOOKUP(INDEX(DT83:DT94,DW91),STM,2,FALSE),"----")</f>
        <v>----</v>
      </c>
      <c r="DY91" s="691" t="e">
        <f t="shared" ca="1" si="843"/>
        <v>#N/A</v>
      </c>
      <c r="DZ91" s="4" t="e">
        <f ca="1">IF(AND(INDEX(ELM,DY91,4)&gt;=$AB89,INDEX(ELM,DY91,5)&gt;=$S83,INDEX(ELM,DY91,6)&gt;=$R83),1,0)</f>
        <v>#N/A</v>
      </c>
      <c r="EA91" s="4" t="e">
        <f t="shared" ref="EA91" ca="1" si="957">MATCH(1,OFFSET(DZ83:DZ94,EB90,0,COUNT(DZ83:DZ94)-EB90),0)</f>
        <v>#REF!</v>
      </c>
      <c r="EB91" s="4" t="e">
        <f t="shared" ca="1" si="845"/>
        <v>#REF!</v>
      </c>
      <c r="EC91" s="692" t="str">
        <f ca="1">IFERROR(VLOOKUP(INDEX(DY83:DY94,EB91),ELM,2,FALSE),"----")</f>
        <v>----</v>
      </c>
      <c r="ED91" s="691" t="e">
        <f t="shared" ca="1" si="846"/>
        <v>#N/A</v>
      </c>
      <c r="EE91" s="4" t="e">
        <f ca="1">IF(LEFT($J83,7)="Clad Wo",IF(AND(INDEX(SPPWS,ED91,4)&gt;=$AB89,INDEX(SPPWS,ED91,5)&gt;=$S83,INDEX(SPPWS,ED91,6)&gt;=$R83),1,0),IF(AND(INDEX(SPM,ED91,4)&gt;=$AB89,INDEX(SPM,ED91,5)&gt;=$S83,INDEX(SPM,ED91,6)&gt;=$R83),1,0))</f>
        <v>#N/A</v>
      </c>
      <c r="EF91" s="4" t="e">
        <f t="shared" ref="EF91" ca="1" si="958">MATCH(1,OFFSET(EE83:EE94,EG90,0,COUNT(EE83:EE94)-EG90),0)</f>
        <v>#REF!</v>
      </c>
      <c r="EG91" s="4" t="e">
        <f t="shared" ca="1" si="848"/>
        <v>#REF!</v>
      </c>
      <c r="EH91" s="692" t="str">
        <f ca="1">IF(LEFT($J83,7)="Clad Wo",IFERROR(VLOOKUP(INDEX(ED83:ED94,EG91),SPPWS,2,FALSE),"----"),IFERROR(VLOOKUP(INDEX(ED83:ED94,EG91),SPM,2,FALSE),"----"))</f>
        <v>----</v>
      </c>
    </row>
    <row r="92" spans="1:138" ht="15" customHeight="1" x14ac:dyDescent="0.25">
      <c r="A92" s="1085"/>
      <c r="B92" s="925"/>
      <c r="C92" s="926"/>
      <c r="D92" s="927"/>
      <c r="E92" s="995"/>
      <c r="F92" s="996"/>
      <c r="G92" s="997"/>
      <c r="H92" s="1062"/>
      <c r="I92" s="990"/>
      <c r="J92" s="902"/>
      <c r="K92" s="903"/>
      <c r="L92" s="1002"/>
      <c r="M92" s="923"/>
      <c r="N92" s="1042"/>
      <c r="O92" s="1018"/>
      <c r="P92" s="987"/>
      <c r="Q92" s="1015"/>
      <c r="R92" s="1012"/>
      <c r="S92" s="1006"/>
      <c r="T92" s="1007"/>
      <c r="U92" s="878"/>
      <c r="V92" s="881"/>
      <c r="W92" s="884"/>
      <c r="X92" s="884"/>
      <c r="Y92" s="887"/>
      <c r="Z92" s="887"/>
      <c r="AA92" s="887"/>
      <c r="AB92" s="1081"/>
      <c r="AC92" s="1078"/>
      <c r="AD92" s="1070" t="str">
        <f t="shared" si="233"/>
        <v>Steel Tube</v>
      </c>
      <c r="AE92" s="1071"/>
      <c r="AF92" s="1052"/>
      <c r="AG92" s="1053"/>
      <c r="AH92" s="1053"/>
      <c r="AI92" s="1066"/>
      <c r="AJ92" s="1067"/>
      <c r="AK92" s="156" t="str">
        <f t="shared" ca="1" si="62"/>
        <v/>
      </c>
      <c r="AL92" s="1059"/>
      <c r="AM92" s="343" t="str">
        <f ca="1">IFERROR(Q83/12*ROUND(VLOOKUP(AF92,OFFSET(STM,0,1),6,FALSE),2),"")</f>
        <v/>
      </c>
      <c r="AN92" t="str">
        <f t="shared" ca="1" si="5"/>
        <v/>
      </c>
      <c r="AP92" s="122" t="str">
        <f t="shared" ref="AP92" si="959">_xlfn.CONCAT(AR92,AS94)</f>
        <v/>
      </c>
      <c r="AQ92" s="683" t="str">
        <f t="shared" si="65"/>
        <v/>
      </c>
      <c r="AR92" s="4" t="str">
        <f t="shared" si="3"/>
        <v/>
      </c>
      <c r="AS92" s="4"/>
      <c r="AT92" s="697" t="str">
        <f>AL89</f>
        <v/>
      </c>
      <c r="AU92" s="694" t="e">
        <f t="shared" ca="1" si="91"/>
        <v>#REF!</v>
      </c>
      <c r="AV92" s="686" t="str">
        <f ca="1">IFERROR(VLOOKUP(AU92,INDIRECT(AQ83),2,FALSE),"----")</f>
        <v>----</v>
      </c>
      <c r="AW92" s="694" t="e">
        <f t="shared" ca="1" si="92"/>
        <v>#REF!</v>
      </c>
      <c r="AX92" s="686" t="str">
        <f ca="1">IFERROR(VLOOKUP(AW92,INDIRECT(AQ84),2,FALSE),"----")</f>
        <v>----</v>
      </c>
      <c r="AY92" s="694" t="e">
        <f t="shared" ca="1" si="486"/>
        <v>#REF!</v>
      </c>
      <c r="AZ92" s="686" t="str">
        <f ca="1">IFERROR(VLOOKUP(AY92,INDIRECT(AQ85),2,FALSE),"----")</f>
        <v>----</v>
      </c>
      <c r="BA92" s="694" t="e">
        <f t="shared" ca="1" si="487"/>
        <v>#REF!</v>
      </c>
      <c r="BB92" s="686" t="str">
        <f ca="1">IFERROR(VLOOKUP(BA92,INDIRECT(AQ86),2,FALSE),"----")</f>
        <v>----</v>
      </c>
      <c r="BC92" s="694" t="e">
        <f t="shared" ca="1" si="95"/>
        <v>#REF!</v>
      </c>
      <c r="BD92" s="686" t="str">
        <f ca="1">IFERROR(VLOOKUP(BC92,INDIRECT(AQ87),2,FALSE),"----")</f>
        <v>----</v>
      </c>
      <c r="BE92" s="694" t="e">
        <f t="shared" ca="1" si="96"/>
        <v>#REF!</v>
      </c>
      <c r="BF92" s="686" t="str">
        <f ca="1">IFERROR(VLOOKUP(BE92,INDIRECT(AQ88),2,FALSE),"----")</f>
        <v>----</v>
      </c>
      <c r="BG92" s="702" t="e">
        <f t="shared" ca="1" si="97"/>
        <v>#REF!</v>
      </c>
      <c r="BH92" s="686" t="str">
        <f ca="1">IFERROR(VLOOKUP(BG92,INDIRECT(AQ89),2,FALSE),"----")</f>
        <v>----</v>
      </c>
      <c r="BI92" s="702" t="e">
        <f t="shared" ca="1" si="98"/>
        <v>#REF!</v>
      </c>
      <c r="BJ92" s="686" t="str">
        <f ca="1">IFERROR(VLOOKUP(BI92,INDIRECT(AQ90),2,FALSE),"----")</f>
        <v>----</v>
      </c>
      <c r="BK92" s="702" t="e">
        <f t="shared" ca="1" si="99"/>
        <v>#REF!</v>
      </c>
      <c r="BL92" s="686" t="str">
        <f ca="1">IFERROR(VLOOKUP(BK92,INDIRECT(AQ91),2,FALSE),"----")</f>
        <v>----</v>
      </c>
      <c r="BM92" s="702" t="e">
        <f t="shared" ca="1" si="100"/>
        <v>#REF!</v>
      </c>
      <c r="BN92" s="686" t="str">
        <f ca="1">IFERROR(VLOOKUP(BM92,INDIRECT(AQ92),2,FALSE),"----")</f>
        <v>----</v>
      </c>
      <c r="BO92" s="702" t="e">
        <f t="shared" ca="1" si="101"/>
        <v>#REF!</v>
      </c>
      <c r="BP92" s="686" t="str">
        <f ca="1">IFERROR(VLOOKUP(BO92,INDIRECT(AQ93),2,FALSE),"----")</f>
        <v>----</v>
      </c>
      <c r="BQ92" s="702" t="e">
        <f t="shared" ca="1" si="102"/>
        <v>#REF!</v>
      </c>
      <c r="BR92" s="686" t="str">
        <f ca="1">IFERROR(VLOOKUP(BQ92,INDIRECT(AQ94),2,FALSE),"----")</f>
        <v>----</v>
      </c>
      <c r="BS92" s="695">
        <f>IF(AI92="",1,IF(COUNTIF(BN83:BN94,AI92)=0,2,1))</f>
        <v>1</v>
      </c>
      <c r="BT92" s="696">
        <f>IF(AF92="",1,IF(BN83=".",2,1))</f>
        <v>1</v>
      </c>
      <c r="BU92" s="706"/>
      <c r="BV92" s="155">
        <f ca="1">IF(COUNTIF(DX83:DX94,AF92)=0,IF(AF92&lt;&gt;"",0,1),1)</f>
        <v>1</v>
      </c>
      <c r="BW92" s="157">
        <f ca="1">IFERROR(MATCH(AF92,DX83:DX94,0),1)</f>
        <v>1</v>
      </c>
      <c r="BX92" s="769" t="e">
        <f t="shared" ref="BX92" si="960">5*E83^3*W89/(384*X83)</f>
        <v>#VALUE!</v>
      </c>
      <c r="BY92" s="769" t="e">
        <f t="shared" ref="BY92" si="961">E83^3*W89/(60*X83)</f>
        <v>#VALUE!</v>
      </c>
      <c r="BZ92" s="1110"/>
      <c r="CA92" s="691" t="e">
        <f t="shared" ca="1" si="813"/>
        <v>#REF!</v>
      </c>
      <c r="CB92" s="4" t="e" cm="1">
        <f t="array" aca="1" ref="CB92" ca="1">IF(AND(INDEX(INDIRECT(BY83),CA92,4)&gt;=$AB83,INDEX(INDIRECT(BY83),CA92,5)&gt;=$S83,INDEX(INDIRECT(BY83),CA92,6)&gt;=$R83),1,0)</f>
        <v>#REF!</v>
      </c>
      <c r="CC92" s="4" t="e">
        <f t="shared" ref="CC92" ca="1" si="962">MATCH(1,OFFSET(CB83:CB94,CD91,0,COUNT(CB83:CB94)-CD91),0)</f>
        <v>#REF!</v>
      </c>
      <c r="CD92" s="4" t="e">
        <f t="shared" ca="1" si="815"/>
        <v>#REF!</v>
      </c>
      <c r="CE92" s="692" t="str" cm="1">
        <f t="array" aca="1" ref="CE92" ca="1">IFERROR(VLOOKUP(INDEX(CA83:CA94,CD92),INDIRECT(BY83),2,FALSE),"----")</f>
        <v>----</v>
      </c>
      <c r="CF92" s="691" t="e">
        <f t="shared" ca="1" si="816"/>
        <v>#N/A</v>
      </c>
      <c r="CG92" s="4" t="e">
        <f ca="1">IF(AND(INDEX(SSM,CF92,4)&gt;=$AB83,INDEX(SSM,CF92,5)&gt;=$S83,INDEX(SSM,CF92,6)&gt;=$R83),1,0)</f>
        <v>#N/A</v>
      </c>
      <c r="CH92" s="4" t="e">
        <f t="shared" ref="CH92" ca="1" si="963">MATCH(1,OFFSET(CG83:CG94,CI91,0,COUNT(CG83:CG94)-CI91),0)</f>
        <v>#REF!</v>
      </c>
      <c r="CI92" s="4" t="e">
        <f t="shared" ca="1" si="818"/>
        <v>#REF!</v>
      </c>
      <c r="CJ92" s="692" t="str">
        <f ca="1">IFERROR(IF(AD84="Nested Steel Stud (wood infill)",VLOOKUP(INDEX(CF83:CF94,CI92),SSW,2,FALSE),VLOOKUP(INDEX(CF83:CF94,CI92),SSM,2,FALSE)),"----")</f>
        <v>----</v>
      </c>
      <c r="CK92" s="691" t="e">
        <f t="shared" ca="1" si="819"/>
        <v>#N/A</v>
      </c>
      <c r="CL92" s="4" t="e">
        <f ca="1">IF(AND(INDEX(WSM,CK92,4)&gt;=$AB83,INDEX(WSM,CK92,5)&gt;=$S83,INDEX(WSM,CK92,6)&gt;=$R83),1,0)</f>
        <v>#N/A</v>
      </c>
      <c r="CM92" s="4" t="e">
        <f t="shared" ref="CM92" ca="1" si="964">MATCH(1,OFFSET(CL83:CL94,CN91,0,COUNT(CL83:CL94)-CN91),0)</f>
        <v>#REF!</v>
      </c>
      <c r="CN92" s="4" t="e">
        <f t="shared" ca="1" si="821"/>
        <v>#REF!</v>
      </c>
      <c r="CO92" s="692" t="str">
        <f ca="1">IFERROR(VLOOKUP(INDEX(CK83:CK94,CN92),WSM,2,FALSE),"----")</f>
        <v>----</v>
      </c>
      <c r="CP92" s="691" t="e">
        <f t="shared" ca="1" si="822"/>
        <v>#N/A</v>
      </c>
      <c r="CQ92" s="4" t="e">
        <f ca="1">IF(AND(INDEX(STM,CP92,4)&gt;=$AB83,INDEX(STM,CP92,5)&gt;=$S83,INDEX(STM,CP92,6)&gt;=$R83),1,0)</f>
        <v>#N/A</v>
      </c>
      <c r="CR92" s="4" t="e">
        <f t="shared" ref="CR92" ca="1" si="965">MATCH(1,OFFSET(CQ83:CQ94,CS91,0,COUNT(CQ83:CQ94)-CS91),0)</f>
        <v>#REF!</v>
      </c>
      <c r="CS92" s="4" t="e">
        <f t="shared" ca="1" si="824"/>
        <v>#REF!</v>
      </c>
      <c r="CT92" s="692" t="str">
        <f ca="1">IFERROR(VLOOKUP(INDEX(CP83:CP94,CS92),STM,2,FALSE),"----")</f>
        <v>----</v>
      </c>
      <c r="CU92" s="691" t="e">
        <f t="shared" ca="1" si="825"/>
        <v>#N/A</v>
      </c>
      <c r="CV92" s="4" t="e">
        <f ca="1">IF(AND(INDEX(ELM,CU92,4)&gt;=$AB83,INDEX(ELM,CU92,5)&gt;=$S83,INDEX(ELM,CU92,6)&gt;=$R83),1,0)</f>
        <v>#N/A</v>
      </c>
      <c r="CW92" s="4" t="e">
        <f t="shared" ref="CW92" ca="1" si="966">MATCH(1,OFFSET(CV83:CV94,CX91,0,COUNT(CV83:CV94)-CX91),0)</f>
        <v>#REF!</v>
      </c>
      <c r="CX92" s="4" t="e">
        <f t="shared" ca="1" si="827"/>
        <v>#REF!</v>
      </c>
      <c r="CY92" s="692" t="str">
        <f ca="1">IFERROR(VLOOKUP(INDEX(CU83:CU94,CX92),ELM,2,FALSE),"----")</f>
        <v>----</v>
      </c>
      <c r="CZ92" s="691" t="e">
        <f t="shared" ca="1" si="828"/>
        <v>#N/A</v>
      </c>
      <c r="DA92" s="4" t="e">
        <f ca="1">IF(LEFT($J83,7)="Clad Wo",IF(AND(INDEX(SPPWS,CZ92,4)&gt;=$AB83,INDEX(SPPWS,CZ92,5)&gt;=$S83,INDEX(SPPWS,CZ92,6)&gt;=$R83),1,0),IF(AND(INDEX(SPM,CZ92,4)&gt;=$AB83,INDEX(SPM,CZ92,5)&gt;=$S83,INDEX(SPM,CZ92,6)&gt;=$R83),1,0))</f>
        <v>#N/A</v>
      </c>
      <c r="DB92" s="4" t="e">
        <f t="shared" ref="DB92" ca="1" si="967">MATCH(1,OFFSET(DA83:DA94,DC91,0,COUNT(DA83:DA94)-DC91),0)</f>
        <v>#REF!</v>
      </c>
      <c r="DC92" s="4" t="e">
        <f t="shared" ca="1" si="830"/>
        <v>#REF!</v>
      </c>
      <c r="DD92" s="693" t="str">
        <f ca="1">IF(LEFT($J83,7)="Clad Wo",IFERROR(VLOOKUP(INDEX(CZ83:CZ94,DC92),SPPWS,2,FALSE),"----"),IFERROR(VLOOKUP(INDEX(CZ83:CZ94,DC92),SPM,2,FALSE),"----"))</f>
        <v>----</v>
      </c>
      <c r="DE92" s="691" t="e">
        <f t="shared" ca="1" si="831"/>
        <v>#REF!</v>
      </c>
      <c r="DF92" s="4" t="e" cm="1">
        <f t="array" aca="1" ref="DF92" ca="1">IF(AND(INDEX(INDIRECT(BY83),DE92,4)&gt;=$AB89,INDEX(INDIRECT(BY83),DE92,5)&gt;=$S83,INDEX(INDIRECT(BY83),DE92,6)&gt;=$R83),1,0)</f>
        <v>#REF!</v>
      </c>
      <c r="DG92" s="4" t="e">
        <f t="shared" ref="DG92" ca="1" si="968">MATCH(1,OFFSET(DF83:DF94,DH91,0,COUNT(DF83:DF94)-DH91),0)</f>
        <v>#REF!</v>
      </c>
      <c r="DH92" s="4" t="e">
        <f t="shared" ca="1" si="833"/>
        <v>#REF!</v>
      </c>
      <c r="DI92" s="692" t="str" cm="1">
        <f t="array" aca="1" ref="DI92" ca="1">IFERROR(VLOOKUP(INDEX(DE83:DE94,DH92),INDIRECT(BY83),2,FALSE),"----")</f>
        <v>----</v>
      </c>
      <c r="DJ92" s="691" t="e">
        <f t="shared" ca="1" si="834"/>
        <v>#N/A</v>
      </c>
      <c r="DK92" s="4" t="e">
        <f ca="1">IF(AND(INDEX(SSM,DJ92,4)&gt;=$AB89,INDEX(SSM,DJ92,5)&gt;=$S83,INDEX(SSM,DJ92,6)&gt;=$R83),1,0)</f>
        <v>#N/A</v>
      </c>
      <c r="DL92" s="4" t="e">
        <f t="shared" ref="DL92" ca="1" si="969">MATCH(1,OFFSET(DK83:DK94,DM91,0,COUNT(DK83:DK94)-DM91),0)</f>
        <v>#REF!</v>
      </c>
      <c r="DM92" s="4" t="e">
        <f t="shared" ca="1" si="836"/>
        <v>#REF!</v>
      </c>
      <c r="DN92" s="692" t="str">
        <f ca="1">IFERROR(IF(AD90="Nested Steel Stud (wood infill)",VLOOKUP(INDEX(DJ83:DJ94,DM92),SSW,2,FALSE),VLOOKUP(INDEX(DJ83:DJ94,DM92),SSM,2,FALSE)),"----")</f>
        <v>----</v>
      </c>
      <c r="DO92" s="691" t="e">
        <f t="shared" ca="1" si="837"/>
        <v>#N/A</v>
      </c>
      <c r="DP92" s="4" t="e">
        <f ca="1">IF(AND(INDEX(WSM,DO92,4)&gt;=$AB89,INDEX(WSM,DO92,5)&gt;=$S83,INDEX(WSM,DO92,6)&gt;=$R83),1,0)</f>
        <v>#N/A</v>
      </c>
      <c r="DQ92" s="4" t="e">
        <f t="shared" ref="DQ92" ca="1" si="970">MATCH(1,OFFSET(DP83:DP94,DR91,0,COUNT(DP83:DP94)-DR91),0)</f>
        <v>#REF!</v>
      </c>
      <c r="DR92" s="4" t="e">
        <f t="shared" ca="1" si="839"/>
        <v>#REF!</v>
      </c>
      <c r="DS92" s="692" t="str">
        <f ca="1">IFERROR(VLOOKUP(INDEX(DO83:DO94,DR92),WSM,2,FALSE),"----")</f>
        <v>----</v>
      </c>
      <c r="DT92" s="691" t="e">
        <f t="shared" ca="1" si="840"/>
        <v>#N/A</v>
      </c>
      <c r="DU92" s="4" t="e">
        <f ca="1">IF(AND(INDEX(STM,DT92,4)&gt;=$AB89,INDEX(STM,DT92,5)&gt;=$S83,INDEX(STM,DT92,6)&gt;=$R83),1,0)</f>
        <v>#N/A</v>
      </c>
      <c r="DV92" s="4" t="e">
        <f t="shared" ref="DV92" ca="1" si="971">MATCH(1,OFFSET(DU83:DU94,DW91,0,COUNT(DU83:DU94)-DW91),0)</f>
        <v>#REF!</v>
      </c>
      <c r="DW92" s="4" t="e">
        <f t="shared" ca="1" si="842"/>
        <v>#REF!</v>
      </c>
      <c r="DX92" s="692" t="str">
        <f ca="1">IFERROR(VLOOKUP(INDEX(DT83:DT94,DW92),STM,2,FALSE),"----")</f>
        <v>----</v>
      </c>
      <c r="DY92" s="691" t="e">
        <f t="shared" ca="1" si="843"/>
        <v>#N/A</v>
      </c>
      <c r="DZ92" s="4" t="e">
        <f ca="1">IF(AND(INDEX(ELM,DY92,4)&gt;=$AB89,INDEX(ELM,DY92,5)&gt;=$S83,INDEX(ELM,DY92,6)&gt;=$R83),1,0)</f>
        <v>#N/A</v>
      </c>
      <c r="EA92" s="4" t="e">
        <f t="shared" ref="EA92" ca="1" si="972">MATCH(1,OFFSET(DZ83:DZ94,EB91,0,COUNT(DZ83:DZ94)-EB91),0)</f>
        <v>#REF!</v>
      </c>
      <c r="EB92" s="4" t="e">
        <f t="shared" ca="1" si="845"/>
        <v>#REF!</v>
      </c>
      <c r="EC92" s="692" t="str">
        <f ca="1">IFERROR(VLOOKUP(INDEX(DY83:DY94,EB92),ELM,2,FALSE),"----")</f>
        <v>----</v>
      </c>
      <c r="ED92" s="691" t="e">
        <f t="shared" ca="1" si="846"/>
        <v>#N/A</v>
      </c>
      <c r="EE92" s="4" t="e">
        <f ca="1">IF(LEFT($J83,7)="Clad Wo",IF(AND(INDEX(SPPWS,ED92,4)&gt;=$AB89,INDEX(SPPWS,ED92,5)&gt;=$S83,INDEX(SPPWS,ED92,6)&gt;=$R83),1,0),IF(AND(INDEX(SPM,ED92,4)&gt;=$AB89,INDEX(SPM,ED92,5)&gt;=$S83,INDEX(SPM,ED92,6)&gt;=$R83),1,0))</f>
        <v>#N/A</v>
      </c>
      <c r="EF92" s="4" t="e">
        <f t="shared" ref="EF92" ca="1" si="973">MATCH(1,OFFSET(EE83:EE94,EG91,0,COUNT(EE83:EE94)-EG91),0)</f>
        <v>#REF!</v>
      </c>
      <c r="EG92" s="4" t="e">
        <f t="shared" ca="1" si="848"/>
        <v>#REF!</v>
      </c>
      <c r="EH92" s="692" t="str">
        <f ca="1">IF(LEFT($J83,7)="Clad Wo",IFERROR(VLOOKUP(INDEX(ED83:ED94,EG92),SPPWS,2,FALSE),"----"),IFERROR(VLOOKUP(INDEX(ED83:ED94,EG92),SPM,2,FALSE),"----"))</f>
        <v>----</v>
      </c>
    </row>
    <row r="93" spans="1:138" ht="15" customHeight="1" x14ac:dyDescent="0.25">
      <c r="A93" s="1085"/>
      <c r="B93" s="925"/>
      <c r="C93" s="926"/>
      <c r="D93" s="927"/>
      <c r="E93" s="995"/>
      <c r="F93" s="996"/>
      <c r="G93" s="997"/>
      <c r="H93" s="1062"/>
      <c r="I93" s="990"/>
      <c r="J93" s="902"/>
      <c r="K93" s="903"/>
      <c r="L93" s="1002"/>
      <c r="M93" s="923"/>
      <c r="N93" s="1042"/>
      <c r="O93" s="1018"/>
      <c r="P93" s="987"/>
      <c r="Q93" s="1015"/>
      <c r="R93" s="1012"/>
      <c r="S93" s="1006"/>
      <c r="T93" s="1007"/>
      <c r="U93" s="878"/>
      <c r="V93" s="881"/>
      <c r="W93" s="884"/>
      <c r="X93" s="884"/>
      <c r="Y93" s="887"/>
      <c r="Z93" s="887"/>
      <c r="AA93" s="887"/>
      <c r="AB93" s="1081"/>
      <c r="AC93" s="1078"/>
      <c r="AD93" s="1070" t="str">
        <f t="shared" si="233"/>
        <v>Engineered Lumber</v>
      </c>
      <c r="AE93" s="1071"/>
      <c r="AF93" s="1052"/>
      <c r="AG93" s="1053"/>
      <c r="AH93" s="1053"/>
      <c r="AI93" s="1068"/>
      <c r="AJ93" s="1069"/>
      <c r="AK93" s="154" t="str">
        <f t="shared" ca="1" si="62"/>
        <v/>
      </c>
      <c r="AL93" s="1059"/>
      <c r="AM93" s="344" t="str">
        <f ca="1">IFERROR(Q83/12*ROUND(VLOOKUP(AF93,OFFSET(ELM,0,1),6,FALSE),2),"")</f>
        <v/>
      </c>
      <c r="AN93" t="str">
        <f t="shared" ca="1" si="5"/>
        <v/>
      </c>
      <c r="AP93" s="122" t="str">
        <f t="shared" ref="AP93" si="974">_xlfn.CONCAT(AR93,AS94)</f>
        <v/>
      </c>
      <c r="AQ93" s="683" t="str">
        <f t="shared" si="65"/>
        <v/>
      </c>
      <c r="AR93" s="4" t="str">
        <f t="shared" si="3"/>
        <v/>
      </c>
      <c r="AS93" s="4"/>
      <c r="AT93" s="697" t="str">
        <f>AL89</f>
        <v/>
      </c>
      <c r="AU93" s="694" t="e">
        <f t="shared" ca="1" si="91"/>
        <v>#REF!</v>
      </c>
      <c r="AV93" s="698" t="str">
        <f ca="1">IFERROR(VLOOKUP(AU93,INDIRECT(AQ83),2,FALSE),"----")</f>
        <v>----</v>
      </c>
      <c r="AW93" s="694" t="e">
        <f t="shared" ca="1" si="92"/>
        <v>#REF!</v>
      </c>
      <c r="AX93" s="698" t="str">
        <f ca="1">IFERROR(VLOOKUP(AW93,INDIRECT(AQ84),2,FALSE),"----")</f>
        <v>----</v>
      </c>
      <c r="AY93" s="694" t="e">
        <f t="shared" ca="1" si="486"/>
        <v>#REF!</v>
      </c>
      <c r="AZ93" s="698" t="str">
        <f ca="1">IFERROR(VLOOKUP(AY93,INDIRECT(AQ85),2,FALSE),"----")</f>
        <v>----</v>
      </c>
      <c r="BA93" s="694" t="e">
        <f t="shared" ca="1" si="487"/>
        <v>#REF!</v>
      </c>
      <c r="BB93" s="698" t="str">
        <f ca="1">IFERROR(VLOOKUP(BA93,INDIRECT(AQ86),2,FALSE),"----")</f>
        <v>----</v>
      </c>
      <c r="BC93" s="694" t="e">
        <f t="shared" ca="1" si="95"/>
        <v>#REF!</v>
      </c>
      <c r="BD93" s="698" t="str">
        <f ca="1">IFERROR(VLOOKUP(BC93,INDIRECT(AQ87),2,FALSE),"----")</f>
        <v>----</v>
      </c>
      <c r="BE93" s="694" t="e">
        <f t="shared" ca="1" si="96"/>
        <v>#REF!</v>
      </c>
      <c r="BF93" s="698" t="str">
        <f ca="1">IFERROR(VLOOKUP(BE93,INDIRECT(AQ88),2,FALSE),"----")</f>
        <v>----</v>
      </c>
      <c r="BG93" s="702" t="e">
        <f t="shared" ca="1" si="97"/>
        <v>#REF!</v>
      </c>
      <c r="BH93" s="686" t="str">
        <f ca="1">IFERROR(VLOOKUP(BG93,INDIRECT(AQ89),2,FALSE),"----")</f>
        <v>----</v>
      </c>
      <c r="BI93" s="702" t="e">
        <f t="shared" ca="1" si="98"/>
        <v>#REF!</v>
      </c>
      <c r="BJ93" s="686" t="str">
        <f ca="1">IFERROR(VLOOKUP(BI93,INDIRECT(AQ90),2,FALSE),"----")</f>
        <v>----</v>
      </c>
      <c r="BK93" s="702" t="e">
        <f t="shared" ca="1" si="99"/>
        <v>#REF!</v>
      </c>
      <c r="BL93" s="686" t="str">
        <f ca="1">IFERROR(VLOOKUP(BK93,INDIRECT(AQ91),2,FALSE),"----")</f>
        <v>----</v>
      </c>
      <c r="BM93" s="702" t="e">
        <f t="shared" ca="1" si="100"/>
        <v>#REF!</v>
      </c>
      <c r="BN93" s="686" t="str">
        <f ca="1">IFERROR(VLOOKUP(BM93,INDIRECT(AQ92),2,FALSE),"----")</f>
        <v>----</v>
      </c>
      <c r="BO93" s="702" t="e">
        <f t="shared" ca="1" si="101"/>
        <v>#REF!</v>
      </c>
      <c r="BP93" s="686" t="str">
        <f ca="1">IFERROR(VLOOKUP(BO93,INDIRECT(AQ93),2,FALSE),"----")</f>
        <v>----</v>
      </c>
      <c r="BQ93" s="702" t="e">
        <f t="shared" ca="1" si="102"/>
        <v>#REF!</v>
      </c>
      <c r="BR93" s="686" t="str">
        <f ca="1">IFERROR(VLOOKUP(BQ93,INDIRECT(AQ94),2,FALSE),"----")</f>
        <v>----</v>
      </c>
      <c r="BS93" s="695">
        <f>IF(AI93="",1,IF(COUNTIF(BP83:BP94,AI93)=0,2,1))</f>
        <v>1</v>
      </c>
      <c r="BT93" s="696">
        <f>IF(AF93="",1,IF(BP83=".",2,1))</f>
        <v>1</v>
      </c>
      <c r="BU93" s="706"/>
      <c r="BV93" s="155">
        <f ca="1">IF(COUNTIF(EC83:EC94,AF93)=0,IF(AF93&lt;&gt;"",0,1),1)</f>
        <v>1</v>
      </c>
      <c r="BW93" s="157">
        <f ca="1">IFERROR(MATCH(AF93,EC83:EC94,0),1)</f>
        <v>1</v>
      </c>
      <c r="BX93" s="769"/>
      <c r="BY93" s="769"/>
      <c r="BZ93" s="1110"/>
      <c r="CA93" s="691" t="e">
        <f t="shared" ca="1" si="813"/>
        <v>#REF!</v>
      </c>
      <c r="CB93" s="4" t="e" cm="1">
        <f t="array" aca="1" ref="CB93" ca="1">IF(AND(INDEX(INDIRECT(BY83),CA93,4)&gt;=$AB83,INDEX(INDIRECT(BY83),CA93,5)&gt;=$S83,INDEX(INDIRECT(BY83),CA93,6)&gt;=$R83),1,0)</f>
        <v>#REF!</v>
      </c>
      <c r="CC93" s="4" t="e">
        <f t="shared" ref="CC93" ca="1" si="975">MATCH(1,OFFSET(CB83:CB94,CD92,0,COUNT(CB83:CB94)-CD92),0)</f>
        <v>#REF!</v>
      </c>
      <c r="CD93" s="4" t="e">
        <f t="shared" ca="1" si="815"/>
        <v>#REF!</v>
      </c>
      <c r="CE93" s="692" t="str" cm="1">
        <f t="array" aca="1" ref="CE93" ca="1">IFERROR(VLOOKUP(INDEX(CA83:CA94,CD93),INDIRECT(BY83),2,FALSE),"----")</f>
        <v>----</v>
      </c>
      <c r="CF93" s="691" t="e">
        <f t="shared" ca="1" si="816"/>
        <v>#N/A</v>
      </c>
      <c r="CG93" s="4" t="e">
        <f ca="1">IF(AND(INDEX(SSM,CF93,4)&gt;=$AB83,INDEX(SSM,CF93,5)&gt;=$S83,INDEX(SSM,CF93,6)&gt;=$R83),1,0)</f>
        <v>#N/A</v>
      </c>
      <c r="CH93" s="4" t="e">
        <f t="shared" ref="CH93" ca="1" si="976">MATCH(1,OFFSET(CG83:CG94,CI92,0,COUNT(CG83:CG94)-CI92),0)</f>
        <v>#REF!</v>
      </c>
      <c r="CI93" s="4" t="e">
        <f t="shared" ca="1" si="818"/>
        <v>#REF!</v>
      </c>
      <c r="CJ93" s="692" t="str">
        <f ca="1">IFERROR(IF(AD84="Nested Steel Stud (wood infill)",VLOOKUP(INDEX(CF83:CF94,CI93),SSW,2,FALSE),VLOOKUP(INDEX(CF83:CF94,CI93),SSM,2,FALSE)),"----")</f>
        <v>----</v>
      </c>
      <c r="CK93" s="691" t="e">
        <f t="shared" ca="1" si="819"/>
        <v>#N/A</v>
      </c>
      <c r="CL93" s="4" t="e">
        <f ca="1">IF(AND(INDEX(WSM,CK93,4)&gt;=$AB83,INDEX(WSM,CK93,5)&gt;=$S83,INDEX(WSM,CK93,6)&gt;=$R83),1,0)</f>
        <v>#N/A</v>
      </c>
      <c r="CM93" s="4" t="e">
        <f t="shared" ref="CM93" ca="1" si="977">MATCH(1,OFFSET(CL83:CL94,CN92,0,COUNT(CL83:CL94)-CN92),0)</f>
        <v>#REF!</v>
      </c>
      <c r="CN93" s="4" t="e">
        <f t="shared" ca="1" si="821"/>
        <v>#REF!</v>
      </c>
      <c r="CO93" s="692" t="str">
        <f ca="1">IFERROR(VLOOKUP(INDEX(CK83:CK94,CN93),WSM,2,FALSE),"----")</f>
        <v>----</v>
      </c>
      <c r="CP93" s="691" t="e">
        <f t="shared" ca="1" si="822"/>
        <v>#N/A</v>
      </c>
      <c r="CQ93" s="4" t="e">
        <f ca="1">IF(AND(INDEX(STM,CP93,4)&gt;=$AB83,INDEX(STM,CP93,5)&gt;=$S83,INDEX(STM,CP93,6)&gt;=$R83),1,0)</f>
        <v>#N/A</v>
      </c>
      <c r="CR93" s="4" t="e">
        <f t="shared" ref="CR93" ca="1" si="978">MATCH(1,OFFSET(CQ83:CQ94,CS92,0,COUNT(CQ83:CQ94)-CS92),0)</f>
        <v>#REF!</v>
      </c>
      <c r="CS93" s="4" t="e">
        <f t="shared" ca="1" si="824"/>
        <v>#REF!</v>
      </c>
      <c r="CT93" s="692" t="str">
        <f ca="1">IFERROR(VLOOKUP(INDEX(CP83:CP94,CS93),STM,2,FALSE),"----")</f>
        <v>----</v>
      </c>
      <c r="CU93" s="691" t="e">
        <f t="shared" ca="1" si="825"/>
        <v>#N/A</v>
      </c>
      <c r="CV93" s="4" t="e">
        <f ca="1">IF(AND(INDEX(ELM,CU93,4)&gt;=$AB83,INDEX(ELM,CU93,5)&gt;=$S83,INDEX(ELM,CU93,6)&gt;=$R83),1,0)</f>
        <v>#N/A</v>
      </c>
      <c r="CW93" s="4" t="e">
        <f t="shared" ref="CW93" ca="1" si="979">MATCH(1,OFFSET(CV83:CV94,CX92,0,COUNT(CV83:CV94)-CX92),0)</f>
        <v>#REF!</v>
      </c>
      <c r="CX93" s="4" t="e">
        <f t="shared" ca="1" si="827"/>
        <v>#REF!</v>
      </c>
      <c r="CY93" s="692" t="str">
        <f ca="1">IFERROR(VLOOKUP(INDEX(CU83:CU94,CX93),ELM,2,FALSE),"----")</f>
        <v>----</v>
      </c>
      <c r="CZ93" s="691" t="e">
        <f t="shared" ca="1" si="828"/>
        <v>#N/A</v>
      </c>
      <c r="DA93" s="4" t="e">
        <f ca="1">IF(LEFT($J83,7)="Clad Wo",IF(AND(INDEX(SPPWS,CZ93,4)&gt;=$AB83,INDEX(SPPWS,CZ93,5)&gt;=$S83,INDEX(SPPWS,CZ93,6)&gt;=$R83),1,0),IF(AND(INDEX(SPM,CZ93,4)&gt;=$AB83,INDEX(SPM,CZ93,5)&gt;=$S83,INDEX(SPM,CZ93,6)&gt;=$R83),1,0))</f>
        <v>#N/A</v>
      </c>
      <c r="DB93" s="4" t="e">
        <f t="shared" ref="DB93" ca="1" si="980">MATCH(1,OFFSET(DA83:DA94,DC92,0,COUNT(DA83:DA94)-DC92),0)</f>
        <v>#REF!</v>
      </c>
      <c r="DC93" s="4" t="e">
        <f t="shared" ca="1" si="830"/>
        <v>#REF!</v>
      </c>
      <c r="DD93" s="693" t="str">
        <f ca="1">IF(LEFT($J83,7)="Clad Wo",IFERROR(VLOOKUP(INDEX(CZ83:CZ94,DC93),SPPWS,2,FALSE),"----"),IFERROR(VLOOKUP(INDEX(CZ83:CZ94,DC93),SPM,2,FALSE),"----"))</f>
        <v>----</v>
      </c>
      <c r="DE93" s="691" t="e">
        <f t="shared" ca="1" si="831"/>
        <v>#REF!</v>
      </c>
      <c r="DF93" s="4" t="e" cm="1">
        <f t="array" aca="1" ref="DF93" ca="1">IF(AND(INDEX(INDIRECT(BY83),DE93,4)&gt;=$AB89,INDEX(INDIRECT(BY83),DE93,5)&gt;=$S83,INDEX(INDIRECT(BY83),DE93,6)&gt;=$R83),1,0)</f>
        <v>#REF!</v>
      </c>
      <c r="DG93" s="4" t="e">
        <f t="shared" ref="DG93" ca="1" si="981">MATCH(1,OFFSET(DF83:DF94,DH92,0,COUNT(DF83:DF94)-DH92),0)</f>
        <v>#REF!</v>
      </c>
      <c r="DH93" s="4" t="e">
        <f t="shared" ca="1" si="833"/>
        <v>#REF!</v>
      </c>
      <c r="DI93" s="692" t="str" cm="1">
        <f t="array" aca="1" ref="DI93" ca="1">IFERROR(VLOOKUP(INDEX(DE83:DE94,DH93),INDIRECT(BY83),2,FALSE),"----")</f>
        <v>----</v>
      </c>
      <c r="DJ93" s="691" t="e">
        <f t="shared" ca="1" si="834"/>
        <v>#N/A</v>
      </c>
      <c r="DK93" s="4" t="e">
        <f ca="1">IF(AND(INDEX(SSM,DJ93,4)&gt;=$AB89,INDEX(SSM,DJ93,5)&gt;=$S83,INDEX(SSM,DJ93,6)&gt;=$R83),1,0)</f>
        <v>#N/A</v>
      </c>
      <c r="DL93" s="4" t="e">
        <f t="shared" ref="DL93" ca="1" si="982">MATCH(1,OFFSET(DK83:DK94,DM92,0,COUNT(DK83:DK94)-DM92),0)</f>
        <v>#REF!</v>
      </c>
      <c r="DM93" s="4" t="e">
        <f t="shared" ca="1" si="836"/>
        <v>#REF!</v>
      </c>
      <c r="DN93" s="692" t="str">
        <f ca="1">IFERROR(IF(AD90="Nested Steel Stud (wood infill)",VLOOKUP(INDEX(DJ83:DJ94,DM93),SSW,2,FALSE),VLOOKUP(INDEX(DJ83:DJ94,DM93),SSM,2,FALSE)),"----")</f>
        <v>----</v>
      </c>
      <c r="DO93" s="691" t="e">
        <f t="shared" ca="1" si="837"/>
        <v>#N/A</v>
      </c>
      <c r="DP93" s="4" t="e">
        <f ca="1">IF(AND(INDEX(WSM,DO93,4)&gt;=$AB89,INDEX(WSM,DO93,5)&gt;=$S83,INDEX(WSM,DO93,6)&gt;=$R83),1,0)</f>
        <v>#N/A</v>
      </c>
      <c r="DQ93" s="4" t="e">
        <f t="shared" ref="DQ93" ca="1" si="983">MATCH(1,OFFSET(DP83:DP94,DR92,0,COUNT(DP83:DP94)-DR92),0)</f>
        <v>#REF!</v>
      </c>
      <c r="DR93" s="4" t="e">
        <f t="shared" ca="1" si="839"/>
        <v>#REF!</v>
      </c>
      <c r="DS93" s="692" t="str">
        <f ca="1">IFERROR(VLOOKUP(INDEX(DO83:DO94,DR93),WSM,2,FALSE),"----")</f>
        <v>----</v>
      </c>
      <c r="DT93" s="691" t="e">
        <f t="shared" ca="1" si="840"/>
        <v>#N/A</v>
      </c>
      <c r="DU93" s="4" t="e">
        <f ca="1">IF(AND(INDEX(STM,DT93,4)&gt;=$AB89,INDEX(STM,DT93,5)&gt;=$S83,INDEX(STM,DT93,6)&gt;=$R83),1,0)</f>
        <v>#N/A</v>
      </c>
      <c r="DV93" s="4" t="e">
        <f t="shared" ref="DV93" ca="1" si="984">MATCH(1,OFFSET(DU83:DU94,DW92,0,COUNT(DU83:DU94)-DW92),0)</f>
        <v>#REF!</v>
      </c>
      <c r="DW93" s="4" t="e">
        <f t="shared" ca="1" si="842"/>
        <v>#REF!</v>
      </c>
      <c r="DX93" s="692" t="str">
        <f ca="1">IFERROR(VLOOKUP(INDEX(DT83:DT94,DW93),STM,2,FALSE),"----")</f>
        <v>----</v>
      </c>
      <c r="DY93" s="691" t="e">
        <f t="shared" ca="1" si="843"/>
        <v>#N/A</v>
      </c>
      <c r="DZ93" s="4" t="e">
        <f ca="1">IF(AND(INDEX(ELM,DY93,4)&gt;=$AB89,INDEX(ELM,DY93,5)&gt;=$S83,INDEX(ELM,DY93,6)&gt;=$R83),1,0)</f>
        <v>#N/A</v>
      </c>
      <c r="EA93" s="4" t="e">
        <f t="shared" ref="EA93" ca="1" si="985">MATCH(1,OFFSET(DZ83:DZ94,EB92,0,COUNT(DZ83:DZ94)-EB92),0)</f>
        <v>#REF!</v>
      </c>
      <c r="EB93" s="4" t="e">
        <f t="shared" ca="1" si="845"/>
        <v>#REF!</v>
      </c>
      <c r="EC93" s="692" t="str">
        <f ca="1">IFERROR(VLOOKUP(INDEX(DY83:DY94,EB93),ELM,2,FALSE),"----")</f>
        <v>----</v>
      </c>
      <c r="ED93" s="691" t="e">
        <f t="shared" ca="1" si="846"/>
        <v>#N/A</v>
      </c>
      <c r="EE93" s="4" t="e">
        <f ca="1">IF(LEFT($J83,7)="Clad Wo",IF(AND(INDEX(SPPWS,ED93,4)&gt;=$AB89,INDEX(SPPWS,ED93,5)&gt;=$S83,INDEX(SPPWS,ED93,6)&gt;=$R83),1,0),IF(AND(INDEX(SPM,ED93,4)&gt;=$AB89,INDEX(SPM,ED93,5)&gt;=$S83,INDEX(SPM,ED93,6)&gt;=$R83),1,0))</f>
        <v>#N/A</v>
      </c>
      <c r="EF93" s="4" t="e">
        <f t="shared" ref="EF93" ca="1" si="986">MATCH(1,OFFSET(EE83:EE94,EG92,0,COUNT(EE83:EE94)-EG92),0)</f>
        <v>#REF!</v>
      </c>
      <c r="EG93" s="4" t="e">
        <f t="shared" ca="1" si="848"/>
        <v>#REF!</v>
      </c>
      <c r="EH93" s="692" t="str">
        <f ca="1">IF(LEFT($J83,7)="Clad Wo",IFERROR(VLOOKUP(INDEX(ED83:ED94,EG93),SPPWS,2,FALSE),"----"),IFERROR(VLOOKUP(INDEX(ED83:ED94,EG93),SPM,2,FALSE),"----"))</f>
        <v>----</v>
      </c>
    </row>
    <row r="94" spans="1:138" ht="15" customHeight="1" thickBot="1" x14ac:dyDescent="0.3">
      <c r="A94" s="1085"/>
      <c r="B94" s="928"/>
      <c r="C94" s="929"/>
      <c r="D94" s="930"/>
      <c r="E94" s="998"/>
      <c r="F94" s="999"/>
      <c r="G94" s="1000"/>
      <c r="H94" s="1063"/>
      <c r="I94" s="991"/>
      <c r="J94" s="904"/>
      <c r="K94" s="905"/>
      <c r="L94" s="1003"/>
      <c r="M94" s="1065"/>
      <c r="N94" s="1043"/>
      <c r="O94" s="1019"/>
      <c r="P94" s="988"/>
      <c r="Q94" s="1016"/>
      <c r="R94" s="1013"/>
      <c r="S94" s="1008"/>
      <c r="T94" s="1009"/>
      <c r="U94" s="879"/>
      <c r="V94" s="882"/>
      <c r="W94" s="885"/>
      <c r="X94" s="885"/>
      <c r="Y94" s="888"/>
      <c r="Z94" s="888"/>
      <c r="AA94" s="888"/>
      <c r="AB94" s="1082"/>
      <c r="AC94" s="1087"/>
      <c r="AD94" s="1098" t="str">
        <f t="shared" ref="AD94" si="987">IF(LEFT(J83,7)="Clad Wo","Pella Wood Spr / Steel Pte","Steel Plate")</f>
        <v>Steel Plate</v>
      </c>
      <c r="AE94" s="1099"/>
      <c r="AF94" s="1096"/>
      <c r="AG94" s="1097"/>
      <c r="AH94" s="1097"/>
      <c r="AI94" s="1094"/>
      <c r="AJ94" s="1095"/>
      <c r="AK94" s="163" t="str">
        <f t="shared" ca="1" si="62"/>
        <v/>
      </c>
      <c r="AL94" s="1060"/>
      <c r="AM94" s="345" t="str">
        <f ca="1">IFERROR(Q83/12*ROUND(VLOOKUP(AF94,OFFSET(SPM,0,1),6,FALSE),2),"")</f>
        <v/>
      </c>
      <c r="AN94" t="str">
        <f t="shared" ca="1" si="5"/>
        <v/>
      </c>
      <c r="AP94" s="699" t="str">
        <f t="shared" ref="AP94" si="988">_xlfn.CONCAT(AR94,AS94)</f>
        <v/>
      </c>
      <c r="AQ94" s="700" t="str">
        <f t="shared" si="65"/>
        <v/>
      </c>
      <c r="AR94" s="160" t="str">
        <f t="shared" si="3"/>
        <v/>
      </c>
      <c r="AS94" s="160" t="str">
        <f>IFERROR(VLOOKUP(J91, WallType,2,FALSE),"")</f>
        <v/>
      </c>
      <c r="AT94" s="707" t="str">
        <f>AL89</f>
        <v/>
      </c>
      <c r="AU94" s="708" t="e">
        <f t="shared" ca="1" si="91"/>
        <v>#REF!</v>
      </c>
      <c r="AV94" s="709" t="str">
        <f ca="1">IFERROR(VLOOKUP(AU94,INDIRECT(AQ83),2,FALSE),"----")</f>
        <v>----</v>
      </c>
      <c r="AW94" s="710" t="e">
        <f t="shared" ca="1" si="92"/>
        <v>#REF!</v>
      </c>
      <c r="AX94" s="709" t="str">
        <f ca="1">IFERROR(VLOOKUP(AW94,INDIRECT(AQ84),2,FALSE),"----")</f>
        <v>----</v>
      </c>
      <c r="AY94" s="710" t="e">
        <f t="shared" ca="1" si="486"/>
        <v>#REF!</v>
      </c>
      <c r="AZ94" s="709" t="str">
        <f ca="1">IFERROR(VLOOKUP(AY94,INDIRECT(AQ85),2,FALSE),"----")</f>
        <v>----</v>
      </c>
      <c r="BA94" s="710" t="e">
        <f t="shared" ca="1" si="487"/>
        <v>#REF!</v>
      </c>
      <c r="BB94" s="709" t="str">
        <f ca="1">IFERROR(VLOOKUP(BA94,INDIRECT(AQ86),2,FALSE),"----")</f>
        <v>----</v>
      </c>
      <c r="BC94" s="710" t="e">
        <f t="shared" ca="1" si="95"/>
        <v>#REF!</v>
      </c>
      <c r="BD94" s="709" t="str">
        <f ca="1">IFERROR(VLOOKUP(BC94,INDIRECT(AQ87),2,FALSE),"----")</f>
        <v>----</v>
      </c>
      <c r="BE94" s="710" t="e">
        <f t="shared" ca="1" si="96"/>
        <v>#REF!</v>
      </c>
      <c r="BF94" s="709" t="str">
        <f ca="1">IFERROR(VLOOKUP(BE94,INDIRECT(AQ88),2,FALSE),"----")</f>
        <v>----</v>
      </c>
      <c r="BG94" s="710" t="e">
        <f t="shared" ca="1" si="97"/>
        <v>#REF!</v>
      </c>
      <c r="BH94" s="711" t="str">
        <f ca="1">IFERROR(VLOOKUP(BG94,INDIRECT(AQ89),2,FALSE),"----")</f>
        <v>----</v>
      </c>
      <c r="BI94" s="710" t="e">
        <f t="shared" ca="1" si="98"/>
        <v>#REF!</v>
      </c>
      <c r="BJ94" s="711" t="str">
        <f ca="1">IFERROR(VLOOKUP(BI94,INDIRECT(AQ90),2,FALSE),"----")</f>
        <v>----</v>
      </c>
      <c r="BK94" s="710" t="e">
        <f t="shared" ca="1" si="99"/>
        <v>#REF!</v>
      </c>
      <c r="BL94" s="711" t="str">
        <f ca="1">IFERROR(VLOOKUP(BK94,INDIRECT(AQ91),2,FALSE),"----")</f>
        <v>----</v>
      </c>
      <c r="BM94" s="710" t="e">
        <f t="shared" ca="1" si="100"/>
        <v>#REF!</v>
      </c>
      <c r="BN94" s="711" t="str">
        <f ca="1">IFERROR(VLOOKUP(BM94,INDIRECT(AQ92),2,FALSE),"----")</f>
        <v>----</v>
      </c>
      <c r="BO94" s="710" t="e">
        <f t="shared" ca="1" si="101"/>
        <v>#REF!</v>
      </c>
      <c r="BP94" s="711" t="str">
        <f ca="1">IFERROR(VLOOKUP(BO94,INDIRECT(AQ93),2,FALSE),"----")</f>
        <v>----</v>
      </c>
      <c r="BQ94" s="710" t="e">
        <f t="shared" ca="1" si="102"/>
        <v>#REF!</v>
      </c>
      <c r="BR94" s="712" t="str">
        <f ca="1">IFERROR(VLOOKUP(BQ94,INDIRECT(AQ94),2,FALSE),"----")</f>
        <v>----</v>
      </c>
      <c r="BS94" s="695">
        <f>IF(AI94="",1,IF(COUNTIF(BR83:BR94,AI94)=0,2,1))</f>
        <v>1</v>
      </c>
      <c r="BT94" s="713">
        <f>IF(AF94="",1,IF(BR83=".",2,1))</f>
        <v>1</v>
      </c>
      <c r="BV94" s="155">
        <f ca="1">IF(COUNTIF(EH83:EH94,AF94)=0,IF(AF94&lt;&gt;"",0,1),1)</f>
        <v>1</v>
      </c>
      <c r="BW94" s="157">
        <f ca="1">IFERROR(MATCH(AF94,EH83:EH94,0),1)</f>
        <v>1</v>
      </c>
      <c r="BX94" s="718"/>
      <c r="BY94" s="777"/>
      <c r="BZ94" s="1110"/>
      <c r="CA94" s="714" t="e">
        <f t="shared" ca="1" si="813"/>
        <v>#REF!</v>
      </c>
      <c r="CB94" s="715" t="e" cm="1">
        <f t="array" aca="1" ref="CB94" ca="1">IF(AND(INDEX(INDIRECT(BY83),CA94,4)&gt;=$AB83,INDEX(INDIRECT(BY83),CA94,5)&gt;=$S83,INDEX(INDIRECT(BY83),CA94,6)&gt;=$R83),1,0)</f>
        <v>#REF!</v>
      </c>
      <c r="CC94" s="715" t="e">
        <f t="shared" ref="CC94" ca="1" si="989">MATCH(1,OFFSET(CB83:CB94,CD93,0,COUNT(CB83:CB94)-CD93),0)</f>
        <v>#REF!</v>
      </c>
      <c r="CD94" s="715" t="e">
        <f t="shared" ca="1" si="815"/>
        <v>#REF!</v>
      </c>
      <c r="CE94" s="716" t="str" cm="1">
        <f t="array" aca="1" ref="CE94" ca="1">IFERROR(VLOOKUP(INDEX(CA83:CA94,CD94),INDIRECT(BY83),2,FALSE),"----")</f>
        <v>----</v>
      </c>
      <c r="CF94" s="714" t="e">
        <f t="shared" ca="1" si="816"/>
        <v>#N/A</v>
      </c>
      <c r="CG94" s="715" t="e">
        <f ca="1">IF(AND(INDEX(SSM,CF94,4)&gt;=$AB83,INDEX(SSM,CF94,5)&gt;=$S83,INDEX(SSM,CF94,6)&gt;=$R83),1,0)</f>
        <v>#N/A</v>
      </c>
      <c r="CH94" s="715" t="e">
        <f t="shared" ref="CH94" ca="1" si="990">MATCH(1,OFFSET(CG83:CG94,CI93,0,COUNT(CG83:CG94)-CI93),0)</f>
        <v>#REF!</v>
      </c>
      <c r="CI94" s="715" t="e">
        <f t="shared" ca="1" si="818"/>
        <v>#REF!</v>
      </c>
      <c r="CJ94" s="716" t="str">
        <f ca="1">IFERROR(IF(AD84="Nested Steel Stud (wood infill)",VLOOKUP(INDEX(CF83:CF94,CI94),SSW,2,FALSE),VLOOKUP(INDEX(CF83:CF94,CI94),SSM,2,FALSE)),"----")</f>
        <v>----</v>
      </c>
      <c r="CK94" s="714" t="e">
        <f t="shared" ca="1" si="819"/>
        <v>#N/A</v>
      </c>
      <c r="CL94" s="715" t="e">
        <f ca="1">IF(AND(INDEX(WSM,CK94,4)&gt;=$AB83,INDEX(WSM,CK94,5)&gt;=$S83,INDEX(WSM,CK94,6)&gt;=$R83),1,0)</f>
        <v>#N/A</v>
      </c>
      <c r="CM94" s="715" t="e">
        <f t="shared" ref="CM94" ca="1" si="991">MATCH(1,OFFSET(CL83:CL94,CN93,0,COUNT(CL83:CL94)-CN93),0)</f>
        <v>#REF!</v>
      </c>
      <c r="CN94" s="715" t="e">
        <f t="shared" ca="1" si="821"/>
        <v>#REF!</v>
      </c>
      <c r="CO94" s="716" t="str">
        <f ca="1">IFERROR(VLOOKUP(INDEX(CK83:CK94,CN94),WSM,2,FALSE),"----")</f>
        <v>----</v>
      </c>
      <c r="CP94" s="714" t="e">
        <f t="shared" ca="1" si="822"/>
        <v>#N/A</v>
      </c>
      <c r="CQ94" s="715" t="e">
        <f ca="1">IF(AND(INDEX(STM,CP94,4)&gt;=$AB83,INDEX(STM,CP94,5)&gt;=$S83,INDEX(STM,CP94,6)&gt;=$R83),1,0)</f>
        <v>#N/A</v>
      </c>
      <c r="CR94" s="715" t="e">
        <f t="shared" ref="CR94" ca="1" si="992">MATCH(1,OFFSET(CQ83:CQ94,CS93,0,COUNT(CQ83:CQ94)-CS93),0)</f>
        <v>#REF!</v>
      </c>
      <c r="CS94" s="715" t="e">
        <f t="shared" ca="1" si="824"/>
        <v>#REF!</v>
      </c>
      <c r="CT94" s="716" t="str">
        <f ca="1">IFERROR(VLOOKUP(INDEX(CP83:CP94,CS94),STM,2,FALSE),"----")</f>
        <v>----</v>
      </c>
      <c r="CU94" s="714" t="e">
        <f t="shared" ca="1" si="825"/>
        <v>#N/A</v>
      </c>
      <c r="CV94" s="715" t="e">
        <f ca="1">IF(AND(INDEX(ELM,CU94,4)&gt;=$AB83,INDEX(ELM,CU94,5)&gt;=$S83,INDEX(ELM,CU94,6)&gt;=$R83),1,0)</f>
        <v>#N/A</v>
      </c>
      <c r="CW94" s="715" t="e">
        <f t="shared" ref="CW94" ca="1" si="993">MATCH(1,OFFSET(CV83:CV94,CX93,0,COUNT(CV83:CV94)-CX93),0)</f>
        <v>#REF!</v>
      </c>
      <c r="CX94" s="715" t="e">
        <f t="shared" ca="1" si="827"/>
        <v>#REF!</v>
      </c>
      <c r="CY94" s="716" t="str">
        <f ca="1">IFERROR(VLOOKUP(INDEX(CU83:CU94,CX94),ELM,2,FALSE),"----")</f>
        <v>----</v>
      </c>
      <c r="CZ94" s="714" t="e">
        <f t="shared" ca="1" si="828"/>
        <v>#N/A</v>
      </c>
      <c r="DA94" s="715" t="e">
        <f ca="1">IF(LEFT($J83,7)="Clad Wo",IF(AND(INDEX(SPPWS,CZ94,4)&gt;=$AB83,INDEX(SPPWS,CZ94,5)&gt;=$S83,INDEX(SPPWS,CZ94,6)&gt;=$R83),1,0),IF(AND(INDEX(SPM,CZ94,4)&gt;=$AB83,INDEX(SPM,CZ94,5)&gt;=$S83,INDEX(SPM,CZ94,6)&gt;=$R83),1,0))</f>
        <v>#N/A</v>
      </c>
      <c r="DB94" s="715" t="e">
        <f t="shared" ref="DB94" ca="1" si="994">MATCH(1,OFFSET(DA83:DA94,DC93,0,COUNT(DA83:DA94)-DC93),0)</f>
        <v>#REF!</v>
      </c>
      <c r="DC94" s="715" t="e">
        <f t="shared" ca="1" si="830"/>
        <v>#REF!</v>
      </c>
      <c r="DD94" s="717" t="str">
        <f ca="1">IF(LEFT($J83,7)="Clad Wo",IFERROR(VLOOKUP(INDEX(CZ83:CZ94,DC94),SPPWS,2,FALSE),"----"),IFERROR(VLOOKUP(INDEX(CZ83:CZ94,DC94),SPM,2,FALSE),"----"))</f>
        <v>----</v>
      </c>
      <c r="DE94" s="714" t="e">
        <f t="shared" ca="1" si="831"/>
        <v>#REF!</v>
      </c>
      <c r="DF94" s="715" t="e" cm="1">
        <f t="array" aca="1" ref="DF94" ca="1">IF(AND(INDEX(INDIRECT(BY83),DE94,4)&gt;=$AB89,INDEX(INDIRECT(BY83),DE94,5)&gt;=$S83,INDEX(INDIRECT(BY83),DE94,6)&gt;=$R83),1,0)</f>
        <v>#REF!</v>
      </c>
      <c r="DG94" s="715" t="e">
        <f t="shared" ref="DG94" ca="1" si="995">MATCH(1,OFFSET(DF83:DF94,DH93,0,COUNT(DF83:DF94)-DH93),0)</f>
        <v>#REF!</v>
      </c>
      <c r="DH94" s="715" t="e">
        <f t="shared" ca="1" si="833"/>
        <v>#REF!</v>
      </c>
      <c r="DI94" s="716" t="str" cm="1">
        <f t="array" aca="1" ref="DI94" ca="1">IFERROR(VLOOKUP(INDEX(DE83:DE94,DH94),INDIRECT(BY83),2,FALSE),"----")</f>
        <v>----</v>
      </c>
      <c r="DJ94" s="714" t="e">
        <f t="shared" ca="1" si="834"/>
        <v>#N/A</v>
      </c>
      <c r="DK94" s="715" t="e">
        <f ca="1">IF(AND(INDEX(SSM,DJ94,4)&gt;=$AB89,INDEX(SSM,DJ94,5)&gt;=$S83,INDEX(SSM,DJ94,6)&gt;=$R83),1,0)</f>
        <v>#N/A</v>
      </c>
      <c r="DL94" s="715" t="e">
        <f t="shared" ref="DL94" ca="1" si="996">MATCH(1,OFFSET(DK83:DK94,DM93,0,COUNT(DK83:DK94)-DM93),0)</f>
        <v>#REF!</v>
      </c>
      <c r="DM94" s="715" t="e">
        <f t="shared" ca="1" si="836"/>
        <v>#REF!</v>
      </c>
      <c r="DN94" s="716" t="str">
        <f ca="1">IFERROR(IF(AD90="Nested Steel Stud (wood infill)",VLOOKUP(INDEX(DJ83:DJ94,DM94),SSW,2,FALSE),VLOOKUP(INDEX(DJ83:DJ94,DM94),SSM,2,FALSE)),"----")</f>
        <v>----</v>
      </c>
      <c r="DO94" s="714" t="e">
        <f t="shared" ca="1" si="837"/>
        <v>#N/A</v>
      </c>
      <c r="DP94" s="715" t="e">
        <f ca="1">IF(AND(INDEX(WSM,DO94,4)&gt;=$AB89,INDEX(WSM,DO94,5)&gt;=$S83,INDEX(WSM,DO94,6)&gt;=$R83),1,0)</f>
        <v>#N/A</v>
      </c>
      <c r="DQ94" s="715" t="e">
        <f t="shared" ref="DQ94" ca="1" si="997">MATCH(1,OFFSET(DP83:DP94,DR93,0,COUNT(DP83:DP94)-DR93),0)</f>
        <v>#REF!</v>
      </c>
      <c r="DR94" s="715" t="e">
        <f t="shared" ca="1" si="839"/>
        <v>#REF!</v>
      </c>
      <c r="DS94" s="716" t="str">
        <f ca="1">IFERROR(VLOOKUP(INDEX(DO83:DO94,DR94),WSM,2,FALSE),"----")</f>
        <v>----</v>
      </c>
      <c r="DT94" s="714" t="e">
        <f t="shared" ca="1" si="840"/>
        <v>#N/A</v>
      </c>
      <c r="DU94" s="715" t="e">
        <f ca="1">IF(AND(INDEX(STM,DT94,4)&gt;=$AB89,INDEX(STM,DT94,5)&gt;=$S83,INDEX(STM,DT94,6)&gt;=$R83),1,0)</f>
        <v>#N/A</v>
      </c>
      <c r="DV94" s="715" t="e">
        <f t="shared" ref="DV94" ca="1" si="998">MATCH(1,OFFSET(DU83:DU94,DW93,0,COUNT(DU83:DU94)-DW93),0)</f>
        <v>#REF!</v>
      </c>
      <c r="DW94" s="715" t="e">
        <f t="shared" ca="1" si="842"/>
        <v>#REF!</v>
      </c>
      <c r="DX94" s="716" t="str">
        <f ca="1">IFERROR(VLOOKUP(INDEX(DT83:DT94,DW94),STM,2,FALSE),"----")</f>
        <v>----</v>
      </c>
      <c r="DY94" s="714" t="e">
        <f t="shared" ca="1" si="843"/>
        <v>#N/A</v>
      </c>
      <c r="DZ94" s="715" t="e">
        <f ca="1">IF(AND(INDEX(ELM,DY94,4)&gt;=$AB89,INDEX(ELM,DY94,5)&gt;=$S83,INDEX(ELM,DY94,6)&gt;=$R83),1,0)</f>
        <v>#N/A</v>
      </c>
      <c r="EA94" s="715" t="e">
        <f t="shared" ref="EA94" ca="1" si="999">MATCH(1,OFFSET(DZ83:DZ94,EB93,0,COUNT(DZ83:DZ94)-EB93),0)</f>
        <v>#REF!</v>
      </c>
      <c r="EB94" s="715" t="e">
        <f t="shared" ca="1" si="845"/>
        <v>#REF!</v>
      </c>
      <c r="EC94" s="716" t="str">
        <f ca="1">IFERROR(VLOOKUP(INDEX(DY83:DY94,EB94),ELM,2,FALSE),"----")</f>
        <v>----</v>
      </c>
      <c r="ED94" s="714" t="e">
        <f t="shared" ca="1" si="846"/>
        <v>#N/A</v>
      </c>
      <c r="EE94" s="715" t="e">
        <f ca="1">IF(LEFT($J83,7)="Clad Wo",IF(AND(INDEX(SPPWS,ED94,4)&gt;=$AB89,INDEX(SPPWS,ED94,5)&gt;=$S83,INDEX(SPPWS,ED94,6)&gt;=$R83),1,0),IF(AND(INDEX(SPM,ED94,4)&gt;=$AB89,INDEX(SPM,ED94,5)&gt;=$S83,INDEX(SPM,ED94,6)&gt;=$R83),1,0))</f>
        <v>#N/A</v>
      </c>
      <c r="EF94" s="715" t="e">
        <f t="shared" ref="EF94" ca="1" si="1000">MATCH(1,OFFSET(EE83:EE94,EG93,0,COUNT(EE83:EE94)-EG93),0)</f>
        <v>#REF!</v>
      </c>
      <c r="EG94" s="715" t="e">
        <f t="shared" ca="1" si="848"/>
        <v>#REF!</v>
      </c>
      <c r="EH94" s="716" t="str">
        <f ca="1">IF(LEFT($J83,7)="Clad Wo",IFERROR(VLOOKUP(INDEX(ED83:ED94,EG94),SPPWS,2,FALSE),"----"),IFERROR(VLOOKUP(INDEX(ED83:ED94,EG94),SPM,2,FALSE),"----"))</f>
        <v>----</v>
      </c>
    </row>
    <row r="95" spans="1:138" ht="15" customHeight="1" thickTop="1" x14ac:dyDescent="0.25">
      <c r="A95" s="1085"/>
      <c r="B95" s="931" t="s">
        <v>92</v>
      </c>
      <c r="C95" s="932"/>
      <c r="D95" s="933"/>
      <c r="E95" s="992"/>
      <c r="F95" s="993"/>
      <c r="G95" s="994"/>
      <c r="H95" s="1061"/>
      <c r="I95" s="1076"/>
      <c r="J95" s="906"/>
      <c r="K95" s="907"/>
      <c r="L95" s="1001">
        <f>$W$3</f>
        <v>4</v>
      </c>
      <c r="M95" s="923" t="str">
        <f t="shared" ref="M95" si="1001">IFERROR(IF($AE$13="",IF($AG$19="Wind Loading",MIN($V$31,IF(E$11="ASCE 7-05",$U$26,$V$7)*$V$9*(IF($E$12&lt;60,0.0771*LN(MAX(MIN(500,O95),10)) -1.2737,IF($E$11="ASCE 7-22",0.0524*LN(MAX(MIN(500,O95),50))-1.0278,0.0614*LN(MAX(MIN(500,O95),20)) -1.0829))-$V$8)),$V$7*IF(E$12&lt;60,$V$13*($V$15*0.0771*LN(MAX(MIN(500,O95),10))-1.2737-$V$16),$V$13*$V$15*((0.0524*LN(MAX(MIN(500,O95),20))-1.0278)-$V$16))),-ABS($AE$13)),"")</f>
        <v/>
      </c>
      <c r="N95" s="1042" t="str">
        <f t="shared" ref="N95" si="1002">IFERROR(IF($AE$15="",IF($AG$19="Wind Loading",MAX($U$31,IF(E$11="ASCE 7-05",$U$26,$V$7)*$V$9*((IF($E$12&lt;60,-0.077*LN(MAX(MIN(500,O95),10))+1.1737,IF($E$11="ASCE 7-22",-0.077*LN(MAX(MIN(500,O95),20))+1.0798,-0.093*LN(MAX(MIN(500,O95),20))+1.1776)))+$V$8)),$V$7*IF(E$12&lt;60,$V$13*($V$15*(-0.077*LN(MAX(MIN(500,O95),10))+1.1737)-$V$17),$V$13*$V$15*((-0.077*LN(MAX(MIN(500,O95),20))+1.0798)-$V$17))),ABS($AE$15)),"")</f>
        <v/>
      </c>
      <c r="O95" s="1017" t="str">
        <f>IF(BX102=0,"",IF(AG$14="Trapezoidal",BY102,BX102))</f>
        <v/>
      </c>
      <c r="P95" s="986"/>
      <c r="Q95" s="1014"/>
      <c r="R95" s="1011">
        <f>P95*Q95/8</f>
        <v>0</v>
      </c>
      <c r="S95" s="1004">
        <f t="shared" ref="S95" si="1003">IF(5*(P95*Q95^3/(384*0.125))=0,0,5*(P95*Q95^3/(384*0.125)))</f>
        <v>0</v>
      </c>
      <c r="T95" s="1005"/>
      <c r="U95" s="877" t="e">
        <f ca="1">VLOOKUP(J99,INDIRECT(VLOOKUP(J95,FrameStrength,2,FALSE)),3,FALSE)</f>
        <v>#N/A</v>
      </c>
      <c r="V95" s="880">
        <f t="shared" ref="V95" si="1004">(H95+I95)/2</f>
        <v>0</v>
      </c>
      <c r="W95" s="883" t="e">
        <f t="shared" ref="W95" si="1005">MAX(-M95,N95)*O95</f>
        <v>#VALUE!</v>
      </c>
      <c r="X95" s="883">
        <f t="shared" ref="X95" si="1006">IF(E95&gt;162,(E95/240+0.25),IF(AND(E95&lt;162,E95/175&lt;0.75),E95/175,0.75))</f>
        <v>0</v>
      </c>
      <c r="Y95" s="886">
        <f>IFERROR(IF(AG$14="Trapezoidal",BY103,BX103)+IF($E$17="4",(400*E95^3)/(48*X95),0),0)</f>
        <v>0</v>
      </c>
      <c r="Z95" s="886" t="e">
        <f t="shared" ref="Z95" si="1007">+($V95*MAX(-$M95,$N95)*$E95^2)/(144*8)+IF($E$17=4,(400*$E95)/4,0)</f>
        <v>#VALUE!</v>
      </c>
      <c r="AA95" s="886" t="e">
        <f ca="1">VLOOKUP(J99,INDIRECT(VLOOKUP(J95,FrameStrength,2,FALSE)),2,FALSE)</f>
        <v>#N/A</v>
      </c>
      <c r="AB95" s="1083" t="str">
        <f t="shared" ref="AB95" ca="1" si="1008">IFERROR(Z95-AA95,"")</f>
        <v/>
      </c>
      <c r="AC95" s="1077" t="str">
        <f t="shared" ref="AC95" ca="1" si="1009">IFERROR(Y95-U95,"")</f>
        <v/>
      </c>
      <c r="AD95" s="1100" t="str">
        <f>IFERROR(IF(LEFT(J99,2)="As",VLOOKUP(J99,EIMM,4,FALSE),VLOOKUP(J95,EIMM,4,FALSE)),IF(AND(ISNUMBER(SEARCH("Impervia",J95)),ISNUMBER(SEARCH("door",J99))),'New Lookup Cells'!AF$10,IF(ISNUMBER(SEARCH("Impervia",J95)),'New Lookup Cells'!AF$7,IF(AND(ISNUMBER(SEARCH("250",J95)),ISNUMBER(SEARCH("door",J99))),'New Lookup Cells'!AF$14,IF(ISNUMBER(SEARCH("250",J95)),'New Lookup Cells'!AF$13,"")))))</f>
        <v/>
      </c>
      <c r="AE95" s="1101"/>
      <c r="AF95" s="1050"/>
      <c r="AG95" s="1051"/>
      <c r="AH95" s="1051"/>
      <c r="AI95" s="1088"/>
      <c r="AJ95" s="1089"/>
      <c r="AK95" s="154" t="str">
        <f t="shared" ca="1" si="62"/>
        <v/>
      </c>
      <c r="AL95" s="1038" t="str">
        <f t="shared" ref="AL95" si="1010">IFERROR(ROUND(SQRT(P95^2+(W95/2+IF($E$17=4,200,0))^2),0),"")</f>
        <v/>
      </c>
      <c r="AM95" s="342" t="s">
        <v>669</v>
      </c>
      <c r="AN95" t="str">
        <f t="shared" ca="1" si="5"/>
        <v/>
      </c>
      <c r="AP95" s="122" t="str">
        <f t="shared" ref="AP95" si="1011">_xlfn.CONCAT(AR95,AS100)</f>
        <v/>
      </c>
      <c r="AQ95" s="683" t="str">
        <f t="shared" si="65"/>
        <v/>
      </c>
      <c r="AR95" s="96" t="str">
        <f t="shared" si="3"/>
        <v/>
      </c>
      <c r="AS95" s="96" t="str">
        <f>IF(COUNTIF(imp_1,AF95)=1,"imp_1",IF(COUNTIF(imp_2,AF95)=1,"imp_2",IF(COUNTIF(imp_3,AF95)=1,"imp_3",IF(COUNTIF(impdoor,AF95)=1,"impdoor",""))))</f>
        <v/>
      </c>
      <c r="AT95" s="684" t="str">
        <f>AL95</f>
        <v/>
      </c>
      <c r="AU95" s="685" t="e">
        <f ca="1">MATCH(AL95,INDIRECT(AP95),-1)</f>
        <v>#REF!</v>
      </c>
      <c r="AV95" s="686" t="str">
        <f ca="1">IFERROR(VLOOKUP(AU95,INDIRECT(AQ95),2,FALSE),"----")</f>
        <v>----</v>
      </c>
      <c r="AW95" s="685" t="e">
        <f ca="1">MATCH(AL95,INDIRECT(AP96),-1)</f>
        <v>#REF!</v>
      </c>
      <c r="AX95" s="686" t="str">
        <f ca="1">IFERROR(VLOOKUP(AW95,INDIRECT(AQ96),2,FALSE),"----")</f>
        <v>----</v>
      </c>
      <c r="AY95" s="685" t="e">
        <f ca="1">MATCH(AL95,INDIRECT(AP97),-1)</f>
        <v>#REF!</v>
      </c>
      <c r="AZ95" s="686" t="str">
        <f ca="1">IFERROR(VLOOKUP(AY95,INDIRECT(AQ97),2,FALSE),"----")</f>
        <v>----</v>
      </c>
      <c r="BA95" s="685" t="e">
        <f ca="1">MATCH(AL95,INDIRECT(AP98),-1)</f>
        <v>#REF!</v>
      </c>
      <c r="BB95" s="686" t="str">
        <f ca="1">IFERROR(VLOOKUP(BA95,INDIRECT(AQ98),2,FALSE),"----")</f>
        <v>----</v>
      </c>
      <c r="BC95" s="685" t="e">
        <f ca="1">MATCH(AL95,INDIRECT(AP99),-1)</f>
        <v>#REF!</v>
      </c>
      <c r="BD95" s="686" t="str">
        <f ca="1">IFERROR(VLOOKUP(BC95,INDIRECT(AQ99),2,FALSE),"----")</f>
        <v>----</v>
      </c>
      <c r="BE95" s="685" t="e">
        <f ca="1">MATCH(AL95,INDIRECT(AP100),-1)</f>
        <v>#REF!</v>
      </c>
      <c r="BF95" s="686" t="str">
        <f ca="1">IFERROR(VLOOKUP(BE95,INDIRECT(AQ100),2,FALSE),"----")</f>
        <v>----</v>
      </c>
      <c r="BG95" s="685" t="e">
        <f ca="1">MATCH(AL101,INDIRECT(AP101),-1)</f>
        <v>#REF!</v>
      </c>
      <c r="BH95" s="686" t="str">
        <f ca="1">IFERROR(VLOOKUP(BG95,INDIRECT(AQ101),2,FALSE),"----")</f>
        <v>----</v>
      </c>
      <c r="BI95" s="685" t="e">
        <f ca="1">MATCH(AL101,INDIRECT(AP102),-1)</f>
        <v>#REF!</v>
      </c>
      <c r="BJ95" s="686" t="str">
        <f ca="1">IFERROR(VLOOKUP(BI95,INDIRECT(AQ102),2,FALSE),"----")</f>
        <v>----</v>
      </c>
      <c r="BK95" s="685" t="e">
        <f ca="1">MATCH(AL101,INDIRECT(AP103),-1)</f>
        <v>#REF!</v>
      </c>
      <c r="BL95" s="686" t="str">
        <f ca="1">IFERROR(VLOOKUP(BK95,INDIRECT(AQ103),2,FALSE),"----")</f>
        <v>----</v>
      </c>
      <c r="BM95" s="685" t="e">
        <f ca="1">MATCH(AL101,INDIRECT(AP104),-1)</f>
        <v>#REF!</v>
      </c>
      <c r="BN95" s="686" t="str">
        <f ca="1">IFERROR(VLOOKUP(BM95,INDIRECT(AQ104),2,FALSE),"----")</f>
        <v>----</v>
      </c>
      <c r="BO95" s="685" t="e">
        <f ca="1">MATCH(AL101,INDIRECT(AP105),-1)</f>
        <v>#REF!</v>
      </c>
      <c r="BP95" s="686" t="str">
        <f ca="1">IFERROR(VLOOKUP(BO95,INDIRECT(AQ105),2,FALSE),"----")</f>
        <v>----</v>
      </c>
      <c r="BQ95" s="685" t="e">
        <f ca="1">MATCH(AL101,INDIRECT(AP106),-1)</f>
        <v>#REF!</v>
      </c>
      <c r="BR95" s="686" t="str">
        <f ca="1">IFERROR(VLOOKUP(BQ95,INDIRECT(AQ106),2,FALSE),"----")</f>
        <v>----</v>
      </c>
      <c r="BS95" s="687">
        <f>IF(AI95="",1,IF(COUNTIF(AV95:AV106,AI95)=0,2,1))</f>
        <v>1</v>
      </c>
      <c r="BT95" s="688">
        <f>IF(AP95="1",1,IF(AF95="",1,IF(AV95=".",2,1)))</f>
        <v>1</v>
      </c>
      <c r="BU95" s="706"/>
      <c r="BV95" s="155">
        <f ca="1">IF(COUNTIF(CE95:CE106,AF95)=0,IF(AF95&lt;&gt;"",0,1),1)</f>
        <v>1</v>
      </c>
      <c r="BW95" s="157">
        <f ca="1">IFERROR(MATCH(AF95,CE95:CE106,0),1)</f>
        <v>1</v>
      </c>
      <c r="BX95" s="769" t="str">
        <f>IFERROR(IF(LEFT(J99,2)="As",VLOOKUP(J99,EIMM,2,FALSE),IF(AND(ISNUMBER(SEARCH("Impervia",J95)),ISNUMBER(SEARCH("door",J99))),VLOOKUP("Impervia Door",EIMM,2,FALSE),IF(AND(ISNUMBER(SEARCH("250",J95)),ISNUMBER(SEARCH("door",J99))),VLOOKUP("250 Series Door",EIMM,2,FALSE),VLOOKUP(J95,EIMM,2,FALSE)))),"")</f>
        <v/>
      </c>
      <c r="BY95" s="769" t="str">
        <f ca="1">IFERROR(VLOOKUP(BX95,OFFSET(EIMM,0,1),2,FALSE),"")</f>
        <v/>
      </c>
      <c r="BZ95" s="1110" t="e">
        <f ca="1">IF((COUNTIF(INDIRECT(SUBSTITUTE(J95," ","_")),J99))=0,IF(J99="",1,0),1)</f>
        <v>#REF!</v>
      </c>
      <c r="CA95" s="691" t="e">
        <f ca="1">MATCH(AC95,INDIRECT(BX95),-1)</f>
        <v>#REF!</v>
      </c>
      <c r="CB95" s="4" t="e" cm="1">
        <f t="array" aca="1" ref="CB95" ca="1">IF(AND(INDEX(INDIRECT(BY95),CA95,4)&gt;=$AB95,INDEX(INDIRECT(BY95),CA95,5)&gt;=$S95,INDEX(INDIRECT(BY95),CA95,6)&gt;=$R95),1,0)</f>
        <v>#REF!</v>
      </c>
      <c r="CC95" s="4" t="e">
        <f t="shared" ref="CC95" ca="1" si="1012">MATCH(1,OFFSET(CB95:CB106,$W$2,0,COUNT(CB95:CB106)-$W$2),0)</f>
        <v>#REF!</v>
      </c>
      <c r="CD95" s="4" t="e">
        <f t="shared" ref="CD95" ca="1" si="1013">$W$2+CC95</f>
        <v>#REF!</v>
      </c>
      <c r="CE95" s="692" t="str" cm="1">
        <f t="array" aca="1" ref="CE95" ca="1">IFERROR(VLOOKUP(INDEX(CA95:CA106,CD95),INDIRECT(BY95),2,FALSE),"----")</f>
        <v>----</v>
      </c>
      <c r="CF95" s="691" t="e">
        <f ca="1">MATCH($AC95,SSEI,-1)</f>
        <v>#N/A</v>
      </c>
      <c r="CG95" s="4" t="e">
        <f ca="1">IF(AND(INDEX(SSM,CF95,4)&gt;=$AB95,INDEX(SSM,CF95,5)&gt;=$S95,INDEX(SSM,CF95,6)&gt;=$R95),1,0)</f>
        <v>#N/A</v>
      </c>
      <c r="CH95" s="4" t="e">
        <f t="shared" ref="CH95" ca="1" si="1014">MATCH(1,OFFSET(CG95:CG106,$W$2,0,COUNT(CG95:CG106)-$W$2),0)</f>
        <v>#REF!</v>
      </c>
      <c r="CI95" s="4" t="e">
        <f t="shared" ref="CI95" ca="1" si="1015">$W$2+CH95</f>
        <v>#REF!</v>
      </c>
      <c r="CJ95" s="692" t="str">
        <f ca="1">IFERROR(IF(AD96="Nested Steel Stud (wood infill)",VLOOKUP(INDEX(CF95:CF106,CI95),SSW,2,FALSE),VLOOKUP(INDEX(CF95:CF106,CI95),SSM,2,FALSE)),"----")</f>
        <v>----</v>
      </c>
      <c r="CK95" s="691" t="e">
        <f ca="1">MATCH($AC95,WSEI,-1)</f>
        <v>#N/A</v>
      </c>
      <c r="CL95" s="4" t="e">
        <f ca="1">IF(AND(INDEX(WSM,CK95,4)&gt;=$AB95,INDEX(WSM,CK95,5)&gt;=$S95,INDEX(WSM,CK95,6)&gt;=$R95),1,0)</f>
        <v>#N/A</v>
      </c>
      <c r="CM95" s="4" t="e">
        <f t="shared" ref="CM95" ca="1" si="1016">MATCH(1,OFFSET(CL95:CL106,$W$2,0,COUNT(CL95:CL106)-$W$2),0)</f>
        <v>#REF!</v>
      </c>
      <c r="CN95" s="4" t="e">
        <f t="shared" ref="CN95" ca="1" si="1017">$W$2+CM95</f>
        <v>#REF!</v>
      </c>
      <c r="CO95" s="692" t="str">
        <f ca="1">IFERROR(VLOOKUP(INDEX(CK95:CK106,CN95),WSM,2,FALSE),"----")</f>
        <v>----</v>
      </c>
      <c r="CP95" s="691" t="e">
        <f ca="1">MATCH($AC95,STEI,-1)</f>
        <v>#N/A</v>
      </c>
      <c r="CQ95" s="4" t="e">
        <f ca="1">IF(AND(INDEX(STM,CP95,4)&gt;=$AB95,INDEX(STM,CP95,5)&gt;=$S95,INDEX(STM,CP95,6)&gt;=$R95),1,0)</f>
        <v>#N/A</v>
      </c>
      <c r="CR95" s="4" t="e">
        <f t="shared" ref="CR95" ca="1" si="1018">MATCH(1,OFFSET(CQ95:CQ106,$W$2,0,COUNT(CQ95:CQ106)-$W$2),0)</f>
        <v>#REF!</v>
      </c>
      <c r="CS95" s="4" t="e">
        <f t="shared" ref="CS95" ca="1" si="1019">$W$2+CR95</f>
        <v>#REF!</v>
      </c>
      <c r="CT95" s="692" t="str">
        <f ca="1">IFERROR(VLOOKUP(INDEX(CP95:CP106,CS95),STM,2,FALSE),"----")</f>
        <v>----</v>
      </c>
      <c r="CU95" s="691" t="e">
        <f ca="1">MATCH($AC95,ELEI,-1)</f>
        <v>#N/A</v>
      </c>
      <c r="CV95" s="4" t="e">
        <f ca="1">IF(AND(INDEX(ELM,CU95,4)&gt;=$AB95,INDEX(ELM,CU95,5)&gt;=$S95,INDEX(ELM,CU95,6)&gt;=$R95),1,0)</f>
        <v>#N/A</v>
      </c>
      <c r="CW95" s="4" t="e">
        <f t="shared" ref="CW95" ca="1" si="1020">MATCH(1,OFFSET(CV95:CV106,$W$2,0,COUNT(CV95:CV106)-$W$2),0)</f>
        <v>#REF!</v>
      </c>
      <c r="CX95" s="4" t="e">
        <f t="shared" ref="CX95" ca="1" si="1021">$W$2+CW95</f>
        <v>#REF!</v>
      </c>
      <c r="CY95" s="692" t="str">
        <f ca="1">IFERROR(VLOOKUP(INDEX(CU95:CU106,CX95),ELM,2,FALSE),"----")</f>
        <v>----</v>
      </c>
      <c r="CZ95" s="691" t="e">
        <f ca="1">IF(LEFT($J95,7)="Clad Wo",MATCH($AC95,SPEIW,-1),MATCH($AC95,SPEI,-1))</f>
        <v>#N/A</v>
      </c>
      <c r="DA95" s="4" t="e">
        <f ca="1">IF(LEFT($J95,7)="Clad Wo",IF(AND(INDEX(SPPWS,CZ95,4)&gt;=$AB95,INDEX(SPPWS,CZ95,5)&gt;=$S95,INDEX(SPPWS,CZ95,6)&gt;=$R95),1,0),IF(AND(INDEX(SPM,CZ95,4)&gt;=$AB95,INDEX(SPM,CZ95,5)&gt;=$S95,INDEX(SPM,CZ95,6)&gt;=$R95),1,0))</f>
        <v>#N/A</v>
      </c>
      <c r="DB95" s="4" t="e">
        <f t="shared" ref="DB95" ca="1" si="1022">MATCH(1,OFFSET(DA95:DA106,$W$2,0,COUNT(DA95:DA106)-$W$2),0)</f>
        <v>#REF!</v>
      </c>
      <c r="DC95" s="4" t="e">
        <f t="shared" ref="DC95" ca="1" si="1023">$W$2+DB95</f>
        <v>#REF!</v>
      </c>
      <c r="DD95" s="693" t="str">
        <f ca="1">IF(LEFT($J95,7)="Clad Wo",IFERROR(VLOOKUP(INDEX(CZ95:CZ106,DC95),SPPWS,2,FALSE),"----"),IFERROR(VLOOKUP(INDEX(CZ95:CZ106,DC95),SPM,2,FALSE),"----"))</f>
        <v>----</v>
      </c>
      <c r="DE95" s="691" t="e">
        <f ca="1">MATCH(AC101,INDIRECT(BX95),-1)</f>
        <v>#REF!</v>
      </c>
      <c r="DF95" s="4" t="e" cm="1">
        <f t="array" aca="1" ref="DF95" ca="1">IF(AND(INDEX(INDIRECT(BY95),DE95,4)&gt;=$AB101,INDEX(INDIRECT(BY95),DE95,5)&gt;=$S95,INDEX(INDIRECT(BY95),DE95,6)&gt;=$R95),1,0)</f>
        <v>#REF!</v>
      </c>
      <c r="DG95" s="4" t="e">
        <f t="shared" ref="DG95" ca="1" si="1024">MATCH(1,OFFSET(DF95:DF106,$W$2,0,COUNT(DF95:DF106)-$W$2),0)</f>
        <v>#REF!</v>
      </c>
      <c r="DH95" s="4" t="e">
        <f t="shared" ref="DH95" ca="1" si="1025">$W$2+DG95</f>
        <v>#REF!</v>
      </c>
      <c r="DI95" s="692" t="str" cm="1">
        <f t="array" aca="1" ref="DI95" ca="1">IFERROR(VLOOKUP(INDEX(DE95:DE106,DH95),INDIRECT(BY95),2,FALSE),"----")</f>
        <v>----</v>
      </c>
      <c r="DJ95" s="691" t="e">
        <f ca="1">MATCH($AC101,SSEI,-1)</f>
        <v>#N/A</v>
      </c>
      <c r="DK95" s="4" t="e">
        <f ca="1">IF(AND(INDEX(SSM,DJ95,4)&gt;=$AB101,INDEX(SSM,DJ95,5)&gt;=$S95,INDEX(SSM,DJ95,6)&gt;=$R95),1,0)</f>
        <v>#N/A</v>
      </c>
      <c r="DL95" s="4" t="e">
        <f t="shared" ref="DL95" ca="1" si="1026">MATCH(1,OFFSET(DK95:DK106,$W$2,0,COUNT(DK95:DK106)-$W$2),0)</f>
        <v>#REF!</v>
      </c>
      <c r="DM95" s="4" t="e">
        <f t="shared" ref="DM95" ca="1" si="1027">$W$2+DL95</f>
        <v>#REF!</v>
      </c>
      <c r="DN95" s="692" t="str">
        <f ca="1">IFERROR(IF(AD102="Nested Steel Stud (wood infill)",VLOOKUP(INDEX(DJ95:DJ106,DM95),SSW,2,FALSE),VLOOKUP(INDEX(DJ95:DJ106,DM95),SSM,2,FALSE)),"----")</f>
        <v>----</v>
      </c>
      <c r="DO95" s="691" t="e">
        <f ca="1">MATCH($AC101,WSEI,-1)</f>
        <v>#N/A</v>
      </c>
      <c r="DP95" s="4" t="e">
        <f ca="1">IF(AND(INDEX(WSM,DO95,4)&gt;=$AB101,INDEX(WSM,DO95,5)&gt;=$S95,INDEX(WSM,DO95,6)&gt;=$R95),1,0)</f>
        <v>#N/A</v>
      </c>
      <c r="DQ95" s="4" t="e">
        <f t="shared" ref="DQ95" ca="1" si="1028">MATCH(1,OFFSET(DP95:DP106,$W$2,0,COUNT(DP95:DP106)-$W$2),0)</f>
        <v>#REF!</v>
      </c>
      <c r="DR95" s="4" t="e">
        <f t="shared" ref="DR95" ca="1" si="1029">$W$2+DQ95</f>
        <v>#REF!</v>
      </c>
      <c r="DS95" s="692" t="str">
        <f ca="1">IFERROR(VLOOKUP(INDEX(DO95:DO106,DR95),WSM,2,FALSE),"----")</f>
        <v>----</v>
      </c>
      <c r="DT95" s="691" t="e">
        <f ca="1">MATCH($AC101,STEI,-1)</f>
        <v>#N/A</v>
      </c>
      <c r="DU95" s="4" t="e">
        <f ca="1">IF(AND(INDEX(STM,DT95,4)&gt;=$AB101,INDEX(STM,DT95,5)&gt;=$S95,INDEX(STM,DT95,6)&gt;=$R95),1,0)</f>
        <v>#N/A</v>
      </c>
      <c r="DV95" s="4" t="e">
        <f t="shared" ref="DV95" ca="1" si="1030">MATCH(1,OFFSET(DU95:DU106,$W$2,0,COUNT(DU95:DU106)-$W$2),0)</f>
        <v>#REF!</v>
      </c>
      <c r="DW95" s="4" t="e">
        <f t="shared" ref="DW95" ca="1" si="1031">$W$2+DV95</f>
        <v>#REF!</v>
      </c>
      <c r="DX95" s="692" t="str">
        <f ca="1">IFERROR(VLOOKUP(INDEX(DT95:DT106,DW95),STM,2,FALSE),"----")</f>
        <v>----</v>
      </c>
      <c r="DY95" s="691" t="e">
        <f ca="1">MATCH($AC101,ELEI,-1)</f>
        <v>#N/A</v>
      </c>
      <c r="DZ95" s="4" t="e">
        <f ca="1">IF(AND(INDEX(ELM,DY95,4)&gt;=$AB101,INDEX(ELM,DY95,5)&gt;=$S95,INDEX(ELM,DY95,6)&gt;=$R95),1,0)</f>
        <v>#N/A</v>
      </c>
      <c r="EA95" s="4" t="e">
        <f t="shared" ref="EA95" ca="1" si="1032">MATCH(1,OFFSET(DZ95:DZ106,$W$2,0,COUNT(DZ95:DZ106)-$W$2),0)</f>
        <v>#REF!</v>
      </c>
      <c r="EB95" s="4" t="e">
        <f t="shared" ref="EB95" ca="1" si="1033">EA95+$W$2</f>
        <v>#REF!</v>
      </c>
      <c r="EC95" s="692" t="str">
        <f ca="1">IFERROR(VLOOKUP(INDEX(DY95:DY106,EB95),ELM,2,FALSE),"----")</f>
        <v>----</v>
      </c>
      <c r="ED95" s="691" t="e">
        <f ca="1">IF(LEFT($J95,7)="Clad Wo",MATCH($AC101,SPEIW,-1),MATCH($AC101,SPEI,-1))</f>
        <v>#N/A</v>
      </c>
      <c r="EE95" s="4" t="e">
        <f ca="1">IF(LEFT($J95,7)="Clad Wo",IF(AND(INDEX(SPPWS,ED95,4)&gt;=$AB101,INDEX(SPPWS,ED95,5)&gt;=$S95,INDEX(SPPWS,ED95,6)&gt;=$R95),1,0),IF(AND(INDEX(SPM,ED95,4)&gt;=$AB101,INDEX(SPM,ED95,5)&gt;=$S95,INDEX(SPM,ED95,6)&gt;=$R95),1,0))</f>
        <v>#N/A</v>
      </c>
      <c r="EF95" s="4" t="e">
        <f t="shared" ref="EF95" ca="1" si="1034">MATCH(1,OFFSET(EE95:EE106,$W$2,0,COUNT(EE95:EE106)-$W$2),0)</f>
        <v>#REF!</v>
      </c>
      <c r="EG95" s="4" t="e">
        <f t="shared" ref="EG95" ca="1" si="1035">$W$2+EF95</f>
        <v>#REF!</v>
      </c>
      <c r="EH95" s="692" t="str">
        <f ca="1">IF(LEFT($J95,7)="Clad Wo",IFERROR(VLOOKUP(INDEX(ED95:ED106,EG95),SPPWS,2,FALSE),"----"),IFERROR(VLOOKUP(INDEX(ED95:ED106,EG95),SPM,2,FALSE),"----"))</f>
        <v>----</v>
      </c>
    </row>
    <row r="96" spans="1:138" ht="15" customHeight="1" x14ac:dyDescent="0.25">
      <c r="A96" s="1085"/>
      <c r="B96" s="925"/>
      <c r="C96" s="926"/>
      <c r="D96" s="927"/>
      <c r="E96" s="995"/>
      <c r="F96" s="996"/>
      <c r="G96" s="997"/>
      <c r="H96" s="1062"/>
      <c r="I96" s="990"/>
      <c r="J96" s="908"/>
      <c r="K96" s="909"/>
      <c r="L96" s="1002"/>
      <c r="M96" s="923"/>
      <c r="N96" s="1042"/>
      <c r="O96" s="1018"/>
      <c r="P96" s="987"/>
      <c r="Q96" s="1015"/>
      <c r="R96" s="1012"/>
      <c r="S96" s="1006"/>
      <c r="T96" s="1007"/>
      <c r="U96" s="878"/>
      <c r="V96" s="881"/>
      <c r="W96" s="884"/>
      <c r="X96" s="884"/>
      <c r="Y96" s="887"/>
      <c r="Z96" s="887"/>
      <c r="AA96" s="887"/>
      <c r="AB96" s="1081"/>
      <c r="AC96" s="1078"/>
      <c r="AD96" s="1102" t="s">
        <v>38</v>
      </c>
      <c r="AE96" s="1103"/>
      <c r="AF96" s="1052"/>
      <c r="AG96" s="1053"/>
      <c r="AH96" s="1053"/>
      <c r="AI96" s="1066"/>
      <c r="AJ96" s="1067"/>
      <c r="AK96" s="156" t="str">
        <f t="shared" ca="1" si="62"/>
        <v/>
      </c>
      <c r="AL96" s="1039"/>
      <c r="AM96" s="343" t="str">
        <f ca="1">IFERROR(Q95/12*ROUND(VLOOKUP(AF96,OFFSET(SSM,0,1),6,FALSE),2),"")</f>
        <v/>
      </c>
      <c r="AN96" t="str">
        <f t="shared" ca="1" si="5"/>
        <v/>
      </c>
      <c r="AP96" s="122" t="str">
        <f t="shared" ref="AP96" si="1036">_xlfn.CONCAT(AR96,AS100)</f>
        <v/>
      </c>
      <c r="AQ96" s="683" t="str">
        <f t="shared" si="65"/>
        <v/>
      </c>
      <c r="AR96" s="96" t="str">
        <f t="shared" si="3"/>
        <v/>
      </c>
      <c r="AS96" s="96" t="str">
        <f>IF(COUNTIF(Vista_1,AF95)=1,"Vista_1",IF(COUNTIF(Vista_2,AF95)=1,"Vista_2",""))</f>
        <v/>
      </c>
      <c r="AT96" s="684" t="str">
        <f>AL95</f>
        <v/>
      </c>
      <c r="AU96" s="694" t="e">
        <f t="shared" ref="AU96" ca="1" si="1037">AU95-1</f>
        <v>#REF!</v>
      </c>
      <c r="AV96" s="686" t="str">
        <f ca="1">IFERROR(VLOOKUP(AU96,INDIRECT(AQ95),2,FALSE),"----")</f>
        <v>----</v>
      </c>
      <c r="AW96" s="694" t="e">
        <f t="shared" ref="AW96:AW97" ca="1" si="1038">AW95-1</f>
        <v>#REF!</v>
      </c>
      <c r="AX96" s="686" t="str">
        <f ca="1">IFERROR(VLOOKUP(AW96,INDIRECT(AQ96),2,FALSE),"----")</f>
        <v>----</v>
      </c>
      <c r="AY96" s="694" t="e">
        <f t="shared" ref="AY96:AY97" ca="1" si="1039">AY95-1</f>
        <v>#REF!</v>
      </c>
      <c r="AZ96" s="686" t="str">
        <f ca="1">IFERROR(VLOOKUP(AY96,INDIRECT(AQ97),2,FALSE),"----")</f>
        <v>----</v>
      </c>
      <c r="BA96" s="694" t="e">
        <f t="shared" ref="BA96:BA97" ca="1" si="1040">BA95-1</f>
        <v>#REF!</v>
      </c>
      <c r="BB96" s="686" t="str">
        <f ca="1">IFERROR(VLOOKUP(BA96,INDIRECT(AQ98),2,FALSE),"----")</f>
        <v>----</v>
      </c>
      <c r="BC96" s="694" t="e">
        <f t="shared" ref="BC96:BC97" ca="1" si="1041">BC95-1</f>
        <v>#REF!</v>
      </c>
      <c r="BD96" s="686" t="str">
        <f ca="1">IFERROR(VLOOKUP(BC96,INDIRECT(AQ99),2,FALSE),"----")</f>
        <v>----</v>
      </c>
      <c r="BE96" s="694" t="e">
        <f t="shared" ref="BE96" ca="1" si="1042">BE95-1</f>
        <v>#REF!</v>
      </c>
      <c r="BF96" s="686" t="str">
        <f ca="1">IFERROR(VLOOKUP(BE96,INDIRECT(AQ100),2,FALSE),"----")</f>
        <v>----</v>
      </c>
      <c r="BG96" s="694" t="e">
        <f t="shared" ref="BG96" ca="1" si="1043">BG95-1</f>
        <v>#REF!</v>
      </c>
      <c r="BH96" s="686" t="str">
        <f ca="1">IFERROR(VLOOKUP(BG96,INDIRECT(AQ101),2,FALSE),"----")</f>
        <v>----</v>
      </c>
      <c r="BI96" s="694" t="e">
        <f t="shared" ref="BI96:BI97" ca="1" si="1044">BI95-1</f>
        <v>#REF!</v>
      </c>
      <c r="BJ96" s="686" t="str">
        <f ca="1">IFERROR(VLOOKUP(BI96,INDIRECT(AQ102),2,FALSE),"----")</f>
        <v>----</v>
      </c>
      <c r="BK96" s="694" t="e">
        <f t="shared" ref="BK96:BK97" ca="1" si="1045">BK95-1</f>
        <v>#REF!</v>
      </c>
      <c r="BL96" s="686" t="str">
        <f ca="1">IFERROR(VLOOKUP(BK96,INDIRECT(AQ103),2,FALSE),"----")</f>
        <v>----</v>
      </c>
      <c r="BM96" s="694" t="e">
        <f t="shared" ref="BM96:BM97" ca="1" si="1046">BM95-1</f>
        <v>#REF!</v>
      </c>
      <c r="BN96" s="686" t="str">
        <f ca="1">IFERROR(VLOOKUP(BM96,INDIRECT(AQ104),2,FALSE),"----")</f>
        <v>----</v>
      </c>
      <c r="BO96" s="694" t="e">
        <f t="shared" ref="BO96:BO97" ca="1" si="1047">BO95-1</f>
        <v>#REF!</v>
      </c>
      <c r="BP96" s="686" t="str">
        <f ca="1">IFERROR(VLOOKUP(BO96,INDIRECT(AQ105),2,FALSE),"----")</f>
        <v>----</v>
      </c>
      <c r="BQ96" s="694" t="e">
        <f t="shared" ref="BQ96" ca="1" si="1048">BQ95-1</f>
        <v>#REF!</v>
      </c>
      <c r="BR96" s="686" t="str">
        <f ca="1">IFERROR(VLOOKUP(BQ96,INDIRECT(AQ106),2,FALSE),"----")</f>
        <v>----</v>
      </c>
      <c r="BS96" s="695">
        <f>IF(AI96="",1,IF(COUNTIF(AX95:AX106,AI96)=0,2,1))</f>
        <v>1</v>
      </c>
      <c r="BT96" s="696">
        <f>IF(AF96="",1,IF(AX95=".",2,1))</f>
        <v>1</v>
      </c>
      <c r="BU96" s="706"/>
      <c r="BV96" s="155">
        <f ca="1">IF(COUNTIF(CJ95:CJ106,AF96)=0,IF(AF96&lt;&gt;"",0,1),1)</f>
        <v>1</v>
      </c>
      <c r="BW96" s="157">
        <f ca="1">IFERROR(MATCH(AF96,CJ95:CJ106,0),1)</f>
        <v>1</v>
      </c>
      <c r="BX96" s="769"/>
      <c r="BY96" s="769"/>
      <c r="BZ96" s="1110"/>
      <c r="CA96" s="691" t="e">
        <f t="shared" ref="CA96:CA106" ca="1" si="1049">CA95-1</f>
        <v>#REF!</v>
      </c>
      <c r="CB96" s="4" t="e" cm="1">
        <f t="array" aca="1" ref="CB96" ca="1">IF(AND(INDEX(INDIRECT(BY95),CA96,4)&gt;=$AB95,INDEX(INDIRECT(BY95),CA96,5)&gt;=$S95,INDEX(INDIRECT(BY95),CA96,6)&gt;=$R95),1,0)</f>
        <v>#REF!</v>
      </c>
      <c r="CC96" s="4" t="e">
        <f t="shared" ref="CC96" ca="1" si="1050">MATCH(1,OFFSET(CB95:CB106,CD95,0,COUNT(CB95:CB106)-CD95),0)</f>
        <v>#REF!</v>
      </c>
      <c r="CD96" s="4" t="e">
        <f t="shared" ref="CD96:CD106" ca="1" si="1051">CD95+CC96</f>
        <v>#REF!</v>
      </c>
      <c r="CE96" s="692" t="str" cm="1">
        <f t="array" aca="1" ref="CE96" ca="1">IFERROR(VLOOKUP(INDEX(CA95:CA106,CD96),INDIRECT(BY95),2,FALSE),"----")</f>
        <v>----</v>
      </c>
      <c r="CF96" s="691" t="e">
        <f t="shared" ref="CF96:CF106" ca="1" si="1052">CF95-1</f>
        <v>#N/A</v>
      </c>
      <c r="CG96" s="4" t="e">
        <f ca="1">IF(AND(INDEX(SSM,CF96,4)&gt;=$AB95,INDEX(SSM,CF96,5)&gt;=$S95,INDEX(SSM,CF96,6)&gt;=$R95),1,0)</f>
        <v>#N/A</v>
      </c>
      <c r="CH96" s="4" t="e">
        <f t="shared" ref="CH96" ca="1" si="1053">MATCH(1,OFFSET(CG95:CG106,CI95,0,COUNT(CG95:CG106)-CI95),0)</f>
        <v>#REF!</v>
      </c>
      <c r="CI96" s="4" t="e">
        <f t="shared" ref="CI96:CI106" ca="1" si="1054">CI95+CH96</f>
        <v>#REF!</v>
      </c>
      <c r="CJ96" s="692" t="str">
        <f ca="1">IFERROR(IF(AD96="Nested Steel Stud (wood infill)",VLOOKUP(INDEX(CF95:CF106,CI96),SSW,2,FALSE),VLOOKUP(INDEX(CF95:CF106,CI96),SSM,2,FALSE)),"----")</f>
        <v>----</v>
      </c>
      <c r="CK96" s="691" t="e">
        <f t="shared" ref="CK96:CK106" ca="1" si="1055">CK95-1</f>
        <v>#N/A</v>
      </c>
      <c r="CL96" s="4" t="e">
        <f ca="1">IF(AND(INDEX(WSM,CK96,4)&gt;=$AB95,INDEX(WSM,CK96,5)&gt;=$S95,INDEX(WSM,CK96,6)&gt;=$R95),1,0)</f>
        <v>#N/A</v>
      </c>
      <c r="CM96" s="4" t="e">
        <f t="shared" ref="CM96" ca="1" si="1056">MATCH(1,OFFSET(CL95:CL106,CN95,0,COUNT(CL95:CL106)-CN95),0)</f>
        <v>#REF!</v>
      </c>
      <c r="CN96" s="4" t="e">
        <f t="shared" ref="CN96:CN106" ca="1" si="1057">CM96+CN95</f>
        <v>#REF!</v>
      </c>
      <c r="CO96" s="692" t="str">
        <f ca="1">IFERROR(VLOOKUP(INDEX(CK95:CK106,CN96),WSM,2,FALSE),"----")</f>
        <v>----</v>
      </c>
      <c r="CP96" s="691" t="e">
        <f t="shared" ref="CP96:CP106" ca="1" si="1058">CP95-1</f>
        <v>#N/A</v>
      </c>
      <c r="CQ96" s="4" t="e">
        <f ca="1">IF(AND(INDEX(STM,CP96,4)&gt;=$AB95,INDEX(STM,CP96,5)&gt;=$S95,INDEX(STM,CP96,6)&gt;=$R95),1,0)</f>
        <v>#N/A</v>
      </c>
      <c r="CR96" s="4" t="e">
        <f t="shared" ref="CR96" ca="1" si="1059">MATCH(1,OFFSET(CQ95:CQ106,CS95,0,COUNT(CQ95:CQ106)-CS95),0)</f>
        <v>#REF!</v>
      </c>
      <c r="CS96" s="4" t="e">
        <f t="shared" ref="CS96:CS106" ca="1" si="1060">CR96+CS95</f>
        <v>#REF!</v>
      </c>
      <c r="CT96" s="692" t="str">
        <f ca="1">IFERROR(VLOOKUP(INDEX(CP95:CP106,CS96),STM,2,FALSE),"----")</f>
        <v>----</v>
      </c>
      <c r="CU96" s="691" t="e">
        <f t="shared" ref="CU96:CU106" ca="1" si="1061">CU95-1</f>
        <v>#N/A</v>
      </c>
      <c r="CV96" s="4" t="e">
        <f ca="1">IF(AND(INDEX(ELM,CU96,4)&gt;=$AB95,INDEX(ELM,CU96,5)&gt;=$S95,INDEX(ELM,CU96,6)&gt;=$R95),1,0)</f>
        <v>#N/A</v>
      </c>
      <c r="CW96" s="4" t="e">
        <f t="shared" ref="CW96" ca="1" si="1062">MATCH(1,OFFSET(CV95:CV106,CX95,0,COUNT(CV95:CV106)-CX95),0)</f>
        <v>#REF!</v>
      </c>
      <c r="CX96" s="4" t="e">
        <f t="shared" ref="CX96:CX106" ca="1" si="1063">CW96+CX95</f>
        <v>#REF!</v>
      </c>
      <c r="CY96" s="692" t="str">
        <f ca="1">IFERROR(VLOOKUP(INDEX(CU95:CU106,CX96),ELM,2,FALSE),"----")</f>
        <v>----</v>
      </c>
      <c r="CZ96" s="691" t="e">
        <f t="shared" ref="CZ96:CZ106" ca="1" si="1064">CZ95-1</f>
        <v>#N/A</v>
      </c>
      <c r="DA96" s="4" t="e">
        <f ca="1">IF(LEFT($J95,7)="Clad Wo",IF(AND(INDEX(SPPWS,CZ96,4)&gt;=$AB95,INDEX(SPPWS,CZ96,5)&gt;=$S95,INDEX(SPPWS,CZ96,6)&gt;=$R95),1,0),IF(AND(INDEX(SPM,CZ96,4)&gt;=$AB95,INDEX(SPM,CZ96,5)&gt;=$S95,INDEX(SPM,CZ96,6)&gt;=$R95),1,0))</f>
        <v>#N/A</v>
      </c>
      <c r="DB96" s="4" t="e">
        <f t="shared" ref="DB96" ca="1" si="1065">MATCH(1,OFFSET(DA95:DA106,DC95,0,COUNT(DA95:DA106)-DC95),0)</f>
        <v>#REF!</v>
      </c>
      <c r="DC96" s="4" t="e">
        <f t="shared" ref="DC96:DC106" ca="1" si="1066">DC95+DB96</f>
        <v>#REF!</v>
      </c>
      <c r="DD96" s="693" t="str">
        <f ca="1">IF(LEFT($J95,7)="Clad Wo",IFERROR(VLOOKUP(INDEX(CZ95:CZ106,DC96),SPPWS,2,FALSE),"----"),IFERROR(VLOOKUP(INDEX(CZ95:CZ106,DC96),SPM,2,FALSE),"----"))</f>
        <v>----</v>
      </c>
      <c r="DE96" s="691" t="e">
        <f t="shared" ref="DE96:DE106" ca="1" si="1067">DE95-1</f>
        <v>#REF!</v>
      </c>
      <c r="DF96" s="4" t="e" cm="1">
        <f t="array" aca="1" ref="DF96" ca="1">IF(AND(INDEX(INDIRECT(BY95),DE96,4)&gt;=$AB101,INDEX(INDIRECT(BY95),DE96,5)&gt;=$S95,INDEX(INDIRECT(BY95),DE96,6)&gt;=$R95),1,0)</f>
        <v>#REF!</v>
      </c>
      <c r="DG96" s="4" t="e">
        <f t="shared" ref="DG96" ca="1" si="1068">MATCH(1,OFFSET(DF95:DF106,DH95,0,COUNT(DF95:DF106)-DH95),0)</f>
        <v>#REF!</v>
      </c>
      <c r="DH96" s="4" t="e">
        <f t="shared" ref="DH96:DH106" ca="1" si="1069">DH95+DG96</f>
        <v>#REF!</v>
      </c>
      <c r="DI96" s="692" t="str" cm="1">
        <f t="array" aca="1" ref="DI96" ca="1">IFERROR(VLOOKUP(INDEX(DE95:DE106,DH96),INDIRECT(BY95),2,FALSE),"----")</f>
        <v>----</v>
      </c>
      <c r="DJ96" s="691" t="e">
        <f t="shared" ref="DJ96:DJ106" ca="1" si="1070">DJ95-1</f>
        <v>#N/A</v>
      </c>
      <c r="DK96" s="4" t="e">
        <f ca="1">IF(AND(INDEX(SSM,DJ96,4)&gt;=$AB101,INDEX(SSM,DJ96,5)&gt;=$S95,INDEX(SSM,DJ96,6)&gt;=$R95),1,0)</f>
        <v>#N/A</v>
      </c>
      <c r="DL96" s="4" t="e">
        <f t="shared" ref="DL96" ca="1" si="1071">MATCH(1,OFFSET(DK95:DK106,DM95,0,COUNT(DK95:DK106)-DM95),0)</f>
        <v>#REF!</v>
      </c>
      <c r="DM96" s="4" t="e">
        <f t="shared" ref="DM96:DM106" ca="1" si="1072">DL96+DM95</f>
        <v>#REF!</v>
      </c>
      <c r="DN96" s="692" t="str">
        <f ca="1">IFERROR(IF(AD102="Nested Steel Stud (wood infill)",VLOOKUP(INDEX(DJ95:DJ106,DM96),SSW,2,FALSE),VLOOKUP(INDEX(DJ95:DJ106,DM96),SSM,2,FALSE)),"----")</f>
        <v>----</v>
      </c>
      <c r="DO96" s="691" t="e">
        <f t="shared" ref="DO96:DO106" ca="1" si="1073">DO95-1</f>
        <v>#N/A</v>
      </c>
      <c r="DP96" s="4" t="e">
        <f ca="1">IF(AND(INDEX(WSM,DO96,4)&gt;=$AB101,INDEX(WSM,DO96,5)&gt;=$S95,INDEX(WSM,DO96,6)&gt;=$R95),1,0)</f>
        <v>#N/A</v>
      </c>
      <c r="DQ96" s="4" t="e">
        <f t="shared" ref="DQ96" ca="1" si="1074">MATCH(1,OFFSET(DP95:DP106,DR95,0,COUNT(DP95:DP106)-DR95),0)</f>
        <v>#REF!</v>
      </c>
      <c r="DR96" s="4" t="e">
        <f t="shared" ref="DR96:DR106" ca="1" si="1075">DQ96+DR95</f>
        <v>#REF!</v>
      </c>
      <c r="DS96" s="692" t="str">
        <f ca="1">IFERROR(VLOOKUP(INDEX(DO95:DO106,DR96),WSM,2,FALSE),"----")</f>
        <v>----</v>
      </c>
      <c r="DT96" s="691" t="e">
        <f t="shared" ref="DT96:DT106" ca="1" si="1076">DT95-1</f>
        <v>#N/A</v>
      </c>
      <c r="DU96" s="4" t="e">
        <f ca="1">IF(AND(INDEX(STM,DT96,4)&gt;=$AB101,INDEX(STM,DT96,5)&gt;=$S95,INDEX(STM,DT96,6)&gt;=$R95),1,0)</f>
        <v>#N/A</v>
      </c>
      <c r="DV96" s="4" t="e">
        <f t="shared" ref="DV96" ca="1" si="1077">MATCH(1,OFFSET(DU95:DU106,DW95,0,COUNT(DU95:DU106)-DW95),0)</f>
        <v>#REF!</v>
      </c>
      <c r="DW96" s="4" t="e">
        <f t="shared" ref="DW96:DW106" ca="1" si="1078">DV96+DW95</f>
        <v>#REF!</v>
      </c>
      <c r="DX96" s="692" t="str">
        <f ca="1">IFERROR(VLOOKUP(INDEX(DT95:DT106,DW96),STM,2,FALSE),"----")</f>
        <v>----</v>
      </c>
      <c r="DY96" s="691" t="e">
        <f t="shared" ref="DY96:DY106" ca="1" si="1079">DY95-1</f>
        <v>#N/A</v>
      </c>
      <c r="DZ96" s="4" t="e">
        <f ca="1">IF(AND(INDEX(ELM,DY96,4)&gt;=$AB101,INDEX(ELM,DY96,5)&gt;=$S95,INDEX(ELM,DY96,6)&gt;=$R95),1,0)</f>
        <v>#N/A</v>
      </c>
      <c r="EA96" s="4" t="e">
        <f t="shared" ref="EA96" ca="1" si="1080">MATCH(1,OFFSET(DZ95:DZ106,EB95,0,COUNT(DZ95:DZ106)-EB95),0)</f>
        <v>#REF!</v>
      </c>
      <c r="EB96" s="4" t="e">
        <f t="shared" ref="EB96:EB106" ca="1" si="1081">EA96+EB95</f>
        <v>#REF!</v>
      </c>
      <c r="EC96" s="692" t="str">
        <f ca="1">IFERROR(VLOOKUP(INDEX(DY95:DY106,EB96),ELM,2,FALSE),"----")</f>
        <v>----</v>
      </c>
      <c r="ED96" s="691" t="e">
        <f t="shared" ref="ED96:ED106" ca="1" si="1082">ED95-1</f>
        <v>#N/A</v>
      </c>
      <c r="EE96" s="4" t="e">
        <f ca="1">IF(LEFT($J95,7)="Clad Wo",IF(AND(INDEX(SPPWS,ED96,4)&gt;=$AB101,INDEX(SPPWS,ED96,5)&gt;=$S95,INDEX(SPPWS,ED96,6)&gt;=$R95),1,0),IF(AND(INDEX(SPM,ED96,4)&gt;=$AB101,INDEX(SPM,ED96,5)&gt;=$S95,INDEX(SPM,ED96,6)&gt;=$R95),1,0))</f>
        <v>#N/A</v>
      </c>
      <c r="EF96" s="4" t="e">
        <f t="shared" ref="EF96" ca="1" si="1083">MATCH(1,OFFSET(EE95:EE106,EG95,0,COUNT(EE95:EE106)-EG95),0)</f>
        <v>#REF!</v>
      </c>
      <c r="EG96" s="4" t="e">
        <f t="shared" ref="EG96:EG106" ca="1" si="1084">EG95+EF96</f>
        <v>#REF!</v>
      </c>
      <c r="EH96" s="692" t="str">
        <f ca="1">IF(LEFT($J95,7)="Clad Wo",IFERROR(VLOOKUP(INDEX(ED95:ED106,EG96),SPPWS,2,FALSE),"----"),IFERROR(VLOOKUP(INDEX(ED95:ED106,EG96),SPM,2,FALSE),"----"))</f>
        <v>----</v>
      </c>
    </row>
    <row r="97" spans="1:138" ht="15" customHeight="1" x14ac:dyDescent="0.25">
      <c r="A97" s="1085"/>
      <c r="B97" s="925"/>
      <c r="C97" s="926"/>
      <c r="D97" s="927"/>
      <c r="E97" s="995"/>
      <c r="F97" s="996"/>
      <c r="G97" s="997"/>
      <c r="H97" s="1062"/>
      <c r="I97" s="990"/>
      <c r="J97" s="908"/>
      <c r="K97" s="909"/>
      <c r="L97" s="1002"/>
      <c r="M97" s="923"/>
      <c r="N97" s="1042"/>
      <c r="O97" s="1018"/>
      <c r="P97" s="987"/>
      <c r="Q97" s="1015"/>
      <c r="R97" s="1012"/>
      <c r="S97" s="1006"/>
      <c r="T97" s="1007"/>
      <c r="U97" s="878"/>
      <c r="V97" s="881"/>
      <c r="W97" s="884"/>
      <c r="X97" s="884"/>
      <c r="Y97" s="887"/>
      <c r="Z97" s="887"/>
      <c r="AA97" s="887"/>
      <c r="AB97" s="1081"/>
      <c r="AC97" s="1078"/>
      <c r="AD97" s="1070" t="s">
        <v>333</v>
      </c>
      <c r="AE97" s="1071"/>
      <c r="AF97" s="1052"/>
      <c r="AG97" s="1053"/>
      <c r="AH97" s="1053"/>
      <c r="AI97" s="1066"/>
      <c r="AJ97" s="1067"/>
      <c r="AK97" s="154" t="str">
        <f t="shared" ca="1" si="62"/>
        <v/>
      </c>
      <c r="AL97" s="1039"/>
      <c r="AM97" s="344" t="str">
        <f ca="1">IFERROR(Q95/12*ROUND(VLOOKUP(AF97,OFFSET(WSM,0,1),6,FALSE),2),"")</f>
        <v/>
      </c>
      <c r="AN97" t="str">
        <f t="shared" ca="1" si="5"/>
        <v/>
      </c>
      <c r="AP97" s="122" t="str">
        <f t="shared" ref="AP97" si="1085">_xlfn.CONCAT(AR97,AS100)</f>
        <v/>
      </c>
      <c r="AQ97" s="683" t="str">
        <f t="shared" si="65"/>
        <v/>
      </c>
      <c r="AR97" s="4" t="str">
        <f t="shared" si="3"/>
        <v/>
      </c>
      <c r="AS97" s="4"/>
      <c r="AT97" s="697" t="str">
        <f>AL95</f>
        <v/>
      </c>
      <c r="AU97" s="694" t="e">
        <f t="shared" ca="1" si="91"/>
        <v>#REF!</v>
      </c>
      <c r="AV97" s="686" t="str">
        <f ca="1">IFERROR(VLOOKUP(AU97,INDIRECT(AQ95),2,FALSE),"----")</f>
        <v>----</v>
      </c>
      <c r="AW97" s="694" t="e">
        <f t="shared" ca="1" si="1038"/>
        <v>#REF!</v>
      </c>
      <c r="AX97" s="686" t="str">
        <f ca="1">IFERROR(VLOOKUP(AW97,INDIRECT(AQ96),2,FALSE),"----")</f>
        <v>----</v>
      </c>
      <c r="AY97" s="694" t="e">
        <f t="shared" ca="1" si="1039"/>
        <v>#REF!</v>
      </c>
      <c r="AZ97" s="686" t="str">
        <f ca="1">IFERROR(VLOOKUP(AY97,INDIRECT(AQ97),2,FALSE),"----")</f>
        <v>----</v>
      </c>
      <c r="BA97" s="694" t="e">
        <f t="shared" ca="1" si="1040"/>
        <v>#REF!</v>
      </c>
      <c r="BB97" s="686" t="str">
        <f ca="1">IFERROR(VLOOKUP(BA97,INDIRECT(AQ98),2,FALSE),"----")</f>
        <v>----</v>
      </c>
      <c r="BC97" s="694" t="e">
        <f t="shared" ca="1" si="1041"/>
        <v>#REF!</v>
      </c>
      <c r="BD97" s="686" t="str">
        <f ca="1">IFERROR(VLOOKUP(BC97,INDIRECT(AQ99),2,FALSE),"----")</f>
        <v>----</v>
      </c>
      <c r="BE97" s="694" t="e">
        <f t="shared" ca="1" si="96"/>
        <v>#REF!</v>
      </c>
      <c r="BF97" s="686" t="str">
        <f ca="1">IFERROR(VLOOKUP(BE97,INDIRECT(AQ100),2,FALSE),"----")</f>
        <v>----</v>
      </c>
      <c r="BG97" s="694" t="e">
        <f t="shared" ca="1" si="97"/>
        <v>#REF!</v>
      </c>
      <c r="BH97" s="686" t="str">
        <f ca="1">IFERROR(VLOOKUP(BG97,INDIRECT(AQ101),2,FALSE),"----")</f>
        <v>----</v>
      </c>
      <c r="BI97" s="694" t="e">
        <f t="shared" ca="1" si="1044"/>
        <v>#REF!</v>
      </c>
      <c r="BJ97" s="686" t="str">
        <f ca="1">IFERROR(VLOOKUP(BI97,INDIRECT(AQ102),2,FALSE),"----")</f>
        <v>----</v>
      </c>
      <c r="BK97" s="694" t="e">
        <f t="shared" ca="1" si="1045"/>
        <v>#REF!</v>
      </c>
      <c r="BL97" s="686" t="str">
        <f ca="1">IFERROR(VLOOKUP(BK97,INDIRECT(AQ103),2,FALSE),"----")</f>
        <v>----</v>
      </c>
      <c r="BM97" s="694" t="e">
        <f t="shared" ca="1" si="1046"/>
        <v>#REF!</v>
      </c>
      <c r="BN97" s="686" t="str">
        <f ca="1">IFERROR(VLOOKUP(BM97,INDIRECT(AQ104),2,FALSE),"----")</f>
        <v>----</v>
      </c>
      <c r="BO97" s="694" t="e">
        <f t="shared" ca="1" si="1047"/>
        <v>#REF!</v>
      </c>
      <c r="BP97" s="686" t="str">
        <f ca="1">IFERROR(VLOOKUP(BO97,INDIRECT(AQ105),2,FALSE),"----")</f>
        <v>----</v>
      </c>
      <c r="BQ97" s="694" t="e">
        <f t="shared" ca="1" si="102"/>
        <v>#REF!</v>
      </c>
      <c r="BR97" s="686" t="str">
        <f ca="1">IFERROR(VLOOKUP(BQ97,INDIRECT(AQ106),2,FALSE),"----")</f>
        <v>----</v>
      </c>
      <c r="BS97" s="695">
        <f>IF(AI97="",1,IF(COUNTIF(AZ95:AZ106,AI97)=0,2,1))</f>
        <v>1</v>
      </c>
      <c r="BT97" s="696">
        <f>IF(AF97="",1,IF(AZ95=".",2,1))</f>
        <v>1</v>
      </c>
      <c r="BU97" s="706"/>
      <c r="BV97" s="155">
        <f ca="1">IF(COUNTIF(CO95:CO106,AF97)=0,IF(AF97&lt;&gt;"",0,1),1)</f>
        <v>1</v>
      </c>
      <c r="BW97" s="157">
        <f ca="1">IFERROR(MATCH(AF97,CO95:CO106,0),1)</f>
        <v>1</v>
      </c>
      <c r="BX97" s="769"/>
      <c r="BY97" s="769"/>
      <c r="BZ97" s="1110"/>
      <c r="CA97" s="691" t="e">
        <f t="shared" ca="1" si="1049"/>
        <v>#REF!</v>
      </c>
      <c r="CB97" s="4" t="e" cm="1">
        <f t="array" aca="1" ref="CB97" ca="1">IF(AND(INDEX(INDIRECT(BY95),CA97,4)&gt;=$AB95,INDEX(INDIRECT(BY95),CA97,5)&gt;=$S95,INDEX(INDIRECT(BY95),CA97,6)&gt;=$R95),1,0)</f>
        <v>#REF!</v>
      </c>
      <c r="CC97" s="4" t="e">
        <f t="shared" ref="CC97" ca="1" si="1086">MATCH(1,OFFSET(CB95:CB106,CD96,0,COUNT(CB95:CB106)-CD96),0)</f>
        <v>#REF!</v>
      </c>
      <c r="CD97" s="4" t="e">
        <f t="shared" ca="1" si="1051"/>
        <v>#REF!</v>
      </c>
      <c r="CE97" s="692" t="str" cm="1">
        <f t="array" aca="1" ref="CE97" ca="1">IFERROR(VLOOKUP(INDEX(CA95:CA106,CD97),INDIRECT(BY95),2,FALSE),"----")</f>
        <v>----</v>
      </c>
      <c r="CF97" s="691" t="e">
        <f t="shared" ca="1" si="1052"/>
        <v>#N/A</v>
      </c>
      <c r="CG97" s="4" t="e">
        <f ca="1">IF(AND(INDEX(SSM,CF97,4)&gt;=$AB95,INDEX(SSM,CF97,5)&gt;=$S95,INDEX(SSM,CF97,6)&gt;=$R95),1,0)</f>
        <v>#N/A</v>
      </c>
      <c r="CH97" s="4" t="e">
        <f t="shared" ref="CH97" ca="1" si="1087">MATCH(1,OFFSET(CG95:CG106,CI96,0,COUNT(CG95:CG106)-CI96),0)</f>
        <v>#REF!</v>
      </c>
      <c r="CI97" s="4" t="e">
        <f t="shared" ca="1" si="1054"/>
        <v>#REF!</v>
      </c>
      <c r="CJ97" s="692" t="str">
        <f ca="1">IFERROR(IF(AD96="Nested Steel Stud (wood infill)",VLOOKUP(INDEX(CF95:CF106,CI97),SSW,2,FALSE),VLOOKUP(INDEX(CF95:CF106,CI97),SSM,2,FALSE)),"----")</f>
        <v>----</v>
      </c>
      <c r="CK97" s="691" t="e">
        <f t="shared" ca="1" si="1055"/>
        <v>#N/A</v>
      </c>
      <c r="CL97" s="4" t="e">
        <f ca="1">IF(AND(INDEX(WSM,CK97,4)&gt;=$AB95,INDEX(WSM,CK97,5)&gt;=$S95,INDEX(WSM,CK97,6)&gt;=$R95),1,0)</f>
        <v>#N/A</v>
      </c>
      <c r="CM97" s="4" t="e">
        <f t="shared" ref="CM97" ca="1" si="1088">MATCH(1,OFFSET(CL95:CL106,CN96,0,COUNT(CL95:CL106)-CN96),0)</f>
        <v>#REF!</v>
      </c>
      <c r="CN97" s="4" t="e">
        <f t="shared" ca="1" si="1057"/>
        <v>#REF!</v>
      </c>
      <c r="CO97" s="692" t="str">
        <f ca="1">IFERROR(VLOOKUP(INDEX(CK95:CK106,CN97),WSM,2,FALSE),"----")</f>
        <v>----</v>
      </c>
      <c r="CP97" s="691" t="e">
        <f t="shared" ca="1" si="1058"/>
        <v>#N/A</v>
      </c>
      <c r="CQ97" s="4" t="e">
        <f ca="1">IF(AND(INDEX(STM,CP97,4)&gt;=$AB95,INDEX(STM,CP97,5)&gt;=$S95,INDEX(STM,CP97,6)&gt;=$R95),1,0)</f>
        <v>#N/A</v>
      </c>
      <c r="CR97" s="4" t="e">
        <f t="shared" ref="CR97" ca="1" si="1089">MATCH(1,OFFSET(CQ95:CQ106,CS96,0,COUNT(CQ95:CQ106)-CS96),0)</f>
        <v>#REF!</v>
      </c>
      <c r="CS97" s="4" t="e">
        <f t="shared" ca="1" si="1060"/>
        <v>#REF!</v>
      </c>
      <c r="CT97" s="692" t="str">
        <f ca="1">IFERROR(VLOOKUP(INDEX(CP95:CP106,CS97),STM,2,FALSE),"----")</f>
        <v>----</v>
      </c>
      <c r="CU97" s="691" t="e">
        <f t="shared" ca="1" si="1061"/>
        <v>#N/A</v>
      </c>
      <c r="CV97" s="4" t="e">
        <f ca="1">IF(AND(INDEX(ELM,CU97,4)&gt;=$AB95,INDEX(ELM,CU97,5)&gt;=$S95,INDEX(ELM,CU97,6)&gt;=$R95),1,0)</f>
        <v>#N/A</v>
      </c>
      <c r="CW97" s="4" t="e">
        <f t="shared" ref="CW97" ca="1" si="1090">MATCH(1,OFFSET(CV95:CV106,CX96,0,COUNT(CV95:CV106)-CX96),0)</f>
        <v>#REF!</v>
      </c>
      <c r="CX97" s="4" t="e">
        <f t="shared" ca="1" si="1063"/>
        <v>#REF!</v>
      </c>
      <c r="CY97" s="692" t="str">
        <f ca="1">IFERROR(VLOOKUP(INDEX(CU95:CU106,CX97),ELM,2,FALSE),"----")</f>
        <v>----</v>
      </c>
      <c r="CZ97" s="691" t="e">
        <f t="shared" ca="1" si="1064"/>
        <v>#N/A</v>
      </c>
      <c r="DA97" s="4" t="e">
        <f ca="1">IF(LEFT($J95,7)="Clad Wo",IF(AND(INDEX(SPPWS,CZ97,4)&gt;=$AB95,INDEX(SPPWS,CZ97,5)&gt;=$S95,INDEX(SPPWS,CZ97,6)&gt;=$R95),1,0),IF(AND(INDEX(SPM,CZ97,4)&gt;=$AB95,INDEX(SPM,CZ97,5)&gt;=$S95,INDEX(SPM,CZ97,6)&gt;=$R95),1,0))</f>
        <v>#N/A</v>
      </c>
      <c r="DB97" s="4" t="e">
        <f t="shared" ref="DB97" ca="1" si="1091">MATCH(1,OFFSET(DA95:DA106,DC96,0,COUNT(DA95:DA106)-DC96),0)</f>
        <v>#REF!</v>
      </c>
      <c r="DC97" s="4" t="e">
        <f t="shared" ca="1" si="1066"/>
        <v>#REF!</v>
      </c>
      <c r="DD97" s="693" t="str">
        <f ca="1">IF(LEFT($J95,7)="Clad Wo",IFERROR(VLOOKUP(INDEX(CZ95:CZ106,DC97),SPPWS,2,FALSE),"----"),IFERROR(VLOOKUP(INDEX(CZ95:CZ106,DC97),SPM,2,FALSE),"----"))</f>
        <v>----</v>
      </c>
      <c r="DE97" s="691" t="e">
        <f t="shared" ca="1" si="1067"/>
        <v>#REF!</v>
      </c>
      <c r="DF97" s="4" t="e" cm="1">
        <f t="array" aca="1" ref="DF97" ca="1">IF(AND(INDEX(INDIRECT(BY95),DE97,4)&gt;=$AB101,INDEX(INDIRECT(BY95),DE97,5)&gt;=$S95,INDEX(INDIRECT(BY95),DE97,6)&gt;=$R95),1,0)</f>
        <v>#REF!</v>
      </c>
      <c r="DG97" s="4" t="e">
        <f t="shared" ref="DG97" ca="1" si="1092">MATCH(1,OFFSET(DF95:DF106,DH96,0,COUNT(DF95:DF106)-DH96),0)</f>
        <v>#REF!</v>
      </c>
      <c r="DH97" s="4" t="e">
        <f t="shared" ca="1" si="1069"/>
        <v>#REF!</v>
      </c>
      <c r="DI97" s="692" t="str" cm="1">
        <f t="array" aca="1" ref="DI97" ca="1">IFERROR(VLOOKUP(INDEX(DE95:DE106,DH97),INDIRECT(BY95),2,FALSE),"----")</f>
        <v>----</v>
      </c>
      <c r="DJ97" s="691" t="e">
        <f t="shared" ca="1" si="1070"/>
        <v>#N/A</v>
      </c>
      <c r="DK97" s="4" t="e">
        <f ca="1">IF(AND(INDEX(SSM,DJ97,4)&gt;=$AB101,INDEX(SSM,DJ97,5)&gt;=$S95,INDEX(SSM,DJ97,6)&gt;=$R95),1,0)</f>
        <v>#N/A</v>
      </c>
      <c r="DL97" s="4" t="e">
        <f t="shared" ref="DL97" ca="1" si="1093">MATCH(1,OFFSET(DK95:DK106,DM96,0,COUNT(DK95:DK106)-DM96),0)</f>
        <v>#REF!</v>
      </c>
      <c r="DM97" s="4" t="e">
        <f t="shared" ca="1" si="1072"/>
        <v>#REF!</v>
      </c>
      <c r="DN97" s="692" t="str">
        <f ca="1">IFERROR(IF(AD102="Nested Steel Stud (wood infill)",VLOOKUP(INDEX(DJ95:DJ106,DM97),SSW,2,FALSE),VLOOKUP(INDEX(DJ95:DJ106,DM97),SSM,2,FALSE)),"----")</f>
        <v>----</v>
      </c>
      <c r="DO97" s="691" t="e">
        <f t="shared" ca="1" si="1073"/>
        <v>#N/A</v>
      </c>
      <c r="DP97" s="4" t="e">
        <f ca="1">IF(AND(INDEX(WSM,DO97,4)&gt;=$AB101,INDEX(WSM,DO97,5)&gt;=$S95,INDEX(WSM,DO97,6)&gt;=$R95),1,0)</f>
        <v>#N/A</v>
      </c>
      <c r="DQ97" s="4" t="e">
        <f t="shared" ref="DQ97" ca="1" si="1094">MATCH(1,OFFSET(DP95:DP106,DR96,0,COUNT(DP95:DP106)-DR96),0)</f>
        <v>#REF!</v>
      </c>
      <c r="DR97" s="4" t="e">
        <f t="shared" ca="1" si="1075"/>
        <v>#REF!</v>
      </c>
      <c r="DS97" s="692" t="str">
        <f ca="1">IFERROR(VLOOKUP(INDEX(DO95:DO106,DR97),WSM,2,FALSE),"----")</f>
        <v>----</v>
      </c>
      <c r="DT97" s="691" t="e">
        <f t="shared" ca="1" si="1076"/>
        <v>#N/A</v>
      </c>
      <c r="DU97" s="4" t="e">
        <f ca="1">IF(AND(INDEX(STM,DT97,4)&gt;=$AB101,INDEX(STM,DT97,5)&gt;=$S95,INDEX(STM,DT97,6)&gt;=$R95),1,0)</f>
        <v>#N/A</v>
      </c>
      <c r="DV97" s="4" t="e">
        <f t="shared" ref="DV97" ca="1" si="1095">MATCH(1,OFFSET(DU95:DU106,DW96,0,COUNT(DU95:DU106)-DW96),0)</f>
        <v>#REF!</v>
      </c>
      <c r="DW97" s="4" t="e">
        <f t="shared" ca="1" si="1078"/>
        <v>#REF!</v>
      </c>
      <c r="DX97" s="692" t="str">
        <f ca="1">IFERROR(VLOOKUP(INDEX(DT95:DT106,DW97),STM,2,FALSE),"----")</f>
        <v>----</v>
      </c>
      <c r="DY97" s="691" t="e">
        <f t="shared" ca="1" si="1079"/>
        <v>#N/A</v>
      </c>
      <c r="DZ97" s="4" t="e">
        <f ca="1">IF(AND(INDEX(ELM,DY97,4)&gt;=$AB101,INDEX(ELM,DY97,5)&gt;=$S95,INDEX(ELM,DY97,6)&gt;=$R95),1,0)</f>
        <v>#N/A</v>
      </c>
      <c r="EA97" s="4" t="e">
        <f t="shared" ref="EA97" ca="1" si="1096">MATCH(1,OFFSET(DZ95:DZ106,EB96,0,COUNT(DZ95:DZ106)-EB96),0)</f>
        <v>#REF!</v>
      </c>
      <c r="EB97" s="4" t="e">
        <f t="shared" ca="1" si="1081"/>
        <v>#REF!</v>
      </c>
      <c r="EC97" s="692" t="str">
        <f ca="1">IFERROR(VLOOKUP(INDEX(DY95:DY106,EB97),ELM,2,FALSE),"----")</f>
        <v>----</v>
      </c>
      <c r="ED97" s="691" t="e">
        <f t="shared" ca="1" si="1082"/>
        <v>#N/A</v>
      </c>
      <c r="EE97" s="4" t="e">
        <f ca="1">IF(LEFT($J95,7)="Clad Wo",IF(AND(INDEX(SPPWS,ED97,4)&gt;=$AB101,INDEX(SPPWS,ED97,5)&gt;=$S95,INDEX(SPPWS,ED97,6)&gt;=$R95),1,0),IF(AND(INDEX(SPM,ED97,4)&gt;=$AB101,INDEX(SPM,ED97,5)&gt;=$S95,INDEX(SPM,ED97,6)&gt;=$R95),1,0))</f>
        <v>#N/A</v>
      </c>
      <c r="EF97" s="4" t="e">
        <f t="shared" ref="EF97" ca="1" si="1097">MATCH(1,OFFSET(EE95:EE106,EG96,0,COUNT(EE95:EE106)-EG96),0)</f>
        <v>#REF!</v>
      </c>
      <c r="EG97" s="4" t="e">
        <f t="shared" ca="1" si="1084"/>
        <v>#REF!</v>
      </c>
      <c r="EH97" s="692" t="str">
        <f ca="1">IF(LEFT($J95,7)="Clad Wo",IFERROR(VLOOKUP(INDEX(ED95:ED106,EG97),SPPWS,2,FALSE),"----"),IFERROR(VLOOKUP(INDEX(ED95:ED106,EG97),SPM,2,FALSE),"----"))</f>
        <v>----</v>
      </c>
    </row>
    <row r="98" spans="1:138" ht="15" customHeight="1" x14ac:dyDescent="0.25">
      <c r="A98" s="1085"/>
      <c r="B98" s="925"/>
      <c r="C98" s="926"/>
      <c r="D98" s="927"/>
      <c r="E98" s="995"/>
      <c r="F98" s="996"/>
      <c r="G98" s="997"/>
      <c r="H98" s="1062"/>
      <c r="I98" s="990"/>
      <c r="J98" s="908"/>
      <c r="K98" s="909"/>
      <c r="L98" s="1002"/>
      <c r="M98" s="923"/>
      <c r="N98" s="1042"/>
      <c r="O98" s="1018"/>
      <c r="P98" s="987"/>
      <c r="Q98" s="1015"/>
      <c r="R98" s="1012"/>
      <c r="S98" s="1006"/>
      <c r="T98" s="1007"/>
      <c r="U98" s="878"/>
      <c r="V98" s="881"/>
      <c r="W98" s="884"/>
      <c r="X98" s="884"/>
      <c r="Y98" s="887"/>
      <c r="Z98" s="887"/>
      <c r="AA98" s="887"/>
      <c r="AB98" s="1081"/>
      <c r="AC98" s="1078"/>
      <c r="AD98" s="1070" t="s">
        <v>37</v>
      </c>
      <c r="AE98" s="1071"/>
      <c r="AF98" s="1052"/>
      <c r="AG98" s="1053"/>
      <c r="AH98" s="1053"/>
      <c r="AI98" s="1066"/>
      <c r="AJ98" s="1067"/>
      <c r="AK98" s="156" t="str">
        <f t="shared" ca="1" si="62"/>
        <v/>
      </c>
      <c r="AL98" s="1039"/>
      <c r="AM98" s="343" t="str">
        <f ca="1">IFERROR(Q95/12*ROUND(VLOOKUP(AF98,OFFSET(STM,0,1),6,FALSE),2),"")</f>
        <v/>
      </c>
      <c r="AN98" t="str">
        <f t="shared" ca="1" si="5"/>
        <v/>
      </c>
      <c r="AP98" s="122" t="str">
        <f t="shared" ref="AP98" si="1098">_xlfn.CONCAT(AR98,AS100)</f>
        <v/>
      </c>
      <c r="AQ98" s="683" t="str">
        <f t="shared" si="65"/>
        <v/>
      </c>
      <c r="AR98" s="4" t="str">
        <f t="shared" si="3"/>
        <v/>
      </c>
      <c r="AS98" s="4"/>
      <c r="AT98" s="697" t="str">
        <f>AL95</f>
        <v/>
      </c>
      <c r="AU98" s="694" t="e">
        <f t="shared" ca="1" si="91"/>
        <v>#REF!</v>
      </c>
      <c r="AV98" s="686" t="str">
        <f ca="1">IFERROR(VLOOKUP(AU98,INDIRECT(AQ95),2,FALSE),"----")</f>
        <v>----</v>
      </c>
      <c r="AW98" s="694" t="e">
        <f t="shared" ca="1" si="92"/>
        <v>#REF!</v>
      </c>
      <c r="AX98" s="686" t="str">
        <f ca="1">IFERROR(VLOOKUP(AW98,INDIRECT(AQ96),2,FALSE),"----")</f>
        <v>----</v>
      </c>
      <c r="AY98" s="694" t="e">
        <f t="shared" ref="AY98" ca="1" si="1099">AY97-1</f>
        <v>#REF!</v>
      </c>
      <c r="AZ98" s="686" t="str">
        <f ca="1">IFERROR(VLOOKUP(AY98,INDIRECT(AQ97),2,FALSE),"----")</f>
        <v>----</v>
      </c>
      <c r="BA98" s="694" t="e">
        <f t="shared" ref="BA98" ca="1" si="1100">BA97-1</f>
        <v>#REF!</v>
      </c>
      <c r="BB98" s="686" t="str">
        <f ca="1">IFERROR(VLOOKUP(BA98,INDIRECT(AQ98),2,FALSE),"----")</f>
        <v>----</v>
      </c>
      <c r="BC98" s="694" t="e">
        <f t="shared" ca="1" si="95"/>
        <v>#REF!</v>
      </c>
      <c r="BD98" s="686" t="str">
        <f ca="1">IFERROR(VLOOKUP(BC98,INDIRECT(AQ99),2,FALSE),"----")</f>
        <v>----</v>
      </c>
      <c r="BE98" s="694" t="e">
        <f t="shared" ca="1" si="96"/>
        <v>#REF!</v>
      </c>
      <c r="BF98" s="686" t="str">
        <f ca="1">IFERROR(VLOOKUP(BE98,INDIRECT(AQ100),2,FALSE),"----")</f>
        <v>----</v>
      </c>
      <c r="BG98" s="694" t="e">
        <f t="shared" ca="1" si="97"/>
        <v>#REF!</v>
      </c>
      <c r="BH98" s="686" t="str">
        <f ca="1">IFERROR(VLOOKUP(BG98,INDIRECT(AQ101),2,FALSE),"----")</f>
        <v>----</v>
      </c>
      <c r="BI98" s="694" t="e">
        <f t="shared" ca="1" si="98"/>
        <v>#REF!</v>
      </c>
      <c r="BJ98" s="686" t="str">
        <f ca="1">IFERROR(VLOOKUP(BI98,INDIRECT(AQ102),2,FALSE),"----")</f>
        <v>----</v>
      </c>
      <c r="BK98" s="694" t="e">
        <f t="shared" ca="1" si="99"/>
        <v>#REF!</v>
      </c>
      <c r="BL98" s="686" t="str">
        <f ca="1">IFERROR(VLOOKUP(BK98,INDIRECT(AQ103),2,FALSE),"----")</f>
        <v>----</v>
      </c>
      <c r="BM98" s="694" t="e">
        <f t="shared" ca="1" si="100"/>
        <v>#REF!</v>
      </c>
      <c r="BN98" s="686" t="str">
        <f ca="1">IFERROR(VLOOKUP(BM98,INDIRECT(AQ104),2,FALSE),"----")</f>
        <v>----</v>
      </c>
      <c r="BO98" s="694" t="e">
        <f t="shared" ca="1" si="101"/>
        <v>#REF!</v>
      </c>
      <c r="BP98" s="686" t="str">
        <f ca="1">IFERROR(VLOOKUP(BO98,INDIRECT(AQ105),2,FALSE),"----")</f>
        <v>----</v>
      </c>
      <c r="BQ98" s="694" t="e">
        <f t="shared" ca="1" si="102"/>
        <v>#REF!</v>
      </c>
      <c r="BR98" s="686" t="str">
        <f ca="1">IFERROR(VLOOKUP(BQ98,INDIRECT(AQ106),2,FALSE),"----")</f>
        <v>----</v>
      </c>
      <c r="BS98" s="695">
        <f>IF(AI98="",1,IF(COUNTIF(BB95:BB106,AI98)=0,2,1))</f>
        <v>1</v>
      </c>
      <c r="BT98" s="696">
        <f>IF(AF98="",1,IF(BB95=".",2,1))</f>
        <v>1</v>
      </c>
      <c r="BU98" s="706"/>
      <c r="BV98" s="155">
        <f ca="1">IF(COUNTIF(CT95:CT106,AF98)=0,IF(AF98&lt;&gt;"",0,1),1)</f>
        <v>1</v>
      </c>
      <c r="BW98" s="157">
        <f ca="1">IFERROR(MATCH(AF98,CT95:CT106,0),1)</f>
        <v>1</v>
      </c>
      <c r="BX98" s="769"/>
      <c r="BY98" s="769"/>
      <c r="BZ98" s="1110"/>
      <c r="CA98" s="691" t="e">
        <f t="shared" ca="1" si="1049"/>
        <v>#REF!</v>
      </c>
      <c r="CB98" s="4" t="e" cm="1">
        <f t="array" aca="1" ref="CB98" ca="1">IF(AND(INDEX(INDIRECT(BY95),CA98,4)&gt;=$AB95,INDEX(INDIRECT(BY95),CA98,5)&gt;=$S95,INDEX(INDIRECT(BY95),CA98,6)&gt;=$R95),1,0)</f>
        <v>#REF!</v>
      </c>
      <c r="CC98" s="4" t="e">
        <f t="shared" ref="CC98" ca="1" si="1101">MATCH(1,OFFSET(CB95:CB106,CD97,0,COUNT(CB95:CB106)-CD97),0)</f>
        <v>#REF!</v>
      </c>
      <c r="CD98" s="4" t="e">
        <f t="shared" ca="1" si="1051"/>
        <v>#REF!</v>
      </c>
      <c r="CE98" s="692" t="str" cm="1">
        <f t="array" aca="1" ref="CE98" ca="1">IFERROR(VLOOKUP(INDEX(CA95:CA106,CD98),INDIRECT(BY95),2,FALSE),"----")</f>
        <v>----</v>
      </c>
      <c r="CF98" s="691" t="e">
        <f t="shared" ca="1" si="1052"/>
        <v>#N/A</v>
      </c>
      <c r="CG98" s="4" t="e">
        <f ca="1">IF(AND(INDEX(SSM,CF98,4)&gt;=$AB95,INDEX(SSM,CF98,5)&gt;=$S95,INDEX(SSM,CF98,6)&gt;=$R95),1,0)</f>
        <v>#N/A</v>
      </c>
      <c r="CH98" s="4" t="e">
        <f t="shared" ref="CH98" ca="1" si="1102">MATCH(1,OFFSET(CG95:CG106,CI97,0,COUNT(CG95:CG106)-CI97),0)</f>
        <v>#REF!</v>
      </c>
      <c r="CI98" s="4" t="e">
        <f t="shared" ca="1" si="1054"/>
        <v>#REF!</v>
      </c>
      <c r="CJ98" s="692" t="str">
        <f ca="1">IFERROR(IF(AD96="Nested Steel Stud (wood infill)",VLOOKUP(INDEX(CF95:CF106,CI98),SSW,2,FALSE),VLOOKUP(INDEX(CF95:CF106,CI98),SSM,2,FALSE)),"----")</f>
        <v>----</v>
      </c>
      <c r="CK98" s="691" t="e">
        <f t="shared" ca="1" si="1055"/>
        <v>#N/A</v>
      </c>
      <c r="CL98" s="4" t="e">
        <f ca="1">IF(AND(INDEX(WSM,CK98,4)&gt;=$AB95,INDEX(WSM,CK98,5)&gt;=$S95,INDEX(WSM,CK98,6)&gt;=$R95),1,0)</f>
        <v>#N/A</v>
      </c>
      <c r="CM98" s="4" t="e">
        <f t="shared" ref="CM98" ca="1" si="1103">MATCH(1,OFFSET(CL95:CL106,CN97,0,COUNT(CL95:CL106)-CN97),0)</f>
        <v>#REF!</v>
      </c>
      <c r="CN98" s="4" t="e">
        <f t="shared" ca="1" si="1057"/>
        <v>#REF!</v>
      </c>
      <c r="CO98" s="692" t="str">
        <f ca="1">IFERROR(VLOOKUP(INDEX(CK95:CK106,CN98),WSM,2,FALSE),"----")</f>
        <v>----</v>
      </c>
      <c r="CP98" s="691" t="e">
        <f t="shared" ca="1" si="1058"/>
        <v>#N/A</v>
      </c>
      <c r="CQ98" s="4" t="e">
        <f ca="1">IF(AND(INDEX(STM,CP98,4)&gt;=$AB95,INDEX(STM,CP98,5)&gt;=$S95,INDEX(STM,CP98,6)&gt;=$R95),1,0)</f>
        <v>#N/A</v>
      </c>
      <c r="CR98" s="4" t="e">
        <f t="shared" ref="CR98" ca="1" si="1104">MATCH(1,OFFSET(CQ95:CQ106,CS97,0,COUNT(CQ95:CQ106)-CS97),0)</f>
        <v>#REF!</v>
      </c>
      <c r="CS98" s="4" t="e">
        <f t="shared" ca="1" si="1060"/>
        <v>#REF!</v>
      </c>
      <c r="CT98" s="692" t="str">
        <f ca="1">IFERROR(VLOOKUP(INDEX(CP95:CP106,CS98),STM,2,FALSE),"----")</f>
        <v>----</v>
      </c>
      <c r="CU98" s="691" t="e">
        <f t="shared" ca="1" si="1061"/>
        <v>#N/A</v>
      </c>
      <c r="CV98" s="4" t="e">
        <f ca="1">IF(AND(INDEX(ELM,CU98,4)&gt;=$AB95,INDEX(ELM,CU98,5)&gt;=$S95,INDEX(ELM,CU98,6)&gt;=$R95),1,0)</f>
        <v>#N/A</v>
      </c>
      <c r="CW98" s="4" t="e">
        <f t="shared" ref="CW98" ca="1" si="1105">MATCH(1,OFFSET(CV95:CV106,CX97,0,COUNT(CV95:CV106)-CX97),0)</f>
        <v>#REF!</v>
      </c>
      <c r="CX98" s="4" t="e">
        <f t="shared" ca="1" si="1063"/>
        <v>#REF!</v>
      </c>
      <c r="CY98" s="692" t="str">
        <f ca="1">IFERROR(VLOOKUP(INDEX(CU95:CU106,CX98),ELM,2,FALSE),"----")</f>
        <v>----</v>
      </c>
      <c r="CZ98" s="691" t="e">
        <f t="shared" ca="1" si="1064"/>
        <v>#N/A</v>
      </c>
      <c r="DA98" s="4" t="e">
        <f ca="1">IF(LEFT($J95,7)="Clad Wo",IF(AND(INDEX(SPPWS,CZ98,4)&gt;=$AB95,INDEX(SPPWS,CZ98,5)&gt;=$S95,INDEX(SPPWS,CZ98,6)&gt;=$R95),1,0),IF(AND(INDEX(SPM,CZ98,4)&gt;=$AB95,INDEX(SPM,CZ98,5)&gt;=$S95,INDEX(SPM,CZ98,6)&gt;=$R95),1,0))</f>
        <v>#N/A</v>
      </c>
      <c r="DB98" s="4" t="e">
        <f t="shared" ref="DB98" ca="1" si="1106">MATCH(1,OFFSET(DA95:DA106,DC97,0,COUNT(DA95:DA106)-DC97),0)</f>
        <v>#REF!</v>
      </c>
      <c r="DC98" s="4" t="e">
        <f t="shared" ca="1" si="1066"/>
        <v>#REF!</v>
      </c>
      <c r="DD98" s="693" t="str">
        <f ca="1">IF(LEFT($J95,7)="Clad Wo",IFERROR(VLOOKUP(INDEX(CZ95:CZ106,DC98),SPPWS,2,FALSE),"----"),IFERROR(VLOOKUP(INDEX(CZ95:CZ106,DC98),SPM,2,FALSE),"----"))</f>
        <v>----</v>
      </c>
      <c r="DE98" s="691" t="e">
        <f t="shared" ca="1" si="1067"/>
        <v>#REF!</v>
      </c>
      <c r="DF98" s="4" t="e" cm="1">
        <f t="array" aca="1" ref="DF98" ca="1">IF(AND(INDEX(INDIRECT(BY95),DE98,4)&gt;=$AB101,INDEX(INDIRECT(BY95),DE98,5)&gt;=$S95,INDEX(INDIRECT(BY95),DE98,6)&gt;=$R95),1,0)</f>
        <v>#REF!</v>
      </c>
      <c r="DG98" s="4" t="e">
        <f t="shared" ref="DG98" ca="1" si="1107">MATCH(1,OFFSET(DF95:DF106,DH97,0,COUNT(DF95:DF106)-DH97),0)</f>
        <v>#REF!</v>
      </c>
      <c r="DH98" s="4" t="e">
        <f t="shared" ca="1" si="1069"/>
        <v>#REF!</v>
      </c>
      <c r="DI98" s="692" t="str" cm="1">
        <f t="array" aca="1" ref="DI98" ca="1">IFERROR(VLOOKUP(INDEX(DE95:DE106,DH98),INDIRECT(BY95),2,FALSE),"----")</f>
        <v>----</v>
      </c>
      <c r="DJ98" s="691" t="e">
        <f t="shared" ca="1" si="1070"/>
        <v>#N/A</v>
      </c>
      <c r="DK98" s="4" t="e">
        <f ca="1">IF(AND(INDEX(SSM,DJ98,4)&gt;=$AB101,INDEX(SSM,DJ98,5)&gt;=$S95,INDEX(SSM,DJ98,6)&gt;=$R95),1,0)</f>
        <v>#N/A</v>
      </c>
      <c r="DL98" s="4" t="e">
        <f t="shared" ref="DL98" ca="1" si="1108">MATCH(1,OFFSET(DK95:DK106,DM97,0,COUNT(DK95:DK106)-DM97),0)</f>
        <v>#REF!</v>
      </c>
      <c r="DM98" s="4" t="e">
        <f t="shared" ca="1" si="1072"/>
        <v>#REF!</v>
      </c>
      <c r="DN98" s="692" t="str">
        <f ca="1">IFERROR(IF(AD102="Nested Steel Stud (wood infill)",VLOOKUP(INDEX(DJ95:DJ106,DM98),SSW,2,FALSE),VLOOKUP(INDEX(DJ95:DJ106,DM98),SSM,2,FALSE)),"----")</f>
        <v>----</v>
      </c>
      <c r="DO98" s="691" t="e">
        <f t="shared" ca="1" si="1073"/>
        <v>#N/A</v>
      </c>
      <c r="DP98" s="4" t="e">
        <f ca="1">IF(AND(INDEX(WSM,DO98,4)&gt;=$AB101,INDEX(WSM,DO98,5)&gt;=$S95,INDEX(WSM,DO98,6)&gt;=$R95),1,0)</f>
        <v>#N/A</v>
      </c>
      <c r="DQ98" s="4" t="e">
        <f t="shared" ref="DQ98" ca="1" si="1109">MATCH(1,OFFSET(DP95:DP106,DR97,0,COUNT(DP95:DP106)-DR97),0)</f>
        <v>#REF!</v>
      </c>
      <c r="DR98" s="4" t="e">
        <f t="shared" ca="1" si="1075"/>
        <v>#REF!</v>
      </c>
      <c r="DS98" s="692" t="str">
        <f ca="1">IFERROR(VLOOKUP(INDEX(DO95:DO106,DR98),WSM,2,FALSE),"----")</f>
        <v>----</v>
      </c>
      <c r="DT98" s="691" t="e">
        <f t="shared" ca="1" si="1076"/>
        <v>#N/A</v>
      </c>
      <c r="DU98" s="4" t="e">
        <f ca="1">IF(AND(INDEX(STM,DT98,4)&gt;=$AB101,INDEX(STM,DT98,5)&gt;=$S95,INDEX(STM,DT98,6)&gt;=$R95),1,0)</f>
        <v>#N/A</v>
      </c>
      <c r="DV98" s="4" t="e">
        <f t="shared" ref="DV98" ca="1" si="1110">MATCH(1,OFFSET(DU95:DU106,DW97,0,COUNT(DU95:DU106)-DW97),0)</f>
        <v>#REF!</v>
      </c>
      <c r="DW98" s="4" t="e">
        <f t="shared" ca="1" si="1078"/>
        <v>#REF!</v>
      </c>
      <c r="DX98" s="692" t="str">
        <f ca="1">IFERROR(VLOOKUP(INDEX(DT95:DT106,DW98),STM,2,FALSE),"----")</f>
        <v>----</v>
      </c>
      <c r="DY98" s="691" t="e">
        <f t="shared" ca="1" si="1079"/>
        <v>#N/A</v>
      </c>
      <c r="DZ98" s="4" t="e">
        <f ca="1">IF(AND(INDEX(ELM,DY98,4)&gt;=$AB101,INDEX(ELM,DY98,5)&gt;=$S95,INDEX(ELM,DY98,6)&gt;=$R95),1,0)</f>
        <v>#N/A</v>
      </c>
      <c r="EA98" s="4" t="e">
        <f t="shared" ref="EA98" ca="1" si="1111">MATCH(1,OFFSET(DZ95:DZ106,EB97,0,COUNT(DZ95:DZ106)-EB97),0)</f>
        <v>#REF!</v>
      </c>
      <c r="EB98" s="4" t="e">
        <f t="shared" ca="1" si="1081"/>
        <v>#REF!</v>
      </c>
      <c r="EC98" s="692" t="str">
        <f ca="1">IFERROR(VLOOKUP(INDEX(DY95:DY106,EB98),ELM,2,FALSE),"----")</f>
        <v>----</v>
      </c>
      <c r="ED98" s="691" t="e">
        <f t="shared" ca="1" si="1082"/>
        <v>#N/A</v>
      </c>
      <c r="EE98" s="4" t="e">
        <f ca="1">IF(LEFT($J95,7)="Clad Wo",IF(AND(INDEX(SPPWS,ED98,4)&gt;=$AB101,INDEX(SPPWS,ED98,5)&gt;=$S95,INDEX(SPPWS,ED98,6)&gt;=$R95),1,0),IF(AND(INDEX(SPM,ED98,4)&gt;=$AB101,INDEX(SPM,ED98,5)&gt;=$S95,INDEX(SPM,ED98,6)&gt;=$R95),1,0))</f>
        <v>#N/A</v>
      </c>
      <c r="EF98" s="4" t="e">
        <f t="shared" ref="EF98" ca="1" si="1112">MATCH(1,OFFSET(EE95:EE106,EG97,0,COUNT(EE95:EE106)-EG97),0)</f>
        <v>#REF!</v>
      </c>
      <c r="EG98" s="4" t="e">
        <f t="shared" ca="1" si="1084"/>
        <v>#REF!</v>
      </c>
      <c r="EH98" s="692" t="str">
        <f ca="1">IF(LEFT($J95,7)="Clad Wo",IFERROR(VLOOKUP(INDEX(ED95:ED106,EG98),SPPWS,2,FALSE),"----"),IFERROR(VLOOKUP(INDEX(ED95:ED106,EG98),SPM,2,FALSE),"----"))</f>
        <v>----</v>
      </c>
    </row>
    <row r="99" spans="1:138" ht="15" customHeight="1" x14ac:dyDescent="0.25">
      <c r="A99" s="1085"/>
      <c r="B99" s="925"/>
      <c r="C99" s="926"/>
      <c r="D99" s="927"/>
      <c r="E99" s="995"/>
      <c r="F99" s="996"/>
      <c r="G99" s="997"/>
      <c r="H99" s="1062"/>
      <c r="I99" s="990"/>
      <c r="J99" s="910"/>
      <c r="K99" s="911"/>
      <c r="L99" s="1002"/>
      <c r="M99" s="923"/>
      <c r="N99" s="1042"/>
      <c r="O99" s="1018"/>
      <c r="P99" s="987"/>
      <c r="Q99" s="1015"/>
      <c r="R99" s="1012"/>
      <c r="S99" s="1006"/>
      <c r="T99" s="1007"/>
      <c r="U99" s="878"/>
      <c r="V99" s="881"/>
      <c r="W99" s="884"/>
      <c r="X99" s="884"/>
      <c r="Y99" s="887"/>
      <c r="Z99" s="887"/>
      <c r="AA99" s="887"/>
      <c r="AB99" s="1081"/>
      <c r="AC99" s="1078"/>
      <c r="AD99" s="1070" t="s">
        <v>39</v>
      </c>
      <c r="AE99" s="1071"/>
      <c r="AF99" s="1052"/>
      <c r="AG99" s="1053"/>
      <c r="AH99" s="1053"/>
      <c r="AI99" s="1068"/>
      <c r="AJ99" s="1069"/>
      <c r="AK99" s="154" t="str">
        <f t="shared" ca="1" si="62"/>
        <v/>
      </c>
      <c r="AL99" s="1039"/>
      <c r="AM99" s="344" t="str">
        <f ca="1">IFERROR(Q95/12*ROUND(VLOOKUP(AF99,OFFSET(ELM,0,1),6,FALSE),2),"")</f>
        <v/>
      </c>
      <c r="AN99" t="str">
        <f t="shared" ca="1" si="5"/>
        <v/>
      </c>
      <c r="AP99" s="122" t="str">
        <f t="shared" ref="AP99" si="1113">_xlfn.CONCAT(AR99,AS100)</f>
        <v/>
      </c>
      <c r="AQ99" s="683" t="str">
        <f t="shared" si="65"/>
        <v/>
      </c>
      <c r="AR99" s="4" t="str">
        <f t="shared" ref="AR99:AR162" si="1114">IFERROR(VLOOKUP(AF99,MullList,2,FALSE),"")</f>
        <v/>
      </c>
      <c r="AS99" s="4"/>
      <c r="AT99" s="697" t="str">
        <f>AL95</f>
        <v/>
      </c>
      <c r="AU99" s="694" t="e">
        <f t="shared" ca="1" si="91"/>
        <v>#REF!</v>
      </c>
      <c r="AV99" s="698" t="str">
        <f ca="1">IFERROR(VLOOKUP(AU99,INDIRECT(AQ95),2,FALSE),"----")</f>
        <v>----</v>
      </c>
      <c r="AW99" s="694" t="e">
        <f t="shared" ca="1" si="92"/>
        <v>#REF!</v>
      </c>
      <c r="AX99" s="698" t="str">
        <f ca="1">IFERROR(VLOOKUP(AW99,INDIRECT(AQ96),2,FALSE),"----")</f>
        <v>----</v>
      </c>
      <c r="AY99" s="694" t="e">
        <f t="shared" ref="AY99" ca="1" si="1115">AY98-1</f>
        <v>#REF!</v>
      </c>
      <c r="AZ99" s="698" t="str">
        <f ca="1">IFERROR(VLOOKUP(AY99,INDIRECT(AQ97),2,FALSE),"----")</f>
        <v>----</v>
      </c>
      <c r="BA99" s="694" t="e">
        <f t="shared" ref="BA99" ca="1" si="1116">BA98-1</f>
        <v>#REF!</v>
      </c>
      <c r="BB99" s="698" t="str">
        <f ca="1">IFERROR(VLOOKUP(BA99,INDIRECT(AQ98),2,FALSE),"----")</f>
        <v>----</v>
      </c>
      <c r="BC99" s="694" t="e">
        <f t="shared" ca="1" si="95"/>
        <v>#REF!</v>
      </c>
      <c r="BD99" s="698" t="str">
        <f ca="1">IFERROR(VLOOKUP(BC99,INDIRECT(AQ99),2,FALSE),"----")</f>
        <v>----</v>
      </c>
      <c r="BE99" s="694" t="e">
        <f t="shared" ca="1" si="96"/>
        <v>#REF!</v>
      </c>
      <c r="BF99" s="698" t="str">
        <f ca="1">IFERROR(VLOOKUP(BE99,INDIRECT(AQ100),2,FALSE),"----")</f>
        <v>----</v>
      </c>
      <c r="BG99" s="694" t="e">
        <f t="shared" ca="1" si="97"/>
        <v>#REF!</v>
      </c>
      <c r="BH99" s="686" t="str">
        <f ca="1">IFERROR(VLOOKUP(BG99,INDIRECT(AQ101),2,FALSE),"----")</f>
        <v>----</v>
      </c>
      <c r="BI99" s="694" t="e">
        <f t="shared" ca="1" si="98"/>
        <v>#REF!</v>
      </c>
      <c r="BJ99" s="686" t="str">
        <f ca="1">IFERROR(VLOOKUP(BI99,INDIRECT(AQ102),2,FALSE),"----")</f>
        <v>----</v>
      </c>
      <c r="BK99" s="694" t="e">
        <f t="shared" ca="1" si="99"/>
        <v>#REF!</v>
      </c>
      <c r="BL99" s="686" t="str">
        <f ca="1">IFERROR(VLOOKUP(BK99,INDIRECT(AQ103),2,FALSE),"----")</f>
        <v>----</v>
      </c>
      <c r="BM99" s="694" t="e">
        <f t="shared" ca="1" si="100"/>
        <v>#REF!</v>
      </c>
      <c r="BN99" s="686" t="str">
        <f ca="1">IFERROR(VLOOKUP(BM99,INDIRECT(AQ104),2,FALSE),"----")</f>
        <v>----</v>
      </c>
      <c r="BO99" s="694" t="e">
        <f t="shared" ca="1" si="101"/>
        <v>#REF!</v>
      </c>
      <c r="BP99" s="686" t="str">
        <f ca="1">IFERROR(VLOOKUP(BO99,INDIRECT(AQ105),2,FALSE),"----")</f>
        <v>----</v>
      </c>
      <c r="BQ99" s="694" t="e">
        <f t="shared" ca="1" si="102"/>
        <v>#REF!</v>
      </c>
      <c r="BR99" s="686" t="str">
        <f ca="1">IFERROR(VLOOKUP(BQ99,INDIRECT(AQ106),2,FALSE),"----")</f>
        <v>----</v>
      </c>
      <c r="BS99" s="695">
        <f>IF(AI99="",1,IF(COUNTIF(BD95:BD106,AI99)=0,2,1))</f>
        <v>1</v>
      </c>
      <c r="BT99" s="696">
        <f>IF(AF99="",1,IF(BD95=".",2,1))</f>
        <v>1</v>
      </c>
      <c r="BU99" s="706"/>
      <c r="BV99" s="155">
        <f ca="1">IF(COUNTIF(CY95:CY106,AF99)=0,IF(AF99&lt;&gt;"",0,1),1)</f>
        <v>1</v>
      </c>
      <c r="BW99" s="157">
        <f ca="1">IFERROR(MATCH(AF99,CY95:CY106,0),1)</f>
        <v>1</v>
      </c>
      <c r="BX99" s="769"/>
      <c r="BY99" s="769"/>
      <c r="BZ99" s="1110"/>
      <c r="CA99" s="691" t="e">
        <f t="shared" ca="1" si="1049"/>
        <v>#REF!</v>
      </c>
      <c r="CB99" s="4" t="e" cm="1">
        <f t="array" aca="1" ref="CB99" ca="1">IF(AND(INDEX(INDIRECT(BY95),CA99,4)&gt;=$AB95,INDEX(INDIRECT(BY95),CA99,5)&gt;=$S95,INDEX(INDIRECT(BY95),CA99,6)&gt;=$R95),1,0)</f>
        <v>#REF!</v>
      </c>
      <c r="CC99" s="4" t="e">
        <f t="shared" ref="CC99" ca="1" si="1117">MATCH(1,OFFSET(CB95:CB106,CD98,0,COUNT(CB95:CB106)-CD98),0)</f>
        <v>#REF!</v>
      </c>
      <c r="CD99" s="4" t="e">
        <f t="shared" ca="1" si="1051"/>
        <v>#REF!</v>
      </c>
      <c r="CE99" s="692" t="str" cm="1">
        <f t="array" aca="1" ref="CE99" ca="1">IFERROR(VLOOKUP(INDEX(CA95:CA106,CD99),INDIRECT(BY95),2,FALSE),"----")</f>
        <v>----</v>
      </c>
      <c r="CF99" s="691" t="e">
        <f t="shared" ca="1" si="1052"/>
        <v>#N/A</v>
      </c>
      <c r="CG99" s="4" t="e">
        <f ca="1">IF(AND(INDEX(SSM,CF99,4)&gt;=$AB95,INDEX(SSM,CF99,5)&gt;=$S95,INDEX(SSM,CF99,6)&gt;=$R95),1,0)</f>
        <v>#N/A</v>
      </c>
      <c r="CH99" s="4" t="e">
        <f t="shared" ref="CH99" ca="1" si="1118">MATCH(1,OFFSET(CG95:CG106,CI98,0,COUNT(CG95:CG106)-CI98),0)</f>
        <v>#REF!</v>
      </c>
      <c r="CI99" s="4" t="e">
        <f t="shared" ca="1" si="1054"/>
        <v>#REF!</v>
      </c>
      <c r="CJ99" s="692" t="str">
        <f ca="1">IFERROR(IF(AD96="Nested Steel Stud (wood infill)",VLOOKUP(INDEX(CF95:CF106,CI99),SSW,2,FALSE),VLOOKUP(INDEX(CF95:CF106,CI99),SSM,2,FALSE)),"----")</f>
        <v>----</v>
      </c>
      <c r="CK99" s="691" t="e">
        <f t="shared" ca="1" si="1055"/>
        <v>#N/A</v>
      </c>
      <c r="CL99" s="4" t="e">
        <f ca="1">IF(AND(INDEX(WSM,CK99,4)&gt;=$AB95,INDEX(WSM,CK99,5)&gt;=$S95,INDEX(WSM,CK99,6)&gt;=$R95),1,0)</f>
        <v>#N/A</v>
      </c>
      <c r="CM99" s="4" t="e">
        <f t="shared" ref="CM99" ca="1" si="1119">MATCH(1,OFFSET(CL95:CL106,CN98,0,COUNT(CL95:CL106)-CN98),0)</f>
        <v>#REF!</v>
      </c>
      <c r="CN99" s="4" t="e">
        <f t="shared" ca="1" si="1057"/>
        <v>#REF!</v>
      </c>
      <c r="CO99" s="692" t="str">
        <f ca="1">IFERROR(VLOOKUP(INDEX(CK95:CK106,CN99),WSM,2,FALSE),"----")</f>
        <v>----</v>
      </c>
      <c r="CP99" s="691" t="e">
        <f t="shared" ca="1" si="1058"/>
        <v>#N/A</v>
      </c>
      <c r="CQ99" s="4" t="e">
        <f ca="1">IF(AND(INDEX(STM,CP99,4)&gt;=$AB95,INDEX(STM,CP99,5)&gt;=$S95,INDEX(STM,CP99,6)&gt;=$R95),1,0)</f>
        <v>#N/A</v>
      </c>
      <c r="CR99" s="4" t="e">
        <f t="shared" ref="CR99" ca="1" si="1120">MATCH(1,OFFSET(CQ95:CQ106,CS98,0,COUNT(CQ95:CQ106)-CS98),0)</f>
        <v>#REF!</v>
      </c>
      <c r="CS99" s="4" t="e">
        <f t="shared" ca="1" si="1060"/>
        <v>#REF!</v>
      </c>
      <c r="CT99" s="692" t="str">
        <f ca="1">IFERROR(VLOOKUP(INDEX(CP95:CP106,CS99),STM,2,FALSE),"----")</f>
        <v>----</v>
      </c>
      <c r="CU99" s="691" t="e">
        <f t="shared" ca="1" si="1061"/>
        <v>#N/A</v>
      </c>
      <c r="CV99" s="4" t="e">
        <f ca="1">IF(AND(INDEX(ELM,CU99,4)&gt;=$AB95,INDEX(ELM,CU99,5)&gt;=$S95,INDEX(ELM,CU99,6)&gt;=$R95),1,0)</f>
        <v>#N/A</v>
      </c>
      <c r="CW99" s="4" t="e">
        <f t="shared" ref="CW99" ca="1" si="1121">MATCH(1,OFFSET(CV95:CV106,CX98,0,COUNT(CV95:CV106)-CX98),0)</f>
        <v>#REF!</v>
      </c>
      <c r="CX99" s="4" t="e">
        <f t="shared" ca="1" si="1063"/>
        <v>#REF!</v>
      </c>
      <c r="CY99" s="692" t="str">
        <f ca="1">IFERROR(VLOOKUP(INDEX(CU95:CU106,CX99),ELM,2,FALSE),"----")</f>
        <v>----</v>
      </c>
      <c r="CZ99" s="691" t="e">
        <f t="shared" ca="1" si="1064"/>
        <v>#N/A</v>
      </c>
      <c r="DA99" s="4" t="e">
        <f ca="1">IF(LEFT($J95,7)="Clad Wo",IF(AND(INDEX(SPPWS,CZ99,4)&gt;=$AB95,INDEX(SPPWS,CZ99,5)&gt;=$S95,INDEX(SPPWS,CZ99,6)&gt;=$R95),1,0),IF(AND(INDEX(SPM,CZ99,4)&gt;=$AB95,INDEX(SPM,CZ99,5)&gt;=$S95,INDEX(SPM,CZ99,6)&gt;=$R95),1,0))</f>
        <v>#N/A</v>
      </c>
      <c r="DB99" s="4" t="e">
        <f t="shared" ref="DB99" ca="1" si="1122">MATCH(1,OFFSET(DA95:DA106,DC98,0,COUNT(DA95:DA106)-DC98),0)</f>
        <v>#REF!</v>
      </c>
      <c r="DC99" s="4" t="e">
        <f t="shared" ca="1" si="1066"/>
        <v>#REF!</v>
      </c>
      <c r="DD99" s="693" t="str">
        <f ca="1">IF(LEFT($J95,7)="Clad Wo",IFERROR(VLOOKUP(INDEX(CZ95:CZ106,DC99),SPPWS,2,FALSE),"----"),IFERROR(VLOOKUP(INDEX(CZ95:CZ106,DC99),SPM,2,FALSE),"----"))</f>
        <v>----</v>
      </c>
      <c r="DE99" s="691" t="e">
        <f t="shared" ca="1" si="1067"/>
        <v>#REF!</v>
      </c>
      <c r="DF99" s="4" t="e" cm="1">
        <f t="array" aca="1" ref="DF99" ca="1">IF(AND(INDEX(INDIRECT(BY95),DE99,4)&gt;=$AB101,INDEX(INDIRECT(BY95),DE99,5)&gt;=$S95,INDEX(INDIRECT(BY95),DE99,6)&gt;=$R95),1,0)</f>
        <v>#REF!</v>
      </c>
      <c r="DG99" s="4" t="e">
        <f t="shared" ref="DG99" ca="1" si="1123">MATCH(1,OFFSET(DF95:DF106,DH98,0,COUNT(DF95:DF106)-DH98),0)</f>
        <v>#REF!</v>
      </c>
      <c r="DH99" s="4" t="e">
        <f t="shared" ca="1" si="1069"/>
        <v>#REF!</v>
      </c>
      <c r="DI99" s="692" t="str" cm="1">
        <f t="array" aca="1" ref="DI99" ca="1">IFERROR(VLOOKUP(INDEX(DE95:DE106,DH99),INDIRECT(BY95),2,FALSE),"----")</f>
        <v>----</v>
      </c>
      <c r="DJ99" s="691" t="e">
        <f t="shared" ca="1" si="1070"/>
        <v>#N/A</v>
      </c>
      <c r="DK99" s="4" t="e">
        <f ca="1">IF(AND(INDEX(SSM,DJ99,4)&gt;=$AB101,INDEX(SSM,DJ99,5)&gt;=$S95,INDEX(SSM,DJ99,6)&gt;=$R95),1,0)</f>
        <v>#N/A</v>
      </c>
      <c r="DL99" s="4" t="e">
        <f t="shared" ref="DL99" ca="1" si="1124">MATCH(1,OFFSET(DK95:DK106,DM98,0,COUNT(DK95:DK106)-DM98),0)</f>
        <v>#REF!</v>
      </c>
      <c r="DM99" s="4" t="e">
        <f t="shared" ca="1" si="1072"/>
        <v>#REF!</v>
      </c>
      <c r="DN99" s="692" t="str">
        <f ca="1">IFERROR(IF(AD102="Nested Steel Stud (wood infill)",VLOOKUP(INDEX(DJ95:DJ106,DM99),SSW,2,FALSE),VLOOKUP(INDEX(DJ95:DJ106,DM99),SSM,2,FALSE)),"----")</f>
        <v>----</v>
      </c>
      <c r="DO99" s="691" t="e">
        <f t="shared" ca="1" si="1073"/>
        <v>#N/A</v>
      </c>
      <c r="DP99" s="4" t="e">
        <f ca="1">IF(AND(INDEX(WSM,DO99,4)&gt;=$AB101,INDEX(WSM,DO99,5)&gt;=$S95,INDEX(WSM,DO99,6)&gt;=$R95),1,0)</f>
        <v>#N/A</v>
      </c>
      <c r="DQ99" s="4" t="e">
        <f t="shared" ref="DQ99" ca="1" si="1125">MATCH(1,OFFSET(DP95:DP106,DR98,0,COUNT(DP95:DP106)-DR98),0)</f>
        <v>#REF!</v>
      </c>
      <c r="DR99" s="4" t="e">
        <f t="shared" ca="1" si="1075"/>
        <v>#REF!</v>
      </c>
      <c r="DS99" s="692" t="str">
        <f ca="1">IFERROR(VLOOKUP(INDEX(DO95:DO106,DR99),WSM,2,FALSE),"----")</f>
        <v>----</v>
      </c>
      <c r="DT99" s="691" t="e">
        <f t="shared" ca="1" si="1076"/>
        <v>#N/A</v>
      </c>
      <c r="DU99" s="4" t="e">
        <f ca="1">IF(AND(INDEX(STM,DT99,4)&gt;=$AB101,INDEX(STM,DT99,5)&gt;=$S95,INDEX(STM,DT99,6)&gt;=$R95),1,0)</f>
        <v>#N/A</v>
      </c>
      <c r="DV99" s="4" t="e">
        <f t="shared" ref="DV99" ca="1" si="1126">MATCH(1,OFFSET(DU95:DU106,DW98,0,COUNT(DU95:DU106)-DW98),0)</f>
        <v>#REF!</v>
      </c>
      <c r="DW99" s="4" t="e">
        <f t="shared" ca="1" si="1078"/>
        <v>#REF!</v>
      </c>
      <c r="DX99" s="692" t="str">
        <f ca="1">IFERROR(VLOOKUP(INDEX(DT95:DT106,DW99),STM,2,FALSE),"----")</f>
        <v>----</v>
      </c>
      <c r="DY99" s="691" t="e">
        <f t="shared" ca="1" si="1079"/>
        <v>#N/A</v>
      </c>
      <c r="DZ99" s="4" t="e">
        <f ca="1">IF(AND(INDEX(ELM,DY99,4)&gt;=$AB101,INDEX(ELM,DY99,5)&gt;=$S95,INDEX(ELM,DY99,6)&gt;=$R95),1,0)</f>
        <v>#N/A</v>
      </c>
      <c r="EA99" s="4" t="e">
        <f t="shared" ref="EA99" ca="1" si="1127">MATCH(1,OFFSET(DZ95:DZ106,EB98,0,COUNT(DZ95:DZ106)-EB98),0)</f>
        <v>#REF!</v>
      </c>
      <c r="EB99" s="4" t="e">
        <f t="shared" ca="1" si="1081"/>
        <v>#REF!</v>
      </c>
      <c r="EC99" s="692" t="str">
        <f ca="1">IFERROR(VLOOKUP(INDEX(DY95:DY106,EB99),ELM,2,FALSE),"----")</f>
        <v>----</v>
      </c>
      <c r="ED99" s="691" t="e">
        <f t="shared" ca="1" si="1082"/>
        <v>#N/A</v>
      </c>
      <c r="EE99" s="4" t="e">
        <f ca="1">IF(LEFT($J95,7)="Clad Wo",IF(AND(INDEX(SPPWS,ED99,4)&gt;=$AB101,INDEX(SPPWS,ED99,5)&gt;=$S95,INDEX(SPPWS,ED99,6)&gt;=$R95),1,0),IF(AND(INDEX(SPM,ED99,4)&gt;=$AB101,INDEX(SPM,ED99,5)&gt;=$S95,INDEX(SPM,ED99,6)&gt;=$R95),1,0))</f>
        <v>#N/A</v>
      </c>
      <c r="EF99" s="4" t="e">
        <f t="shared" ref="EF99" ca="1" si="1128">MATCH(1,OFFSET(EE95:EE106,EG98,0,COUNT(EE95:EE106)-EG98),0)</f>
        <v>#REF!</v>
      </c>
      <c r="EG99" s="4" t="e">
        <f t="shared" ca="1" si="1084"/>
        <v>#REF!</v>
      </c>
      <c r="EH99" s="692" t="str">
        <f ca="1">IF(LEFT($J95,7)="Clad Wo",IFERROR(VLOOKUP(INDEX(ED95:ED106,EG99),SPPWS,2,FALSE),"----"),IFERROR(VLOOKUP(INDEX(ED95:ED106,EG99),SPM,2,FALSE),"----"))</f>
        <v>----</v>
      </c>
    </row>
    <row r="100" spans="1:138" ht="15" customHeight="1" thickBot="1" x14ac:dyDescent="0.3">
      <c r="A100" s="1085"/>
      <c r="B100" s="934"/>
      <c r="C100" s="935"/>
      <c r="D100" s="936"/>
      <c r="E100" s="995"/>
      <c r="F100" s="996"/>
      <c r="G100" s="997"/>
      <c r="H100" s="1062"/>
      <c r="I100" s="990"/>
      <c r="J100" s="908"/>
      <c r="K100" s="909"/>
      <c r="L100" s="1010"/>
      <c r="M100" s="924"/>
      <c r="N100" s="1044"/>
      <c r="O100" s="1018"/>
      <c r="P100" s="987"/>
      <c r="Q100" s="1015"/>
      <c r="R100" s="1012"/>
      <c r="S100" s="1006"/>
      <c r="T100" s="1007"/>
      <c r="U100" s="878"/>
      <c r="V100" s="881"/>
      <c r="W100" s="889"/>
      <c r="X100" s="884"/>
      <c r="Y100" s="890"/>
      <c r="Z100" s="890"/>
      <c r="AA100" s="887"/>
      <c r="AB100" s="1084"/>
      <c r="AC100" s="1079"/>
      <c r="AD100" s="1072" t="str">
        <f t="shared" ref="AD100" si="1129">IF(LEFT(J95,7)="Clad Wo","Pella Wood Spr / Steel Pte","Steel Plate")</f>
        <v>Steel Plate</v>
      </c>
      <c r="AE100" s="1073"/>
      <c r="AF100" s="1054"/>
      <c r="AG100" s="1055"/>
      <c r="AH100" s="1055"/>
      <c r="AI100" s="1092"/>
      <c r="AJ100" s="1093"/>
      <c r="AK100" s="159" t="str">
        <f t="shared" ref="AK100:AK163" ca="1" si="1130">IFERROR(VLOOKUP(AI100,OFFSET(INDIRECT(AQ100),0,1),2,FALSE),"")</f>
        <v/>
      </c>
      <c r="AL100" s="1040"/>
      <c r="AM100" s="345" t="str">
        <f ca="1">IFERROR(Q95/12*ROUND(VLOOKUP(AF100,OFFSET(SPM,0,1),6,FALSE),2),"")</f>
        <v/>
      </c>
      <c r="AN100" t="str">
        <f t="shared" ca="1" si="5"/>
        <v/>
      </c>
      <c r="AP100" s="699" t="str">
        <f t="shared" ref="AP100" si="1131">_xlfn.CONCAT(AR100,AS100)</f>
        <v/>
      </c>
      <c r="AQ100" s="700" t="str">
        <f t="shared" si="65"/>
        <v/>
      </c>
      <c r="AR100" s="160" t="str">
        <f t="shared" si="1114"/>
        <v/>
      </c>
      <c r="AS100" s="160" t="str">
        <f>IFERROR(VLOOKUP(J103, WallType,2,FALSE),"")</f>
        <v/>
      </c>
      <c r="AT100" s="701" t="str">
        <f>AL95</f>
        <v/>
      </c>
      <c r="AU100" s="694" t="e">
        <f t="shared" ca="1" si="91"/>
        <v>#REF!</v>
      </c>
      <c r="AV100" s="698" t="str">
        <f ca="1">IFERROR(VLOOKUP(AU100,INDIRECT(AQ95),2,FALSE),"----")</f>
        <v>----</v>
      </c>
      <c r="AW100" s="702" t="e">
        <f t="shared" ca="1" si="92"/>
        <v>#REF!</v>
      </c>
      <c r="AX100" s="698" t="str">
        <f ca="1">IFERROR(VLOOKUP(AW100,INDIRECT(AQ96),2,FALSE),"----")</f>
        <v>----</v>
      </c>
      <c r="AY100" s="702" t="e">
        <f t="shared" ref="AY100:AY115" ca="1" si="1132">AY99-1</f>
        <v>#REF!</v>
      </c>
      <c r="AZ100" s="698" t="str">
        <f ca="1">IFERROR(VLOOKUP(AY100,INDIRECT(AQ97),2,FALSE),"----")</f>
        <v>----</v>
      </c>
      <c r="BA100" s="702" t="e">
        <f t="shared" ref="BA100:BA115" ca="1" si="1133">BA99-1</f>
        <v>#REF!</v>
      </c>
      <c r="BB100" s="698" t="str">
        <f ca="1">IFERROR(VLOOKUP(BA100,INDIRECT(AQ98),2,FALSE),"----")</f>
        <v>----</v>
      </c>
      <c r="BC100" s="702" t="e">
        <f t="shared" ca="1" si="95"/>
        <v>#REF!</v>
      </c>
      <c r="BD100" s="698" t="str">
        <f ca="1">IFERROR(VLOOKUP(BC100,INDIRECT(AQ99),2,FALSE),"----")</f>
        <v>----</v>
      </c>
      <c r="BE100" s="702" t="e">
        <f t="shared" ca="1" si="96"/>
        <v>#REF!</v>
      </c>
      <c r="BF100" s="698" t="str">
        <f ca="1">IFERROR(VLOOKUP(BE100,INDIRECT(AQ100),2,FALSE),"----")</f>
        <v>----</v>
      </c>
      <c r="BG100" s="702" t="e">
        <f t="shared" ca="1" si="97"/>
        <v>#REF!</v>
      </c>
      <c r="BH100" s="686" t="str">
        <f ca="1">IFERROR(VLOOKUP(BG100,INDIRECT(AQ101),2,FALSE),"----")</f>
        <v>----</v>
      </c>
      <c r="BI100" s="702" t="e">
        <f t="shared" ca="1" si="98"/>
        <v>#REF!</v>
      </c>
      <c r="BJ100" s="686" t="str">
        <f ca="1">IFERROR(VLOOKUP(BI100,INDIRECT(AQ102),2,FALSE),"----")</f>
        <v>----</v>
      </c>
      <c r="BK100" s="702" t="e">
        <f t="shared" ca="1" si="99"/>
        <v>#REF!</v>
      </c>
      <c r="BL100" s="686" t="str">
        <f ca="1">IFERROR(VLOOKUP(BK100,INDIRECT(AQ103),2,FALSE),"----")</f>
        <v>----</v>
      </c>
      <c r="BM100" s="702" t="e">
        <f t="shared" ca="1" si="100"/>
        <v>#REF!</v>
      </c>
      <c r="BN100" s="686" t="str">
        <f ca="1">IFERROR(VLOOKUP(BM100,INDIRECT(AQ104),2,FALSE),"----")</f>
        <v>----</v>
      </c>
      <c r="BO100" s="702" t="e">
        <f t="shared" ca="1" si="101"/>
        <v>#REF!</v>
      </c>
      <c r="BP100" s="686" t="str">
        <f ca="1">IFERROR(VLOOKUP(BO100,INDIRECT(AQ105),2,FALSE),"----")</f>
        <v>----</v>
      </c>
      <c r="BQ100" s="702" t="e">
        <f t="shared" ca="1" si="102"/>
        <v>#REF!</v>
      </c>
      <c r="BR100" s="686" t="str">
        <f ca="1">IFERROR(VLOOKUP(BQ100,INDIRECT(AQ106),2,FALSE),"----")</f>
        <v>----</v>
      </c>
      <c r="BS100" s="703">
        <f>IF(AI100="",1,IF(COUNTIF(BF95:BF106,AI100)=0,2,1))</f>
        <v>1</v>
      </c>
      <c r="BT100" s="704">
        <f>IF(AF100="",1,IF(BF95=".",2,1))</f>
        <v>1</v>
      </c>
      <c r="BV100" s="155">
        <f ca="1">IF(COUNTIF(DD95:DD106,AF100)=0,IF(AF100&lt;&gt;"",0,1),1)</f>
        <v>1</v>
      </c>
      <c r="BW100" s="157">
        <f ca="1">IFERROR(MATCH(AF100,DD95:DD106,0),1)</f>
        <v>1</v>
      </c>
      <c r="BX100" s="875" t="s">
        <v>1594</v>
      </c>
      <c r="BY100" s="876"/>
      <c r="BZ100" s="1110"/>
      <c r="CA100" s="691" t="e">
        <f t="shared" ca="1" si="1049"/>
        <v>#REF!</v>
      </c>
      <c r="CB100" s="4" t="e" cm="1">
        <f t="array" aca="1" ref="CB100" ca="1">IF(AND(INDEX(INDIRECT(BY95),CA100,4)&gt;=$AB95,INDEX(INDIRECT(BY95),CA100,5)&gt;=$S95,INDEX(INDIRECT(BY95),CA100,6)&gt;=$R95),1,0)</f>
        <v>#REF!</v>
      </c>
      <c r="CC100" s="4" t="e">
        <f t="shared" ref="CC100" ca="1" si="1134">MATCH(1,OFFSET(CB95:CB106,CD99,0,COUNT(CB95:CB106)-CD99),0)</f>
        <v>#REF!</v>
      </c>
      <c r="CD100" s="4" t="e">
        <f t="shared" ca="1" si="1051"/>
        <v>#REF!</v>
      </c>
      <c r="CE100" s="692" t="str" cm="1">
        <f t="array" aca="1" ref="CE100" ca="1">IFERROR(VLOOKUP(INDEX(CA95:CA106,CD100),INDIRECT(BY95),2,FALSE),"----")</f>
        <v>----</v>
      </c>
      <c r="CF100" s="691" t="e">
        <f t="shared" ca="1" si="1052"/>
        <v>#N/A</v>
      </c>
      <c r="CG100" s="4" t="e">
        <f ca="1">IF(AND(INDEX(SSM,CF100,4)&gt;=$AB95,INDEX(SSM,CF100,5)&gt;=$S95,INDEX(SSM,CF100,6)&gt;=$R95),1,0)</f>
        <v>#N/A</v>
      </c>
      <c r="CH100" s="4" t="e">
        <f t="shared" ref="CH100" ca="1" si="1135">MATCH(1,OFFSET(CG95:CG106,CI99,0,COUNT(CG95:CG106)-CI99),0)</f>
        <v>#REF!</v>
      </c>
      <c r="CI100" s="4" t="e">
        <f t="shared" ca="1" si="1054"/>
        <v>#REF!</v>
      </c>
      <c r="CJ100" s="692" t="str">
        <f ca="1">IFERROR(IF(AD96="Nested Steel Stud (wood infill)",VLOOKUP(INDEX(CF95:CF106,CI100),SSW,2,FALSE),VLOOKUP(INDEX(CF95:CF106,CI100),SSM,2,FALSE)),"----")</f>
        <v>----</v>
      </c>
      <c r="CK100" s="691" t="e">
        <f t="shared" ca="1" si="1055"/>
        <v>#N/A</v>
      </c>
      <c r="CL100" s="4" t="e">
        <f ca="1">IF(AND(INDEX(WSM,CK100,4)&gt;=$AB95,INDEX(WSM,CK100,5)&gt;=$S95,INDEX(WSM,CK100,6)&gt;=$R95),1,0)</f>
        <v>#N/A</v>
      </c>
      <c r="CM100" s="4" t="e">
        <f t="shared" ref="CM100" ca="1" si="1136">MATCH(1,OFFSET(CL95:CL106,CN99,0,COUNT(CL95:CL106)-CN99),0)</f>
        <v>#REF!</v>
      </c>
      <c r="CN100" s="4" t="e">
        <f t="shared" ca="1" si="1057"/>
        <v>#REF!</v>
      </c>
      <c r="CO100" s="692" t="str">
        <f ca="1">IFERROR(VLOOKUP(INDEX(CK95:CK106,CN100),WSM,2,FALSE),"----")</f>
        <v>----</v>
      </c>
      <c r="CP100" s="691" t="e">
        <f t="shared" ca="1" si="1058"/>
        <v>#N/A</v>
      </c>
      <c r="CQ100" s="4" t="e">
        <f ca="1">IF(AND(INDEX(STM,CP100,4)&gt;=$AB95,INDEX(STM,CP100,5)&gt;=$S95,INDEX(STM,CP100,6)&gt;=$R95),1,0)</f>
        <v>#N/A</v>
      </c>
      <c r="CR100" s="4" t="e">
        <f t="shared" ref="CR100" ca="1" si="1137">MATCH(1,OFFSET(CQ95:CQ106,CS99,0,COUNT(CQ95:CQ106)-CS99),0)</f>
        <v>#REF!</v>
      </c>
      <c r="CS100" s="4" t="e">
        <f t="shared" ca="1" si="1060"/>
        <v>#REF!</v>
      </c>
      <c r="CT100" s="692" t="str">
        <f ca="1">IFERROR(VLOOKUP(INDEX(CP95:CP106,CS100),STM,2,FALSE),"----")</f>
        <v>----</v>
      </c>
      <c r="CU100" s="691" t="e">
        <f t="shared" ca="1" si="1061"/>
        <v>#N/A</v>
      </c>
      <c r="CV100" s="4" t="e">
        <f ca="1">IF(AND(INDEX(ELM,CU100,4)&gt;=$AB95,INDEX(ELM,CU100,5)&gt;=$S95,INDEX(ELM,CU100,6)&gt;=$R95),1,0)</f>
        <v>#N/A</v>
      </c>
      <c r="CW100" s="4" t="e">
        <f t="shared" ref="CW100" ca="1" si="1138">MATCH(1,OFFSET(CV95:CV106,CX99,0,COUNT(CV95:CV106)-CX99),0)</f>
        <v>#REF!</v>
      </c>
      <c r="CX100" s="4" t="e">
        <f t="shared" ca="1" si="1063"/>
        <v>#REF!</v>
      </c>
      <c r="CY100" s="692" t="str">
        <f ca="1">IFERROR(VLOOKUP(INDEX(CU95:CU106,CX100),ELM,2,FALSE),"----")</f>
        <v>----</v>
      </c>
      <c r="CZ100" s="691" t="e">
        <f t="shared" ca="1" si="1064"/>
        <v>#N/A</v>
      </c>
      <c r="DA100" s="4" t="e">
        <f ca="1">IF(LEFT($J95,7)="Clad Wo",IF(AND(INDEX(SPPWS,CZ100,4)&gt;=$AB95,INDEX(SPPWS,CZ100,5)&gt;=$S95,INDEX(SPPWS,CZ100,6)&gt;=$R95),1,0),IF(AND(INDEX(SPM,CZ100,4)&gt;=$AB95,INDEX(SPM,CZ100,5)&gt;=$S95,INDEX(SPM,CZ100,6)&gt;=$R95),1,0))</f>
        <v>#N/A</v>
      </c>
      <c r="DB100" s="4" t="e">
        <f t="shared" ref="DB100" ca="1" si="1139">MATCH(1,OFFSET(DA95:DA106,DC99,0,COUNT(DA95:DA106)-DC99),0)</f>
        <v>#REF!</v>
      </c>
      <c r="DC100" s="4" t="e">
        <f t="shared" ca="1" si="1066"/>
        <v>#REF!</v>
      </c>
      <c r="DD100" s="693" t="str">
        <f ca="1">IF(LEFT($J95,7)="Clad Wo",IFERROR(VLOOKUP(INDEX(CZ95:CZ106,DC100),SPPWS,2,FALSE),"----"),IFERROR(VLOOKUP(INDEX(CZ95:CZ106,DC100),SPM,2,FALSE),"----"))</f>
        <v>----</v>
      </c>
      <c r="DE100" s="691" t="e">
        <f t="shared" ca="1" si="1067"/>
        <v>#REF!</v>
      </c>
      <c r="DF100" s="4" t="e" cm="1">
        <f t="array" aca="1" ref="DF100" ca="1">IF(AND(INDEX(INDIRECT(BY95),DE100,4)&gt;=$AB101,INDEX(INDIRECT(BY95),DE100,5)&gt;=$S95,INDEX(INDIRECT(BY95),DE100,6)&gt;=$R95),1,0)</f>
        <v>#REF!</v>
      </c>
      <c r="DG100" s="4" t="e">
        <f t="shared" ref="DG100" ca="1" si="1140">MATCH(1,OFFSET(DF95:DF106,DH99,0,COUNT(DF95:DF106)-DH99),0)</f>
        <v>#REF!</v>
      </c>
      <c r="DH100" s="4" t="e">
        <f t="shared" ca="1" si="1069"/>
        <v>#REF!</v>
      </c>
      <c r="DI100" s="692" t="str" cm="1">
        <f t="array" aca="1" ref="DI100" ca="1">IFERROR(VLOOKUP(INDEX(DE95:DE106,DH100),INDIRECT(BY95),2,FALSE),"----")</f>
        <v>----</v>
      </c>
      <c r="DJ100" s="691" t="e">
        <f t="shared" ca="1" si="1070"/>
        <v>#N/A</v>
      </c>
      <c r="DK100" s="4" t="e">
        <f ca="1">IF(AND(INDEX(SSM,DJ100,4)&gt;=$AB101,INDEX(SSM,DJ100,5)&gt;=$S95,INDEX(SSM,DJ100,6)&gt;=$R95),1,0)</f>
        <v>#N/A</v>
      </c>
      <c r="DL100" s="4" t="e">
        <f t="shared" ref="DL100" ca="1" si="1141">MATCH(1,OFFSET(DK95:DK106,DM99,0,COUNT(DK95:DK106)-DM99),0)</f>
        <v>#REF!</v>
      </c>
      <c r="DM100" s="4" t="e">
        <f t="shared" ca="1" si="1072"/>
        <v>#REF!</v>
      </c>
      <c r="DN100" s="692" t="str">
        <f ca="1">IFERROR(IF(AD102="Nested Steel Stud (wood infill)",VLOOKUP(INDEX(DJ95:DJ106,DM100),SSW,2,FALSE),VLOOKUP(INDEX(DJ95:DJ106,DM100),SSM,2,FALSE)),"----")</f>
        <v>----</v>
      </c>
      <c r="DO100" s="691" t="e">
        <f t="shared" ca="1" si="1073"/>
        <v>#N/A</v>
      </c>
      <c r="DP100" s="4" t="e">
        <f ca="1">IF(AND(INDEX(WSM,DO100,4)&gt;=$AB101,INDEX(WSM,DO100,5)&gt;=$S95,INDEX(WSM,DO100,6)&gt;=$R95),1,0)</f>
        <v>#N/A</v>
      </c>
      <c r="DQ100" s="4" t="e">
        <f t="shared" ref="DQ100" ca="1" si="1142">MATCH(1,OFFSET(DP95:DP106,DR99,0,COUNT(DP95:DP106)-DR99),0)</f>
        <v>#REF!</v>
      </c>
      <c r="DR100" s="4" t="e">
        <f t="shared" ca="1" si="1075"/>
        <v>#REF!</v>
      </c>
      <c r="DS100" s="692" t="str">
        <f ca="1">IFERROR(VLOOKUP(INDEX(DO95:DO106,DR100),WSM,2,FALSE),"----")</f>
        <v>----</v>
      </c>
      <c r="DT100" s="691" t="e">
        <f t="shared" ca="1" si="1076"/>
        <v>#N/A</v>
      </c>
      <c r="DU100" s="4" t="e">
        <f ca="1">IF(AND(INDEX(STM,DT100,4)&gt;=$AB101,INDEX(STM,DT100,5)&gt;=$S95,INDEX(STM,DT100,6)&gt;=$R95),1,0)</f>
        <v>#N/A</v>
      </c>
      <c r="DV100" s="4" t="e">
        <f t="shared" ref="DV100" ca="1" si="1143">MATCH(1,OFFSET(DU95:DU106,DW99,0,COUNT(DU95:DU106)-DW99),0)</f>
        <v>#REF!</v>
      </c>
      <c r="DW100" s="4" t="e">
        <f t="shared" ca="1" si="1078"/>
        <v>#REF!</v>
      </c>
      <c r="DX100" s="692" t="str">
        <f ca="1">IFERROR(VLOOKUP(INDEX(DT95:DT106,DW100),STM,2,FALSE),"----")</f>
        <v>----</v>
      </c>
      <c r="DY100" s="691" t="e">
        <f t="shared" ca="1" si="1079"/>
        <v>#N/A</v>
      </c>
      <c r="DZ100" s="4" t="e">
        <f ca="1">IF(AND(INDEX(ELM,DY100,4)&gt;=$AB101,INDEX(ELM,DY100,5)&gt;=$S95,INDEX(ELM,DY100,6)&gt;=$R95),1,0)</f>
        <v>#N/A</v>
      </c>
      <c r="EA100" s="4" t="e">
        <f t="shared" ref="EA100" ca="1" si="1144">MATCH(1,OFFSET(DZ95:DZ106,EB99,0,COUNT(DZ95:DZ106)-EB99),0)</f>
        <v>#REF!</v>
      </c>
      <c r="EB100" s="4" t="e">
        <f t="shared" ca="1" si="1081"/>
        <v>#REF!</v>
      </c>
      <c r="EC100" s="692" t="str">
        <f ca="1">IFERROR(VLOOKUP(INDEX(DY95:DY106,EB100),ELM,2,FALSE),"----")</f>
        <v>----</v>
      </c>
      <c r="ED100" s="691" t="e">
        <f t="shared" ca="1" si="1082"/>
        <v>#N/A</v>
      </c>
      <c r="EE100" s="4" t="e">
        <f ca="1">IF(LEFT($J95,7)="Clad Wo",IF(AND(INDEX(SPPWS,ED100,4)&gt;=$AB101,INDEX(SPPWS,ED100,5)&gt;=$S95,INDEX(SPPWS,ED100,6)&gt;=$R95),1,0),IF(AND(INDEX(SPM,ED100,4)&gt;=$AB101,INDEX(SPM,ED100,5)&gt;=$S95,INDEX(SPM,ED100,6)&gt;=$R95),1,0))</f>
        <v>#N/A</v>
      </c>
      <c r="EF100" s="4" t="e">
        <f t="shared" ref="EF100" ca="1" si="1145">MATCH(1,OFFSET(EE95:EE106,EG99,0,COUNT(EE95:EE106)-EG99),0)</f>
        <v>#REF!</v>
      </c>
      <c r="EG100" s="4" t="e">
        <f t="shared" ca="1" si="1084"/>
        <v>#REF!</v>
      </c>
      <c r="EH100" s="692" t="str">
        <f ca="1">IF(LEFT($J95,7)="Clad Wo",IFERROR(VLOOKUP(INDEX(ED95:ED106,EG100),SPPWS,2,FALSE),"----"),IFERROR(VLOOKUP(INDEX(ED95:ED106,EG100),SPM,2,FALSE),"----"))</f>
        <v>----</v>
      </c>
    </row>
    <row r="101" spans="1:138" ht="15" customHeight="1" x14ac:dyDescent="0.25">
      <c r="A101" s="1085"/>
      <c r="B101" s="925" t="s">
        <v>409</v>
      </c>
      <c r="C101" s="926"/>
      <c r="D101" s="927"/>
      <c r="E101" s="995"/>
      <c r="F101" s="996"/>
      <c r="G101" s="997"/>
      <c r="H101" s="1062"/>
      <c r="I101" s="990"/>
      <c r="J101" s="908"/>
      <c r="K101" s="909"/>
      <c r="L101" s="1001">
        <f>L95+1</f>
        <v>5</v>
      </c>
      <c r="M101" s="1064" t="str">
        <f t="shared" ref="M101" si="1146">IFERROR(IF($AE$17="",IF($AG$19="Wind Loading",MIN($V$31,IF(E$11="ASCE 7-05",$U$26,$V$7)*$V$9*(IF($E$12&lt;60,0.156*LN(MAX(MIN(500,O95),10)) -1.7618,IF($E$11="ASCE 7-22", 0.2026*LN(MAX(MIN(500,O95),20))-2.2638,0.2503*LN(MAX(MIN(500,O95),20)) -2.5526))-$V$8)),$V$7*IF(E$12&lt;60,$V$13*($V$15*(0.156*LN(MAX(MIN(500,O95),10)) -1.7618)-$V$16),$V$13*$V$15*((0.2026*LN(MAX(MIN(500,O95),20))-2.2638)-$V$16))),-ABS($AE$17)),"")</f>
        <v/>
      </c>
      <c r="N101" s="1041" t="str">
        <f t="shared" ref="N101" si="1147">IFERROR(IF($AE$19="",IF($AG$19="Wind Loading",MAX($U$31,IF(E$11="ASCE 7-05",$U$26,$V$7)*$V$9*((IF($E$12&lt;60,-0.077*LN(MAX(MIN(500,O95),10))+1.1737,IF($E$11="ASCE 7-22",-0.077*LN(MAX(MIN(500,O95),20))+1.0798,-0.093*LN(MAX(MIN(500,O95),20))+1.1776)))+$V$8)),$V$7*IF(E$12&lt;60,$V$13*($V$15*(-0.077*LN(MAX(MIN(500,O95),10))+1.1737)-$V$17),$V$13*$V$15*((-0.077*LN(MAX(MIN(500,O95),20))+1.0798)-$V$17))),ABS($AE$19)),"")</f>
        <v/>
      </c>
      <c r="O101" s="1018"/>
      <c r="P101" s="987"/>
      <c r="Q101" s="1015"/>
      <c r="R101" s="1012">
        <f>P101*Q101/8</f>
        <v>0</v>
      </c>
      <c r="S101" s="1006"/>
      <c r="T101" s="1007"/>
      <c r="U101" s="878"/>
      <c r="V101" s="881"/>
      <c r="W101" s="883" t="e">
        <f t="shared" ref="W101" si="1148">MAX(-M101,N101)*O95</f>
        <v>#VALUE!</v>
      </c>
      <c r="X101" s="884"/>
      <c r="Y101" s="886">
        <f>IFERROR(IF(AG$14="Trapezoidal",BY104,BX104)+IF($E$17="4",(400*E95^3)/(48*X95),0),0)</f>
        <v>0</v>
      </c>
      <c r="Z101" s="886" t="e">
        <f t="shared" ref="Z101" si="1149">+($V95*MAX(-$M101,$N101)*$E95^2)/(144*8)+IF($E$17=4,(400*$E95)/4,0)</f>
        <v>#VALUE!</v>
      </c>
      <c r="AA101" s="887"/>
      <c r="AB101" s="1080" t="str">
        <f t="shared" ref="AB101" ca="1" si="1150">IFERROR(Z101-AA95,"")</f>
        <v/>
      </c>
      <c r="AC101" s="1086" t="str">
        <f t="shared" ref="AC101" ca="1" si="1151">IFERROR(Y101-U95,"")</f>
        <v/>
      </c>
      <c r="AD101" s="1074" t="str">
        <f t="shared" ref="AD101" si="1152">AD95</f>
        <v/>
      </c>
      <c r="AE101" s="1075"/>
      <c r="AF101" s="1056"/>
      <c r="AG101" s="1057"/>
      <c r="AH101" s="1057"/>
      <c r="AI101" s="1088"/>
      <c r="AJ101" s="1089"/>
      <c r="AK101" s="162" t="str">
        <f t="shared" ca="1" si="1130"/>
        <v/>
      </c>
      <c r="AL101" s="1058" t="str">
        <f t="shared" ref="AL101" si="1153">IFERROR(ROUND(SQRT(P95^2+(W101/2+IF($E$17=4,200,0))^2),0),"")</f>
        <v/>
      </c>
      <c r="AM101" s="342" t="s">
        <v>669</v>
      </c>
      <c r="AN101" t="str">
        <f t="shared" ref="AN101:AN164" ca="1" si="1154">IF(BW101&gt;1,"Lighter Reinforcement Options Available","")</f>
        <v/>
      </c>
      <c r="AP101" s="122" t="str">
        <f t="shared" ref="AP101" si="1155">_xlfn.CONCAT(AR101,AS106)</f>
        <v/>
      </c>
      <c r="AQ101" s="683" t="str">
        <f t="shared" si="65"/>
        <v/>
      </c>
      <c r="AR101" s="96" t="str">
        <f t="shared" si="1114"/>
        <v/>
      </c>
      <c r="AS101" s="96" t="str">
        <f>IF(COUNTIF(imp_1,AF101)=1,"imp_1",IF(COUNTIF(imp_2,AF101)=1,"imp_2",IF(COUNTIF(imp_3,AF101)=1,"imp_3",IF(COUNTIF(impdoor,AF101)=1,"impdoor",""))))</f>
        <v/>
      </c>
      <c r="AT101" s="684" t="str">
        <f>AL101</f>
        <v/>
      </c>
      <c r="AU101" s="685" t="e">
        <f t="shared" ca="1" si="91"/>
        <v>#REF!</v>
      </c>
      <c r="AV101" s="686" t="str">
        <f ca="1">IFERROR(VLOOKUP(AU101,INDIRECT(AQ95),2,FALSE),"----")</f>
        <v>----</v>
      </c>
      <c r="AW101" s="685" t="e">
        <f t="shared" ca="1" si="92"/>
        <v>#REF!</v>
      </c>
      <c r="AX101" s="686" t="str">
        <f ca="1">IFERROR(VLOOKUP(AW101,INDIRECT(AQ96),2,FALSE),"----")</f>
        <v>----</v>
      </c>
      <c r="AY101" s="685" t="e">
        <f t="shared" ca="1" si="1132"/>
        <v>#REF!</v>
      </c>
      <c r="AZ101" s="686" t="str">
        <f ca="1">IFERROR(VLOOKUP(AY101,INDIRECT(AQ97),2,FALSE),"----")</f>
        <v>----</v>
      </c>
      <c r="BA101" s="685" t="e">
        <f t="shared" ca="1" si="1133"/>
        <v>#REF!</v>
      </c>
      <c r="BB101" s="686" t="str">
        <f ca="1">IFERROR(VLOOKUP(BA101,INDIRECT(AQ98),2,FALSE),"----")</f>
        <v>----</v>
      </c>
      <c r="BC101" s="685" t="e">
        <f t="shared" ca="1" si="95"/>
        <v>#REF!</v>
      </c>
      <c r="BD101" s="686" t="str">
        <f ca="1">IFERROR(VLOOKUP(BC101,INDIRECT(AQ99),2,FALSE),"----")</f>
        <v>----</v>
      </c>
      <c r="BE101" s="685" t="e">
        <f t="shared" ca="1" si="96"/>
        <v>#REF!</v>
      </c>
      <c r="BF101" s="686" t="str">
        <f ca="1">IFERROR(VLOOKUP(BE101,INDIRECT(AQ100),2,FALSE),"----")</f>
        <v>----</v>
      </c>
      <c r="BG101" s="702" t="e">
        <f t="shared" ca="1" si="97"/>
        <v>#REF!</v>
      </c>
      <c r="BH101" s="686" t="str">
        <f ca="1">IFERROR(VLOOKUP(BG101,INDIRECT(AQ101),2,FALSE),"----")</f>
        <v>----</v>
      </c>
      <c r="BI101" s="702" t="e">
        <f t="shared" ca="1" si="98"/>
        <v>#REF!</v>
      </c>
      <c r="BJ101" s="686" t="str">
        <f ca="1">IFERROR(VLOOKUP(BI101,INDIRECT(AQ102),2,FALSE),"----")</f>
        <v>----</v>
      </c>
      <c r="BK101" s="702" t="e">
        <f t="shared" ca="1" si="99"/>
        <v>#REF!</v>
      </c>
      <c r="BL101" s="686" t="str">
        <f ca="1">IFERROR(VLOOKUP(BK101,INDIRECT(AQ103),2,FALSE),"----")</f>
        <v>----</v>
      </c>
      <c r="BM101" s="702" t="e">
        <f t="shared" ca="1" si="100"/>
        <v>#REF!</v>
      </c>
      <c r="BN101" s="686" t="str">
        <f ca="1">IFERROR(VLOOKUP(BM101,INDIRECT(AQ104),2,FALSE),"----")</f>
        <v>----</v>
      </c>
      <c r="BO101" s="702" t="e">
        <f t="shared" ca="1" si="101"/>
        <v>#REF!</v>
      </c>
      <c r="BP101" s="686" t="str">
        <f ca="1">IFERROR(VLOOKUP(BO101,INDIRECT(AQ105),2,FALSE),"----")</f>
        <v>----</v>
      </c>
      <c r="BQ101" s="702" t="e">
        <f t="shared" ca="1" si="102"/>
        <v>#REF!</v>
      </c>
      <c r="BR101" s="686" t="str">
        <f ca="1">IFERROR(VLOOKUP(BQ101,INDIRECT(AQ106),2,FALSE),"----")</f>
        <v>----</v>
      </c>
      <c r="BS101" s="695">
        <f>IF(AI101="",1,IF(COUNTIF(BH95:BH106,AI101)=0,2,1))</f>
        <v>1</v>
      </c>
      <c r="BT101" s="696">
        <f>IF(AP101="1",1,IF(AF101="",1,IF(BH95=".",2,1)))</f>
        <v>1</v>
      </c>
      <c r="BU101" s="706"/>
      <c r="BV101" s="155">
        <f ca="1">IF(COUNTIF(DI95:DI106,AF101)=0,IF(AF101&lt;&gt;"",0,1),1)</f>
        <v>1</v>
      </c>
      <c r="BW101" s="157">
        <f ca="1">IFERROR(MATCH(AF101,DI95:DI106,0),1)</f>
        <v>1</v>
      </c>
      <c r="BX101" s="769" t="s">
        <v>1593</v>
      </c>
      <c r="BY101" s="769" t="s">
        <v>1629</v>
      </c>
      <c r="BZ101" s="1110"/>
      <c r="CA101" s="691" t="e">
        <f t="shared" ca="1" si="1049"/>
        <v>#REF!</v>
      </c>
      <c r="CB101" s="4" t="e" cm="1">
        <f t="array" aca="1" ref="CB101" ca="1">IF(AND(INDEX(INDIRECT(BY95),CA101,4)&gt;=$AB95,INDEX(INDIRECT(BY95),CA101,5)&gt;=$S95,INDEX(INDIRECT(BY95),CA101,6)&gt;=$R95),1,0)</f>
        <v>#REF!</v>
      </c>
      <c r="CC101" s="4" t="e">
        <f t="shared" ref="CC101" ca="1" si="1156">MATCH(1,OFFSET(CB95:CB106,CD100,0,COUNT(CB95:CB106)-CD100),0)</f>
        <v>#REF!</v>
      </c>
      <c r="CD101" s="4" t="e">
        <f t="shared" ca="1" si="1051"/>
        <v>#REF!</v>
      </c>
      <c r="CE101" s="692" t="str" cm="1">
        <f t="array" aca="1" ref="CE101" ca="1">IFERROR(VLOOKUP(INDEX(CA95:CA106,CD101),INDIRECT(BY95),2,FALSE),"----")</f>
        <v>----</v>
      </c>
      <c r="CF101" s="691" t="e">
        <f t="shared" ca="1" si="1052"/>
        <v>#N/A</v>
      </c>
      <c r="CG101" s="4" t="e">
        <f ca="1">IF(AND(INDEX(SSM,CF101,4)&gt;=$AB95,INDEX(SSM,CF101,5)&gt;=$S95,INDEX(SSM,CF101,6)&gt;=$R95),1,0)</f>
        <v>#N/A</v>
      </c>
      <c r="CH101" s="4" t="e">
        <f t="shared" ref="CH101" ca="1" si="1157">MATCH(1,OFFSET(CG95:CG106,CI100,0,COUNT(CG95:CG106)-CI100),0)</f>
        <v>#REF!</v>
      </c>
      <c r="CI101" s="4" t="e">
        <f t="shared" ca="1" si="1054"/>
        <v>#REF!</v>
      </c>
      <c r="CJ101" s="692" t="str">
        <f ca="1">IFERROR(IF(AD96="Nested Steel Stud (wood infill)",VLOOKUP(INDEX(CF95:CF106,CI101),SSW,2,FALSE),VLOOKUP(INDEX(CF95:CF106,CI101),SSM,2,FALSE)),"----")</f>
        <v>----</v>
      </c>
      <c r="CK101" s="691" t="e">
        <f t="shared" ca="1" si="1055"/>
        <v>#N/A</v>
      </c>
      <c r="CL101" s="4" t="e">
        <f ca="1">IF(AND(INDEX(WSM,CK101,4)&gt;=$AB95,INDEX(WSM,CK101,5)&gt;=$S95,INDEX(WSM,CK101,6)&gt;=$R95),1,0)</f>
        <v>#N/A</v>
      </c>
      <c r="CM101" s="4" t="e">
        <f t="shared" ref="CM101" ca="1" si="1158">MATCH(1,OFFSET(CL95:CL106,CN100,0,COUNT(CL95:CL106)-CN100),0)</f>
        <v>#REF!</v>
      </c>
      <c r="CN101" s="4" t="e">
        <f t="shared" ca="1" si="1057"/>
        <v>#REF!</v>
      </c>
      <c r="CO101" s="692" t="str">
        <f ca="1">IFERROR(VLOOKUP(INDEX(CK95:CK106,CN101),WSM,2,FALSE),"----")</f>
        <v>----</v>
      </c>
      <c r="CP101" s="691" t="e">
        <f t="shared" ca="1" si="1058"/>
        <v>#N/A</v>
      </c>
      <c r="CQ101" s="4" t="e">
        <f ca="1">IF(AND(INDEX(STM,CP101,4)&gt;=$AB95,INDEX(STM,CP101,5)&gt;=$S95,INDEX(STM,CP101,6)&gt;=$R95),1,0)</f>
        <v>#N/A</v>
      </c>
      <c r="CR101" s="4" t="e">
        <f t="shared" ref="CR101" ca="1" si="1159">MATCH(1,OFFSET(CQ95:CQ106,CS100,0,COUNT(CQ95:CQ106)-CS100),0)</f>
        <v>#REF!</v>
      </c>
      <c r="CS101" s="4" t="e">
        <f t="shared" ca="1" si="1060"/>
        <v>#REF!</v>
      </c>
      <c r="CT101" s="692" t="str">
        <f ca="1">IFERROR(VLOOKUP(INDEX(CP95:CP106,CS101),STM,2,FALSE),"----")</f>
        <v>----</v>
      </c>
      <c r="CU101" s="691" t="e">
        <f t="shared" ca="1" si="1061"/>
        <v>#N/A</v>
      </c>
      <c r="CV101" s="4" t="e">
        <f ca="1">IF(AND(INDEX(ELM,CU101,4)&gt;=$AB95,INDEX(ELM,CU101,5)&gt;=$S95,INDEX(ELM,CU101,6)&gt;=$R95),1,0)</f>
        <v>#N/A</v>
      </c>
      <c r="CW101" s="4" t="e">
        <f t="shared" ref="CW101" ca="1" si="1160">MATCH(1,OFFSET(CV95:CV106,CX100,0,COUNT(CV95:CV106)-CX100),0)</f>
        <v>#REF!</v>
      </c>
      <c r="CX101" s="4" t="e">
        <f t="shared" ca="1" si="1063"/>
        <v>#REF!</v>
      </c>
      <c r="CY101" s="692" t="str">
        <f ca="1">IFERROR(VLOOKUP(INDEX(CU95:CU106,CX101),ELM,2,FALSE),"----")</f>
        <v>----</v>
      </c>
      <c r="CZ101" s="691" t="e">
        <f t="shared" ca="1" si="1064"/>
        <v>#N/A</v>
      </c>
      <c r="DA101" s="4" t="e">
        <f ca="1">IF(LEFT($J95,7)="Clad Wo",IF(AND(INDEX(SPPWS,CZ101,4)&gt;=$AB95,INDEX(SPPWS,CZ101,5)&gt;=$S95,INDEX(SPPWS,CZ101,6)&gt;=$R95),1,0),IF(AND(INDEX(SPM,CZ101,4)&gt;=$AB95,INDEX(SPM,CZ101,5)&gt;=$S95,INDEX(SPM,CZ101,6)&gt;=$R95),1,0))</f>
        <v>#N/A</v>
      </c>
      <c r="DB101" s="4" t="e">
        <f t="shared" ref="DB101" ca="1" si="1161">MATCH(1,OFFSET(DA95:DA106,DC100,0,COUNT(DA95:DA106)-DC100),0)</f>
        <v>#REF!</v>
      </c>
      <c r="DC101" s="4" t="e">
        <f t="shared" ca="1" si="1066"/>
        <v>#REF!</v>
      </c>
      <c r="DD101" s="693" t="str">
        <f ca="1">IF(LEFT($J95,7)="Clad Wo",IFERROR(VLOOKUP(INDEX(CZ95:CZ106,DC101),SPPWS,2,FALSE),"----"),IFERROR(VLOOKUP(INDEX(CZ95:CZ106,DC101),SPM,2,FALSE),"----"))</f>
        <v>----</v>
      </c>
      <c r="DE101" s="691" t="e">
        <f t="shared" ca="1" si="1067"/>
        <v>#REF!</v>
      </c>
      <c r="DF101" s="4" t="e" cm="1">
        <f t="array" aca="1" ref="DF101" ca="1">IF(AND(INDEX(INDIRECT(BY95),DE101,4)&gt;=$AB101,INDEX(INDIRECT(BY95),DE101,5)&gt;=$S95,INDEX(INDIRECT(BY95),DE101,6)&gt;=$R95),1,0)</f>
        <v>#REF!</v>
      </c>
      <c r="DG101" s="4" t="e">
        <f t="shared" ref="DG101" ca="1" si="1162">MATCH(1,OFFSET(DF95:DF106,DH100,0,COUNT(DF95:DF106)-DH100),0)</f>
        <v>#REF!</v>
      </c>
      <c r="DH101" s="4" t="e">
        <f t="shared" ca="1" si="1069"/>
        <v>#REF!</v>
      </c>
      <c r="DI101" s="692" t="str" cm="1">
        <f t="array" aca="1" ref="DI101" ca="1">IFERROR(VLOOKUP(INDEX(DE95:DE106,DH101),INDIRECT(BY95),2,FALSE),"----")</f>
        <v>----</v>
      </c>
      <c r="DJ101" s="691" t="e">
        <f t="shared" ca="1" si="1070"/>
        <v>#N/A</v>
      </c>
      <c r="DK101" s="4" t="e">
        <f ca="1">IF(AND(INDEX(SSM,DJ101,4)&gt;=$AB101,INDEX(SSM,DJ101,5)&gt;=$S95,INDEX(SSM,DJ101,6)&gt;=$R95),1,0)</f>
        <v>#N/A</v>
      </c>
      <c r="DL101" s="4" t="e">
        <f t="shared" ref="DL101" ca="1" si="1163">MATCH(1,OFFSET(DK95:DK106,DM100,0,COUNT(DK95:DK106)-DM100),0)</f>
        <v>#REF!</v>
      </c>
      <c r="DM101" s="4" t="e">
        <f t="shared" ca="1" si="1072"/>
        <v>#REF!</v>
      </c>
      <c r="DN101" s="692" t="str">
        <f ca="1">IFERROR(IF(AD102="Nested Steel Stud (wood infill)",VLOOKUP(INDEX(DJ95:DJ106,DM101),SSW,2,FALSE),VLOOKUP(INDEX(DJ95:DJ106,DM101),SSM,2,FALSE)),"----")</f>
        <v>----</v>
      </c>
      <c r="DO101" s="691" t="e">
        <f t="shared" ca="1" si="1073"/>
        <v>#N/A</v>
      </c>
      <c r="DP101" s="4" t="e">
        <f ca="1">IF(AND(INDEX(WSM,DO101,4)&gt;=$AB101,INDEX(WSM,DO101,5)&gt;=$S95,INDEX(WSM,DO101,6)&gt;=$R95),1,0)</f>
        <v>#N/A</v>
      </c>
      <c r="DQ101" s="4" t="e">
        <f t="shared" ref="DQ101" ca="1" si="1164">MATCH(1,OFFSET(DP95:DP106,DR100,0,COUNT(DP95:DP106)-DR100),0)</f>
        <v>#REF!</v>
      </c>
      <c r="DR101" s="4" t="e">
        <f t="shared" ca="1" si="1075"/>
        <v>#REF!</v>
      </c>
      <c r="DS101" s="692" t="str">
        <f ca="1">IFERROR(VLOOKUP(INDEX(DO95:DO106,DR101),WSM,2,FALSE),"----")</f>
        <v>----</v>
      </c>
      <c r="DT101" s="691" t="e">
        <f t="shared" ca="1" si="1076"/>
        <v>#N/A</v>
      </c>
      <c r="DU101" s="4" t="e">
        <f ca="1">IF(AND(INDEX(STM,DT101,4)&gt;=$AB101,INDEX(STM,DT101,5)&gt;=$S95,INDEX(STM,DT101,6)&gt;=$R95),1,0)</f>
        <v>#N/A</v>
      </c>
      <c r="DV101" s="4" t="e">
        <f t="shared" ref="DV101" ca="1" si="1165">MATCH(1,OFFSET(DU95:DU106,DW100,0,COUNT(DU95:DU106)-DW100),0)</f>
        <v>#REF!</v>
      </c>
      <c r="DW101" s="4" t="e">
        <f t="shared" ca="1" si="1078"/>
        <v>#REF!</v>
      </c>
      <c r="DX101" s="692" t="str">
        <f ca="1">IFERROR(VLOOKUP(INDEX(DT95:DT106,DW101),STM,2,FALSE),"----")</f>
        <v>----</v>
      </c>
      <c r="DY101" s="691" t="e">
        <f t="shared" ca="1" si="1079"/>
        <v>#N/A</v>
      </c>
      <c r="DZ101" s="4" t="e">
        <f ca="1">IF(AND(INDEX(ELM,DY101,4)&gt;=$AB101,INDEX(ELM,DY101,5)&gt;=$S95,INDEX(ELM,DY101,6)&gt;=$R95),1,0)</f>
        <v>#N/A</v>
      </c>
      <c r="EA101" s="4" t="e">
        <f t="shared" ref="EA101" ca="1" si="1166">MATCH(1,OFFSET(DZ95:DZ106,EB100,0,COUNT(DZ95:DZ106)-EB100),0)</f>
        <v>#REF!</v>
      </c>
      <c r="EB101" s="4" t="e">
        <f t="shared" ca="1" si="1081"/>
        <v>#REF!</v>
      </c>
      <c r="EC101" s="692" t="str">
        <f ca="1">IFERROR(VLOOKUP(INDEX(DY95:DY106,EB101),ELM,2,FALSE),"----")</f>
        <v>----</v>
      </c>
      <c r="ED101" s="691" t="e">
        <f t="shared" ca="1" si="1082"/>
        <v>#N/A</v>
      </c>
      <c r="EE101" s="4" t="e">
        <f ca="1">IF(LEFT($J95,7)="Clad Wo",IF(AND(INDEX(SPPWS,ED101,4)&gt;=$AB101,INDEX(SPPWS,ED101,5)&gt;=$S95,INDEX(SPPWS,ED101,6)&gt;=$R95),1,0),IF(AND(INDEX(SPM,ED101,4)&gt;=$AB101,INDEX(SPM,ED101,5)&gt;=$S95,INDEX(SPM,ED101,6)&gt;=$R95),1,0))</f>
        <v>#N/A</v>
      </c>
      <c r="EF101" s="4" t="e">
        <f t="shared" ref="EF101" ca="1" si="1167">MATCH(1,OFFSET(EE95:EE106,EG100,0,COUNT(EE95:EE106)-EG100),0)</f>
        <v>#REF!</v>
      </c>
      <c r="EG101" s="4" t="e">
        <f t="shared" ca="1" si="1084"/>
        <v>#REF!</v>
      </c>
      <c r="EH101" s="692" t="str">
        <f ca="1">IF(LEFT($J95,7)="Clad Wo",IFERROR(VLOOKUP(INDEX(ED95:ED106,EG101),SPPWS,2,FALSE),"----"),IFERROR(VLOOKUP(INDEX(ED95:ED106,EG101),SPM,2,FALSE),"----"))</f>
        <v>----</v>
      </c>
    </row>
    <row r="102" spans="1:138" ht="15" customHeight="1" x14ac:dyDescent="0.25">
      <c r="A102" s="1085"/>
      <c r="B102" s="925"/>
      <c r="C102" s="926"/>
      <c r="D102" s="927"/>
      <c r="E102" s="995"/>
      <c r="F102" s="996"/>
      <c r="G102" s="997"/>
      <c r="H102" s="1062"/>
      <c r="I102" s="990"/>
      <c r="J102" s="912"/>
      <c r="K102" s="913"/>
      <c r="L102" s="1002"/>
      <c r="M102" s="923"/>
      <c r="N102" s="1042"/>
      <c r="O102" s="1018"/>
      <c r="P102" s="987"/>
      <c r="Q102" s="1015"/>
      <c r="R102" s="1012"/>
      <c r="S102" s="1006"/>
      <c r="T102" s="1007"/>
      <c r="U102" s="878"/>
      <c r="V102" s="881"/>
      <c r="W102" s="884"/>
      <c r="X102" s="884"/>
      <c r="Y102" s="887"/>
      <c r="Z102" s="887"/>
      <c r="AA102" s="887"/>
      <c r="AB102" s="1081"/>
      <c r="AC102" s="1078"/>
      <c r="AD102" s="1070" t="str">
        <f t="shared" ref="AD102" si="1168">IF(ISBLANK(AD96)=TRUE,"",AD96)</f>
        <v>Nested Steel Stud</v>
      </c>
      <c r="AE102" s="1071"/>
      <c r="AF102" s="1052"/>
      <c r="AG102" s="1053"/>
      <c r="AH102" s="1053"/>
      <c r="AI102" s="1066"/>
      <c r="AJ102" s="1067"/>
      <c r="AK102" s="156" t="str">
        <f t="shared" ca="1" si="1130"/>
        <v/>
      </c>
      <c r="AL102" s="1059"/>
      <c r="AM102" s="343" t="str">
        <f ca="1">IFERROR(Q95/12*ROUND(VLOOKUP(AF102,OFFSET(SSM,0,1),6,FALSE),2),"")</f>
        <v/>
      </c>
      <c r="AN102" t="str">
        <f t="shared" ca="1" si="1154"/>
        <v/>
      </c>
      <c r="AP102" s="122" t="str">
        <f t="shared" ref="AP102" si="1169">_xlfn.CONCAT(AR102,AS106)</f>
        <v/>
      </c>
      <c r="AQ102" s="683" t="str">
        <f t="shared" si="65"/>
        <v/>
      </c>
      <c r="AR102" s="96" t="str">
        <f t="shared" si="1114"/>
        <v/>
      </c>
      <c r="AS102" s="96" t="str">
        <f>IF(COUNTIF(Vista_1,AF101)=1,"Vista_1",IF(COUNTIF(Vista_2,AF101)=1,"Vista_2",""))</f>
        <v/>
      </c>
      <c r="AT102" s="684" t="str">
        <f>AL101</f>
        <v/>
      </c>
      <c r="AU102" s="694" t="e">
        <f t="shared" ca="1" si="91"/>
        <v>#REF!</v>
      </c>
      <c r="AV102" s="686" t="str">
        <f ca="1">IFERROR(VLOOKUP(AU102,INDIRECT(AQ95),2,FALSE),"----")</f>
        <v>----</v>
      </c>
      <c r="AW102" s="694" t="e">
        <f t="shared" ca="1" si="92"/>
        <v>#REF!</v>
      </c>
      <c r="AX102" s="686" t="str">
        <f ca="1">IFERROR(VLOOKUP(AW102,INDIRECT(AQ96),2,FALSE),"----")</f>
        <v>----</v>
      </c>
      <c r="AY102" s="694" t="e">
        <f t="shared" ca="1" si="1132"/>
        <v>#REF!</v>
      </c>
      <c r="AZ102" s="686" t="str">
        <f ca="1">IFERROR(VLOOKUP(AY102,INDIRECT(AQ97),2,FALSE),"----")</f>
        <v>----</v>
      </c>
      <c r="BA102" s="694" t="e">
        <f t="shared" ca="1" si="1133"/>
        <v>#REF!</v>
      </c>
      <c r="BB102" s="686" t="str">
        <f ca="1">IFERROR(VLOOKUP(BA102,INDIRECT(AQ98),2,FALSE),"----")</f>
        <v>----</v>
      </c>
      <c r="BC102" s="694" t="e">
        <f t="shared" ca="1" si="95"/>
        <v>#REF!</v>
      </c>
      <c r="BD102" s="686" t="str">
        <f ca="1">IFERROR(VLOOKUP(BC102,INDIRECT(AQ99),2,FALSE),"----")</f>
        <v>----</v>
      </c>
      <c r="BE102" s="694" t="e">
        <f t="shared" ca="1" si="96"/>
        <v>#REF!</v>
      </c>
      <c r="BF102" s="686" t="str">
        <f ca="1">IFERROR(VLOOKUP(BE102,INDIRECT(AQ100),2,FALSE),"----")</f>
        <v>----</v>
      </c>
      <c r="BG102" s="702" t="e">
        <f t="shared" ca="1" si="97"/>
        <v>#REF!</v>
      </c>
      <c r="BH102" s="686" t="str">
        <f ca="1">IFERROR(VLOOKUP(BG102,INDIRECT(AQ101),2,FALSE),"----")</f>
        <v>----</v>
      </c>
      <c r="BI102" s="702" t="e">
        <f t="shared" ca="1" si="98"/>
        <v>#REF!</v>
      </c>
      <c r="BJ102" s="686" t="str">
        <f ca="1">IFERROR(VLOOKUP(BI102,INDIRECT(AQ102),2,FALSE),"----")</f>
        <v>----</v>
      </c>
      <c r="BK102" s="702" t="e">
        <f t="shared" ca="1" si="99"/>
        <v>#REF!</v>
      </c>
      <c r="BL102" s="686" t="str">
        <f ca="1">IFERROR(VLOOKUP(BK102,INDIRECT(AQ103),2,FALSE),"----")</f>
        <v>----</v>
      </c>
      <c r="BM102" s="702" t="e">
        <f t="shared" ca="1" si="100"/>
        <v>#REF!</v>
      </c>
      <c r="BN102" s="686" t="str">
        <f ca="1">IFERROR(VLOOKUP(BM102,INDIRECT(AQ104),2,FALSE),"----")</f>
        <v>----</v>
      </c>
      <c r="BO102" s="702" t="e">
        <f t="shared" ca="1" si="101"/>
        <v>#REF!</v>
      </c>
      <c r="BP102" s="686" t="str">
        <f ca="1">IFERROR(VLOOKUP(BO102,INDIRECT(AQ105),2,FALSE),"----")</f>
        <v>----</v>
      </c>
      <c r="BQ102" s="702" t="e">
        <f t="shared" ca="1" si="102"/>
        <v>#REF!</v>
      </c>
      <c r="BR102" s="686" t="str">
        <f ca="1">IFERROR(VLOOKUP(BQ102,INDIRECT(AQ106),2,FALSE),"----")</f>
        <v>----</v>
      </c>
      <c r="BS102" s="695">
        <f>IF(AI102="",1,IF(COUNTIF(BJ95:BJ106,AI102)=0,2,1))</f>
        <v>1</v>
      </c>
      <c r="BT102" s="696">
        <f>IF(AF102="",1,IF(BJ95=".",2,1))</f>
        <v>1</v>
      </c>
      <c r="BU102" s="706"/>
      <c r="BV102" s="155">
        <f ca="1">IF(COUNTIF(DN95:DN106,AF102)=0,IF(AF102&lt;&gt;"",0,1),1)</f>
        <v>1</v>
      </c>
      <c r="BW102" s="157">
        <f ca="1">IFERROR(MATCH(AF102,DN95:DN106,0),1)</f>
        <v>1</v>
      </c>
      <c r="BX102" s="769">
        <f t="shared" ref="BX102" si="1170">E95*(H95+I95)/144/2</f>
        <v>0</v>
      </c>
      <c r="BY102" s="769">
        <f>SUM(IF(H95&gt;E95,E95^2/4,(H95*E95/2)-(H95^2/4))/144,IF(I95&gt;E95,E95^2/4,(I95*E95/2)-(I95^2/4))/144)</f>
        <v>0</v>
      </c>
      <c r="BZ102" s="1110"/>
      <c r="CA102" s="691" t="e">
        <f t="shared" ca="1" si="1049"/>
        <v>#REF!</v>
      </c>
      <c r="CB102" s="4" t="e" cm="1">
        <f t="array" aca="1" ref="CB102" ca="1">IF(AND(INDEX(INDIRECT(BY95),CA102,4)&gt;=$AB95,INDEX(INDIRECT(BY95),CA102,5)&gt;=$S95,INDEX(INDIRECT(BY95),CA102,6)&gt;=$R95),1,0)</f>
        <v>#REF!</v>
      </c>
      <c r="CC102" s="4" t="e">
        <f t="shared" ref="CC102" ca="1" si="1171">MATCH(1,OFFSET(CB95:CB106,CD101,0,COUNT(CB95:CB106)-CD101),0)</f>
        <v>#REF!</v>
      </c>
      <c r="CD102" s="4" t="e">
        <f t="shared" ca="1" si="1051"/>
        <v>#REF!</v>
      </c>
      <c r="CE102" s="692" t="str" cm="1">
        <f t="array" aca="1" ref="CE102" ca="1">IFERROR(VLOOKUP(INDEX(CA95:CA106,CD102),INDIRECT(BY95),2,FALSE),"----")</f>
        <v>----</v>
      </c>
      <c r="CF102" s="691" t="e">
        <f t="shared" ca="1" si="1052"/>
        <v>#N/A</v>
      </c>
      <c r="CG102" s="4" t="e">
        <f ca="1">IF(AND(INDEX(SSM,CF102,4)&gt;=$AB95,INDEX(SSM,CF102,5)&gt;=$S95,INDEX(SSM,CF102,6)&gt;=$R95),1,0)</f>
        <v>#N/A</v>
      </c>
      <c r="CH102" s="4" t="e">
        <f t="shared" ref="CH102" ca="1" si="1172">MATCH(1,OFFSET(CG95:CG106,CI101,0,COUNT(CG95:CG106)-CI101),0)</f>
        <v>#REF!</v>
      </c>
      <c r="CI102" s="4" t="e">
        <f t="shared" ca="1" si="1054"/>
        <v>#REF!</v>
      </c>
      <c r="CJ102" s="692" t="str">
        <f ca="1">IFERROR(IF(AD96="Nested Steel Stud (wood infill)",VLOOKUP(INDEX(CF95:CF106,CI102),SSW,2,FALSE),VLOOKUP(INDEX(CF95:CF106,CI102),SSM,2,FALSE)),"----")</f>
        <v>----</v>
      </c>
      <c r="CK102" s="691" t="e">
        <f t="shared" ca="1" si="1055"/>
        <v>#N/A</v>
      </c>
      <c r="CL102" s="4" t="e">
        <f ca="1">IF(AND(INDEX(WSM,CK102,4)&gt;=$AB95,INDEX(WSM,CK102,5)&gt;=$S95,INDEX(WSM,CK102,6)&gt;=$R95),1,0)</f>
        <v>#N/A</v>
      </c>
      <c r="CM102" s="4" t="e">
        <f t="shared" ref="CM102" ca="1" si="1173">MATCH(1,OFFSET(CL95:CL106,CN101,0,COUNT(CL95:CL106)-CN101),0)</f>
        <v>#REF!</v>
      </c>
      <c r="CN102" s="4" t="e">
        <f t="shared" ca="1" si="1057"/>
        <v>#REF!</v>
      </c>
      <c r="CO102" s="692" t="str">
        <f ca="1">IFERROR(VLOOKUP(INDEX(CK95:CK106,CN102),WSM,2,FALSE),"----")</f>
        <v>----</v>
      </c>
      <c r="CP102" s="691" t="e">
        <f t="shared" ca="1" si="1058"/>
        <v>#N/A</v>
      </c>
      <c r="CQ102" s="4" t="e">
        <f ca="1">IF(AND(INDEX(STM,CP102,4)&gt;=$AB95,INDEX(STM,CP102,5)&gt;=$S95,INDEX(STM,CP102,6)&gt;=$R95),1,0)</f>
        <v>#N/A</v>
      </c>
      <c r="CR102" s="4" t="e">
        <f t="shared" ref="CR102" ca="1" si="1174">MATCH(1,OFFSET(CQ95:CQ106,CS101,0,COUNT(CQ95:CQ106)-CS101),0)</f>
        <v>#REF!</v>
      </c>
      <c r="CS102" s="4" t="e">
        <f t="shared" ca="1" si="1060"/>
        <v>#REF!</v>
      </c>
      <c r="CT102" s="692" t="str">
        <f ca="1">IFERROR(VLOOKUP(INDEX(CP95:CP106,CS102),STM,2,FALSE),"----")</f>
        <v>----</v>
      </c>
      <c r="CU102" s="691" t="e">
        <f t="shared" ca="1" si="1061"/>
        <v>#N/A</v>
      </c>
      <c r="CV102" s="4" t="e">
        <f ca="1">IF(AND(INDEX(ELM,CU102,4)&gt;=$AB95,INDEX(ELM,CU102,5)&gt;=$S95,INDEX(ELM,CU102,6)&gt;=$R95),1,0)</f>
        <v>#N/A</v>
      </c>
      <c r="CW102" s="4" t="e">
        <f t="shared" ref="CW102" ca="1" si="1175">MATCH(1,OFFSET(CV95:CV106,CX101,0,COUNT(CV95:CV106)-CX101),0)</f>
        <v>#REF!</v>
      </c>
      <c r="CX102" s="4" t="e">
        <f t="shared" ca="1" si="1063"/>
        <v>#REF!</v>
      </c>
      <c r="CY102" s="692" t="str">
        <f ca="1">IFERROR(VLOOKUP(INDEX(CU95:CU106,CX102),ELM,2,FALSE),"----")</f>
        <v>----</v>
      </c>
      <c r="CZ102" s="691" t="e">
        <f t="shared" ca="1" si="1064"/>
        <v>#N/A</v>
      </c>
      <c r="DA102" s="4" t="e">
        <f ca="1">IF(LEFT($J95,7)="Clad Wo",IF(AND(INDEX(SPPWS,CZ102,4)&gt;=$AB95,INDEX(SPPWS,CZ102,5)&gt;=$S95,INDEX(SPPWS,CZ102,6)&gt;=$R95),1,0),IF(AND(INDEX(SPM,CZ102,4)&gt;=$AB95,INDEX(SPM,CZ102,5)&gt;=$S95,INDEX(SPM,CZ102,6)&gt;=$R95),1,0))</f>
        <v>#N/A</v>
      </c>
      <c r="DB102" s="4" t="e">
        <f t="shared" ref="DB102" ca="1" si="1176">MATCH(1,OFFSET(DA95:DA106,DC101,0,COUNT(DA95:DA106)-DC101),0)</f>
        <v>#REF!</v>
      </c>
      <c r="DC102" s="4" t="e">
        <f t="shared" ca="1" si="1066"/>
        <v>#REF!</v>
      </c>
      <c r="DD102" s="693" t="str">
        <f ca="1">IF(LEFT($J95,7)="Clad Wo",IFERROR(VLOOKUP(INDEX(CZ95:CZ106,DC102),SPPWS,2,FALSE),"----"),IFERROR(VLOOKUP(INDEX(CZ95:CZ106,DC102),SPM,2,FALSE),"----"))</f>
        <v>----</v>
      </c>
      <c r="DE102" s="691" t="e">
        <f t="shared" ca="1" si="1067"/>
        <v>#REF!</v>
      </c>
      <c r="DF102" s="4" t="e" cm="1">
        <f t="array" aca="1" ref="DF102" ca="1">IF(AND(INDEX(INDIRECT(BY95),DE102,4)&gt;=$AB101,INDEX(INDIRECT(BY95),DE102,5)&gt;=$S95,INDEX(INDIRECT(BY95),DE102,6)&gt;=$R95),1,0)</f>
        <v>#REF!</v>
      </c>
      <c r="DG102" s="4" t="e">
        <f t="shared" ref="DG102" ca="1" si="1177">MATCH(1,OFFSET(DF95:DF106,DH101,0,COUNT(DF95:DF106)-DH101),0)</f>
        <v>#REF!</v>
      </c>
      <c r="DH102" s="4" t="e">
        <f t="shared" ca="1" si="1069"/>
        <v>#REF!</v>
      </c>
      <c r="DI102" s="692" t="str" cm="1">
        <f t="array" aca="1" ref="DI102" ca="1">IFERROR(VLOOKUP(INDEX(DE95:DE106,DH102),INDIRECT(BY95),2,FALSE),"----")</f>
        <v>----</v>
      </c>
      <c r="DJ102" s="691" t="e">
        <f t="shared" ca="1" si="1070"/>
        <v>#N/A</v>
      </c>
      <c r="DK102" s="4" t="e">
        <f ca="1">IF(AND(INDEX(SSM,DJ102,4)&gt;=$AB101,INDEX(SSM,DJ102,5)&gt;=$S95,INDEX(SSM,DJ102,6)&gt;=$R95),1,0)</f>
        <v>#N/A</v>
      </c>
      <c r="DL102" s="4" t="e">
        <f t="shared" ref="DL102" ca="1" si="1178">MATCH(1,OFFSET(DK95:DK106,DM101,0,COUNT(DK95:DK106)-DM101),0)</f>
        <v>#REF!</v>
      </c>
      <c r="DM102" s="4" t="e">
        <f t="shared" ca="1" si="1072"/>
        <v>#REF!</v>
      </c>
      <c r="DN102" s="692" t="str">
        <f ca="1">IFERROR(IF(AD102="Nested Steel Stud (wood infill)",VLOOKUP(INDEX(DJ95:DJ106,DM102),SSW,2,FALSE),VLOOKUP(INDEX(DJ95:DJ106,DM102),SSM,2,FALSE)),"----")</f>
        <v>----</v>
      </c>
      <c r="DO102" s="691" t="e">
        <f t="shared" ca="1" si="1073"/>
        <v>#N/A</v>
      </c>
      <c r="DP102" s="4" t="e">
        <f ca="1">IF(AND(INDEX(WSM,DO102,4)&gt;=$AB101,INDEX(WSM,DO102,5)&gt;=$S95,INDEX(WSM,DO102,6)&gt;=$R95),1,0)</f>
        <v>#N/A</v>
      </c>
      <c r="DQ102" s="4" t="e">
        <f t="shared" ref="DQ102" ca="1" si="1179">MATCH(1,OFFSET(DP95:DP106,DR101,0,COUNT(DP95:DP106)-DR101),0)</f>
        <v>#REF!</v>
      </c>
      <c r="DR102" s="4" t="e">
        <f t="shared" ca="1" si="1075"/>
        <v>#REF!</v>
      </c>
      <c r="DS102" s="692" t="str">
        <f ca="1">IFERROR(VLOOKUP(INDEX(DO95:DO106,DR102),WSM,2,FALSE),"----")</f>
        <v>----</v>
      </c>
      <c r="DT102" s="691" t="e">
        <f t="shared" ca="1" si="1076"/>
        <v>#N/A</v>
      </c>
      <c r="DU102" s="4" t="e">
        <f ca="1">IF(AND(INDEX(STM,DT102,4)&gt;=$AB101,INDEX(STM,DT102,5)&gt;=$S95,INDEX(STM,DT102,6)&gt;=$R95),1,0)</f>
        <v>#N/A</v>
      </c>
      <c r="DV102" s="4" t="e">
        <f t="shared" ref="DV102" ca="1" si="1180">MATCH(1,OFFSET(DU95:DU106,DW101,0,COUNT(DU95:DU106)-DW101),0)</f>
        <v>#REF!</v>
      </c>
      <c r="DW102" s="4" t="e">
        <f t="shared" ca="1" si="1078"/>
        <v>#REF!</v>
      </c>
      <c r="DX102" s="692" t="str">
        <f ca="1">IFERROR(VLOOKUP(INDEX(DT95:DT106,DW102),STM,2,FALSE),"----")</f>
        <v>----</v>
      </c>
      <c r="DY102" s="691" t="e">
        <f t="shared" ca="1" si="1079"/>
        <v>#N/A</v>
      </c>
      <c r="DZ102" s="4" t="e">
        <f ca="1">IF(AND(INDEX(ELM,DY102,4)&gt;=$AB101,INDEX(ELM,DY102,5)&gt;=$S95,INDEX(ELM,DY102,6)&gt;=$R95),1,0)</f>
        <v>#N/A</v>
      </c>
      <c r="EA102" s="4" t="e">
        <f t="shared" ref="EA102" ca="1" si="1181">MATCH(1,OFFSET(DZ95:DZ106,EB101,0,COUNT(DZ95:DZ106)-EB101),0)</f>
        <v>#REF!</v>
      </c>
      <c r="EB102" s="4" t="e">
        <f t="shared" ca="1" si="1081"/>
        <v>#REF!</v>
      </c>
      <c r="EC102" s="692" t="str">
        <f ca="1">IFERROR(VLOOKUP(INDEX(DY95:DY106,EB102),ELM,2,FALSE),"----")</f>
        <v>----</v>
      </c>
      <c r="ED102" s="691" t="e">
        <f t="shared" ca="1" si="1082"/>
        <v>#N/A</v>
      </c>
      <c r="EE102" s="4" t="e">
        <f ca="1">IF(LEFT($J95,7)="Clad Wo",IF(AND(INDEX(SPPWS,ED102,4)&gt;=$AB101,INDEX(SPPWS,ED102,5)&gt;=$S95,INDEX(SPPWS,ED102,6)&gt;=$R95),1,0),IF(AND(INDEX(SPM,ED102,4)&gt;=$AB101,INDEX(SPM,ED102,5)&gt;=$S95,INDEX(SPM,ED102,6)&gt;=$R95),1,0))</f>
        <v>#N/A</v>
      </c>
      <c r="EF102" s="4" t="e">
        <f t="shared" ref="EF102" ca="1" si="1182">MATCH(1,OFFSET(EE95:EE106,EG101,0,COUNT(EE95:EE106)-EG101),0)</f>
        <v>#REF!</v>
      </c>
      <c r="EG102" s="4" t="e">
        <f t="shared" ca="1" si="1084"/>
        <v>#REF!</v>
      </c>
      <c r="EH102" s="692" t="str">
        <f ca="1">IF(LEFT($J95,7)="Clad Wo",IFERROR(VLOOKUP(INDEX(ED95:ED106,EG102),SPPWS,2,FALSE),"----"),IFERROR(VLOOKUP(INDEX(ED95:ED106,EG102),SPM,2,FALSE),"----"))</f>
        <v>----</v>
      </c>
    </row>
    <row r="103" spans="1:138" ht="15" customHeight="1" x14ac:dyDescent="0.25">
      <c r="A103" s="1085"/>
      <c r="B103" s="925"/>
      <c r="C103" s="926"/>
      <c r="D103" s="927"/>
      <c r="E103" s="995"/>
      <c r="F103" s="996"/>
      <c r="G103" s="997"/>
      <c r="H103" s="1062"/>
      <c r="I103" s="990"/>
      <c r="J103" s="902"/>
      <c r="K103" s="903"/>
      <c r="L103" s="1002"/>
      <c r="M103" s="923"/>
      <c r="N103" s="1042"/>
      <c r="O103" s="1018"/>
      <c r="P103" s="987"/>
      <c r="Q103" s="1015"/>
      <c r="R103" s="1012"/>
      <c r="S103" s="1006"/>
      <c r="T103" s="1007"/>
      <c r="U103" s="878"/>
      <c r="V103" s="881"/>
      <c r="W103" s="884"/>
      <c r="X103" s="884"/>
      <c r="Y103" s="887"/>
      <c r="Z103" s="887"/>
      <c r="AA103" s="887"/>
      <c r="AB103" s="1081"/>
      <c r="AC103" s="1078"/>
      <c r="AD103" s="1070" t="str">
        <f t="shared" si="233"/>
        <v>Wood Stud Framing</v>
      </c>
      <c r="AE103" s="1071"/>
      <c r="AF103" s="1052"/>
      <c r="AG103" s="1053"/>
      <c r="AH103" s="1053"/>
      <c r="AI103" s="1066"/>
      <c r="AJ103" s="1067"/>
      <c r="AK103" s="156" t="str">
        <f t="shared" ca="1" si="1130"/>
        <v/>
      </c>
      <c r="AL103" s="1059"/>
      <c r="AM103" s="344" t="str">
        <f ca="1">IFERROR(Q95/12*ROUND(VLOOKUP(AF103,OFFSET(WSM,0,1),6,FALSE),2),"")</f>
        <v/>
      </c>
      <c r="AN103" t="str">
        <f t="shared" ca="1" si="1154"/>
        <v/>
      </c>
      <c r="AP103" s="122" t="str">
        <f t="shared" ref="AP103" si="1183">_xlfn.CONCAT(AR103,AS106)</f>
        <v/>
      </c>
      <c r="AQ103" s="683" t="str">
        <f t="shared" si="65"/>
        <v/>
      </c>
      <c r="AR103" s="4" t="str">
        <f t="shared" si="1114"/>
        <v/>
      </c>
      <c r="AS103" s="4"/>
      <c r="AT103" s="697" t="str">
        <f>AL101</f>
        <v/>
      </c>
      <c r="AU103" s="694" t="e">
        <f t="shared" ca="1" si="91"/>
        <v>#REF!</v>
      </c>
      <c r="AV103" s="686" t="str">
        <f ca="1">IFERROR(VLOOKUP(AU103,INDIRECT(AQ95),2,FALSE),"----")</f>
        <v>----</v>
      </c>
      <c r="AW103" s="694" t="e">
        <f t="shared" ca="1" si="92"/>
        <v>#REF!</v>
      </c>
      <c r="AX103" s="686" t="str">
        <f ca="1">IFERROR(VLOOKUP(AW103,INDIRECT(AQ96),2,FALSE),"----")</f>
        <v>----</v>
      </c>
      <c r="AY103" s="694" t="e">
        <f t="shared" ca="1" si="1132"/>
        <v>#REF!</v>
      </c>
      <c r="AZ103" s="686" t="str">
        <f ca="1">IFERROR(VLOOKUP(AY103,INDIRECT(AQ97),2,FALSE),"----")</f>
        <v>----</v>
      </c>
      <c r="BA103" s="694" t="e">
        <f t="shared" ca="1" si="1133"/>
        <v>#REF!</v>
      </c>
      <c r="BB103" s="686" t="str">
        <f ca="1">IFERROR(VLOOKUP(BA103,INDIRECT(AQ98),2,FALSE),"----")</f>
        <v>----</v>
      </c>
      <c r="BC103" s="694" t="e">
        <f t="shared" ca="1" si="95"/>
        <v>#REF!</v>
      </c>
      <c r="BD103" s="686" t="str">
        <f ca="1">IFERROR(VLOOKUP(BC103,INDIRECT(AQ99),2,FALSE),"----")</f>
        <v>----</v>
      </c>
      <c r="BE103" s="694" t="e">
        <f t="shared" ca="1" si="96"/>
        <v>#REF!</v>
      </c>
      <c r="BF103" s="686" t="str">
        <f ca="1">IFERROR(VLOOKUP(BE103,INDIRECT(AQ100),2,FALSE),"----")</f>
        <v>----</v>
      </c>
      <c r="BG103" s="702" t="e">
        <f t="shared" ca="1" si="97"/>
        <v>#REF!</v>
      </c>
      <c r="BH103" s="686" t="str">
        <f ca="1">IFERROR(VLOOKUP(BG103,INDIRECT(AQ101),2,FALSE),"----")</f>
        <v>----</v>
      </c>
      <c r="BI103" s="702" t="e">
        <f t="shared" ca="1" si="98"/>
        <v>#REF!</v>
      </c>
      <c r="BJ103" s="686" t="str">
        <f ca="1">IFERROR(VLOOKUP(BI103,INDIRECT(AQ102),2,FALSE),"----")</f>
        <v>----</v>
      </c>
      <c r="BK103" s="702" t="e">
        <f t="shared" ca="1" si="99"/>
        <v>#REF!</v>
      </c>
      <c r="BL103" s="686" t="str">
        <f ca="1">IFERROR(VLOOKUP(BK103,INDIRECT(AQ103),2,FALSE),"----")</f>
        <v>----</v>
      </c>
      <c r="BM103" s="702" t="e">
        <f t="shared" ca="1" si="100"/>
        <v>#REF!</v>
      </c>
      <c r="BN103" s="686" t="str">
        <f ca="1">IFERROR(VLOOKUP(BM103,INDIRECT(AQ104),2,FALSE),"----")</f>
        <v>----</v>
      </c>
      <c r="BO103" s="702" t="e">
        <f t="shared" ca="1" si="101"/>
        <v>#REF!</v>
      </c>
      <c r="BP103" s="686" t="str">
        <f ca="1">IFERROR(VLOOKUP(BO103,INDIRECT(AQ105),2,FALSE),"----")</f>
        <v>----</v>
      </c>
      <c r="BQ103" s="702" t="e">
        <f t="shared" ca="1" si="102"/>
        <v>#REF!</v>
      </c>
      <c r="BR103" s="686" t="str">
        <f ca="1">IFERROR(VLOOKUP(BQ103,INDIRECT(AQ106),2,FALSE),"----")</f>
        <v>----</v>
      </c>
      <c r="BS103" s="695">
        <f>IF(AI103="",1,IF(COUNTIF(BL95:BL106,AI103)=0,2,1))</f>
        <v>1</v>
      </c>
      <c r="BT103" s="696">
        <f>IF(AF103="",1,IF(BL95=".",2,1))</f>
        <v>1</v>
      </c>
      <c r="BU103" s="706"/>
      <c r="BV103" s="155">
        <f ca="1">IF(COUNTIF(DS95:DS106,AF103)=0,IF(AF103&lt;&gt;"",0,1),1)</f>
        <v>1</v>
      </c>
      <c r="BW103" s="157">
        <f ca="1">IFERROR(MATCH(AF103,DS95:DS106,0),1)</f>
        <v>1</v>
      </c>
      <c r="BX103" s="769" t="e">
        <f t="shared" ref="BX103" si="1184">5*E95^3*W95/(384*X95)</f>
        <v>#VALUE!</v>
      </c>
      <c r="BY103" s="769" t="e">
        <f t="shared" ref="BY103" si="1185">W95*E95^3/(60*X95)</f>
        <v>#VALUE!</v>
      </c>
      <c r="BZ103" s="1110"/>
      <c r="CA103" s="691" t="e">
        <f t="shared" ca="1" si="1049"/>
        <v>#REF!</v>
      </c>
      <c r="CB103" s="4" t="e" cm="1">
        <f t="array" aca="1" ref="CB103" ca="1">IF(AND(INDEX(INDIRECT(BY95),CA103,4)&gt;=$AB95,INDEX(INDIRECT(BY95),CA103,5)&gt;=$S95,INDEX(INDIRECT(BY95),CA103,6)&gt;=$R95),1,0)</f>
        <v>#REF!</v>
      </c>
      <c r="CC103" s="4" t="e">
        <f t="shared" ref="CC103" ca="1" si="1186">MATCH(1,OFFSET(CB95:CB106,CD102,0,COUNT(CB95:CB106)-CD102),0)</f>
        <v>#REF!</v>
      </c>
      <c r="CD103" s="4" t="e">
        <f t="shared" ca="1" si="1051"/>
        <v>#REF!</v>
      </c>
      <c r="CE103" s="692" t="str" cm="1">
        <f t="array" aca="1" ref="CE103" ca="1">IFERROR(VLOOKUP(INDEX(CA95:CA106,CD103),INDIRECT(BY95),2,FALSE),"----")</f>
        <v>----</v>
      </c>
      <c r="CF103" s="691" t="e">
        <f t="shared" ca="1" si="1052"/>
        <v>#N/A</v>
      </c>
      <c r="CG103" s="4" t="e">
        <f ca="1">IF(AND(INDEX(SSM,CF103,4)&gt;=$AB95,INDEX(SSM,CF103,5)&gt;=$S95,INDEX(SSM,CF103,6)&gt;=$R95),1,0)</f>
        <v>#N/A</v>
      </c>
      <c r="CH103" s="4" t="e">
        <f t="shared" ref="CH103" ca="1" si="1187">MATCH(1,OFFSET(CG95:CG106,CI102,0,COUNT(CG95:CG106)-CI102),0)</f>
        <v>#REF!</v>
      </c>
      <c r="CI103" s="4" t="e">
        <f t="shared" ca="1" si="1054"/>
        <v>#REF!</v>
      </c>
      <c r="CJ103" s="692" t="str">
        <f ca="1">IFERROR(IF(AD96="Nested Steel Stud (wood infill)",VLOOKUP(INDEX(CF95:CF106,CI103),SSW,2,FALSE),VLOOKUP(INDEX(CF95:CF106,CI103),SSM,2,FALSE)),"----")</f>
        <v>----</v>
      </c>
      <c r="CK103" s="691" t="e">
        <f t="shared" ca="1" si="1055"/>
        <v>#N/A</v>
      </c>
      <c r="CL103" s="4" t="e">
        <f ca="1">IF(AND(INDEX(WSM,CK103,4)&gt;=$AB95,INDEX(WSM,CK103,5)&gt;=$S95,INDEX(WSM,CK103,6)&gt;=$R95),1,0)</f>
        <v>#N/A</v>
      </c>
      <c r="CM103" s="4" t="e">
        <f t="shared" ref="CM103" ca="1" si="1188">MATCH(1,OFFSET(CL95:CL106,CN102,0,COUNT(CL95:CL106)-CN102),0)</f>
        <v>#REF!</v>
      </c>
      <c r="CN103" s="4" t="e">
        <f t="shared" ca="1" si="1057"/>
        <v>#REF!</v>
      </c>
      <c r="CO103" s="692" t="str">
        <f ca="1">IFERROR(VLOOKUP(INDEX(CK95:CK106,CN103),WSM,2,FALSE),"----")</f>
        <v>----</v>
      </c>
      <c r="CP103" s="691" t="e">
        <f t="shared" ca="1" si="1058"/>
        <v>#N/A</v>
      </c>
      <c r="CQ103" s="4" t="e">
        <f ca="1">IF(AND(INDEX(STM,CP103,4)&gt;=$AB95,INDEX(STM,CP103,5)&gt;=$S95,INDEX(STM,CP103,6)&gt;=$R95),1,0)</f>
        <v>#N/A</v>
      </c>
      <c r="CR103" s="4" t="e">
        <f t="shared" ref="CR103" ca="1" si="1189">MATCH(1,OFFSET(CQ95:CQ106,CS102,0,COUNT(CQ95:CQ106)-CS102),0)</f>
        <v>#REF!</v>
      </c>
      <c r="CS103" s="4" t="e">
        <f t="shared" ca="1" si="1060"/>
        <v>#REF!</v>
      </c>
      <c r="CT103" s="692" t="str">
        <f ca="1">IFERROR(VLOOKUP(INDEX(CP95:CP106,CS103),STM,2,FALSE),"----")</f>
        <v>----</v>
      </c>
      <c r="CU103" s="691" t="e">
        <f t="shared" ca="1" si="1061"/>
        <v>#N/A</v>
      </c>
      <c r="CV103" s="4" t="e">
        <f ca="1">IF(AND(INDEX(ELM,CU103,4)&gt;=$AB95,INDEX(ELM,CU103,5)&gt;=$S95,INDEX(ELM,CU103,6)&gt;=$R95),1,0)</f>
        <v>#N/A</v>
      </c>
      <c r="CW103" s="4" t="e">
        <f t="shared" ref="CW103" ca="1" si="1190">MATCH(1,OFFSET(CV95:CV106,CX102,0,COUNT(CV95:CV106)-CX102),0)</f>
        <v>#REF!</v>
      </c>
      <c r="CX103" s="4" t="e">
        <f t="shared" ca="1" si="1063"/>
        <v>#REF!</v>
      </c>
      <c r="CY103" s="692" t="str">
        <f ca="1">IFERROR(VLOOKUP(INDEX(CU95:CU106,CX103),ELM,2,FALSE),"----")</f>
        <v>----</v>
      </c>
      <c r="CZ103" s="691" t="e">
        <f t="shared" ca="1" si="1064"/>
        <v>#N/A</v>
      </c>
      <c r="DA103" s="4" t="e">
        <f ca="1">IF(LEFT($J95,7)="Clad Wo",IF(AND(INDEX(SPPWS,CZ103,4)&gt;=$AB95,INDEX(SPPWS,CZ103,5)&gt;=$S95,INDEX(SPPWS,CZ103,6)&gt;=$R95),1,0),IF(AND(INDEX(SPM,CZ103,4)&gt;=$AB95,INDEX(SPM,CZ103,5)&gt;=$S95,INDEX(SPM,CZ103,6)&gt;=$R95),1,0))</f>
        <v>#N/A</v>
      </c>
      <c r="DB103" s="4" t="e">
        <f t="shared" ref="DB103" ca="1" si="1191">MATCH(1,OFFSET(DA95:DA106,DC102,0,COUNT(DA95:DA106)-DC102),0)</f>
        <v>#REF!</v>
      </c>
      <c r="DC103" s="4" t="e">
        <f t="shared" ca="1" si="1066"/>
        <v>#REF!</v>
      </c>
      <c r="DD103" s="693" t="str">
        <f ca="1">IF(LEFT($J95,7)="Clad Wo",IFERROR(VLOOKUP(INDEX(CZ95:CZ106,DC103),SPPWS,2,FALSE),"----"),IFERROR(VLOOKUP(INDEX(CZ95:CZ106,DC103),SPM,2,FALSE),"----"))</f>
        <v>----</v>
      </c>
      <c r="DE103" s="691" t="e">
        <f t="shared" ca="1" si="1067"/>
        <v>#REF!</v>
      </c>
      <c r="DF103" s="4" t="e" cm="1">
        <f t="array" aca="1" ref="DF103" ca="1">IF(AND(INDEX(INDIRECT(BY95),DE103,4)&gt;=$AB101,INDEX(INDIRECT(BY95),DE103,5)&gt;=$S95,INDEX(INDIRECT(BY95),DE103,6)&gt;=$R95),1,0)</f>
        <v>#REF!</v>
      </c>
      <c r="DG103" s="4" t="e">
        <f t="shared" ref="DG103" ca="1" si="1192">MATCH(1,OFFSET(DF95:DF106,DH102,0,COUNT(DF95:DF106)-DH102),0)</f>
        <v>#REF!</v>
      </c>
      <c r="DH103" s="4" t="e">
        <f t="shared" ca="1" si="1069"/>
        <v>#REF!</v>
      </c>
      <c r="DI103" s="692" t="str" cm="1">
        <f t="array" aca="1" ref="DI103" ca="1">IFERROR(VLOOKUP(INDEX(DE95:DE106,DH103),INDIRECT(BY95),2,FALSE),"----")</f>
        <v>----</v>
      </c>
      <c r="DJ103" s="691" t="e">
        <f t="shared" ca="1" si="1070"/>
        <v>#N/A</v>
      </c>
      <c r="DK103" s="4" t="e">
        <f ca="1">IF(AND(INDEX(SSM,DJ103,4)&gt;=$AB101,INDEX(SSM,DJ103,5)&gt;=$S95,INDEX(SSM,DJ103,6)&gt;=$R95),1,0)</f>
        <v>#N/A</v>
      </c>
      <c r="DL103" s="4" t="e">
        <f t="shared" ref="DL103" ca="1" si="1193">MATCH(1,OFFSET(DK95:DK106,DM102,0,COUNT(DK95:DK106)-DM102),0)</f>
        <v>#REF!</v>
      </c>
      <c r="DM103" s="4" t="e">
        <f t="shared" ca="1" si="1072"/>
        <v>#REF!</v>
      </c>
      <c r="DN103" s="692" t="str">
        <f ca="1">IFERROR(IF(AD102="Nested Steel Stud (wood infill)",VLOOKUP(INDEX(DJ95:DJ106,DM103),SSW,2,FALSE),VLOOKUP(INDEX(DJ95:DJ106,DM103),SSM,2,FALSE)),"----")</f>
        <v>----</v>
      </c>
      <c r="DO103" s="691" t="e">
        <f t="shared" ca="1" si="1073"/>
        <v>#N/A</v>
      </c>
      <c r="DP103" s="4" t="e">
        <f ca="1">IF(AND(INDEX(WSM,DO103,4)&gt;=$AB101,INDEX(WSM,DO103,5)&gt;=$S95,INDEX(WSM,DO103,6)&gt;=$R95),1,0)</f>
        <v>#N/A</v>
      </c>
      <c r="DQ103" s="4" t="e">
        <f t="shared" ref="DQ103" ca="1" si="1194">MATCH(1,OFFSET(DP95:DP106,DR102,0,COUNT(DP95:DP106)-DR102),0)</f>
        <v>#REF!</v>
      </c>
      <c r="DR103" s="4" t="e">
        <f t="shared" ca="1" si="1075"/>
        <v>#REF!</v>
      </c>
      <c r="DS103" s="692" t="str">
        <f ca="1">IFERROR(VLOOKUP(INDEX(DO95:DO106,DR103),WSM,2,FALSE),"----")</f>
        <v>----</v>
      </c>
      <c r="DT103" s="691" t="e">
        <f t="shared" ca="1" si="1076"/>
        <v>#N/A</v>
      </c>
      <c r="DU103" s="4" t="e">
        <f ca="1">IF(AND(INDEX(STM,DT103,4)&gt;=$AB101,INDEX(STM,DT103,5)&gt;=$S95,INDEX(STM,DT103,6)&gt;=$R95),1,0)</f>
        <v>#N/A</v>
      </c>
      <c r="DV103" s="4" t="e">
        <f t="shared" ref="DV103" ca="1" si="1195">MATCH(1,OFFSET(DU95:DU106,DW102,0,COUNT(DU95:DU106)-DW102),0)</f>
        <v>#REF!</v>
      </c>
      <c r="DW103" s="4" t="e">
        <f t="shared" ca="1" si="1078"/>
        <v>#REF!</v>
      </c>
      <c r="DX103" s="692" t="str">
        <f ca="1">IFERROR(VLOOKUP(INDEX(DT95:DT106,DW103),STM,2,FALSE),"----")</f>
        <v>----</v>
      </c>
      <c r="DY103" s="691" t="e">
        <f t="shared" ca="1" si="1079"/>
        <v>#N/A</v>
      </c>
      <c r="DZ103" s="4" t="e">
        <f ca="1">IF(AND(INDEX(ELM,DY103,4)&gt;=$AB101,INDEX(ELM,DY103,5)&gt;=$S95,INDEX(ELM,DY103,6)&gt;=$R95),1,0)</f>
        <v>#N/A</v>
      </c>
      <c r="EA103" s="4" t="e">
        <f t="shared" ref="EA103" ca="1" si="1196">MATCH(1,OFFSET(DZ95:DZ106,EB102,0,COUNT(DZ95:DZ106)-EB102),0)</f>
        <v>#REF!</v>
      </c>
      <c r="EB103" s="4" t="e">
        <f t="shared" ca="1" si="1081"/>
        <v>#REF!</v>
      </c>
      <c r="EC103" s="692" t="str">
        <f ca="1">IFERROR(VLOOKUP(INDEX(DY95:DY106,EB103),ELM,2,FALSE),"----")</f>
        <v>----</v>
      </c>
      <c r="ED103" s="691" t="e">
        <f t="shared" ca="1" si="1082"/>
        <v>#N/A</v>
      </c>
      <c r="EE103" s="4" t="e">
        <f ca="1">IF(LEFT($J95,7)="Clad Wo",IF(AND(INDEX(SPPWS,ED103,4)&gt;=$AB101,INDEX(SPPWS,ED103,5)&gt;=$S95,INDEX(SPPWS,ED103,6)&gt;=$R95),1,0),IF(AND(INDEX(SPM,ED103,4)&gt;=$AB101,INDEX(SPM,ED103,5)&gt;=$S95,INDEX(SPM,ED103,6)&gt;=$R95),1,0))</f>
        <v>#N/A</v>
      </c>
      <c r="EF103" s="4" t="e">
        <f t="shared" ref="EF103" ca="1" si="1197">MATCH(1,OFFSET(EE95:EE106,EG102,0,COUNT(EE95:EE106)-EG102),0)</f>
        <v>#REF!</v>
      </c>
      <c r="EG103" s="4" t="e">
        <f t="shared" ca="1" si="1084"/>
        <v>#REF!</v>
      </c>
      <c r="EH103" s="692" t="str">
        <f ca="1">IF(LEFT($J95,7)="Clad Wo",IFERROR(VLOOKUP(INDEX(ED95:ED106,EG103),SPPWS,2,FALSE),"----"),IFERROR(VLOOKUP(INDEX(ED95:ED106,EG103),SPM,2,FALSE),"----"))</f>
        <v>----</v>
      </c>
    </row>
    <row r="104" spans="1:138" ht="15" customHeight="1" x14ac:dyDescent="0.25">
      <c r="A104" s="1085"/>
      <c r="B104" s="925"/>
      <c r="C104" s="926"/>
      <c r="D104" s="927"/>
      <c r="E104" s="995"/>
      <c r="F104" s="996"/>
      <c r="G104" s="997"/>
      <c r="H104" s="1062"/>
      <c r="I104" s="990"/>
      <c r="J104" s="902"/>
      <c r="K104" s="903"/>
      <c r="L104" s="1002"/>
      <c r="M104" s="923"/>
      <c r="N104" s="1042"/>
      <c r="O104" s="1018"/>
      <c r="P104" s="987"/>
      <c r="Q104" s="1015"/>
      <c r="R104" s="1012"/>
      <c r="S104" s="1006"/>
      <c r="T104" s="1007"/>
      <c r="U104" s="878"/>
      <c r="V104" s="881"/>
      <c r="W104" s="884"/>
      <c r="X104" s="884"/>
      <c r="Y104" s="887"/>
      <c r="Z104" s="887"/>
      <c r="AA104" s="887"/>
      <c r="AB104" s="1081"/>
      <c r="AC104" s="1078"/>
      <c r="AD104" s="1070" t="str">
        <f t="shared" si="233"/>
        <v>Steel Tube</v>
      </c>
      <c r="AE104" s="1071"/>
      <c r="AF104" s="1052"/>
      <c r="AG104" s="1053"/>
      <c r="AH104" s="1053"/>
      <c r="AI104" s="1066"/>
      <c r="AJ104" s="1067"/>
      <c r="AK104" s="156" t="str">
        <f t="shared" ca="1" si="1130"/>
        <v/>
      </c>
      <c r="AL104" s="1059"/>
      <c r="AM104" s="343" t="str">
        <f ca="1">IFERROR(Q95/12*ROUND(VLOOKUP(AF104,OFFSET(STM,0,1),6,FALSE),2),"")</f>
        <v/>
      </c>
      <c r="AN104" t="str">
        <f t="shared" ca="1" si="1154"/>
        <v/>
      </c>
      <c r="AP104" s="122" t="str">
        <f t="shared" ref="AP104" si="1198">_xlfn.CONCAT(AR104,AS106)</f>
        <v/>
      </c>
      <c r="AQ104" s="683" t="str">
        <f t="shared" si="65"/>
        <v/>
      </c>
      <c r="AR104" s="4" t="str">
        <f t="shared" si="1114"/>
        <v/>
      </c>
      <c r="AS104" s="4"/>
      <c r="AT104" s="697" t="str">
        <f>AL101</f>
        <v/>
      </c>
      <c r="AU104" s="694" t="e">
        <f t="shared" ca="1" si="91"/>
        <v>#REF!</v>
      </c>
      <c r="AV104" s="686" t="str">
        <f ca="1">IFERROR(VLOOKUP(AU104,INDIRECT(AQ95),2,FALSE),"----")</f>
        <v>----</v>
      </c>
      <c r="AW104" s="694" t="e">
        <f t="shared" ca="1" si="92"/>
        <v>#REF!</v>
      </c>
      <c r="AX104" s="686" t="str">
        <f ca="1">IFERROR(VLOOKUP(AW104,INDIRECT(AQ96),2,FALSE),"----")</f>
        <v>----</v>
      </c>
      <c r="AY104" s="694" t="e">
        <f t="shared" ca="1" si="486"/>
        <v>#REF!</v>
      </c>
      <c r="AZ104" s="686" t="str">
        <f ca="1">IFERROR(VLOOKUP(AY104,INDIRECT(AQ97),2,FALSE),"----")</f>
        <v>----</v>
      </c>
      <c r="BA104" s="694" t="e">
        <f t="shared" ca="1" si="487"/>
        <v>#REF!</v>
      </c>
      <c r="BB104" s="686" t="str">
        <f ca="1">IFERROR(VLOOKUP(BA104,INDIRECT(AQ98),2,FALSE),"----")</f>
        <v>----</v>
      </c>
      <c r="BC104" s="694" t="e">
        <f t="shared" ca="1" si="95"/>
        <v>#REF!</v>
      </c>
      <c r="BD104" s="686" t="str">
        <f ca="1">IFERROR(VLOOKUP(BC104,INDIRECT(AQ99),2,FALSE),"----")</f>
        <v>----</v>
      </c>
      <c r="BE104" s="694" t="e">
        <f t="shared" ca="1" si="96"/>
        <v>#REF!</v>
      </c>
      <c r="BF104" s="686" t="str">
        <f ca="1">IFERROR(VLOOKUP(BE104,INDIRECT(AQ100),2,FALSE),"----")</f>
        <v>----</v>
      </c>
      <c r="BG104" s="702" t="e">
        <f t="shared" ca="1" si="97"/>
        <v>#REF!</v>
      </c>
      <c r="BH104" s="686" t="str">
        <f ca="1">IFERROR(VLOOKUP(BG104,INDIRECT(AQ101),2,FALSE),"----")</f>
        <v>----</v>
      </c>
      <c r="BI104" s="702" t="e">
        <f t="shared" ca="1" si="98"/>
        <v>#REF!</v>
      </c>
      <c r="BJ104" s="686" t="str">
        <f ca="1">IFERROR(VLOOKUP(BI104,INDIRECT(AQ102),2,FALSE),"----")</f>
        <v>----</v>
      </c>
      <c r="BK104" s="702" t="e">
        <f t="shared" ca="1" si="99"/>
        <v>#REF!</v>
      </c>
      <c r="BL104" s="686" t="str">
        <f ca="1">IFERROR(VLOOKUP(BK104,INDIRECT(AQ103),2,FALSE),"----")</f>
        <v>----</v>
      </c>
      <c r="BM104" s="702" t="e">
        <f t="shared" ca="1" si="100"/>
        <v>#REF!</v>
      </c>
      <c r="BN104" s="686" t="str">
        <f ca="1">IFERROR(VLOOKUP(BM104,INDIRECT(AQ104),2,FALSE),"----")</f>
        <v>----</v>
      </c>
      <c r="BO104" s="702" t="e">
        <f t="shared" ca="1" si="101"/>
        <v>#REF!</v>
      </c>
      <c r="BP104" s="686" t="str">
        <f ca="1">IFERROR(VLOOKUP(BO104,INDIRECT(AQ105),2,FALSE),"----")</f>
        <v>----</v>
      </c>
      <c r="BQ104" s="702" t="e">
        <f t="shared" ca="1" si="102"/>
        <v>#REF!</v>
      </c>
      <c r="BR104" s="686" t="str">
        <f ca="1">IFERROR(VLOOKUP(BQ104,INDIRECT(AQ106),2,FALSE),"----")</f>
        <v>----</v>
      </c>
      <c r="BS104" s="695">
        <f>IF(AI104="",1,IF(COUNTIF(BN95:BN106,AI104)=0,2,1))</f>
        <v>1</v>
      </c>
      <c r="BT104" s="696">
        <f>IF(AF104="",1,IF(BN95=".",2,1))</f>
        <v>1</v>
      </c>
      <c r="BU104" s="706"/>
      <c r="BV104" s="155">
        <f ca="1">IF(COUNTIF(DX95:DX106,AF104)=0,IF(AF104&lt;&gt;"",0,1),1)</f>
        <v>1</v>
      </c>
      <c r="BW104" s="157">
        <f ca="1">IFERROR(MATCH(AF104,DX95:DX106,0),1)</f>
        <v>1</v>
      </c>
      <c r="BX104" s="769" t="e">
        <f t="shared" ref="BX104" si="1199">5*E95^3*W101/(384*X95)</f>
        <v>#VALUE!</v>
      </c>
      <c r="BY104" s="769" t="e">
        <f t="shared" ref="BY104" si="1200">E95^3*W101/(60*X95)</f>
        <v>#VALUE!</v>
      </c>
      <c r="BZ104" s="1110"/>
      <c r="CA104" s="691" t="e">
        <f t="shared" ca="1" si="1049"/>
        <v>#REF!</v>
      </c>
      <c r="CB104" s="4" t="e" cm="1">
        <f t="array" aca="1" ref="CB104" ca="1">IF(AND(INDEX(INDIRECT(BY95),CA104,4)&gt;=$AB95,INDEX(INDIRECT(BY95),CA104,5)&gt;=$S95,INDEX(INDIRECT(BY95),CA104,6)&gt;=$R95),1,0)</f>
        <v>#REF!</v>
      </c>
      <c r="CC104" s="4" t="e">
        <f t="shared" ref="CC104" ca="1" si="1201">MATCH(1,OFFSET(CB95:CB106,CD103,0,COUNT(CB95:CB106)-CD103),0)</f>
        <v>#REF!</v>
      </c>
      <c r="CD104" s="4" t="e">
        <f t="shared" ca="1" si="1051"/>
        <v>#REF!</v>
      </c>
      <c r="CE104" s="692" t="str" cm="1">
        <f t="array" aca="1" ref="CE104" ca="1">IFERROR(VLOOKUP(INDEX(CA95:CA106,CD104),INDIRECT(BY95),2,FALSE),"----")</f>
        <v>----</v>
      </c>
      <c r="CF104" s="691" t="e">
        <f t="shared" ca="1" si="1052"/>
        <v>#N/A</v>
      </c>
      <c r="CG104" s="4" t="e">
        <f ca="1">IF(AND(INDEX(SSM,CF104,4)&gt;=$AB95,INDEX(SSM,CF104,5)&gt;=$S95,INDEX(SSM,CF104,6)&gt;=$R95),1,0)</f>
        <v>#N/A</v>
      </c>
      <c r="CH104" s="4" t="e">
        <f t="shared" ref="CH104" ca="1" si="1202">MATCH(1,OFFSET(CG95:CG106,CI103,0,COUNT(CG95:CG106)-CI103),0)</f>
        <v>#REF!</v>
      </c>
      <c r="CI104" s="4" t="e">
        <f t="shared" ca="1" si="1054"/>
        <v>#REF!</v>
      </c>
      <c r="CJ104" s="692" t="str">
        <f ca="1">IFERROR(IF(AD96="Nested Steel Stud (wood infill)",VLOOKUP(INDEX(CF95:CF106,CI104),SSW,2,FALSE),VLOOKUP(INDEX(CF95:CF106,CI104),SSM,2,FALSE)),"----")</f>
        <v>----</v>
      </c>
      <c r="CK104" s="691" t="e">
        <f t="shared" ca="1" si="1055"/>
        <v>#N/A</v>
      </c>
      <c r="CL104" s="4" t="e">
        <f ca="1">IF(AND(INDEX(WSM,CK104,4)&gt;=$AB95,INDEX(WSM,CK104,5)&gt;=$S95,INDEX(WSM,CK104,6)&gt;=$R95),1,0)</f>
        <v>#N/A</v>
      </c>
      <c r="CM104" s="4" t="e">
        <f t="shared" ref="CM104" ca="1" si="1203">MATCH(1,OFFSET(CL95:CL106,CN103,0,COUNT(CL95:CL106)-CN103),0)</f>
        <v>#REF!</v>
      </c>
      <c r="CN104" s="4" t="e">
        <f t="shared" ca="1" si="1057"/>
        <v>#REF!</v>
      </c>
      <c r="CO104" s="692" t="str">
        <f ca="1">IFERROR(VLOOKUP(INDEX(CK95:CK106,CN104),WSM,2,FALSE),"----")</f>
        <v>----</v>
      </c>
      <c r="CP104" s="691" t="e">
        <f t="shared" ca="1" si="1058"/>
        <v>#N/A</v>
      </c>
      <c r="CQ104" s="4" t="e">
        <f ca="1">IF(AND(INDEX(STM,CP104,4)&gt;=$AB95,INDEX(STM,CP104,5)&gt;=$S95,INDEX(STM,CP104,6)&gt;=$R95),1,0)</f>
        <v>#N/A</v>
      </c>
      <c r="CR104" s="4" t="e">
        <f t="shared" ref="CR104" ca="1" si="1204">MATCH(1,OFFSET(CQ95:CQ106,CS103,0,COUNT(CQ95:CQ106)-CS103),0)</f>
        <v>#REF!</v>
      </c>
      <c r="CS104" s="4" t="e">
        <f t="shared" ca="1" si="1060"/>
        <v>#REF!</v>
      </c>
      <c r="CT104" s="692" t="str">
        <f ca="1">IFERROR(VLOOKUP(INDEX(CP95:CP106,CS104),STM,2,FALSE),"----")</f>
        <v>----</v>
      </c>
      <c r="CU104" s="691" t="e">
        <f t="shared" ca="1" si="1061"/>
        <v>#N/A</v>
      </c>
      <c r="CV104" s="4" t="e">
        <f ca="1">IF(AND(INDEX(ELM,CU104,4)&gt;=$AB95,INDEX(ELM,CU104,5)&gt;=$S95,INDEX(ELM,CU104,6)&gt;=$R95),1,0)</f>
        <v>#N/A</v>
      </c>
      <c r="CW104" s="4" t="e">
        <f t="shared" ref="CW104" ca="1" si="1205">MATCH(1,OFFSET(CV95:CV106,CX103,0,COUNT(CV95:CV106)-CX103),0)</f>
        <v>#REF!</v>
      </c>
      <c r="CX104" s="4" t="e">
        <f t="shared" ca="1" si="1063"/>
        <v>#REF!</v>
      </c>
      <c r="CY104" s="692" t="str">
        <f ca="1">IFERROR(VLOOKUP(INDEX(CU95:CU106,CX104),ELM,2,FALSE),"----")</f>
        <v>----</v>
      </c>
      <c r="CZ104" s="691" t="e">
        <f t="shared" ca="1" si="1064"/>
        <v>#N/A</v>
      </c>
      <c r="DA104" s="4" t="e">
        <f ca="1">IF(LEFT($J95,7)="Clad Wo",IF(AND(INDEX(SPPWS,CZ104,4)&gt;=$AB95,INDEX(SPPWS,CZ104,5)&gt;=$S95,INDEX(SPPWS,CZ104,6)&gt;=$R95),1,0),IF(AND(INDEX(SPM,CZ104,4)&gt;=$AB95,INDEX(SPM,CZ104,5)&gt;=$S95,INDEX(SPM,CZ104,6)&gt;=$R95),1,0))</f>
        <v>#N/A</v>
      </c>
      <c r="DB104" s="4" t="e">
        <f t="shared" ref="DB104" ca="1" si="1206">MATCH(1,OFFSET(DA95:DA106,DC103,0,COUNT(DA95:DA106)-DC103),0)</f>
        <v>#REF!</v>
      </c>
      <c r="DC104" s="4" t="e">
        <f t="shared" ca="1" si="1066"/>
        <v>#REF!</v>
      </c>
      <c r="DD104" s="693" t="str">
        <f ca="1">IF(LEFT($J95,7)="Clad Wo",IFERROR(VLOOKUP(INDEX(CZ95:CZ106,DC104),SPPWS,2,FALSE),"----"),IFERROR(VLOOKUP(INDEX(CZ95:CZ106,DC104),SPM,2,FALSE),"----"))</f>
        <v>----</v>
      </c>
      <c r="DE104" s="691" t="e">
        <f t="shared" ca="1" si="1067"/>
        <v>#REF!</v>
      </c>
      <c r="DF104" s="4" t="e" cm="1">
        <f t="array" aca="1" ref="DF104" ca="1">IF(AND(INDEX(INDIRECT(BY95),DE104,4)&gt;=$AB101,INDEX(INDIRECT(BY95),DE104,5)&gt;=$S95,INDEX(INDIRECT(BY95),DE104,6)&gt;=$R95),1,0)</f>
        <v>#REF!</v>
      </c>
      <c r="DG104" s="4" t="e">
        <f t="shared" ref="DG104" ca="1" si="1207">MATCH(1,OFFSET(DF95:DF106,DH103,0,COUNT(DF95:DF106)-DH103),0)</f>
        <v>#REF!</v>
      </c>
      <c r="DH104" s="4" t="e">
        <f t="shared" ca="1" si="1069"/>
        <v>#REF!</v>
      </c>
      <c r="DI104" s="692" t="str" cm="1">
        <f t="array" aca="1" ref="DI104" ca="1">IFERROR(VLOOKUP(INDEX(DE95:DE106,DH104),INDIRECT(BY95),2,FALSE),"----")</f>
        <v>----</v>
      </c>
      <c r="DJ104" s="691" t="e">
        <f t="shared" ca="1" si="1070"/>
        <v>#N/A</v>
      </c>
      <c r="DK104" s="4" t="e">
        <f ca="1">IF(AND(INDEX(SSM,DJ104,4)&gt;=$AB101,INDEX(SSM,DJ104,5)&gt;=$S95,INDEX(SSM,DJ104,6)&gt;=$R95),1,0)</f>
        <v>#N/A</v>
      </c>
      <c r="DL104" s="4" t="e">
        <f t="shared" ref="DL104" ca="1" si="1208">MATCH(1,OFFSET(DK95:DK106,DM103,0,COUNT(DK95:DK106)-DM103),0)</f>
        <v>#REF!</v>
      </c>
      <c r="DM104" s="4" t="e">
        <f t="shared" ca="1" si="1072"/>
        <v>#REF!</v>
      </c>
      <c r="DN104" s="692" t="str">
        <f ca="1">IFERROR(IF(AD102="Nested Steel Stud (wood infill)",VLOOKUP(INDEX(DJ95:DJ106,DM104),SSW,2,FALSE),VLOOKUP(INDEX(DJ95:DJ106,DM104),SSM,2,FALSE)),"----")</f>
        <v>----</v>
      </c>
      <c r="DO104" s="691" t="e">
        <f t="shared" ca="1" si="1073"/>
        <v>#N/A</v>
      </c>
      <c r="DP104" s="4" t="e">
        <f ca="1">IF(AND(INDEX(WSM,DO104,4)&gt;=$AB101,INDEX(WSM,DO104,5)&gt;=$S95,INDEX(WSM,DO104,6)&gt;=$R95),1,0)</f>
        <v>#N/A</v>
      </c>
      <c r="DQ104" s="4" t="e">
        <f t="shared" ref="DQ104" ca="1" si="1209">MATCH(1,OFFSET(DP95:DP106,DR103,0,COUNT(DP95:DP106)-DR103),0)</f>
        <v>#REF!</v>
      </c>
      <c r="DR104" s="4" t="e">
        <f t="shared" ca="1" si="1075"/>
        <v>#REF!</v>
      </c>
      <c r="DS104" s="692" t="str">
        <f ca="1">IFERROR(VLOOKUP(INDEX(DO95:DO106,DR104),WSM,2,FALSE),"----")</f>
        <v>----</v>
      </c>
      <c r="DT104" s="691" t="e">
        <f t="shared" ca="1" si="1076"/>
        <v>#N/A</v>
      </c>
      <c r="DU104" s="4" t="e">
        <f ca="1">IF(AND(INDEX(STM,DT104,4)&gt;=$AB101,INDEX(STM,DT104,5)&gt;=$S95,INDEX(STM,DT104,6)&gt;=$R95),1,0)</f>
        <v>#N/A</v>
      </c>
      <c r="DV104" s="4" t="e">
        <f t="shared" ref="DV104" ca="1" si="1210">MATCH(1,OFFSET(DU95:DU106,DW103,0,COUNT(DU95:DU106)-DW103),0)</f>
        <v>#REF!</v>
      </c>
      <c r="DW104" s="4" t="e">
        <f t="shared" ca="1" si="1078"/>
        <v>#REF!</v>
      </c>
      <c r="DX104" s="692" t="str">
        <f ca="1">IFERROR(VLOOKUP(INDEX(DT95:DT106,DW104),STM,2,FALSE),"----")</f>
        <v>----</v>
      </c>
      <c r="DY104" s="691" t="e">
        <f t="shared" ca="1" si="1079"/>
        <v>#N/A</v>
      </c>
      <c r="DZ104" s="4" t="e">
        <f ca="1">IF(AND(INDEX(ELM,DY104,4)&gt;=$AB101,INDEX(ELM,DY104,5)&gt;=$S95,INDEX(ELM,DY104,6)&gt;=$R95),1,0)</f>
        <v>#N/A</v>
      </c>
      <c r="EA104" s="4" t="e">
        <f t="shared" ref="EA104" ca="1" si="1211">MATCH(1,OFFSET(DZ95:DZ106,EB103,0,COUNT(DZ95:DZ106)-EB103),0)</f>
        <v>#REF!</v>
      </c>
      <c r="EB104" s="4" t="e">
        <f t="shared" ca="1" si="1081"/>
        <v>#REF!</v>
      </c>
      <c r="EC104" s="692" t="str">
        <f ca="1">IFERROR(VLOOKUP(INDEX(DY95:DY106,EB104),ELM,2,FALSE),"----")</f>
        <v>----</v>
      </c>
      <c r="ED104" s="691" t="e">
        <f t="shared" ca="1" si="1082"/>
        <v>#N/A</v>
      </c>
      <c r="EE104" s="4" t="e">
        <f ca="1">IF(LEFT($J95,7)="Clad Wo",IF(AND(INDEX(SPPWS,ED104,4)&gt;=$AB101,INDEX(SPPWS,ED104,5)&gt;=$S95,INDEX(SPPWS,ED104,6)&gt;=$R95),1,0),IF(AND(INDEX(SPM,ED104,4)&gt;=$AB101,INDEX(SPM,ED104,5)&gt;=$S95,INDEX(SPM,ED104,6)&gt;=$R95),1,0))</f>
        <v>#N/A</v>
      </c>
      <c r="EF104" s="4" t="e">
        <f t="shared" ref="EF104" ca="1" si="1212">MATCH(1,OFFSET(EE95:EE106,EG103,0,COUNT(EE95:EE106)-EG103),0)</f>
        <v>#REF!</v>
      </c>
      <c r="EG104" s="4" t="e">
        <f t="shared" ca="1" si="1084"/>
        <v>#REF!</v>
      </c>
      <c r="EH104" s="692" t="str">
        <f ca="1">IF(LEFT($J95,7)="Clad Wo",IFERROR(VLOOKUP(INDEX(ED95:ED106,EG104),SPPWS,2,FALSE),"----"),IFERROR(VLOOKUP(INDEX(ED95:ED106,EG104),SPM,2,FALSE),"----"))</f>
        <v>----</v>
      </c>
    </row>
    <row r="105" spans="1:138" ht="15" customHeight="1" x14ac:dyDescent="0.25">
      <c r="A105" s="1085"/>
      <c r="B105" s="925"/>
      <c r="C105" s="926"/>
      <c r="D105" s="927"/>
      <c r="E105" s="995"/>
      <c r="F105" s="996"/>
      <c r="G105" s="997"/>
      <c r="H105" s="1062"/>
      <c r="I105" s="990"/>
      <c r="J105" s="902"/>
      <c r="K105" s="903"/>
      <c r="L105" s="1002"/>
      <c r="M105" s="923"/>
      <c r="N105" s="1042"/>
      <c r="O105" s="1018"/>
      <c r="P105" s="987"/>
      <c r="Q105" s="1015"/>
      <c r="R105" s="1012"/>
      <c r="S105" s="1006"/>
      <c r="T105" s="1007"/>
      <c r="U105" s="878"/>
      <c r="V105" s="881"/>
      <c r="W105" s="884"/>
      <c r="X105" s="884"/>
      <c r="Y105" s="887"/>
      <c r="Z105" s="887"/>
      <c r="AA105" s="887"/>
      <c r="AB105" s="1081"/>
      <c r="AC105" s="1078"/>
      <c r="AD105" s="1070" t="str">
        <f t="shared" si="233"/>
        <v>Engineered Lumber</v>
      </c>
      <c r="AE105" s="1071"/>
      <c r="AF105" s="1052"/>
      <c r="AG105" s="1053"/>
      <c r="AH105" s="1053"/>
      <c r="AI105" s="1068"/>
      <c r="AJ105" s="1069"/>
      <c r="AK105" s="154" t="str">
        <f t="shared" ca="1" si="1130"/>
        <v/>
      </c>
      <c r="AL105" s="1059"/>
      <c r="AM105" s="344" t="str">
        <f ca="1">IFERROR(Q95/12*ROUND(VLOOKUP(AF105,OFFSET(ELM,0,1),6,FALSE),2),"")</f>
        <v/>
      </c>
      <c r="AN105" t="str">
        <f t="shared" ca="1" si="1154"/>
        <v/>
      </c>
      <c r="AP105" s="122" t="str">
        <f t="shared" ref="AP105" si="1213">_xlfn.CONCAT(AR105,AS106)</f>
        <v/>
      </c>
      <c r="AQ105" s="683" t="str">
        <f t="shared" si="65"/>
        <v/>
      </c>
      <c r="AR105" s="4" t="str">
        <f t="shared" si="1114"/>
        <v/>
      </c>
      <c r="AS105" s="4"/>
      <c r="AT105" s="697" t="str">
        <f>AL101</f>
        <v/>
      </c>
      <c r="AU105" s="694" t="e">
        <f t="shared" ca="1" si="91"/>
        <v>#REF!</v>
      </c>
      <c r="AV105" s="698" t="str">
        <f ca="1">IFERROR(VLOOKUP(AU105,INDIRECT(AQ95),2,FALSE),"----")</f>
        <v>----</v>
      </c>
      <c r="AW105" s="694" t="e">
        <f t="shared" ca="1" si="92"/>
        <v>#REF!</v>
      </c>
      <c r="AX105" s="698" t="str">
        <f ca="1">IFERROR(VLOOKUP(AW105,INDIRECT(AQ96),2,FALSE),"----")</f>
        <v>----</v>
      </c>
      <c r="AY105" s="694" t="e">
        <f t="shared" ca="1" si="486"/>
        <v>#REF!</v>
      </c>
      <c r="AZ105" s="698" t="str">
        <f ca="1">IFERROR(VLOOKUP(AY105,INDIRECT(AQ97),2,FALSE),"----")</f>
        <v>----</v>
      </c>
      <c r="BA105" s="694" t="e">
        <f t="shared" ca="1" si="487"/>
        <v>#REF!</v>
      </c>
      <c r="BB105" s="698" t="str">
        <f ca="1">IFERROR(VLOOKUP(BA105,INDIRECT(AQ98),2,FALSE),"----")</f>
        <v>----</v>
      </c>
      <c r="BC105" s="694" t="e">
        <f t="shared" ca="1" si="95"/>
        <v>#REF!</v>
      </c>
      <c r="BD105" s="698" t="str">
        <f ca="1">IFERROR(VLOOKUP(BC105,INDIRECT(AQ99),2,FALSE),"----")</f>
        <v>----</v>
      </c>
      <c r="BE105" s="694" t="e">
        <f t="shared" ca="1" si="96"/>
        <v>#REF!</v>
      </c>
      <c r="BF105" s="698" t="str">
        <f ca="1">IFERROR(VLOOKUP(BE105,INDIRECT(AQ100),2,FALSE),"----")</f>
        <v>----</v>
      </c>
      <c r="BG105" s="702" t="e">
        <f t="shared" ca="1" si="97"/>
        <v>#REF!</v>
      </c>
      <c r="BH105" s="686" t="str">
        <f ca="1">IFERROR(VLOOKUP(BG105,INDIRECT(AQ101),2,FALSE),"----")</f>
        <v>----</v>
      </c>
      <c r="BI105" s="702" t="e">
        <f t="shared" ca="1" si="98"/>
        <v>#REF!</v>
      </c>
      <c r="BJ105" s="686" t="str">
        <f ca="1">IFERROR(VLOOKUP(BI105,INDIRECT(AQ102),2,FALSE),"----")</f>
        <v>----</v>
      </c>
      <c r="BK105" s="702" t="e">
        <f t="shared" ca="1" si="99"/>
        <v>#REF!</v>
      </c>
      <c r="BL105" s="686" t="str">
        <f ca="1">IFERROR(VLOOKUP(BK105,INDIRECT(AQ103),2,FALSE),"----")</f>
        <v>----</v>
      </c>
      <c r="BM105" s="702" t="e">
        <f t="shared" ca="1" si="100"/>
        <v>#REF!</v>
      </c>
      <c r="BN105" s="686" t="str">
        <f ca="1">IFERROR(VLOOKUP(BM105,INDIRECT(AQ104),2,FALSE),"----")</f>
        <v>----</v>
      </c>
      <c r="BO105" s="702" t="e">
        <f t="shared" ca="1" si="101"/>
        <v>#REF!</v>
      </c>
      <c r="BP105" s="686" t="str">
        <f ca="1">IFERROR(VLOOKUP(BO105,INDIRECT(AQ105),2,FALSE),"----")</f>
        <v>----</v>
      </c>
      <c r="BQ105" s="702" t="e">
        <f t="shared" ca="1" si="102"/>
        <v>#REF!</v>
      </c>
      <c r="BR105" s="686" t="str">
        <f ca="1">IFERROR(VLOOKUP(BQ105,INDIRECT(AQ106),2,FALSE),"----")</f>
        <v>----</v>
      </c>
      <c r="BS105" s="695">
        <f>IF(AI105="",1,IF(COUNTIF(BP95:BP106,AI105)=0,2,1))</f>
        <v>1</v>
      </c>
      <c r="BT105" s="696">
        <f>IF(AF105="",1,IF(BP95=".",2,1))</f>
        <v>1</v>
      </c>
      <c r="BU105" s="706"/>
      <c r="BV105" s="155">
        <f ca="1">IF(COUNTIF(EC95:EC106,AF105)=0,IF(AF105&lt;&gt;"",0,1),1)</f>
        <v>1</v>
      </c>
      <c r="BW105" s="157">
        <f ca="1">IFERROR(MATCH(AF105,EC95:EC106,0),1)</f>
        <v>1</v>
      </c>
      <c r="BX105" s="769"/>
      <c r="BY105" s="769"/>
      <c r="BZ105" s="1110"/>
      <c r="CA105" s="691" t="e">
        <f t="shared" ca="1" si="1049"/>
        <v>#REF!</v>
      </c>
      <c r="CB105" s="4" t="e" cm="1">
        <f t="array" aca="1" ref="CB105" ca="1">IF(AND(INDEX(INDIRECT(BY95),CA105,4)&gt;=$AB95,INDEX(INDIRECT(BY95),CA105,5)&gt;=$S95,INDEX(INDIRECT(BY95),CA105,6)&gt;=$R95),1,0)</f>
        <v>#REF!</v>
      </c>
      <c r="CC105" s="4" t="e">
        <f t="shared" ref="CC105" ca="1" si="1214">MATCH(1,OFFSET(CB95:CB106,CD104,0,COUNT(CB95:CB106)-CD104),0)</f>
        <v>#REF!</v>
      </c>
      <c r="CD105" s="4" t="e">
        <f t="shared" ca="1" si="1051"/>
        <v>#REF!</v>
      </c>
      <c r="CE105" s="692" t="str" cm="1">
        <f t="array" aca="1" ref="CE105" ca="1">IFERROR(VLOOKUP(INDEX(CA95:CA106,CD105),INDIRECT(BY95),2,FALSE),"----")</f>
        <v>----</v>
      </c>
      <c r="CF105" s="691" t="e">
        <f t="shared" ca="1" si="1052"/>
        <v>#N/A</v>
      </c>
      <c r="CG105" s="4" t="e">
        <f ca="1">IF(AND(INDEX(SSM,CF105,4)&gt;=$AB95,INDEX(SSM,CF105,5)&gt;=$S95,INDEX(SSM,CF105,6)&gt;=$R95),1,0)</f>
        <v>#N/A</v>
      </c>
      <c r="CH105" s="4" t="e">
        <f t="shared" ref="CH105" ca="1" si="1215">MATCH(1,OFFSET(CG95:CG106,CI104,0,COUNT(CG95:CG106)-CI104),0)</f>
        <v>#REF!</v>
      </c>
      <c r="CI105" s="4" t="e">
        <f t="shared" ca="1" si="1054"/>
        <v>#REF!</v>
      </c>
      <c r="CJ105" s="692" t="str">
        <f ca="1">IFERROR(IF(AD96="Nested Steel Stud (wood infill)",VLOOKUP(INDEX(CF95:CF106,CI105),SSW,2,FALSE),VLOOKUP(INDEX(CF95:CF106,CI105),SSM,2,FALSE)),"----")</f>
        <v>----</v>
      </c>
      <c r="CK105" s="691" t="e">
        <f t="shared" ca="1" si="1055"/>
        <v>#N/A</v>
      </c>
      <c r="CL105" s="4" t="e">
        <f ca="1">IF(AND(INDEX(WSM,CK105,4)&gt;=$AB95,INDEX(WSM,CK105,5)&gt;=$S95,INDEX(WSM,CK105,6)&gt;=$R95),1,0)</f>
        <v>#N/A</v>
      </c>
      <c r="CM105" s="4" t="e">
        <f t="shared" ref="CM105" ca="1" si="1216">MATCH(1,OFFSET(CL95:CL106,CN104,0,COUNT(CL95:CL106)-CN104),0)</f>
        <v>#REF!</v>
      </c>
      <c r="CN105" s="4" t="e">
        <f t="shared" ca="1" si="1057"/>
        <v>#REF!</v>
      </c>
      <c r="CO105" s="692" t="str">
        <f ca="1">IFERROR(VLOOKUP(INDEX(CK95:CK106,CN105),WSM,2,FALSE),"----")</f>
        <v>----</v>
      </c>
      <c r="CP105" s="691" t="e">
        <f t="shared" ca="1" si="1058"/>
        <v>#N/A</v>
      </c>
      <c r="CQ105" s="4" t="e">
        <f ca="1">IF(AND(INDEX(STM,CP105,4)&gt;=$AB95,INDEX(STM,CP105,5)&gt;=$S95,INDEX(STM,CP105,6)&gt;=$R95),1,0)</f>
        <v>#N/A</v>
      </c>
      <c r="CR105" s="4" t="e">
        <f t="shared" ref="CR105" ca="1" si="1217">MATCH(1,OFFSET(CQ95:CQ106,CS104,0,COUNT(CQ95:CQ106)-CS104),0)</f>
        <v>#REF!</v>
      </c>
      <c r="CS105" s="4" t="e">
        <f t="shared" ca="1" si="1060"/>
        <v>#REF!</v>
      </c>
      <c r="CT105" s="692" t="str">
        <f ca="1">IFERROR(VLOOKUP(INDEX(CP95:CP106,CS105),STM,2,FALSE),"----")</f>
        <v>----</v>
      </c>
      <c r="CU105" s="691" t="e">
        <f t="shared" ca="1" si="1061"/>
        <v>#N/A</v>
      </c>
      <c r="CV105" s="4" t="e">
        <f ca="1">IF(AND(INDEX(ELM,CU105,4)&gt;=$AB95,INDEX(ELM,CU105,5)&gt;=$S95,INDEX(ELM,CU105,6)&gt;=$R95),1,0)</f>
        <v>#N/A</v>
      </c>
      <c r="CW105" s="4" t="e">
        <f t="shared" ref="CW105" ca="1" si="1218">MATCH(1,OFFSET(CV95:CV106,CX104,0,COUNT(CV95:CV106)-CX104),0)</f>
        <v>#REF!</v>
      </c>
      <c r="CX105" s="4" t="e">
        <f t="shared" ca="1" si="1063"/>
        <v>#REF!</v>
      </c>
      <c r="CY105" s="692" t="str">
        <f ca="1">IFERROR(VLOOKUP(INDEX(CU95:CU106,CX105),ELM,2,FALSE),"----")</f>
        <v>----</v>
      </c>
      <c r="CZ105" s="691" t="e">
        <f t="shared" ca="1" si="1064"/>
        <v>#N/A</v>
      </c>
      <c r="DA105" s="4" t="e">
        <f ca="1">IF(LEFT($J95,7)="Clad Wo",IF(AND(INDEX(SPPWS,CZ105,4)&gt;=$AB95,INDEX(SPPWS,CZ105,5)&gt;=$S95,INDEX(SPPWS,CZ105,6)&gt;=$R95),1,0),IF(AND(INDEX(SPM,CZ105,4)&gt;=$AB95,INDEX(SPM,CZ105,5)&gt;=$S95,INDEX(SPM,CZ105,6)&gt;=$R95),1,0))</f>
        <v>#N/A</v>
      </c>
      <c r="DB105" s="4" t="e">
        <f t="shared" ref="DB105" ca="1" si="1219">MATCH(1,OFFSET(DA95:DA106,DC104,0,COUNT(DA95:DA106)-DC104),0)</f>
        <v>#REF!</v>
      </c>
      <c r="DC105" s="4" t="e">
        <f t="shared" ca="1" si="1066"/>
        <v>#REF!</v>
      </c>
      <c r="DD105" s="693" t="str">
        <f ca="1">IF(LEFT($J95,7)="Clad Wo",IFERROR(VLOOKUP(INDEX(CZ95:CZ106,DC105),SPPWS,2,FALSE),"----"),IFERROR(VLOOKUP(INDEX(CZ95:CZ106,DC105),SPM,2,FALSE),"----"))</f>
        <v>----</v>
      </c>
      <c r="DE105" s="691" t="e">
        <f t="shared" ca="1" si="1067"/>
        <v>#REF!</v>
      </c>
      <c r="DF105" s="4" t="e" cm="1">
        <f t="array" aca="1" ref="DF105" ca="1">IF(AND(INDEX(INDIRECT(BY95),DE105,4)&gt;=$AB101,INDEX(INDIRECT(BY95),DE105,5)&gt;=$S95,INDEX(INDIRECT(BY95),DE105,6)&gt;=$R95),1,0)</f>
        <v>#REF!</v>
      </c>
      <c r="DG105" s="4" t="e">
        <f t="shared" ref="DG105" ca="1" si="1220">MATCH(1,OFFSET(DF95:DF106,DH104,0,COUNT(DF95:DF106)-DH104),0)</f>
        <v>#REF!</v>
      </c>
      <c r="DH105" s="4" t="e">
        <f t="shared" ca="1" si="1069"/>
        <v>#REF!</v>
      </c>
      <c r="DI105" s="692" t="str" cm="1">
        <f t="array" aca="1" ref="DI105" ca="1">IFERROR(VLOOKUP(INDEX(DE95:DE106,DH105),INDIRECT(BY95),2,FALSE),"----")</f>
        <v>----</v>
      </c>
      <c r="DJ105" s="691" t="e">
        <f t="shared" ca="1" si="1070"/>
        <v>#N/A</v>
      </c>
      <c r="DK105" s="4" t="e">
        <f ca="1">IF(AND(INDEX(SSM,DJ105,4)&gt;=$AB101,INDEX(SSM,DJ105,5)&gt;=$S95,INDEX(SSM,DJ105,6)&gt;=$R95),1,0)</f>
        <v>#N/A</v>
      </c>
      <c r="DL105" s="4" t="e">
        <f t="shared" ref="DL105" ca="1" si="1221">MATCH(1,OFFSET(DK95:DK106,DM104,0,COUNT(DK95:DK106)-DM104),0)</f>
        <v>#REF!</v>
      </c>
      <c r="DM105" s="4" t="e">
        <f t="shared" ca="1" si="1072"/>
        <v>#REF!</v>
      </c>
      <c r="DN105" s="692" t="str">
        <f ca="1">IFERROR(IF(AD102="Nested Steel Stud (wood infill)",VLOOKUP(INDEX(DJ95:DJ106,DM105),SSW,2,FALSE),VLOOKUP(INDEX(DJ95:DJ106,DM105),SSM,2,FALSE)),"----")</f>
        <v>----</v>
      </c>
      <c r="DO105" s="691" t="e">
        <f t="shared" ca="1" si="1073"/>
        <v>#N/A</v>
      </c>
      <c r="DP105" s="4" t="e">
        <f ca="1">IF(AND(INDEX(WSM,DO105,4)&gt;=$AB101,INDEX(WSM,DO105,5)&gt;=$S95,INDEX(WSM,DO105,6)&gt;=$R95),1,0)</f>
        <v>#N/A</v>
      </c>
      <c r="DQ105" s="4" t="e">
        <f t="shared" ref="DQ105" ca="1" si="1222">MATCH(1,OFFSET(DP95:DP106,DR104,0,COUNT(DP95:DP106)-DR104),0)</f>
        <v>#REF!</v>
      </c>
      <c r="DR105" s="4" t="e">
        <f t="shared" ca="1" si="1075"/>
        <v>#REF!</v>
      </c>
      <c r="DS105" s="692" t="str">
        <f ca="1">IFERROR(VLOOKUP(INDEX(DO95:DO106,DR105),WSM,2,FALSE),"----")</f>
        <v>----</v>
      </c>
      <c r="DT105" s="691" t="e">
        <f t="shared" ca="1" si="1076"/>
        <v>#N/A</v>
      </c>
      <c r="DU105" s="4" t="e">
        <f ca="1">IF(AND(INDEX(STM,DT105,4)&gt;=$AB101,INDEX(STM,DT105,5)&gt;=$S95,INDEX(STM,DT105,6)&gt;=$R95),1,0)</f>
        <v>#N/A</v>
      </c>
      <c r="DV105" s="4" t="e">
        <f t="shared" ref="DV105" ca="1" si="1223">MATCH(1,OFFSET(DU95:DU106,DW104,0,COUNT(DU95:DU106)-DW104),0)</f>
        <v>#REF!</v>
      </c>
      <c r="DW105" s="4" t="e">
        <f t="shared" ca="1" si="1078"/>
        <v>#REF!</v>
      </c>
      <c r="DX105" s="692" t="str">
        <f ca="1">IFERROR(VLOOKUP(INDEX(DT95:DT106,DW105),STM,2,FALSE),"----")</f>
        <v>----</v>
      </c>
      <c r="DY105" s="691" t="e">
        <f t="shared" ca="1" si="1079"/>
        <v>#N/A</v>
      </c>
      <c r="DZ105" s="4" t="e">
        <f ca="1">IF(AND(INDEX(ELM,DY105,4)&gt;=$AB101,INDEX(ELM,DY105,5)&gt;=$S95,INDEX(ELM,DY105,6)&gt;=$R95),1,0)</f>
        <v>#N/A</v>
      </c>
      <c r="EA105" s="4" t="e">
        <f t="shared" ref="EA105" ca="1" si="1224">MATCH(1,OFFSET(DZ95:DZ106,EB104,0,COUNT(DZ95:DZ106)-EB104),0)</f>
        <v>#REF!</v>
      </c>
      <c r="EB105" s="4" t="e">
        <f t="shared" ca="1" si="1081"/>
        <v>#REF!</v>
      </c>
      <c r="EC105" s="692" t="str">
        <f ca="1">IFERROR(VLOOKUP(INDEX(DY95:DY106,EB105),ELM,2,FALSE),"----")</f>
        <v>----</v>
      </c>
      <c r="ED105" s="691" t="e">
        <f t="shared" ca="1" si="1082"/>
        <v>#N/A</v>
      </c>
      <c r="EE105" s="4" t="e">
        <f ca="1">IF(LEFT($J95,7)="Clad Wo",IF(AND(INDEX(SPPWS,ED105,4)&gt;=$AB101,INDEX(SPPWS,ED105,5)&gt;=$S95,INDEX(SPPWS,ED105,6)&gt;=$R95),1,0),IF(AND(INDEX(SPM,ED105,4)&gt;=$AB101,INDEX(SPM,ED105,5)&gt;=$S95,INDEX(SPM,ED105,6)&gt;=$R95),1,0))</f>
        <v>#N/A</v>
      </c>
      <c r="EF105" s="4" t="e">
        <f t="shared" ref="EF105" ca="1" si="1225">MATCH(1,OFFSET(EE95:EE106,EG104,0,COUNT(EE95:EE106)-EG104),0)</f>
        <v>#REF!</v>
      </c>
      <c r="EG105" s="4" t="e">
        <f t="shared" ca="1" si="1084"/>
        <v>#REF!</v>
      </c>
      <c r="EH105" s="692" t="str">
        <f ca="1">IF(LEFT($J95,7)="Clad Wo",IFERROR(VLOOKUP(INDEX(ED95:ED106,EG105),SPPWS,2,FALSE),"----"),IFERROR(VLOOKUP(INDEX(ED95:ED106,EG105),SPM,2,FALSE),"----"))</f>
        <v>----</v>
      </c>
    </row>
    <row r="106" spans="1:138" ht="15" customHeight="1" thickBot="1" x14ac:dyDescent="0.3">
      <c r="A106" s="1085"/>
      <c r="B106" s="928"/>
      <c r="C106" s="929"/>
      <c r="D106" s="930"/>
      <c r="E106" s="998"/>
      <c r="F106" s="999"/>
      <c r="G106" s="1000"/>
      <c r="H106" s="1063"/>
      <c r="I106" s="991"/>
      <c r="J106" s="904"/>
      <c r="K106" s="905"/>
      <c r="L106" s="1003"/>
      <c r="M106" s="1065"/>
      <c r="N106" s="1043"/>
      <c r="O106" s="1019"/>
      <c r="P106" s="988"/>
      <c r="Q106" s="1016"/>
      <c r="R106" s="1013"/>
      <c r="S106" s="1008"/>
      <c r="T106" s="1009"/>
      <c r="U106" s="879"/>
      <c r="V106" s="882"/>
      <c r="W106" s="885"/>
      <c r="X106" s="885"/>
      <c r="Y106" s="888"/>
      <c r="Z106" s="888"/>
      <c r="AA106" s="888"/>
      <c r="AB106" s="1082"/>
      <c r="AC106" s="1087"/>
      <c r="AD106" s="1098" t="str">
        <f t="shared" ref="AD106" si="1226">IF(LEFT(J95,7)="Clad Wo","Pella Wood Spr / Steel Pte","Steel Plate")</f>
        <v>Steel Plate</v>
      </c>
      <c r="AE106" s="1099"/>
      <c r="AF106" s="1096"/>
      <c r="AG106" s="1097"/>
      <c r="AH106" s="1097"/>
      <c r="AI106" s="1094"/>
      <c r="AJ106" s="1095"/>
      <c r="AK106" s="163" t="str">
        <f t="shared" ca="1" si="1130"/>
        <v/>
      </c>
      <c r="AL106" s="1060"/>
      <c r="AM106" s="345" t="str">
        <f ca="1">IFERROR(Q95/12*ROUND(VLOOKUP(AF106,OFFSET(SPM,0,1),6,FALSE),2),"")</f>
        <v/>
      </c>
      <c r="AN106" t="str">
        <f t="shared" ca="1" si="1154"/>
        <v/>
      </c>
      <c r="AP106" s="699" t="str">
        <f t="shared" ref="AP106" si="1227">_xlfn.CONCAT(AR106,AS106)</f>
        <v/>
      </c>
      <c r="AQ106" s="700" t="str">
        <f t="shared" si="65"/>
        <v/>
      </c>
      <c r="AR106" s="160" t="str">
        <f t="shared" si="1114"/>
        <v/>
      </c>
      <c r="AS106" s="160" t="str">
        <f>IFERROR(VLOOKUP(J103, WallType,2,FALSE),"")</f>
        <v/>
      </c>
      <c r="AT106" s="707" t="str">
        <f>AL101</f>
        <v/>
      </c>
      <c r="AU106" s="708" t="e">
        <f t="shared" ca="1" si="91"/>
        <v>#REF!</v>
      </c>
      <c r="AV106" s="709" t="str">
        <f ca="1">IFERROR(VLOOKUP(AU106,INDIRECT(AQ95),2,FALSE),"----")</f>
        <v>----</v>
      </c>
      <c r="AW106" s="710" t="e">
        <f t="shared" ca="1" si="92"/>
        <v>#REF!</v>
      </c>
      <c r="AX106" s="709" t="str">
        <f ca="1">IFERROR(VLOOKUP(AW106,INDIRECT(AQ96),2,FALSE),"----")</f>
        <v>----</v>
      </c>
      <c r="AY106" s="710" t="e">
        <f t="shared" ca="1" si="486"/>
        <v>#REF!</v>
      </c>
      <c r="AZ106" s="709" t="str">
        <f ca="1">IFERROR(VLOOKUP(AY106,INDIRECT(AQ97),2,FALSE),"----")</f>
        <v>----</v>
      </c>
      <c r="BA106" s="710" t="e">
        <f t="shared" ca="1" si="487"/>
        <v>#REF!</v>
      </c>
      <c r="BB106" s="709" t="str">
        <f ca="1">IFERROR(VLOOKUP(BA106,INDIRECT(AQ98),2,FALSE),"----")</f>
        <v>----</v>
      </c>
      <c r="BC106" s="710" t="e">
        <f t="shared" ca="1" si="95"/>
        <v>#REF!</v>
      </c>
      <c r="BD106" s="709" t="str">
        <f ca="1">IFERROR(VLOOKUP(BC106,INDIRECT(AQ99),2,FALSE),"----")</f>
        <v>----</v>
      </c>
      <c r="BE106" s="710" t="e">
        <f t="shared" ca="1" si="96"/>
        <v>#REF!</v>
      </c>
      <c r="BF106" s="709" t="str">
        <f ca="1">IFERROR(VLOOKUP(BE106,INDIRECT(AQ100),2,FALSE),"----")</f>
        <v>----</v>
      </c>
      <c r="BG106" s="710" t="e">
        <f t="shared" ca="1" si="97"/>
        <v>#REF!</v>
      </c>
      <c r="BH106" s="711" t="str">
        <f ca="1">IFERROR(VLOOKUP(BG106,INDIRECT(AQ101),2,FALSE),"----")</f>
        <v>----</v>
      </c>
      <c r="BI106" s="710" t="e">
        <f t="shared" ca="1" si="98"/>
        <v>#REF!</v>
      </c>
      <c r="BJ106" s="711" t="str">
        <f ca="1">IFERROR(VLOOKUP(BI106,INDIRECT(AQ102),2,FALSE),"----")</f>
        <v>----</v>
      </c>
      <c r="BK106" s="710" t="e">
        <f t="shared" ca="1" si="99"/>
        <v>#REF!</v>
      </c>
      <c r="BL106" s="711" t="str">
        <f ca="1">IFERROR(VLOOKUP(BK106,INDIRECT(AQ103),2,FALSE),"----")</f>
        <v>----</v>
      </c>
      <c r="BM106" s="710" t="e">
        <f t="shared" ca="1" si="100"/>
        <v>#REF!</v>
      </c>
      <c r="BN106" s="711" t="str">
        <f ca="1">IFERROR(VLOOKUP(BM106,INDIRECT(AQ104),2,FALSE),"----")</f>
        <v>----</v>
      </c>
      <c r="BO106" s="710" t="e">
        <f t="shared" ca="1" si="101"/>
        <v>#REF!</v>
      </c>
      <c r="BP106" s="711" t="str">
        <f ca="1">IFERROR(VLOOKUP(BO106,INDIRECT(AQ105),2,FALSE),"----")</f>
        <v>----</v>
      </c>
      <c r="BQ106" s="710" t="e">
        <f t="shared" ca="1" si="102"/>
        <v>#REF!</v>
      </c>
      <c r="BR106" s="712" t="str">
        <f ca="1">IFERROR(VLOOKUP(BQ106,INDIRECT(AQ106),2,FALSE),"----")</f>
        <v>----</v>
      </c>
      <c r="BS106" s="695">
        <f>IF(AI106="",1,IF(COUNTIF(BR95:BR106,AI106)=0,2,1))</f>
        <v>1</v>
      </c>
      <c r="BT106" s="713">
        <f>IF(AF106="",1,IF(BR95=".",2,1))</f>
        <v>1</v>
      </c>
      <c r="BV106" s="155">
        <f ca="1">IF(COUNTIF(EH95:EH106,AF106)=0,IF(AF106&lt;&gt;"",0,1),1)</f>
        <v>1</v>
      </c>
      <c r="BW106" s="157">
        <f ca="1">IFERROR(MATCH(AF106,EH95:EH106,0),1)</f>
        <v>1</v>
      </c>
      <c r="BX106" s="718"/>
      <c r="BY106" s="777"/>
      <c r="BZ106" s="1110"/>
      <c r="CA106" s="714" t="e">
        <f t="shared" ca="1" si="1049"/>
        <v>#REF!</v>
      </c>
      <c r="CB106" s="715" t="e" cm="1">
        <f t="array" aca="1" ref="CB106" ca="1">IF(AND(INDEX(INDIRECT(BY95),CA106,4)&gt;=$AB95,INDEX(INDIRECT(BY95),CA106,5)&gt;=$S95,INDEX(INDIRECT(BY95),CA106,6)&gt;=$R95),1,0)</f>
        <v>#REF!</v>
      </c>
      <c r="CC106" s="715" t="e">
        <f t="shared" ref="CC106" ca="1" si="1228">MATCH(1,OFFSET(CB95:CB106,CD105,0,COUNT(CB95:CB106)-CD105),0)</f>
        <v>#REF!</v>
      </c>
      <c r="CD106" s="715" t="e">
        <f t="shared" ca="1" si="1051"/>
        <v>#REF!</v>
      </c>
      <c r="CE106" s="716" t="str" cm="1">
        <f t="array" aca="1" ref="CE106" ca="1">IFERROR(VLOOKUP(INDEX(CA95:CA106,CD106),INDIRECT(BY95),2,FALSE),"----")</f>
        <v>----</v>
      </c>
      <c r="CF106" s="714" t="e">
        <f t="shared" ca="1" si="1052"/>
        <v>#N/A</v>
      </c>
      <c r="CG106" s="715" t="e">
        <f ca="1">IF(AND(INDEX(SSM,CF106,4)&gt;=$AB95,INDEX(SSM,CF106,5)&gt;=$S95,INDEX(SSM,CF106,6)&gt;=$R95),1,0)</f>
        <v>#N/A</v>
      </c>
      <c r="CH106" s="715" t="e">
        <f t="shared" ref="CH106" ca="1" si="1229">MATCH(1,OFFSET(CG95:CG106,CI105,0,COUNT(CG95:CG106)-CI105),0)</f>
        <v>#REF!</v>
      </c>
      <c r="CI106" s="715" t="e">
        <f t="shared" ca="1" si="1054"/>
        <v>#REF!</v>
      </c>
      <c r="CJ106" s="716" t="str">
        <f ca="1">IFERROR(IF(AD96="Nested Steel Stud (wood infill)",VLOOKUP(INDEX(CF95:CF106,CI106),SSW,2,FALSE),VLOOKUP(INDEX(CF95:CF106,CI106),SSM,2,FALSE)),"----")</f>
        <v>----</v>
      </c>
      <c r="CK106" s="714" t="e">
        <f t="shared" ca="1" si="1055"/>
        <v>#N/A</v>
      </c>
      <c r="CL106" s="715" t="e">
        <f ca="1">IF(AND(INDEX(WSM,CK106,4)&gt;=$AB95,INDEX(WSM,CK106,5)&gt;=$S95,INDEX(WSM,CK106,6)&gt;=$R95),1,0)</f>
        <v>#N/A</v>
      </c>
      <c r="CM106" s="715" t="e">
        <f t="shared" ref="CM106" ca="1" si="1230">MATCH(1,OFFSET(CL95:CL106,CN105,0,COUNT(CL95:CL106)-CN105),0)</f>
        <v>#REF!</v>
      </c>
      <c r="CN106" s="715" t="e">
        <f t="shared" ca="1" si="1057"/>
        <v>#REF!</v>
      </c>
      <c r="CO106" s="716" t="str">
        <f ca="1">IFERROR(VLOOKUP(INDEX(CK95:CK106,CN106),WSM,2,FALSE),"----")</f>
        <v>----</v>
      </c>
      <c r="CP106" s="714" t="e">
        <f t="shared" ca="1" si="1058"/>
        <v>#N/A</v>
      </c>
      <c r="CQ106" s="715" t="e">
        <f ca="1">IF(AND(INDEX(STM,CP106,4)&gt;=$AB95,INDEX(STM,CP106,5)&gt;=$S95,INDEX(STM,CP106,6)&gt;=$R95),1,0)</f>
        <v>#N/A</v>
      </c>
      <c r="CR106" s="715" t="e">
        <f t="shared" ref="CR106" ca="1" si="1231">MATCH(1,OFFSET(CQ95:CQ106,CS105,0,COUNT(CQ95:CQ106)-CS105),0)</f>
        <v>#REF!</v>
      </c>
      <c r="CS106" s="715" t="e">
        <f t="shared" ca="1" si="1060"/>
        <v>#REF!</v>
      </c>
      <c r="CT106" s="716" t="str">
        <f ca="1">IFERROR(VLOOKUP(INDEX(CP95:CP106,CS106),STM,2,FALSE),"----")</f>
        <v>----</v>
      </c>
      <c r="CU106" s="714" t="e">
        <f t="shared" ca="1" si="1061"/>
        <v>#N/A</v>
      </c>
      <c r="CV106" s="715" t="e">
        <f ca="1">IF(AND(INDEX(ELM,CU106,4)&gt;=$AB95,INDEX(ELM,CU106,5)&gt;=$S95,INDEX(ELM,CU106,6)&gt;=$R95),1,0)</f>
        <v>#N/A</v>
      </c>
      <c r="CW106" s="715" t="e">
        <f t="shared" ref="CW106" ca="1" si="1232">MATCH(1,OFFSET(CV95:CV106,CX105,0,COUNT(CV95:CV106)-CX105),0)</f>
        <v>#REF!</v>
      </c>
      <c r="CX106" s="715" t="e">
        <f t="shared" ca="1" si="1063"/>
        <v>#REF!</v>
      </c>
      <c r="CY106" s="716" t="str">
        <f ca="1">IFERROR(VLOOKUP(INDEX(CU95:CU106,CX106),ELM,2,FALSE),"----")</f>
        <v>----</v>
      </c>
      <c r="CZ106" s="714" t="e">
        <f t="shared" ca="1" si="1064"/>
        <v>#N/A</v>
      </c>
      <c r="DA106" s="715" t="e">
        <f ca="1">IF(LEFT($J95,7)="Clad Wo",IF(AND(INDEX(SPPWS,CZ106,4)&gt;=$AB95,INDEX(SPPWS,CZ106,5)&gt;=$S95,INDEX(SPPWS,CZ106,6)&gt;=$R95),1,0),IF(AND(INDEX(SPM,CZ106,4)&gt;=$AB95,INDEX(SPM,CZ106,5)&gt;=$S95,INDEX(SPM,CZ106,6)&gt;=$R95),1,0))</f>
        <v>#N/A</v>
      </c>
      <c r="DB106" s="715" t="e">
        <f t="shared" ref="DB106" ca="1" si="1233">MATCH(1,OFFSET(DA95:DA106,DC105,0,COUNT(DA95:DA106)-DC105),0)</f>
        <v>#REF!</v>
      </c>
      <c r="DC106" s="715" t="e">
        <f t="shared" ca="1" si="1066"/>
        <v>#REF!</v>
      </c>
      <c r="DD106" s="717" t="str">
        <f ca="1">IF(LEFT($J95,7)="Clad Wo",IFERROR(VLOOKUP(INDEX(CZ95:CZ106,DC106),SPPWS,2,FALSE),"----"),IFERROR(VLOOKUP(INDEX(CZ95:CZ106,DC106),SPM,2,FALSE),"----"))</f>
        <v>----</v>
      </c>
      <c r="DE106" s="714" t="e">
        <f t="shared" ca="1" si="1067"/>
        <v>#REF!</v>
      </c>
      <c r="DF106" s="715" t="e" cm="1">
        <f t="array" aca="1" ref="DF106" ca="1">IF(AND(INDEX(INDIRECT(BY95),DE106,4)&gt;=$AB101,INDEX(INDIRECT(BY95),DE106,5)&gt;=$S95,INDEX(INDIRECT(BY95),DE106,6)&gt;=$R95),1,0)</f>
        <v>#REF!</v>
      </c>
      <c r="DG106" s="715" t="e">
        <f t="shared" ref="DG106" ca="1" si="1234">MATCH(1,OFFSET(DF95:DF106,DH105,0,COUNT(DF95:DF106)-DH105),0)</f>
        <v>#REF!</v>
      </c>
      <c r="DH106" s="715" t="e">
        <f t="shared" ca="1" si="1069"/>
        <v>#REF!</v>
      </c>
      <c r="DI106" s="716" t="str" cm="1">
        <f t="array" aca="1" ref="DI106" ca="1">IFERROR(VLOOKUP(INDEX(DE95:DE106,DH106),INDIRECT(BY95),2,FALSE),"----")</f>
        <v>----</v>
      </c>
      <c r="DJ106" s="714" t="e">
        <f t="shared" ca="1" si="1070"/>
        <v>#N/A</v>
      </c>
      <c r="DK106" s="715" t="e">
        <f ca="1">IF(AND(INDEX(SSM,DJ106,4)&gt;=$AB101,INDEX(SSM,DJ106,5)&gt;=$S95,INDEX(SSM,DJ106,6)&gt;=$R95),1,0)</f>
        <v>#N/A</v>
      </c>
      <c r="DL106" s="715" t="e">
        <f t="shared" ref="DL106" ca="1" si="1235">MATCH(1,OFFSET(DK95:DK106,DM105,0,COUNT(DK95:DK106)-DM105),0)</f>
        <v>#REF!</v>
      </c>
      <c r="DM106" s="715" t="e">
        <f t="shared" ca="1" si="1072"/>
        <v>#REF!</v>
      </c>
      <c r="DN106" s="716" t="str">
        <f ca="1">IFERROR(IF(AD102="Nested Steel Stud (wood infill)",VLOOKUP(INDEX(DJ95:DJ106,DM106),SSW,2,FALSE),VLOOKUP(INDEX(DJ95:DJ106,DM106),SSM,2,FALSE)),"----")</f>
        <v>----</v>
      </c>
      <c r="DO106" s="714" t="e">
        <f t="shared" ca="1" si="1073"/>
        <v>#N/A</v>
      </c>
      <c r="DP106" s="715" t="e">
        <f ca="1">IF(AND(INDEX(WSM,DO106,4)&gt;=$AB101,INDEX(WSM,DO106,5)&gt;=$S95,INDEX(WSM,DO106,6)&gt;=$R95),1,0)</f>
        <v>#N/A</v>
      </c>
      <c r="DQ106" s="715" t="e">
        <f t="shared" ref="DQ106" ca="1" si="1236">MATCH(1,OFFSET(DP95:DP106,DR105,0,COUNT(DP95:DP106)-DR105),0)</f>
        <v>#REF!</v>
      </c>
      <c r="DR106" s="715" t="e">
        <f t="shared" ca="1" si="1075"/>
        <v>#REF!</v>
      </c>
      <c r="DS106" s="716" t="str">
        <f ca="1">IFERROR(VLOOKUP(INDEX(DO95:DO106,DR106),WSM,2,FALSE),"----")</f>
        <v>----</v>
      </c>
      <c r="DT106" s="714" t="e">
        <f t="shared" ca="1" si="1076"/>
        <v>#N/A</v>
      </c>
      <c r="DU106" s="715" t="e">
        <f ca="1">IF(AND(INDEX(STM,DT106,4)&gt;=$AB101,INDEX(STM,DT106,5)&gt;=$S95,INDEX(STM,DT106,6)&gt;=$R95),1,0)</f>
        <v>#N/A</v>
      </c>
      <c r="DV106" s="715" t="e">
        <f t="shared" ref="DV106" ca="1" si="1237">MATCH(1,OFFSET(DU95:DU106,DW105,0,COUNT(DU95:DU106)-DW105),0)</f>
        <v>#REF!</v>
      </c>
      <c r="DW106" s="715" t="e">
        <f t="shared" ca="1" si="1078"/>
        <v>#REF!</v>
      </c>
      <c r="DX106" s="716" t="str">
        <f ca="1">IFERROR(VLOOKUP(INDEX(DT95:DT106,DW106),STM,2,FALSE),"----")</f>
        <v>----</v>
      </c>
      <c r="DY106" s="714" t="e">
        <f t="shared" ca="1" si="1079"/>
        <v>#N/A</v>
      </c>
      <c r="DZ106" s="715" t="e">
        <f ca="1">IF(AND(INDEX(ELM,DY106,4)&gt;=$AB101,INDEX(ELM,DY106,5)&gt;=$S95,INDEX(ELM,DY106,6)&gt;=$R95),1,0)</f>
        <v>#N/A</v>
      </c>
      <c r="EA106" s="715" t="e">
        <f t="shared" ref="EA106" ca="1" si="1238">MATCH(1,OFFSET(DZ95:DZ106,EB105,0,COUNT(DZ95:DZ106)-EB105),0)</f>
        <v>#REF!</v>
      </c>
      <c r="EB106" s="715" t="e">
        <f t="shared" ca="1" si="1081"/>
        <v>#REF!</v>
      </c>
      <c r="EC106" s="716" t="str">
        <f ca="1">IFERROR(VLOOKUP(INDEX(DY95:DY106,EB106),ELM,2,FALSE),"----")</f>
        <v>----</v>
      </c>
      <c r="ED106" s="714" t="e">
        <f t="shared" ca="1" si="1082"/>
        <v>#N/A</v>
      </c>
      <c r="EE106" s="715" t="e">
        <f ca="1">IF(LEFT($J95,7)="Clad Wo",IF(AND(INDEX(SPPWS,ED106,4)&gt;=$AB101,INDEX(SPPWS,ED106,5)&gt;=$S95,INDEX(SPPWS,ED106,6)&gt;=$R95),1,0),IF(AND(INDEX(SPM,ED106,4)&gt;=$AB101,INDEX(SPM,ED106,5)&gt;=$S95,INDEX(SPM,ED106,6)&gt;=$R95),1,0))</f>
        <v>#N/A</v>
      </c>
      <c r="EF106" s="715" t="e">
        <f t="shared" ref="EF106" ca="1" si="1239">MATCH(1,OFFSET(EE95:EE106,EG105,0,COUNT(EE95:EE106)-EG105),0)</f>
        <v>#REF!</v>
      </c>
      <c r="EG106" s="715" t="e">
        <f t="shared" ca="1" si="1084"/>
        <v>#REF!</v>
      </c>
      <c r="EH106" s="716" t="str">
        <f ca="1">IF(LEFT($J95,7)="Clad Wo",IFERROR(VLOOKUP(INDEX(ED95:ED106,EG106),SPPWS,2,FALSE),"----"),IFERROR(VLOOKUP(INDEX(ED95:ED106,EG106),SPM,2,FALSE),"----"))</f>
        <v>----</v>
      </c>
    </row>
    <row r="107" spans="1:138" ht="15" customHeight="1" thickTop="1" x14ac:dyDescent="0.25">
      <c r="A107" s="1085"/>
      <c r="B107" s="931" t="s">
        <v>92</v>
      </c>
      <c r="C107" s="932"/>
      <c r="D107" s="933"/>
      <c r="E107" s="992"/>
      <c r="F107" s="993"/>
      <c r="G107" s="994"/>
      <c r="H107" s="1061"/>
      <c r="I107" s="1076"/>
      <c r="J107" s="906"/>
      <c r="K107" s="907"/>
      <c r="L107" s="1001">
        <f>$W$3</f>
        <v>4</v>
      </c>
      <c r="M107" s="923" t="str">
        <f t="shared" ref="M107" si="1240">IFERROR(IF($AE$13="",IF($AG$19="Wind Loading",MIN($V$31,IF(E$11="ASCE 7-05",$U$26,$V$7)*$V$9*(IF($E$12&lt;60,0.0771*LN(MAX(MIN(500,O107),10)) -1.2737,IF($E$11="ASCE 7-22",0.0524*LN(MAX(MIN(500,O107),50))-1.0278,0.0614*LN(MAX(MIN(500,O107),20)) -1.0829))-$V$8)),$V$7*IF(E$12&lt;60,$V$13*($V$15*0.0771*LN(MAX(MIN(500,O107),10))-1.2737-$V$16),$V$13*$V$15*((0.0524*LN(MAX(MIN(500,O107),20))-1.0278)-$V$16))),-ABS($AE$13)),"")</f>
        <v/>
      </c>
      <c r="N107" s="1042" t="str">
        <f t="shared" ref="N107" si="1241">IFERROR(IF($AE$15="",IF($AG$19="Wind Loading",MAX($U$31,IF(E$11="ASCE 7-05",$U$26,$V$7)*$V$9*((IF($E$12&lt;60,-0.077*LN(MAX(MIN(500,O107),10))+1.1737,IF($E$11="ASCE 7-22",-0.077*LN(MAX(MIN(500,O107),20))+1.0798,-0.093*LN(MAX(MIN(500,O107),20))+1.1776)))+$V$8)),$V$7*IF(E$12&lt;60,$V$13*($V$15*(-0.077*LN(MAX(MIN(500,O107),10))+1.1737)-$V$17),$V$13*$V$15*((-0.077*LN(MAX(MIN(500,O107),20))+1.0798)-$V$17))),ABS($AE$15)),"")</f>
        <v/>
      </c>
      <c r="O107" s="1017" t="str">
        <f>IF(BX114=0,"",IF(AG$14="Trapezoidal",BY114,BX114))</f>
        <v/>
      </c>
      <c r="P107" s="986"/>
      <c r="Q107" s="1014"/>
      <c r="R107" s="1011">
        <f>P107*Q107/8</f>
        <v>0</v>
      </c>
      <c r="S107" s="1004">
        <f t="shared" ref="S107" si="1242">IF(5*(P107*Q107^3/(384*0.125))=0,0,5*(P107*Q107^3/(384*0.125)))</f>
        <v>0</v>
      </c>
      <c r="T107" s="1005"/>
      <c r="U107" s="877" t="e">
        <f ca="1">VLOOKUP(J111,INDIRECT(VLOOKUP(J107,FrameStrength,2,FALSE)),3,FALSE)</f>
        <v>#N/A</v>
      </c>
      <c r="V107" s="880">
        <f t="shared" ref="V107" si="1243">(H107+I107)/2</f>
        <v>0</v>
      </c>
      <c r="W107" s="883" t="e">
        <f t="shared" ref="W107" si="1244">MAX(-M107,N107)*O107</f>
        <v>#VALUE!</v>
      </c>
      <c r="X107" s="883">
        <f t="shared" ref="X107" si="1245">IF(E107&gt;162,(E107/240+0.25),IF(AND(E107&lt;162,E107/175&lt;0.75),E107/175,0.75))</f>
        <v>0</v>
      </c>
      <c r="Y107" s="886">
        <f>IFERROR(IF(AG$14="Trapezoidal",BY115,BX115)+IF($E$17="4",(400*E107^3)/(48*X107),0),0)</f>
        <v>0</v>
      </c>
      <c r="Z107" s="886" t="e">
        <f t="shared" ref="Z107" si="1246">+($V107*MAX(-$M107,$N107)*$E107^2)/(144*8)+IF($E$17=4,(400*$E107)/4,0)</f>
        <v>#VALUE!</v>
      </c>
      <c r="AA107" s="886" t="e">
        <f ca="1">VLOOKUP(J111,INDIRECT(VLOOKUP(J107,FrameStrength,2,FALSE)),2,FALSE)</f>
        <v>#N/A</v>
      </c>
      <c r="AB107" s="1083" t="str">
        <f t="shared" ref="AB107" ca="1" si="1247">IFERROR(Z107-AA107,"")</f>
        <v/>
      </c>
      <c r="AC107" s="1077" t="str">
        <f t="shared" ref="AC107" ca="1" si="1248">IFERROR(Y107-U107,"")</f>
        <v/>
      </c>
      <c r="AD107" s="1100" t="str">
        <f>IFERROR(IF(LEFT(J111,2)="As",VLOOKUP(J111,EIMM,4,FALSE),VLOOKUP(J107,EIMM,4,FALSE)),IF(AND(ISNUMBER(SEARCH("Impervia",J107)),ISNUMBER(SEARCH("door",J111))),'New Lookup Cells'!AF$10,IF(ISNUMBER(SEARCH("Impervia",J107)),'New Lookup Cells'!AF$7,IF(AND(ISNUMBER(SEARCH("250",J107)),ISNUMBER(SEARCH("door",J111))),'New Lookup Cells'!AF$14,IF(ISNUMBER(SEARCH("250",J107)),'New Lookup Cells'!AF$13,"")))))</f>
        <v/>
      </c>
      <c r="AE107" s="1101"/>
      <c r="AF107" s="1050"/>
      <c r="AG107" s="1051"/>
      <c r="AH107" s="1051"/>
      <c r="AI107" s="1088"/>
      <c r="AJ107" s="1089"/>
      <c r="AK107" s="154" t="str">
        <f t="shared" ca="1" si="1130"/>
        <v/>
      </c>
      <c r="AL107" s="1038" t="str">
        <f t="shared" ref="AL107" si="1249">IFERROR(ROUND(SQRT(P107^2+(W107/2+IF($E$17=4,200,0))^2),0),"")</f>
        <v/>
      </c>
      <c r="AM107" s="342" t="s">
        <v>669</v>
      </c>
      <c r="AN107" t="str">
        <f t="shared" ca="1" si="1154"/>
        <v/>
      </c>
      <c r="AP107" s="122" t="str">
        <f t="shared" ref="AP107" si="1250">_xlfn.CONCAT(AR107,AS112)</f>
        <v/>
      </c>
      <c r="AQ107" s="683" t="str">
        <f t="shared" si="65"/>
        <v/>
      </c>
      <c r="AR107" s="96" t="str">
        <f t="shared" si="1114"/>
        <v/>
      </c>
      <c r="AS107" s="96" t="str">
        <f>IF(COUNTIF(imp_1,AF107)=1,"imp_1",IF(COUNTIF(imp_2,AF107)=1,"imp_2",IF(COUNTIF(imp_3,AF107)=1,"imp_3",IF(COUNTIF(impdoor,AF107)=1,"impdoor",""))))</f>
        <v/>
      </c>
      <c r="AT107" s="684" t="str">
        <f>AL107</f>
        <v/>
      </c>
      <c r="AU107" s="685" t="e">
        <f ca="1">MATCH(AL107,INDIRECT(AP107),-1)</f>
        <v>#REF!</v>
      </c>
      <c r="AV107" s="686" t="str">
        <f ca="1">IFERROR(VLOOKUP(AU107,INDIRECT(AQ107),2,FALSE),"----")</f>
        <v>----</v>
      </c>
      <c r="AW107" s="685" t="e">
        <f ca="1">MATCH(AL107,INDIRECT(AP108),-1)</f>
        <v>#REF!</v>
      </c>
      <c r="AX107" s="686" t="str">
        <f ca="1">IFERROR(VLOOKUP(AW107,INDIRECT(AQ108),2,FALSE),"----")</f>
        <v>----</v>
      </c>
      <c r="AY107" s="685" t="e">
        <f ca="1">MATCH(AL107,INDIRECT(AP109),-1)</f>
        <v>#REF!</v>
      </c>
      <c r="AZ107" s="686" t="str">
        <f ca="1">IFERROR(VLOOKUP(AY107,INDIRECT(AQ109),2,FALSE),"----")</f>
        <v>----</v>
      </c>
      <c r="BA107" s="685" t="e">
        <f ca="1">MATCH(AL107,INDIRECT(AP110),-1)</f>
        <v>#REF!</v>
      </c>
      <c r="BB107" s="686" t="str">
        <f ca="1">IFERROR(VLOOKUP(BA107,INDIRECT(AQ110),2,FALSE),"----")</f>
        <v>----</v>
      </c>
      <c r="BC107" s="685" t="e">
        <f ca="1">MATCH(AL107,INDIRECT(AP111),-1)</f>
        <v>#REF!</v>
      </c>
      <c r="BD107" s="686" t="str">
        <f ca="1">IFERROR(VLOOKUP(BC107,INDIRECT(AQ111),2,FALSE),"----")</f>
        <v>----</v>
      </c>
      <c r="BE107" s="685" t="e">
        <f ca="1">MATCH(AL107,INDIRECT(AP112),-1)</f>
        <v>#REF!</v>
      </c>
      <c r="BF107" s="686" t="str">
        <f ca="1">IFERROR(VLOOKUP(BE107,INDIRECT(AQ112),2,FALSE),"----")</f>
        <v>----</v>
      </c>
      <c r="BG107" s="685" t="e">
        <f ca="1">MATCH(AL113,INDIRECT(AP113),-1)</f>
        <v>#REF!</v>
      </c>
      <c r="BH107" s="686" t="str">
        <f ca="1">IFERROR(VLOOKUP(BG107,INDIRECT(AQ113),2,FALSE),"----")</f>
        <v>----</v>
      </c>
      <c r="BI107" s="685" t="e">
        <f ca="1">MATCH(AL113,INDIRECT(AP114),-1)</f>
        <v>#REF!</v>
      </c>
      <c r="BJ107" s="686" t="str">
        <f ca="1">IFERROR(VLOOKUP(BI107,INDIRECT(AQ114),2,FALSE),"----")</f>
        <v>----</v>
      </c>
      <c r="BK107" s="685" t="e">
        <f ca="1">MATCH(AL113,INDIRECT(AP115),-1)</f>
        <v>#REF!</v>
      </c>
      <c r="BL107" s="686" t="str">
        <f ca="1">IFERROR(VLOOKUP(BK107,INDIRECT(AQ115),2,FALSE),"----")</f>
        <v>----</v>
      </c>
      <c r="BM107" s="685" t="e">
        <f ca="1">MATCH(AL113,INDIRECT(AP116),-1)</f>
        <v>#REF!</v>
      </c>
      <c r="BN107" s="686" t="str">
        <f ca="1">IFERROR(VLOOKUP(BM107,INDIRECT(AQ116),2,FALSE),"----")</f>
        <v>----</v>
      </c>
      <c r="BO107" s="685" t="e">
        <f ca="1">MATCH(AL113,INDIRECT(AP117),-1)</f>
        <v>#REF!</v>
      </c>
      <c r="BP107" s="686" t="str">
        <f ca="1">IFERROR(VLOOKUP(BO107,INDIRECT(AQ117),2,FALSE),"----")</f>
        <v>----</v>
      </c>
      <c r="BQ107" s="685" t="e">
        <f ca="1">MATCH(AL113,INDIRECT(AP118),-1)</f>
        <v>#REF!</v>
      </c>
      <c r="BR107" s="686" t="str">
        <f ca="1">IFERROR(VLOOKUP(BQ107,INDIRECT(AQ118),2,FALSE),"----")</f>
        <v>----</v>
      </c>
      <c r="BS107" s="687">
        <f>IF(AI107="",1,IF(COUNTIF(AV107:AV118,AI107)=0,2,1))</f>
        <v>1</v>
      </c>
      <c r="BT107" s="688">
        <f>IF(AP107="1",1,IF(AF107="",1,IF(AV107=".",2,1)))</f>
        <v>1</v>
      </c>
      <c r="BU107" s="706"/>
      <c r="BV107" s="155">
        <f ca="1">IF(COUNTIF(CE107:CE118,AF107)=0,IF(AF107&lt;&gt;"",0,1),1)</f>
        <v>1</v>
      </c>
      <c r="BW107" s="157">
        <f ca="1">IFERROR(MATCH(AF107,CE107:CE118,0),1)</f>
        <v>1</v>
      </c>
      <c r="BX107" s="769" t="str">
        <f>IFERROR(IF(LEFT(J111,2)="As",VLOOKUP(J111,EIMM,2,FALSE),IF(AND(ISNUMBER(SEARCH("Impervia",J107)),ISNUMBER(SEARCH("door",J111))),VLOOKUP("Impervia Door",EIMM,2,FALSE),IF(AND(ISNUMBER(SEARCH("250",J107)),ISNUMBER(SEARCH("door",J111))),VLOOKUP("250 Series Door",EIMM,2,FALSE),VLOOKUP(J107,EIMM,2,FALSE)))),"")</f>
        <v/>
      </c>
      <c r="BY107" s="769" t="str">
        <f ca="1">IFERROR(VLOOKUP(BX107,OFFSET(EIMM,0,1),2,FALSE),"")</f>
        <v/>
      </c>
      <c r="BZ107" s="1110" t="e">
        <f ca="1">IF((COUNTIF(INDIRECT(SUBSTITUTE(J107," ","_")),J111))=0,IF(J111="",1,0),1)</f>
        <v>#REF!</v>
      </c>
      <c r="CA107" s="691" t="e">
        <f ca="1">MATCH(AC107,INDIRECT(BX107),-1)</f>
        <v>#REF!</v>
      </c>
      <c r="CB107" s="4" t="e" cm="1">
        <f t="array" aca="1" ref="CB107" ca="1">IF(AND(INDEX(INDIRECT(BY107),CA107,4)&gt;=$AB107,INDEX(INDIRECT(BY107),CA107,5)&gt;=$S107,INDEX(INDIRECT(BY107),CA107,6)&gt;=$R107),1,0)</f>
        <v>#REF!</v>
      </c>
      <c r="CC107" s="4" t="e">
        <f t="shared" ref="CC107" ca="1" si="1251">MATCH(1,OFFSET(CB107:CB118,$W$2,0,COUNT(CB107:CB118)-$W$2),0)</f>
        <v>#REF!</v>
      </c>
      <c r="CD107" s="4" t="e">
        <f t="shared" ref="CD107" ca="1" si="1252">$W$2+CC107</f>
        <v>#REF!</v>
      </c>
      <c r="CE107" s="692" t="str" cm="1">
        <f t="array" aca="1" ref="CE107" ca="1">IFERROR(VLOOKUP(INDEX(CA107:CA118,CD107),INDIRECT(BY107),2,FALSE),"----")</f>
        <v>----</v>
      </c>
      <c r="CF107" s="691" t="e">
        <f ca="1">MATCH($AC107,SSEI,-1)</f>
        <v>#N/A</v>
      </c>
      <c r="CG107" s="4" t="e">
        <f ca="1">IF(AND(INDEX(SSM,CF107,4)&gt;=$AB107,INDEX(SSM,CF107,5)&gt;=$S107,INDEX(SSM,CF107,6)&gt;=$R107),1,0)</f>
        <v>#N/A</v>
      </c>
      <c r="CH107" s="4" t="e">
        <f t="shared" ref="CH107" ca="1" si="1253">MATCH(1,OFFSET(CG107:CG118,$W$2,0,COUNT(CG107:CG118)-$W$2),0)</f>
        <v>#REF!</v>
      </c>
      <c r="CI107" s="4" t="e">
        <f t="shared" ref="CI107" ca="1" si="1254">$W$2+CH107</f>
        <v>#REF!</v>
      </c>
      <c r="CJ107" s="692" t="str">
        <f ca="1">IFERROR(IF(AD108="Nested Steel Stud (wood infill)",VLOOKUP(INDEX(CF107:CF118,CI107),SSW,2,FALSE),VLOOKUP(INDEX(CF107:CF118,CI107),SSM,2,FALSE)),"----")</f>
        <v>----</v>
      </c>
      <c r="CK107" s="691" t="e">
        <f ca="1">MATCH($AC107,WSEI,-1)</f>
        <v>#N/A</v>
      </c>
      <c r="CL107" s="4" t="e">
        <f ca="1">IF(AND(INDEX(WSM,CK107,4)&gt;=$AB107,INDEX(WSM,CK107,5)&gt;=$S107,INDEX(WSM,CK107,6)&gt;=$R107),1,0)</f>
        <v>#N/A</v>
      </c>
      <c r="CM107" s="4" t="e">
        <f t="shared" ref="CM107" ca="1" si="1255">MATCH(1,OFFSET(CL107:CL118,$W$2,0,COUNT(CL107:CL118)-$W$2),0)</f>
        <v>#REF!</v>
      </c>
      <c r="CN107" s="4" t="e">
        <f t="shared" ref="CN107" ca="1" si="1256">$W$2+CM107</f>
        <v>#REF!</v>
      </c>
      <c r="CO107" s="692" t="str">
        <f ca="1">IFERROR(VLOOKUP(INDEX(CK107:CK118,CN107),WSM,2,FALSE),"----")</f>
        <v>----</v>
      </c>
      <c r="CP107" s="691" t="e">
        <f ca="1">MATCH($AC107,STEI,-1)</f>
        <v>#N/A</v>
      </c>
      <c r="CQ107" s="4" t="e">
        <f ca="1">IF(AND(INDEX(STM,CP107,4)&gt;=$AB107,INDEX(STM,CP107,5)&gt;=$S107,INDEX(STM,CP107,6)&gt;=$R107),1,0)</f>
        <v>#N/A</v>
      </c>
      <c r="CR107" s="4" t="e">
        <f t="shared" ref="CR107" ca="1" si="1257">MATCH(1,OFFSET(CQ107:CQ118,$W$2,0,COUNT(CQ107:CQ118)-$W$2),0)</f>
        <v>#REF!</v>
      </c>
      <c r="CS107" s="4" t="e">
        <f t="shared" ref="CS107" ca="1" si="1258">$W$2+CR107</f>
        <v>#REF!</v>
      </c>
      <c r="CT107" s="692" t="str">
        <f ca="1">IFERROR(VLOOKUP(INDEX(CP107:CP118,CS107),STM,2,FALSE),"----")</f>
        <v>----</v>
      </c>
      <c r="CU107" s="691" t="e">
        <f ca="1">MATCH($AC107,ELEI,-1)</f>
        <v>#N/A</v>
      </c>
      <c r="CV107" s="4" t="e">
        <f ca="1">IF(AND(INDEX(ELM,CU107,4)&gt;=$AB107,INDEX(ELM,CU107,5)&gt;=$S107,INDEX(ELM,CU107,6)&gt;=$R107),1,0)</f>
        <v>#N/A</v>
      </c>
      <c r="CW107" s="4" t="e">
        <f t="shared" ref="CW107" ca="1" si="1259">MATCH(1,OFFSET(CV107:CV118,$W$2,0,COUNT(CV107:CV118)-$W$2),0)</f>
        <v>#REF!</v>
      </c>
      <c r="CX107" s="4" t="e">
        <f t="shared" ref="CX107" ca="1" si="1260">$W$2+CW107</f>
        <v>#REF!</v>
      </c>
      <c r="CY107" s="692" t="str">
        <f ca="1">IFERROR(VLOOKUP(INDEX(CU107:CU118,CX107),ELM,2,FALSE),"----")</f>
        <v>----</v>
      </c>
      <c r="CZ107" s="691" t="e">
        <f ca="1">IF(LEFT($J107,7)="Clad Wo",MATCH($AC107,SPEIW,-1),MATCH($AC107,SPEI,-1))</f>
        <v>#N/A</v>
      </c>
      <c r="DA107" s="4" t="e">
        <f ca="1">IF(LEFT($J107,7)="Clad Wo",IF(AND(INDEX(SPPWS,CZ107,4)&gt;=$AB107,INDEX(SPPWS,CZ107,5)&gt;=$S107,INDEX(SPPWS,CZ107,6)&gt;=$R107),1,0),IF(AND(INDEX(SPM,CZ107,4)&gt;=$AB107,INDEX(SPM,CZ107,5)&gt;=$S107,INDEX(SPM,CZ107,6)&gt;=$R107),1,0))</f>
        <v>#N/A</v>
      </c>
      <c r="DB107" s="4" t="e">
        <f t="shared" ref="DB107" ca="1" si="1261">MATCH(1,OFFSET(DA107:DA118,$W$2,0,COUNT(DA107:DA118)-$W$2),0)</f>
        <v>#REF!</v>
      </c>
      <c r="DC107" s="4" t="e">
        <f t="shared" ref="DC107" ca="1" si="1262">$W$2+DB107</f>
        <v>#REF!</v>
      </c>
      <c r="DD107" s="693" t="str">
        <f ca="1">IF(LEFT($J107,7)="Clad Wo",IFERROR(VLOOKUP(INDEX(CZ107:CZ118,DC107),SPPWS,2,FALSE),"----"),IFERROR(VLOOKUP(INDEX(CZ107:CZ118,DC107),SPM,2,FALSE),"----"))</f>
        <v>----</v>
      </c>
      <c r="DE107" s="691" t="e">
        <f ca="1">MATCH(AC113,INDIRECT(BX107),-1)</f>
        <v>#REF!</v>
      </c>
      <c r="DF107" s="4" t="e" cm="1">
        <f t="array" aca="1" ref="DF107" ca="1">IF(AND(INDEX(INDIRECT(BY107),DE107,4)&gt;=$AB113,INDEX(INDIRECT(BY107),DE107,5)&gt;=$S107,INDEX(INDIRECT(BY107),DE107,6)&gt;=$R107),1,0)</f>
        <v>#REF!</v>
      </c>
      <c r="DG107" s="4" t="e">
        <f t="shared" ref="DG107" ca="1" si="1263">MATCH(1,OFFSET(DF107:DF118,$W$2,0,COUNT(DF107:DF118)-$W$2),0)</f>
        <v>#REF!</v>
      </c>
      <c r="DH107" s="4" t="e">
        <f t="shared" ref="DH107" ca="1" si="1264">$W$2+DG107</f>
        <v>#REF!</v>
      </c>
      <c r="DI107" s="692" t="str" cm="1">
        <f t="array" aca="1" ref="DI107" ca="1">IFERROR(VLOOKUP(INDEX(DE107:DE118,DH107),INDIRECT(BY107),2,FALSE),"----")</f>
        <v>----</v>
      </c>
      <c r="DJ107" s="691" t="e">
        <f ca="1">MATCH($AC113,SSEI,-1)</f>
        <v>#N/A</v>
      </c>
      <c r="DK107" s="4" t="e">
        <f ca="1">IF(AND(INDEX(SSM,DJ107,4)&gt;=$AB113,INDEX(SSM,DJ107,5)&gt;=$S107,INDEX(SSM,DJ107,6)&gt;=$R107),1,0)</f>
        <v>#N/A</v>
      </c>
      <c r="DL107" s="4" t="e">
        <f t="shared" ref="DL107" ca="1" si="1265">MATCH(1,OFFSET(DK107:DK118,$W$2,0,COUNT(DK107:DK118)-$W$2),0)</f>
        <v>#REF!</v>
      </c>
      <c r="DM107" s="4" t="e">
        <f t="shared" ref="DM107" ca="1" si="1266">$W$2+DL107</f>
        <v>#REF!</v>
      </c>
      <c r="DN107" s="692" t="str">
        <f ca="1">IFERROR(IF(AD114="Nested Steel Stud (wood infill)",VLOOKUP(INDEX(DJ107:DJ118,DM107),SSW,2,FALSE),VLOOKUP(INDEX(DJ107:DJ118,DM107),SSM,2,FALSE)),"----")</f>
        <v>----</v>
      </c>
      <c r="DO107" s="691" t="e">
        <f ca="1">MATCH($AC113,WSEI,-1)</f>
        <v>#N/A</v>
      </c>
      <c r="DP107" s="4" t="e">
        <f ca="1">IF(AND(INDEX(WSM,DO107,4)&gt;=$AB113,INDEX(WSM,DO107,5)&gt;=$S107,INDEX(WSM,DO107,6)&gt;=$R107),1,0)</f>
        <v>#N/A</v>
      </c>
      <c r="DQ107" s="4" t="e">
        <f t="shared" ref="DQ107" ca="1" si="1267">MATCH(1,OFFSET(DP107:DP118,$W$2,0,COUNT(DP107:DP118)-$W$2),0)</f>
        <v>#REF!</v>
      </c>
      <c r="DR107" s="4" t="e">
        <f t="shared" ref="DR107" ca="1" si="1268">$W$2+DQ107</f>
        <v>#REF!</v>
      </c>
      <c r="DS107" s="692" t="str">
        <f ca="1">IFERROR(VLOOKUP(INDEX(DO107:DO118,DR107),WSM,2,FALSE),"----")</f>
        <v>----</v>
      </c>
      <c r="DT107" s="691" t="e">
        <f ca="1">MATCH($AC113,STEI,-1)</f>
        <v>#N/A</v>
      </c>
      <c r="DU107" s="4" t="e">
        <f ca="1">IF(AND(INDEX(STM,DT107,4)&gt;=$AB113,INDEX(STM,DT107,5)&gt;=$S107,INDEX(STM,DT107,6)&gt;=$R107),1,0)</f>
        <v>#N/A</v>
      </c>
      <c r="DV107" s="4" t="e">
        <f t="shared" ref="DV107" ca="1" si="1269">MATCH(1,OFFSET(DU107:DU118,$W$2,0,COUNT(DU107:DU118)-$W$2),0)</f>
        <v>#REF!</v>
      </c>
      <c r="DW107" s="4" t="e">
        <f t="shared" ref="DW107" ca="1" si="1270">$W$2+DV107</f>
        <v>#REF!</v>
      </c>
      <c r="DX107" s="692" t="str">
        <f ca="1">IFERROR(VLOOKUP(INDEX(DT107:DT118,DW107),STM,2,FALSE),"----")</f>
        <v>----</v>
      </c>
      <c r="DY107" s="691" t="e">
        <f ca="1">MATCH($AC113,ELEI,-1)</f>
        <v>#N/A</v>
      </c>
      <c r="DZ107" s="4" t="e">
        <f ca="1">IF(AND(INDEX(ELM,DY107,4)&gt;=$AB113,INDEX(ELM,DY107,5)&gt;=$S107,INDEX(ELM,DY107,6)&gt;=$R107),1,0)</f>
        <v>#N/A</v>
      </c>
      <c r="EA107" s="4" t="e">
        <f t="shared" ref="EA107" ca="1" si="1271">MATCH(1,OFFSET(DZ107:DZ118,$W$2,0,COUNT(DZ107:DZ118)-$W$2),0)</f>
        <v>#REF!</v>
      </c>
      <c r="EB107" s="4" t="e">
        <f t="shared" ref="EB107" ca="1" si="1272">EA107+$W$2</f>
        <v>#REF!</v>
      </c>
      <c r="EC107" s="692" t="str">
        <f ca="1">IFERROR(VLOOKUP(INDEX(DY107:DY118,EB107),ELM,2,FALSE),"----")</f>
        <v>----</v>
      </c>
      <c r="ED107" s="691" t="e">
        <f ca="1">IF(LEFT($J107,7)="Clad Wo",MATCH($AC113,SPEIW,-1),MATCH($AC113,SPEI,-1))</f>
        <v>#N/A</v>
      </c>
      <c r="EE107" s="4" t="e">
        <f ca="1">IF(LEFT($J107,7)="Clad Wo",IF(AND(INDEX(SPPWS,ED107,4)&gt;=$AB113,INDEX(SPPWS,ED107,5)&gt;=$S107,INDEX(SPPWS,ED107,6)&gt;=$R107),1,0),IF(AND(INDEX(SPM,ED107,4)&gt;=$AB113,INDEX(SPM,ED107,5)&gt;=$S107,INDEX(SPM,ED107,6)&gt;=$R107),1,0))</f>
        <v>#N/A</v>
      </c>
      <c r="EF107" s="4" t="e">
        <f t="shared" ref="EF107" ca="1" si="1273">MATCH(1,OFFSET(EE107:EE118,$W$2,0,COUNT(EE107:EE118)-$W$2),0)</f>
        <v>#REF!</v>
      </c>
      <c r="EG107" s="4" t="e">
        <f t="shared" ref="EG107" ca="1" si="1274">$W$2+EF107</f>
        <v>#REF!</v>
      </c>
      <c r="EH107" s="692" t="str">
        <f ca="1">IF(LEFT($J107,7)="Clad Wo",IFERROR(VLOOKUP(INDEX(ED107:ED118,EG107),SPPWS,2,FALSE),"----"),IFERROR(VLOOKUP(INDEX(ED107:ED118,EG107),SPM,2,FALSE),"----"))</f>
        <v>----</v>
      </c>
    </row>
    <row r="108" spans="1:138" ht="15" customHeight="1" x14ac:dyDescent="0.25">
      <c r="A108" s="1085"/>
      <c r="B108" s="925"/>
      <c r="C108" s="926"/>
      <c r="D108" s="927"/>
      <c r="E108" s="995"/>
      <c r="F108" s="996"/>
      <c r="G108" s="997"/>
      <c r="H108" s="1062"/>
      <c r="I108" s="990"/>
      <c r="J108" s="908"/>
      <c r="K108" s="909"/>
      <c r="L108" s="1002"/>
      <c r="M108" s="923"/>
      <c r="N108" s="1042"/>
      <c r="O108" s="1018"/>
      <c r="P108" s="987"/>
      <c r="Q108" s="1015"/>
      <c r="R108" s="1012"/>
      <c r="S108" s="1006"/>
      <c r="T108" s="1007"/>
      <c r="U108" s="878"/>
      <c r="V108" s="881"/>
      <c r="W108" s="884"/>
      <c r="X108" s="884"/>
      <c r="Y108" s="887"/>
      <c r="Z108" s="887"/>
      <c r="AA108" s="887"/>
      <c r="AB108" s="1081"/>
      <c r="AC108" s="1078"/>
      <c r="AD108" s="1102" t="s">
        <v>38</v>
      </c>
      <c r="AE108" s="1103"/>
      <c r="AF108" s="1052"/>
      <c r="AG108" s="1053"/>
      <c r="AH108" s="1053"/>
      <c r="AI108" s="1066"/>
      <c r="AJ108" s="1067"/>
      <c r="AK108" s="156" t="str">
        <f t="shared" ca="1" si="1130"/>
        <v/>
      </c>
      <c r="AL108" s="1039"/>
      <c r="AM108" s="343" t="str">
        <f ca="1">IFERROR(Q107/12*ROUND(VLOOKUP(AF108,OFFSET(SSM,0,1),6,FALSE),2),"")</f>
        <v/>
      </c>
      <c r="AN108" t="str">
        <f t="shared" ca="1" si="1154"/>
        <v/>
      </c>
      <c r="AP108" s="122" t="str">
        <f t="shared" ref="AP108" si="1275">_xlfn.CONCAT(AR108,AS112)</f>
        <v/>
      </c>
      <c r="AQ108" s="683" t="str">
        <f t="shared" si="65"/>
        <v/>
      </c>
      <c r="AR108" s="96" t="str">
        <f t="shared" si="1114"/>
        <v/>
      </c>
      <c r="AS108" s="96" t="str">
        <f>IF(COUNTIF(Vista_1,AF107)=1,"Vista_1",IF(COUNTIF(Vista_2,AF107)=1,"Vista_2",""))</f>
        <v/>
      </c>
      <c r="AT108" s="684" t="str">
        <f>AL107</f>
        <v/>
      </c>
      <c r="AU108" s="694" t="e">
        <f t="shared" ref="AU108" ca="1" si="1276">AU107-1</f>
        <v>#REF!</v>
      </c>
      <c r="AV108" s="686" t="str">
        <f ca="1">IFERROR(VLOOKUP(AU108,INDIRECT(AQ107),2,FALSE),"----")</f>
        <v>----</v>
      </c>
      <c r="AW108" s="694" t="e">
        <f t="shared" ref="AW108:AW109" ca="1" si="1277">AW107-1</f>
        <v>#REF!</v>
      </c>
      <c r="AX108" s="686" t="str">
        <f ca="1">IFERROR(VLOOKUP(AW108,INDIRECT(AQ108),2,FALSE),"----")</f>
        <v>----</v>
      </c>
      <c r="AY108" s="694" t="e">
        <f t="shared" ref="AY108:AY109" ca="1" si="1278">AY107-1</f>
        <v>#REF!</v>
      </c>
      <c r="AZ108" s="686" t="str">
        <f ca="1">IFERROR(VLOOKUP(AY108,INDIRECT(AQ109),2,FALSE),"----")</f>
        <v>----</v>
      </c>
      <c r="BA108" s="694" t="e">
        <f t="shared" ref="BA108:BA109" ca="1" si="1279">BA107-1</f>
        <v>#REF!</v>
      </c>
      <c r="BB108" s="686" t="str">
        <f ca="1">IFERROR(VLOOKUP(BA108,INDIRECT(AQ110),2,FALSE),"----")</f>
        <v>----</v>
      </c>
      <c r="BC108" s="694" t="e">
        <f t="shared" ref="BC108:BC109" ca="1" si="1280">BC107-1</f>
        <v>#REF!</v>
      </c>
      <c r="BD108" s="686" t="str">
        <f ca="1">IFERROR(VLOOKUP(BC108,INDIRECT(AQ111),2,FALSE),"----")</f>
        <v>----</v>
      </c>
      <c r="BE108" s="694" t="e">
        <f t="shared" ref="BE108" ca="1" si="1281">BE107-1</f>
        <v>#REF!</v>
      </c>
      <c r="BF108" s="686" t="str">
        <f ca="1">IFERROR(VLOOKUP(BE108,INDIRECT(AQ112),2,FALSE),"----")</f>
        <v>----</v>
      </c>
      <c r="BG108" s="694" t="e">
        <f t="shared" ref="BG108" ca="1" si="1282">BG107-1</f>
        <v>#REF!</v>
      </c>
      <c r="BH108" s="686" t="str">
        <f ca="1">IFERROR(VLOOKUP(BG108,INDIRECT(AQ113),2,FALSE),"----")</f>
        <v>----</v>
      </c>
      <c r="BI108" s="694" t="e">
        <f t="shared" ref="BI108:BI109" ca="1" si="1283">BI107-1</f>
        <v>#REF!</v>
      </c>
      <c r="BJ108" s="686" t="str">
        <f ca="1">IFERROR(VLOOKUP(BI108,INDIRECT(AQ114),2,FALSE),"----")</f>
        <v>----</v>
      </c>
      <c r="BK108" s="694" t="e">
        <f t="shared" ref="BK108:BK109" ca="1" si="1284">BK107-1</f>
        <v>#REF!</v>
      </c>
      <c r="BL108" s="686" t="str">
        <f ca="1">IFERROR(VLOOKUP(BK108,INDIRECT(AQ115),2,FALSE),"----")</f>
        <v>----</v>
      </c>
      <c r="BM108" s="694" t="e">
        <f t="shared" ref="BM108:BM109" ca="1" si="1285">BM107-1</f>
        <v>#REF!</v>
      </c>
      <c r="BN108" s="686" t="str">
        <f ca="1">IFERROR(VLOOKUP(BM108,INDIRECT(AQ116),2,FALSE),"----")</f>
        <v>----</v>
      </c>
      <c r="BO108" s="694" t="e">
        <f t="shared" ref="BO108:BO109" ca="1" si="1286">BO107-1</f>
        <v>#REF!</v>
      </c>
      <c r="BP108" s="686" t="str">
        <f ca="1">IFERROR(VLOOKUP(BO108,INDIRECT(AQ117),2,FALSE),"----")</f>
        <v>----</v>
      </c>
      <c r="BQ108" s="694" t="e">
        <f t="shared" ref="BQ108" ca="1" si="1287">BQ107-1</f>
        <v>#REF!</v>
      </c>
      <c r="BR108" s="686" t="str">
        <f ca="1">IFERROR(VLOOKUP(BQ108,INDIRECT(AQ118),2,FALSE),"----")</f>
        <v>----</v>
      </c>
      <c r="BS108" s="695">
        <f>IF(AI108="",1,IF(COUNTIF(AX107:AX118,AI108)=0,2,1))</f>
        <v>1</v>
      </c>
      <c r="BT108" s="696">
        <f>IF(AF108="",1,IF(AX107=".",2,1))</f>
        <v>1</v>
      </c>
      <c r="BU108" s="706"/>
      <c r="BV108" s="155">
        <f ca="1">IF(COUNTIF(CJ107:CJ118,AF108)=0,IF(AF108&lt;&gt;"",0,1),1)</f>
        <v>1</v>
      </c>
      <c r="BW108" s="157">
        <f ca="1">IFERROR(MATCH(AF108,CJ107:CJ118,0),1)</f>
        <v>1</v>
      </c>
      <c r="BX108" s="769"/>
      <c r="BY108" s="769"/>
      <c r="BZ108" s="1110"/>
      <c r="CA108" s="691" t="e">
        <f t="shared" ref="CA108:CA118" ca="1" si="1288">CA107-1</f>
        <v>#REF!</v>
      </c>
      <c r="CB108" s="4" t="e" cm="1">
        <f t="array" aca="1" ref="CB108" ca="1">IF(AND(INDEX(INDIRECT(BY107),CA108,4)&gt;=$AB107,INDEX(INDIRECT(BY107),CA108,5)&gt;=$S107,INDEX(INDIRECT(BY107),CA108,6)&gt;=$R107),1,0)</f>
        <v>#REF!</v>
      </c>
      <c r="CC108" s="4" t="e">
        <f t="shared" ref="CC108" ca="1" si="1289">MATCH(1,OFFSET(CB107:CB118,CD107,0,COUNT(CB107:CB118)-CD107),0)</f>
        <v>#REF!</v>
      </c>
      <c r="CD108" s="4" t="e">
        <f t="shared" ref="CD108:CD118" ca="1" si="1290">CD107+CC108</f>
        <v>#REF!</v>
      </c>
      <c r="CE108" s="692" t="str" cm="1">
        <f t="array" aca="1" ref="CE108" ca="1">IFERROR(VLOOKUP(INDEX(CA107:CA118,CD108),INDIRECT(BY107),2,FALSE),"----")</f>
        <v>----</v>
      </c>
      <c r="CF108" s="691" t="e">
        <f t="shared" ref="CF108:CF118" ca="1" si="1291">CF107-1</f>
        <v>#N/A</v>
      </c>
      <c r="CG108" s="4" t="e">
        <f ca="1">IF(AND(INDEX(SSM,CF108,4)&gt;=$AB107,INDEX(SSM,CF108,5)&gt;=$S107,INDEX(SSM,CF108,6)&gt;=$R107),1,0)</f>
        <v>#N/A</v>
      </c>
      <c r="CH108" s="4" t="e">
        <f t="shared" ref="CH108" ca="1" si="1292">MATCH(1,OFFSET(CG107:CG118,CI107,0,COUNT(CG107:CG118)-CI107),0)</f>
        <v>#REF!</v>
      </c>
      <c r="CI108" s="4" t="e">
        <f t="shared" ref="CI108:CI118" ca="1" si="1293">CI107+CH108</f>
        <v>#REF!</v>
      </c>
      <c r="CJ108" s="692" t="str">
        <f ca="1">IFERROR(IF(AD108="Nested Steel Stud (wood infill)",VLOOKUP(INDEX(CF107:CF118,CI108),SSW,2,FALSE),VLOOKUP(INDEX(CF107:CF118,CI108),SSM,2,FALSE)),"----")</f>
        <v>----</v>
      </c>
      <c r="CK108" s="691" t="e">
        <f t="shared" ref="CK108:CK118" ca="1" si="1294">CK107-1</f>
        <v>#N/A</v>
      </c>
      <c r="CL108" s="4" t="e">
        <f ca="1">IF(AND(INDEX(WSM,CK108,4)&gt;=$AB107,INDEX(WSM,CK108,5)&gt;=$S107,INDEX(WSM,CK108,6)&gt;=$R107),1,0)</f>
        <v>#N/A</v>
      </c>
      <c r="CM108" s="4" t="e">
        <f t="shared" ref="CM108" ca="1" si="1295">MATCH(1,OFFSET(CL107:CL118,CN107,0,COUNT(CL107:CL118)-CN107),0)</f>
        <v>#REF!</v>
      </c>
      <c r="CN108" s="4" t="e">
        <f t="shared" ref="CN108:CN118" ca="1" si="1296">CM108+CN107</f>
        <v>#REF!</v>
      </c>
      <c r="CO108" s="692" t="str">
        <f ca="1">IFERROR(VLOOKUP(INDEX(CK107:CK118,CN108),WSM,2,FALSE),"----")</f>
        <v>----</v>
      </c>
      <c r="CP108" s="691" t="e">
        <f t="shared" ref="CP108:CP118" ca="1" si="1297">CP107-1</f>
        <v>#N/A</v>
      </c>
      <c r="CQ108" s="4" t="e">
        <f ca="1">IF(AND(INDEX(STM,CP108,4)&gt;=$AB107,INDEX(STM,CP108,5)&gt;=$S107,INDEX(STM,CP108,6)&gt;=$R107),1,0)</f>
        <v>#N/A</v>
      </c>
      <c r="CR108" s="4" t="e">
        <f t="shared" ref="CR108" ca="1" si="1298">MATCH(1,OFFSET(CQ107:CQ118,CS107,0,COUNT(CQ107:CQ118)-CS107),0)</f>
        <v>#REF!</v>
      </c>
      <c r="CS108" s="4" t="e">
        <f t="shared" ref="CS108:CS118" ca="1" si="1299">CR108+CS107</f>
        <v>#REF!</v>
      </c>
      <c r="CT108" s="692" t="str">
        <f ca="1">IFERROR(VLOOKUP(INDEX(CP107:CP118,CS108),STM,2,FALSE),"----")</f>
        <v>----</v>
      </c>
      <c r="CU108" s="691" t="e">
        <f t="shared" ref="CU108:CU118" ca="1" si="1300">CU107-1</f>
        <v>#N/A</v>
      </c>
      <c r="CV108" s="4" t="e">
        <f ca="1">IF(AND(INDEX(ELM,CU108,4)&gt;=$AB107,INDEX(ELM,CU108,5)&gt;=$S107,INDEX(ELM,CU108,6)&gt;=$R107),1,0)</f>
        <v>#N/A</v>
      </c>
      <c r="CW108" s="4" t="e">
        <f t="shared" ref="CW108" ca="1" si="1301">MATCH(1,OFFSET(CV107:CV118,CX107,0,COUNT(CV107:CV118)-CX107),0)</f>
        <v>#REF!</v>
      </c>
      <c r="CX108" s="4" t="e">
        <f t="shared" ref="CX108:CX118" ca="1" si="1302">CW108+CX107</f>
        <v>#REF!</v>
      </c>
      <c r="CY108" s="692" t="str">
        <f ca="1">IFERROR(VLOOKUP(INDEX(CU107:CU118,CX108),ELM,2,FALSE),"----")</f>
        <v>----</v>
      </c>
      <c r="CZ108" s="691" t="e">
        <f t="shared" ref="CZ108:CZ118" ca="1" si="1303">CZ107-1</f>
        <v>#N/A</v>
      </c>
      <c r="DA108" s="4" t="e">
        <f ca="1">IF(LEFT($J107,7)="Clad Wo",IF(AND(INDEX(SPPWS,CZ108,4)&gt;=$AB107,INDEX(SPPWS,CZ108,5)&gt;=$S107,INDEX(SPPWS,CZ108,6)&gt;=$R107),1,0),IF(AND(INDEX(SPM,CZ108,4)&gt;=$AB107,INDEX(SPM,CZ108,5)&gt;=$S107,INDEX(SPM,CZ108,6)&gt;=$R107),1,0))</f>
        <v>#N/A</v>
      </c>
      <c r="DB108" s="4" t="e">
        <f t="shared" ref="DB108" ca="1" si="1304">MATCH(1,OFFSET(DA107:DA118,DC107,0,COUNT(DA107:DA118)-DC107),0)</f>
        <v>#REF!</v>
      </c>
      <c r="DC108" s="4" t="e">
        <f t="shared" ref="DC108:DC118" ca="1" si="1305">DC107+DB108</f>
        <v>#REF!</v>
      </c>
      <c r="DD108" s="693" t="str">
        <f ca="1">IF(LEFT($J107,7)="Clad Wo",IFERROR(VLOOKUP(INDEX(CZ107:CZ118,DC108),SPPWS,2,FALSE),"----"),IFERROR(VLOOKUP(INDEX(CZ107:CZ118,DC108),SPM,2,FALSE),"----"))</f>
        <v>----</v>
      </c>
      <c r="DE108" s="691" t="e">
        <f t="shared" ref="DE108:DE118" ca="1" si="1306">DE107-1</f>
        <v>#REF!</v>
      </c>
      <c r="DF108" s="4" t="e" cm="1">
        <f t="array" aca="1" ref="DF108" ca="1">IF(AND(INDEX(INDIRECT(BY107),DE108,4)&gt;=$AB113,INDEX(INDIRECT(BY107),DE108,5)&gt;=$S107,INDEX(INDIRECT(BY107),DE108,6)&gt;=$R107),1,0)</f>
        <v>#REF!</v>
      </c>
      <c r="DG108" s="4" t="e">
        <f t="shared" ref="DG108" ca="1" si="1307">MATCH(1,OFFSET(DF107:DF118,DH107,0,COUNT(DF107:DF118)-DH107),0)</f>
        <v>#REF!</v>
      </c>
      <c r="DH108" s="4" t="e">
        <f t="shared" ref="DH108:DH118" ca="1" si="1308">DH107+DG108</f>
        <v>#REF!</v>
      </c>
      <c r="DI108" s="692" t="str" cm="1">
        <f t="array" aca="1" ref="DI108" ca="1">IFERROR(VLOOKUP(INDEX(DE107:DE118,DH108),INDIRECT(BY107),2,FALSE),"----")</f>
        <v>----</v>
      </c>
      <c r="DJ108" s="691" t="e">
        <f t="shared" ref="DJ108:DJ118" ca="1" si="1309">DJ107-1</f>
        <v>#N/A</v>
      </c>
      <c r="DK108" s="4" t="e">
        <f ca="1">IF(AND(INDEX(SSM,DJ108,4)&gt;=$AB113,INDEX(SSM,DJ108,5)&gt;=$S107,INDEX(SSM,DJ108,6)&gt;=$R107),1,0)</f>
        <v>#N/A</v>
      </c>
      <c r="DL108" s="4" t="e">
        <f t="shared" ref="DL108" ca="1" si="1310">MATCH(1,OFFSET(DK107:DK118,DM107,0,COUNT(DK107:DK118)-DM107),0)</f>
        <v>#REF!</v>
      </c>
      <c r="DM108" s="4" t="e">
        <f t="shared" ref="DM108:DM118" ca="1" si="1311">DL108+DM107</f>
        <v>#REF!</v>
      </c>
      <c r="DN108" s="692" t="str">
        <f ca="1">IFERROR(IF(AD114="Nested Steel Stud (wood infill)",VLOOKUP(INDEX(DJ107:DJ118,DM108),SSW,2,FALSE),VLOOKUP(INDEX(DJ107:DJ118,DM108),SSM,2,FALSE)),"----")</f>
        <v>----</v>
      </c>
      <c r="DO108" s="691" t="e">
        <f t="shared" ref="DO108:DO118" ca="1" si="1312">DO107-1</f>
        <v>#N/A</v>
      </c>
      <c r="DP108" s="4" t="e">
        <f ca="1">IF(AND(INDEX(WSM,DO108,4)&gt;=$AB113,INDEX(WSM,DO108,5)&gt;=$S107,INDEX(WSM,DO108,6)&gt;=$R107),1,0)</f>
        <v>#N/A</v>
      </c>
      <c r="DQ108" s="4" t="e">
        <f t="shared" ref="DQ108" ca="1" si="1313">MATCH(1,OFFSET(DP107:DP118,DR107,0,COUNT(DP107:DP118)-DR107),0)</f>
        <v>#REF!</v>
      </c>
      <c r="DR108" s="4" t="e">
        <f t="shared" ref="DR108:DR118" ca="1" si="1314">DQ108+DR107</f>
        <v>#REF!</v>
      </c>
      <c r="DS108" s="692" t="str">
        <f ca="1">IFERROR(VLOOKUP(INDEX(DO107:DO118,DR108),WSM,2,FALSE),"----")</f>
        <v>----</v>
      </c>
      <c r="DT108" s="691" t="e">
        <f t="shared" ref="DT108:DT118" ca="1" si="1315">DT107-1</f>
        <v>#N/A</v>
      </c>
      <c r="DU108" s="4" t="e">
        <f ca="1">IF(AND(INDEX(STM,DT108,4)&gt;=$AB113,INDEX(STM,DT108,5)&gt;=$S107,INDEX(STM,DT108,6)&gt;=$R107),1,0)</f>
        <v>#N/A</v>
      </c>
      <c r="DV108" s="4" t="e">
        <f t="shared" ref="DV108" ca="1" si="1316">MATCH(1,OFFSET(DU107:DU118,DW107,0,COUNT(DU107:DU118)-DW107),0)</f>
        <v>#REF!</v>
      </c>
      <c r="DW108" s="4" t="e">
        <f t="shared" ref="DW108:DW118" ca="1" si="1317">DV108+DW107</f>
        <v>#REF!</v>
      </c>
      <c r="DX108" s="692" t="str">
        <f ca="1">IFERROR(VLOOKUP(INDEX(DT107:DT118,DW108),STM,2,FALSE),"----")</f>
        <v>----</v>
      </c>
      <c r="DY108" s="691" t="e">
        <f t="shared" ref="DY108:DY118" ca="1" si="1318">DY107-1</f>
        <v>#N/A</v>
      </c>
      <c r="DZ108" s="4" t="e">
        <f ca="1">IF(AND(INDEX(ELM,DY108,4)&gt;=$AB113,INDEX(ELM,DY108,5)&gt;=$S107,INDEX(ELM,DY108,6)&gt;=$R107),1,0)</f>
        <v>#N/A</v>
      </c>
      <c r="EA108" s="4" t="e">
        <f t="shared" ref="EA108" ca="1" si="1319">MATCH(1,OFFSET(DZ107:DZ118,EB107,0,COUNT(DZ107:DZ118)-EB107),0)</f>
        <v>#REF!</v>
      </c>
      <c r="EB108" s="4" t="e">
        <f t="shared" ref="EB108:EB118" ca="1" si="1320">EA108+EB107</f>
        <v>#REF!</v>
      </c>
      <c r="EC108" s="692" t="str">
        <f ca="1">IFERROR(VLOOKUP(INDEX(DY107:DY118,EB108),ELM,2,FALSE),"----")</f>
        <v>----</v>
      </c>
      <c r="ED108" s="691" t="e">
        <f t="shared" ref="ED108:ED118" ca="1" si="1321">ED107-1</f>
        <v>#N/A</v>
      </c>
      <c r="EE108" s="4" t="e">
        <f ca="1">IF(LEFT($J107,7)="Clad Wo",IF(AND(INDEX(SPPWS,ED108,4)&gt;=$AB113,INDEX(SPPWS,ED108,5)&gt;=$S107,INDEX(SPPWS,ED108,6)&gt;=$R107),1,0),IF(AND(INDEX(SPM,ED108,4)&gt;=$AB113,INDEX(SPM,ED108,5)&gt;=$S107,INDEX(SPM,ED108,6)&gt;=$R107),1,0))</f>
        <v>#N/A</v>
      </c>
      <c r="EF108" s="4" t="e">
        <f t="shared" ref="EF108" ca="1" si="1322">MATCH(1,OFFSET(EE107:EE118,EG107,0,COUNT(EE107:EE118)-EG107),0)</f>
        <v>#REF!</v>
      </c>
      <c r="EG108" s="4" t="e">
        <f t="shared" ref="EG108:EG118" ca="1" si="1323">EG107+EF108</f>
        <v>#REF!</v>
      </c>
      <c r="EH108" s="692" t="str">
        <f ca="1">IF(LEFT($J107,7)="Clad Wo",IFERROR(VLOOKUP(INDEX(ED107:ED118,EG108),SPPWS,2,FALSE),"----"),IFERROR(VLOOKUP(INDEX(ED107:ED118,EG108),SPM,2,FALSE),"----"))</f>
        <v>----</v>
      </c>
    </row>
    <row r="109" spans="1:138" ht="15" customHeight="1" x14ac:dyDescent="0.25">
      <c r="A109" s="1085"/>
      <c r="B109" s="925"/>
      <c r="C109" s="926"/>
      <c r="D109" s="927"/>
      <c r="E109" s="995"/>
      <c r="F109" s="996"/>
      <c r="G109" s="997"/>
      <c r="H109" s="1062"/>
      <c r="I109" s="990"/>
      <c r="J109" s="908"/>
      <c r="K109" s="909"/>
      <c r="L109" s="1002"/>
      <c r="M109" s="923"/>
      <c r="N109" s="1042"/>
      <c r="O109" s="1018"/>
      <c r="P109" s="987"/>
      <c r="Q109" s="1015"/>
      <c r="R109" s="1012"/>
      <c r="S109" s="1006"/>
      <c r="T109" s="1007"/>
      <c r="U109" s="878"/>
      <c r="V109" s="881"/>
      <c r="W109" s="884"/>
      <c r="X109" s="884"/>
      <c r="Y109" s="887"/>
      <c r="Z109" s="887"/>
      <c r="AA109" s="887"/>
      <c r="AB109" s="1081"/>
      <c r="AC109" s="1078"/>
      <c r="AD109" s="1070" t="s">
        <v>333</v>
      </c>
      <c r="AE109" s="1071"/>
      <c r="AF109" s="1052"/>
      <c r="AG109" s="1053"/>
      <c r="AH109" s="1053"/>
      <c r="AI109" s="1066"/>
      <c r="AJ109" s="1067"/>
      <c r="AK109" s="154" t="str">
        <f t="shared" ca="1" si="1130"/>
        <v/>
      </c>
      <c r="AL109" s="1039"/>
      <c r="AM109" s="344" t="str">
        <f ca="1">IFERROR(Q107/12*ROUND(VLOOKUP(AF109,OFFSET(WSM,0,1),6,FALSE),2),"")</f>
        <v/>
      </c>
      <c r="AN109" t="str">
        <f t="shared" ca="1" si="1154"/>
        <v/>
      </c>
      <c r="AP109" s="122" t="str">
        <f t="shared" ref="AP109" si="1324">_xlfn.CONCAT(AR109,AS112)</f>
        <v/>
      </c>
      <c r="AQ109" s="683" t="str">
        <f t="shared" si="65"/>
        <v/>
      </c>
      <c r="AR109" s="4" t="str">
        <f t="shared" si="1114"/>
        <v/>
      </c>
      <c r="AS109" s="4"/>
      <c r="AT109" s="697" t="str">
        <f>AL107</f>
        <v/>
      </c>
      <c r="AU109" s="694" t="e">
        <f t="shared" ca="1" si="91"/>
        <v>#REF!</v>
      </c>
      <c r="AV109" s="686" t="str">
        <f ca="1">IFERROR(VLOOKUP(AU109,INDIRECT(AQ107),2,FALSE),"----")</f>
        <v>----</v>
      </c>
      <c r="AW109" s="694" t="e">
        <f t="shared" ca="1" si="1277"/>
        <v>#REF!</v>
      </c>
      <c r="AX109" s="686" t="str">
        <f ca="1">IFERROR(VLOOKUP(AW109,INDIRECT(AQ108),2,FALSE),"----")</f>
        <v>----</v>
      </c>
      <c r="AY109" s="694" t="e">
        <f t="shared" ca="1" si="1278"/>
        <v>#REF!</v>
      </c>
      <c r="AZ109" s="686" t="str">
        <f ca="1">IFERROR(VLOOKUP(AY109,INDIRECT(AQ109),2,FALSE),"----")</f>
        <v>----</v>
      </c>
      <c r="BA109" s="694" t="e">
        <f t="shared" ca="1" si="1279"/>
        <v>#REF!</v>
      </c>
      <c r="BB109" s="686" t="str">
        <f ca="1">IFERROR(VLOOKUP(BA109,INDIRECT(AQ110),2,FALSE),"----")</f>
        <v>----</v>
      </c>
      <c r="BC109" s="694" t="e">
        <f t="shared" ca="1" si="1280"/>
        <v>#REF!</v>
      </c>
      <c r="BD109" s="686" t="str">
        <f ca="1">IFERROR(VLOOKUP(BC109,INDIRECT(AQ111),2,FALSE),"----")</f>
        <v>----</v>
      </c>
      <c r="BE109" s="694" t="e">
        <f t="shared" ca="1" si="96"/>
        <v>#REF!</v>
      </c>
      <c r="BF109" s="686" t="str">
        <f ca="1">IFERROR(VLOOKUP(BE109,INDIRECT(AQ112),2,FALSE),"----")</f>
        <v>----</v>
      </c>
      <c r="BG109" s="694" t="e">
        <f t="shared" ca="1" si="97"/>
        <v>#REF!</v>
      </c>
      <c r="BH109" s="686" t="str">
        <f ca="1">IFERROR(VLOOKUP(BG109,INDIRECT(AQ113),2,FALSE),"----")</f>
        <v>----</v>
      </c>
      <c r="BI109" s="694" t="e">
        <f t="shared" ca="1" si="1283"/>
        <v>#REF!</v>
      </c>
      <c r="BJ109" s="686" t="str">
        <f ca="1">IFERROR(VLOOKUP(BI109,INDIRECT(AQ114),2,FALSE),"----")</f>
        <v>----</v>
      </c>
      <c r="BK109" s="694" t="e">
        <f t="shared" ca="1" si="1284"/>
        <v>#REF!</v>
      </c>
      <c r="BL109" s="686" t="str">
        <f ca="1">IFERROR(VLOOKUP(BK109,INDIRECT(AQ115),2,FALSE),"----")</f>
        <v>----</v>
      </c>
      <c r="BM109" s="694" t="e">
        <f t="shared" ca="1" si="1285"/>
        <v>#REF!</v>
      </c>
      <c r="BN109" s="686" t="str">
        <f ca="1">IFERROR(VLOOKUP(BM109,INDIRECT(AQ116),2,FALSE),"----")</f>
        <v>----</v>
      </c>
      <c r="BO109" s="694" t="e">
        <f t="shared" ca="1" si="1286"/>
        <v>#REF!</v>
      </c>
      <c r="BP109" s="686" t="str">
        <f ca="1">IFERROR(VLOOKUP(BO109,INDIRECT(AQ117),2,FALSE),"----")</f>
        <v>----</v>
      </c>
      <c r="BQ109" s="694" t="e">
        <f t="shared" ca="1" si="102"/>
        <v>#REF!</v>
      </c>
      <c r="BR109" s="686" t="str">
        <f ca="1">IFERROR(VLOOKUP(BQ109,INDIRECT(AQ118),2,FALSE),"----")</f>
        <v>----</v>
      </c>
      <c r="BS109" s="695">
        <f>IF(AI109="",1,IF(COUNTIF(AZ107:AZ118,AI109)=0,2,1))</f>
        <v>1</v>
      </c>
      <c r="BT109" s="696">
        <f>IF(AF109="",1,IF(AZ107=".",2,1))</f>
        <v>1</v>
      </c>
      <c r="BU109" s="706"/>
      <c r="BV109" s="155">
        <f ca="1">IF(COUNTIF(CO107:CO118,AF109)=0,IF(AF109&lt;&gt;"",0,1),1)</f>
        <v>1</v>
      </c>
      <c r="BW109" s="157">
        <f ca="1">IFERROR(MATCH(AF109,CO107:CO118,0),1)</f>
        <v>1</v>
      </c>
      <c r="BX109" s="769"/>
      <c r="BY109" s="769"/>
      <c r="BZ109" s="1110"/>
      <c r="CA109" s="691" t="e">
        <f t="shared" ca="1" si="1288"/>
        <v>#REF!</v>
      </c>
      <c r="CB109" s="4" t="e" cm="1">
        <f t="array" aca="1" ref="CB109" ca="1">IF(AND(INDEX(INDIRECT(BY107),CA109,4)&gt;=$AB107,INDEX(INDIRECT(BY107),CA109,5)&gt;=$S107,INDEX(INDIRECT(BY107),CA109,6)&gt;=$R107),1,0)</f>
        <v>#REF!</v>
      </c>
      <c r="CC109" s="4" t="e">
        <f t="shared" ref="CC109" ca="1" si="1325">MATCH(1,OFFSET(CB107:CB118,CD108,0,COUNT(CB107:CB118)-CD108),0)</f>
        <v>#REF!</v>
      </c>
      <c r="CD109" s="4" t="e">
        <f t="shared" ca="1" si="1290"/>
        <v>#REF!</v>
      </c>
      <c r="CE109" s="692" t="str" cm="1">
        <f t="array" aca="1" ref="CE109" ca="1">IFERROR(VLOOKUP(INDEX(CA107:CA118,CD109),INDIRECT(BY107),2,FALSE),"----")</f>
        <v>----</v>
      </c>
      <c r="CF109" s="691" t="e">
        <f t="shared" ca="1" si="1291"/>
        <v>#N/A</v>
      </c>
      <c r="CG109" s="4" t="e">
        <f ca="1">IF(AND(INDEX(SSM,CF109,4)&gt;=$AB107,INDEX(SSM,CF109,5)&gt;=$S107,INDEX(SSM,CF109,6)&gt;=$R107),1,0)</f>
        <v>#N/A</v>
      </c>
      <c r="CH109" s="4" t="e">
        <f t="shared" ref="CH109" ca="1" si="1326">MATCH(1,OFFSET(CG107:CG118,CI108,0,COUNT(CG107:CG118)-CI108),0)</f>
        <v>#REF!</v>
      </c>
      <c r="CI109" s="4" t="e">
        <f t="shared" ca="1" si="1293"/>
        <v>#REF!</v>
      </c>
      <c r="CJ109" s="692" t="str">
        <f ca="1">IFERROR(IF(AD108="Nested Steel Stud (wood infill)",VLOOKUP(INDEX(CF107:CF118,CI109),SSW,2,FALSE),VLOOKUP(INDEX(CF107:CF118,CI109),SSM,2,FALSE)),"----")</f>
        <v>----</v>
      </c>
      <c r="CK109" s="691" t="e">
        <f t="shared" ca="1" si="1294"/>
        <v>#N/A</v>
      </c>
      <c r="CL109" s="4" t="e">
        <f ca="1">IF(AND(INDEX(WSM,CK109,4)&gt;=$AB107,INDEX(WSM,CK109,5)&gt;=$S107,INDEX(WSM,CK109,6)&gt;=$R107),1,0)</f>
        <v>#N/A</v>
      </c>
      <c r="CM109" s="4" t="e">
        <f t="shared" ref="CM109" ca="1" si="1327">MATCH(1,OFFSET(CL107:CL118,CN108,0,COUNT(CL107:CL118)-CN108),0)</f>
        <v>#REF!</v>
      </c>
      <c r="CN109" s="4" t="e">
        <f t="shared" ca="1" si="1296"/>
        <v>#REF!</v>
      </c>
      <c r="CO109" s="692" t="str">
        <f ca="1">IFERROR(VLOOKUP(INDEX(CK107:CK118,CN109),WSM,2,FALSE),"----")</f>
        <v>----</v>
      </c>
      <c r="CP109" s="691" t="e">
        <f t="shared" ca="1" si="1297"/>
        <v>#N/A</v>
      </c>
      <c r="CQ109" s="4" t="e">
        <f ca="1">IF(AND(INDEX(STM,CP109,4)&gt;=$AB107,INDEX(STM,CP109,5)&gt;=$S107,INDEX(STM,CP109,6)&gt;=$R107),1,0)</f>
        <v>#N/A</v>
      </c>
      <c r="CR109" s="4" t="e">
        <f t="shared" ref="CR109" ca="1" si="1328">MATCH(1,OFFSET(CQ107:CQ118,CS108,0,COUNT(CQ107:CQ118)-CS108),0)</f>
        <v>#REF!</v>
      </c>
      <c r="CS109" s="4" t="e">
        <f t="shared" ca="1" si="1299"/>
        <v>#REF!</v>
      </c>
      <c r="CT109" s="692" t="str">
        <f ca="1">IFERROR(VLOOKUP(INDEX(CP107:CP118,CS109),STM,2,FALSE),"----")</f>
        <v>----</v>
      </c>
      <c r="CU109" s="691" t="e">
        <f t="shared" ca="1" si="1300"/>
        <v>#N/A</v>
      </c>
      <c r="CV109" s="4" t="e">
        <f ca="1">IF(AND(INDEX(ELM,CU109,4)&gt;=$AB107,INDEX(ELM,CU109,5)&gt;=$S107,INDEX(ELM,CU109,6)&gt;=$R107),1,0)</f>
        <v>#N/A</v>
      </c>
      <c r="CW109" s="4" t="e">
        <f t="shared" ref="CW109" ca="1" si="1329">MATCH(1,OFFSET(CV107:CV118,CX108,0,COUNT(CV107:CV118)-CX108),0)</f>
        <v>#REF!</v>
      </c>
      <c r="CX109" s="4" t="e">
        <f t="shared" ca="1" si="1302"/>
        <v>#REF!</v>
      </c>
      <c r="CY109" s="692" t="str">
        <f ca="1">IFERROR(VLOOKUP(INDEX(CU107:CU118,CX109),ELM,2,FALSE),"----")</f>
        <v>----</v>
      </c>
      <c r="CZ109" s="691" t="e">
        <f t="shared" ca="1" si="1303"/>
        <v>#N/A</v>
      </c>
      <c r="DA109" s="4" t="e">
        <f ca="1">IF(LEFT($J107,7)="Clad Wo",IF(AND(INDEX(SPPWS,CZ109,4)&gt;=$AB107,INDEX(SPPWS,CZ109,5)&gt;=$S107,INDEX(SPPWS,CZ109,6)&gt;=$R107),1,0),IF(AND(INDEX(SPM,CZ109,4)&gt;=$AB107,INDEX(SPM,CZ109,5)&gt;=$S107,INDEX(SPM,CZ109,6)&gt;=$R107),1,0))</f>
        <v>#N/A</v>
      </c>
      <c r="DB109" s="4" t="e">
        <f t="shared" ref="DB109" ca="1" si="1330">MATCH(1,OFFSET(DA107:DA118,DC108,0,COUNT(DA107:DA118)-DC108),0)</f>
        <v>#REF!</v>
      </c>
      <c r="DC109" s="4" t="e">
        <f t="shared" ca="1" si="1305"/>
        <v>#REF!</v>
      </c>
      <c r="DD109" s="693" t="str">
        <f ca="1">IF(LEFT($J107,7)="Clad Wo",IFERROR(VLOOKUP(INDEX(CZ107:CZ118,DC109),SPPWS,2,FALSE),"----"),IFERROR(VLOOKUP(INDEX(CZ107:CZ118,DC109),SPM,2,FALSE),"----"))</f>
        <v>----</v>
      </c>
      <c r="DE109" s="691" t="e">
        <f t="shared" ca="1" si="1306"/>
        <v>#REF!</v>
      </c>
      <c r="DF109" s="4" t="e" cm="1">
        <f t="array" aca="1" ref="DF109" ca="1">IF(AND(INDEX(INDIRECT(BY107),DE109,4)&gt;=$AB113,INDEX(INDIRECT(BY107),DE109,5)&gt;=$S107,INDEX(INDIRECT(BY107),DE109,6)&gt;=$R107),1,0)</f>
        <v>#REF!</v>
      </c>
      <c r="DG109" s="4" t="e">
        <f t="shared" ref="DG109" ca="1" si="1331">MATCH(1,OFFSET(DF107:DF118,DH108,0,COUNT(DF107:DF118)-DH108),0)</f>
        <v>#REF!</v>
      </c>
      <c r="DH109" s="4" t="e">
        <f t="shared" ca="1" si="1308"/>
        <v>#REF!</v>
      </c>
      <c r="DI109" s="692" t="str" cm="1">
        <f t="array" aca="1" ref="DI109" ca="1">IFERROR(VLOOKUP(INDEX(DE107:DE118,DH109),INDIRECT(BY107),2,FALSE),"----")</f>
        <v>----</v>
      </c>
      <c r="DJ109" s="691" t="e">
        <f t="shared" ca="1" si="1309"/>
        <v>#N/A</v>
      </c>
      <c r="DK109" s="4" t="e">
        <f ca="1">IF(AND(INDEX(SSM,DJ109,4)&gt;=$AB113,INDEX(SSM,DJ109,5)&gt;=$S107,INDEX(SSM,DJ109,6)&gt;=$R107),1,0)</f>
        <v>#N/A</v>
      </c>
      <c r="DL109" s="4" t="e">
        <f t="shared" ref="DL109" ca="1" si="1332">MATCH(1,OFFSET(DK107:DK118,DM108,0,COUNT(DK107:DK118)-DM108),0)</f>
        <v>#REF!</v>
      </c>
      <c r="DM109" s="4" t="e">
        <f t="shared" ca="1" si="1311"/>
        <v>#REF!</v>
      </c>
      <c r="DN109" s="692" t="str">
        <f ca="1">IFERROR(IF(AD114="Nested Steel Stud (wood infill)",VLOOKUP(INDEX(DJ107:DJ118,DM109),SSW,2,FALSE),VLOOKUP(INDEX(DJ107:DJ118,DM109),SSM,2,FALSE)),"----")</f>
        <v>----</v>
      </c>
      <c r="DO109" s="691" t="e">
        <f t="shared" ca="1" si="1312"/>
        <v>#N/A</v>
      </c>
      <c r="DP109" s="4" t="e">
        <f ca="1">IF(AND(INDEX(WSM,DO109,4)&gt;=$AB113,INDEX(WSM,DO109,5)&gt;=$S107,INDEX(WSM,DO109,6)&gt;=$R107),1,0)</f>
        <v>#N/A</v>
      </c>
      <c r="DQ109" s="4" t="e">
        <f t="shared" ref="DQ109" ca="1" si="1333">MATCH(1,OFFSET(DP107:DP118,DR108,0,COUNT(DP107:DP118)-DR108),0)</f>
        <v>#REF!</v>
      </c>
      <c r="DR109" s="4" t="e">
        <f t="shared" ca="1" si="1314"/>
        <v>#REF!</v>
      </c>
      <c r="DS109" s="692" t="str">
        <f ca="1">IFERROR(VLOOKUP(INDEX(DO107:DO118,DR109),WSM,2,FALSE),"----")</f>
        <v>----</v>
      </c>
      <c r="DT109" s="691" t="e">
        <f t="shared" ca="1" si="1315"/>
        <v>#N/A</v>
      </c>
      <c r="DU109" s="4" t="e">
        <f ca="1">IF(AND(INDEX(STM,DT109,4)&gt;=$AB113,INDEX(STM,DT109,5)&gt;=$S107,INDEX(STM,DT109,6)&gt;=$R107),1,0)</f>
        <v>#N/A</v>
      </c>
      <c r="DV109" s="4" t="e">
        <f t="shared" ref="DV109" ca="1" si="1334">MATCH(1,OFFSET(DU107:DU118,DW108,0,COUNT(DU107:DU118)-DW108),0)</f>
        <v>#REF!</v>
      </c>
      <c r="DW109" s="4" t="e">
        <f t="shared" ca="1" si="1317"/>
        <v>#REF!</v>
      </c>
      <c r="DX109" s="692" t="str">
        <f ca="1">IFERROR(VLOOKUP(INDEX(DT107:DT118,DW109),STM,2,FALSE),"----")</f>
        <v>----</v>
      </c>
      <c r="DY109" s="691" t="e">
        <f t="shared" ca="1" si="1318"/>
        <v>#N/A</v>
      </c>
      <c r="DZ109" s="4" t="e">
        <f ca="1">IF(AND(INDEX(ELM,DY109,4)&gt;=$AB113,INDEX(ELM,DY109,5)&gt;=$S107,INDEX(ELM,DY109,6)&gt;=$R107),1,0)</f>
        <v>#N/A</v>
      </c>
      <c r="EA109" s="4" t="e">
        <f t="shared" ref="EA109" ca="1" si="1335">MATCH(1,OFFSET(DZ107:DZ118,EB108,0,COUNT(DZ107:DZ118)-EB108),0)</f>
        <v>#REF!</v>
      </c>
      <c r="EB109" s="4" t="e">
        <f t="shared" ca="1" si="1320"/>
        <v>#REF!</v>
      </c>
      <c r="EC109" s="692" t="str">
        <f ca="1">IFERROR(VLOOKUP(INDEX(DY107:DY118,EB109),ELM,2,FALSE),"----")</f>
        <v>----</v>
      </c>
      <c r="ED109" s="691" t="e">
        <f t="shared" ca="1" si="1321"/>
        <v>#N/A</v>
      </c>
      <c r="EE109" s="4" t="e">
        <f ca="1">IF(LEFT($J107,7)="Clad Wo",IF(AND(INDEX(SPPWS,ED109,4)&gt;=$AB113,INDEX(SPPWS,ED109,5)&gt;=$S107,INDEX(SPPWS,ED109,6)&gt;=$R107),1,0),IF(AND(INDEX(SPM,ED109,4)&gt;=$AB113,INDEX(SPM,ED109,5)&gt;=$S107,INDEX(SPM,ED109,6)&gt;=$R107),1,0))</f>
        <v>#N/A</v>
      </c>
      <c r="EF109" s="4" t="e">
        <f t="shared" ref="EF109" ca="1" si="1336">MATCH(1,OFFSET(EE107:EE118,EG108,0,COUNT(EE107:EE118)-EG108),0)</f>
        <v>#REF!</v>
      </c>
      <c r="EG109" s="4" t="e">
        <f t="shared" ca="1" si="1323"/>
        <v>#REF!</v>
      </c>
      <c r="EH109" s="692" t="str">
        <f ca="1">IF(LEFT($J107,7)="Clad Wo",IFERROR(VLOOKUP(INDEX(ED107:ED118,EG109),SPPWS,2,FALSE),"----"),IFERROR(VLOOKUP(INDEX(ED107:ED118,EG109),SPM,2,FALSE),"----"))</f>
        <v>----</v>
      </c>
    </row>
    <row r="110" spans="1:138" ht="15" customHeight="1" x14ac:dyDescent="0.25">
      <c r="A110" s="1085"/>
      <c r="B110" s="925"/>
      <c r="C110" s="926"/>
      <c r="D110" s="927"/>
      <c r="E110" s="995"/>
      <c r="F110" s="996"/>
      <c r="G110" s="997"/>
      <c r="H110" s="1062"/>
      <c r="I110" s="990"/>
      <c r="J110" s="908"/>
      <c r="K110" s="909"/>
      <c r="L110" s="1002"/>
      <c r="M110" s="923"/>
      <c r="N110" s="1042"/>
      <c r="O110" s="1018"/>
      <c r="P110" s="987"/>
      <c r="Q110" s="1015"/>
      <c r="R110" s="1012"/>
      <c r="S110" s="1006"/>
      <c r="T110" s="1007"/>
      <c r="U110" s="878"/>
      <c r="V110" s="881"/>
      <c r="W110" s="884"/>
      <c r="X110" s="884"/>
      <c r="Y110" s="887"/>
      <c r="Z110" s="887"/>
      <c r="AA110" s="887"/>
      <c r="AB110" s="1081"/>
      <c r="AC110" s="1078"/>
      <c r="AD110" s="1070" t="s">
        <v>37</v>
      </c>
      <c r="AE110" s="1071"/>
      <c r="AF110" s="1052"/>
      <c r="AG110" s="1053"/>
      <c r="AH110" s="1053"/>
      <c r="AI110" s="1066"/>
      <c r="AJ110" s="1067"/>
      <c r="AK110" s="156" t="str">
        <f t="shared" ca="1" si="1130"/>
        <v/>
      </c>
      <c r="AL110" s="1039"/>
      <c r="AM110" s="343" t="str">
        <f ca="1">IFERROR(Q107/12*ROUND(VLOOKUP(AF110,OFFSET(STM,0,1),6,FALSE),2),"")</f>
        <v/>
      </c>
      <c r="AN110" t="str">
        <f t="shared" ca="1" si="1154"/>
        <v/>
      </c>
      <c r="AP110" s="122" t="str">
        <f t="shared" ref="AP110" si="1337">_xlfn.CONCAT(AR110,AS112)</f>
        <v/>
      </c>
      <c r="AQ110" s="683" t="str">
        <f t="shared" si="65"/>
        <v/>
      </c>
      <c r="AR110" s="4" t="str">
        <f t="shared" si="1114"/>
        <v/>
      </c>
      <c r="AS110" s="4"/>
      <c r="AT110" s="697" t="str">
        <f>AL107</f>
        <v/>
      </c>
      <c r="AU110" s="694" t="e">
        <f t="shared" ca="1" si="91"/>
        <v>#REF!</v>
      </c>
      <c r="AV110" s="686" t="str">
        <f ca="1">IFERROR(VLOOKUP(AU110,INDIRECT(AQ107),2,FALSE),"----")</f>
        <v>----</v>
      </c>
      <c r="AW110" s="694" t="e">
        <f t="shared" ca="1" si="92"/>
        <v>#REF!</v>
      </c>
      <c r="AX110" s="686" t="str">
        <f ca="1">IFERROR(VLOOKUP(AW110,INDIRECT(AQ108),2,FALSE),"----")</f>
        <v>----</v>
      </c>
      <c r="AY110" s="694" t="e">
        <f t="shared" ref="AY110" ca="1" si="1338">AY109-1</f>
        <v>#REF!</v>
      </c>
      <c r="AZ110" s="686" t="str">
        <f ca="1">IFERROR(VLOOKUP(AY110,INDIRECT(AQ109),2,FALSE),"----")</f>
        <v>----</v>
      </c>
      <c r="BA110" s="694" t="e">
        <f t="shared" ref="BA110" ca="1" si="1339">BA109-1</f>
        <v>#REF!</v>
      </c>
      <c r="BB110" s="686" t="str">
        <f ca="1">IFERROR(VLOOKUP(BA110,INDIRECT(AQ110),2,FALSE),"----")</f>
        <v>----</v>
      </c>
      <c r="BC110" s="694" t="e">
        <f t="shared" ca="1" si="95"/>
        <v>#REF!</v>
      </c>
      <c r="BD110" s="686" t="str">
        <f ca="1">IFERROR(VLOOKUP(BC110,INDIRECT(AQ111),2,FALSE),"----")</f>
        <v>----</v>
      </c>
      <c r="BE110" s="694" t="e">
        <f t="shared" ca="1" si="96"/>
        <v>#REF!</v>
      </c>
      <c r="BF110" s="686" t="str">
        <f ca="1">IFERROR(VLOOKUP(BE110,INDIRECT(AQ112),2,FALSE),"----")</f>
        <v>----</v>
      </c>
      <c r="BG110" s="694" t="e">
        <f t="shared" ca="1" si="97"/>
        <v>#REF!</v>
      </c>
      <c r="BH110" s="686" t="str">
        <f ca="1">IFERROR(VLOOKUP(BG110,INDIRECT(AQ113),2,FALSE),"----")</f>
        <v>----</v>
      </c>
      <c r="BI110" s="694" t="e">
        <f t="shared" ca="1" si="98"/>
        <v>#REF!</v>
      </c>
      <c r="BJ110" s="686" t="str">
        <f ca="1">IFERROR(VLOOKUP(BI110,INDIRECT(AQ114),2,FALSE),"----")</f>
        <v>----</v>
      </c>
      <c r="BK110" s="694" t="e">
        <f t="shared" ca="1" si="99"/>
        <v>#REF!</v>
      </c>
      <c r="BL110" s="686" t="str">
        <f ca="1">IFERROR(VLOOKUP(BK110,INDIRECT(AQ115),2,FALSE),"----")</f>
        <v>----</v>
      </c>
      <c r="BM110" s="694" t="e">
        <f t="shared" ca="1" si="100"/>
        <v>#REF!</v>
      </c>
      <c r="BN110" s="686" t="str">
        <f ca="1">IFERROR(VLOOKUP(BM110,INDIRECT(AQ116),2,FALSE),"----")</f>
        <v>----</v>
      </c>
      <c r="BO110" s="694" t="e">
        <f t="shared" ca="1" si="101"/>
        <v>#REF!</v>
      </c>
      <c r="BP110" s="686" t="str">
        <f ca="1">IFERROR(VLOOKUP(BO110,INDIRECT(AQ117),2,FALSE),"----")</f>
        <v>----</v>
      </c>
      <c r="BQ110" s="694" t="e">
        <f t="shared" ca="1" si="102"/>
        <v>#REF!</v>
      </c>
      <c r="BR110" s="686" t="str">
        <f ca="1">IFERROR(VLOOKUP(BQ110,INDIRECT(AQ118),2,FALSE),"----")</f>
        <v>----</v>
      </c>
      <c r="BS110" s="695">
        <f>IF(AI110="",1,IF(COUNTIF(BB107:BB118,AI110)=0,2,1))</f>
        <v>1</v>
      </c>
      <c r="BT110" s="696">
        <f>IF(AF110="",1,IF(BB107=".",2,1))</f>
        <v>1</v>
      </c>
      <c r="BU110" s="706"/>
      <c r="BV110" s="155">
        <f ca="1">IF(COUNTIF(CT107:CT118,AF110)=0,IF(AF110&lt;&gt;"",0,1),1)</f>
        <v>1</v>
      </c>
      <c r="BW110" s="157">
        <f ca="1">IFERROR(MATCH(AF110,CT107:CT118,0),1)</f>
        <v>1</v>
      </c>
      <c r="BX110" s="769"/>
      <c r="BY110" s="769"/>
      <c r="BZ110" s="1110"/>
      <c r="CA110" s="691" t="e">
        <f t="shared" ca="1" si="1288"/>
        <v>#REF!</v>
      </c>
      <c r="CB110" s="4" t="e" cm="1">
        <f t="array" aca="1" ref="CB110" ca="1">IF(AND(INDEX(INDIRECT(BY107),CA110,4)&gt;=$AB107,INDEX(INDIRECT(BY107),CA110,5)&gt;=$S107,INDEX(INDIRECT(BY107),CA110,6)&gt;=$R107),1,0)</f>
        <v>#REF!</v>
      </c>
      <c r="CC110" s="4" t="e">
        <f t="shared" ref="CC110" ca="1" si="1340">MATCH(1,OFFSET(CB107:CB118,CD109,0,COUNT(CB107:CB118)-CD109),0)</f>
        <v>#REF!</v>
      </c>
      <c r="CD110" s="4" t="e">
        <f t="shared" ca="1" si="1290"/>
        <v>#REF!</v>
      </c>
      <c r="CE110" s="692" t="str" cm="1">
        <f t="array" aca="1" ref="CE110" ca="1">IFERROR(VLOOKUP(INDEX(CA107:CA118,CD110),INDIRECT(BY107),2,FALSE),"----")</f>
        <v>----</v>
      </c>
      <c r="CF110" s="691" t="e">
        <f t="shared" ca="1" si="1291"/>
        <v>#N/A</v>
      </c>
      <c r="CG110" s="4" t="e">
        <f ca="1">IF(AND(INDEX(SSM,CF110,4)&gt;=$AB107,INDEX(SSM,CF110,5)&gt;=$S107,INDEX(SSM,CF110,6)&gt;=$R107),1,0)</f>
        <v>#N/A</v>
      </c>
      <c r="CH110" s="4" t="e">
        <f t="shared" ref="CH110" ca="1" si="1341">MATCH(1,OFFSET(CG107:CG118,CI109,0,COUNT(CG107:CG118)-CI109),0)</f>
        <v>#REF!</v>
      </c>
      <c r="CI110" s="4" t="e">
        <f t="shared" ca="1" si="1293"/>
        <v>#REF!</v>
      </c>
      <c r="CJ110" s="692" t="str">
        <f ca="1">IFERROR(IF(AD108="Nested Steel Stud (wood infill)",VLOOKUP(INDEX(CF107:CF118,CI110),SSW,2,FALSE),VLOOKUP(INDEX(CF107:CF118,CI110),SSM,2,FALSE)),"----")</f>
        <v>----</v>
      </c>
      <c r="CK110" s="691" t="e">
        <f t="shared" ca="1" si="1294"/>
        <v>#N/A</v>
      </c>
      <c r="CL110" s="4" t="e">
        <f ca="1">IF(AND(INDEX(WSM,CK110,4)&gt;=$AB107,INDEX(WSM,CK110,5)&gt;=$S107,INDEX(WSM,CK110,6)&gt;=$R107),1,0)</f>
        <v>#N/A</v>
      </c>
      <c r="CM110" s="4" t="e">
        <f t="shared" ref="CM110" ca="1" si="1342">MATCH(1,OFFSET(CL107:CL118,CN109,0,COUNT(CL107:CL118)-CN109),0)</f>
        <v>#REF!</v>
      </c>
      <c r="CN110" s="4" t="e">
        <f t="shared" ca="1" si="1296"/>
        <v>#REF!</v>
      </c>
      <c r="CO110" s="692" t="str">
        <f ca="1">IFERROR(VLOOKUP(INDEX(CK107:CK118,CN110),WSM,2,FALSE),"----")</f>
        <v>----</v>
      </c>
      <c r="CP110" s="691" t="e">
        <f t="shared" ca="1" si="1297"/>
        <v>#N/A</v>
      </c>
      <c r="CQ110" s="4" t="e">
        <f ca="1">IF(AND(INDEX(STM,CP110,4)&gt;=$AB107,INDEX(STM,CP110,5)&gt;=$S107,INDEX(STM,CP110,6)&gt;=$R107),1,0)</f>
        <v>#N/A</v>
      </c>
      <c r="CR110" s="4" t="e">
        <f t="shared" ref="CR110" ca="1" si="1343">MATCH(1,OFFSET(CQ107:CQ118,CS109,0,COUNT(CQ107:CQ118)-CS109),0)</f>
        <v>#REF!</v>
      </c>
      <c r="CS110" s="4" t="e">
        <f t="shared" ca="1" si="1299"/>
        <v>#REF!</v>
      </c>
      <c r="CT110" s="692" t="str">
        <f ca="1">IFERROR(VLOOKUP(INDEX(CP107:CP118,CS110),STM,2,FALSE),"----")</f>
        <v>----</v>
      </c>
      <c r="CU110" s="691" t="e">
        <f t="shared" ca="1" si="1300"/>
        <v>#N/A</v>
      </c>
      <c r="CV110" s="4" t="e">
        <f ca="1">IF(AND(INDEX(ELM,CU110,4)&gt;=$AB107,INDEX(ELM,CU110,5)&gt;=$S107,INDEX(ELM,CU110,6)&gt;=$R107),1,0)</f>
        <v>#N/A</v>
      </c>
      <c r="CW110" s="4" t="e">
        <f t="shared" ref="CW110" ca="1" si="1344">MATCH(1,OFFSET(CV107:CV118,CX109,0,COUNT(CV107:CV118)-CX109),0)</f>
        <v>#REF!</v>
      </c>
      <c r="CX110" s="4" t="e">
        <f t="shared" ca="1" si="1302"/>
        <v>#REF!</v>
      </c>
      <c r="CY110" s="692" t="str">
        <f ca="1">IFERROR(VLOOKUP(INDEX(CU107:CU118,CX110),ELM,2,FALSE),"----")</f>
        <v>----</v>
      </c>
      <c r="CZ110" s="691" t="e">
        <f t="shared" ca="1" si="1303"/>
        <v>#N/A</v>
      </c>
      <c r="DA110" s="4" t="e">
        <f ca="1">IF(LEFT($J107,7)="Clad Wo",IF(AND(INDEX(SPPWS,CZ110,4)&gt;=$AB107,INDEX(SPPWS,CZ110,5)&gt;=$S107,INDEX(SPPWS,CZ110,6)&gt;=$R107),1,0),IF(AND(INDEX(SPM,CZ110,4)&gt;=$AB107,INDEX(SPM,CZ110,5)&gt;=$S107,INDEX(SPM,CZ110,6)&gt;=$R107),1,0))</f>
        <v>#N/A</v>
      </c>
      <c r="DB110" s="4" t="e">
        <f t="shared" ref="DB110" ca="1" si="1345">MATCH(1,OFFSET(DA107:DA118,DC109,0,COUNT(DA107:DA118)-DC109),0)</f>
        <v>#REF!</v>
      </c>
      <c r="DC110" s="4" t="e">
        <f t="shared" ca="1" si="1305"/>
        <v>#REF!</v>
      </c>
      <c r="DD110" s="693" t="str">
        <f ca="1">IF(LEFT($J107,7)="Clad Wo",IFERROR(VLOOKUP(INDEX(CZ107:CZ118,DC110),SPPWS,2,FALSE),"----"),IFERROR(VLOOKUP(INDEX(CZ107:CZ118,DC110),SPM,2,FALSE),"----"))</f>
        <v>----</v>
      </c>
      <c r="DE110" s="691" t="e">
        <f t="shared" ca="1" si="1306"/>
        <v>#REF!</v>
      </c>
      <c r="DF110" s="4" t="e" cm="1">
        <f t="array" aca="1" ref="DF110" ca="1">IF(AND(INDEX(INDIRECT(BY107),DE110,4)&gt;=$AB113,INDEX(INDIRECT(BY107),DE110,5)&gt;=$S107,INDEX(INDIRECT(BY107),DE110,6)&gt;=$R107),1,0)</f>
        <v>#REF!</v>
      </c>
      <c r="DG110" s="4" t="e">
        <f t="shared" ref="DG110" ca="1" si="1346">MATCH(1,OFFSET(DF107:DF118,DH109,0,COUNT(DF107:DF118)-DH109),0)</f>
        <v>#REF!</v>
      </c>
      <c r="DH110" s="4" t="e">
        <f t="shared" ca="1" si="1308"/>
        <v>#REF!</v>
      </c>
      <c r="DI110" s="692" t="str" cm="1">
        <f t="array" aca="1" ref="DI110" ca="1">IFERROR(VLOOKUP(INDEX(DE107:DE118,DH110),INDIRECT(BY107),2,FALSE),"----")</f>
        <v>----</v>
      </c>
      <c r="DJ110" s="691" t="e">
        <f t="shared" ca="1" si="1309"/>
        <v>#N/A</v>
      </c>
      <c r="DK110" s="4" t="e">
        <f ca="1">IF(AND(INDEX(SSM,DJ110,4)&gt;=$AB113,INDEX(SSM,DJ110,5)&gt;=$S107,INDEX(SSM,DJ110,6)&gt;=$R107),1,0)</f>
        <v>#N/A</v>
      </c>
      <c r="DL110" s="4" t="e">
        <f t="shared" ref="DL110" ca="1" si="1347">MATCH(1,OFFSET(DK107:DK118,DM109,0,COUNT(DK107:DK118)-DM109),0)</f>
        <v>#REF!</v>
      </c>
      <c r="DM110" s="4" t="e">
        <f t="shared" ca="1" si="1311"/>
        <v>#REF!</v>
      </c>
      <c r="DN110" s="692" t="str">
        <f ca="1">IFERROR(IF(AD114="Nested Steel Stud (wood infill)",VLOOKUP(INDEX(DJ107:DJ118,DM110),SSW,2,FALSE),VLOOKUP(INDEX(DJ107:DJ118,DM110),SSM,2,FALSE)),"----")</f>
        <v>----</v>
      </c>
      <c r="DO110" s="691" t="e">
        <f t="shared" ca="1" si="1312"/>
        <v>#N/A</v>
      </c>
      <c r="DP110" s="4" t="e">
        <f ca="1">IF(AND(INDEX(WSM,DO110,4)&gt;=$AB113,INDEX(WSM,DO110,5)&gt;=$S107,INDEX(WSM,DO110,6)&gt;=$R107),1,0)</f>
        <v>#N/A</v>
      </c>
      <c r="DQ110" s="4" t="e">
        <f t="shared" ref="DQ110" ca="1" si="1348">MATCH(1,OFFSET(DP107:DP118,DR109,0,COUNT(DP107:DP118)-DR109),0)</f>
        <v>#REF!</v>
      </c>
      <c r="DR110" s="4" t="e">
        <f t="shared" ca="1" si="1314"/>
        <v>#REF!</v>
      </c>
      <c r="DS110" s="692" t="str">
        <f ca="1">IFERROR(VLOOKUP(INDEX(DO107:DO118,DR110),WSM,2,FALSE),"----")</f>
        <v>----</v>
      </c>
      <c r="DT110" s="691" t="e">
        <f t="shared" ca="1" si="1315"/>
        <v>#N/A</v>
      </c>
      <c r="DU110" s="4" t="e">
        <f ca="1">IF(AND(INDEX(STM,DT110,4)&gt;=$AB113,INDEX(STM,DT110,5)&gt;=$S107,INDEX(STM,DT110,6)&gt;=$R107),1,0)</f>
        <v>#N/A</v>
      </c>
      <c r="DV110" s="4" t="e">
        <f t="shared" ref="DV110" ca="1" si="1349">MATCH(1,OFFSET(DU107:DU118,DW109,0,COUNT(DU107:DU118)-DW109),0)</f>
        <v>#REF!</v>
      </c>
      <c r="DW110" s="4" t="e">
        <f t="shared" ca="1" si="1317"/>
        <v>#REF!</v>
      </c>
      <c r="DX110" s="692" t="str">
        <f ca="1">IFERROR(VLOOKUP(INDEX(DT107:DT118,DW110),STM,2,FALSE),"----")</f>
        <v>----</v>
      </c>
      <c r="DY110" s="691" t="e">
        <f t="shared" ca="1" si="1318"/>
        <v>#N/A</v>
      </c>
      <c r="DZ110" s="4" t="e">
        <f ca="1">IF(AND(INDEX(ELM,DY110,4)&gt;=$AB113,INDEX(ELM,DY110,5)&gt;=$S107,INDEX(ELM,DY110,6)&gt;=$R107),1,0)</f>
        <v>#N/A</v>
      </c>
      <c r="EA110" s="4" t="e">
        <f t="shared" ref="EA110" ca="1" si="1350">MATCH(1,OFFSET(DZ107:DZ118,EB109,0,COUNT(DZ107:DZ118)-EB109),0)</f>
        <v>#REF!</v>
      </c>
      <c r="EB110" s="4" t="e">
        <f t="shared" ca="1" si="1320"/>
        <v>#REF!</v>
      </c>
      <c r="EC110" s="692" t="str">
        <f ca="1">IFERROR(VLOOKUP(INDEX(DY107:DY118,EB110),ELM,2,FALSE),"----")</f>
        <v>----</v>
      </c>
      <c r="ED110" s="691" t="e">
        <f t="shared" ca="1" si="1321"/>
        <v>#N/A</v>
      </c>
      <c r="EE110" s="4" t="e">
        <f ca="1">IF(LEFT($J107,7)="Clad Wo",IF(AND(INDEX(SPPWS,ED110,4)&gt;=$AB113,INDEX(SPPWS,ED110,5)&gt;=$S107,INDEX(SPPWS,ED110,6)&gt;=$R107),1,0),IF(AND(INDEX(SPM,ED110,4)&gt;=$AB113,INDEX(SPM,ED110,5)&gt;=$S107,INDEX(SPM,ED110,6)&gt;=$R107),1,0))</f>
        <v>#N/A</v>
      </c>
      <c r="EF110" s="4" t="e">
        <f t="shared" ref="EF110" ca="1" si="1351">MATCH(1,OFFSET(EE107:EE118,EG109,0,COUNT(EE107:EE118)-EG109),0)</f>
        <v>#REF!</v>
      </c>
      <c r="EG110" s="4" t="e">
        <f t="shared" ca="1" si="1323"/>
        <v>#REF!</v>
      </c>
      <c r="EH110" s="692" t="str">
        <f ca="1">IF(LEFT($J107,7)="Clad Wo",IFERROR(VLOOKUP(INDEX(ED107:ED118,EG110),SPPWS,2,FALSE),"----"),IFERROR(VLOOKUP(INDEX(ED107:ED118,EG110),SPM,2,FALSE),"----"))</f>
        <v>----</v>
      </c>
    </row>
    <row r="111" spans="1:138" ht="15" customHeight="1" x14ac:dyDescent="0.25">
      <c r="A111" s="1085"/>
      <c r="B111" s="925"/>
      <c r="C111" s="926"/>
      <c r="D111" s="927"/>
      <c r="E111" s="995"/>
      <c r="F111" s="996"/>
      <c r="G111" s="997"/>
      <c r="H111" s="1062"/>
      <c r="I111" s="990"/>
      <c r="J111" s="910"/>
      <c r="K111" s="911"/>
      <c r="L111" s="1002"/>
      <c r="M111" s="923"/>
      <c r="N111" s="1042"/>
      <c r="O111" s="1018"/>
      <c r="P111" s="987"/>
      <c r="Q111" s="1015"/>
      <c r="R111" s="1012"/>
      <c r="S111" s="1006"/>
      <c r="T111" s="1007"/>
      <c r="U111" s="878"/>
      <c r="V111" s="881"/>
      <c r="W111" s="884"/>
      <c r="X111" s="884"/>
      <c r="Y111" s="887"/>
      <c r="Z111" s="887"/>
      <c r="AA111" s="887"/>
      <c r="AB111" s="1081"/>
      <c r="AC111" s="1078"/>
      <c r="AD111" s="1070" t="s">
        <v>39</v>
      </c>
      <c r="AE111" s="1071"/>
      <c r="AF111" s="1052"/>
      <c r="AG111" s="1053"/>
      <c r="AH111" s="1053"/>
      <c r="AI111" s="1068"/>
      <c r="AJ111" s="1069"/>
      <c r="AK111" s="154" t="str">
        <f t="shared" ca="1" si="1130"/>
        <v/>
      </c>
      <c r="AL111" s="1039"/>
      <c r="AM111" s="344" t="str">
        <f ca="1">IFERROR(Q107/12*ROUND(VLOOKUP(AF111,OFFSET(ELM,0,1),6,FALSE),2),"")</f>
        <v/>
      </c>
      <c r="AN111" t="str">
        <f t="shared" ca="1" si="1154"/>
        <v/>
      </c>
      <c r="AP111" s="122" t="str">
        <f t="shared" ref="AP111" si="1352">_xlfn.CONCAT(AR111,AS112)</f>
        <v/>
      </c>
      <c r="AQ111" s="683" t="str">
        <f t="shared" ref="AQ111:AQ174" si="1353">IFERROR(LEFT(AP111,LEN(AP111)-1),"")</f>
        <v/>
      </c>
      <c r="AR111" s="4" t="str">
        <f t="shared" si="1114"/>
        <v/>
      </c>
      <c r="AS111" s="4"/>
      <c r="AT111" s="697" t="str">
        <f>AL107</f>
        <v/>
      </c>
      <c r="AU111" s="694" t="e">
        <f t="shared" ca="1" si="91"/>
        <v>#REF!</v>
      </c>
      <c r="AV111" s="698" t="str">
        <f ca="1">IFERROR(VLOOKUP(AU111,INDIRECT(AQ107),2,FALSE),"----")</f>
        <v>----</v>
      </c>
      <c r="AW111" s="694" t="e">
        <f t="shared" ca="1" si="92"/>
        <v>#REF!</v>
      </c>
      <c r="AX111" s="698" t="str">
        <f ca="1">IFERROR(VLOOKUP(AW111,INDIRECT(AQ108),2,FALSE),"----")</f>
        <v>----</v>
      </c>
      <c r="AY111" s="694" t="e">
        <f t="shared" ref="AY111" ca="1" si="1354">AY110-1</f>
        <v>#REF!</v>
      </c>
      <c r="AZ111" s="698" t="str">
        <f ca="1">IFERROR(VLOOKUP(AY111,INDIRECT(AQ109),2,FALSE),"----")</f>
        <v>----</v>
      </c>
      <c r="BA111" s="694" t="e">
        <f t="shared" ref="BA111" ca="1" si="1355">BA110-1</f>
        <v>#REF!</v>
      </c>
      <c r="BB111" s="698" t="str">
        <f ca="1">IFERROR(VLOOKUP(BA111,INDIRECT(AQ110),2,FALSE),"----")</f>
        <v>----</v>
      </c>
      <c r="BC111" s="694" t="e">
        <f t="shared" ca="1" si="95"/>
        <v>#REF!</v>
      </c>
      <c r="BD111" s="698" t="str">
        <f ca="1">IFERROR(VLOOKUP(BC111,INDIRECT(AQ111),2,FALSE),"----")</f>
        <v>----</v>
      </c>
      <c r="BE111" s="694" t="e">
        <f t="shared" ca="1" si="96"/>
        <v>#REF!</v>
      </c>
      <c r="BF111" s="698" t="str">
        <f ca="1">IFERROR(VLOOKUP(BE111,INDIRECT(AQ112),2,FALSE),"----")</f>
        <v>----</v>
      </c>
      <c r="BG111" s="694" t="e">
        <f t="shared" ca="1" si="97"/>
        <v>#REF!</v>
      </c>
      <c r="BH111" s="686" t="str">
        <f ca="1">IFERROR(VLOOKUP(BG111,INDIRECT(AQ113),2,FALSE),"----")</f>
        <v>----</v>
      </c>
      <c r="BI111" s="694" t="e">
        <f t="shared" ca="1" si="98"/>
        <v>#REF!</v>
      </c>
      <c r="BJ111" s="686" t="str">
        <f ca="1">IFERROR(VLOOKUP(BI111,INDIRECT(AQ114),2,FALSE),"----")</f>
        <v>----</v>
      </c>
      <c r="BK111" s="694" t="e">
        <f t="shared" ca="1" si="99"/>
        <v>#REF!</v>
      </c>
      <c r="BL111" s="686" t="str">
        <f ca="1">IFERROR(VLOOKUP(BK111,INDIRECT(AQ115),2,FALSE),"----")</f>
        <v>----</v>
      </c>
      <c r="BM111" s="694" t="e">
        <f t="shared" ca="1" si="100"/>
        <v>#REF!</v>
      </c>
      <c r="BN111" s="686" t="str">
        <f ca="1">IFERROR(VLOOKUP(BM111,INDIRECT(AQ116),2,FALSE),"----")</f>
        <v>----</v>
      </c>
      <c r="BO111" s="694" t="e">
        <f t="shared" ca="1" si="101"/>
        <v>#REF!</v>
      </c>
      <c r="BP111" s="686" t="str">
        <f ca="1">IFERROR(VLOOKUP(BO111,INDIRECT(AQ117),2,FALSE),"----")</f>
        <v>----</v>
      </c>
      <c r="BQ111" s="694" t="e">
        <f t="shared" ca="1" si="102"/>
        <v>#REF!</v>
      </c>
      <c r="BR111" s="686" t="str">
        <f ca="1">IFERROR(VLOOKUP(BQ111,INDIRECT(AQ118),2,FALSE),"----")</f>
        <v>----</v>
      </c>
      <c r="BS111" s="695">
        <f>IF(AI111="",1,IF(COUNTIF(BD107:BD118,AI111)=0,2,1))</f>
        <v>1</v>
      </c>
      <c r="BT111" s="696">
        <f>IF(AF111="",1,IF(BD107=".",2,1))</f>
        <v>1</v>
      </c>
      <c r="BU111" s="706"/>
      <c r="BV111" s="155">
        <f ca="1">IF(COUNTIF(CY107:CY118,AF111)=0,IF(AF111&lt;&gt;"",0,1),1)</f>
        <v>1</v>
      </c>
      <c r="BW111" s="157">
        <f ca="1">IFERROR(MATCH(AF111,CY107:CY118,0),1)</f>
        <v>1</v>
      </c>
      <c r="BX111" s="769"/>
      <c r="BY111" s="769"/>
      <c r="BZ111" s="1110"/>
      <c r="CA111" s="691" t="e">
        <f t="shared" ca="1" si="1288"/>
        <v>#REF!</v>
      </c>
      <c r="CB111" s="4" t="e" cm="1">
        <f t="array" aca="1" ref="CB111" ca="1">IF(AND(INDEX(INDIRECT(BY107),CA111,4)&gt;=$AB107,INDEX(INDIRECT(BY107),CA111,5)&gt;=$S107,INDEX(INDIRECT(BY107),CA111,6)&gt;=$R107),1,0)</f>
        <v>#REF!</v>
      </c>
      <c r="CC111" s="4" t="e">
        <f t="shared" ref="CC111" ca="1" si="1356">MATCH(1,OFFSET(CB107:CB118,CD110,0,COUNT(CB107:CB118)-CD110),0)</f>
        <v>#REF!</v>
      </c>
      <c r="CD111" s="4" t="e">
        <f t="shared" ca="1" si="1290"/>
        <v>#REF!</v>
      </c>
      <c r="CE111" s="692" t="str" cm="1">
        <f t="array" aca="1" ref="CE111" ca="1">IFERROR(VLOOKUP(INDEX(CA107:CA118,CD111),INDIRECT(BY107),2,FALSE),"----")</f>
        <v>----</v>
      </c>
      <c r="CF111" s="691" t="e">
        <f t="shared" ca="1" si="1291"/>
        <v>#N/A</v>
      </c>
      <c r="CG111" s="4" t="e">
        <f ca="1">IF(AND(INDEX(SSM,CF111,4)&gt;=$AB107,INDEX(SSM,CF111,5)&gt;=$S107,INDEX(SSM,CF111,6)&gt;=$R107),1,0)</f>
        <v>#N/A</v>
      </c>
      <c r="CH111" s="4" t="e">
        <f t="shared" ref="CH111" ca="1" si="1357">MATCH(1,OFFSET(CG107:CG118,CI110,0,COUNT(CG107:CG118)-CI110),0)</f>
        <v>#REF!</v>
      </c>
      <c r="CI111" s="4" t="e">
        <f t="shared" ca="1" si="1293"/>
        <v>#REF!</v>
      </c>
      <c r="CJ111" s="692" t="str">
        <f ca="1">IFERROR(IF(AD108="Nested Steel Stud (wood infill)",VLOOKUP(INDEX(CF107:CF118,CI111),SSW,2,FALSE),VLOOKUP(INDEX(CF107:CF118,CI111),SSM,2,FALSE)),"----")</f>
        <v>----</v>
      </c>
      <c r="CK111" s="691" t="e">
        <f t="shared" ca="1" si="1294"/>
        <v>#N/A</v>
      </c>
      <c r="CL111" s="4" t="e">
        <f ca="1">IF(AND(INDEX(WSM,CK111,4)&gt;=$AB107,INDEX(WSM,CK111,5)&gt;=$S107,INDEX(WSM,CK111,6)&gt;=$R107),1,0)</f>
        <v>#N/A</v>
      </c>
      <c r="CM111" s="4" t="e">
        <f t="shared" ref="CM111" ca="1" si="1358">MATCH(1,OFFSET(CL107:CL118,CN110,0,COUNT(CL107:CL118)-CN110),0)</f>
        <v>#REF!</v>
      </c>
      <c r="CN111" s="4" t="e">
        <f t="shared" ca="1" si="1296"/>
        <v>#REF!</v>
      </c>
      <c r="CO111" s="692" t="str">
        <f ca="1">IFERROR(VLOOKUP(INDEX(CK107:CK118,CN111),WSM,2,FALSE),"----")</f>
        <v>----</v>
      </c>
      <c r="CP111" s="691" t="e">
        <f t="shared" ca="1" si="1297"/>
        <v>#N/A</v>
      </c>
      <c r="CQ111" s="4" t="e">
        <f ca="1">IF(AND(INDEX(STM,CP111,4)&gt;=$AB107,INDEX(STM,CP111,5)&gt;=$S107,INDEX(STM,CP111,6)&gt;=$R107),1,0)</f>
        <v>#N/A</v>
      </c>
      <c r="CR111" s="4" t="e">
        <f t="shared" ref="CR111" ca="1" si="1359">MATCH(1,OFFSET(CQ107:CQ118,CS110,0,COUNT(CQ107:CQ118)-CS110),0)</f>
        <v>#REF!</v>
      </c>
      <c r="CS111" s="4" t="e">
        <f t="shared" ca="1" si="1299"/>
        <v>#REF!</v>
      </c>
      <c r="CT111" s="692" t="str">
        <f ca="1">IFERROR(VLOOKUP(INDEX(CP107:CP118,CS111),STM,2,FALSE),"----")</f>
        <v>----</v>
      </c>
      <c r="CU111" s="691" t="e">
        <f t="shared" ca="1" si="1300"/>
        <v>#N/A</v>
      </c>
      <c r="CV111" s="4" t="e">
        <f ca="1">IF(AND(INDEX(ELM,CU111,4)&gt;=$AB107,INDEX(ELM,CU111,5)&gt;=$S107,INDEX(ELM,CU111,6)&gt;=$R107),1,0)</f>
        <v>#N/A</v>
      </c>
      <c r="CW111" s="4" t="e">
        <f t="shared" ref="CW111" ca="1" si="1360">MATCH(1,OFFSET(CV107:CV118,CX110,0,COUNT(CV107:CV118)-CX110),0)</f>
        <v>#REF!</v>
      </c>
      <c r="CX111" s="4" t="e">
        <f t="shared" ca="1" si="1302"/>
        <v>#REF!</v>
      </c>
      <c r="CY111" s="692" t="str">
        <f ca="1">IFERROR(VLOOKUP(INDEX(CU107:CU118,CX111),ELM,2,FALSE),"----")</f>
        <v>----</v>
      </c>
      <c r="CZ111" s="691" t="e">
        <f t="shared" ca="1" si="1303"/>
        <v>#N/A</v>
      </c>
      <c r="DA111" s="4" t="e">
        <f ca="1">IF(LEFT($J107,7)="Clad Wo",IF(AND(INDEX(SPPWS,CZ111,4)&gt;=$AB107,INDEX(SPPWS,CZ111,5)&gt;=$S107,INDEX(SPPWS,CZ111,6)&gt;=$R107),1,0),IF(AND(INDEX(SPM,CZ111,4)&gt;=$AB107,INDEX(SPM,CZ111,5)&gt;=$S107,INDEX(SPM,CZ111,6)&gt;=$R107),1,0))</f>
        <v>#N/A</v>
      </c>
      <c r="DB111" s="4" t="e">
        <f t="shared" ref="DB111" ca="1" si="1361">MATCH(1,OFFSET(DA107:DA118,DC110,0,COUNT(DA107:DA118)-DC110),0)</f>
        <v>#REF!</v>
      </c>
      <c r="DC111" s="4" t="e">
        <f t="shared" ca="1" si="1305"/>
        <v>#REF!</v>
      </c>
      <c r="DD111" s="693" t="str">
        <f ca="1">IF(LEFT($J107,7)="Clad Wo",IFERROR(VLOOKUP(INDEX(CZ107:CZ118,DC111),SPPWS,2,FALSE),"----"),IFERROR(VLOOKUP(INDEX(CZ107:CZ118,DC111),SPM,2,FALSE),"----"))</f>
        <v>----</v>
      </c>
      <c r="DE111" s="691" t="e">
        <f t="shared" ca="1" si="1306"/>
        <v>#REF!</v>
      </c>
      <c r="DF111" s="4" t="e" cm="1">
        <f t="array" aca="1" ref="DF111" ca="1">IF(AND(INDEX(INDIRECT(BY107),DE111,4)&gt;=$AB113,INDEX(INDIRECT(BY107),DE111,5)&gt;=$S107,INDEX(INDIRECT(BY107),DE111,6)&gt;=$R107),1,0)</f>
        <v>#REF!</v>
      </c>
      <c r="DG111" s="4" t="e">
        <f t="shared" ref="DG111" ca="1" si="1362">MATCH(1,OFFSET(DF107:DF118,DH110,0,COUNT(DF107:DF118)-DH110),0)</f>
        <v>#REF!</v>
      </c>
      <c r="DH111" s="4" t="e">
        <f t="shared" ca="1" si="1308"/>
        <v>#REF!</v>
      </c>
      <c r="DI111" s="692" t="str" cm="1">
        <f t="array" aca="1" ref="DI111" ca="1">IFERROR(VLOOKUP(INDEX(DE107:DE118,DH111),INDIRECT(BY107),2,FALSE),"----")</f>
        <v>----</v>
      </c>
      <c r="DJ111" s="691" t="e">
        <f t="shared" ca="1" si="1309"/>
        <v>#N/A</v>
      </c>
      <c r="DK111" s="4" t="e">
        <f ca="1">IF(AND(INDEX(SSM,DJ111,4)&gt;=$AB113,INDEX(SSM,DJ111,5)&gt;=$S107,INDEX(SSM,DJ111,6)&gt;=$R107),1,0)</f>
        <v>#N/A</v>
      </c>
      <c r="DL111" s="4" t="e">
        <f t="shared" ref="DL111" ca="1" si="1363">MATCH(1,OFFSET(DK107:DK118,DM110,0,COUNT(DK107:DK118)-DM110),0)</f>
        <v>#REF!</v>
      </c>
      <c r="DM111" s="4" t="e">
        <f t="shared" ca="1" si="1311"/>
        <v>#REF!</v>
      </c>
      <c r="DN111" s="692" t="str">
        <f ca="1">IFERROR(IF(AD114="Nested Steel Stud (wood infill)",VLOOKUP(INDEX(DJ107:DJ118,DM111),SSW,2,FALSE),VLOOKUP(INDEX(DJ107:DJ118,DM111),SSM,2,FALSE)),"----")</f>
        <v>----</v>
      </c>
      <c r="DO111" s="691" t="e">
        <f t="shared" ca="1" si="1312"/>
        <v>#N/A</v>
      </c>
      <c r="DP111" s="4" t="e">
        <f ca="1">IF(AND(INDEX(WSM,DO111,4)&gt;=$AB113,INDEX(WSM,DO111,5)&gt;=$S107,INDEX(WSM,DO111,6)&gt;=$R107),1,0)</f>
        <v>#N/A</v>
      </c>
      <c r="DQ111" s="4" t="e">
        <f t="shared" ref="DQ111" ca="1" si="1364">MATCH(1,OFFSET(DP107:DP118,DR110,0,COUNT(DP107:DP118)-DR110),0)</f>
        <v>#REF!</v>
      </c>
      <c r="DR111" s="4" t="e">
        <f t="shared" ca="1" si="1314"/>
        <v>#REF!</v>
      </c>
      <c r="DS111" s="692" t="str">
        <f ca="1">IFERROR(VLOOKUP(INDEX(DO107:DO118,DR111),WSM,2,FALSE),"----")</f>
        <v>----</v>
      </c>
      <c r="DT111" s="691" t="e">
        <f t="shared" ca="1" si="1315"/>
        <v>#N/A</v>
      </c>
      <c r="DU111" s="4" t="e">
        <f ca="1">IF(AND(INDEX(STM,DT111,4)&gt;=$AB113,INDEX(STM,DT111,5)&gt;=$S107,INDEX(STM,DT111,6)&gt;=$R107),1,0)</f>
        <v>#N/A</v>
      </c>
      <c r="DV111" s="4" t="e">
        <f t="shared" ref="DV111" ca="1" si="1365">MATCH(1,OFFSET(DU107:DU118,DW110,0,COUNT(DU107:DU118)-DW110),0)</f>
        <v>#REF!</v>
      </c>
      <c r="DW111" s="4" t="e">
        <f t="shared" ca="1" si="1317"/>
        <v>#REF!</v>
      </c>
      <c r="DX111" s="692" t="str">
        <f ca="1">IFERROR(VLOOKUP(INDEX(DT107:DT118,DW111),STM,2,FALSE),"----")</f>
        <v>----</v>
      </c>
      <c r="DY111" s="691" t="e">
        <f t="shared" ca="1" si="1318"/>
        <v>#N/A</v>
      </c>
      <c r="DZ111" s="4" t="e">
        <f ca="1">IF(AND(INDEX(ELM,DY111,4)&gt;=$AB113,INDEX(ELM,DY111,5)&gt;=$S107,INDEX(ELM,DY111,6)&gt;=$R107),1,0)</f>
        <v>#N/A</v>
      </c>
      <c r="EA111" s="4" t="e">
        <f t="shared" ref="EA111" ca="1" si="1366">MATCH(1,OFFSET(DZ107:DZ118,EB110,0,COUNT(DZ107:DZ118)-EB110),0)</f>
        <v>#REF!</v>
      </c>
      <c r="EB111" s="4" t="e">
        <f t="shared" ca="1" si="1320"/>
        <v>#REF!</v>
      </c>
      <c r="EC111" s="692" t="str">
        <f ca="1">IFERROR(VLOOKUP(INDEX(DY107:DY118,EB111),ELM,2,FALSE),"----")</f>
        <v>----</v>
      </c>
      <c r="ED111" s="691" t="e">
        <f t="shared" ca="1" si="1321"/>
        <v>#N/A</v>
      </c>
      <c r="EE111" s="4" t="e">
        <f ca="1">IF(LEFT($J107,7)="Clad Wo",IF(AND(INDEX(SPPWS,ED111,4)&gt;=$AB113,INDEX(SPPWS,ED111,5)&gt;=$S107,INDEX(SPPWS,ED111,6)&gt;=$R107),1,0),IF(AND(INDEX(SPM,ED111,4)&gt;=$AB113,INDEX(SPM,ED111,5)&gt;=$S107,INDEX(SPM,ED111,6)&gt;=$R107),1,0))</f>
        <v>#N/A</v>
      </c>
      <c r="EF111" s="4" t="e">
        <f t="shared" ref="EF111" ca="1" si="1367">MATCH(1,OFFSET(EE107:EE118,EG110,0,COUNT(EE107:EE118)-EG110),0)</f>
        <v>#REF!</v>
      </c>
      <c r="EG111" s="4" t="e">
        <f t="shared" ca="1" si="1323"/>
        <v>#REF!</v>
      </c>
      <c r="EH111" s="692" t="str">
        <f ca="1">IF(LEFT($J107,7)="Clad Wo",IFERROR(VLOOKUP(INDEX(ED107:ED118,EG111),SPPWS,2,FALSE),"----"),IFERROR(VLOOKUP(INDEX(ED107:ED118,EG111),SPM,2,FALSE),"----"))</f>
        <v>----</v>
      </c>
    </row>
    <row r="112" spans="1:138" ht="15" customHeight="1" thickBot="1" x14ac:dyDescent="0.3">
      <c r="A112" s="1085"/>
      <c r="B112" s="934"/>
      <c r="C112" s="935"/>
      <c r="D112" s="936"/>
      <c r="E112" s="995"/>
      <c r="F112" s="996"/>
      <c r="G112" s="997"/>
      <c r="H112" s="1062"/>
      <c r="I112" s="990"/>
      <c r="J112" s="908"/>
      <c r="K112" s="909"/>
      <c r="L112" s="1010"/>
      <c r="M112" s="924"/>
      <c r="N112" s="1044"/>
      <c r="O112" s="1018"/>
      <c r="P112" s="987"/>
      <c r="Q112" s="1015"/>
      <c r="R112" s="1012"/>
      <c r="S112" s="1006"/>
      <c r="T112" s="1007"/>
      <c r="U112" s="878"/>
      <c r="V112" s="881"/>
      <c r="W112" s="889"/>
      <c r="X112" s="884"/>
      <c r="Y112" s="890"/>
      <c r="Z112" s="890"/>
      <c r="AA112" s="887"/>
      <c r="AB112" s="1084"/>
      <c r="AC112" s="1079"/>
      <c r="AD112" s="1072" t="str">
        <f t="shared" ref="AD112" si="1368">IF(LEFT(J107,7)="Clad Wo","Pella Wood Spr / Steel Pte","Steel Plate")</f>
        <v>Steel Plate</v>
      </c>
      <c r="AE112" s="1073"/>
      <c r="AF112" s="1054"/>
      <c r="AG112" s="1055"/>
      <c r="AH112" s="1055"/>
      <c r="AI112" s="1092"/>
      <c r="AJ112" s="1093"/>
      <c r="AK112" s="159" t="str">
        <f t="shared" ca="1" si="1130"/>
        <v/>
      </c>
      <c r="AL112" s="1040"/>
      <c r="AM112" s="345" t="str">
        <f ca="1">IFERROR(Q107/12*ROUND(VLOOKUP(AF112,OFFSET(SPM,0,1),6,FALSE),2),"")</f>
        <v/>
      </c>
      <c r="AN112" t="str">
        <f t="shared" ca="1" si="1154"/>
        <v/>
      </c>
      <c r="AP112" s="699" t="str">
        <f t="shared" ref="AP112" si="1369">_xlfn.CONCAT(AR112,AS112)</f>
        <v/>
      </c>
      <c r="AQ112" s="700" t="str">
        <f t="shared" si="1353"/>
        <v/>
      </c>
      <c r="AR112" s="160" t="str">
        <f t="shared" si="1114"/>
        <v/>
      </c>
      <c r="AS112" s="160" t="str">
        <f>IFERROR(VLOOKUP(J115, WallType,2,FALSE),"")</f>
        <v/>
      </c>
      <c r="AT112" s="701" t="str">
        <f>AL107</f>
        <v/>
      </c>
      <c r="AU112" s="694" t="e">
        <f t="shared" ref="AU112:AU175" ca="1" si="1370">AU111-1</f>
        <v>#REF!</v>
      </c>
      <c r="AV112" s="698" t="str">
        <f ca="1">IFERROR(VLOOKUP(AU112,INDIRECT(AQ107),2,FALSE),"----")</f>
        <v>----</v>
      </c>
      <c r="AW112" s="702" t="e">
        <f t="shared" ref="AW112:AW175" ca="1" si="1371">AW111-1</f>
        <v>#REF!</v>
      </c>
      <c r="AX112" s="698" t="str">
        <f ca="1">IFERROR(VLOOKUP(AW112,INDIRECT(AQ108),2,FALSE),"----")</f>
        <v>----</v>
      </c>
      <c r="AY112" s="702" t="e">
        <f t="shared" ref="AY112" ca="1" si="1372">AY111-1</f>
        <v>#REF!</v>
      </c>
      <c r="AZ112" s="698" t="str">
        <f ca="1">IFERROR(VLOOKUP(AY112,INDIRECT(AQ109),2,FALSE),"----")</f>
        <v>----</v>
      </c>
      <c r="BA112" s="702" t="e">
        <f t="shared" ref="BA112" ca="1" si="1373">BA111-1</f>
        <v>#REF!</v>
      </c>
      <c r="BB112" s="698" t="str">
        <f ca="1">IFERROR(VLOOKUP(BA112,INDIRECT(AQ110),2,FALSE),"----")</f>
        <v>----</v>
      </c>
      <c r="BC112" s="702" t="e">
        <f t="shared" ref="BC112:BC175" ca="1" si="1374">BC111-1</f>
        <v>#REF!</v>
      </c>
      <c r="BD112" s="698" t="str">
        <f ca="1">IFERROR(VLOOKUP(BC112,INDIRECT(AQ111),2,FALSE),"----")</f>
        <v>----</v>
      </c>
      <c r="BE112" s="702" t="e">
        <f t="shared" ref="BE112:BE175" ca="1" si="1375">BE111-1</f>
        <v>#REF!</v>
      </c>
      <c r="BF112" s="698" t="str">
        <f ca="1">IFERROR(VLOOKUP(BE112,INDIRECT(AQ112),2,FALSE),"----")</f>
        <v>----</v>
      </c>
      <c r="BG112" s="702" t="e">
        <f t="shared" ref="BG112:BG175" ca="1" si="1376">BG111-1</f>
        <v>#REF!</v>
      </c>
      <c r="BH112" s="686" t="str">
        <f ca="1">IFERROR(VLOOKUP(BG112,INDIRECT(AQ113),2,FALSE),"----")</f>
        <v>----</v>
      </c>
      <c r="BI112" s="702" t="e">
        <f t="shared" ref="BI112:BI175" ca="1" si="1377">BI111-1</f>
        <v>#REF!</v>
      </c>
      <c r="BJ112" s="686" t="str">
        <f ca="1">IFERROR(VLOOKUP(BI112,INDIRECT(AQ114),2,FALSE),"----")</f>
        <v>----</v>
      </c>
      <c r="BK112" s="702" t="e">
        <f t="shared" ref="BK112:BK175" ca="1" si="1378">BK111-1</f>
        <v>#REF!</v>
      </c>
      <c r="BL112" s="686" t="str">
        <f ca="1">IFERROR(VLOOKUP(BK112,INDIRECT(AQ115),2,FALSE),"----")</f>
        <v>----</v>
      </c>
      <c r="BM112" s="702" t="e">
        <f t="shared" ref="BM112:BM175" ca="1" si="1379">BM111-1</f>
        <v>#REF!</v>
      </c>
      <c r="BN112" s="686" t="str">
        <f ca="1">IFERROR(VLOOKUP(BM112,INDIRECT(AQ116),2,FALSE),"----")</f>
        <v>----</v>
      </c>
      <c r="BO112" s="702" t="e">
        <f t="shared" ref="BO112:BO175" ca="1" si="1380">BO111-1</f>
        <v>#REF!</v>
      </c>
      <c r="BP112" s="686" t="str">
        <f ca="1">IFERROR(VLOOKUP(BO112,INDIRECT(AQ117),2,FALSE),"----")</f>
        <v>----</v>
      </c>
      <c r="BQ112" s="702" t="e">
        <f t="shared" ref="BQ112:BQ175" ca="1" si="1381">BQ111-1</f>
        <v>#REF!</v>
      </c>
      <c r="BR112" s="686" t="str">
        <f ca="1">IFERROR(VLOOKUP(BQ112,INDIRECT(AQ118),2,FALSE),"----")</f>
        <v>----</v>
      </c>
      <c r="BS112" s="703">
        <f>IF(AI112="",1,IF(COUNTIF(BF107:BF118,AI112)=0,2,1))</f>
        <v>1</v>
      </c>
      <c r="BT112" s="704">
        <f>IF(AF112="",1,IF(BF107=".",2,1))</f>
        <v>1</v>
      </c>
      <c r="BV112" s="155">
        <f ca="1">IF(COUNTIF(DD107:DD118,AF112)=0,IF(AF112&lt;&gt;"",0,1),1)</f>
        <v>1</v>
      </c>
      <c r="BW112" s="157">
        <f ca="1">IFERROR(MATCH(AF112,DD107:DD118,0),1)</f>
        <v>1</v>
      </c>
      <c r="BX112" s="875" t="s">
        <v>1594</v>
      </c>
      <c r="BY112" s="876"/>
      <c r="BZ112" s="1110"/>
      <c r="CA112" s="691" t="e">
        <f t="shared" ca="1" si="1288"/>
        <v>#REF!</v>
      </c>
      <c r="CB112" s="4" t="e" cm="1">
        <f t="array" aca="1" ref="CB112" ca="1">IF(AND(INDEX(INDIRECT(BY107),CA112,4)&gt;=$AB107,INDEX(INDIRECT(BY107),CA112,5)&gt;=$S107,INDEX(INDIRECT(BY107),CA112,6)&gt;=$R107),1,0)</f>
        <v>#REF!</v>
      </c>
      <c r="CC112" s="4" t="e">
        <f t="shared" ref="CC112" ca="1" si="1382">MATCH(1,OFFSET(CB107:CB118,CD111,0,COUNT(CB107:CB118)-CD111),0)</f>
        <v>#REF!</v>
      </c>
      <c r="CD112" s="4" t="e">
        <f t="shared" ca="1" si="1290"/>
        <v>#REF!</v>
      </c>
      <c r="CE112" s="692" t="str" cm="1">
        <f t="array" aca="1" ref="CE112" ca="1">IFERROR(VLOOKUP(INDEX(CA107:CA118,CD112),INDIRECT(BY107),2,FALSE),"----")</f>
        <v>----</v>
      </c>
      <c r="CF112" s="691" t="e">
        <f t="shared" ca="1" si="1291"/>
        <v>#N/A</v>
      </c>
      <c r="CG112" s="4" t="e">
        <f ca="1">IF(AND(INDEX(SSM,CF112,4)&gt;=$AB107,INDEX(SSM,CF112,5)&gt;=$S107,INDEX(SSM,CF112,6)&gt;=$R107),1,0)</f>
        <v>#N/A</v>
      </c>
      <c r="CH112" s="4" t="e">
        <f t="shared" ref="CH112" ca="1" si="1383">MATCH(1,OFFSET(CG107:CG118,CI111,0,COUNT(CG107:CG118)-CI111),0)</f>
        <v>#REF!</v>
      </c>
      <c r="CI112" s="4" t="e">
        <f t="shared" ca="1" si="1293"/>
        <v>#REF!</v>
      </c>
      <c r="CJ112" s="692" t="str">
        <f ca="1">IFERROR(IF(AD108="Nested Steel Stud (wood infill)",VLOOKUP(INDEX(CF107:CF118,CI112),SSW,2,FALSE),VLOOKUP(INDEX(CF107:CF118,CI112),SSM,2,FALSE)),"----")</f>
        <v>----</v>
      </c>
      <c r="CK112" s="691" t="e">
        <f t="shared" ca="1" si="1294"/>
        <v>#N/A</v>
      </c>
      <c r="CL112" s="4" t="e">
        <f ca="1">IF(AND(INDEX(WSM,CK112,4)&gt;=$AB107,INDEX(WSM,CK112,5)&gt;=$S107,INDEX(WSM,CK112,6)&gt;=$R107),1,0)</f>
        <v>#N/A</v>
      </c>
      <c r="CM112" s="4" t="e">
        <f t="shared" ref="CM112" ca="1" si="1384">MATCH(1,OFFSET(CL107:CL118,CN111,0,COUNT(CL107:CL118)-CN111),0)</f>
        <v>#REF!</v>
      </c>
      <c r="CN112" s="4" t="e">
        <f t="shared" ca="1" si="1296"/>
        <v>#REF!</v>
      </c>
      <c r="CO112" s="692" t="str">
        <f ca="1">IFERROR(VLOOKUP(INDEX(CK107:CK118,CN112),WSM,2,FALSE),"----")</f>
        <v>----</v>
      </c>
      <c r="CP112" s="691" t="e">
        <f t="shared" ca="1" si="1297"/>
        <v>#N/A</v>
      </c>
      <c r="CQ112" s="4" t="e">
        <f ca="1">IF(AND(INDEX(STM,CP112,4)&gt;=$AB107,INDEX(STM,CP112,5)&gt;=$S107,INDEX(STM,CP112,6)&gt;=$R107),1,0)</f>
        <v>#N/A</v>
      </c>
      <c r="CR112" s="4" t="e">
        <f t="shared" ref="CR112" ca="1" si="1385">MATCH(1,OFFSET(CQ107:CQ118,CS111,0,COUNT(CQ107:CQ118)-CS111),0)</f>
        <v>#REF!</v>
      </c>
      <c r="CS112" s="4" t="e">
        <f t="shared" ca="1" si="1299"/>
        <v>#REF!</v>
      </c>
      <c r="CT112" s="692" t="str">
        <f ca="1">IFERROR(VLOOKUP(INDEX(CP107:CP118,CS112),STM,2,FALSE),"----")</f>
        <v>----</v>
      </c>
      <c r="CU112" s="691" t="e">
        <f t="shared" ca="1" si="1300"/>
        <v>#N/A</v>
      </c>
      <c r="CV112" s="4" t="e">
        <f ca="1">IF(AND(INDEX(ELM,CU112,4)&gt;=$AB107,INDEX(ELM,CU112,5)&gt;=$S107,INDEX(ELM,CU112,6)&gt;=$R107),1,0)</f>
        <v>#N/A</v>
      </c>
      <c r="CW112" s="4" t="e">
        <f t="shared" ref="CW112" ca="1" si="1386">MATCH(1,OFFSET(CV107:CV118,CX111,0,COUNT(CV107:CV118)-CX111),0)</f>
        <v>#REF!</v>
      </c>
      <c r="CX112" s="4" t="e">
        <f t="shared" ca="1" si="1302"/>
        <v>#REF!</v>
      </c>
      <c r="CY112" s="692" t="str">
        <f ca="1">IFERROR(VLOOKUP(INDEX(CU107:CU118,CX112),ELM,2,FALSE),"----")</f>
        <v>----</v>
      </c>
      <c r="CZ112" s="691" t="e">
        <f t="shared" ca="1" si="1303"/>
        <v>#N/A</v>
      </c>
      <c r="DA112" s="4" t="e">
        <f ca="1">IF(LEFT($J107,7)="Clad Wo",IF(AND(INDEX(SPPWS,CZ112,4)&gt;=$AB107,INDEX(SPPWS,CZ112,5)&gt;=$S107,INDEX(SPPWS,CZ112,6)&gt;=$R107),1,0),IF(AND(INDEX(SPM,CZ112,4)&gt;=$AB107,INDEX(SPM,CZ112,5)&gt;=$S107,INDEX(SPM,CZ112,6)&gt;=$R107),1,0))</f>
        <v>#N/A</v>
      </c>
      <c r="DB112" s="4" t="e">
        <f t="shared" ref="DB112" ca="1" si="1387">MATCH(1,OFFSET(DA107:DA118,DC111,0,COUNT(DA107:DA118)-DC111),0)</f>
        <v>#REF!</v>
      </c>
      <c r="DC112" s="4" t="e">
        <f t="shared" ca="1" si="1305"/>
        <v>#REF!</v>
      </c>
      <c r="DD112" s="693" t="str">
        <f ca="1">IF(LEFT($J107,7)="Clad Wo",IFERROR(VLOOKUP(INDEX(CZ107:CZ118,DC112),SPPWS,2,FALSE),"----"),IFERROR(VLOOKUP(INDEX(CZ107:CZ118,DC112),SPM,2,FALSE),"----"))</f>
        <v>----</v>
      </c>
      <c r="DE112" s="691" t="e">
        <f t="shared" ca="1" si="1306"/>
        <v>#REF!</v>
      </c>
      <c r="DF112" s="4" t="e" cm="1">
        <f t="array" aca="1" ref="DF112" ca="1">IF(AND(INDEX(INDIRECT(BY107),DE112,4)&gt;=$AB113,INDEX(INDIRECT(BY107),DE112,5)&gt;=$S107,INDEX(INDIRECT(BY107),DE112,6)&gt;=$R107),1,0)</f>
        <v>#REF!</v>
      </c>
      <c r="DG112" s="4" t="e">
        <f t="shared" ref="DG112" ca="1" si="1388">MATCH(1,OFFSET(DF107:DF118,DH111,0,COUNT(DF107:DF118)-DH111),0)</f>
        <v>#REF!</v>
      </c>
      <c r="DH112" s="4" t="e">
        <f t="shared" ca="1" si="1308"/>
        <v>#REF!</v>
      </c>
      <c r="DI112" s="692" t="str" cm="1">
        <f t="array" aca="1" ref="DI112" ca="1">IFERROR(VLOOKUP(INDEX(DE107:DE118,DH112),INDIRECT(BY107),2,FALSE),"----")</f>
        <v>----</v>
      </c>
      <c r="DJ112" s="691" t="e">
        <f t="shared" ca="1" si="1309"/>
        <v>#N/A</v>
      </c>
      <c r="DK112" s="4" t="e">
        <f ca="1">IF(AND(INDEX(SSM,DJ112,4)&gt;=$AB113,INDEX(SSM,DJ112,5)&gt;=$S107,INDEX(SSM,DJ112,6)&gt;=$R107),1,0)</f>
        <v>#N/A</v>
      </c>
      <c r="DL112" s="4" t="e">
        <f t="shared" ref="DL112" ca="1" si="1389">MATCH(1,OFFSET(DK107:DK118,DM111,0,COUNT(DK107:DK118)-DM111),0)</f>
        <v>#REF!</v>
      </c>
      <c r="DM112" s="4" t="e">
        <f t="shared" ca="1" si="1311"/>
        <v>#REF!</v>
      </c>
      <c r="DN112" s="692" t="str">
        <f ca="1">IFERROR(IF(AD114="Nested Steel Stud (wood infill)",VLOOKUP(INDEX(DJ107:DJ118,DM112),SSW,2,FALSE),VLOOKUP(INDEX(DJ107:DJ118,DM112),SSM,2,FALSE)),"----")</f>
        <v>----</v>
      </c>
      <c r="DO112" s="691" t="e">
        <f t="shared" ca="1" si="1312"/>
        <v>#N/A</v>
      </c>
      <c r="DP112" s="4" t="e">
        <f ca="1">IF(AND(INDEX(WSM,DO112,4)&gt;=$AB113,INDEX(WSM,DO112,5)&gt;=$S107,INDEX(WSM,DO112,6)&gt;=$R107),1,0)</f>
        <v>#N/A</v>
      </c>
      <c r="DQ112" s="4" t="e">
        <f t="shared" ref="DQ112" ca="1" si="1390">MATCH(1,OFFSET(DP107:DP118,DR111,0,COUNT(DP107:DP118)-DR111),0)</f>
        <v>#REF!</v>
      </c>
      <c r="DR112" s="4" t="e">
        <f t="shared" ca="1" si="1314"/>
        <v>#REF!</v>
      </c>
      <c r="DS112" s="692" t="str">
        <f ca="1">IFERROR(VLOOKUP(INDEX(DO107:DO118,DR112),WSM,2,FALSE),"----")</f>
        <v>----</v>
      </c>
      <c r="DT112" s="691" t="e">
        <f t="shared" ca="1" si="1315"/>
        <v>#N/A</v>
      </c>
      <c r="DU112" s="4" t="e">
        <f ca="1">IF(AND(INDEX(STM,DT112,4)&gt;=$AB113,INDEX(STM,DT112,5)&gt;=$S107,INDEX(STM,DT112,6)&gt;=$R107),1,0)</f>
        <v>#N/A</v>
      </c>
      <c r="DV112" s="4" t="e">
        <f t="shared" ref="DV112" ca="1" si="1391">MATCH(1,OFFSET(DU107:DU118,DW111,0,COUNT(DU107:DU118)-DW111),0)</f>
        <v>#REF!</v>
      </c>
      <c r="DW112" s="4" t="e">
        <f t="shared" ca="1" si="1317"/>
        <v>#REF!</v>
      </c>
      <c r="DX112" s="692" t="str">
        <f ca="1">IFERROR(VLOOKUP(INDEX(DT107:DT118,DW112),STM,2,FALSE),"----")</f>
        <v>----</v>
      </c>
      <c r="DY112" s="691" t="e">
        <f t="shared" ca="1" si="1318"/>
        <v>#N/A</v>
      </c>
      <c r="DZ112" s="4" t="e">
        <f ca="1">IF(AND(INDEX(ELM,DY112,4)&gt;=$AB113,INDEX(ELM,DY112,5)&gt;=$S107,INDEX(ELM,DY112,6)&gt;=$R107),1,0)</f>
        <v>#N/A</v>
      </c>
      <c r="EA112" s="4" t="e">
        <f t="shared" ref="EA112" ca="1" si="1392">MATCH(1,OFFSET(DZ107:DZ118,EB111,0,COUNT(DZ107:DZ118)-EB111),0)</f>
        <v>#REF!</v>
      </c>
      <c r="EB112" s="4" t="e">
        <f t="shared" ca="1" si="1320"/>
        <v>#REF!</v>
      </c>
      <c r="EC112" s="692" t="str">
        <f ca="1">IFERROR(VLOOKUP(INDEX(DY107:DY118,EB112),ELM,2,FALSE),"----")</f>
        <v>----</v>
      </c>
      <c r="ED112" s="691" t="e">
        <f t="shared" ca="1" si="1321"/>
        <v>#N/A</v>
      </c>
      <c r="EE112" s="4" t="e">
        <f ca="1">IF(LEFT($J107,7)="Clad Wo",IF(AND(INDEX(SPPWS,ED112,4)&gt;=$AB113,INDEX(SPPWS,ED112,5)&gt;=$S107,INDEX(SPPWS,ED112,6)&gt;=$R107),1,0),IF(AND(INDEX(SPM,ED112,4)&gt;=$AB113,INDEX(SPM,ED112,5)&gt;=$S107,INDEX(SPM,ED112,6)&gt;=$R107),1,0))</f>
        <v>#N/A</v>
      </c>
      <c r="EF112" s="4" t="e">
        <f t="shared" ref="EF112" ca="1" si="1393">MATCH(1,OFFSET(EE107:EE118,EG111,0,COUNT(EE107:EE118)-EG111),0)</f>
        <v>#REF!</v>
      </c>
      <c r="EG112" s="4" t="e">
        <f t="shared" ca="1" si="1323"/>
        <v>#REF!</v>
      </c>
      <c r="EH112" s="692" t="str">
        <f ca="1">IF(LEFT($J107,7)="Clad Wo",IFERROR(VLOOKUP(INDEX(ED107:ED118,EG112),SPPWS,2,FALSE),"----"),IFERROR(VLOOKUP(INDEX(ED107:ED118,EG112),SPM,2,FALSE),"----"))</f>
        <v>----</v>
      </c>
    </row>
    <row r="113" spans="1:138" ht="15" customHeight="1" x14ac:dyDescent="0.25">
      <c r="A113" s="1085"/>
      <c r="B113" s="925" t="s">
        <v>409</v>
      </c>
      <c r="C113" s="926"/>
      <c r="D113" s="927"/>
      <c r="E113" s="995"/>
      <c r="F113" s="996"/>
      <c r="G113" s="997"/>
      <c r="H113" s="1062"/>
      <c r="I113" s="990"/>
      <c r="J113" s="908"/>
      <c r="K113" s="909"/>
      <c r="L113" s="1001">
        <f>L107+1</f>
        <v>5</v>
      </c>
      <c r="M113" s="1064" t="str">
        <f t="shared" ref="M113" si="1394">IFERROR(IF($AE$17="",IF($AG$19="Wind Loading",MIN($V$31,IF(E$11="ASCE 7-05",$U$26,$V$7)*$V$9*(IF($E$12&lt;60,0.156*LN(MAX(MIN(500,O107),10)) -1.7618,IF($E$11="ASCE 7-22", 0.2026*LN(MAX(MIN(500,O107),20))-2.2638,0.2503*LN(MAX(MIN(500,O107),20)) -2.5526))-$V$8)),$V$7*IF(E$12&lt;60,$V$13*($V$15*(0.156*LN(MAX(MIN(500,O107),10)) -1.7618)-$V$16),$V$13*$V$15*((0.2026*LN(MAX(MIN(500,O107),20))-2.2638)-$V$16))),-ABS($AE$17)),"")</f>
        <v/>
      </c>
      <c r="N113" s="1041" t="str">
        <f t="shared" ref="N113" si="1395">IFERROR(IF($AE$19="",IF($AG$19="Wind Loading",MAX($U$31,IF(E$11="ASCE 7-05",$U$26,$V$7)*$V$9*((IF($E$12&lt;60,-0.077*LN(MAX(MIN(500,O107),10))+1.1737,IF($E$11="ASCE 7-22",-0.077*LN(MAX(MIN(500,O107),20))+1.0798,-0.093*LN(MAX(MIN(500,O107),20))+1.1776)))+$V$8)),$V$7*IF(E$12&lt;60,$V$13*($V$15*(-0.077*LN(MAX(MIN(500,O107),10))+1.1737)-$V$17),$V$13*$V$15*((-0.077*LN(MAX(MIN(500,O107),20))+1.0798)-$V$17))),ABS($AE$19)),"")</f>
        <v/>
      </c>
      <c r="O113" s="1018"/>
      <c r="P113" s="987"/>
      <c r="Q113" s="1015"/>
      <c r="R113" s="1012">
        <f>P113*Q113/8</f>
        <v>0</v>
      </c>
      <c r="S113" s="1006"/>
      <c r="T113" s="1007"/>
      <c r="U113" s="878"/>
      <c r="V113" s="881"/>
      <c r="W113" s="883" t="e">
        <f t="shared" ref="W113" si="1396">MAX(-M113,N113)*O107</f>
        <v>#VALUE!</v>
      </c>
      <c r="X113" s="884"/>
      <c r="Y113" s="886">
        <f>IFERROR(IF(AG$14="Trapezoidal",BY116,BX116)+IF($E$17="4",(400*E107^3)/(48*X107),0),0)</f>
        <v>0</v>
      </c>
      <c r="Z113" s="886" t="e">
        <f t="shared" ref="Z113" si="1397">+($V107*MAX(-$M113,$N113)*$E107^2)/(144*8)+IF($E$17=4,(400*$E107)/4,0)</f>
        <v>#VALUE!</v>
      </c>
      <c r="AA113" s="887"/>
      <c r="AB113" s="1080" t="str">
        <f t="shared" ref="AB113" ca="1" si="1398">IFERROR(Z113-AA107,"")</f>
        <v/>
      </c>
      <c r="AC113" s="1086" t="str">
        <f t="shared" ref="AC113" ca="1" si="1399">IFERROR(Y113-U107,"")</f>
        <v/>
      </c>
      <c r="AD113" s="1074" t="str">
        <f t="shared" ref="AD113" si="1400">AD107</f>
        <v/>
      </c>
      <c r="AE113" s="1075"/>
      <c r="AF113" s="1056"/>
      <c r="AG113" s="1057"/>
      <c r="AH113" s="1057"/>
      <c r="AI113" s="1088"/>
      <c r="AJ113" s="1089"/>
      <c r="AK113" s="162" t="str">
        <f t="shared" ca="1" si="1130"/>
        <v/>
      </c>
      <c r="AL113" s="1058" t="str">
        <f t="shared" ref="AL113" si="1401">IFERROR(ROUND(SQRT(P107^2+(W113/2+IF($E$17=4,200,0))^2),0),"")</f>
        <v/>
      </c>
      <c r="AM113" s="342" t="s">
        <v>669</v>
      </c>
      <c r="AN113" t="str">
        <f t="shared" ca="1" si="1154"/>
        <v/>
      </c>
      <c r="AP113" s="122" t="str">
        <f t="shared" ref="AP113" si="1402">_xlfn.CONCAT(AR113,AS118)</f>
        <v/>
      </c>
      <c r="AQ113" s="683" t="str">
        <f t="shared" si="1353"/>
        <v/>
      </c>
      <c r="AR113" s="96" t="str">
        <f t="shared" si="1114"/>
        <v/>
      </c>
      <c r="AS113" s="96" t="str">
        <f>IF(COUNTIF(imp_1,AF113)=1,"imp_1",IF(COUNTIF(imp_2,AF113)=1,"imp_2",IF(COUNTIF(imp_3,AF113)=1,"imp_3",IF(COUNTIF(impdoor,AF113)=1,"impdoor",""))))</f>
        <v/>
      </c>
      <c r="AT113" s="684" t="str">
        <f>AL113</f>
        <v/>
      </c>
      <c r="AU113" s="685" t="e">
        <f t="shared" ca="1" si="1370"/>
        <v>#REF!</v>
      </c>
      <c r="AV113" s="686" t="str">
        <f ca="1">IFERROR(VLOOKUP(AU113,INDIRECT(AQ107),2,FALSE),"----")</f>
        <v>----</v>
      </c>
      <c r="AW113" s="685" t="e">
        <f t="shared" ca="1" si="1371"/>
        <v>#REF!</v>
      </c>
      <c r="AX113" s="686" t="str">
        <f ca="1">IFERROR(VLOOKUP(AW113,INDIRECT(AQ108),2,FALSE),"----")</f>
        <v>----</v>
      </c>
      <c r="AY113" s="685" t="e">
        <f t="shared" ca="1" si="1132"/>
        <v>#REF!</v>
      </c>
      <c r="AZ113" s="686" t="str">
        <f ca="1">IFERROR(VLOOKUP(AY113,INDIRECT(AQ109),2,FALSE),"----")</f>
        <v>----</v>
      </c>
      <c r="BA113" s="685" t="e">
        <f t="shared" ca="1" si="1133"/>
        <v>#REF!</v>
      </c>
      <c r="BB113" s="686" t="str">
        <f ca="1">IFERROR(VLOOKUP(BA113,INDIRECT(AQ110),2,FALSE),"----")</f>
        <v>----</v>
      </c>
      <c r="BC113" s="685" t="e">
        <f t="shared" ca="1" si="1374"/>
        <v>#REF!</v>
      </c>
      <c r="BD113" s="686" t="str">
        <f ca="1">IFERROR(VLOOKUP(BC113,INDIRECT(AQ111),2,FALSE),"----")</f>
        <v>----</v>
      </c>
      <c r="BE113" s="685" t="e">
        <f t="shared" ca="1" si="1375"/>
        <v>#REF!</v>
      </c>
      <c r="BF113" s="686" t="str">
        <f ca="1">IFERROR(VLOOKUP(BE113,INDIRECT(AQ112),2,FALSE),"----")</f>
        <v>----</v>
      </c>
      <c r="BG113" s="702" t="e">
        <f t="shared" ca="1" si="1376"/>
        <v>#REF!</v>
      </c>
      <c r="BH113" s="686" t="str">
        <f ca="1">IFERROR(VLOOKUP(BG113,INDIRECT(AQ113),2,FALSE),"----")</f>
        <v>----</v>
      </c>
      <c r="BI113" s="702" t="e">
        <f t="shared" ca="1" si="1377"/>
        <v>#REF!</v>
      </c>
      <c r="BJ113" s="686" t="str">
        <f ca="1">IFERROR(VLOOKUP(BI113,INDIRECT(AQ114),2,FALSE),"----")</f>
        <v>----</v>
      </c>
      <c r="BK113" s="702" t="e">
        <f t="shared" ca="1" si="1378"/>
        <v>#REF!</v>
      </c>
      <c r="BL113" s="686" t="str">
        <f ca="1">IFERROR(VLOOKUP(BK113,INDIRECT(AQ115),2,FALSE),"----")</f>
        <v>----</v>
      </c>
      <c r="BM113" s="702" t="e">
        <f t="shared" ca="1" si="1379"/>
        <v>#REF!</v>
      </c>
      <c r="BN113" s="686" t="str">
        <f ca="1">IFERROR(VLOOKUP(BM113,INDIRECT(AQ116),2,FALSE),"----")</f>
        <v>----</v>
      </c>
      <c r="BO113" s="702" t="e">
        <f t="shared" ca="1" si="1380"/>
        <v>#REF!</v>
      </c>
      <c r="BP113" s="686" t="str">
        <f ca="1">IFERROR(VLOOKUP(BO113,INDIRECT(AQ117),2,FALSE),"----")</f>
        <v>----</v>
      </c>
      <c r="BQ113" s="702" t="e">
        <f t="shared" ca="1" si="1381"/>
        <v>#REF!</v>
      </c>
      <c r="BR113" s="686" t="str">
        <f ca="1">IFERROR(VLOOKUP(BQ113,INDIRECT(AQ118),2,FALSE),"----")</f>
        <v>----</v>
      </c>
      <c r="BS113" s="695">
        <f>IF(AI113="",1,IF(COUNTIF(BH107:BH118,AI113)=0,2,1))</f>
        <v>1</v>
      </c>
      <c r="BT113" s="696">
        <f>IF(AP113="1",1,IF(AF113="",1,IF(BH107=".",2,1)))</f>
        <v>1</v>
      </c>
      <c r="BU113" s="706"/>
      <c r="BV113" s="155">
        <f ca="1">IF(COUNTIF(DI107:DI118,AF113)=0,IF(AF113&lt;&gt;"",0,1),1)</f>
        <v>1</v>
      </c>
      <c r="BW113" s="157">
        <f ca="1">IFERROR(MATCH(AF113,DI107:DI118,0),1)</f>
        <v>1</v>
      </c>
      <c r="BX113" s="769" t="s">
        <v>1593</v>
      </c>
      <c r="BY113" s="769" t="s">
        <v>1629</v>
      </c>
      <c r="BZ113" s="1110"/>
      <c r="CA113" s="691" t="e">
        <f t="shared" ca="1" si="1288"/>
        <v>#REF!</v>
      </c>
      <c r="CB113" s="4" t="e" cm="1">
        <f t="array" aca="1" ref="CB113" ca="1">IF(AND(INDEX(INDIRECT(BY107),CA113,4)&gt;=$AB107,INDEX(INDIRECT(BY107),CA113,5)&gt;=$S107,INDEX(INDIRECT(BY107),CA113,6)&gt;=$R107),1,0)</f>
        <v>#REF!</v>
      </c>
      <c r="CC113" s="4" t="e">
        <f t="shared" ref="CC113" ca="1" si="1403">MATCH(1,OFFSET(CB107:CB118,CD112,0,COUNT(CB107:CB118)-CD112),0)</f>
        <v>#REF!</v>
      </c>
      <c r="CD113" s="4" t="e">
        <f t="shared" ca="1" si="1290"/>
        <v>#REF!</v>
      </c>
      <c r="CE113" s="692" t="str" cm="1">
        <f t="array" aca="1" ref="CE113" ca="1">IFERROR(VLOOKUP(INDEX(CA107:CA118,CD113),INDIRECT(BY107),2,FALSE),"----")</f>
        <v>----</v>
      </c>
      <c r="CF113" s="691" t="e">
        <f t="shared" ca="1" si="1291"/>
        <v>#N/A</v>
      </c>
      <c r="CG113" s="4" t="e">
        <f ca="1">IF(AND(INDEX(SSM,CF113,4)&gt;=$AB107,INDEX(SSM,CF113,5)&gt;=$S107,INDEX(SSM,CF113,6)&gt;=$R107),1,0)</f>
        <v>#N/A</v>
      </c>
      <c r="CH113" s="4" t="e">
        <f t="shared" ref="CH113" ca="1" si="1404">MATCH(1,OFFSET(CG107:CG118,CI112,0,COUNT(CG107:CG118)-CI112),0)</f>
        <v>#REF!</v>
      </c>
      <c r="CI113" s="4" t="e">
        <f t="shared" ca="1" si="1293"/>
        <v>#REF!</v>
      </c>
      <c r="CJ113" s="692" t="str">
        <f ca="1">IFERROR(IF(AD108="Nested Steel Stud (wood infill)",VLOOKUP(INDEX(CF107:CF118,CI113),SSW,2,FALSE),VLOOKUP(INDEX(CF107:CF118,CI113),SSM,2,FALSE)),"----")</f>
        <v>----</v>
      </c>
      <c r="CK113" s="691" t="e">
        <f t="shared" ca="1" si="1294"/>
        <v>#N/A</v>
      </c>
      <c r="CL113" s="4" t="e">
        <f ca="1">IF(AND(INDEX(WSM,CK113,4)&gt;=$AB107,INDEX(WSM,CK113,5)&gt;=$S107,INDEX(WSM,CK113,6)&gt;=$R107),1,0)</f>
        <v>#N/A</v>
      </c>
      <c r="CM113" s="4" t="e">
        <f t="shared" ref="CM113" ca="1" si="1405">MATCH(1,OFFSET(CL107:CL118,CN112,0,COUNT(CL107:CL118)-CN112),0)</f>
        <v>#REF!</v>
      </c>
      <c r="CN113" s="4" t="e">
        <f t="shared" ca="1" si="1296"/>
        <v>#REF!</v>
      </c>
      <c r="CO113" s="692" t="str">
        <f ca="1">IFERROR(VLOOKUP(INDEX(CK107:CK118,CN113),WSM,2,FALSE),"----")</f>
        <v>----</v>
      </c>
      <c r="CP113" s="691" t="e">
        <f t="shared" ca="1" si="1297"/>
        <v>#N/A</v>
      </c>
      <c r="CQ113" s="4" t="e">
        <f ca="1">IF(AND(INDEX(STM,CP113,4)&gt;=$AB107,INDEX(STM,CP113,5)&gt;=$S107,INDEX(STM,CP113,6)&gt;=$R107),1,0)</f>
        <v>#N/A</v>
      </c>
      <c r="CR113" s="4" t="e">
        <f t="shared" ref="CR113" ca="1" si="1406">MATCH(1,OFFSET(CQ107:CQ118,CS112,0,COUNT(CQ107:CQ118)-CS112),0)</f>
        <v>#REF!</v>
      </c>
      <c r="CS113" s="4" t="e">
        <f t="shared" ca="1" si="1299"/>
        <v>#REF!</v>
      </c>
      <c r="CT113" s="692" t="str">
        <f ca="1">IFERROR(VLOOKUP(INDEX(CP107:CP118,CS113),STM,2,FALSE),"----")</f>
        <v>----</v>
      </c>
      <c r="CU113" s="691" t="e">
        <f t="shared" ca="1" si="1300"/>
        <v>#N/A</v>
      </c>
      <c r="CV113" s="4" t="e">
        <f ca="1">IF(AND(INDEX(ELM,CU113,4)&gt;=$AB107,INDEX(ELM,CU113,5)&gt;=$S107,INDEX(ELM,CU113,6)&gt;=$R107),1,0)</f>
        <v>#N/A</v>
      </c>
      <c r="CW113" s="4" t="e">
        <f t="shared" ref="CW113" ca="1" si="1407">MATCH(1,OFFSET(CV107:CV118,CX112,0,COUNT(CV107:CV118)-CX112),0)</f>
        <v>#REF!</v>
      </c>
      <c r="CX113" s="4" t="e">
        <f t="shared" ca="1" si="1302"/>
        <v>#REF!</v>
      </c>
      <c r="CY113" s="692" t="str">
        <f ca="1">IFERROR(VLOOKUP(INDEX(CU107:CU118,CX113),ELM,2,FALSE),"----")</f>
        <v>----</v>
      </c>
      <c r="CZ113" s="691" t="e">
        <f t="shared" ca="1" si="1303"/>
        <v>#N/A</v>
      </c>
      <c r="DA113" s="4" t="e">
        <f ca="1">IF(LEFT($J107,7)="Clad Wo",IF(AND(INDEX(SPPWS,CZ113,4)&gt;=$AB107,INDEX(SPPWS,CZ113,5)&gt;=$S107,INDEX(SPPWS,CZ113,6)&gt;=$R107),1,0),IF(AND(INDEX(SPM,CZ113,4)&gt;=$AB107,INDEX(SPM,CZ113,5)&gt;=$S107,INDEX(SPM,CZ113,6)&gt;=$R107),1,0))</f>
        <v>#N/A</v>
      </c>
      <c r="DB113" s="4" t="e">
        <f t="shared" ref="DB113" ca="1" si="1408">MATCH(1,OFFSET(DA107:DA118,DC112,0,COUNT(DA107:DA118)-DC112),0)</f>
        <v>#REF!</v>
      </c>
      <c r="DC113" s="4" t="e">
        <f t="shared" ca="1" si="1305"/>
        <v>#REF!</v>
      </c>
      <c r="DD113" s="693" t="str">
        <f ca="1">IF(LEFT($J107,7)="Clad Wo",IFERROR(VLOOKUP(INDEX(CZ107:CZ118,DC113),SPPWS,2,FALSE),"----"),IFERROR(VLOOKUP(INDEX(CZ107:CZ118,DC113),SPM,2,FALSE),"----"))</f>
        <v>----</v>
      </c>
      <c r="DE113" s="691" t="e">
        <f t="shared" ca="1" si="1306"/>
        <v>#REF!</v>
      </c>
      <c r="DF113" s="4" t="e" cm="1">
        <f t="array" aca="1" ref="DF113" ca="1">IF(AND(INDEX(INDIRECT(BY107),DE113,4)&gt;=$AB113,INDEX(INDIRECT(BY107),DE113,5)&gt;=$S107,INDEX(INDIRECT(BY107),DE113,6)&gt;=$R107),1,0)</f>
        <v>#REF!</v>
      </c>
      <c r="DG113" s="4" t="e">
        <f t="shared" ref="DG113" ca="1" si="1409">MATCH(1,OFFSET(DF107:DF118,DH112,0,COUNT(DF107:DF118)-DH112),0)</f>
        <v>#REF!</v>
      </c>
      <c r="DH113" s="4" t="e">
        <f t="shared" ca="1" si="1308"/>
        <v>#REF!</v>
      </c>
      <c r="DI113" s="692" t="str" cm="1">
        <f t="array" aca="1" ref="DI113" ca="1">IFERROR(VLOOKUP(INDEX(DE107:DE118,DH113),INDIRECT(BY107),2,FALSE),"----")</f>
        <v>----</v>
      </c>
      <c r="DJ113" s="691" t="e">
        <f t="shared" ca="1" si="1309"/>
        <v>#N/A</v>
      </c>
      <c r="DK113" s="4" t="e">
        <f ca="1">IF(AND(INDEX(SSM,DJ113,4)&gt;=$AB113,INDEX(SSM,DJ113,5)&gt;=$S107,INDEX(SSM,DJ113,6)&gt;=$R107),1,0)</f>
        <v>#N/A</v>
      </c>
      <c r="DL113" s="4" t="e">
        <f t="shared" ref="DL113" ca="1" si="1410">MATCH(1,OFFSET(DK107:DK118,DM112,0,COUNT(DK107:DK118)-DM112),0)</f>
        <v>#REF!</v>
      </c>
      <c r="DM113" s="4" t="e">
        <f t="shared" ca="1" si="1311"/>
        <v>#REF!</v>
      </c>
      <c r="DN113" s="692" t="str">
        <f ca="1">IFERROR(IF(AD114="Nested Steel Stud (wood infill)",VLOOKUP(INDEX(DJ107:DJ118,DM113),SSW,2,FALSE),VLOOKUP(INDEX(DJ107:DJ118,DM113),SSM,2,FALSE)),"----")</f>
        <v>----</v>
      </c>
      <c r="DO113" s="691" t="e">
        <f t="shared" ca="1" si="1312"/>
        <v>#N/A</v>
      </c>
      <c r="DP113" s="4" t="e">
        <f ca="1">IF(AND(INDEX(WSM,DO113,4)&gt;=$AB113,INDEX(WSM,DO113,5)&gt;=$S107,INDEX(WSM,DO113,6)&gt;=$R107),1,0)</f>
        <v>#N/A</v>
      </c>
      <c r="DQ113" s="4" t="e">
        <f t="shared" ref="DQ113" ca="1" si="1411">MATCH(1,OFFSET(DP107:DP118,DR112,0,COUNT(DP107:DP118)-DR112),0)</f>
        <v>#REF!</v>
      </c>
      <c r="DR113" s="4" t="e">
        <f t="shared" ca="1" si="1314"/>
        <v>#REF!</v>
      </c>
      <c r="DS113" s="692" t="str">
        <f ca="1">IFERROR(VLOOKUP(INDEX(DO107:DO118,DR113),WSM,2,FALSE),"----")</f>
        <v>----</v>
      </c>
      <c r="DT113" s="691" t="e">
        <f t="shared" ca="1" si="1315"/>
        <v>#N/A</v>
      </c>
      <c r="DU113" s="4" t="e">
        <f ca="1">IF(AND(INDEX(STM,DT113,4)&gt;=$AB113,INDEX(STM,DT113,5)&gt;=$S107,INDEX(STM,DT113,6)&gt;=$R107),1,0)</f>
        <v>#N/A</v>
      </c>
      <c r="DV113" s="4" t="e">
        <f t="shared" ref="DV113" ca="1" si="1412">MATCH(1,OFFSET(DU107:DU118,DW112,0,COUNT(DU107:DU118)-DW112),0)</f>
        <v>#REF!</v>
      </c>
      <c r="DW113" s="4" t="e">
        <f t="shared" ca="1" si="1317"/>
        <v>#REF!</v>
      </c>
      <c r="DX113" s="692" t="str">
        <f ca="1">IFERROR(VLOOKUP(INDEX(DT107:DT118,DW113),STM,2,FALSE),"----")</f>
        <v>----</v>
      </c>
      <c r="DY113" s="691" t="e">
        <f t="shared" ca="1" si="1318"/>
        <v>#N/A</v>
      </c>
      <c r="DZ113" s="4" t="e">
        <f ca="1">IF(AND(INDEX(ELM,DY113,4)&gt;=$AB113,INDEX(ELM,DY113,5)&gt;=$S107,INDEX(ELM,DY113,6)&gt;=$R107),1,0)</f>
        <v>#N/A</v>
      </c>
      <c r="EA113" s="4" t="e">
        <f t="shared" ref="EA113" ca="1" si="1413">MATCH(1,OFFSET(DZ107:DZ118,EB112,0,COUNT(DZ107:DZ118)-EB112),0)</f>
        <v>#REF!</v>
      </c>
      <c r="EB113" s="4" t="e">
        <f t="shared" ca="1" si="1320"/>
        <v>#REF!</v>
      </c>
      <c r="EC113" s="692" t="str">
        <f ca="1">IFERROR(VLOOKUP(INDEX(DY107:DY118,EB113),ELM,2,FALSE),"----")</f>
        <v>----</v>
      </c>
      <c r="ED113" s="691" t="e">
        <f t="shared" ca="1" si="1321"/>
        <v>#N/A</v>
      </c>
      <c r="EE113" s="4" t="e">
        <f ca="1">IF(LEFT($J107,7)="Clad Wo",IF(AND(INDEX(SPPWS,ED113,4)&gt;=$AB113,INDEX(SPPWS,ED113,5)&gt;=$S107,INDEX(SPPWS,ED113,6)&gt;=$R107),1,0),IF(AND(INDEX(SPM,ED113,4)&gt;=$AB113,INDEX(SPM,ED113,5)&gt;=$S107,INDEX(SPM,ED113,6)&gt;=$R107),1,0))</f>
        <v>#N/A</v>
      </c>
      <c r="EF113" s="4" t="e">
        <f t="shared" ref="EF113" ca="1" si="1414">MATCH(1,OFFSET(EE107:EE118,EG112,0,COUNT(EE107:EE118)-EG112),0)</f>
        <v>#REF!</v>
      </c>
      <c r="EG113" s="4" t="e">
        <f t="shared" ca="1" si="1323"/>
        <v>#REF!</v>
      </c>
      <c r="EH113" s="692" t="str">
        <f ca="1">IF(LEFT($J107,7)="Clad Wo",IFERROR(VLOOKUP(INDEX(ED107:ED118,EG113),SPPWS,2,FALSE),"----"),IFERROR(VLOOKUP(INDEX(ED107:ED118,EG113),SPM,2,FALSE),"----"))</f>
        <v>----</v>
      </c>
    </row>
    <row r="114" spans="1:138" ht="15" customHeight="1" x14ac:dyDescent="0.25">
      <c r="A114" s="1085"/>
      <c r="B114" s="925"/>
      <c r="C114" s="926"/>
      <c r="D114" s="927"/>
      <c r="E114" s="995"/>
      <c r="F114" s="996"/>
      <c r="G114" s="997"/>
      <c r="H114" s="1062"/>
      <c r="I114" s="990"/>
      <c r="J114" s="912"/>
      <c r="K114" s="913"/>
      <c r="L114" s="1002"/>
      <c r="M114" s="923"/>
      <c r="N114" s="1042"/>
      <c r="O114" s="1018"/>
      <c r="P114" s="987"/>
      <c r="Q114" s="1015"/>
      <c r="R114" s="1012"/>
      <c r="S114" s="1006"/>
      <c r="T114" s="1007"/>
      <c r="U114" s="878"/>
      <c r="V114" s="881"/>
      <c r="W114" s="884"/>
      <c r="X114" s="884"/>
      <c r="Y114" s="887"/>
      <c r="Z114" s="887"/>
      <c r="AA114" s="887"/>
      <c r="AB114" s="1081"/>
      <c r="AC114" s="1078"/>
      <c r="AD114" s="1070" t="str">
        <f t="shared" ref="AD114" si="1415">IF(ISBLANK(AD108)=TRUE,"",AD108)</f>
        <v>Nested Steel Stud</v>
      </c>
      <c r="AE114" s="1071"/>
      <c r="AF114" s="1052"/>
      <c r="AG114" s="1053"/>
      <c r="AH114" s="1053"/>
      <c r="AI114" s="1066"/>
      <c r="AJ114" s="1067"/>
      <c r="AK114" s="156" t="str">
        <f t="shared" ca="1" si="1130"/>
        <v/>
      </c>
      <c r="AL114" s="1059"/>
      <c r="AM114" s="343" t="str">
        <f ca="1">IFERROR(Q107/12*ROUND(VLOOKUP(AF114,OFFSET(SSM,0,1),6,FALSE),2),"")</f>
        <v/>
      </c>
      <c r="AN114" t="str">
        <f t="shared" ca="1" si="1154"/>
        <v/>
      </c>
      <c r="AP114" s="122" t="str">
        <f t="shared" ref="AP114" si="1416">_xlfn.CONCAT(AR114,AS118)</f>
        <v/>
      </c>
      <c r="AQ114" s="683" t="str">
        <f t="shared" si="1353"/>
        <v/>
      </c>
      <c r="AR114" s="96" t="str">
        <f t="shared" si="1114"/>
        <v/>
      </c>
      <c r="AS114" s="96" t="str">
        <f>IF(COUNTIF(Vista_1,AF113)=1,"Vista_1",IF(COUNTIF(Vista_2,AF113)=1,"Vista_2",""))</f>
        <v/>
      </c>
      <c r="AT114" s="684" t="str">
        <f>AL113</f>
        <v/>
      </c>
      <c r="AU114" s="694" t="e">
        <f t="shared" ca="1" si="1370"/>
        <v>#REF!</v>
      </c>
      <c r="AV114" s="686" t="str">
        <f ca="1">IFERROR(VLOOKUP(AU114,INDIRECT(AQ107),2,FALSE),"----")</f>
        <v>----</v>
      </c>
      <c r="AW114" s="694" t="e">
        <f t="shared" ca="1" si="1371"/>
        <v>#REF!</v>
      </c>
      <c r="AX114" s="686" t="str">
        <f ca="1">IFERROR(VLOOKUP(AW114,INDIRECT(AQ108),2,FALSE),"----")</f>
        <v>----</v>
      </c>
      <c r="AY114" s="694" t="e">
        <f t="shared" ca="1" si="1132"/>
        <v>#REF!</v>
      </c>
      <c r="AZ114" s="686" t="str">
        <f ca="1">IFERROR(VLOOKUP(AY114,INDIRECT(AQ109),2,FALSE),"----")</f>
        <v>----</v>
      </c>
      <c r="BA114" s="694" t="e">
        <f t="shared" ca="1" si="1133"/>
        <v>#REF!</v>
      </c>
      <c r="BB114" s="686" t="str">
        <f ca="1">IFERROR(VLOOKUP(BA114,INDIRECT(AQ110),2,FALSE),"----")</f>
        <v>----</v>
      </c>
      <c r="BC114" s="694" t="e">
        <f t="shared" ca="1" si="1374"/>
        <v>#REF!</v>
      </c>
      <c r="BD114" s="686" t="str">
        <f ca="1">IFERROR(VLOOKUP(BC114,INDIRECT(AQ111),2,FALSE),"----")</f>
        <v>----</v>
      </c>
      <c r="BE114" s="694" t="e">
        <f t="shared" ca="1" si="1375"/>
        <v>#REF!</v>
      </c>
      <c r="BF114" s="686" t="str">
        <f ca="1">IFERROR(VLOOKUP(BE114,INDIRECT(AQ112),2,FALSE),"----")</f>
        <v>----</v>
      </c>
      <c r="BG114" s="702" t="e">
        <f t="shared" ca="1" si="1376"/>
        <v>#REF!</v>
      </c>
      <c r="BH114" s="686" t="str">
        <f ca="1">IFERROR(VLOOKUP(BG114,INDIRECT(AQ113),2,FALSE),"----")</f>
        <v>----</v>
      </c>
      <c r="BI114" s="702" t="e">
        <f t="shared" ca="1" si="1377"/>
        <v>#REF!</v>
      </c>
      <c r="BJ114" s="686" t="str">
        <f ca="1">IFERROR(VLOOKUP(BI114,INDIRECT(AQ114),2,FALSE),"----")</f>
        <v>----</v>
      </c>
      <c r="BK114" s="702" t="e">
        <f t="shared" ca="1" si="1378"/>
        <v>#REF!</v>
      </c>
      <c r="BL114" s="686" t="str">
        <f ca="1">IFERROR(VLOOKUP(BK114,INDIRECT(AQ115),2,FALSE),"----")</f>
        <v>----</v>
      </c>
      <c r="BM114" s="702" t="e">
        <f t="shared" ca="1" si="1379"/>
        <v>#REF!</v>
      </c>
      <c r="BN114" s="686" t="str">
        <f ca="1">IFERROR(VLOOKUP(BM114,INDIRECT(AQ116),2,FALSE),"----")</f>
        <v>----</v>
      </c>
      <c r="BO114" s="702" t="e">
        <f t="shared" ca="1" si="1380"/>
        <v>#REF!</v>
      </c>
      <c r="BP114" s="686" t="str">
        <f ca="1">IFERROR(VLOOKUP(BO114,INDIRECT(AQ117),2,FALSE),"----")</f>
        <v>----</v>
      </c>
      <c r="BQ114" s="702" t="e">
        <f t="shared" ca="1" si="1381"/>
        <v>#REF!</v>
      </c>
      <c r="BR114" s="686" t="str">
        <f ca="1">IFERROR(VLOOKUP(BQ114,INDIRECT(AQ118),2,FALSE),"----")</f>
        <v>----</v>
      </c>
      <c r="BS114" s="695">
        <f>IF(AI114="",1,IF(COUNTIF(BJ107:BJ118,AI114)=0,2,1))</f>
        <v>1</v>
      </c>
      <c r="BT114" s="696">
        <f>IF(AF114="",1,IF(BJ107=".",2,1))</f>
        <v>1</v>
      </c>
      <c r="BU114" s="706"/>
      <c r="BV114" s="155">
        <f ca="1">IF(COUNTIF(DN107:DN118,AF114)=0,IF(AF114&lt;&gt;"",0,1),1)</f>
        <v>1</v>
      </c>
      <c r="BW114" s="157">
        <f ca="1">IFERROR(MATCH(AF114,DN107:DN118,0),1)</f>
        <v>1</v>
      </c>
      <c r="BX114" s="769">
        <f t="shared" ref="BX114" si="1417">E107*(H107+I107)/144/2</f>
        <v>0</v>
      </c>
      <c r="BY114" s="769">
        <f>SUM(IF(H107&gt;E107,E107^2/4,(H107*E107/2)-(H107^2/4))/144,IF(I107&gt;E107,E107^2/4,(I107*E107/2)-(I107^2/4))/144)</f>
        <v>0</v>
      </c>
      <c r="BZ114" s="1110"/>
      <c r="CA114" s="691" t="e">
        <f t="shared" ca="1" si="1288"/>
        <v>#REF!</v>
      </c>
      <c r="CB114" s="4" t="e" cm="1">
        <f t="array" aca="1" ref="CB114" ca="1">IF(AND(INDEX(INDIRECT(BY107),CA114,4)&gt;=$AB107,INDEX(INDIRECT(BY107),CA114,5)&gt;=$S107,INDEX(INDIRECT(BY107),CA114,6)&gt;=$R107),1,0)</f>
        <v>#REF!</v>
      </c>
      <c r="CC114" s="4" t="e">
        <f t="shared" ref="CC114" ca="1" si="1418">MATCH(1,OFFSET(CB107:CB118,CD113,0,COUNT(CB107:CB118)-CD113),0)</f>
        <v>#REF!</v>
      </c>
      <c r="CD114" s="4" t="e">
        <f t="shared" ca="1" si="1290"/>
        <v>#REF!</v>
      </c>
      <c r="CE114" s="692" t="str" cm="1">
        <f t="array" aca="1" ref="CE114" ca="1">IFERROR(VLOOKUP(INDEX(CA107:CA118,CD114),INDIRECT(BY107),2,FALSE),"----")</f>
        <v>----</v>
      </c>
      <c r="CF114" s="691" t="e">
        <f t="shared" ca="1" si="1291"/>
        <v>#N/A</v>
      </c>
      <c r="CG114" s="4" t="e">
        <f ca="1">IF(AND(INDEX(SSM,CF114,4)&gt;=$AB107,INDEX(SSM,CF114,5)&gt;=$S107,INDEX(SSM,CF114,6)&gt;=$R107),1,0)</f>
        <v>#N/A</v>
      </c>
      <c r="CH114" s="4" t="e">
        <f t="shared" ref="CH114" ca="1" si="1419">MATCH(1,OFFSET(CG107:CG118,CI113,0,COUNT(CG107:CG118)-CI113),0)</f>
        <v>#REF!</v>
      </c>
      <c r="CI114" s="4" t="e">
        <f t="shared" ca="1" si="1293"/>
        <v>#REF!</v>
      </c>
      <c r="CJ114" s="692" t="str">
        <f ca="1">IFERROR(IF(AD108="Nested Steel Stud (wood infill)",VLOOKUP(INDEX(CF107:CF118,CI114),SSW,2,FALSE),VLOOKUP(INDEX(CF107:CF118,CI114),SSM,2,FALSE)),"----")</f>
        <v>----</v>
      </c>
      <c r="CK114" s="691" t="e">
        <f t="shared" ca="1" si="1294"/>
        <v>#N/A</v>
      </c>
      <c r="CL114" s="4" t="e">
        <f ca="1">IF(AND(INDEX(WSM,CK114,4)&gt;=$AB107,INDEX(WSM,CK114,5)&gt;=$S107,INDEX(WSM,CK114,6)&gt;=$R107),1,0)</f>
        <v>#N/A</v>
      </c>
      <c r="CM114" s="4" t="e">
        <f t="shared" ref="CM114" ca="1" si="1420">MATCH(1,OFFSET(CL107:CL118,CN113,0,COUNT(CL107:CL118)-CN113),0)</f>
        <v>#REF!</v>
      </c>
      <c r="CN114" s="4" t="e">
        <f t="shared" ca="1" si="1296"/>
        <v>#REF!</v>
      </c>
      <c r="CO114" s="692" t="str">
        <f ca="1">IFERROR(VLOOKUP(INDEX(CK107:CK118,CN114),WSM,2,FALSE),"----")</f>
        <v>----</v>
      </c>
      <c r="CP114" s="691" t="e">
        <f t="shared" ca="1" si="1297"/>
        <v>#N/A</v>
      </c>
      <c r="CQ114" s="4" t="e">
        <f ca="1">IF(AND(INDEX(STM,CP114,4)&gt;=$AB107,INDEX(STM,CP114,5)&gt;=$S107,INDEX(STM,CP114,6)&gt;=$R107),1,0)</f>
        <v>#N/A</v>
      </c>
      <c r="CR114" s="4" t="e">
        <f t="shared" ref="CR114" ca="1" si="1421">MATCH(1,OFFSET(CQ107:CQ118,CS113,0,COUNT(CQ107:CQ118)-CS113),0)</f>
        <v>#REF!</v>
      </c>
      <c r="CS114" s="4" t="e">
        <f t="shared" ca="1" si="1299"/>
        <v>#REF!</v>
      </c>
      <c r="CT114" s="692" t="str">
        <f ca="1">IFERROR(VLOOKUP(INDEX(CP107:CP118,CS114),STM,2,FALSE),"----")</f>
        <v>----</v>
      </c>
      <c r="CU114" s="691" t="e">
        <f t="shared" ca="1" si="1300"/>
        <v>#N/A</v>
      </c>
      <c r="CV114" s="4" t="e">
        <f ca="1">IF(AND(INDEX(ELM,CU114,4)&gt;=$AB107,INDEX(ELM,CU114,5)&gt;=$S107,INDEX(ELM,CU114,6)&gt;=$R107),1,0)</f>
        <v>#N/A</v>
      </c>
      <c r="CW114" s="4" t="e">
        <f t="shared" ref="CW114" ca="1" si="1422">MATCH(1,OFFSET(CV107:CV118,CX113,0,COUNT(CV107:CV118)-CX113),0)</f>
        <v>#REF!</v>
      </c>
      <c r="CX114" s="4" t="e">
        <f t="shared" ca="1" si="1302"/>
        <v>#REF!</v>
      </c>
      <c r="CY114" s="692" t="str">
        <f ca="1">IFERROR(VLOOKUP(INDEX(CU107:CU118,CX114),ELM,2,FALSE),"----")</f>
        <v>----</v>
      </c>
      <c r="CZ114" s="691" t="e">
        <f t="shared" ca="1" si="1303"/>
        <v>#N/A</v>
      </c>
      <c r="DA114" s="4" t="e">
        <f ca="1">IF(LEFT($J107,7)="Clad Wo",IF(AND(INDEX(SPPWS,CZ114,4)&gt;=$AB107,INDEX(SPPWS,CZ114,5)&gt;=$S107,INDEX(SPPWS,CZ114,6)&gt;=$R107),1,0),IF(AND(INDEX(SPM,CZ114,4)&gt;=$AB107,INDEX(SPM,CZ114,5)&gt;=$S107,INDEX(SPM,CZ114,6)&gt;=$R107),1,0))</f>
        <v>#N/A</v>
      </c>
      <c r="DB114" s="4" t="e">
        <f t="shared" ref="DB114" ca="1" si="1423">MATCH(1,OFFSET(DA107:DA118,DC113,0,COUNT(DA107:DA118)-DC113),0)</f>
        <v>#REF!</v>
      </c>
      <c r="DC114" s="4" t="e">
        <f t="shared" ca="1" si="1305"/>
        <v>#REF!</v>
      </c>
      <c r="DD114" s="693" t="str">
        <f ca="1">IF(LEFT($J107,7)="Clad Wo",IFERROR(VLOOKUP(INDEX(CZ107:CZ118,DC114),SPPWS,2,FALSE),"----"),IFERROR(VLOOKUP(INDEX(CZ107:CZ118,DC114),SPM,2,FALSE),"----"))</f>
        <v>----</v>
      </c>
      <c r="DE114" s="691" t="e">
        <f t="shared" ca="1" si="1306"/>
        <v>#REF!</v>
      </c>
      <c r="DF114" s="4" t="e" cm="1">
        <f t="array" aca="1" ref="DF114" ca="1">IF(AND(INDEX(INDIRECT(BY107),DE114,4)&gt;=$AB113,INDEX(INDIRECT(BY107),DE114,5)&gt;=$S107,INDEX(INDIRECT(BY107),DE114,6)&gt;=$R107),1,0)</f>
        <v>#REF!</v>
      </c>
      <c r="DG114" s="4" t="e">
        <f t="shared" ref="DG114" ca="1" si="1424">MATCH(1,OFFSET(DF107:DF118,DH113,0,COUNT(DF107:DF118)-DH113),0)</f>
        <v>#REF!</v>
      </c>
      <c r="DH114" s="4" t="e">
        <f t="shared" ca="1" si="1308"/>
        <v>#REF!</v>
      </c>
      <c r="DI114" s="692" t="str" cm="1">
        <f t="array" aca="1" ref="DI114" ca="1">IFERROR(VLOOKUP(INDEX(DE107:DE118,DH114),INDIRECT(BY107),2,FALSE),"----")</f>
        <v>----</v>
      </c>
      <c r="DJ114" s="691" t="e">
        <f t="shared" ca="1" si="1309"/>
        <v>#N/A</v>
      </c>
      <c r="DK114" s="4" t="e">
        <f ca="1">IF(AND(INDEX(SSM,DJ114,4)&gt;=$AB113,INDEX(SSM,DJ114,5)&gt;=$S107,INDEX(SSM,DJ114,6)&gt;=$R107),1,0)</f>
        <v>#N/A</v>
      </c>
      <c r="DL114" s="4" t="e">
        <f t="shared" ref="DL114" ca="1" si="1425">MATCH(1,OFFSET(DK107:DK118,DM113,0,COUNT(DK107:DK118)-DM113),0)</f>
        <v>#REF!</v>
      </c>
      <c r="DM114" s="4" t="e">
        <f t="shared" ca="1" si="1311"/>
        <v>#REF!</v>
      </c>
      <c r="DN114" s="692" t="str">
        <f ca="1">IFERROR(IF(AD114="Nested Steel Stud (wood infill)",VLOOKUP(INDEX(DJ107:DJ118,DM114),SSW,2,FALSE),VLOOKUP(INDEX(DJ107:DJ118,DM114),SSM,2,FALSE)),"----")</f>
        <v>----</v>
      </c>
      <c r="DO114" s="691" t="e">
        <f t="shared" ca="1" si="1312"/>
        <v>#N/A</v>
      </c>
      <c r="DP114" s="4" t="e">
        <f ca="1">IF(AND(INDEX(WSM,DO114,4)&gt;=$AB113,INDEX(WSM,DO114,5)&gt;=$S107,INDEX(WSM,DO114,6)&gt;=$R107),1,0)</f>
        <v>#N/A</v>
      </c>
      <c r="DQ114" s="4" t="e">
        <f t="shared" ref="DQ114" ca="1" si="1426">MATCH(1,OFFSET(DP107:DP118,DR113,0,COUNT(DP107:DP118)-DR113),0)</f>
        <v>#REF!</v>
      </c>
      <c r="DR114" s="4" t="e">
        <f t="shared" ca="1" si="1314"/>
        <v>#REF!</v>
      </c>
      <c r="DS114" s="692" t="str">
        <f ca="1">IFERROR(VLOOKUP(INDEX(DO107:DO118,DR114),WSM,2,FALSE),"----")</f>
        <v>----</v>
      </c>
      <c r="DT114" s="691" t="e">
        <f t="shared" ca="1" si="1315"/>
        <v>#N/A</v>
      </c>
      <c r="DU114" s="4" t="e">
        <f ca="1">IF(AND(INDEX(STM,DT114,4)&gt;=$AB113,INDEX(STM,DT114,5)&gt;=$S107,INDEX(STM,DT114,6)&gt;=$R107),1,0)</f>
        <v>#N/A</v>
      </c>
      <c r="DV114" s="4" t="e">
        <f t="shared" ref="DV114" ca="1" si="1427">MATCH(1,OFFSET(DU107:DU118,DW113,0,COUNT(DU107:DU118)-DW113),0)</f>
        <v>#REF!</v>
      </c>
      <c r="DW114" s="4" t="e">
        <f t="shared" ca="1" si="1317"/>
        <v>#REF!</v>
      </c>
      <c r="DX114" s="692" t="str">
        <f ca="1">IFERROR(VLOOKUP(INDEX(DT107:DT118,DW114),STM,2,FALSE),"----")</f>
        <v>----</v>
      </c>
      <c r="DY114" s="691" t="e">
        <f t="shared" ca="1" si="1318"/>
        <v>#N/A</v>
      </c>
      <c r="DZ114" s="4" t="e">
        <f ca="1">IF(AND(INDEX(ELM,DY114,4)&gt;=$AB113,INDEX(ELM,DY114,5)&gt;=$S107,INDEX(ELM,DY114,6)&gt;=$R107),1,0)</f>
        <v>#N/A</v>
      </c>
      <c r="EA114" s="4" t="e">
        <f t="shared" ref="EA114" ca="1" si="1428">MATCH(1,OFFSET(DZ107:DZ118,EB113,0,COUNT(DZ107:DZ118)-EB113),0)</f>
        <v>#REF!</v>
      </c>
      <c r="EB114" s="4" t="e">
        <f t="shared" ca="1" si="1320"/>
        <v>#REF!</v>
      </c>
      <c r="EC114" s="692" t="str">
        <f ca="1">IFERROR(VLOOKUP(INDEX(DY107:DY118,EB114),ELM,2,FALSE),"----")</f>
        <v>----</v>
      </c>
      <c r="ED114" s="691" t="e">
        <f t="shared" ca="1" si="1321"/>
        <v>#N/A</v>
      </c>
      <c r="EE114" s="4" t="e">
        <f ca="1">IF(LEFT($J107,7)="Clad Wo",IF(AND(INDEX(SPPWS,ED114,4)&gt;=$AB113,INDEX(SPPWS,ED114,5)&gt;=$S107,INDEX(SPPWS,ED114,6)&gt;=$R107),1,0),IF(AND(INDEX(SPM,ED114,4)&gt;=$AB113,INDEX(SPM,ED114,5)&gt;=$S107,INDEX(SPM,ED114,6)&gt;=$R107),1,0))</f>
        <v>#N/A</v>
      </c>
      <c r="EF114" s="4" t="e">
        <f t="shared" ref="EF114" ca="1" si="1429">MATCH(1,OFFSET(EE107:EE118,EG113,0,COUNT(EE107:EE118)-EG113),0)</f>
        <v>#REF!</v>
      </c>
      <c r="EG114" s="4" t="e">
        <f t="shared" ca="1" si="1323"/>
        <v>#REF!</v>
      </c>
      <c r="EH114" s="692" t="str">
        <f ca="1">IF(LEFT($J107,7)="Clad Wo",IFERROR(VLOOKUP(INDEX(ED107:ED118,EG114),SPPWS,2,FALSE),"----"),IFERROR(VLOOKUP(INDEX(ED107:ED118,EG114),SPM,2,FALSE),"----"))</f>
        <v>----</v>
      </c>
    </row>
    <row r="115" spans="1:138" ht="15" customHeight="1" x14ac:dyDescent="0.25">
      <c r="A115" s="1085"/>
      <c r="B115" s="925"/>
      <c r="C115" s="926"/>
      <c r="D115" s="927"/>
      <c r="E115" s="995"/>
      <c r="F115" s="996"/>
      <c r="G115" s="997"/>
      <c r="H115" s="1062"/>
      <c r="I115" s="990"/>
      <c r="J115" s="902"/>
      <c r="K115" s="903"/>
      <c r="L115" s="1002"/>
      <c r="M115" s="923"/>
      <c r="N115" s="1042"/>
      <c r="O115" s="1018"/>
      <c r="P115" s="987"/>
      <c r="Q115" s="1015"/>
      <c r="R115" s="1012"/>
      <c r="S115" s="1006"/>
      <c r="T115" s="1007"/>
      <c r="U115" s="878"/>
      <c r="V115" s="881"/>
      <c r="W115" s="884"/>
      <c r="X115" s="884"/>
      <c r="Y115" s="887"/>
      <c r="Z115" s="887"/>
      <c r="AA115" s="887"/>
      <c r="AB115" s="1081"/>
      <c r="AC115" s="1078"/>
      <c r="AD115" s="1070" t="str">
        <f t="shared" si="233"/>
        <v>Wood Stud Framing</v>
      </c>
      <c r="AE115" s="1071"/>
      <c r="AF115" s="1052"/>
      <c r="AG115" s="1053"/>
      <c r="AH115" s="1053"/>
      <c r="AI115" s="1066"/>
      <c r="AJ115" s="1067"/>
      <c r="AK115" s="156" t="str">
        <f t="shared" ca="1" si="1130"/>
        <v/>
      </c>
      <c r="AL115" s="1059"/>
      <c r="AM115" s="344" t="str">
        <f ca="1">IFERROR(Q107/12*ROUND(VLOOKUP(AF115,OFFSET(WSM,0,1),6,FALSE),2),"")</f>
        <v/>
      </c>
      <c r="AN115" t="str">
        <f t="shared" ca="1" si="1154"/>
        <v/>
      </c>
      <c r="AP115" s="122" t="str">
        <f t="shared" ref="AP115" si="1430">_xlfn.CONCAT(AR115,AS118)</f>
        <v/>
      </c>
      <c r="AQ115" s="683" t="str">
        <f t="shared" si="1353"/>
        <v/>
      </c>
      <c r="AR115" s="4" t="str">
        <f t="shared" si="1114"/>
        <v/>
      </c>
      <c r="AS115" s="4"/>
      <c r="AT115" s="697" t="str">
        <f>AL113</f>
        <v/>
      </c>
      <c r="AU115" s="694" t="e">
        <f t="shared" ca="1" si="1370"/>
        <v>#REF!</v>
      </c>
      <c r="AV115" s="686" t="str">
        <f ca="1">IFERROR(VLOOKUP(AU115,INDIRECT(AQ107),2,FALSE),"----")</f>
        <v>----</v>
      </c>
      <c r="AW115" s="694" t="e">
        <f t="shared" ca="1" si="1371"/>
        <v>#REF!</v>
      </c>
      <c r="AX115" s="686" t="str">
        <f ca="1">IFERROR(VLOOKUP(AW115,INDIRECT(AQ108),2,FALSE),"----")</f>
        <v>----</v>
      </c>
      <c r="AY115" s="694" t="e">
        <f t="shared" ca="1" si="1132"/>
        <v>#REF!</v>
      </c>
      <c r="AZ115" s="686" t="str">
        <f ca="1">IFERROR(VLOOKUP(AY115,INDIRECT(AQ109),2,FALSE),"----")</f>
        <v>----</v>
      </c>
      <c r="BA115" s="694" t="e">
        <f t="shared" ca="1" si="1133"/>
        <v>#REF!</v>
      </c>
      <c r="BB115" s="686" t="str">
        <f ca="1">IFERROR(VLOOKUP(BA115,INDIRECT(AQ110),2,FALSE),"----")</f>
        <v>----</v>
      </c>
      <c r="BC115" s="694" t="e">
        <f t="shared" ca="1" si="1374"/>
        <v>#REF!</v>
      </c>
      <c r="BD115" s="686" t="str">
        <f ca="1">IFERROR(VLOOKUP(BC115,INDIRECT(AQ111),2,FALSE),"----")</f>
        <v>----</v>
      </c>
      <c r="BE115" s="694" t="e">
        <f t="shared" ca="1" si="1375"/>
        <v>#REF!</v>
      </c>
      <c r="BF115" s="686" t="str">
        <f ca="1">IFERROR(VLOOKUP(BE115,INDIRECT(AQ112),2,FALSE),"----")</f>
        <v>----</v>
      </c>
      <c r="BG115" s="702" t="e">
        <f t="shared" ca="1" si="1376"/>
        <v>#REF!</v>
      </c>
      <c r="BH115" s="686" t="str">
        <f ca="1">IFERROR(VLOOKUP(BG115,INDIRECT(AQ113),2,FALSE),"----")</f>
        <v>----</v>
      </c>
      <c r="BI115" s="702" t="e">
        <f t="shared" ca="1" si="1377"/>
        <v>#REF!</v>
      </c>
      <c r="BJ115" s="686" t="str">
        <f ca="1">IFERROR(VLOOKUP(BI115,INDIRECT(AQ114),2,FALSE),"----")</f>
        <v>----</v>
      </c>
      <c r="BK115" s="702" t="e">
        <f t="shared" ca="1" si="1378"/>
        <v>#REF!</v>
      </c>
      <c r="BL115" s="686" t="str">
        <f ca="1">IFERROR(VLOOKUP(BK115,INDIRECT(AQ115),2,FALSE),"----")</f>
        <v>----</v>
      </c>
      <c r="BM115" s="702" t="e">
        <f t="shared" ca="1" si="1379"/>
        <v>#REF!</v>
      </c>
      <c r="BN115" s="686" t="str">
        <f ca="1">IFERROR(VLOOKUP(BM115,INDIRECT(AQ116),2,FALSE),"----")</f>
        <v>----</v>
      </c>
      <c r="BO115" s="702" t="e">
        <f t="shared" ca="1" si="1380"/>
        <v>#REF!</v>
      </c>
      <c r="BP115" s="686" t="str">
        <f ca="1">IFERROR(VLOOKUP(BO115,INDIRECT(AQ117),2,FALSE),"----")</f>
        <v>----</v>
      </c>
      <c r="BQ115" s="702" t="e">
        <f t="shared" ca="1" si="1381"/>
        <v>#REF!</v>
      </c>
      <c r="BR115" s="686" t="str">
        <f ca="1">IFERROR(VLOOKUP(BQ115,INDIRECT(AQ118),2,FALSE),"----")</f>
        <v>----</v>
      </c>
      <c r="BS115" s="695">
        <f>IF(AI115="",1,IF(COUNTIF(BL107:BL118,AI115)=0,2,1))</f>
        <v>1</v>
      </c>
      <c r="BT115" s="696">
        <f>IF(AF115="",1,IF(BL107=".",2,1))</f>
        <v>1</v>
      </c>
      <c r="BU115" s="706"/>
      <c r="BV115" s="155">
        <f ca="1">IF(COUNTIF(DS107:DS118,AF115)=0,IF(AF115&lt;&gt;"",0,1),1)</f>
        <v>1</v>
      </c>
      <c r="BW115" s="157">
        <f ca="1">IFERROR(MATCH(AF115,DS107:DS118,0),1)</f>
        <v>1</v>
      </c>
      <c r="BX115" s="769" t="e">
        <f t="shared" ref="BX115" si="1431">5*E107^3*W107/(384*X107)</f>
        <v>#VALUE!</v>
      </c>
      <c r="BY115" s="769" t="e">
        <f t="shared" ref="BY115" si="1432">W107*E107^3/(60*X107)</f>
        <v>#VALUE!</v>
      </c>
      <c r="BZ115" s="1110"/>
      <c r="CA115" s="691" t="e">
        <f t="shared" ca="1" si="1288"/>
        <v>#REF!</v>
      </c>
      <c r="CB115" s="4" t="e" cm="1">
        <f t="array" aca="1" ref="CB115" ca="1">IF(AND(INDEX(INDIRECT(BY107),CA115,4)&gt;=$AB107,INDEX(INDIRECT(BY107),CA115,5)&gt;=$S107,INDEX(INDIRECT(BY107),CA115,6)&gt;=$R107),1,0)</f>
        <v>#REF!</v>
      </c>
      <c r="CC115" s="4" t="e">
        <f t="shared" ref="CC115" ca="1" si="1433">MATCH(1,OFFSET(CB107:CB118,CD114,0,COUNT(CB107:CB118)-CD114),0)</f>
        <v>#REF!</v>
      </c>
      <c r="CD115" s="4" t="e">
        <f t="shared" ca="1" si="1290"/>
        <v>#REF!</v>
      </c>
      <c r="CE115" s="692" t="str" cm="1">
        <f t="array" aca="1" ref="CE115" ca="1">IFERROR(VLOOKUP(INDEX(CA107:CA118,CD115),INDIRECT(BY107),2,FALSE),"----")</f>
        <v>----</v>
      </c>
      <c r="CF115" s="691" t="e">
        <f t="shared" ca="1" si="1291"/>
        <v>#N/A</v>
      </c>
      <c r="CG115" s="4" t="e">
        <f ca="1">IF(AND(INDEX(SSM,CF115,4)&gt;=$AB107,INDEX(SSM,CF115,5)&gt;=$S107,INDEX(SSM,CF115,6)&gt;=$R107),1,0)</f>
        <v>#N/A</v>
      </c>
      <c r="CH115" s="4" t="e">
        <f t="shared" ref="CH115" ca="1" si="1434">MATCH(1,OFFSET(CG107:CG118,CI114,0,COUNT(CG107:CG118)-CI114),0)</f>
        <v>#REF!</v>
      </c>
      <c r="CI115" s="4" t="e">
        <f t="shared" ca="1" si="1293"/>
        <v>#REF!</v>
      </c>
      <c r="CJ115" s="692" t="str">
        <f ca="1">IFERROR(IF(AD108="Nested Steel Stud (wood infill)",VLOOKUP(INDEX(CF107:CF118,CI115),SSW,2,FALSE),VLOOKUP(INDEX(CF107:CF118,CI115),SSM,2,FALSE)),"----")</f>
        <v>----</v>
      </c>
      <c r="CK115" s="691" t="e">
        <f t="shared" ca="1" si="1294"/>
        <v>#N/A</v>
      </c>
      <c r="CL115" s="4" t="e">
        <f ca="1">IF(AND(INDEX(WSM,CK115,4)&gt;=$AB107,INDEX(WSM,CK115,5)&gt;=$S107,INDEX(WSM,CK115,6)&gt;=$R107),1,0)</f>
        <v>#N/A</v>
      </c>
      <c r="CM115" s="4" t="e">
        <f t="shared" ref="CM115" ca="1" si="1435">MATCH(1,OFFSET(CL107:CL118,CN114,0,COUNT(CL107:CL118)-CN114),0)</f>
        <v>#REF!</v>
      </c>
      <c r="CN115" s="4" t="e">
        <f t="shared" ca="1" si="1296"/>
        <v>#REF!</v>
      </c>
      <c r="CO115" s="692" t="str">
        <f ca="1">IFERROR(VLOOKUP(INDEX(CK107:CK118,CN115),WSM,2,FALSE),"----")</f>
        <v>----</v>
      </c>
      <c r="CP115" s="691" t="e">
        <f t="shared" ca="1" si="1297"/>
        <v>#N/A</v>
      </c>
      <c r="CQ115" s="4" t="e">
        <f ca="1">IF(AND(INDEX(STM,CP115,4)&gt;=$AB107,INDEX(STM,CP115,5)&gt;=$S107,INDEX(STM,CP115,6)&gt;=$R107),1,0)</f>
        <v>#N/A</v>
      </c>
      <c r="CR115" s="4" t="e">
        <f t="shared" ref="CR115" ca="1" si="1436">MATCH(1,OFFSET(CQ107:CQ118,CS114,0,COUNT(CQ107:CQ118)-CS114),0)</f>
        <v>#REF!</v>
      </c>
      <c r="CS115" s="4" t="e">
        <f t="shared" ca="1" si="1299"/>
        <v>#REF!</v>
      </c>
      <c r="CT115" s="692" t="str">
        <f ca="1">IFERROR(VLOOKUP(INDEX(CP107:CP118,CS115),STM,2,FALSE),"----")</f>
        <v>----</v>
      </c>
      <c r="CU115" s="691" t="e">
        <f t="shared" ca="1" si="1300"/>
        <v>#N/A</v>
      </c>
      <c r="CV115" s="4" t="e">
        <f ca="1">IF(AND(INDEX(ELM,CU115,4)&gt;=$AB107,INDEX(ELM,CU115,5)&gt;=$S107,INDEX(ELM,CU115,6)&gt;=$R107),1,0)</f>
        <v>#N/A</v>
      </c>
      <c r="CW115" s="4" t="e">
        <f t="shared" ref="CW115" ca="1" si="1437">MATCH(1,OFFSET(CV107:CV118,CX114,0,COUNT(CV107:CV118)-CX114),0)</f>
        <v>#REF!</v>
      </c>
      <c r="CX115" s="4" t="e">
        <f t="shared" ca="1" si="1302"/>
        <v>#REF!</v>
      </c>
      <c r="CY115" s="692" t="str">
        <f ca="1">IFERROR(VLOOKUP(INDEX(CU107:CU118,CX115),ELM,2,FALSE),"----")</f>
        <v>----</v>
      </c>
      <c r="CZ115" s="691" t="e">
        <f t="shared" ca="1" si="1303"/>
        <v>#N/A</v>
      </c>
      <c r="DA115" s="4" t="e">
        <f ca="1">IF(LEFT($J107,7)="Clad Wo",IF(AND(INDEX(SPPWS,CZ115,4)&gt;=$AB107,INDEX(SPPWS,CZ115,5)&gt;=$S107,INDEX(SPPWS,CZ115,6)&gt;=$R107),1,0),IF(AND(INDEX(SPM,CZ115,4)&gt;=$AB107,INDEX(SPM,CZ115,5)&gt;=$S107,INDEX(SPM,CZ115,6)&gt;=$R107),1,0))</f>
        <v>#N/A</v>
      </c>
      <c r="DB115" s="4" t="e">
        <f t="shared" ref="DB115" ca="1" si="1438">MATCH(1,OFFSET(DA107:DA118,DC114,0,COUNT(DA107:DA118)-DC114),0)</f>
        <v>#REF!</v>
      </c>
      <c r="DC115" s="4" t="e">
        <f t="shared" ca="1" si="1305"/>
        <v>#REF!</v>
      </c>
      <c r="DD115" s="693" t="str">
        <f ca="1">IF(LEFT($J107,7)="Clad Wo",IFERROR(VLOOKUP(INDEX(CZ107:CZ118,DC115),SPPWS,2,FALSE),"----"),IFERROR(VLOOKUP(INDEX(CZ107:CZ118,DC115),SPM,2,FALSE),"----"))</f>
        <v>----</v>
      </c>
      <c r="DE115" s="691" t="e">
        <f t="shared" ca="1" si="1306"/>
        <v>#REF!</v>
      </c>
      <c r="DF115" s="4" t="e" cm="1">
        <f t="array" aca="1" ref="DF115" ca="1">IF(AND(INDEX(INDIRECT(BY107),DE115,4)&gt;=$AB113,INDEX(INDIRECT(BY107),DE115,5)&gt;=$S107,INDEX(INDIRECT(BY107),DE115,6)&gt;=$R107),1,0)</f>
        <v>#REF!</v>
      </c>
      <c r="DG115" s="4" t="e">
        <f t="shared" ref="DG115" ca="1" si="1439">MATCH(1,OFFSET(DF107:DF118,DH114,0,COUNT(DF107:DF118)-DH114),0)</f>
        <v>#REF!</v>
      </c>
      <c r="DH115" s="4" t="e">
        <f t="shared" ca="1" si="1308"/>
        <v>#REF!</v>
      </c>
      <c r="DI115" s="692" t="str" cm="1">
        <f t="array" aca="1" ref="DI115" ca="1">IFERROR(VLOOKUP(INDEX(DE107:DE118,DH115),INDIRECT(BY107),2,FALSE),"----")</f>
        <v>----</v>
      </c>
      <c r="DJ115" s="691" t="e">
        <f t="shared" ca="1" si="1309"/>
        <v>#N/A</v>
      </c>
      <c r="DK115" s="4" t="e">
        <f ca="1">IF(AND(INDEX(SSM,DJ115,4)&gt;=$AB113,INDEX(SSM,DJ115,5)&gt;=$S107,INDEX(SSM,DJ115,6)&gt;=$R107),1,0)</f>
        <v>#N/A</v>
      </c>
      <c r="DL115" s="4" t="e">
        <f t="shared" ref="DL115" ca="1" si="1440">MATCH(1,OFFSET(DK107:DK118,DM114,0,COUNT(DK107:DK118)-DM114),0)</f>
        <v>#REF!</v>
      </c>
      <c r="DM115" s="4" t="e">
        <f t="shared" ca="1" si="1311"/>
        <v>#REF!</v>
      </c>
      <c r="DN115" s="692" t="str">
        <f ca="1">IFERROR(IF(AD114="Nested Steel Stud (wood infill)",VLOOKUP(INDEX(DJ107:DJ118,DM115),SSW,2,FALSE),VLOOKUP(INDEX(DJ107:DJ118,DM115),SSM,2,FALSE)),"----")</f>
        <v>----</v>
      </c>
      <c r="DO115" s="691" t="e">
        <f t="shared" ca="1" si="1312"/>
        <v>#N/A</v>
      </c>
      <c r="DP115" s="4" t="e">
        <f ca="1">IF(AND(INDEX(WSM,DO115,4)&gt;=$AB113,INDEX(WSM,DO115,5)&gt;=$S107,INDEX(WSM,DO115,6)&gt;=$R107),1,0)</f>
        <v>#N/A</v>
      </c>
      <c r="DQ115" s="4" t="e">
        <f t="shared" ref="DQ115" ca="1" si="1441">MATCH(1,OFFSET(DP107:DP118,DR114,0,COUNT(DP107:DP118)-DR114),0)</f>
        <v>#REF!</v>
      </c>
      <c r="DR115" s="4" t="e">
        <f t="shared" ca="1" si="1314"/>
        <v>#REF!</v>
      </c>
      <c r="DS115" s="692" t="str">
        <f ca="1">IFERROR(VLOOKUP(INDEX(DO107:DO118,DR115),WSM,2,FALSE),"----")</f>
        <v>----</v>
      </c>
      <c r="DT115" s="691" t="e">
        <f t="shared" ca="1" si="1315"/>
        <v>#N/A</v>
      </c>
      <c r="DU115" s="4" t="e">
        <f ca="1">IF(AND(INDEX(STM,DT115,4)&gt;=$AB113,INDEX(STM,DT115,5)&gt;=$S107,INDEX(STM,DT115,6)&gt;=$R107),1,0)</f>
        <v>#N/A</v>
      </c>
      <c r="DV115" s="4" t="e">
        <f t="shared" ref="DV115" ca="1" si="1442">MATCH(1,OFFSET(DU107:DU118,DW114,0,COUNT(DU107:DU118)-DW114),0)</f>
        <v>#REF!</v>
      </c>
      <c r="DW115" s="4" t="e">
        <f t="shared" ca="1" si="1317"/>
        <v>#REF!</v>
      </c>
      <c r="DX115" s="692" t="str">
        <f ca="1">IFERROR(VLOOKUP(INDEX(DT107:DT118,DW115),STM,2,FALSE),"----")</f>
        <v>----</v>
      </c>
      <c r="DY115" s="691" t="e">
        <f t="shared" ca="1" si="1318"/>
        <v>#N/A</v>
      </c>
      <c r="DZ115" s="4" t="e">
        <f ca="1">IF(AND(INDEX(ELM,DY115,4)&gt;=$AB113,INDEX(ELM,DY115,5)&gt;=$S107,INDEX(ELM,DY115,6)&gt;=$R107),1,0)</f>
        <v>#N/A</v>
      </c>
      <c r="EA115" s="4" t="e">
        <f t="shared" ref="EA115" ca="1" si="1443">MATCH(1,OFFSET(DZ107:DZ118,EB114,0,COUNT(DZ107:DZ118)-EB114),0)</f>
        <v>#REF!</v>
      </c>
      <c r="EB115" s="4" t="e">
        <f t="shared" ca="1" si="1320"/>
        <v>#REF!</v>
      </c>
      <c r="EC115" s="692" t="str">
        <f ca="1">IFERROR(VLOOKUP(INDEX(DY107:DY118,EB115),ELM,2,FALSE),"----")</f>
        <v>----</v>
      </c>
      <c r="ED115" s="691" t="e">
        <f t="shared" ca="1" si="1321"/>
        <v>#N/A</v>
      </c>
      <c r="EE115" s="4" t="e">
        <f ca="1">IF(LEFT($J107,7)="Clad Wo",IF(AND(INDEX(SPPWS,ED115,4)&gt;=$AB113,INDEX(SPPWS,ED115,5)&gt;=$S107,INDEX(SPPWS,ED115,6)&gt;=$R107),1,0),IF(AND(INDEX(SPM,ED115,4)&gt;=$AB113,INDEX(SPM,ED115,5)&gt;=$S107,INDEX(SPM,ED115,6)&gt;=$R107),1,0))</f>
        <v>#N/A</v>
      </c>
      <c r="EF115" s="4" t="e">
        <f t="shared" ref="EF115" ca="1" si="1444">MATCH(1,OFFSET(EE107:EE118,EG114,0,COUNT(EE107:EE118)-EG114),0)</f>
        <v>#REF!</v>
      </c>
      <c r="EG115" s="4" t="e">
        <f t="shared" ca="1" si="1323"/>
        <v>#REF!</v>
      </c>
      <c r="EH115" s="692" t="str">
        <f ca="1">IF(LEFT($J107,7)="Clad Wo",IFERROR(VLOOKUP(INDEX(ED107:ED118,EG115),SPPWS,2,FALSE),"----"),IFERROR(VLOOKUP(INDEX(ED107:ED118,EG115),SPM,2,FALSE),"----"))</f>
        <v>----</v>
      </c>
    </row>
    <row r="116" spans="1:138" ht="15" customHeight="1" x14ac:dyDescent="0.25">
      <c r="A116" s="1085"/>
      <c r="B116" s="925"/>
      <c r="C116" s="926"/>
      <c r="D116" s="927"/>
      <c r="E116" s="995"/>
      <c r="F116" s="996"/>
      <c r="G116" s="997"/>
      <c r="H116" s="1062"/>
      <c r="I116" s="990"/>
      <c r="J116" s="902"/>
      <c r="K116" s="903"/>
      <c r="L116" s="1002"/>
      <c r="M116" s="923"/>
      <c r="N116" s="1042"/>
      <c r="O116" s="1018"/>
      <c r="P116" s="987"/>
      <c r="Q116" s="1015"/>
      <c r="R116" s="1012"/>
      <c r="S116" s="1006"/>
      <c r="T116" s="1007"/>
      <c r="U116" s="878"/>
      <c r="V116" s="881"/>
      <c r="W116" s="884"/>
      <c r="X116" s="884"/>
      <c r="Y116" s="887"/>
      <c r="Z116" s="887"/>
      <c r="AA116" s="887"/>
      <c r="AB116" s="1081"/>
      <c r="AC116" s="1078"/>
      <c r="AD116" s="1070" t="str">
        <f t="shared" si="233"/>
        <v>Steel Tube</v>
      </c>
      <c r="AE116" s="1071"/>
      <c r="AF116" s="1052"/>
      <c r="AG116" s="1053"/>
      <c r="AH116" s="1053"/>
      <c r="AI116" s="1066"/>
      <c r="AJ116" s="1067"/>
      <c r="AK116" s="156" t="str">
        <f t="shared" ca="1" si="1130"/>
        <v/>
      </c>
      <c r="AL116" s="1059"/>
      <c r="AM116" s="343" t="str">
        <f ca="1">IFERROR(Q107/12*ROUND(VLOOKUP(AF116,OFFSET(STM,0,1),6,FALSE),2),"")</f>
        <v/>
      </c>
      <c r="AN116" t="str">
        <f t="shared" ca="1" si="1154"/>
        <v/>
      </c>
      <c r="AP116" s="122" t="str">
        <f t="shared" ref="AP116" si="1445">_xlfn.CONCAT(AR116,AS118)</f>
        <v/>
      </c>
      <c r="AQ116" s="683" t="str">
        <f t="shared" si="1353"/>
        <v/>
      </c>
      <c r="AR116" s="4" t="str">
        <f t="shared" si="1114"/>
        <v/>
      </c>
      <c r="AS116" s="4"/>
      <c r="AT116" s="697" t="str">
        <f>AL113</f>
        <v/>
      </c>
      <c r="AU116" s="694" t="e">
        <f t="shared" ca="1" si="1370"/>
        <v>#REF!</v>
      </c>
      <c r="AV116" s="686" t="str">
        <f ca="1">IFERROR(VLOOKUP(AU116,INDIRECT(AQ107),2,FALSE),"----")</f>
        <v>----</v>
      </c>
      <c r="AW116" s="694" t="e">
        <f t="shared" ca="1" si="1371"/>
        <v>#REF!</v>
      </c>
      <c r="AX116" s="686" t="str">
        <f ca="1">IFERROR(VLOOKUP(AW116,INDIRECT(AQ108),2,FALSE),"----")</f>
        <v>----</v>
      </c>
      <c r="AY116" s="694" t="e">
        <f t="shared" ca="1" si="486"/>
        <v>#REF!</v>
      </c>
      <c r="AZ116" s="686" t="str">
        <f ca="1">IFERROR(VLOOKUP(AY116,INDIRECT(AQ109),2,FALSE),"----")</f>
        <v>----</v>
      </c>
      <c r="BA116" s="694" t="e">
        <f t="shared" ca="1" si="487"/>
        <v>#REF!</v>
      </c>
      <c r="BB116" s="686" t="str">
        <f ca="1">IFERROR(VLOOKUP(BA116,INDIRECT(AQ110),2,FALSE),"----")</f>
        <v>----</v>
      </c>
      <c r="BC116" s="694" t="e">
        <f t="shared" ca="1" si="1374"/>
        <v>#REF!</v>
      </c>
      <c r="BD116" s="686" t="str">
        <f ca="1">IFERROR(VLOOKUP(BC116,INDIRECT(AQ111),2,FALSE),"----")</f>
        <v>----</v>
      </c>
      <c r="BE116" s="694" t="e">
        <f t="shared" ca="1" si="1375"/>
        <v>#REF!</v>
      </c>
      <c r="BF116" s="686" t="str">
        <f ca="1">IFERROR(VLOOKUP(BE116,INDIRECT(AQ112),2,FALSE),"----")</f>
        <v>----</v>
      </c>
      <c r="BG116" s="702" t="e">
        <f t="shared" ca="1" si="1376"/>
        <v>#REF!</v>
      </c>
      <c r="BH116" s="686" t="str">
        <f ca="1">IFERROR(VLOOKUP(BG116,INDIRECT(AQ113),2,FALSE),"----")</f>
        <v>----</v>
      </c>
      <c r="BI116" s="702" t="e">
        <f t="shared" ca="1" si="1377"/>
        <v>#REF!</v>
      </c>
      <c r="BJ116" s="686" t="str">
        <f ca="1">IFERROR(VLOOKUP(BI116,INDIRECT(AQ114),2,FALSE),"----")</f>
        <v>----</v>
      </c>
      <c r="BK116" s="702" t="e">
        <f t="shared" ca="1" si="1378"/>
        <v>#REF!</v>
      </c>
      <c r="BL116" s="686" t="str">
        <f ca="1">IFERROR(VLOOKUP(BK116,INDIRECT(AQ115),2,FALSE),"----")</f>
        <v>----</v>
      </c>
      <c r="BM116" s="702" t="e">
        <f t="shared" ca="1" si="1379"/>
        <v>#REF!</v>
      </c>
      <c r="BN116" s="686" t="str">
        <f ca="1">IFERROR(VLOOKUP(BM116,INDIRECT(AQ116),2,FALSE),"----")</f>
        <v>----</v>
      </c>
      <c r="BO116" s="702" t="e">
        <f t="shared" ca="1" si="1380"/>
        <v>#REF!</v>
      </c>
      <c r="BP116" s="686" t="str">
        <f ca="1">IFERROR(VLOOKUP(BO116,INDIRECT(AQ117),2,FALSE),"----")</f>
        <v>----</v>
      </c>
      <c r="BQ116" s="702" t="e">
        <f t="shared" ca="1" si="1381"/>
        <v>#REF!</v>
      </c>
      <c r="BR116" s="686" t="str">
        <f ca="1">IFERROR(VLOOKUP(BQ116,INDIRECT(AQ118),2,FALSE),"----")</f>
        <v>----</v>
      </c>
      <c r="BS116" s="695">
        <f>IF(AI116="",1,IF(COUNTIF(BN107:BN118,AI116)=0,2,1))</f>
        <v>1</v>
      </c>
      <c r="BT116" s="696">
        <f>IF(AF116="",1,IF(BN107=".",2,1))</f>
        <v>1</v>
      </c>
      <c r="BU116" s="706"/>
      <c r="BV116" s="155">
        <f ca="1">IF(COUNTIF(DX107:DX118,AF116)=0,IF(AF116&lt;&gt;"",0,1),1)</f>
        <v>1</v>
      </c>
      <c r="BW116" s="157">
        <f ca="1">IFERROR(MATCH(AF116,DX107:DX118,0),1)</f>
        <v>1</v>
      </c>
      <c r="BX116" s="769" t="e">
        <f t="shared" ref="BX116" si="1446">5*E107^3*W113/(384*X107)</f>
        <v>#VALUE!</v>
      </c>
      <c r="BY116" s="769" t="e">
        <f t="shared" ref="BY116" si="1447">E107^3*W113/(60*X107)</f>
        <v>#VALUE!</v>
      </c>
      <c r="BZ116" s="1110"/>
      <c r="CA116" s="691" t="e">
        <f t="shared" ca="1" si="1288"/>
        <v>#REF!</v>
      </c>
      <c r="CB116" s="4" t="e" cm="1">
        <f t="array" aca="1" ref="CB116" ca="1">IF(AND(INDEX(INDIRECT(BY107),CA116,4)&gt;=$AB107,INDEX(INDIRECT(BY107),CA116,5)&gt;=$S107,INDEX(INDIRECT(BY107),CA116,6)&gt;=$R107),1,0)</f>
        <v>#REF!</v>
      </c>
      <c r="CC116" s="4" t="e">
        <f t="shared" ref="CC116" ca="1" si="1448">MATCH(1,OFFSET(CB107:CB118,CD115,0,COUNT(CB107:CB118)-CD115),0)</f>
        <v>#REF!</v>
      </c>
      <c r="CD116" s="4" t="e">
        <f t="shared" ca="1" si="1290"/>
        <v>#REF!</v>
      </c>
      <c r="CE116" s="692" t="str" cm="1">
        <f t="array" aca="1" ref="CE116" ca="1">IFERROR(VLOOKUP(INDEX(CA107:CA118,CD116),INDIRECT(BY107),2,FALSE),"----")</f>
        <v>----</v>
      </c>
      <c r="CF116" s="691" t="e">
        <f t="shared" ca="1" si="1291"/>
        <v>#N/A</v>
      </c>
      <c r="CG116" s="4" t="e">
        <f ca="1">IF(AND(INDEX(SSM,CF116,4)&gt;=$AB107,INDEX(SSM,CF116,5)&gt;=$S107,INDEX(SSM,CF116,6)&gt;=$R107),1,0)</f>
        <v>#N/A</v>
      </c>
      <c r="CH116" s="4" t="e">
        <f t="shared" ref="CH116" ca="1" si="1449">MATCH(1,OFFSET(CG107:CG118,CI115,0,COUNT(CG107:CG118)-CI115),0)</f>
        <v>#REF!</v>
      </c>
      <c r="CI116" s="4" t="e">
        <f t="shared" ca="1" si="1293"/>
        <v>#REF!</v>
      </c>
      <c r="CJ116" s="692" t="str">
        <f ca="1">IFERROR(IF(AD108="Nested Steel Stud (wood infill)",VLOOKUP(INDEX(CF107:CF118,CI116),SSW,2,FALSE),VLOOKUP(INDEX(CF107:CF118,CI116),SSM,2,FALSE)),"----")</f>
        <v>----</v>
      </c>
      <c r="CK116" s="691" t="e">
        <f t="shared" ca="1" si="1294"/>
        <v>#N/A</v>
      </c>
      <c r="CL116" s="4" t="e">
        <f ca="1">IF(AND(INDEX(WSM,CK116,4)&gt;=$AB107,INDEX(WSM,CK116,5)&gt;=$S107,INDEX(WSM,CK116,6)&gt;=$R107),1,0)</f>
        <v>#N/A</v>
      </c>
      <c r="CM116" s="4" t="e">
        <f t="shared" ref="CM116" ca="1" si="1450">MATCH(1,OFFSET(CL107:CL118,CN115,0,COUNT(CL107:CL118)-CN115),0)</f>
        <v>#REF!</v>
      </c>
      <c r="CN116" s="4" t="e">
        <f t="shared" ca="1" si="1296"/>
        <v>#REF!</v>
      </c>
      <c r="CO116" s="692" t="str">
        <f ca="1">IFERROR(VLOOKUP(INDEX(CK107:CK118,CN116),WSM,2,FALSE),"----")</f>
        <v>----</v>
      </c>
      <c r="CP116" s="691" t="e">
        <f t="shared" ca="1" si="1297"/>
        <v>#N/A</v>
      </c>
      <c r="CQ116" s="4" t="e">
        <f ca="1">IF(AND(INDEX(STM,CP116,4)&gt;=$AB107,INDEX(STM,CP116,5)&gt;=$S107,INDEX(STM,CP116,6)&gt;=$R107),1,0)</f>
        <v>#N/A</v>
      </c>
      <c r="CR116" s="4" t="e">
        <f t="shared" ref="CR116" ca="1" si="1451">MATCH(1,OFFSET(CQ107:CQ118,CS115,0,COUNT(CQ107:CQ118)-CS115),0)</f>
        <v>#REF!</v>
      </c>
      <c r="CS116" s="4" t="e">
        <f t="shared" ca="1" si="1299"/>
        <v>#REF!</v>
      </c>
      <c r="CT116" s="692" t="str">
        <f ca="1">IFERROR(VLOOKUP(INDEX(CP107:CP118,CS116),STM,2,FALSE),"----")</f>
        <v>----</v>
      </c>
      <c r="CU116" s="691" t="e">
        <f t="shared" ca="1" si="1300"/>
        <v>#N/A</v>
      </c>
      <c r="CV116" s="4" t="e">
        <f ca="1">IF(AND(INDEX(ELM,CU116,4)&gt;=$AB107,INDEX(ELM,CU116,5)&gt;=$S107,INDEX(ELM,CU116,6)&gt;=$R107),1,0)</f>
        <v>#N/A</v>
      </c>
      <c r="CW116" s="4" t="e">
        <f t="shared" ref="CW116" ca="1" si="1452">MATCH(1,OFFSET(CV107:CV118,CX115,0,COUNT(CV107:CV118)-CX115),0)</f>
        <v>#REF!</v>
      </c>
      <c r="CX116" s="4" t="e">
        <f t="shared" ca="1" si="1302"/>
        <v>#REF!</v>
      </c>
      <c r="CY116" s="692" t="str">
        <f ca="1">IFERROR(VLOOKUP(INDEX(CU107:CU118,CX116),ELM,2,FALSE),"----")</f>
        <v>----</v>
      </c>
      <c r="CZ116" s="691" t="e">
        <f t="shared" ca="1" si="1303"/>
        <v>#N/A</v>
      </c>
      <c r="DA116" s="4" t="e">
        <f ca="1">IF(LEFT($J107,7)="Clad Wo",IF(AND(INDEX(SPPWS,CZ116,4)&gt;=$AB107,INDEX(SPPWS,CZ116,5)&gt;=$S107,INDEX(SPPWS,CZ116,6)&gt;=$R107),1,0),IF(AND(INDEX(SPM,CZ116,4)&gt;=$AB107,INDEX(SPM,CZ116,5)&gt;=$S107,INDEX(SPM,CZ116,6)&gt;=$R107),1,0))</f>
        <v>#N/A</v>
      </c>
      <c r="DB116" s="4" t="e">
        <f t="shared" ref="DB116" ca="1" si="1453">MATCH(1,OFFSET(DA107:DA118,DC115,0,COUNT(DA107:DA118)-DC115),0)</f>
        <v>#REF!</v>
      </c>
      <c r="DC116" s="4" t="e">
        <f t="shared" ca="1" si="1305"/>
        <v>#REF!</v>
      </c>
      <c r="DD116" s="693" t="str">
        <f ca="1">IF(LEFT($J107,7)="Clad Wo",IFERROR(VLOOKUP(INDEX(CZ107:CZ118,DC116),SPPWS,2,FALSE),"----"),IFERROR(VLOOKUP(INDEX(CZ107:CZ118,DC116),SPM,2,FALSE),"----"))</f>
        <v>----</v>
      </c>
      <c r="DE116" s="691" t="e">
        <f t="shared" ca="1" si="1306"/>
        <v>#REF!</v>
      </c>
      <c r="DF116" s="4" t="e" cm="1">
        <f t="array" aca="1" ref="DF116" ca="1">IF(AND(INDEX(INDIRECT(BY107),DE116,4)&gt;=$AB113,INDEX(INDIRECT(BY107),DE116,5)&gt;=$S107,INDEX(INDIRECT(BY107),DE116,6)&gt;=$R107),1,0)</f>
        <v>#REF!</v>
      </c>
      <c r="DG116" s="4" t="e">
        <f t="shared" ref="DG116" ca="1" si="1454">MATCH(1,OFFSET(DF107:DF118,DH115,0,COUNT(DF107:DF118)-DH115),0)</f>
        <v>#REF!</v>
      </c>
      <c r="DH116" s="4" t="e">
        <f t="shared" ca="1" si="1308"/>
        <v>#REF!</v>
      </c>
      <c r="DI116" s="692" t="str" cm="1">
        <f t="array" aca="1" ref="DI116" ca="1">IFERROR(VLOOKUP(INDEX(DE107:DE118,DH116),INDIRECT(BY107),2,FALSE),"----")</f>
        <v>----</v>
      </c>
      <c r="DJ116" s="691" t="e">
        <f t="shared" ca="1" si="1309"/>
        <v>#N/A</v>
      </c>
      <c r="DK116" s="4" t="e">
        <f ca="1">IF(AND(INDEX(SSM,DJ116,4)&gt;=$AB113,INDEX(SSM,DJ116,5)&gt;=$S107,INDEX(SSM,DJ116,6)&gt;=$R107),1,0)</f>
        <v>#N/A</v>
      </c>
      <c r="DL116" s="4" t="e">
        <f t="shared" ref="DL116" ca="1" si="1455">MATCH(1,OFFSET(DK107:DK118,DM115,0,COUNT(DK107:DK118)-DM115),0)</f>
        <v>#REF!</v>
      </c>
      <c r="DM116" s="4" t="e">
        <f t="shared" ca="1" si="1311"/>
        <v>#REF!</v>
      </c>
      <c r="DN116" s="692" t="str">
        <f ca="1">IFERROR(IF(AD114="Nested Steel Stud (wood infill)",VLOOKUP(INDEX(DJ107:DJ118,DM116),SSW,2,FALSE),VLOOKUP(INDEX(DJ107:DJ118,DM116),SSM,2,FALSE)),"----")</f>
        <v>----</v>
      </c>
      <c r="DO116" s="691" t="e">
        <f t="shared" ca="1" si="1312"/>
        <v>#N/A</v>
      </c>
      <c r="DP116" s="4" t="e">
        <f ca="1">IF(AND(INDEX(WSM,DO116,4)&gt;=$AB113,INDEX(WSM,DO116,5)&gt;=$S107,INDEX(WSM,DO116,6)&gt;=$R107),1,0)</f>
        <v>#N/A</v>
      </c>
      <c r="DQ116" s="4" t="e">
        <f t="shared" ref="DQ116" ca="1" si="1456">MATCH(1,OFFSET(DP107:DP118,DR115,0,COUNT(DP107:DP118)-DR115),0)</f>
        <v>#REF!</v>
      </c>
      <c r="DR116" s="4" t="e">
        <f t="shared" ca="1" si="1314"/>
        <v>#REF!</v>
      </c>
      <c r="DS116" s="692" t="str">
        <f ca="1">IFERROR(VLOOKUP(INDEX(DO107:DO118,DR116),WSM,2,FALSE),"----")</f>
        <v>----</v>
      </c>
      <c r="DT116" s="691" t="e">
        <f t="shared" ca="1" si="1315"/>
        <v>#N/A</v>
      </c>
      <c r="DU116" s="4" t="e">
        <f ca="1">IF(AND(INDEX(STM,DT116,4)&gt;=$AB113,INDEX(STM,DT116,5)&gt;=$S107,INDEX(STM,DT116,6)&gt;=$R107),1,0)</f>
        <v>#N/A</v>
      </c>
      <c r="DV116" s="4" t="e">
        <f t="shared" ref="DV116" ca="1" si="1457">MATCH(1,OFFSET(DU107:DU118,DW115,0,COUNT(DU107:DU118)-DW115),0)</f>
        <v>#REF!</v>
      </c>
      <c r="DW116" s="4" t="e">
        <f t="shared" ca="1" si="1317"/>
        <v>#REF!</v>
      </c>
      <c r="DX116" s="692" t="str">
        <f ca="1">IFERROR(VLOOKUP(INDEX(DT107:DT118,DW116),STM,2,FALSE),"----")</f>
        <v>----</v>
      </c>
      <c r="DY116" s="691" t="e">
        <f t="shared" ca="1" si="1318"/>
        <v>#N/A</v>
      </c>
      <c r="DZ116" s="4" t="e">
        <f ca="1">IF(AND(INDEX(ELM,DY116,4)&gt;=$AB113,INDEX(ELM,DY116,5)&gt;=$S107,INDEX(ELM,DY116,6)&gt;=$R107),1,0)</f>
        <v>#N/A</v>
      </c>
      <c r="EA116" s="4" t="e">
        <f t="shared" ref="EA116" ca="1" si="1458">MATCH(1,OFFSET(DZ107:DZ118,EB115,0,COUNT(DZ107:DZ118)-EB115),0)</f>
        <v>#REF!</v>
      </c>
      <c r="EB116" s="4" t="e">
        <f t="shared" ca="1" si="1320"/>
        <v>#REF!</v>
      </c>
      <c r="EC116" s="692" t="str">
        <f ca="1">IFERROR(VLOOKUP(INDEX(DY107:DY118,EB116),ELM,2,FALSE),"----")</f>
        <v>----</v>
      </c>
      <c r="ED116" s="691" t="e">
        <f t="shared" ca="1" si="1321"/>
        <v>#N/A</v>
      </c>
      <c r="EE116" s="4" t="e">
        <f ca="1">IF(LEFT($J107,7)="Clad Wo",IF(AND(INDEX(SPPWS,ED116,4)&gt;=$AB113,INDEX(SPPWS,ED116,5)&gt;=$S107,INDEX(SPPWS,ED116,6)&gt;=$R107),1,0),IF(AND(INDEX(SPM,ED116,4)&gt;=$AB113,INDEX(SPM,ED116,5)&gt;=$S107,INDEX(SPM,ED116,6)&gt;=$R107),1,0))</f>
        <v>#N/A</v>
      </c>
      <c r="EF116" s="4" t="e">
        <f t="shared" ref="EF116" ca="1" si="1459">MATCH(1,OFFSET(EE107:EE118,EG115,0,COUNT(EE107:EE118)-EG115),0)</f>
        <v>#REF!</v>
      </c>
      <c r="EG116" s="4" t="e">
        <f t="shared" ca="1" si="1323"/>
        <v>#REF!</v>
      </c>
      <c r="EH116" s="692" t="str">
        <f ca="1">IF(LEFT($J107,7)="Clad Wo",IFERROR(VLOOKUP(INDEX(ED107:ED118,EG116),SPPWS,2,FALSE),"----"),IFERROR(VLOOKUP(INDEX(ED107:ED118,EG116),SPM,2,FALSE),"----"))</f>
        <v>----</v>
      </c>
    </row>
    <row r="117" spans="1:138" ht="15" customHeight="1" x14ac:dyDescent="0.25">
      <c r="A117" s="1085"/>
      <c r="B117" s="925"/>
      <c r="C117" s="926"/>
      <c r="D117" s="927"/>
      <c r="E117" s="995"/>
      <c r="F117" s="996"/>
      <c r="G117" s="997"/>
      <c r="H117" s="1062"/>
      <c r="I117" s="990"/>
      <c r="J117" s="902"/>
      <c r="K117" s="903"/>
      <c r="L117" s="1002"/>
      <c r="M117" s="923"/>
      <c r="N117" s="1042"/>
      <c r="O117" s="1018"/>
      <c r="P117" s="987"/>
      <c r="Q117" s="1015"/>
      <c r="R117" s="1012"/>
      <c r="S117" s="1006"/>
      <c r="T117" s="1007"/>
      <c r="U117" s="878"/>
      <c r="V117" s="881"/>
      <c r="W117" s="884"/>
      <c r="X117" s="884"/>
      <c r="Y117" s="887"/>
      <c r="Z117" s="887"/>
      <c r="AA117" s="887"/>
      <c r="AB117" s="1081"/>
      <c r="AC117" s="1078"/>
      <c r="AD117" s="1070" t="str">
        <f t="shared" si="233"/>
        <v>Engineered Lumber</v>
      </c>
      <c r="AE117" s="1071"/>
      <c r="AF117" s="1052"/>
      <c r="AG117" s="1053"/>
      <c r="AH117" s="1053"/>
      <c r="AI117" s="1068"/>
      <c r="AJ117" s="1069"/>
      <c r="AK117" s="154" t="str">
        <f t="shared" ca="1" si="1130"/>
        <v/>
      </c>
      <c r="AL117" s="1059"/>
      <c r="AM117" s="344" t="str">
        <f ca="1">IFERROR(Q107/12*ROUND(VLOOKUP(AF117,OFFSET(ELM,0,1),6,FALSE),2),"")</f>
        <v/>
      </c>
      <c r="AN117" t="str">
        <f t="shared" ca="1" si="1154"/>
        <v/>
      </c>
      <c r="AP117" s="122" t="str">
        <f t="shared" ref="AP117" si="1460">_xlfn.CONCAT(AR117,AS118)</f>
        <v/>
      </c>
      <c r="AQ117" s="683" t="str">
        <f t="shared" si="1353"/>
        <v/>
      </c>
      <c r="AR117" s="4" t="str">
        <f t="shared" si="1114"/>
        <v/>
      </c>
      <c r="AS117" s="4"/>
      <c r="AT117" s="697" t="str">
        <f>AL113</f>
        <v/>
      </c>
      <c r="AU117" s="694" t="e">
        <f t="shared" ca="1" si="1370"/>
        <v>#REF!</v>
      </c>
      <c r="AV117" s="698" t="str">
        <f ca="1">IFERROR(VLOOKUP(AU117,INDIRECT(AQ107),2,FALSE),"----")</f>
        <v>----</v>
      </c>
      <c r="AW117" s="694" t="e">
        <f t="shared" ca="1" si="1371"/>
        <v>#REF!</v>
      </c>
      <c r="AX117" s="698" t="str">
        <f ca="1">IFERROR(VLOOKUP(AW117,INDIRECT(AQ108),2,FALSE),"----")</f>
        <v>----</v>
      </c>
      <c r="AY117" s="694" t="e">
        <f t="shared" ca="1" si="486"/>
        <v>#REF!</v>
      </c>
      <c r="AZ117" s="698" t="str">
        <f ca="1">IFERROR(VLOOKUP(AY117,INDIRECT(AQ109),2,FALSE),"----")</f>
        <v>----</v>
      </c>
      <c r="BA117" s="694" t="e">
        <f t="shared" ca="1" si="487"/>
        <v>#REF!</v>
      </c>
      <c r="BB117" s="698" t="str">
        <f ca="1">IFERROR(VLOOKUP(BA117,INDIRECT(AQ110),2,FALSE),"----")</f>
        <v>----</v>
      </c>
      <c r="BC117" s="694" t="e">
        <f t="shared" ca="1" si="1374"/>
        <v>#REF!</v>
      </c>
      <c r="BD117" s="698" t="str">
        <f ca="1">IFERROR(VLOOKUP(BC117,INDIRECT(AQ111),2,FALSE),"----")</f>
        <v>----</v>
      </c>
      <c r="BE117" s="694" t="e">
        <f t="shared" ca="1" si="1375"/>
        <v>#REF!</v>
      </c>
      <c r="BF117" s="698" t="str">
        <f ca="1">IFERROR(VLOOKUP(BE117,INDIRECT(AQ112),2,FALSE),"----")</f>
        <v>----</v>
      </c>
      <c r="BG117" s="702" t="e">
        <f t="shared" ca="1" si="1376"/>
        <v>#REF!</v>
      </c>
      <c r="BH117" s="686" t="str">
        <f ca="1">IFERROR(VLOOKUP(BG117,INDIRECT(AQ113),2,FALSE),"----")</f>
        <v>----</v>
      </c>
      <c r="BI117" s="702" t="e">
        <f t="shared" ca="1" si="1377"/>
        <v>#REF!</v>
      </c>
      <c r="BJ117" s="686" t="str">
        <f ca="1">IFERROR(VLOOKUP(BI117,INDIRECT(AQ114),2,FALSE),"----")</f>
        <v>----</v>
      </c>
      <c r="BK117" s="702" t="e">
        <f t="shared" ca="1" si="1378"/>
        <v>#REF!</v>
      </c>
      <c r="BL117" s="686" t="str">
        <f ca="1">IFERROR(VLOOKUP(BK117,INDIRECT(AQ115),2,FALSE),"----")</f>
        <v>----</v>
      </c>
      <c r="BM117" s="702" t="e">
        <f t="shared" ca="1" si="1379"/>
        <v>#REF!</v>
      </c>
      <c r="BN117" s="686" t="str">
        <f ca="1">IFERROR(VLOOKUP(BM117,INDIRECT(AQ116),2,FALSE),"----")</f>
        <v>----</v>
      </c>
      <c r="BO117" s="702" t="e">
        <f t="shared" ca="1" si="1380"/>
        <v>#REF!</v>
      </c>
      <c r="BP117" s="686" t="str">
        <f ca="1">IFERROR(VLOOKUP(BO117,INDIRECT(AQ117),2,FALSE),"----")</f>
        <v>----</v>
      </c>
      <c r="BQ117" s="702" t="e">
        <f t="shared" ca="1" si="1381"/>
        <v>#REF!</v>
      </c>
      <c r="BR117" s="686" t="str">
        <f ca="1">IFERROR(VLOOKUP(BQ117,INDIRECT(AQ118),2,FALSE),"----")</f>
        <v>----</v>
      </c>
      <c r="BS117" s="695">
        <f>IF(AI117="",1,IF(COUNTIF(BP107:BP118,AI117)=0,2,1))</f>
        <v>1</v>
      </c>
      <c r="BT117" s="696">
        <f>IF(AF117="",1,IF(BP107=".",2,1))</f>
        <v>1</v>
      </c>
      <c r="BU117" s="706"/>
      <c r="BV117" s="155">
        <f ca="1">IF(COUNTIF(EC107:EC118,AF117)=0,IF(AF117&lt;&gt;"",0,1),1)</f>
        <v>1</v>
      </c>
      <c r="BW117" s="157">
        <f ca="1">IFERROR(MATCH(AF117,EC107:EC118,0),1)</f>
        <v>1</v>
      </c>
      <c r="BX117" s="769"/>
      <c r="BY117" s="769"/>
      <c r="BZ117" s="1110"/>
      <c r="CA117" s="691" t="e">
        <f t="shared" ca="1" si="1288"/>
        <v>#REF!</v>
      </c>
      <c r="CB117" s="4" t="e" cm="1">
        <f t="array" aca="1" ref="CB117" ca="1">IF(AND(INDEX(INDIRECT(BY107),CA117,4)&gt;=$AB107,INDEX(INDIRECT(BY107),CA117,5)&gt;=$S107,INDEX(INDIRECT(BY107),CA117,6)&gt;=$R107),1,0)</f>
        <v>#REF!</v>
      </c>
      <c r="CC117" s="4" t="e">
        <f t="shared" ref="CC117" ca="1" si="1461">MATCH(1,OFFSET(CB107:CB118,CD116,0,COUNT(CB107:CB118)-CD116),0)</f>
        <v>#REF!</v>
      </c>
      <c r="CD117" s="4" t="e">
        <f t="shared" ca="1" si="1290"/>
        <v>#REF!</v>
      </c>
      <c r="CE117" s="692" t="str" cm="1">
        <f t="array" aca="1" ref="CE117" ca="1">IFERROR(VLOOKUP(INDEX(CA107:CA118,CD117),INDIRECT(BY107),2,FALSE),"----")</f>
        <v>----</v>
      </c>
      <c r="CF117" s="691" t="e">
        <f t="shared" ca="1" si="1291"/>
        <v>#N/A</v>
      </c>
      <c r="CG117" s="4" t="e">
        <f ca="1">IF(AND(INDEX(SSM,CF117,4)&gt;=$AB107,INDEX(SSM,CF117,5)&gt;=$S107,INDEX(SSM,CF117,6)&gt;=$R107),1,0)</f>
        <v>#N/A</v>
      </c>
      <c r="CH117" s="4" t="e">
        <f t="shared" ref="CH117" ca="1" si="1462">MATCH(1,OFFSET(CG107:CG118,CI116,0,COUNT(CG107:CG118)-CI116),0)</f>
        <v>#REF!</v>
      </c>
      <c r="CI117" s="4" t="e">
        <f t="shared" ca="1" si="1293"/>
        <v>#REF!</v>
      </c>
      <c r="CJ117" s="692" t="str">
        <f ca="1">IFERROR(IF(AD108="Nested Steel Stud (wood infill)",VLOOKUP(INDEX(CF107:CF118,CI117),SSW,2,FALSE),VLOOKUP(INDEX(CF107:CF118,CI117),SSM,2,FALSE)),"----")</f>
        <v>----</v>
      </c>
      <c r="CK117" s="691" t="e">
        <f t="shared" ca="1" si="1294"/>
        <v>#N/A</v>
      </c>
      <c r="CL117" s="4" t="e">
        <f ca="1">IF(AND(INDEX(WSM,CK117,4)&gt;=$AB107,INDEX(WSM,CK117,5)&gt;=$S107,INDEX(WSM,CK117,6)&gt;=$R107),1,0)</f>
        <v>#N/A</v>
      </c>
      <c r="CM117" s="4" t="e">
        <f t="shared" ref="CM117" ca="1" si="1463">MATCH(1,OFFSET(CL107:CL118,CN116,0,COUNT(CL107:CL118)-CN116),0)</f>
        <v>#REF!</v>
      </c>
      <c r="CN117" s="4" t="e">
        <f t="shared" ca="1" si="1296"/>
        <v>#REF!</v>
      </c>
      <c r="CO117" s="692" t="str">
        <f ca="1">IFERROR(VLOOKUP(INDEX(CK107:CK118,CN117),WSM,2,FALSE),"----")</f>
        <v>----</v>
      </c>
      <c r="CP117" s="691" t="e">
        <f t="shared" ca="1" si="1297"/>
        <v>#N/A</v>
      </c>
      <c r="CQ117" s="4" t="e">
        <f ca="1">IF(AND(INDEX(STM,CP117,4)&gt;=$AB107,INDEX(STM,CP117,5)&gt;=$S107,INDEX(STM,CP117,6)&gt;=$R107),1,0)</f>
        <v>#N/A</v>
      </c>
      <c r="CR117" s="4" t="e">
        <f t="shared" ref="CR117" ca="1" si="1464">MATCH(1,OFFSET(CQ107:CQ118,CS116,0,COUNT(CQ107:CQ118)-CS116),0)</f>
        <v>#REF!</v>
      </c>
      <c r="CS117" s="4" t="e">
        <f t="shared" ca="1" si="1299"/>
        <v>#REF!</v>
      </c>
      <c r="CT117" s="692" t="str">
        <f ca="1">IFERROR(VLOOKUP(INDEX(CP107:CP118,CS117),STM,2,FALSE),"----")</f>
        <v>----</v>
      </c>
      <c r="CU117" s="691" t="e">
        <f t="shared" ca="1" si="1300"/>
        <v>#N/A</v>
      </c>
      <c r="CV117" s="4" t="e">
        <f ca="1">IF(AND(INDEX(ELM,CU117,4)&gt;=$AB107,INDEX(ELM,CU117,5)&gt;=$S107,INDEX(ELM,CU117,6)&gt;=$R107),1,0)</f>
        <v>#N/A</v>
      </c>
      <c r="CW117" s="4" t="e">
        <f t="shared" ref="CW117" ca="1" si="1465">MATCH(1,OFFSET(CV107:CV118,CX116,0,COUNT(CV107:CV118)-CX116),0)</f>
        <v>#REF!</v>
      </c>
      <c r="CX117" s="4" t="e">
        <f t="shared" ca="1" si="1302"/>
        <v>#REF!</v>
      </c>
      <c r="CY117" s="692" t="str">
        <f ca="1">IFERROR(VLOOKUP(INDEX(CU107:CU118,CX117),ELM,2,FALSE),"----")</f>
        <v>----</v>
      </c>
      <c r="CZ117" s="691" t="e">
        <f t="shared" ca="1" si="1303"/>
        <v>#N/A</v>
      </c>
      <c r="DA117" s="4" t="e">
        <f ca="1">IF(LEFT($J107,7)="Clad Wo",IF(AND(INDEX(SPPWS,CZ117,4)&gt;=$AB107,INDEX(SPPWS,CZ117,5)&gt;=$S107,INDEX(SPPWS,CZ117,6)&gt;=$R107),1,0),IF(AND(INDEX(SPM,CZ117,4)&gt;=$AB107,INDEX(SPM,CZ117,5)&gt;=$S107,INDEX(SPM,CZ117,6)&gt;=$R107),1,0))</f>
        <v>#N/A</v>
      </c>
      <c r="DB117" s="4" t="e">
        <f t="shared" ref="DB117" ca="1" si="1466">MATCH(1,OFFSET(DA107:DA118,DC116,0,COUNT(DA107:DA118)-DC116),0)</f>
        <v>#REF!</v>
      </c>
      <c r="DC117" s="4" t="e">
        <f t="shared" ca="1" si="1305"/>
        <v>#REF!</v>
      </c>
      <c r="DD117" s="693" t="str">
        <f ca="1">IF(LEFT($J107,7)="Clad Wo",IFERROR(VLOOKUP(INDEX(CZ107:CZ118,DC117),SPPWS,2,FALSE),"----"),IFERROR(VLOOKUP(INDEX(CZ107:CZ118,DC117),SPM,2,FALSE),"----"))</f>
        <v>----</v>
      </c>
      <c r="DE117" s="691" t="e">
        <f t="shared" ca="1" si="1306"/>
        <v>#REF!</v>
      </c>
      <c r="DF117" s="4" t="e" cm="1">
        <f t="array" aca="1" ref="DF117" ca="1">IF(AND(INDEX(INDIRECT(BY107),DE117,4)&gt;=$AB113,INDEX(INDIRECT(BY107),DE117,5)&gt;=$S107,INDEX(INDIRECT(BY107),DE117,6)&gt;=$R107),1,0)</f>
        <v>#REF!</v>
      </c>
      <c r="DG117" s="4" t="e">
        <f t="shared" ref="DG117" ca="1" si="1467">MATCH(1,OFFSET(DF107:DF118,DH116,0,COUNT(DF107:DF118)-DH116),0)</f>
        <v>#REF!</v>
      </c>
      <c r="DH117" s="4" t="e">
        <f t="shared" ca="1" si="1308"/>
        <v>#REF!</v>
      </c>
      <c r="DI117" s="692" t="str" cm="1">
        <f t="array" aca="1" ref="DI117" ca="1">IFERROR(VLOOKUP(INDEX(DE107:DE118,DH117),INDIRECT(BY107),2,FALSE),"----")</f>
        <v>----</v>
      </c>
      <c r="DJ117" s="691" t="e">
        <f t="shared" ca="1" si="1309"/>
        <v>#N/A</v>
      </c>
      <c r="DK117" s="4" t="e">
        <f ca="1">IF(AND(INDEX(SSM,DJ117,4)&gt;=$AB113,INDEX(SSM,DJ117,5)&gt;=$S107,INDEX(SSM,DJ117,6)&gt;=$R107),1,0)</f>
        <v>#N/A</v>
      </c>
      <c r="DL117" s="4" t="e">
        <f t="shared" ref="DL117" ca="1" si="1468">MATCH(1,OFFSET(DK107:DK118,DM116,0,COUNT(DK107:DK118)-DM116),0)</f>
        <v>#REF!</v>
      </c>
      <c r="DM117" s="4" t="e">
        <f t="shared" ca="1" si="1311"/>
        <v>#REF!</v>
      </c>
      <c r="DN117" s="692" t="str">
        <f ca="1">IFERROR(IF(AD114="Nested Steel Stud (wood infill)",VLOOKUP(INDEX(DJ107:DJ118,DM117),SSW,2,FALSE),VLOOKUP(INDEX(DJ107:DJ118,DM117),SSM,2,FALSE)),"----")</f>
        <v>----</v>
      </c>
      <c r="DO117" s="691" t="e">
        <f t="shared" ca="1" si="1312"/>
        <v>#N/A</v>
      </c>
      <c r="DP117" s="4" t="e">
        <f ca="1">IF(AND(INDEX(WSM,DO117,4)&gt;=$AB113,INDEX(WSM,DO117,5)&gt;=$S107,INDEX(WSM,DO117,6)&gt;=$R107),1,0)</f>
        <v>#N/A</v>
      </c>
      <c r="DQ117" s="4" t="e">
        <f t="shared" ref="DQ117" ca="1" si="1469">MATCH(1,OFFSET(DP107:DP118,DR116,0,COUNT(DP107:DP118)-DR116),0)</f>
        <v>#REF!</v>
      </c>
      <c r="DR117" s="4" t="e">
        <f t="shared" ca="1" si="1314"/>
        <v>#REF!</v>
      </c>
      <c r="DS117" s="692" t="str">
        <f ca="1">IFERROR(VLOOKUP(INDEX(DO107:DO118,DR117),WSM,2,FALSE),"----")</f>
        <v>----</v>
      </c>
      <c r="DT117" s="691" t="e">
        <f t="shared" ca="1" si="1315"/>
        <v>#N/A</v>
      </c>
      <c r="DU117" s="4" t="e">
        <f ca="1">IF(AND(INDEX(STM,DT117,4)&gt;=$AB113,INDEX(STM,DT117,5)&gt;=$S107,INDEX(STM,DT117,6)&gt;=$R107),1,0)</f>
        <v>#N/A</v>
      </c>
      <c r="DV117" s="4" t="e">
        <f t="shared" ref="DV117" ca="1" si="1470">MATCH(1,OFFSET(DU107:DU118,DW116,0,COUNT(DU107:DU118)-DW116),0)</f>
        <v>#REF!</v>
      </c>
      <c r="DW117" s="4" t="e">
        <f t="shared" ca="1" si="1317"/>
        <v>#REF!</v>
      </c>
      <c r="DX117" s="692" t="str">
        <f ca="1">IFERROR(VLOOKUP(INDEX(DT107:DT118,DW117),STM,2,FALSE),"----")</f>
        <v>----</v>
      </c>
      <c r="DY117" s="691" t="e">
        <f t="shared" ca="1" si="1318"/>
        <v>#N/A</v>
      </c>
      <c r="DZ117" s="4" t="e">
        <f ca="1">IF(AND(INDEX(ELM,DY117,4)&gt;=$AB113,INDEX(ELM,DY117,5)&gt;=$S107,INDEX(ELM,DY117,6)&gt;=$R107),1,0)</f>
        <v>#N/A</v>
      </c>
      <c r="EA117" s="4" t="e">
        <f t="shared" ref="EA117" ca="1" si="1471">MATCH(1,OFFSET(DZ107:DZ118,EB116,0,COUNT(DZ107:DZ118)-EB116),0)</f>
        <v>#REF!</v>
      </c>
      <c r="EB117" s="4" t="e">
        <f t="shared" ca="1" si="1320"/>
        <v>#REF!</v>
      </c>
      <c r="EC117" s="692" t="str">
        <f ca="1">IFERROR(VLOOKUP(INDEX(DY107:DY118,EB117),ELM,2,FALSE),"----")</f>
        <v>----</v>
      </c>
      <c r="ED117" s="691" t="e">
        <f t="shared" ca="1" si="1321"/>
        <v>#N/A</v>
      </c>
      <c r="EE117" s="4" t="e">
        <f ca="1">IF(LEFT($J107,7)="Clad Wo",IF(AND(INDEX(SPPWS,ED117,4)&gt;=$AB113,INDEX(SPPWS,ED117,5)&gt;=$S107,INDEX(SPPWS,ED117,6)&gt;=$R107),1,0),IF(AND(INDEX(SPM,ED117,4)&gt;=$AB113,INDEX(SPM,ED117,5)&gt;=$S107,INDEX(SPM,ED117,6)&gt;=$R107),1,0))</f>
        <v>#N/A</v>
      </c>
      <c r="EF117" s="4" t="e">
        <f t="shared" ref="EF117" ca="1" si="1472">MATCH(1,OFFSET(EE107:EE118,EG116,0,COUNT(EE107:EE118)-EG116),0)</f>
        <v>#REF!</v>
      </c>
      <c r="EG117" s="4" t="e">
        <f t="shared" ca="1" si="1323"/>
        <v>#REF!</v>
      </c>
      <c r="EH117" s="692" t="str">
        <f ca="1">IF(LEFT($J107,7)="Clad Wo",IFERROR(VLOOKUP(INDEX(ED107:ED118,EG117),SPPWS,2,FALSE),"----"),IFERROR(VLOOKUP(INDEX(ED107:ED118,EG117),SPM,2,FALSE),"----"))</f>
        <v>----</v>
      </c>
    </row>
    <row r="118" spans="1:138" ht="15" customHeight="1" thickBot="1" x14ac:dyDescent="0.3">
      <c r="A118" s="1085"/>
      <c r="B118" s="928"/>
      <c r="C118" s="929"/>
      <c r="D118" s="930"/>
      <c r="E118" s="998"/>
      <c r="F118" s="999"/>
      <c r="G118" s="1000"/>
      <c r="H118" s="1063"/>
      <c r="I118" s="991"/>
      <c r="J118" s="904"/>
      <c r="K118" s="905"/>
      <c r="L118" s="1003"/>
      <c r="M118" s="1065"/>
      <c r="N118" s="1043"/>
      <c r="O118" s="1019"/>
      <c r="P118" s="988"/>
      <c r="Q118" s="1016"/>
      <c r="R118" s="1013"/>
      <c r="S118" s="1008"/>
      <c r="T118" s="1009"/>
      <c r="U118" s="879"/>
      <c r="V118" s="882"/>
      <c r="W118" s="885"/>
      <c r="X118" s="885"/>
      <c r="Y118" s="888"/>
      <c r="Z118" s="888"/>
      <c r="AA118" s="888"/>
      <c r="AB118" s="1082"/>
      <c r="AC118" s="1087"/>
      <c r="AD118" s="1098" t="str">
        <f t="shared" ref="AD118" si="1473">IF(LEFT(J107,7)="Clad Wo","Pella Wood Spr / Steel Pte","Steel Plate")</f>
        <v>Steel Plate</v>
      </c>
      <c r="AE118" s="1099"/>
      <c r="AF118" s="1096"/>
      <c r="AG118" s="1097"/>
      <c r="AH118" s="1097"/>
      <c r="AI118" s="1094"/>
      <c r="AJ118" s="1095"/>
      <c r="AK118" s="163" t="str">
        <f t="shared" ca="1" si="1130"/>
        <v/>
      </c>
      <c r="AL118" s="1060"/>
      <c r="AM118" s="345" t="str">
        <f ca="1">IFERROR(Q107/12*ROUND(VLOOKUP(AF118,OFFSET(SPM,0,1),6,FALSE),2),"")</f>
        <v/>
      </c>
      <c r="AN118" t="str">
        <f t="shared" ca="1" si="1154"/>
        <v/>
      </c>
      <c r="AP118" s="699" t="str">
        <f t="shared" ref="AP118" si="1474">_xlfn.CONCAT(AR118,AS118)</f>
        <v/>
      </c>
      <c r="AQ118" s="700" t="str">
        <f t="shared" si="1353"/>
        <v/>
      </c>
      <c r="AR118" s="160" t="str">
        <f t="shared" si="1114"/>
        <v/>
      </c>
      <c r="AS118" s="160" t="str">
        <f>IFERROR(VLOOKUP(J115, WallType,2,FALSE),"")</f>
        <v/>
      </c>
      <c r="AT118" s="707" t="str">
        <f>AL113</f>
        <v/>
      </c>
      <c r="AU118" s="708" t="e">
        <f t="shared" ca="1" si="1370"/>
        <v>#REF!</v>
      </c>
      <c r="AV118" s="709" t="str">
        <f ca="1">IFERROR(VLOOKUP(AU118,INDIRECT(AQ107),2,FALSE),"----")</f>
        <v>----</v>
      </c>
      <c r="AW118" s="710" t="e">
        <f t="shared" ca="1" si="1371"/>
        <v>#REF!</v>
      </c>
      <c r="AX118" s="709" t="str">
        <f ca="1">IFERROR(VLOOKUP(AW118,INDIRECT(AQ108),2,FALSE),"----")</f>
        <v>----</v>
      </c>
      <c r="AY118" s="710" t="e">
        <f t="shared" ca="1" si="486"/>
        <v>#REF!</v>
      </c>
      <c r="AZ118" s="709" t="str">
        <f ca="1">IFERROR(VLOOKUP(AY118,INDIRECT(AQ109),2,FALSE),"----")</f>
        <v>----</v>
      </c>
      <c r="BA118" s="710" t="e">
        <f t="shared" ca="1" si="487"/>
        <v>#REF!</v>
      </c>
      <c r="BB118" s="709" t="str">
        <f ca="1">IFERROR(VLOOKUP(BA118,INDIRECT(AQ110),2,FALSE),"----")</f>
        <v>----</v>
      </c>
      <c r="BC118" s="710" t="e">
        <f t="shared" ca="1" si="1374"/>
        <v>#REF!</v>
      </c>
      <c r="BD118" s="709" t="str">
        <f ca="1">IFERROR(VLOOKUP(BC118,INDIRECT(AQ111),2,FALSE),"----")</f>
        <v>----</v>
      </c>
      <c r="BE118" s="710" t="e">
        <f t="shared" ca="1" si="1375"/>
        <v>#REF!</v>
      </c>
      <c r="BF118" s="709" t="str">
        <f ca="1">IFERROR(VLOOKUP(BE118,INDIRECT(AQ112),2,FALSE),"----")</f>
        <v>----</v>
      </c>
      <c r="BG118" s="710" t="e">
        <f t="shared" ca="1" si="1376"/>
        <v>#REF!</v>
      </c>
      <c r="BH118" s="711" t="str">
        <f ca="1">IFERROR(VLOOKUP(BG118,INDIRECT(AQ113),2,FALSE),"----")</f>
        <v>----</v>
      </c>
      <c r="BI118" s="710" t="e">
        <f t="shared" ca="1" si="1377"/>
        <v>#REF!</v>
      </c>
      <c r="BJ118" s="711" t="str">
        <f ca="1">IFERROR(VLOOKUP(BI118,INDIRECT(AQ114),2,FALSE),"----")</f>
        <v>----</v>
      </c>
      <c r="BK118" s="710" t="e">
        <f t="shared" ca="1" si="1378"/>
        <v>#REF!</v>
      </c>
      <c r="BL118" s="711" t="str">
        <f ca="1">IFERROR(VLOOKUP(BK118,INDIRECT(AQ115),2,FALSE),"----")</f>
        <v>----</v>
      </c>
      <c r="BM118" s="710" t="e">
        <f t="shared" ca="1" si="1379"/>
        <v>#REF!</v>
      </c>
      <c r="BN118" s="711" t="str">
        <f ca="1">IFERROR(VLOOKUP(BM118,INDIRECT(AQ116),2,FALSE),"----")</f>
        <v>----</v>
      </c>
      <c r="BO118" s="710" t="e">
        <f t="shared" ca="1" si="1380"/>
        <v>#REF!</v>
      </c>
      <c r="BP118" s="711" t="str">
        <f ca="1">IFERROR(VLOOKUP(BO118,INDIRECT(AQ117),2,FALSE),"----")</f>
        <v>----</v>
      </c>
      <c r="BQ118" s="710" t="e">
        <f t="shared" ca="1" si="1381"/>
        <v>#REF!</v>
      </c>
      <c r="BR118" s="712" t="str">
        <f ca="1">IFERROR(VLOOKUP(BQ118,INDIRECT(AQ118),2,FALSE),"----")</f>
        <v>----</v>
      </c>
      <c r="BS118" s="695">
        <f>IF(AI118="",1,IF(COUNTIF(BR107:BR118,AI118)=0,2,1))</f>
        <v>1</v>
      </c>
      <c r="BT118" s="713">
        <f>IF(AF118="",1,IF(BR107=".",2,1))</f>
        <v>1</v>
      </c>
      <c r="BV118" s="155">
        <f ca="1">IF(COUNTIF(EH107:EH118,AF118)=0,IF(AF118&lt;&gt;"",0,1),1)</f>
        <v>1</v>
      </c>
      <c r="BW118" s="157">
        <f ca="1">IFERROR(MATCH(AF118,EH107:EH118,0),1)</f>
        <v>1</v>
      </c>
      <c r="BX118" s="718"/>
      <c r="BY118" s="777"/>
      <c r="BZ118" s="1110"/>
      <c r="CA118" s="714" t="e">
        <f t="shared" ca="1" si="1288"/>
        <v>#REF!</v>
      </c>
      <c r="CB118" s="715" t="e" cm="1">
        <f t="array" aca="1" ref="CB118" ca="1">IF(AND(INDEX(INDIRECT(BY107),CA118,4)&gt;=$AB107,INDEX(INDIRECT(BY107),CA118,5)&gt;=$S107,INDEX(INDIRECT(BY107),CA118,6)&gt;=$R107),1,0)</f>
        <v>#REF!</v>
      </c>
      <c r="CC118" s="715" t="e">
        <f t="shared" ref="CC118" ca="1" si="1475">MATCH(1,OFFSET(CB107:CB118,CD117,0,COUNT(CB107:CB118)-CD117),0)</f>
        <v>#REF!</v>
      </c>
      <c r="CD118" s="715" t="e">
        <f t="shared" ca="1" si="1290"/>
        <v>#REF!</v>
      </c>
      <c r="CE118" s="716" t="str" cm="1">
        <f t="array" aca="1" ref="CE118" ca="1">IFERROR(VLOOKUP(INDEX(CA107:CA118,CD118),INDIRECT(BY107),2,FALSE),"----")</f>
        <v>----</v>
      </c>
      <c r="CF118" s="714" t="e">
        <f t="shared" ca="1" si="1291"/>
        <v>#N/A</v>
      </c>
      <c r="CG118" s="715" t="e">
        <f ca="1">IF(AND(INDEX(SSM,CF118,4)&gt;=$AB107,INDEX(SSM,CF118,5)&gt;=$S107,INDEX(SSM,CF118,6)&gt;=$R107),1,0)</f>
        <v>#N/A</v>
      </c>
      <c r="CH118" s="715" t="e">
        <f t="shared" ref="CH118" ca="1" si="1476">MATCH(1,OFFSET(CG107:CG118,CI117,0,COUNT(CG107:CG118)-CI117),0)</f>
        <v>#REF!</v>
      </c>
      <c r="CI118" s="715" t="e">
        <f t="shared" ca="1" si="1293"/>
        <v>#REF!</v>
      </c>
      <c r="CJ118" s="716" t="str">
        <f ca="1">IFERROR(IF(AD108="Nested Steel Stud (wood infill)",VLOOKUP(INDEX(CF107:CF118,CI118),SSW,2,FALSE),VLOOKUP(INDEX(CF107:CF118,CI118),SSM,2,FALSE)),"----")</f>
        <v>----</v>
      </c>
      <c r="CK118" s="714" t="e">
        <f t="shared" ca="1" si="1294"/>
        <v>#N/A</v>
      </c>
      <c r="CL118" s="715" t="e">
        <f ca="1">IF(AND(INDEX(WSM,CK118,4)&gt;=$AB107,INDEX(WSM,CK118,5)&gt;=$S107,INDEX(WSM,CK118,6)&gt;=$R107),1,0)</f>
        <v>#N/A</v>
      </c>
      <c r="CM118" s="715" t="e">
        <f t="shared" ref="CM118" ca="1" si="1477">MATCH(1,OFFSET(CL107:CL118,CN117,0,COUNT(CL107:CL118)-CN117),0)</f>
        <v>#REF!</v>
      </c>
      <c r="CN118" s="715" t="e">
        <f t="shared" ca="1" si="1296"/>
        <v>#REF!</v>
      </c>
      <c r="CO118" s="716" t="str">
        <f ca="1">IFERROR(VLOOKUP(INDEX(CK107:CK118,CN118),WSM,2,FALSE),"----")</f>
        <v>----</v>
      </c>
      <c r="CP118" s="714" t="e">
        <f t="shared" ca="1" si="1297"/>
        <v>#N/A</v>
      </c>
      <c r="CQ118" s="715" t="e">
        <f ca="1">IF(AND(INDEX(STM,CP118,4)&gt;=$AB107,INDEX(STM,CP118,5)&gt;=$S107,INDEX(STM,CP118,6)&gt;=$R107),1,0)</f>
        <v>#N/A</v>
      </c>
      <c r="CR118" s="715" t="e">
        <f t="shared" ref="CR118" ca="1" si="1478">MATCH(1,OFFSET(CQ107:CQ118,CS117,0,COUNT(CQ107:CQ118)-CS117),0)</f>
        <v>#REF!</v>
      </c>
      <c r="CS118" s="715" t="e">
        <f t="shared" ca="1" si="1299"/>
        <v>#REF!</v>
      </c>
      <c r="CT118" s="716" t="str">
        <f ca="1">IFERROR(VLOOKUP(INDEX(CP107:CP118,CS118),STM,2,FALSE),"----")</f>
        <v>----</v>
      </c>
      <c r="CU118" s="714" t="e">
        <f t="shared" ca="1" si="1300"/>
        <v>#N/A</v>
      </c>
      <c r="CV118" s="715" t="e">
        <f ca="1">IF(AND(INDEX(ELM,CU118,4)&gt;=$AB107,INDEX(ELM,CU118,5)&gt;=$S107,INDEX(ELM,CU118,6)&gt;=$R107),1,0)</f>
        <v>#N/A</v>
      </c>
      <c r="CW118" s="715" t="e">
        <f t="shared" ref="CW118" ca="1" si="1479">MATCH(1,OFFSET(CV107:CV118,CX117,0,COUNT(CV107:CV118)-CX117),0)</f>
        <v>#REF!</v>
      </c>
      <c r="CX118" s="715" t="e">
        <f t="shared" ca="1" si="1302"/>
        <v>#REF!</v>
      </c>
      <c r="CY118" s="716" t="str">
        <f ca="1">IFERROR(VLOOKUP(INDEX(CU107:CU118,CX118),ELM,2,FALSE),"----")</f>
        <v>----</v>
      </c>
      <c r="CZ118" s="714" t="e">
        <f t="shared" ca="1" si="1303"/>
        <v>#N/A</v>
      </c>
      <c r="DA118" s="715" t="e">
        <f ca="1">IF(LEFT($J107,7)="Clad Wo",IF(AND(INDEX(SPPWS,CZ118,4)&gt;=$AB107,INDEX(SPPWS,CZ118,5)&gt;=$S107,INDEX(SPPWS,CZ118,6)&gt;=$R107),1,0),IF(AND(INDEX(SPM,CZ118,4)&gt;=$AB107,INDEX(SPM,CZ118,5)&gt;=$S107,INDEX(SPM,CZ118,6)&gt;=$R107),1,0))</f>
        <v>#N/A</v>
      </c>
      <c r="DB118" s="715" t="e">
        <f t="shared" ref="DB118" ca="1" si="1480">MATCH(1,OFFSET(DA107:DA118,DC117,0,COUNT(DA107:DA118)-DC117),0)</f>
        <v>#REF!</v>
      </c>
      <c r="DC118" s="715" t="e">
        <f t="shared" ca="1" si="1305"/>
        <v>#REF!</v>
      </c>
      <c r="DD118" s="717" t="str">
        <f ca="1">IF(LEFT($J107,7)="Clad Wo",IFERROR(VLOOKUP(INDEX(CZ107:CZ118,DC118),SPPWS,2,FALSE),"----"),IFERROR(VLOOKUP(INDEX(CZ107:CZ118,DC118),SPM,2,FALSE),"----"))</f>
        <v>----</v>
      </c>
      <c r="DE118" s="714" t="e">
        <f t="shared" ca="1" si="1306"/>
        <v>#REF!</v>
      </c>
      <c r="DF118" s="715" t="e" cm="1">
        <f t="array" aca="1" ref="DF118" ca="1">IF(AND(INDEX(INDIRECT(BY107),DE118,4)&gt;=$AB113,INDEX(INDIRECT(BY107),DE118,5)&gt;=$S107,INDEX(INDIRECT(BY107),DE118,6)&gt;=$R107),1,0)</f>
        <v>#REF!</v>
      </c>
      <c r="DG118" s="715" t="e">
        <f t="shared" ref="DG118" ca="1" si="1481">MATCH(1,OFFSET(DF107:DF118,DH117,0,COUNT(DF107:DF118)-DH117),0)</f>
        <v>#REF!</v>
      </c>
      <c r="DH118" s="715" t="e">
        <f t="shared" ca="1" si="1308"/>
        <v>#REF!</v>
      </c>
      <c r="DI118" s="716" t="str" cm="1">
        <f t="array" aca="1" ref="DI118" ca="1">IFERROR(VLOOKUP(INDEX(DE107:DE118,DH118),INDIRECT(BY107),2,FALSE),"----")</f>
        <v>----</v>
      </c>
      <c r="DJ118" s="714" t="e">
        <f t="shared" ca="1" si="1309"/>
        <v>#N/A</v>
      </c>
      <c r="DK118" s="715" t="e">
        <f ca="1">IF(AND(INDEX(SSM,DJ118,4)&gt;=$AB113,INDEX(SSM,DJ118,5)&gt;=$S107,INDEX(SSM,DJ118,6)&gt;=$R107),1,0)</f>
        <v>#N/A</v>
      </c>
      <c r="DL118" s="715" t="e">
        <f t="shared" ref="DL118" ca="1" si="1482">MATCH(1,OFFSET(DK107:DK118,DM117,0,COUNT(DK107:DK118)-DM117),0)</f>
        <v>#REF!</v>
      </c>
      <c r="DM118" s="715" t="e">
        <f t="shared" ca="1" si="1311"/>
        <v>#REF!</v>
      </c>
      <c r="DN118" s="716" t="str">
        <f ca="1">IFERROR(IF(AD114="Nested Steel Stud (wood infill)",VLOOKUP(INDEX(DJ107:DJ118,DM118),SSW,2,FALSE),VLOOKUP(INDEX(DJ107:DJ118,DM118),SSM,2,FALSE)),"----")</f>
        <v>----</v>
      </c>
      <c r="DO118" s="714" t="e">
        <f t="shared" ca="1" si="1312"/>
        <v>#N/A</v>
      </c>
      <c r="DP118" s="715" t="e">
        <f ca="1">IF(AND(INDEX(WSM,DO118,4)&gt;=$AB113,INDEX(WSM,DO118,5)&gt;=$S107,INDEX(WSM,DO118,6)&gt;=$R107),1,0)</f>
        <v>#N/A</v>
      </c>
      <c r="DQ118" s="715" t="e">
        <f t="shared" ref="DQ118" ca="1" si="1483">MATCH(1,OFFSET(DP107:DP118,DR117,0,COUNT(DP107:DP118)-DR117),0)</f>
        <v>#REF!</v>
      </c>
      <c r="DR118" s="715" t="e">
        <f t="shared" ca="1" si="1314"/>
        <v>#REF!</v>
      </c>
      <c r="DS118" s="716" t="str">
        <f ca="1">IFERROR(VLOOKUP(INDEX(DO107:DO118,DR118),WSM,2,FALSE),"----")</f>
        <v>----</v>
      </c>
      <c r="DT118" s="714" t="e">
        <f t="shared" ca="1" si="1315"/>
        <v>#N/A</v>
      </c>
      <c r="DU118" s="715" t="e">
        <f ca="1">IF(AND(INDEX(STM,DT118,4)&gt;=$AB113,INDEX(STM,DT118,5)&gt;=$S107,INDEX(STM,DT118,6)&gt;=$R107),1,0)</f>
        <v>#N/A</v>
      </c>
      <c r="DV118" s="715" t="e">
        <f t="shared" ref="DV118" ca="1" si="1484">MATCH(1,OFFSET(DU107:DU118,DW117,0,COUNT(DU107:DU118)-DW117),0)</f>
        <v>#REF!</v>
      </c>
      <c r="DW118" s="715" t="e">
        <f t="shared" ca="1" si="1317"/>
        <v>#REF!</v>
      </c>
      <c r="DX118" s="716" t="str">
        <f ca="1">IFERROR(VLOOKUP(INDEX(DT107:DT118,DW118),STM,2,FALSE),"----")</f>
        <v>----</v>
      </c>
      <c r="DY118" s="714" t="e">
        <f t="shared" ca="1" si="1318"/>
        <v>#N/A</v>
      </c>
      <c r="DZ118" s="715" t="e">
        <f ca="1">IF(AND(INDEX(ELM,DY118,4)&gt;=$AB113,INDEX(ELM,DY118,5)&gt;=$S107,INDEX(ELM,DY118,6)&gt;=$R107),1,0)</f>
        <v>#N/A</v>
      </c>
      <c r="EA118" s="715" t="e">
        <f t="shared" ref="EA118" ca="1" si="1485">MATCH(1,OFFSET(DZ107:DZ118,EB117,0,COUNT(DZ107:DZ118)-EB117),0)</f>
        <v>#REF!</v>
      </c>
      <c r="EB118" s="715" t="e">
        <f t="shared" ca="1" si="1320"/>
        <v>#REF!</v>
      </c>
      <c r="EC118" s="716" t="str">
        <f ca="1">IFERROR(VLOOKUP(INDEX(DY107:DY118,EB118),ELM,2,FALSE),"----")</f>
        <v>----</v>
      </c>
      <c r="ED118" s="714" t="e">
        <f t="shared" ca="1" si="1321"/>
        <v>#N/A</v>
      </c>
      <c r="EE118" s="715" t="e">
        <f ca="1">IF(LEFT($J107,7)="Clad Wo",IF(AND(INDEX(SPPWS,ED118,4)&gt;=$AB113,INDEX(SPPWS,ED118,5)&gt;=$S107,INDEX(SPPWS,ED118,6)&gt;=$R107),1,0),IF(AND(INDEX(SPM,ED118,4)&gt;=$AB113,INDEX(SPM,ED118,5)&gt;=$S107,INDEX(SPM,ED118,6)&gt;=$R107),1,0))</f>
        <v>#N/A</v>
      </c>
      <c r="EF118" s="715" t="e">
        <f t="shared" ref="EF118" ca="1" si="1486">MATCH(1,OFFSET(EE107:EE118,EG117,0,COUNT(EE107:EE118)-EG117),0)</f>
        <v>#REF!</v>
      </c>
      <c r="EG118" s="715" t="e">
        <f t="shared" ca="1" si="1323"/>
        <v>#REF!</v>
      </c>
      <c r="EH118" s="716" t="str">
        <f ca="1">IF(LEFT($J107,7)="Clad Wo",IFERROR(VLOOKUP(INDEX(ED107:ED118,EG118),SPPWS,2,FALSE),"----"),IFERROR(VLOOKUP(INDEX(ED107:ED118,EG118),SPM,2,FALSE),"----"))</f>
        <v>----</v>
      </c>
    </row>
    <row r="119" spans="1:138" ht="15" customHeight="1" thickTop="1" x14ac:dyDescent="0.25">
      <c r="A119" s="1085"/>
      <c r="B119" s="931" t="s">
        <v>92</v>
      </c>
      <c r="C119" s="932"/>
      <c r="D119" s="933"/>
      <c r="E119" s="992"/>
      <c r="F119" s="993"/>
      <c r="G119" s="994"/>
      <c r="H119" s="1061"/>
      <c r="I119" s="1076"/>
      <c r="J119" s="906"/>
      <c r="K119" s="907"/>
      <c r="L119" s="1001">
        <f>$W$3</f>
        <v>4</v>
      </c>
      <c r="M119" s="923" t="str">
        <f t="shared" ref="M119" si="1487">IFERROR(IF($AE$13="",IF($AG$19="Wind Loading",MIN($V$31,IF(E$11="ASCE 7-05",$U$26,$V$7)*$V$9*(IF($E$12&lt;60,0.0771*LN(MAX(MIN(500,O119),10)) -1.2737,IF($E$11="ASCE 7-22",0.0524*LN(MAX(MIN(500,O119),50))-1.0278,0.0614*LN(MAX(MIN(500,O119),20)) -1.0829))-$V$8)),$V$7*IF(E$12&lt;60,$V$13*($V$15*0.0771*LN(MAX(MIN(500,O119),10))-1.2737-$V$16),$V$13*$V$15*((0.0524*LN(MAX(MIN(500,O119),20))-1.0278)-$V$16))),-ABS($AE$13)),"")</f>
        <v/>
      </c>
      <c r="N119" s="1042" t="str">
        <f t="shared" ref="N119" si="1488">IFERROR(IF($AE$15="",IF($AG$19="Wind Loading",MAX($U$31,IF(E$11="ASCE 7-05",$U$26,$V$7)*$V$9*((IF($E$12&lt;60,-0.077*LN(MAX(MIN(500,O119),10))+1.1737,IF($E$11="ASCE 7-22",-0.077*LN(MAX(MIN(500,O119),20))+1.0798,-0.093*LN(MAX(MIN(500,O119),20))+1.1776)))+$V$8)),$V$7*IF(E$12&lt;60,$V$13*($V$15*(-0.077*LN(MAX(MIN(500,O119),10))+1.1737)-$V$17),$V$13*$V$15*((-0.077*LN(MAX(MIN(500,O119),20))+1.0798)-$V$17))),ABS($AE$15)),"")</f>
        <v/>
      </c>
      <c r="O119" s="1017" t="str">
        <f>IF(BX126=0,"",IF(AG$14="Trapezoidal",BY126,BX126))</f>
        <v/>
      </c>
      <c r="P119" s="986"/>
      <c r="Q119" s="1014"/>
      <c r="R119" s="1011">
        <f>P119*Q119/8</f>
        <v>0</v>
      </c>
      <c r="S119" s="1004">
        <f t="shared" ref="S119" si="1489">IF(5*(P119*Q119^3/(384*0.125))=0,0,5*(P119*Q119^3/(384*0.125)))</f>
        <v>0</v>
      </c>
      <c r="T119" s="1005"/>
      <c r="U119" s="877" t="e">
        <f ca="1">VLOOKUP(J123,INDIRECT(VLOOKUP(J119,FrameStrength,2,FALSE)),3,FALSE)</f>
        <v>#N/A</v>
      </c>
      <c r="V119" s="880">
        <f t="shared" ref="V119" si="1490">(H119+I119)/2</f>
        <v>0</v>
      </c>
      <c r="W119" s="883" t="e">
        <f t="shared" ref="W119" si="1491">MAX(-M119,N119)*O119</f>
        <v>#VALUE!</v>
      </c>
      <c r="X119" s="883">
        <f t="shared" ref="X119" si="1492">IF(E119&gt;162,(E119/240+0.25),IF(AND(E119&lt;162,E119/175&lt;0.75),E119/175,0.75))</f>
        <v>0</v>
      </c>
      <c r="Y119" s="886">
        <f>IFERROR(IF(AG$14="Trapezoidal",BY127,BX127)+IF($E$17="4",(400*E119^3)/(48*X119),0),0)</f>
        <v>0</v>
      </c>
      <c r="Z119" s="886" t="e">
        <f t="shared" ref="Z119" si="1493">+($V119*MAX(-$M119,$N119)*$E119^2)/(144*8)+IF($E$17=4,(400*$E119)/4,0)</f>
        <v>#VALUE!</v>
      </c>
      <c r="AA119" s="886" t="e">
        <f ca="1">VLOOKUP(J123,INDIRECT(VLOOKUP(J119,FrameStrength,2,FALSE)),2,FALSE)</f>
        <v>#N/A</v>
      </c>
      <c r="AB119" s="1083" t="str">
        <f t="shared" ref="AB119" ca="1" si="1494">IFERROR(Z119-AA119,"")</f>
        <v/>
      </c>
      <c r="AC119" s="1077" t="str">
        <f t="shared" ref="AC119" ca="1" si="1495">IFERROR(Y119-U119,"")</f>
        <v/>
      </c>
      <c r="AD119" s="1100" t="str">
        <f>IFERROR(IF(LEFT(J123,2)="As",VLOOKUP(J123,EIMM,4,FALSE),VLOOKUP(J119,EIMM,4,FALSE)),IF(AND(ISNUMBER(SEARCH("Impervia",J119)),ISNUMBER(SEARCH("door",J123))),'New Lookup Cells'!AF$10,IF(ISNUMBER(SEARCH("Impervia",J119)),'New Lookup Cells'!AF$7,IF(AND(ISNUMBER(SEARCH("250",J119)),ISNUMBER(SEARCH("door",J123))),'New Lookup Cells'!AF$14,IF(ISNUMBER(SEARCH("250",J119)),'New Lookup Cells'!AF$13,"")))))</f>
        <v/>
      </c>
      <c r="AE119" s="1101"/>
      <c r="AF119" s="1050"/>
      <c r="AG119" s="1051"/>
      <c r="AH119" s="1051"/>
      <c r="AI119" s="1088"/>
      <c r="AJ119" s="1089"/>
      <c r="AK119" s="154" t="str">
        <f t="shared" ca="1" si="1130"/>
        <v/>
      </c>
      <c r="AL119" s="1038" t="str">
        <f t="shared" ref="AL119" si="1496">IFERROR(ROUND(SQRT(P119^2+(W119/2+IF($E$17=4,200,0))^2),0),"")</f>
        <v/>
      </c>
      <c r="AM119" s="342" t="s">
        <v>669</v>
      </c>
      <c r="AN119" t="str">
        <f t="shared" ca="1" si="1154"/>
        <v/>
      </c>
      <c r="AP119" s="122" t="str">
        <f t="shared" ref="AP119" si="1497">_xlfn.CONCAT(AR119,AS124)</f>
        <v/>
      </c>
      <c r="AQ119" s="683" t="str">
        <f t="shared" si="1353"/>
        <v/>
      </c>
      <c r="AR119" s="96" t="str">
        <f t="shared" si="1114"/>
        <v/>
      </c>
      <c r="AS119" s="96" t="str">
        <f>IF(COUNTIF(imp_1,AF119)=1,"imp_1",IF(COUNTIF(imp_2,AF119)=1,"imp_2",IF(COUNTIF(imp_3,AF119)=1,"imp_3",IF(COUNTIF(impdoor,AF119)=1,"impdoor",""))))</f>
        <v/>
      </c>
      <c r="AT119" s="684" t="str">
        <f>AL119</f>
        <v/>
      </c>
      <c r="AU119" s="685" t="e">
        <f ca="1">MATCH(AL119,INDIRECT(AP119),-1)</f>
        <v>#REF!</v>
      </c>
      <c r="AV119" s="686" t="str">
        <f ca="1">IFERROR(VLOOKUP(AU119,INDIRECT(AQ119),2,FALSE),"----")</f>
        <v>----</v>
      </c>
      <c r="AW119" s="685" t="e">
        <f ca="1">MATCH(AL119,INDIRECT(AP120),-1)</f>
        <v>#REF!</v>
      </c>
      <c r="AX119" s="686" t="str">
        <f ca="1">IFERROR(VLOOKUP(AW119,INDIRECT(AQ120),2,FALSE),"----")</f>
        <v>----</v>
      </c>
      <c r="AY119" s="685" t="e">
        <f ca="1">MATCH(AL119,INDIRECT(AP121),-1)</f>
        <v>#REF!</v>
      </c>
      <c r="AZ119" s="686" t="str">
        <f ca="1">IFERROR(VLOOKUP(AY119,INDIRECT(AQ121),2,FALSE),"----")</f>
        <v>----</v>
      </c>
      <c r="BA119" s="685" t="e">
        <f ca="1">MATCH(AL119,INDIRECT(AP122),-1)</f>
        <v>#REF!</v>
      </c>
      <c r="BB119" s="686" t="str">
        <f ca="1">IFERROR(VLOOKUP(BA119,INDIRECT(AQ122),2,FALSE),"----")</f>
        <v>----</v>
      </c>
      <c r="BC119" s="685" t="e">
        <f ca="1">MATCH(AL119,INDIRECT(AP123),-1)</f>
        <v>#REF!</v>
      </c>
      <c r="BD119" s="686" t="str">
        <f ca="1">IFERROR(VLOOKUP(BC119,INDIRECT(AQ123),2,FALSE),"----")</f>
        <v>----</v>
      </c>
      <c r="BE119" s="685" t="e">
        <f ca="1">MATCH(AL119,INDIRECT(AP124),-1)</f>
        <v>#REF!</v>
      </c>
      <c r="BF119" s="686" t="str">
        <f ca="1">IFERROR(VLOOKUP(BE119,INDIRECT(AQ124),2,FALSE),"----")</f>
        <v>----</v>
      </c>
      <c r="BG119" s="685" t="e">
        <f ca="1">MATCH(AL125,INDIRECT(AP125),-1)</f>
        <v>#REF!</v>
      </c>
      <c r="BH119" s="686" t="str">
        <f ca="1">IFERROR(VLOOKUP(BG119,INDIRECT(AQ125),2,FALSE),"----")</f>
        <v>----</v>
      </c>
      <c r="BI119" s="685" t="e">
        <f ca="1">MATCH(AL125,INDIRECT(AP126),-1)</f>
        <v>#REF!</v>
      </c>
      <c r="BJ119" s="686" t="str">
        <f ca="1">IFERROR(VLOOKUP(BI119,INDIRECT(AQ126),2,FALSE),"----")</f>
        <v>----</v>
      </c>
      <c r="BK119" s="685" t="e">
        <f ca="1">MATCH(AL125,INDIRECT(AP127),-1)</f>
        <v>#REF!</v>
      </c>
      <c r="BL119" s="686" t="str">
        <f ca="1">IFERROR(VLOOKUP(BK119,INDIRECT(AQ127),2,FALSE),"----")</f>
        <v>----</v>
      </c>
      <c r="BM119" s="685" t="e">
        <f ca="1">MATCH(AL125,INDIRECT(AP128),-1)</f>
        <v>#REF!</v>
      </c>
      <c r="BN119" s="686" t="str">
        <f ca="1">IFERROR(VLOOKUP(BM119,INDIRECT(AQ128),2,FALSE),"----")</f>
        <v>----</v>
      </c>
      <c r="BO119" s="685" t="e">
        <f ca="1">MATCH(AL125,INDIRECT(AP129),-1)</f>
        <v>#REF!</v>
      </c>
      <c r="BP119" s="686" t="str">
        <f ca="1">IFERROR(VLOOKUP(BO119,INDIRECT(AQ129),2,FALSE),"----")</f>
        <v>----</v>
      </c>
      <c r="BQ119" s="685" t="e">
        <f ca="1">MATCH(AL125,INDIRECT(AP130),-1)</f>
        <v>#REF!</v>
      </c>
      <c r="BR119" s="686" t="str">
        <f ca="1">IFERROR(VLOOKUP(BQ119,INDIRECT(AQ130),2,FALSE),"----")</f>
        <v>----</v>
      </c>
      <c r="BS119" s="687">
        <f>IF(AI119="",1,IF(COUNTIF(AV119:AV130,AI119)=0,2,1))</f>
        <v>1</v>
      </c>
      <c r="BT119" s="688">
        <f>IF(AP119="1",1,IF(AF119="",1,IF(AV119=".",2,1)))</f>
        <v>1</v>
      </c>
      <c r="BU119" s="706"/>
      <c r="BV119" s="155">
        <f ca="1">IF(COUNTIF(CE119:CE130,AF119)=0,IF(AF119&lt;&gt;"",0,1),1)</f>
        <v>1</v>
      </c>
      <c r="BW119" s="157">
        <f ca="1">IFERROR(MATCH(AF119,CE119:CE130,0),1)</f>
        <v>1</v>
      </c>
      <c r="BX119" s="769" t="str">
        <f>IFERROR(IF(LEFT(J123,2)="As",VLOOKUP(J123,EIMM,2,FALSE),IF(AND(ISNUMBER(SEARCH("Impervia",J119)),ISNUMBER(SEARCH("door",J123))),VLOOKUP("Impervia Door",EIMM,2,FALSE),IF(AND(ISNUMBER(SEARCH("250",J119)),ISNUMBER(SEARCH("door",J123))),VLOOKUP("250 Series Door",EIMM,2,FALSE),VLOOKUP(J119,EIMM,2,FALSE)))),"")</f>
        <v/>
      </c>
      <c r="BY119" s="769" t="str">
        <f ca="1">IFERROR(VLOOKUP(BX119,OFFSET(EIMM,0,1),2,FALSE),"")</f>
        <v/>
      </c>
      <c r="BZ119" s="1110" t="e">
        <f ca="1">IF((COUNTIF(INDIRECT(SUBSTITUTE(J119," ","_")),J123))=0,IF(J123="",1,0),1)</f>
        <v>#REF!</v>
      </c>
      <c r="CA119" s="691" t="e">
        <f ca="1">MATCH(AC119,INDIRECT(BX119),-1)</f>
        <v>#REF!</v>
      </c>
      <c r="CB119" s="4" t="e" cm="1">
        <f t="array" aca="1" ref="CB119" ca="1">IF(AND(INDEX(INDIRECT(BY119),CA119,4)&gt;=$AB119,INDEX(INDIRECT(BY119),CA119,5)&gt;=$S119,INDEX(INDIRECT(BY119),CA119,6)&gt;=$R119),1,0)</f>
        <v>#REF!</v>
      </c>
      <c r="CC119" s="4" t="e">
        <f t="shared" ref="CC119" ca="1" si="1498">MATCH(1,OFFSET(CB119:CB130,$W$2,0,COUNT(CB119:CB130)-$W$2),0)</f>
        <v>#REF!</v>
      </c>
      <c r="CD119" s="4" t="e">
        <f t="shared" ref="CD119" ca="1" si="1499">$W$2+CC119</f>
        <v>#REF!</v>
      </c>
      <c r="CE119" s="692" t="str" cm="1">
        <f t="array" aca="1" ref="CE119" ca="1">IFERROR(VLOOKUP(INDEX(CA119:CA130,CD119),INDIRECT(BY119),2,FALSE),"----")</f>
        <v>----</v>
      </c>
      <c r="CF119" s="691" t="e">
        <f ca="1">MATCH($AC119,SSEI,-1)</f>
        <v>#N/A</v>
      </c>
      <c r="CG119" s="4" t="e">
        <f ca="1">IF(AND(INDEX(SSM,CF119,4)&gt;=$AB119,INDEX(SSM,CF119,5)&gt;=$S119,INDEX(SSM,CF119,6)&gt;=$R119),1,0)</f>
        <v>#N/A</v>
      </c>
      <c r="CH119" s="4" t="e">
        <f t="shared" ref="CH119" ca="1" si="1500">MATCH(1,OFFSET(CG119:CG130,$W$2,0,COUNT(CG119:CG130)-$W$2),0)</f>
        <v>#REF!</v>
      </c>
      <c r="CI119" s="4" t="e">
        <f t="shared" ref="CI119" ca="1" si="1501">$W$2+CH119</f>
        <v>#REF!</v>
      </c>
      <c r="CJ119" s="692" t="str">
        <f ca="1">IFERROR(IF(AD120="Nested Steel Stud (wood infill)",VLOOKUP(INDEX(CF119:CF130,CI119),SSW,2,FALSE),VLOOKUP(INDEX(CF119:CF130,CI119),SSM,2,FALSE)),"----")</f>
        <v>----</v>
      </c>
      <c r="CK119" s="691" t="e">
        <f ca="1">MATCH($AC119,WSEI,-1)</f>
        <v>#N/A</v>
      </c>
      <c r="CL119" s="4" t="e">
        <f ca="1">IF(AND(INDEX(WSM,CK119,4)&gt;=$AB119,INDEX(WSM,CK119,5)&gt;=$S119,INDEX(WSM,CK119,6)&gt;=$R119),1,0)</f>
        <v>#N/A</v>
      </c>
      <c r="CM119" s="4" t="e">
        <f t="shared" ref="CM119" ca="1" si="1502">MATCH(1,OFFSET(CL119:CL130,$W$2,0,COUNT(CL119:CL130)-$W$2),0)</f>
        <v>#REF!</v>
      </c>
      <c r="CN119" s="4" t="e">
        <f t="shared" ref="CN119" ca="1" si="1503">$W$2+CM119</f>
        <v>#REF!</v>
      </c>
      <c r="CO119" s="692" t="str">
        <f ca="1">IFERROR(VLOOKUP(INDEX(CK119:CK130,CN119),WSM,2,FALSE),"----")</f>
        <v>----</v>
      </c>
      <c r="CP119" s="691" t="e">
        <f ca="1">MATCH($AC119,STEI,-1)</f>
        <v>#N/A</v>
      </c>
      <c r="CQ119" s="4" t="e">
        <f ca="1">IF(AND(INDEX(STM,CP119,4)&gt;=$AB119,INDEX(STM,CP119,5)&gt;=$S119,INDEX(STM,CP119,6)&gt;=$R119),1,0)</f>
        <v>#N/A</v>
      </c>
      <c r="CR119" s="4" t="e">
        <f t="shared" ref="CR119" ca="1" si="1504">MATCH(1,OFFSET(CQ119:CQ130,$W$2,0,COUNT(CQ119:CQ130)-$W$2),0)</f>
        <v>#REF!</v>
      </c>
      <c r="CS119" s="4" t="e">
        <f t="shared" ref="CS119" ca="1" si="1505">$W$2+CR119</f>
        <v>#REF!</v>
      </c>
      <c r="CT119" s="692" t="str">
        <f ca="1">IFERROR(VLOOKUP(INDEX(CP119:CP130,CS119),STM,2,FALSE),"----")</f>
        <v>----</v>
      </c>
      <c r="CU119" s="691" t="e">
        <f ca="1">MATCH($AC119,ELEI,-1)</f>
        <v>#N/A</v>
      </c>
      <c r="CV119" s="4" t="e">
        <f ca="1">IF(AND(INDEX(ELM,CU119,4)&gt;=$AB119,INDEX(ELM,CU119,5)&gt;=$S119,INDEX(ELM,CU119,6)&gt;=$R119),1,0)</f>
        <v>#N/A</v>
      </c>
      <c r="CW119" s="4" t="e">
        <f t="shared" ref="CW119" ca="1" si="1506">MATCH(1,OFFSET(CV119:CV130,$W$2,0,COUNT(CV119:CV130)-$W$2),0)</f>
        <v>#REF!</v>
      </c>
      <c r="CX119" s="4" t="e">
        <f t="shared" ref="CX119" ca="1" si="1507">$W$2+CW119</f>
        <v>#REF!</v>
      </c>
      <c r="CY119" s="692" t="str">
        <f ca="1">IFERROR(VLOOKUP(INDEX(CU119:CU130,CX119),ELM,2,FALSE),"----")</f>
        <v>----</v>
      </c>
      <c r="CZ119" s="691" t="e">
        <f ca="1">IF(LEFT($J119,7)="Clad Wo",MATCH($AC119,SPEIW,-1),MATCH($AC119,SPEI,-1))</f>
        <v>#N/A</v>
      </c>
      <c r="DA119" s="4" t="e">
        <f ca="1">IF(LEFT($J119,7)="Clad Wo",IF(AND(INDEX(SPPWS,CZ119,4)&gt;=$AB119,INDEX(SPPWS,CZ119,5)&gt;=$S119,INDEX(SPPWS,CZ119,6)&gt;=$R119),1,0),IF(AND(INDEX(SPM,CZ119,4)&gt;=$AB119,INDEX(SPM,CZ119,5)&gt;=$S119,INDEX(SPM,CZ119,6)&gt;=$R119),1,0))</f>
        <v>#N/A</v>
      </c>
      <c r="DB119" s="4" t="e">
        <f t="shared" ref="DB119" ca="1" si="1508">MATCH(1,OFFSET(DA119:DA130,$W$2,0,COUNT(DA119:DA130)-$W$2),0)</f>
        <v>#REF!</v>
      </c>
      <c r="DC119" s="4" t="e">
        <f t="shared" ref="DC119" ca="1" si="1509">$W$2+DB119</f>
        <v>#REF!</v>
      </c>
      <c r="DD119" s="693" t="str">
        <f ca="1">IF(LEFT($J119,7)="Clad Wo",IFERROR(VLOOKUP(INDEX(CZ119:CZ130,DC119),SPPWS,2,FALSE),"----"),IFERROR(VLOOKUP(INDEX(CZ119:CZ130,DC119),SPM,2,FALSE),"----"))</f>
        <v>----</v>
      </c>
      <c r="DE119" s="691" t="e">
        <f ca="1">MATCH(AC125,INDIRECT(BX119),-1)</f>
        <v>#REF!</v>
      </c>
      <c r="DF119" s="4" t="e" cm="1">
        <f t="array" aca="1" ref="DF119" ca="1">IF(AND(INDEX(INDIRECT(BY119),DE119,4)&gt;=$AB125,INDEX(INDIRECT(BY119),DE119,5)&gt;=$S119,INDEX(INDIRECT(BY119),DE119,6)&gt;=$R119),1,0)</f>
        <v>#REF!</v>
      </c>
      <c r="DG119" s="4" t="e">
        <f t="shared" ref="DG119" ca="1" si="1510">MATCH(1,OFFSET(DF119:DF130,$W$2,0,COUNT(DF119:DF130)-$W$2),0)</f>
        <v>#REF!</v>
      </c>
      <c r="DH119" s="4" t="e">
        <f t="shared" ref="DH119" ca="1" si="1511">$W$2+DG119</f>
        <v>#REF!</v>
      </c>
      <c r="DI119" s="692" t="str" cm="1">
        <f t="array" aca="1" ref="DI119" ca="1">IFERROR(VLOOKUP(INDEX(DE119:DE130,DH119),INDIRECT(BY119),2,FALSE),"----")</f>
        <v>----</v>
      </c>
      <c r="DJ119" s="691" t="e">
        <f ca="1">MATCH($AC125,SSEI,-1)</f>
        <v>#N/A</v>
      </c>
      <c r="DK119" s="4" t="e">
        <f ca="1">IF(AND(INDEX(SSM,DJ119,4)&gt;=$AB125,INDEX(SSM,DJ119,5)&gt;=$S119,INDEX(SSM,DJ119,6)&gt;=$R119),1,0)</f>
        <v>#N/A</v>
      </c>
      <c r="DL119" s="4" t="e">
        <f t="shared" ref="DL119" ca="1" si="1512">MATCH(1,OFFSET(DK119:DK130,$W$2,0,COUNT(DK119:DK130)-$W$2),0)</f>
        <v>#REF!</v>
      </c>
      <c r="DM119" s="4" t="e">
        <f t="shared" ref="DM119" ca="1" si="1513">$W$2+DL119</f>
        <v>#REF!</v>
      </c>
      <c r="DN119" s="692" t="str">
        <f ca="1">IFERROR(IF(AD126="Nested Steel Stud (wood infill)",VLOOKUP(INDEX(DJ119:DJ130,DM119),SSW,2,FALSE),VLOOKUP(INDEX(DJ119:DJ130,DM119),SSM,2,FALSE)),"----")</f>
        <v>----</v>
      </c>
      <c r="DO119" s="691" t="e">
        <f ca="1">MATCH($AC125,WSEI,-1)</f>
        <v>#N/A</v>
      </c>
      <c r="DP119" s="4" t="e">
        <f ca="1">IF(AND(INDEX(WSM,DO119,4)&gt;=$AB125,INDEX(WSM,DO119,5)&gt;=$S119,INDEX(WSM,DO119,6)&gt;=$R119),1,0)</f>
        <v>#N/A</v>
      </c>
      <c r="DQ119" s="4" t="e">
        <f t="shared" ref="DQ119" ca="1" si="1514">MATCH(1,OFFSET(DP119:DP130,$W$2,0,COUNT(DP119:DP130)-$W$2),0)</f>
        <v>#REF!</v>
      </c>
      <c r="DR119" s="4" t="e">
        <f t="shared" ref="DR119" ca="1" si="1515">$W$2+DQ119</f>
        <v>#REF!</v>
      </c>
      <c r="DS119" s="692" t="str">
        <f ca="1">IFERROR(VLOOKUP(INDEX(DO119:DO130,DR119),WSM,2,FALSE),"----")</f>
        <v>----</v>
      </c>
      <c r="DT119" s="691" t="e">
        <f ca="1">MATCH($AC125,STEI,-1)</f>
        <v>#N/A</v>
      </c>
      <c r="DU119" s="4" t="e">
        <f ca="1">IF(AND(INDEX(STM,DT119,4)&gt;=$AB125,INDEX(STM,DT119,5)&gt;=$S119,INDEX(STM,DT119,6)&gt;=$R119),1,0)</f>
        <v>#N/A</v>
      </c>
      <c r="DV119" s="4" t="e">
        <f t="shared" ref="DV119" ca="1" si="1516">MATCH(1,OFFSET(DU119:DU130,$W$2,0,COUNT(DU119:DU130)-$W$2),0)</f>
        <v>#REF!</v>
      </c>
      <c r="DW119" s="4" t="e">
        <f t="shared" ref="DW119" ca="1" si="1517">$W$2+DV119</f>
        <v>#REF!</v>
      </c>
      <c r="DX119" s="692" t="str">
        <f ca="1">IFERROR(VLOOKUP(INDEX(DT119:DT130,DW119),STM,2,FALSE),"----")</f>
        <v>----</v>
      </c>
      <c r="DY119" s="691" t="e">
        <f ca="1">MATCH($AC125,ELEI,-1)</f>
        <v>#N/A</v>
      </c>
      <c r="DZ119" s="4" t="e">
        <f ca="1">IF(AND(INDEX(ELM,DY119,4)&gt;=$AB125,INDEX(ELM,DY119,5)&gt;=$S119,INDEX(ELM,DY119,6)&gt;=$R119),1,0)</f>
        <v>#N/A</v>
      </c>
      <c r="EA119" s="4" t="e">
        <f t="shared" ref="EA119" ca="1" si="1518">MATCH(1,OFFSET(DZ119:DZ130,$W$2,0,COUNT(DZ119:DZ130)-$W$2),0)</f>
        <v>#REF!</v>
      </c>
      <c r="EB119" s="4" t="e">
        <f t="shared" ref="EB119" ca="1" si="1519">EA119+$W$2</f>
        <v>#REF!</v>
      </c>
      <c r="EC119" s="692" t="str">
        <f ca="1">IFERROR(VLOOKUP(INDEX(DY119:DY130,EB119),ELM,2,FALSE),"----")</f>
        <v>----</v>
      </c>
      <c r="ED119" s="691" t="e">
        <f ca="1">IF(LEFT($J119,7)="Clad Wo",MATCH($AC125,SPEIW,-1),MATCH($AC125,SPEI,-1))</f>
        <v>#N/A</v>
      </c>
      <c r="EE119" s="4" t="e">
        <f ca="1">IF(LEFT($J119,7)="Clad Wo",IF(AND(INDEX(SPPWS,ED119,4)&gt;=$AB125,INDEX(SPPWS,ED119,5)&gt;=$S119,INDEX(SPPWS,ED119,6)&gt;=$R119),1,0),IF(AND(INDEX(SPM,ED119,4)&gt;=$AB125,INDEX(SPM,ED119,5)&gt;=$S119,INDEX(SPM,ED119,6)&gt;=$R119),1,0))</f>
        <v>#N/A</v>
      </c>
      <c r="EF119" s="4" t="e">
        <f t="shared" ref="EF119" ca="1" si="1520">MATCH(1,OFFSET(EE119:EE130,$W$2,0,COUNT(EE119:EE130)-$W$2),0)</f>
        <v>#REF!</v>
      </c>
      <c r="EG119" s="4" t="e">
        <f t="shared" ref="EG119" ca="1" si="1521">$W$2+EF119</f>
        <v>#REF!</v>
      </c>
      <c r="EH119" s="692" t="str">
        <f ca="1">IF(LEFT($J119,7)="Clad Wo",IFERROR(VLOOKUP(INDEX(ED119:ED130,EG119),SPPWS,2,FALSE),"----"),IFERROR(VLOOKUP(INDEX(ED119:ED130,EG119),SPM,2,FALSE),"----"))</f>
        <v>----</v>
      </c>
    </row>
    <row r="120" spans="1:138" ht="15" customHeight="1" x14ac:dyDescent="0.25">
      <c r="A120" s="1085"/>
      <c r="B120" s="925"/>
      <c r="C120" s="926"/>
      <c r="D120" s="927"/>
      <c r="E120" s="995"/>
      <c r="F120" s="996"/>
      <c r="G120" s="997"/>
      <c r="H120" s="1062"/>
      <c r="I120" s="990"/>
      <c r="J120" s="908"/>
      <c r="K120" s="909"/>
      <c r="L120" s="1002"/>
      <c r="M120" s="923"/>
      <c r="N120" s="1042"/>
      <c r="O120" s="1018"/>
      <c r="P120" s="987"/>
      <c r="Q120" s="1015"/>
      <c r="R120" s="1012"/>
      <c r="S120" s="1006"/>
      <c r="T120" s="1007"/>
      <c r="U120" s="878"/>
      <c r="V120" s="881"/>
      <c r="W120" s="884"/>
      <c r="X120" s="884"/>
      <c r="Y120" s="887"/>
      <c r="Z120" s="887"/>
      <c r="AA120" s="887"/>
      <c r="AB120" s="1081"/>
      <c r="AC120" s="1078"/>
      <c r="AD120" s="1102" t="s">
        <v>38</v>
      </c>
      <c r="AE120" s="1103"/>
      <c r="AF120" s="1052"/>
      <c r="AG120" s="1053"/>
      <c r="AH120" s="1053"/>
      <c r="AI120" s="1066"/>
      <c r="AJ120" s="1067"/>
      <c r="AK120" s="156" t="str">
        <f t="shared" ca="1" si="1130"/>
        <v/>
      </c>
      <c r="AL120" s="1039"/>
      <c r="AM120" s="343" t="str">
        <f ca="1">IFERROR(Q119/12*ROUND(VLOOKUP(AF120,OFFSET(SSM,0,1),6,FALSE),2),"")</f>
        <v/>
      </c>
      <c r="AN120" t="str">
        <f t="shared" ca="1" si="1154"/>
        <v/>
      </c>
      <c r="AP120" s="122" t="str">
        <f t="shared" ref="AP120" si="1522">_xlfn.CONCAT(AR120,AS124)</f>
        <v/>
      </c>
      <c r="AQ120" s="683" t="str">
        <f t="shared" si="1353"/>
        <v/>
      </c>
      <c r="AR120" s="96" t="str">
        <f t="shared" si="1114"/>
        <v/>
      </c>
      <c r="AS120" s="96" t="str">
        <f>IF(COUNTIF(Vista_1,AF119)=1,"Vista_1",IF(COUNTIF(Vista_2,AF119)=1,"Vista_2",""))</f>
        <v/>
      </c>
      <c r="AT120" s="684" t="str">
        <f>AL119</f>
        <v/>
      </c>
      <c r="AU120" s="694" t="e">
        <f t="shared" ref="AU120" ca="1" si="1523">AU119-1</f>
        <v>#REF!</v>
      </c>
      <c r="AV120" s="686" t="str">
        <f ca="1">IFERROR(VLOOKUP(AU120,INDIRECT(AQ119),2,FALSE),"----")</f>
        <v>----</v>
      </c>
      <c r="AW120" s="694" t="e">
        <f t="shared" ref="AW120:AW121" ca="1" si="1524">AW119-1</f>
        <v>#REF!</v>
      </c>
      <c r="AX120" s="686" t="str">
        <f ca="1">IFERROR(VLOOKUP(AW120,INDIRECT(AQ120),2,FALSE),"----")</f>
        <v>----</v>
      </c>
      <c r="AY120" s="694" t="e">
        <f t="shared" ref="AY120:AY121" ca="1" si="1525">AY119-1</f>
        <v>#REF!</v>
      </c>
      <c r="AZ120" s="686" t="str">
        <f ca="1">IFERROR(VLOOKUP(AY120,INDIRECT(AQ121),2,FALSE),"----")</f>
        <v>----</v>
      </c>
      <c r="BA120" s="694" t="e">
        <f t="shared" ref="BA120:BA121" ca="1" si="1526">BA119-1</f>
        <v>#REF!</v>
      </c>
      <c r="BB120" s="686" t="str">
        <f ca="1">IFERROR(VLOOKUP(BA120,INDIRECT(AQ122),2,FALSE),"----")</f>
        <v>----</v>
      </c>
      <c r="BC120" s="694" t="e">
        <f t="shared" ref="BC120:BC121" ca="1" si="1527">BC119-1</f>
        <v>#REF!</v>
      </c>
      <c r="BD120" s="686" t="str">
        <f ca="1">IFERROR(VLOOKUP(BC120,INDIRECT(AQ123),2,FALSE),"----")</f>
        <v>----</v>
      </c>
      <c r="BE120" s="694" t="e">
        <f t="shared" ref="BE120" ca="1" si="1528">BE119-1</f>
        <v>#REF!</v>
      </c>
      <c r="BF120" s="686" t="str">
        <f ca="1">IFERROR(VLOOKUP(BE120,INDIRECT(AQ124),2,FALSE),"----")</f>
        <v>----</v>
      </c>
      <c r="BG120" s="694" t="e">
        <f t="shared" ref="BG120" ca="1" si="1529">BG119-1</f>
        <v>#REF!</v>
      </c>
      <c r="BH120" s="686" t="str">
        <f ca="1">IFERROR(VLOOKUP(BG120,INDIRECT(AQ125),2,FALSE),"----")</f>
        <v>----</v>
      </c>
      <c r="BI120" s="694" t="e">
        <f t="shared" ref="BI120:BI121" ca="1" si="1530">BI119-1</f>
        <v>#REF!</v>
      </c>
      <c r="BJ120" s="686" t="str">
        <f ca="1">IFERROR(VLOOKUP(BI120,INDIRECT(AQ126),2,FALSE),"----")</f>
        <v>----</v>
      </c>
      <c r="BK120" s="694" t="e">
        <f t="shared" ref="BK120:BK121" ca="1" si="1531">BK119-1</f>
        <v>#REF!</v>
      </c>
      <c r="BL120" s="686" t="str">
        <f ca="1">IFERROR(VLOOKUP(BK120,INDIRECT(AQ127),2,FALSE),"----")</f>
        <v>----</v>
      </c>
      <c r="BM120" s="694" t="e">
        <f t="shared" ref="BM120:BM121" ca="1" si="1532">BM119-1</f>
        <v>#REF!</v>
      </c>
      <c r="BN120" s="686" t="str">
        <f ca="1">IFERROR(VLOOKUP(BM120,INDIRECT(AQ128),2,FALSE),"----")</f>
        <v>----</v>
      </c>
      <c r="BO120" s="694" t="e">
        <f t="shared" ref="BO120:BO121" ca="1" si="1533">BO119-1</f>
        <v>#REF!</v>
      </c>
      <c r="BP120" s="686" t="str">
        <f ca="1">IFERROR(VLOOKUP(BO120,INDIRECT(AQ129),2,FALSE),"----")</f>
        <v>----</v>
      </c>
      <c r="BQ120" s="694" t="e">
        <f t="shared" ref="BQ120" ca="1" si="1534">BQ119-1</f>
        <v>#REF!</v>
      </c>
      <c r="BR120" s="686" t="str">
        <f ca="1">IFERROR(VLOOKUP(BQ120,INDIRECT(AQ130),2,FALSE),"----")</f>
        <v>----</v>
      </c>
      <c r="BS120" s="695">
        <f>IF(AI120="",1,IF(COUNTIF(AX119:AX130,AI120)=0,2,1))</f>
        <v>1</v>
      </c>
      <c r="BT120" s="696">
        <f>IF(AF120="",1,IF(AX119=".",2,1))</f>
        <v>1</v>
      </c>
      <c r="BU120" s="706"/>
      <c r="BV120" s="155">
        <f ca="1">IF(COUNTIF(CJ119:CJ130,AF120)=0,IF(AF120&lt;&gt;"",0,1),1)</f>
        <v>1</v>
      </c>
      <c r="BW120" s="157">
        <f ca="1">IFERROR(MATCH(AF120,CJ119:CJ130,0),1)</f>
        <v>1</v>
      </c>
      <c r="BX120" s="769"/>
      <c r="BY120" s="769"/>
      <c r="BZ120" s="1110"/>
      <c r="CA120" s="691" t="e">
        <f t="shared" ref="CA120:CA130" ca="1" si="1535">CA119-1</f>
        <v>#REF!</v>
      </c>
      <c r="CB120" s="4" t="e" cm="1">
        <f t="array" aca="1" ref="CB120" ca="1">IF(AND(INDEX(INDIRECT(BY119),CA120,4)&gt;=$AB119,INDEX(INDIRECT(BY119),CA120,5)&gt;=$S119,INDEX(INDIRECT(BY119),CA120,6)&gt;=$R119),1,0)</f>
        <v>#REF!</v>
      </c>
      <c r="CC120" s="4" t="e">
        <f t="shared" ref="CC120" ca="1" si="1536">MATCH(1,OFFSET(CB119:CB130,CD119,0,COUNT(CB119:CB130)-CD119),0)</f>
        <v>#REF!</v>
      </c>
      <c r="CD120" s="4" t="e">
        <f t="shared" ref="CD120:CD130" ca="1" si="1537">CD119+CC120</f>
        <v>#REF!</v>
      </c>
      <c r="CE120" s="692" t="str" cm="1">
        <f t="array" aca="1" ref="CE120" ca="1">IFERROR(VLOOKUP(INDEX(CA119:CA130,CD120),INDIRECT(BY119),2,FALSE),"----")</f>
        <v>----</v>
      </c>
      <c r="CF120" s="691" t="e">
        <f t="shared" ref="CF120:CF130" ca="1" si="1538">CF119-1</f>
        <v>#N/A</v>
      </c>
      <c r="CG120" s="4" t="e">
        <f ca="1">IF(AND(INDEX(SSM,CF120,4)&gt;=$AB119,INDEX(SSM,CF120,5)&gt;=$S119,INDEX(SSM,CF120,6)&gt;=$R119),1,0)</f>
        <v>#N/A</v>
      </c>
      <c r="CH120" s="4" t="e">
        <f t="shared" ref="CH120" ca="1" si="1539">MATCH(1,OFFSET(CG119:CG130,CI119,0,COUNT(CG119:CG130)-CI119),0)</f>
        <v>#REF!</v>
      </c>
      <c r="CI120" s="4" t="e">
        <f t="shared" ref="CI120:CI130" ca="1" si="1540">CI119+CH120</f>
        <v>#REF!</v>
      </c>
      <c r="CJ120" s="692" t="str">
        <f ca="1">IFERROR(IF(AD120="Nested Steel Stud (wood infill)",VLOOKUP(INDEX(CF119:CF130,CI120),SSW,2,FALSE),VLOOKUP(INDEX(CF119:CF130,CI120),SSM,2,FALSE)),"----")</f>
        <v>----</v>
      </c>
      <c r="CK120" s="691" t="e">
        <f t="shared" ref="CK120:CK130" ca="1" si="1541">CK119-1</f>
        <v>#N/A</v>
      </c>
      <c r="CL120" s="4" t="e">
        <f ca="1">IF(AND(INDEX(WSM,CK120,4)&gt;=$AB119,INDEX(WSM,CK120,5)&gt;=$S119,INDEX(WSM,CK120,6)&gt;=$R119),1,0)</f>
        <v>#N/A</v>
      </c>
      <c r="CM120" s="4" t="e">
        <f t="shared" ref="CM120" ca="1" si="1542">MATCH(1,OFFSET(CL119:CL130,CN119,0,COUNT(CL119:CL130)-CN119),0)</f>
        <v>#REF!</v>
      </c>
      <c r="CN120" s="4" t="e">
        <f t="shared" ref="CN120:CN130" ca="1" si="1543">CM120+CN119</f>
        <v>#REF!</v>
      </c>
      <c r="CO120" s="692" t="str">
        <f ca="1">IFERROR(VLOOKUP(INDEX(CK119:CK130,CN120),WSM,2,FALSE),"----")</f>
        <v>----</v>
      </c>
      <c r="CP120" s="691" t="e">
        <f t="shared" ref="CP120:CP130" ca="1" si="1544">CP119-1</f>
        <v>#N/A</v>
      </c>
      <c r="CQ120" s="4" t="e">
        <f ca="1">IF(AND(INDEX(STM,CP120,4)&gt;=$AB119,INDEX(STM,CP120,5)&gt;=$S119,INDEX(STM,CP120,6)&gt;=$R119),1,0)</f>
        <v>#N/A</v>
      </c>
      <c r="CR120" s="4" t="e">
        <f t="shared" ref="CR120" ca="1" si="1545">MATCH(1,OFFSET(CQ119:CQ130,CS119,0,COUNT(CQ119:CQ130)-CS119),0)</f>
        <v>#REF!</v>
      </c>
      <c r="CS120" s="4" t="e">
        <f t="shared" ref="CS120:CS130" ca="1" si="1546">CR120+CS119</f>
        <v>#REF!</v>
      </c>
      <c r="CT120" s="692" t="str">
        <f ca="1">IFERROR(VLOOKUP(INDEX(CP119:CP130,CS120),STM,2,FALSE),"----")</f>
        <v>----</v>
      </c>
      <c r="CU120" s="691" t="e">
        <f t="shared" ref="CU120:CU130" ca="1" si="1547">CU119-1</f>
        <v>#N/A</v>
      </c>
      <c r="CV120" s="4" t="e">
        <f ca="1">IF(AND(INDEX(ELM,CU120,4)&gt;=$AB119,INDEX(ELM,CU120,5)&gt;=$S119,INDEX(ELM,CU120,6)&gt;=$R119),1,0)</f>
        <v>#N/A</v>
      </c>
      <c r="CW120" s="4" t="e">
        <f t="shared" ref="CW120" ca="1" si="1548">MATCH(1,OFFSET(CV119:CV130,CX119,0,COUNT(CV119:CV130)-CX119),0)</f>
        <v>#REF!</v>
      </c>
      <c r="CX120" s="4" t="e">
        <f t="shared" ref="CX120:CX130" ca="1" si="1549">CW120+CX119</f>
        <v>#REF!</v>
      </c>
      <c r="CY120" s="692" t="str">
        <f ca="1">IFERROR(VLOOKUP(INDEX(CU119:CU130,CX120),ELM,2,FALSE),"----")</f>
        <v>----</v>
      </c>
      <c r="CZ120" s="691" t="e">
        <f t="shared" ref="CZ120:CZ130" ca="1" si="1550">CZ119-1</f>
        <v>#N/A</v>
      </c>
      <c r="DA120" s="4" t="e">
        <f ca="1">IF(LEFT($J119,7)="Clad Wo",IF(AND(INDEX(SPPWS,CZ120,4)&gt;=$AB119,INDEX(SPPWS,CZ120,5)&gt;=$S119,INDEX(SPPWS,CZ120,6)&gt;=$R119),1,0),IF(AND(INDEX(SPM,CZ120,4)&gt;=$AB119,INDEX(SPM,CZ120,5)&gt;=$S119,INDEX(SPM,CZ120,6)&gt;=$R119),1,0))</f>
        <v>#N/A</v>
      </c>
      <c r="DB120" s="4" t="e">
        <f t="shared" ref="DB120" ca="1" si="1551">MATCH(1,OFFSET(DA119:DA130,DC119,0,COUNT(DA119:DA130)-DC119),0)</f>
        <v>#REF!</v>
      </c>
      <c r="DC120" s="4" t="e">
        <f t="shared" ref="DC120:DC130" ca="1" si="1552">DC119+DB120</f>
        <v>#REF!</v>
      </c>
      <c r="DD120" s="693" t="str">
        <f ca="1">IF(LEFT($J119,7)="Clad Wo",IFERROR(VLOOKUP(INDEX(CZ119:CZ130,DC120),SPPWS,2,FALSE),"----"),IFERROR(VLOOKUP(INDEX(CZ119:CZ130,DC120),SPM,2,FALSE),"----"))</f>
        <v>----</v>
      </c>
      <c r="DE120" s="691" t="e">
        <f t="shared" ref="DE120:DE130" ca="1" si="1553">DE119-1</f>
        <v>#REF!</v>
      </c>
      <c r="DF120" s="4" t="e" cm="1">
        <f t="array" aca="1" ref="DF120" ca="1">IF(AND(INDEX(INDIRECT(BY119),DE120,4)&gt;=$AB125,INDEX(INDIRECT(BY119),DE120,5)&gt;=$S119,INDEX(INDIRECT(BY119),DE120,6)&gt;=$R119),1,0)</f>
        <v>#REF!</v>
      </c>
      <c r="DG120" s="4" t="e">
        <f t="shared" ref="DG120" ca="1" si="1554">MATCH(1,OFFSET(DF119:DF130,DH119,0,COUNT(DF119:DF130)-DH119),0)</f>
        <v>#REF!</v>
      </c>
      <c r="DH120" s="4" t="e">
        <f t="shared" ref="DH120:DH130" ca="1" si="1555">DH119+DG120</f>
        <v>#REF!</v>
      </c>
      <c r="DI120" s="692" t="str" cm="1">
        <f t="array" aca="1" ref="DI120" ca="1">IFERROR(VLOOKUP(INDEX(DE119:DE130,DH120),INDIRECT(BY119),2,FALSE),"----")</f>
        <v>----</v>
      </c>
      <c r="DJ120" s="691" t="e">
        <f t="shared" ref="DJ120:DJ130" ca="1" si="1556">DJ119-1</f>
        <v>#N/A</v>
      </c>
      <c r="DK120" s="4" t="e">
        <f ca="1">IF(AND(INDEX(SSM,DJ120,4)&gt;=$AB125,INDEX(SSM,DJ120,5)&gt;=$S119,INDEX(SSM,DJ120,6)&gt;=$R119),1,0)</f>
        <v>#N/A</v>
      </c>
      <c r="DL120" s="4" t="e">
        <f t="shared" ref="DL120" ca="1" si="1557">MATCH(1,OFFSET(DK119:DK130,DM119,0,COUNT(DK119:DK130)-DM119),0)</f>
        <v>#REF!</v>
      </c>
      <c r="DM120" s="4" t="e">
        <f t="shared" ref="DM120:DM130" ca="1" si="1558">DL120+DM119</f>
        <v>#REF!</v>
      </c>
      <c r="DN120" s="692" t="str">
        <f ca="1">IFERROR(IF(AD126="Nested Steel Stud (wood infill)",VLOOKUP(INDEX(DJ119:DJ130,DM120),SSW,2,FALSE),VLOOKUP(INDEX(DJ119:DJ130,DM120),SSM,2,FALSE)),"----")</f>
        <v>----</v>
      </c>
      <c r="DO120" s="691" t="e">
        <f t="shared" ref="DO120:DO130" ca="1" si="1559">DO119-1</f>
        <v>#N/A</v>
      </c>
      <c r="DP120" s="4" t="e">
        <f ca="1">IF(AND(INDEX(WSM,DO120,4)&gt;=$AB125,INDEX(WSM,DO120,5)&gt;=$S119,INDEX(WSM,DO120,6)&gt;=$R119),1,0)</f>
        <v>#N/A</v>
      </c>
      <c r="DQ120" s="4" t="e">
        <f t="shared" ref="DQ120" ca="1" si="1560">MATCH(1,OFFSET(DP119:DP130,DR119,0,COUNT(DP119:DP130)-DR119),0)</f>
        <v>#REF!</v>
      </c>
      <c r="DR120" s="4" t="e">
        <f t="shared" ref="DR120:DR130" ca="1" si="1561">DQ120+DR119</f>
        <v>#REF!</v>
      </c>
      <c r="DS120" s="692" t="str">
        <f ca="1">IFERROR(VLOOKUP(INDEX(DO119:DO130,DR120),WSM,2,FALSE),"----")</f>
        <v>----</v>
      </c>
      <c r="DT120" s="691" t="e">
        <f t="shared" ref="DT120:DT130" ca="1" si="1562">DT119-1</f>
        <v>#N/A</v>
      </c>
      <c r="DU120" s="4" t="e">
        <f ca="1">IF(AND(INDEX(STM,DT120,4)&gt;=$AB125,INDEX(STM,DT120,5)&gt;=$S119,INDEX(STM,DT120,6)&gt;=$R119),1,0)</f>
        <v>#N/A</v>
      </c>
      <c r="DV120" s="4" t="e">
        <f t="shared" ref="DV120" ca="1" si="1563">MATCH(1,OFFSET(DU119:DU130,DW119,0,COUNT(DU119:DU130)-DW119),0)</f>
        <v>#REF!</v>
      </c>
      <c r="DW120" s="4" t="e">
        <f t="shared" ref="DW120:DW130" ca="1" si="1564">DV120+DW119</f>
        <v>#REF!</v>
      </c>
      <c r="DX120" s="692" t="str">
        <f ca="1">IFERROR(VLOOKUP(INDEX(DT119:DT130,DW120),STM,2,FALSE),"----")</f>
        <v>----</v>
      </c>
      <c r="DY120" s="691" t="e">
        <f t="shared" ref="DY120:DY130" ca="1" si="1565">DY119-1</f>
        <v>#N/A</v>
      </c>
      <c r="DZ120" s="4" t="e">
        <f ca="1">IF(AND(INDEX(ELM,DY120,4)&gt;=$AB125,INDEX(ELM,DY120,5)&gt;=$S119,INDEX(ELM,DY120,6)&gt;=$R119),1,0)</f>
        <v>#N/A</v>
      </c>
      <c r="EA120" s="4" t="e">
        <f t="shared" ref="EA120" ca="1" si="1566">MATCH(1,OFFSET(DZ119:DZ130,EB119,0,COUNT(DZ119:DZ130)-EB119),0)</f>
        <v>#REF!</v>
      </c>
      <c r="EB120" s="4" t="e">
        <f t="shared" ref="EB120:EB130" ca="1" si="1567">EA120+EB119</f>
        <v>#REF!</v>
      </c>
      <c r="EC120" s="692" t="str">
        <f ca="1">IFERROR(VLOOKUP(INDEX(DY119:DY130,EB120),ELM,2,FALSE),"----")</f>
        <v>----</v>
      </c>
      <c r="ED120" s="691" t="e">
        <f t="shared" ref="ED120:ED130" ca="1" si="1568">ED119-1</f>
        <v>#N/A</v>
      </c>
      <c r="EE120" s="4" t="e">
        <f ca="1">IF(LEFT($J119,7)="Clad Wo",IF(AND(INDEX(SPPWS,ED120,4)&gt;=$AB125,INDEX(SPPWS,ED120,5)&gt;=$S119,INDEX(SPPWS,ED120,6)&gt;=$R119),1,0),IF(AND(INDEX(SPM,ED120,4)&gt;=$AB125,INDEX(SPM,ED120,5)&gt;=$S119,INDEX(SPM,ED120,6)&gt;=$R119),1,0))</f>
        <v>#N/A</v>
      </c>
      <c r="EF120" s="4" t="e">
        <f t="shared" ref="EF120" ca="1" si="1569">MATCH(1,OFFSET(EE119:EE130,EG119,0,COUNT(EE119:EE130)-EG119),0)</f>
        <v>#REF!</v>
      </c>
      <c r="EG120" s="4" t="e">
        <f t="shared" ref="EG120:EG130" ca="1" si="1570">EG119+EF120</f>
        <v>#REF!</v>
      </c>
      <c r="EH120" s="692" t="str">
        <f ca="1">IF(LEFT($J119,7)="Clad Wo",IFERROR(VLOOKUP(INDEX(ED119:ED130,EG120),SPPWS,2,FALSE),"----"),IFERROR(VLOOKUP(INDEX(ED119:ED130,EG120),SPM,2,FALSE),"----"))</f>
        <v>----</v>
      </c>
    </row>
    <row r="121" spans="1:138" ht="15" customHeight="1" x14ac:dyDescent="0.25">
      <c r="A121" s="1085"/>
      <c r="B121" s="925"/>
      <c r="C121" s="926"/>
      <c r="D121" s="927"/>
      <c r="E121" s="995"/>
      <c r="F121" s="996"/>
      <c r="G121" s="997"/>
      <c r="H121" s="1062"/>
      <c r="I121" s="990"/>
      <c r="J121" s="908"/>
      <c r="K121" s="909"/>
      <c r="L121" s="1002"/>
      <c r="M121" s="923"/>
      <c r="N121" s="1042"/>
      <c r="O121" s="1018"/>
      <c r="P121" s="987"/>
      <c r="Q121" s="1015"/>
      <c r="R121" s="1012"/>
      <c r="S121" s="1006"/>
      <c r="T121" s="1007"/>
      <c r="U121" s="878"/>
      <c r="V121" s="881"/>
      <c r="W121" s="884"/>
      <c r="X121" s="884"/>
      <c r="Y121" s="887"/>
      <c r="Z121" s="887"/>
      <c r="AA121" s="887"/>
      <c r="AB121" s="1081"/>
      <c r="AC121" s="1078"/>
      <c r="AD121" s="1070" t="s">
        <v>333</v>
      </c>
      <c r="AE121" s="1071"/>
      <c r="AF121" s="1052"/>
      <c r="AG121" s="1053"/>
      <c r="AH121" s="1053"/>
      <c r="AI121" s="1066"/>
      <c r="AJ121" s="1067"/>
      <c r="AK121" s="154" t="str">
        <f t="shared" ca="1" si="1130"/>
        <v/>
      </c>
      <c r="AL121" s="1039"/>
      <c r="AM121" s="344" t="str">
        <f ca="1">IFERROR(Q119/12*ROUND(VLOOKUP(AF121,OFFSET(WSM,0,1),6,FALSE),2),"")</f>
        <v/>
      </c>
      <c r="AN121" t="str">
        <f t="shared" ca="1" si="1154"/>
        <v/>
      </c>
      <c r="AP121" s="122" t="str">
        <f t="shared" ref="AP121" si="1571">_xlfn.CONCAT(AR121,AS124)</f>
        <v/>
      </c>
      <c r="AQ121" s="683" t="str">
        <f t="shared" si="1353"/>
        <v/>
      </c>
      <c r="AR121" s="4" t="str">
        <f t="shared" si="1114"/>
        <v/>
      </c>
      <c r="AS121" s="4"/>
      <c r="AT121" s="697" t="str">
        <f>AL119</f>
        <v/>
      </c>
      <c r="AU121" s="694" t="e">
        <f t="shared" ca="1" si="1370"/>
        <v>#REF!</v>
      </c>
      <c r="AV121" s="686" t="str">
        <f ca="1">IFERROR(VLOOKUP(AU121,INDIRECT(AQ119),2,FALSE),"----")</f>
        <v>----</v>
      </c>
      <c r="AW121" s="694" t="e">
        <f t="shared" ca="1" si="1524"/>
        <v>#REF!</v>
      </c>
      <c r="AX121" s="686" t="str">
        <f ca="1">IFERROR(VLOOKUP(AW121,INDIRECT(AQ120),2,FALSE),"----")</f>
        <v>----</v>
      </c>
      <c r="AY121" s="694" t="e">
        <f t="shared" ca="1" si="1525"/>
        <v>#REF!</v>
      </c>
      <c r="AZ121" s="686" t="str">
        <f ca="1">IFERROR(VLOOKUP(AY121,INDIRECT(AQ121),2,FALSE),"----")</f>
        <v>----</v>
      </c>
      <c r="BA121" s="694" t="e">
        <f t="shared" ca="1" si="1526"/>
        <v>#REF!</v>
      </c>
      <c r="BB121" s="686" t="str">
        <f ca="1">IFERROR(VLOOKUP(BA121,INDIRECT(AQ122),2,FALSE),"----")</f>
        <v>----</v>
      </c>
      <c r="BC121" s="694" t="e">
        <f t="shared" ca="1" si="1527"/>
        <v>#REF!</v>
      </c>
      <c r="BD121" s="686" t="str">
        <f ca="1">IFERROR(VLOOKUP(BC121,INDIRECT(AQ123),2,FALSE),"----")</f>
        <v>----</v>
      </c>
      <c r="BE121" s="694" t="e">
        <f t="shared" ca="1" si="1375"/>
        <v>#REF!</v>
      </c>
      <c r="BF121" s="686" t="str">
        <f ca="1">IFERROR(VLOOKUP(BE121,INDIRECT(AQ124),2,FALSE),"----")</f>
        <v>----</v>
      </c>
      <c r="BG121" s="694" t="e">
        <f t="shared" ca="1" si="1376"/>
        <v>#REF!</v>
      </c>
      <c r="BH121" s="686" t="str">
        <f ca="1">IFERROR(VLOOKUP(BG121,INDIRECT(AQ125),2,FALSE),"----")</f>
        <v>----</v>
      </c>
      <c r="BI121" s="694" t="e">
        <f t="shared" ca="1" si="1530"/>
        <v>#REF!</v>
      </c>
      <c r="BJ121" s="686" t="str">
        <f ca="1">IFERROR(VLOOKUP(BI121,INDIRECT(AQ126),2,FALSE),"----")</f>
        <v>----</v>
      </c>
      <c r="BK121" s="694" t="e">
        <f t="shared" ca="1" si="1531"/>
        <v>#REF!</v>
      </c>
      <c r="BL121" s="686" t="str">
        <f ca="1">IFERROR(VLOOKUP(BK121,INDIRECT(AQ127),2,FALSE),"----")</f>
        <v>----</v>
      </c>
      <c r="BM121" s="694" t="e">
        <f t="shared" ca="1" si="1532"/>
        <v>#REF!</v>
      </c>
      <c r="BN121" s="686" t="str">
        <f ca="1">IFERROR(VLOOKUP(BM121,INDIRECT(AQ128),2,FALSE),"----")</f>
        <v>----</v>
      </c>
      <c r="BO121" s="694" t="e">
        <f t="shared" ca="1" si="1533"/>
        <v>#REF!</v>
      </c>
      <c r="BP121" s="686" t="str">
        <f ca="1">IFERROR(VLOOKUP(BO121,INDIRECT(AQ129),2,FALSE),"----")</f>
        <v>----</v>
      </c>
      <c r="BQ121" s="694" t="e">
        <f t="shared" ca="1" si="1381"/>
        <v>#REF!</v>
      </c>
      <c r="BR121" s="686" t="str">
        <f ca="1">IFERROR(VLOOKUP(BQ121,INDIRECT(AQ130),2,FALSE),"----")</f>
        <v>----</v>
      </c>
      <c r="BS121" s="695">
        <f>IF(AI121="",1,IF(COUNTIF(AZ119:AZ130,AI121)=0,2,1))</f>
        <v>1</v>
      </c>
      <c r="BT121" s="696">
        <f>IF(AF121="",1,IF(AZ119=".",2,1))</f>
        <v>1</v>
      </c>
      <c r="BU121" s="706"/>
      <c r="BV121" s="155">
        <f ca="1">IF(COUNTIF(CO119:CO130,AF121)=0,IF(AF121&lt;&gt;"",0,1),1)</f>
        <v>1</v>
      </c>
      <c r="BW121" s="157">
        <f ca="1">IFERROR(MATCH(AF121,CO119:CO130,0),1)</f>
        <v>1</v>
      </c>
      <c r="BX121" s="769"/>
      <c r="BY121" s="769"/>
      <c r="BZ121" s="1110"/>
      <c r="CA121" s="691" t="e">
        <f t="shared" ca="1" si="1535"/>
        <v>#REF!</v>
      </c>
      <c r="CB121" s="4" t="e" cm="1">
        <f t="array" aca="1" ref="CB121" ca="1">IF(AND(INDEX(INDIRECT(BY119),CA121,4)&gt;=$AB119,INDEX(INDIRECT(BY119),CA121,5)&gt;=$S119,INDEX(INDIRECT(BY119),CA121,6)&gt;=$R119),1,0)</f>
        <v>#REF!</v>
      </c>
      <c r="CC121" s="4" t="e">
        <f t="shared" ref="CC121" ca="1" si="1572">MATCH(1,OFFSET(CB119:CB130,CD120,0,COUNT(CB119:CB130)-CD120),0)</f>
        <v>#REF!</v>
      </c>
      <c r="CD121" s="4" t="e">
        <f t="shared" ca="1" si="1537"/>
        <v>#REF!</v>
      </c>
      <c r="CE121" s="692" t="str" cm="1">
        <f t="array" aca="1" ref="CE121" ca="1">IFERROR(VLOOKUP(INDEX(CA119:CA130,CD121),INDIRECT(BY119),2,FALSE),"----")</f>
        <v>----</v>
      </c>
      <c r="CF121" s="691" t="e">
        <f t="shared" ca="1" si="1538"/>
        <v>#N/A</v>
      </c>
      <c r="CG121" s="4" t="e">
        <f ca="1">IF(AND(INDEX(SSM,CF121,4)&gt;=$AB119,INDEX(SSM,CF121,5)&gt;=$S119,INDEX(SSM,CF121,6)&gt;=$R119),1,0)</f>
        <v>#N/A</v>
      </c>
      <c r="CH121" s="4" t="e">
        <f t="shared" ref="CH121" ca="1" si="1573">MATCH(1,OFFSET(CG119:CG130,CI120,0,COUNT(CG119:CG130)-CI120),0)</f>
        <v>#REF!</v>
      </c>
      <c r="CI121" s="4" t="e">
        <f t="shared" ca="1" si="1540"/>
        <v>#REF!</v>
      </c>
      <c r="CJ121" s="692" t="str">
        <f ca="1">IFERROR(IF(AD120="Nested Steel Stud (wood infill)",VLOOKUP(INDEX(CF119:CF130,CI121),SSW,2,FALSE),VLOOKUP(INDEX(CF119:CF130,CI121),SSM,2,FALSE)),"----")</f>
        <v>----</v>
      </c>
      <c r="CK121" s="691" t="e">
        <f t="shared" ca="1" si="1541"/>
        <v>#N/A</v>
      </c>
      <c r="CL121" s="4" t="e">
        <f ca="1">IF(AND(INDEX(WSM,CK121,4)&gt;=$AB119,INDEX(WSM,CK121,5)&gt;=$S119,INDEX(WSM,CK121,6)&gt;=$R119),1,0)</f>
        <v>#N/A</v>
      </c>
      <c r="CM121" s="4" t="e">
        <f t="shared" ref="CM121" ca="1" si="1574">MATCH(1,OFFSET(CL119:CL130,CN120,0,COUNT(CL119:CL130)-CN120),0)</f>
        <v>#REF!</v>
      </c>
      <c r="CN121" s="4" t="e">
        <f t="shared" ca="1" si="1543"/>
        <v>#REF!</v>
      </c>
      <c r="CO121" s="692" t="str">
        <f ca="1">IFERROR(VLOOKUP(INDEX(CK119:CK130,CN121),WSM,2,FALSE),"----")</f>
        <v>----</v>
      </c>
      <c r="CP121" s="691" t="e">
        <f t="shared" ca="1" si="1544"/>
        <v>#N/A</v>
      </c>
      <c r="CQ121" s="4" t="e">
        <f ca="1">IF(AND(INDEX(STM,CP121,4)&gt;=$AB119,INDEX(STM,CP121,5)&gt;=$S119,INDEX(STM,CP121,6)&gt;=$R119),1,0)</f>
        <v>#N/A</v>
      </c>
      <c r="CR121" s="4" t="e">
        <f t="shared" ref="CR121" ca="1" si="1575">MATCH(1,OFFSET(CQ119:CQ130,CS120,0,COUNT(CQ119:CQ130)-CS120),0)</f>
        <v>#REF!</v>
      </c>
      <c r="CS121" s="4" t="e">
        <f t="shared" ca="1" si="1546"/>
        <v>#REF!</v>
      </c>
      <c r="CT121" s="692" t="str">
        <f ca="1">IFERROR(VLOOKUP(INDEX(CP119:CP130,CS121),STM,2,FALSE),"----")</f>
        <v>----</v>
      </c>
      <c r="CU121" s="691" t="e">
        <f t="shared" ca="1" si="1547"/>
        <v>#N/A</v>
      </c>
      <c r="CV121" s="4" t="e">
        <f ca="1">IF(AND(INDEX(ELM,CU121,4)&gt;=$AB119,INDEX(ELM,CU121,5)&gt;=$S119,INDEX(ELM,CU121,6)&gt;=$R119),1,0)</f>
        <v>#N/A</v>
      </c>
      <c r="CW121" s="4" t="e">
        <f t="shared" ref="CW121" ca="1" si="1576">MATCH(1,OFFSET(CV119:CV130,CX120,0,COUNT(CV119:CV130)-CX120),0)</f>
        <v>#REF!</v>
      </c>
      <c r="CX121" s="4" t="e">
        <f t="shared" ca="1" si="1549"/>
        <v>#REF!</v>
      </c>
      <c r="CY121" s="692" t="str">
        <f ca="1">IFERROR(VLOOKUP(INDEX(CU119:CU130,CX121),ELM,2,FALSE),"----")</f>
        <v>----</v>
      </c>
      <c r="CZ121" s="691" t="e">
        <f t="shared" ca="1" si="1550"/>
        <v>#N/A</v>
      </c>
      <c r="DA121" s="4" t="e">
        <f ca="1">IF(LEFT($J119,7)="Clad Wo",IF(AND(INDEX(SPPWS,CZ121,4)&gt;=$AB119,INDEX(SPPWS,CZ121,5)&gt;=$S119,INDEX(SPPWS,CZ121,6)&gt;=$R119),1,0),IF(AND(INDEX(SPM,CZ121,4)&gt;=$AB119,INDEX(SPM,CZ121,5)&gt;=$S119,INDEX(SPM,CZ121,6)&gt;=$R119),1,0))</f>
        <v>#N/A</v>
      </c>
      <c r="DB121" s="4" t="e">
        <f t="shared" ref="DB121" ca="1" si="1577">MATCH(1,OFFSET(DA119:DA130,DC120,0,COUNT(DA119:DA130)-DC120),0)</f>
        <v>#REF!</v>
      </c>
      <c r="DC121" s="4" t="e">
        <f t="shared" ca="1" si="1552"/>
        <v>#REF!</v>
      </c>
      <c r="DD121" s="693" t="str">
        <f ca="1">IF(LEFT($J119,7)="Clad Wo",IFERROR(VLOOKUP(INDEX(CZ119:CZ130,DC121),SPPWS,2,FALSE),"----"),IFERROR(VLOOKUP(INDEX(CZ119:CZ130,DC121),SPM,2,FALSE),"----"))</f>
        <v>----</v>
      </c>
      <c r="DE121" s="691" t="e">
        <f t="shared" ca="1" si="1553"/>
        <v>#REF!</v>
      </c>
      <c r="DF121" s="4" t="e" cm="1">
        <f t="array" aca="1" ref="DF121" ca="1">IF(AND(INDEX(INDIRECT(BY119),DE121,4)&gt;=$AB125,INDEX(INDIRECT(BY119),DE121,5)&gt;=$S119,INDEX(INDIRECT(BY119),DE121,6)&gt;=$R119),1,0)</f>
        <v>#REF!</v>
      </c>
      <c r="DG121" s="4" t="e">
        <f t="shared" ref="DG121" ca="1" si="1578">MATCH(1,OFFSET(DF119:DF130,DH120,0,COUNT(DF119:DF130)-DH120),0)</f>
        <v>#REF!</v>
      </c>
      <c r="DH121" s="4" t="e">
        <f t="shared" ca="1" si="1555"/>
        <v>#REF!</v>
      </c>
      <c r="DI121" s="692" t="str" cm="1">
        <f t="array" aca="1" ref="DI121" ca="1">IFERROR(VLOOKUP(INDEX(DE119:DE130,DH121),INDIRECT(BY119),2,FALSE),"----")</f>
        <v>----</v>
      </c>
      <c r="DJ121" s="691" t="e">
        <f t="shared" ca="1" si="1556"/>
        <v>#N/A</v>
      </c>
      <c r="DK121" s="4" t="e">
        <f ca="1">IF(AND(INDEX(SSM,DJ121,4)&gt;=$AB125,INDEX(SSM,DJ121,5)&gt;=$S119,INDEX(SSM,DJ121,6)&gt;=$R119),1,0)</f>
        <v>#N/A</v>
      </c>
      <c r="DL121" s="4" t="e">
        <f t="shared" ref="DL121" ca="1" si="1579">MATCH(1,OFFSET(DK119:DK130,DM120,0,COUNT(DK119:DK130)-DM120),0)</f>
        <v>#REF!</v>
      </c>
      <c r="DM121" s="4" t="e">
        <f t="shared" ca="1" si="1558"/>
        <v>#REF!</v>
      </c>
      <c r="DN121" s="692" t="str">
        <f ca="1">IFERROR(IF(AD126="Nested Steel Stud (wood infill)",VLOOKUP(INDEX(DJ119:DJ130,DM121),SSW,2,FALSE),VLOOKUP(INDEX(DJ119:DJ130,DM121),SSM,2,FALSE)),"----")</f>
        <v>----</v>
      </c>
      <c r="DO121" s="691" t="e">
        <f t="shared" ca="1" si="1559"/>
        <v>#N/A</v>
      </c>
      <c r="DP121" s="4" t="e">
        <f ca="1">IF(AND(INDEX(WSM,DO121,4)&gt;=$AB125,INDEX(WSM,DO121,5)&gt;=$S119,INDEX(WSM,DO121,6)&gt;=$R119),1,0)</f>
        <v>#N/A</v>
      </c>
      <c r="DQ121" s="4" t="e">
        <f t="shared" ref="DQ121" ca="1" si="1580">MATCH(1,OFFSET(DP119:DP130,DR120,0,COUNT(DP119:DP130)-DR120),0)</f>
        <v>#REF!</v>
      </c>
      <c r="DR121" s="4" t="e">
        <f t="shared" ca="1" si="1561"/>
        <v>#REF!</v>
      </c>
      <c r="DS121" s="692" t="str">
        <f ca="1">IFERROR(VLOOKUP(INDEX(DO119:DO130,DR121),WSM,2,FALSE),"----")</f>
        <v>----</v>
      </c>
      <c r="DT121" s="691" t="e">
        <f t="shared" ca="1" si="1562"/>
        <v>#N/A</v>
      </c>
      <c r="DU121" s="4" t="e">
        <f ca="1">IF(AND(INDEX(STM,DT121,4)&gt;=$AB125,INDEX(STM,DT121,5)&gt;=$S119,INDEX(STM,DT121,6)&gt;=$R119),1,0)</f>
        <v>#N/A</v>
      </c>
      <c r="DV121" s="4" t="e">
        <f t="shared" ref="DV121" ca="1" si="1581">MATCH(1,OFFSET(DU119:DU130,DW120,0,COUNT(DU119:DU130)-DW120),0)</f>
        <v>#REF!</v>
      </c>
      <c r="DW121" s="4" t="e">
        <f t="shared" ca="1" si="1564"/>
        <v>#REF!</v>
      </c>
      <c r="DX121" s="692" t="str">
        <f ca="1">IFERROR(VLOOKUP(INDEX(DT119:DT130,DW121),STM,2,FALSE),"----")</f>
        <v>----</v>
      </c>
      <c r="DY121" s="691" t="e">
        <f t="shared" ca="1" si="1565"/>
        <v>#N/A</v>
      </c>
      <c r="DZ121" s="4" t="e">
        <f ca="1">IF(AND(INDEX(ELM,DY121,4)&gt;=$AB125,INDEX(ELM,DY121,5)&gt;=$S119,INDEX(ELM,DY121,6)&gt;=$R119),1,0)</f>
        <v>#N/A</v>
      </c>
      <c r="EA121" s="4" t="e">
        <f t="shared" ref="EA121" ca="1" si="1582">MATCH(1,OFFSET(DZ119:DZ130,EB120,0,COUNT(DZ119:DZ130)-EB120),0)</f>
        <v>#REF!</v>
      </c>
      <c r="EB121" s="4" t="e">
        <f t="shared" ca="1" si="1567"/>
        <v>#REF!</v>
      </c>
      <c r="EC121" s="692" t="str">
        <f ca="1">IFERROR(VLOOKUP(INDEX(DY119:DY130,EB121),ELM,2,FALSE),"----")</f>
        <v>----</v>
      </c>
      <c r="ED121" s="691" t="e">
        <f t="shared" ca="1" si="1568"/>
        <v>#N/A</v>
      </c>
      <c r="EE121" s="4" t="e">
        <f ca="1">IF(LEFT($J119,7)="Clad Wo",IF(AND(INDEX(SPPWS,ED121,4)&gt;=$AB125,INDEX(SPPWS,ED121,5)&gt;=$S119,INDEX(SPPWS,ED121,6)&gt;=$R119),1,0),IF(AND(INDEX(SPM,ED121,4)&gt;=$AB125,INDEX(SPM,ED121,5)&gt;=$S119,INDEX(SPM,ED121,6)&gt;=$R119),1,0))</f>
        <v>#N/A</v>
      </c>
      <c r="EF121" s="4" t="e">
        <f t="shared" ref="EF121" ca="1" si="1583">MATCH(1,OFFSET(EE119:EE130,EG120,0,COUNT(EE119:EE130)-EG120),0)</f>
        <v>#REF!</v>
      </c>
      <c r="EG121" s="4" t="e">
        <f t="shared" ca="1" si="1570"/>
        <v>#REF!</v>
      </c>
      <c r="EH121" s="692" t="str">
        <f ca="1">IF(LEFT($J119,7)="Clad Wo",IFERROR(VLOOKUP(INDEX(ED119:ED130,EG121),SPPWS,2,FALSE),"----"),IFERROR(VLOOKUP(INDEX(ED119:ED130,EG121),SPM,2,FALSE),"----"))</f>
        <v>----</v>
      </c>
    </row>
    <row r="122" spans="1:138" ht="15" customHeight="1" x14ac:dyDescent="0.25">
      <c r="A122" s="1085"/>
      <c r="B122" s="925"/>
      <c r="C122" s="926"/>
      <c r="D122" s="927"/>
      <c r="E122" s="995"/>
      <c r="F122" s="996"/>
      <c r="G122" s="997"/>
      <c r="H122" s="1062"/>
      <c r="I122" s="990"/>
      <c r="J122" s="908"/>
      <c r="K122" s="909"/>
      <c r="L122" s="1002"/>
      <c r="M122" s="923"/>
      <c r="N122" s="1042"/>
      <c r="O122" s="1018"/>
      <c r="P122" s="987"/>
      <c r="Q122" s="1015"/>
      <c r="R122" s="1012"/>
      <c r="S122" s="1006"/>
      <c r="T122" s="1007"/>
      <c r="U122" s="878"/>
      <c r="V122" s="881"/>
      <c r="W122" s="884"/>
      <c r="X122" s="884"/>
      <c r="Y122" s="887"/>
      <c r="Z122" s="887"/>
      <c r="AA122" s="887"/>
      <c r="AB122" s="1081"/>
      <c r="AC122" s="1078"/>
      <c r="AD122" s="1070" t="s">
        <v>37</v>
      </c>
      <c r="AE122" s="1071"/>
      <c r="AF122" s="1052"/>
      <c r="AG122" s="1053"/>
      <c r="AH122" s="1053"/>
      <c r="AI122" s="1066"/>
      <c r="AJ122" s="1067"/>
      <c r="AK122" s="156" t="str">
        <f t="shared" ca="1" si="1130"/>
        <v/>
      </c>
      <c r="AL122" s="1039"/>
      <c r="AM122" s="343" t="str">
        <f ca="1">IFERROR(Q119/12*ROUND(VLOOKUP(AF122,OFFSET(STM,0,1),6,FALSE),2),"")</f>
        <v/>
      </c>
      <c r="AN122" t="str">
        <f t="shared" ca="1" si="1154"/>
        <v/>
      </c>
      <c r="AP122" s="122" t="str">
        <f t="shared" ref="AP122" si="1584">_xlfn.CONCAT(AR122,AS124)</f>
        <v/>
      </c>
      <c r="AQ122" s="683" t="str">
        <f t="shared" si="1353"/>
        <v/>
      </c>
      <c r="AR122" s="4" t="str">
        <f t="shared" si="1114"/>
        <v/>
      </c>
      <c r="AS122" s="4"/>
      <c r="AT122" s="697" t="str">
        <f>AL119</f>
        <v/>
      </c>
      <c r="AU122" s="694" t="e">
        <f t="shared" ca="1" si="1370"/>
        <v>#REF!</v>
      </c>
      <c r="AV122" s="686" t="str">
        <f ca="1">IFERROR(VLOOKUP(AU122,INDIRECT(AQ119),2,FALSE),"----")</f>
        <v>----</v>
      </c>
      <c r="AW122" s="694" t="e">
        <f t="shared" ca="1" si="1371"/>
        <v>#REF!</v>
      </c>
      <c r="AX122" s="686" t="str">
        <f ca="1">IFERROR(VLOOKUP(AW122,INDIRECT(AQ120),2,FALSE),"----")</f>
        <v>----</v>
      </c>
      <c r="AY122" s="694" t="e">
        <f t="shared" ref="AY122" ca="1" si="1585">AY121-1</f>
        <v>#REF!</v>
      </c>
      <c r="AZ122" s="686" t="str">
        <f ca="1">IFERROR(VLOOKUP(AY122,INDIRECT(AQ121),2,FALSE),"----")</f>
        <v>----</v>
      </c>
      <c r="BA122" s="694" t="e">
        <f t="shared" ref="BA122" ca="1" si="1586">BA121-1</f>
        <v>#REF!</v>
      </c>
      <c r="BB122" s="686" t="str">
        <f ca="1">IFERROR(VLOOKUP(BA122,INDIRECT(AQ122),2,FALSE),"----")</f>
        <v>----</v>
      </c>
      <c r="BC122" s="694" t="e">
        <f t="shared" ca="1" si="1374"/>
        <v>#REF!</v>
      </c>
      <c r="BD122" s="686" t="str">
        <f ca="1">IFERROR(VLOOKUP(BC122,INDIRECT(AQ123),2,FALSE),"----")</f>
        <v>----</v>
      </c>
      <c r="BE122" s="694" t="e">
        <f t="shared" ca="1" si="1375"/>
        <v>#REF!</v>
      </c>
      <c r="BF122" s="686" t="str">
        <f ca="1">IFERROR(VLOOKUP(BE122,INDIRECT(AQ124),2,FALSE),"----")</f>
        <v>----</v>
      </c>
      <c r="BG122" s="694" t="e">
        <f t="shared" ca="1" si="1376"/>
        <v>#REF!</v>
      </c>
      <c r="BH122" s="686" t="str">
        <f ca="1">IFERROR(VLOOKUP(BG122,INDIRECT(AQ125),2,FALSE),"----")</f>
        <v>----</v>
      </c>
      <c r="BI122" s="694" t="e">
        <f t="shared" ca="1" si="1377"/>
        <v>#REF!</v>
      </c>
      <c r="BJ122" s="686" t="str">
        <f ca="1">IFERROR(VLOOKUP(BI122,INDIRECT(AQ126),2,FALSE),"----")</f>
        <v>----</v>
      </c>
      <c r="BK122" s="694" t="e">
        <f t="shared" ca="1" si="1378"/>
        <v>#REF!</v>
      </c>
      <c r="BL122" s="686" t="str">
        <f ca="1">IFERROR(VLOOKUP(BK122,INDIRECT(AQ127),2,FALSE),"----")</f>
        <v>----</v>
      </c>
      <c r="BM122" s="694" t="e">
        <f t="shared" ca="1" si="1379"/>
        <v>#REF!</v>
      </c>
      <c r="BN122" s="686" t="str">
        <f ca="1">IFERROR(VLOOKUP(BM122,INDIRECT(AQ128),2,FALSE),"----")</f>
        <v>----</v>
      </c>
      <c r="BO122" s="694" t="e">
        <f t="shared" ca="1" si="1380"/>
        <v>#REF!</v>
      </c>
      <c r="BP122" s="686" t="str">
        <f ca="1">IFERROR(VLOOKUP(BO122,INDIRECT(AQ129),2,FALSE),"----")</f>
        <v>----</v>
      </c>
      <c r="BQ122" s="694" t="e">
        <f t="shared" ca="1" si="1381"/>
        <v>#REF!</v>
      </c>
      <c r="BR122" s="686" t="str">
        <f ca="1">IFERROR(VLOOKUP(BQ122,INDIRECT(AQ130),2,FALSE),"----")</f>
        <v>----</v>
      </c>
      <c r="BS122" s="695">
        <f>IF(AI122="",1,IF(COUNTIF(BB119:BB130,AI122)=0,2,1))</f>
        <v>1</v>
      </c>
      <c r="BT122" s="696">
        <f>IF(AF122="",1,IF(BB119=".",2,1))</f>
        <v>1</v>
      </c>
      <c r="BU122" s="706"/>
      <c r="BV122" s="155">
        <f ca="1">IF(COUNTIF(CT119:CT130,AF122)=0,IF(AF122&lt;&gt;"",0,1),1)</f>
        <v>1</v>
      </c>
      <c r="BW122" s="157">
        <f ca="1">IFERROR(MATCH(AF122,CT119:CT130,0),1)</f>
        <v>1</v>
      </c>
      <c r="BX122" s="769"/>
      <c r="BY122" s="769"/>
      <c r="BZ122" s="1110"/>
      <c r="CA122" s="691" t="e">
        <f t="shared" ca="1" si="1535"/>
        <v>#REF!</v>
      </c>
      <c r="CB122" s="4" t="e" cm="1">
        <f t="array" aca="1" ref="CB122" ca="1">IF(AND(INDEX(INDIRECT(BY119),CA122,4)&gt;=$AB119,INDEX(INDIRECT(BY119),CA122,5)&gt;=$S119,INDEX(INDIRECT(BY119),CA122,6)&gt;=$R119),1,0)</f>
        <v>#REF!</v>
      </c>
      <c r="CC122" s="4" t="e">
        <f t="shared" ref="CC122" ca="1" si="1587">MATCH(1,OFFSET(CB119:CB130,CD121,0,COUNT(CB119:CB130)-CD121),0)</f>
        <v>#REF!</v>
      </c>
      <c r="CD122" s="4" t="e">
        <f t="shared" ca="1" si="1537"/>
        <v>#REF!</v>
      </c>
      <c r="CE122" s="692" t="str" cm="1">
        <f t="array" aca="1" ref="CE122" ca="1">IFERROR(VLOOKUP(INDEX(CA119:CA130,CD122),INDIRECT(BY119),2,FALSE),"----")</f>
        <v>----</v>
      </c>
      <c r="CF122" s="691" t="e">
        <f t="shared" ca="1" si="1538"/>
        <v>#N/A</v>
      </c>
      <c r="CG122" s="4" t="e">
        <f ca="1">IF(AND(INDEX(SSM,CF122,4)&gt;=$AB119,INDEX(SSM,CF122,5)&gt;=$S119,INDEX(SSM,CF122,6)&gt;=$R119),1,0)</f>
        <v>#N/A</v>
      </c>
      <c r="CH122" s="4" t="e">
        <f t="shared" ref="CH122" ca="1" si="1588">MATCH(1,OFFSET(CG119:CG130,CI121,0,COUNT(CG119:CG130)-CI121),0)</f>
        <v>#REF!</v>
      </c>
      <c r="CI122" s="4" t="e">
        <f t="shared" ca="1" si="1540"/>
        <v>#REF!</v>
      </c>
      <c r="CJ122" s="692" t="str">
        <f ca="1">IFERROR(IF(AD120="Nested Steel Stud (wood infill)",VLOOKUP(INDEX(CF119:CF130,CI122),SSW,2,FALSE),VLOOKUP(INDEX(CF119:CF130,CI122),SSM,2,FALSE)),"----")</f>
        <v>----</v>
      </c>
      <c r="CK122" s="691" t="e">
        <f t="shared" ca="1" si="1541"/>
        <v>#N/A</v>
      </c>
      <c r="CL122" s="4" t="e">
        <f ca="1">IF(AND(INDEX(WSM,CK122,4)&gt;=$AB119,INDEX(WSM,CK122,5)&gt;=$S119,INDEX(WSM,CK122,6)&gt;=$R119),1,0)</f>
        <v>#N/A</v>
      </c>
      <c r="CM122" s="4" t="e">
        <f t="shared" ref="CM122" ca="1" si="1589">MATCH(1,OFFSET(CL119:CL130,CN121,0,COUNT(CL119:CL130)-CN121),0)</f>
        <v>#REF!</v>
      </c>
      <c r="CN122" s="4" t="e">
        <f t="shared" ca="1" si="1543"/>
        <v>#REF!</v>
      </c>
      <c r="CO122" s="692" t="str">
        <f ca="1">IFERROR(VLOOKUP(INDEX(CK119:CK130,CN122),WSM,2,FALSE),"----")</f>
        <v>----</v>
      </c>
      <c r="CP122" s="691" t="e">
        <f t="shared" ca="1" si="1544"/>
        <v>#N/A</v>
      </c>
      <c r="CQ122" s="4" t="e">
        <f ca="1">IF(AND(INDEX(STM,CP122,4)&gt;=$AB119,INDEX(STM,CP122,5)&gt;=$S119,INDEX(STM,CP122,6)&gt;=$R119),1,0)</f>
        <v>#N/A</v>
      </c>
      <c r="CR122" s="4" t="e">
        <f t="shared" ref="CR122" ca="1" si="1590">MATCH(1,OFFSET(CQ119:CQ130,CS121,0,COUNT(CQ119:CQ130)-CS121),0)</f>
        <v>#REF!</v>
      </c>
      <c r="CS122" s="4" t="e">
        <f t="shared" ca="1" si="1546"/>
        <v>#REF!</v>
      </c>
      <c r="CT122" s="692" t="str">
        <f ca="1">IFERROR(VLOOKUP(INDEX(CP119:CP130,CS122),STM,2,FALSE),"----")</f>
        <v>----</v>
      </c>
      <c r="CU122" s="691" t="e">
        <f t="shared" ca="1" si="1547"/>
        <v>#N/A</v>
      </c>
      <c r="CV122" s="4" t="e">
        <f ca="1">IF(AND(INDEX(ELM,CU122,4)&gt;=$AB119,INDEX(ELM,CU122,5)&gt;=$S119,INDEX(ELM,CU122,6)&gt;=$R119),1,0)</f>
        <v>#N/A</v>
      </c>
      <c r="CW122" s="4" t="e">
        <f t="shared" ref="CW122" ca="1" si="1591">MATCH(1,OFFSET(CV119:CV130,CX121,0,COUNT(CV119:CV130)-CX121),0)</f>
        <v>#REF!</v>
      </c>
      <c r="CX122" s="4" t="e">
        <f t="shared" ca="1" si="1549"/>
        <v>#REF!</v>
      </c>
      <c r="CY122" s="692" t="str">
        <f ca="1">IFERROR(VLOOKUP(INDEX(CU119:CU130,CX122),ELM,2,FALSE),"----")</f>
        <v>----</v>
      </c>
      <c r="CZ122" s="691" t="e">
        <f t="shared" ca="1" si="1550"/>
        <v>#N/A</v>
      </c>
      <c r="DA122" s="4" t="e">
        <f ca="1">IF(LEFT($J119,7)="Clad Wo",IF(AND(INDEX(SPPWS,CZ122,4)&gt;=$AB119,INDEX(SPPWS,CZ122,5)&gt;=$S119,INDEX(SPPWS,CZ122,6)&gt;=$R119),1,0),IF(AND(INDEX(SPM,CZ122,4)&gt;=$AB119,INDEX(SPM,CZ122,5)&gt;=$S119,INDEX(SPM,CZ122,6)&gt;=$R119),1,0))</f>
        <v>#N/A</v>
      </c>
      <c r="DB122" s="4" t="e">
        <f t="shared" ref="DB122" ca="1" si="1592">MATCH(1,OFFSET(DA119:DA130,DC121,0,COUNT(DA119:DA130)-DC121),0)</f>
        <v>#REF!</v>
      </c>
      <c r="DC122" s="4" t="e">
        <f t="shared" ca="1" si="1552"/>
        <v>#REF!</v>
      </c>
      <c r="DD122" s="693" t="str">
        <f ca="1">IF(LEFT($J119,7)="Clad Wo",IFERROR(VLOOKUP(INDEX(CZ119:CZ130,DC122),SPPWS,2,FALSE),"----"),IFERROR(VLOOKUP(INDEX(CZ119:CZ130,DC122),SPM,2,FALSE),"----"))</f>
        <v>----</v>
      </c>
      <c r="DE122" s="691" t="e">
        <f t="shared" ca="1" si="1553"/>
        <v>#REF!</v>
      </c>
      <c r="DF122" s="4" t="e" cm="1">
        <f t="array" aca="1" ref="DF122" ca="1">IF(AND(INDEX(INDIRECT(BY119),DE122,4)&gt;=$AB125,INDEX(INDIRECT(BY119),DE122,5)&gt;=$S119,INDEX(INDIRECT(BY119),DE122,6)&gt;=$R119),1,0)</f>
        <v>#REF!</v>
      </c>
      <c r="DG122" s="4" t="e">
        <f t="shared" ref="DG122" ca="1" si="1593">MATCH(1,OFFSET(DF119:DF130,DH121,0,COUNT(DF119:DF130)-DH121),0)</f>
        <v>#REF!</v>
      </c>
      <c r="DH122" s="4" t="e">
        <f t="shared" ca="1" si="1555"/>
        <v>#REF!</v>
      </c>
      <c r="DI122" s="692" t="str" cm="1">
        <f t="array" aca="1" ref="DI122" ca="1">IFERROR(VLOOKUP(INDEX(DE119:DE130,DH122),INDIRECT(BY119),2,FALSE),"----")</f>
        <v>----</v>
      </c>
      <c r="DJ122" s="691" t="e">
        <f t="shared" ca="1" si="1556"/>
        <v>#N/A</v>
      </c>
      <c r="DK122" s="4" t="e">
        <f ca="1">IF(AND(INDEX(SSM,DJ122,4)&gt;=$AB125,INDEX(SSM,DJ122,5)&gt;=$S119,INDEX(SSM,DJ122,6)&gt;=$R119),1,0)</f>
        <v>#N/A</v>
      </c>
      <c r="DL122" s="4" t="e">
        <f t="shared" ref="DL122" ca="1" si="1594">MATCH(1,OFFSET(DK119:DK130,DM121,0,COUNT(DK119:DK130)-DM121),0)</f>
        <v>#REF!</v>
      </c>
      <c r="DM122" s="4" t="e">
        <f t="shared" ca="1" si="1558"/>
        <v>#REF!</v>
      </c>
      <c r="DN122" s="692" t="str">
        <f ca="1">IFERROR(IF(AD126="Nested Steel Stud (wood infill)",VLOOKUP(INDEX(DJ119:DJ130,DM122),SSW,2,FALSE),VLOOKUP(INDEX(DJ119:DJ130,DM122),SSM,2,FALSE)),"----")</f>
        <v>----</v>
      </c>
      <c r="DO122" s="691" t="e">
        <f t="shared" ca="1" si="1559"/>
        <v>#N/A</v>
      </c>
      <c r="DP122" s="4" t="e">
        <f ca="1">IF(AND(INDEX(WSM,DO122,4)&gt;=$AB125,INDEX(WSM,DO122,5)&gt;=$S119,INDEX(WSM,DO122,6)&gt;=$R119),1,0)</f>
        <v>#N/A</v>
      </c>
      <c r="DQ122" s="4" t="e">
        <f t="shared" ref="DQ122" ca="1" si="1595">MATCH(1,OFFSET(DP119:DP130,DR121,0,COUNT(DP119:DP130)-DR121),0)</f>
        <v>#REF!</v>
      </c>
      <c r="DR122" s="4" t="e">
        <f t="shared" ca="1" si="1561"/>
        <v>#REF!</v>
      </c>
      <c r="DS122" s="692" t="str">
        <f ca="1">IFERROR(VLOOKUP(INDEX(DO119:DO130,DR122),WSM,2,FALSE),"----")</f>
        <v>----</v>
      </c>
      <c r="DT122" s="691" t="e">
        <f t="shared" ca="1" si="1562"/>
        <v>#N/A</v>
      </c>
      <c r="DU122" s="4" t="e">
        <f ca="1">IF(AND(INDEX(STM,DT122,4)&gt;=$AB125,INDEX(STM,DT122,5)&gt;=$S119,INDEX(STM,DT122,6)&gt;=$R119),1,0)</f>
        <v>#N/A</v>
      </c>
      <c r="DV122" s="4" t="e">
        <f t="shared" ref="DV122" ca="1" si="1596">MATCH(1,OFFSET(DU119:DU130,DW121,0,COUNT(DU119:DU130)-DW121),0)</f>
        <v>#REF!</v>
      </c>
      <c r="DW122" s="4" t="e">
        <f t="shared" ca="1" si="1564"/>
        <v>#REF!</v>
      </c>
      <c r="DX122" s="692" t="str">
        <f ca="1">IFERROR(VLOOKUP(INDEX(DT119:DT130,DW122),STM,2,FALSE),"----")</f>
        <v>----</v>
      </c>
      <c r="DY122" s="691" t="e">
        <f t="shared" ca="1" si="1565"/>
        <v>#N/A</v>
      </c>
      <c r="DZ122" s="4" t="e">
        <f ca="1">IF(AND(INDEX(ELM,DY122,4)&gt;=$AB125,INDEX(ELM,DY122,5)&gt;=$S119,INDEX(ELM,DY122,6)&gt;=$R119),1,0)</f>
        <v>#N/A</v>
      </c>
      <c r="EA122" s="4" t="e">
        <f t="shared" ref="EA122" ca="1" si="1597">MATCH(1,OFFSET(DZ119:DZ130,EB121,0,COUNT(DZ119:DZ130)-EB121),0)</f>
        <v>#REF!</v>
      </c>
      <c r="EB122" s="4" t="e">
        <f t="shared" ca="1" si="1567"/>
        <v>#REF!</v>
      </c>
      <c r="EC122" s="692" t="str">
        <f ca="1">IFERROR(VLOOKUP(INDEX(DY119:DY130,EB122),ELM,2,FALSE),"----")</f>
        <v>----</v>
      </c>
      <c r="ED122" s="691" t="e">
        <f t="shared" ca="1" si="1568"/>
        <v>#N/A</v>
      </c>
      <c r="EE122" s="4" t="e">
        <f ca="1">IF(LEFT($J119,7)="Clad Wo",IF(AND(INDEX(SPPWS,ED122,4)&gt;=$AB125,INDEX(SPPWS,ED122,5)&gt;=$S119,INDEX(SPPWS,ED122,6)&gt;=$R119),1,0),IF(AND(INDEX(SPM,ED122,4)&gt;=$AB125,INDEX(SPM,ED122,5)&gt;=$S119,INDEX(SPM,ED122,6)&gt;=$R119),1,0))</f>
        <v>#N/A</v>
      </c>
      <c r="EF122" s="4" t="e">
        <f t="shared" ref="EF122" ca="1" si="1598">MATCH(1,OFFSET(EE119:EE130,EG121,0,COUNT(EE119:EE130)-EG121),0)</f>
        <v>#REF!</v>
      </c>
      <c r="EG122" s="4" t="e">
        <f t="shared" ca="1" si="1570"/>
        <v>#REF!</v>
      </c>
      <c r="EH122" s="692" t="str">
        <f ca="1">IF(LEFT($J119,7)="Clad Wo",IFERROR(VLOOKUP(INDEX(ED119:ED130,EG122),SPPWS,2,FALSE),"----"),IFERROR(VLOOKUP(INDEX(ED119:ED130,EG122),SPM,2,FALSE),"----"))</f>
        <v>----</v>
      </c>
    </row>
    <row r="123" spans="1:138" ht="15" customHeight="1" x14ac:dyDescent="0.25">
      <c r="A123" s="1085"/>
      <c r="B123" s="925"/>
      <c r="C123" s="926"/>
      <c r="D123" s="927"/>
      <c r="E123" s="995"/>
      <c r="F123" s="996"/>
      <c r="G123" s="997"/>
      <c r="H123" s="1062"/>
      <c r="I123" s="990"/>
      <c r="J123" s="910"/>
      <c r="K123" s="911"/>
      <c r="L123" s="1002"/>
      <c r="M123" s="923"/>
      <c r="N123" s="1042"/>
      <c r="O123" s="1018"/>
      <c r="P123" s="987"/>
      <c r="Q123" s="1015"/>
      <c r="R123" s="1012"/>
      <c r="S123" s="1006"/>
      <c r="T123" s="1007"/>
      <c r="U123" s="878"/>
      <c r="V123" s="881"/>
      <c r="W123" s="884"/>
      <c r="X123" s="884"/>
      <c r="Y123" s="887"/>
      <c r="Z123" s="887"/>
      <c r="AA123" s="887"/>
      <c r="AB123" s="1081"/>
      <c r="AC123" s="1078"/>
      <c r="AD123" s="1070" t="s">
        <v>39</v>
      </c>
      <c r="AE123" s="1071"/>
      <c r="AF123" s="1052"/>
      <c r="AG123" s="1053"/>
      <c r="AH123" s="1053"/>
      <c r="AI123" s="1068"/>
      <c r="AJ123" s="1069"/>
      <c r="AK123" s="154" t="str">
        <f t="shared" ca="1" si="1130"/>
        <v/>
      </c>
      <c r="AL123" s="1039"/>
      <c r="AM123" s="344" t="str">
        <f ca="1">IFERROR(Q119/12*ROUND(VLOOKUP(AF123,OFFSET(ELM,0,1),6,FALSE),2),"")</f>
        <v/>
      </c>
      <c r="AN123" t="str">
        <f t="shared" ca="1" si="1154"/>
        <v/>
      </c>
      <c r="AP123" s="122" t="str">
        <f t="shared" ref="AP123" si="1599">_xlfn.CONCAT(AR123,AS124)</f>
        <v/>
      </c>
      <c r="AQ123" s="683" t="str">
        <f t="shared" si="1353"/>
        <v/>
      </c>
      <c r="AR123" s="4" t="str">
        <f t="shared" si="1114"/>
        <v/>
      </c>
      <c r="AS123" s="4"/>
      <c r="AT123" s="697" t="str">
        <f>AL119</f>
        <v/>
      </c>
      <c r="AU123" s="694" t="e">
        <f t="shared" ca="1" si="1370"/>
        <v>#REF!</v>
      </c>
      <c r="AV123" s="698" t="str">
        <f ca="1">IFERROR(VLOOKUP(AU123,INDIRECT(AQ119),2,FALSE),"----")</f>
        <v>----</v>
      </c>
      <c r="AW123" s="694" t="e">
        <f t="shared" ca="1" si="1371"/>
        <v>#REF!</v>
      </c>
      <c r="AX123" s="698" t="str">
        <f ca="1">IFERROR(VLOOKUP(AW123,INDIRECT(AQ120),2,FALSE),"----")</f>
        <v>----</v>
      </c>
      <c r="AY123" s="694" t="e">
        <f t="shared" ref="AY123" ca="1" si="1600">AY122-1</f>
        <v>#REF!</v>
      </c>
      <c r="AZ123" s="698" t="str">
        <f ca="1">IFERROR(VLOOKUP(AY123,INDIRECT(AQ121),2,FALSE),"----")</f>
        <v>----</v>
      </c>
      <c r="BA123" s="694" t="e">
        <f t="shared" ref="BA123" ca="1" si="1601">BA122-1</f>
        <v>#REF!</v>
      </c>
      <c r="BB123" s="698" t="str">
        <f ca="1">IFERROR(VLOOKUP(BA123,INDIRECT(AQ122),2,FALSE),"----")</f>
        <v>----</v>
      </c>
      <c r="BC123" s="694" t="e">
        <f t="shared" ca="1" si="1374"/>
        <v>#REF!</v>
      </c>
      <c r="BD123" s="698" t="str">
        <f ca="1">IFERROR(VLOOKUP(BC123,INDIRECT(AQ123),2,FALSE),"----")</f>
        <v>----</v>
      </c>
      <c r="BE123" s="694" t="e">
        <f t="shared" ca="1" si="1375"/>
        <v>#REF!</v>
      </c>
      <c r="BF123" s="698" t="str">
        <f ca="1">IFERROR(VLOOKUP(BE123,INDIRECT(AQ124),2,FALSE),"----")</f>
        <v>----</v>
      </c>
      <c r="BG123" s="694" t="e">
        <f t="shared" ca="1" si="1376"/>
        <v>#REF!</v>
      </c>
      <c r="BH123" s="686" t="str">
        <f ca="1">IFERROR(VLOOKUP(BG123,INDIRECT(AQ125),2,FALSE),"----")</f>
        <v>----</v>
      </c>
      <c r="BI123" s="694" t="e">
        <f t="shared" ca="1" si="1377"/>
        <v>#REF!</v>
      </c>
      <c r="BJ123" s="686" t="str">
        <f ca="1">IFERROR(VLOOKUP(BI123,INDIRECT(AQ126),2,FALSE),"----")</f>
        <v>----</v>
      </c>
      <c r="BK123" s="694" t="e">
        <f t="shared" ca="1" si="1378"/>
        <v>#REF!</v>
      </c>
      <c r="BL123" s="686" t="str">
        <f ca="1">IFERROR(VLOOKUP(BK123,INDIRECT(AQ127),2,FALSE),"----")</f>
        <v>----</v>
      </c>
      <c r="BM123" s="694" t="e">
        <f t="shared" ca="1" si="1379"/>
        <v>#REF!</v>
      </c>
      <c r="BN123" s="686" t="str">
        <f ca="1">IFERROR(VLOOKUP(BM123,INDIRECT(AQ128),2,FALSE),"----")</f>
        <v>----</v>
      </c>
      <c r="BO123" s="694" t="e">
        <f t="shared" ca="1" si="1380"/>
        <v>#REF!</v>
      </c>
      <c r="BP123" s="686" t="str">
        <f ca="1">IFERROR(VLOOKUP(BO123,INDIRECT(AQ129),2,FALSE),"----")</f>
        <v>----</v>
      </c>
      <c r="BQ123" s="694" t="e">
        <f t="shared" ca="1" si="1381"/>
        <v>#REF!</v>
      </c>
      <c r="BR123" s="686" t="str">
        <f ca="1">IFERROR(VLOOKUP(BQ123,INDIRECT(AQ130),2,FALSE),"----")</f>
        <v>----</v>
      </c>
      <c r="BS123" s="695">
        <f>IF(AI123="",1,IF(COUNTIF(BD119:BD130,AI123)=0,2,1))</f>
        <v>1</v>
      </c>
      <c r="BT123" s="696">
        <f>IF(AF123="",1,IF(BD119=".",2,1))</f>
        <v>1</v>
      </c>
      <c r="BU123" s="706"/>
      <c r="BV123" s="155">
        <f ca="1">IF(COUNTIF(CY119:CY130,AF123)=0,IF(AF123&lt;&gt;"",0,1),1)</f>
        <v>1</v>
      </c>
      <c r="BW123" s="157">
        <f ca="1">IFERROR(MATCH(AF123,CY119:CY130,0),1)</f>
        <v>1</v>
      </c>
      <c r="BX123" s="769"/>
      <c r="BY123" s="769"/>
      <c r="BZ123" s="1110"/>
      <c r="CA123" s="691" t="e">
        <f t="shared" ca="1" si="1535"/>
        <v>#REF!</v>
      </c>
      <c r="CB123" s="4" t="e" cm="1">
        <f t="array" aca="1" ref="CB123" ca="1">IF(AND(INDEX(INDIRECT(BY119),CA123,4)&gt;=$AB119,INDEX(INDIRECT(BY119),CA123,5)&gt;=$S119,INDEX(INDIRECT(BY119),CA123,6)&gt;=$R119),1,0)</f>
        <v>#REF!</v>
      </c>
      <c r="CC123" s="4" t="e">
        <f t="shared" ref="CC123" ca="1" si="1602">MATCH(1,OFFSET(CB119:CB130,CD122,0,COUNT(CB119:CB130)-CD122),0)</f>
        <v>#REF!</v>
      </c>
      <c r="CD123" s="4" t="e">
        <f t="shared" ca="1" si="1537"/>
        <v>#REF!</v>
      </c>
      <c r="CE123" s="692" t="str" cm="1">
        <f t="array" aca="1" ref="CE123" ca="1">IFERROR(VLOOKUP(INDEX(CA119:CA130,CD123),INDIRECT(BY119),2,FALSE),"----")</f>
        <v>----</v>
      </c>
      <c r="CF123" s="691" t="e">
        <f t="shared" ca="1" si="1538"/>
        <v>#N/A</v>
      </c>
      <c r="CG123" s="4" t="e">
        <f ca="1">IF(AND(INDEX(SSM,CF123,4)&gt;=$AB119,INDEX(SSM,CF123,5)&gt;=$S119,INDEX(SSM,CF123,6)&gt;=$R119),1,0)</f>
        <v>#N/A</v>
      </c>
      <c r="CH123" s="4" t="e">
        <f t="shared" ref="CH123" ca="1" si="1603">MATCH(1,OFFSET(CG119:CG130,CI122,0,COUNT(CG119:CG130)-CI122),0)</f>
        <v>#REF!</v>
      </c>
      <c r="CI123" s="4" t="e">
        <f t="shared" ca="1" si="1540"/>
        <v>#REF!</v>
      </c>
      <c r="CJ123" s="692" t="str">
        <f ca="1">IFERROR(IF(AD120="Nested Steel Stud (wood infill)",VLOOKUP(INDEX(CF119:CF130,CI123),SSW,2,FALSE),VLOOKUP(INDEX(CF119:CF130,CI123),SSM,2,FALSE)),"----")</f>
        <v>----</v>
      </c>
      <c r="CK123" s="691" t="e">
        <f t="shared" ca="1" si="1541"/>
        <v>#N/A</v>
      </c>
      <c r="CL123" s="4" t="e">
        <f ca="1">IF(AND(INDEX(WSM,CK123,4)&gt;=$AB119,INDEX(WSM,CK123,5)&gt;=$S119,INDEX(WSM,CK123,6)&gt;=$R119),1,0)</f>
        <v>#N/A</v>
      </c>
      <c r="CM123" s="4" t="e">
        <f t="shared" ref="CM123" ca="1" si="1604">MATCH(1,OFFSET(CL119:CL130,CN122,0,COUNT(CL119:CL130)-CN122),0)</f>
        <v>#REF!</v>
      </c>
      <c r="CN123" s="4" t="e">
        <f t="shared" ca="1" si="1543"/>
        <v>#REF!</v>
      </c>
      <c r="CO123" s="692" t="str">
        <f ca="1">IFERROR(VLOOKUP(INDEX(CK119:CK130,CN123),WSM,2,FALSE),"----")</f>
        <v>----</v>
      </c>
      <c r="CP123" s="691" t="e">
        <f t="shared" ca="1" si="1544"/>
        <v>#N/A</v>
      </c>
      <c r="CQ123" s="4" t="e">
        <f ca="1">IF(AND(INDEX(STM,CP123,4)&gt;=$AB119,INDEX(STM,CP123,5)&gt;=$S119,INDEX(STM,CP123,6)&gt;=$R119),1,0)</f>
        <v>#N/A</v>
      </c>
      <c r="CR123" s="4" t="e">
        <f t="shared" ref="CR123" ca="1" si="1605">MATCH(1,OFFSET(CQ119:CQ130,CS122,0,COUNT(CQ119:CQ130)-CS122),0)</f>
        <v>#REF!</v>
      </c>
      <c r="CS123" s="4" t="e">
        <f t="shared" ca="1" si="1546"/>
        <v>#REF!</v>
      </c>
      <c r="CT123" s="692" t="str">
        <f ca="1">IFERROR(VLOOKUP(INDEX(CP119:CP130,CS123),STM,2,FALSE),"----")</f>
        <v>----</v>
      </c>
      <c r="CU123" s="691" t="e">
        <f t="shared" ca="1" si="1547"/>
        <v>#N/A</v>
      </c>
      <c r="CV123" s="4" t="e">
        <f ca="1">IF(AND(INDEX(ELM,CU123,4)&gt;=$AB119,INDEX(ELM,CU123,5)&gt;=$S119,INDEX(ELM,CU123,6)&gt;=$R119),1,0)</f>
        <v>#N/A</v>
      </c>
      <c r="CW123" s="4" t="e">
        <f t="shared" ref="CW123" ca="1" si="1606">MATCH(1,OFFSET(CV119:CV130,CX122,0,COUNT(CV119:CV130)-CX122),0)</f>
        <v>#REF!</v>
      </c>
      <c r="CX123" s="4" t="e">
        <f t="shared" ca="1" si="1549"/>
        <v>#REF!</v>
      </c>
      <c r="CY123" s="692" t="str">
        <f ca="1">IFERROR(VLOOKUP(INDEX(CU119:CU130,CX123),ELM,2,FALSE),"----")</f>
        <v>----</v>
      </c>
      <c r="CZ123" s="691" t="e">
        <f t="shared" ca="1" si="1550"/>
        <v>#N/A</v>
      </c>
      <c r="DA123" s="4" t="e">
        <f ca="1">IF(LEFT($J119,7)="Clad Wo",IF(AND(INDEX(SPPWS,CZ123,4)&gt;=$AB119,INDEX(SPPWS,CZ123,5)&gt;=$S119,INDEX(SPPWS,CZ123,6)&gt;=$R119),1,0),IF(AND(INDEX(SPM,CZ123,4)&gt;=$AB119,INDEX(SPM,CZ123,5)&gt;=$S119,INDEX(SPM,CZ123,6)&gt;=$R119),1,0))</f>
        <v>#N/A</v>
      </c>
      <c r="DB123" s="4" t="e">
        <f t="shared" ref="DB123" ca="1" si="1607">MATCH(1,OFFSET(DA119:DA130,DC122,0,COUNT(DA119:DA130)-DC122),0)</f>
        <v>#REF!</v>
      </c>
      <c r="DC123" s="4" t="e">
        <f t="shared" ca="1" si="1552"/>
        <v>#REF!</v>
      </c>
      <c r="DD123" s="693" t="str">
        <f ca="1">IF(LEFT($J119,7)="Clad Wo",IFERROR(VLOOKUP(INDEX(CZ119:CZ130,DC123),SPPWS,2,FALSE),"----"),IFERROR(VLOOKUP(INDEX(CZ119:CZ130,DC123),SPM,2,FALSE),"----"))</f>
        <v>----</v>
      </c>
      <c r="DE123" s="691" t="e">
        <f t="shared" ca="1" si="1553"/>
        <v>#REF!</v>
      </c>
      <c r="DF123" s="4" t="e" cm="1">
        <f t="array" aca="1" ref="DF123" ca="1">IF(AND(INDEX(INDIRECT(BY119),DE123,4)&gt;=$AB125,INDEX(INDIRECT(BY119),DE123,5)&gt;=$S119,INDEX(INDIRECT(BY119),DE123,6)&gt;=$R119),1,0)</f>
        <v>#REF!</v>
      </c>
      <c r="DG123" s="4" t="e">
        <f t="shared" ref="DG123" ca="1" si="1608">MATCH(1,OFFSET(DF119:DF130,DH122,0,COUNT(DF119:DF130)-DH122),0)</f>
        <v>#REF!</v>
      </c>
      <c r="DH123" s="4" t="e">
        <f t="shared" ca="1" si="1555"/>
        <v>#REF!</v>
      </c>
      <c r="DI123" s="692" t="str" cm="1">
        <f t="array" aca="1" ref="DI123" ca="1">IFERROR(VLOOKUP(INDEX(DE119:DE130,DH123),INDIRECT(BY119),2,FALSE),"----")</f>
        <v>----</v>
      </c>
      <c r="DJ123" s="691" t="e">
        <f t="shared" ca="1" si="1556"/>
        <v>#N/A</v>
      </c>
      <c r="DK123" s="4" t="e">
        <f ca="1">IF(AND(INDEX(SSM,DJ123,4)&gt;=$AB125,INDEX(SSM,DJ123,5)&gt;=$S119,INDEX(SSM,DJ123,6)&gt;=$R119),1,0)</f>
        <v>#N/A</v>
      </c>
      <c r="DL123" s="4" t="e">
        <f t="shared" ref="DL123" ca="1" si="1609">MATCH(1,OFFSET(DK119:DK130,DM122,0,COUNT(DK119:DK130)-DM122),0)</f>
        <v>#REF!</v>
      </c>
      <c r="DM123" s="4" t="e">
        <f t="shared" ca="1" si="1558"/>
        <v>#REF!</v>
      </c>
      <c r="DN123" s="692" t="str">
        <f ca="1">IFERROR(IF(AD126="Nested Steel Stud (wood infill)",VLOOKUP(INDEX(DJ119:DJ130,DM123),SSW,2,FALSE),VLOOKUP(INDEX(DJ119:DJ130,DM123),SSM,2,FALSE)),"----")</f>
        <v>----</v>
      </c>
      <c r="DO123" s="691" t="e">
        <f t="shared" ca="1" si="1559"/>
        <v>#N/A</v>
      </c>
      <c r="DP123" s="4" t="e">
        <f ca="1">IF(AND(INDEX(WSM,DO123,4)&gt;=$AB125,INDEX(WSM,DO123,5)&gt;=$S119,INDEX(WSM,DO123,6)&gt;=$R119),1,0)</f>
        <v>#N/A</v>
      </c>
      <c r="DQ123" s="4" t="e">
        <f t="shared" ref="DQ123" ca="1" si="1610">MATCH(1,OFFSET(DP119:DP130,DR122,0,COUNT(DP119:DP130)-DR122),0)</f>
        <v>#REF!</v>
      </c>
      <c r="DR123" s="4" t="e">
        <f t="shared" ca="1" si="1561"/>
        <v>#REF!</v>
      </c>
      <c r="DS123" s="692" t="str">
        <f ca="1">IFERROR(VLOOKUP(INDEX(DO119:DO130,DR123),WSM,2,FALSE),"----")</f>
        <v>----</v>
      </c>
      <c r="DT123" s="691" t="e">
        <f t="shared" ca="1" si="1562"/>
        <v>#N/A</v>
      </c>
      <c r="DU123" s="4" t="e">
        <f ca="1">IF(AND(INDEX(STM,DT123,4)&gt;=$AB125,INDEX(STM,DT123,5)&gt;=$S119,INDEX(STM,DT123,6)&gt;=$R119),1,0)</f>
        <v>#N/A</v>
      </c>
      <c r="DV123" s="4" t="e">
        <f t="shared" ref="DV123" ca="1" si="1611">MATCH(1,OFFSET(DU119:DU130,DW122,0,COUNT(DU119:DU130)-DW122),0)</f>
        <v>#REF!</v>
      </c>
      <c r="DW123" s="4" t="e">
        <f t="shared" ca="1" si="1564"/>
        <v>#REF!</v>
      </c>
      <c r="DX123" s="692" t="str">
        <f ca="1">IFERROR(VLOOKUP(INDEX(DT119:DT130,DW123),STM,2,FALSE),"----")</f>
        <v>----</v>
      </c>
      <c r="DY123" s="691" t="e">
        <f t="shared" ca="1" si="1565"/>
        <v>#N/A</v>
      </c>
      <c r="DZ123" s="4" t="e">
        <f ca="1">IF(AND(INDEX(ELM,DY123,4)&gt;=$AB125,INDEX(ELM,DY123,5)&gt;=$S119,INDEX(ELM,DY123,6)&gt;=$R119),1,0)</f>
        <v>#N/A</v>
      </c>
      <c r="EA123" s="4" t="e">
        <f t="shared" ref="EA123" ca="1" si="1612">MATCH(1,OFFSET(DZ119:DZ130,EB122,0,COUNT(DZ119:DZ130)-EB122),0)</f>
        <v>#REF!</v>
      </c>
      <c r="EB123" s="4" t="e">
        <f t="shared" ca="1" si="1567"/>
        <v>#REF!</v>
      </c>
      <c r="EC123" s="692" t="str">
        <f ca="1">IFERROR(VLOOKUP(INDEX(DY119:DY130,EB123),ELM,2,FALSE),"----")</f>
        <v>----</v>
      </c>
      <c r="ED123" s="691" t="e">
        <f t="shared" ca="1" si="1568"/>
        <v>#N/A</v>
      </c>
      <c r="EE123" s="4" t="e">
        <f ca="1">IF(LEFT($J119,7)="Clad Wo",IF(AND(INDEX(SPPWS,ED123,4)&gt;=$AB125,INDEX(SPPWS,ED123,5)&gt;=$S119,INDEX(SPPWS,ED123,6)&gt;=$R119),1,0),IF(AND(INDEX(SPM,ED123,4)&gt;=$AB125,INDEX(SPM,ED123,5)&gt;=$S119,INDEX(SPM,ED123,6)&gt;=$R119),1,0))</f>
        <v>#N/A</v>
      </c>
      <c r="EF123" s="4" t="e">
        <f t="shared" ref="EF123" ca="1" si="1613">MATCH(1,OFFSET(EE119:EE130,EG122,0,COUNT(EE119:EE130)-EG122),0)</f>
        <v>#REF!</v>
      </c>
      <c r="EG123" s="4" t="e">
        <f t="shared" ca="1" si="1570"/>
        <v>#REF!</v>
      </c>
      <c r="EH123" s="692" t="str">
        <f ca="1">IF(LEFT($J119,7)="Clad Wo",IFERROR(VLOOKUP(INDEX(ED119:ED130,EG123),SPPWS,2,FALSE),"----"),IFERROR(VLOOKUP(INDEX(ED119:ED130,EG123),SPM,2,FALSE),"----"))</f>
        <v>----</v>
      </c>
    </row>
    <row r="124" spans="1:138" ht="15" customHeight="1" thickBot="1" x14ac:dyDescent="0.3">
      <c r="A124" s="1085"/>
      <c r="B124" s="934"/>
      <c r="C124" s="935"/>
      <c r="D124" s="936"/>
      <c r="E124" s="995"/>
      <c r="F124" s="996"/>
      <c r="G124" s="997"/>
      <c r="H124" s="1062"/>
      <c r="I124" s="990"/>
      <c r="J124" s="908"/>
      <c r="K124" s="909"/>
      <c r="L124" s="1010"/>
      <c r="M124" s="924"/>
      <c r="N124" s="1044"/>
      <c r="O124" s="1018"/>
      <c r="P124" s="987"/>
      <c r="Q124" s="1015"/>
      <c r="R124" s="1012"/>
      <c r="S124" s="1006"/>
      <c r="T124" s="1007"/>
      <c r="U124" s="878"/>
      <c r="V124" s="881"/>
      <c r="W124" s="889"/>
      <c r="X124" s="884"/>
      <c r="Y124" s="890"/>
      <c r="Z124" s="890"/>
      <c r="AA124" s="887"/>
      <c r="AB124" s="1084"/>
      <c r="AC124" s="1079"/>
      <c r="AD124" s="1072" t="str">
        <f t="shared" ref="AD124" si="1614">IF(LEFT(J119,7)="Clad Wo","Pella Wood Spr / Steel Pte","Steel Plate")</f>
        <v>Steel Plate</v>
      </c>
      <c r="AE124" s="1073"/>
      <c r="AF124" s="1054"/>
      <c r="AG124" s="1055"/>
      <c r="AH124" s="1055"/>
      <c r="AI124" s="1092"/>
      <c r="AJ124" s="1093"/>
      <c r="AK124" s="159" t="str">
        <f t="shared" ca="1" si="1130"/>
        <v/>
      </c>
      <c r="AL124" s="1040"/>
      <c r="AM124" s="345" t="str">
        <f ca="1">IFERROR(Q119/12*ROUND(VLOOKUP(AF124,OFFSET(SPM,0,1),6,FALSE),2),"")</f>
        <v/>
      </c>
      <c r="AN124" t="str">
        <f t="shared" ca="1" si="1154"/>
        <v/>
      </c>
      <c r="AP124" s="699" t="str">
        <f t="shared" ref="AP124" si="1615">_xlfn.CONCAT(AR124,AS124)</f>
        <v/>
      </c>
      <c r="AQ124" s="700" t="str">
        <f t="shared" si="1353"/>
        <v/>
      </c>
      <c r="AR124" s="160" t="str">
        <f t="shared" si="1114"/>
        <v/>
      </c>
      <c r="AS124" s="160" t="str">
        <f>IFERROR(VLOOKUP(J127, WallType,2,FALSE),"")</f>
        <v/>
      </c>
      <c r="AT124" s="701" t="str">
        <f>AL119</f>
        <v/>
      </c>
      <c r="AU124" s="694" t="e">
        <f t="shared" ca="1" si="1370"/>
        <v>#REF!</v>
      </c>
      <c r="AV124" s="698" t="str">
        <f ca="1">IFERROR(VLOOKUP(AU124,INDIRECT(AQ119),2,FALSE),"----")</f>
        <v>----</v>
      </c>
      <c r="AW124" s="702" t="e">
        <f t="shared" ca="1" si="1371"/>
        <v>#REF!</v>
      </c>
      <c r="AX124" s="698" t="str">
        <f ca="1">IFERROR(VLOOKUP(AW124,INDIRECT(AQ120),2,FALSE),"----")</f>
        <v>----</v>
      </c>
      <c r="AY124" s="702" t="e">
        <f t="shared" ref="AY124:AY139" ca="1" si="1616">AY123-1</f>
        <v>#REF!</v>
      </c>
      <c r="AZ124" s="698" t="str">
        <f ca="1">IFERROR(VLOOKUP(AY124,INDIRECT(AQ121),2,FALSE),"----")</f>
        <v>----</v>
      </c>
      <c r="BA124" s="702" t="e">
        <f t="shared" ref="BA124:BA139" ca="1" si="1617">BA123-1</f>
        <v>#REF!</v>
      </c>
      <c r="BB124" s="698" t="str">
        <f ca="1">IFERROR(VLOOKUP(BA124,INDIRECT(AQ122),2,FALSE),"----")</f>
        <v>----</v>
      </c>
      <c r="BC124" s="702" t="e">
        <f t="shared" ca="1" si="1374"/>
        <v>#REF!</v>
      </c>
      <c r="BD124" s="698" t="str">
        <f ca="1">IFERROR(VLOOKUP(BC124,INDIRECT(AQ123),2,FALSE),"----")</f>
        <v>----</v>
      </c>
      <c r="BE124" s="702" t="e">
        <f t="shared" ca="1" si="1375"/>
        <v>#REF!</v>
      </c>
      <c r="BF124" s="698" t="str">
        <f ca="1">IFERROR(VLOOKUP(BE124,INDIRECT(AQ124),2,FALSE),"----")</f>
        <v>----</v>
      </c>
      <c r="BG124" s="702" t="e">
        <f t="shared" ca="1" si="1376"/>
        <v>#REF!</v>
      </c>
      <c r="BH124" s="686" t="str">
        <f ca="1">IFERROR(VLOOKUP(BG124,INDIRECT(AQ125),2,FALSE),"----")</f>
        <v>----</v>
      </c>
      <c r="BI124" s="702" t="e">
        <f t="shared" ca="1" si="1377"/>
        <v>#REF!</v>
      </c>
      <c r="BJ124" s="686" t="str">
        <f ca="1">IFERROR(VLOOKUP(BI124,INDIRECT(AQ126),2,FALSE),"----")</f>
        <v>----</v>
      </c>
      <c r="BK124" s="702" t="e">
        <f t="shared" ca="1" si="1378"/>
        <v>#REF!</v>
      </c>
      <c r="BL124" s="686" t="str">
        <f ca="1">IFERROR(VLOOKUP(BK124,INDIRECT(AQ127),2,FALSE),"----")</f>
        <v>----</v>
      </c>
      <c r="BM124" s="702" t="e">
        <f t="shared" ca="1" si="1379"/>
        <v>#REF!</v>
      </c>
      <c r="BN124" s="686" t="str">
        <f ca="1">IFERROR(VLOOKUP(BM124,INDIRECT(AQ128),2,FALSE),"----")</f>
        <v>----</v>
      </c>
      <c r="BO124" s="702" t="e">
        <f t="shared" ca="1" si="1380"/>
        <v>#REF!</v>
      </c>
      <c r="BP124" s="686" t="str">
        <f ca="1">IFERROR(VLOOKUP(BO124,INDIRECT(AQ129),2,FALSE),"----")</f>
        <v>----</v>
      </c>
      <c r="BQ124" s="702" t="e">
        <f t="shared" ca="1" si="1381"/>
        <v>#REF!</v>
      </c>
      <c r="BR124" s="686" t="str">
        <f ca="1">IFERROR(VLOOKUP(BQ124,INDIRECT(AQ130),2,FALSE),"----")</f>
        <v>----</v>
      </c>
      <c r="BS124" s="703">
        <f>IF(AI124="",1,IF(COUNTIF(BF119:BF130,AI124)=0,2,1))</f>
        <v>1</v>
      </c>
      <c r="BT124" s="704">
        <f>IF(AF124="",1,IF(BF119=".",2,1))</f>
        <v>1</v>
      </c>
      <c r="BV124" s="155">
        <f ca="1">IF(COUNTIF(DD119:DD130,AF124)=0,IF(AF124&lt;&gt;"",0,1),1)</f>
        <v>1</v>
      </c>
      <c r="BW124" s="157">
        <f ca="1">IFERROR(MATCH(AF124,DD119:DD130,0),1)</f>
        <v>1</v>
      </c>
      <c r="BX124" s="875" t="s">
        <v>1594</v>
      </c>
      <c r="BY124" s="876"/>
      <c r="BZ124" s="1110"/>
      <c r="CA124" s="691" t="e">
        <f t="shared" ca="1" si="1535"/>
        <v>#REF!</v>
      </c>
      <c r="CB124" s="4" t="e" cm="1">
        <f t="array" aca="1" ref="CB124" ca="1">IF(AND(INDEX(INDIRECT(BY119),CA124,4)&gt;=$AB119,INDEX(INDIRECT(BY119),CA124,5)&gt;=$S119,INDEX(INDIRECT(BY119),CA124,6)&gt;=$R119),1,0)</f>
        <v>#REF!</v>
      </c>
      <c r="CC124" s="4" t="e">
        <f t="shared" ref="CC124" ca="1" si="1618">MATCH(1,OFFSET(CB119:CB130,CD123,0,COUNT(CB119:CB130)-CD123),0)</f>
        <v>#REF!</v>
      </c>
      <c r="CD124" s="4" t="e">
        <f t="shared" ca="1" si="1537"/>
        <v>#REF!</v>
      </c>
      <c r="CE124" s="692" t="str" cm="1">
        <f t="array" aca="1" ref="CE124" ca="1">IFERROR(VLOOKUP(INDEX(CA119:CA130,CD124),INDIRECT(BY119),2,FALSE),"----")</f>
        <v>----</v>
      </c>
      <c r="CF124" s="691" t="e">
        <f t="shared" ca="1" si="1538"/>
        <v>#N/A</v>
      </c>
      <c r="CG124" s="4" t="e">
        <f ca="1">IF(AND(INDEX(SSM,CF124,4)&gt;=$AB119,INDEX(SSM,CF124,5)&gt;=$S119,INDEX(SSM,CF124,6)&gt;=$R119),1,0)</f>
        <v>#N/A</v>
      </c>
      <c r="CH124" s="4" t="e">
        <f t="shared" ref="CH124" ca="1" si="1619">MATCH(1,OFFSET(CG119:CG130,CI123,0,COUNT(CG119:CG130)-CI123),0)</f>
        <v>#REF!</v>
      </c>
      <c r="CI124" s="4" t="e">
        <f t="shared" ca="1" si="1540"/>
        <v>#REF!</v>
      </c>
      <c r="CJ124" s="692" t="str">
        <f ca="1">IFERROR(IF(AD120="Nested Steel Stud (wood infill)",VLOOKUP(INDEX(CF119:CF130,CI124),SSW,2,FALSE),VLOOKUP(INDEX(CF119:CF130,CI124),SSM,2,FALSE)),"----")</f>
        <v>----</v>
      </c>
      <c r="CK124" s="691" t="e">
        <f t="shared" ca="1" si="1541"/>
        <v>#N/A</v>
      </c>
      <c r="CL124" s="4" t="e">
        <f ca="1">IF(AND(INDEX(WSM,CK124,4)&gt;=$AB119,INDEX(WSM,CK124,5)&gt;=$S119,INDEX(WSM,CK124,6)&gt;=$R119),1,0)</f>
        <v>#N/A</v>
      </c>
      <c r="CM124" s="4" t="e">
        <f t="shared" ref="CM124" ca="1" si="1620">MATCH(1,OFFSET(CL119:CL130,CN123,0,COUNT(CL119:CL130)-CN123),0)</f>
        <v>#REF!</v>
      </c>
      <c r="CN124" s="4" t="e">
        <f t="shared" ca="1" si="1543"/>
        <v>#REF!</v>
      </c>
      <c r="CO124" s="692" t="str">
        <f ca="1">IFERROR(VLOOKUP(INDEX(CK119:CK130,CN124),WSM,2,FALSE),"----")</f>
        <v>----</v>
      </c>
      <c r="CP124" s="691" t="e">
        <f t="shared" ca="1" si="1544"/>
        <v>#N/A</v>
      </c>
      <c r="CQ124" s="4" t="e">
        <f ca="1">IF(AND(INDEX(STM,CP124,4)&gt;=$AB119,INDEX(STM,CP124,5)&gt;=$S119,INDEX(STM,CP124,6)&gt;=$R119),1,0)</f>
        <v>#N/A</v>
      </c>
      <c r="CR124" s="4" t="e">
        <f t="shared" ref="CR124" ca="1" si="1621">MATCH(1,OFFSET(CQ119:CQ130,CS123,0,COUNT(CQ119:CQ130)-CS123),0)</f>
        <v>#REF!</v>
      </c>
      <c r="CS124" s="4" t="e">
        <f t="shared" ca="1" si="1546"/>
        <v>#REF!</v>
      </c>
      <c r="CT124" s="692" t="str">
        <f ca="1">IFERROR(VLOOKUP(INDEX(CP119:CP130,CS124),STM,2,FALSE),"----")</f>
        <v>----</v>
      </c>
      <c r="CU124" s="691" t="e">
        <f t="shared" ca="1" si="1547"/>
        <v>#N/A</v>
      </c>
      <c r="CV124" s="4" t="e">
        <f ca="1">IF(AND(INDEX(ELM,CU124,4)&gt;=$AB119,INDEX(ELM,CU124,5)&gt;=$S119,INDEX(ELM,CU124,6)&gt;=$R119),1,0)</f>
        <v>#N/A</v>
      </c>
      <c r="CW124" s="4" t="e">
        <f t="shared" ref="CW124" ca="1" si="1622">MATCH(1,OFFSET(CV119:CV130,CX123,0,COUNT(CV119:CV130)-CX123),0)</f>
        <v>#REF!</v>
      </c>
      <c r="CX124" s="4" t="e">
        <f t="shared" ca="1" si="1549"/>
        <v>#REF!</v>
      </c>
      <c r="CY124" s="692" t="str">
        <f ca="1">IFERROR(VLOOKUP(INDEX(CU119:CU130,CX124),ELM,2,FALSE),"----")</f>
        <v>----</v>
      </c>
      <c r="CZ124" s="691" t="e">
        <f t="shared" ca="1" si="1550"/>
        <v>#N/A</v>
      </c>
      <c r="DA124" s="4" t="e">
        <f ca="1">IF(LEFT($J119,7)="Clad Wo",IF(AND(INDEX(SPPWS,CZ124,4)&gt;=$AB119,INDEX(SPPWS,CZ124,5)&gt;=$S119,INDEX(SPPWS,CZ124,6)&gt;=$R119),1,0),IF(AND(INDEX(SPM,CZ124,4)&gt;=$AB119,INDEX(SPM,CZ124,5)&gt;=$S119,INDEX(SPM,CZ124,6)&gt;=$R119),1,0))</f>
        <v>#N/A</v>
      </c>
      <c r="DB124" s="4" t="e">
        <f t="shared" ref="DB124" ca="1" si="1623">MATCH(1,OFFSET(DA119:DA130,DC123,0,COUNT(DA119:DA130)-DC123),0)</f>
        <v>#REF!</v>
      </c>
      <c r="DC124" s="4" t="e">
        <f t="shared" ca="1" si="1552"/>
        <v>#REF!</v>
      </c>
      <c r="DD124" s="693" t="str">
        <f ca="1">IF(LEFT($J119,7)="Clad Wo",IFERROR(VLOOKUP(INDEX(CZ119:CZ130,DC124),SPPWS,2,FALSE),"----"),IFERROR(VLOOKUP(INDEX(CZ119:CZ130,DC124),SPM,2,FALSE),"----"))</f>
        <v>----</v>
      </c>
      <c r="DE124" s="691" t="e">
        <f t="shared" ca="1" si="1553"/>
        <v>#REF!</v>
      </c>
      <c r="DF124" s="4" t="e" cm="1">
        <f t="array" aca="1" ref="DF124" ca="1">IF(AND(INDEX(INDIRECT(BY119),DE124,4)&gt;=$AB125,INDEX(INDIRECT(BY119),DE124,5)&gt;=$S119,INDEX(INDIRECT(BY119),DE124,6)&gt;=$R119),1,0)</f>
        <v>#REF!</v>
      </c>
      <c r="DG124" s="4" t="e">
        <f t="shared" ref="DG124" ca="1" si="1624">MATCH(1,OFFSET(DF119:DF130,DH123,0,COUNT(DF119:DF130)-DH123),0)</f>
        <v>#REF!</v>
      </c>
      <c r="DH124" s="4" t="e">
        <f t="shared" ca="1" si="1555"/>
        <v>#REF!</v>
      </c>
      <c r="DI124" s="692" t="str" cm="1">
        <f t="array" aca="1" ref="DI124" ca="1">IFERROR(VLOOKUP(INDEX(DE119:DE130,DH124),INDIRECT(BY119),2,FALSE),"----")</f>
        <v>----</v>
      </c>
      <c r="DJ124" s="691" t="e">
        <f t="shared" ca="1" si="1556"/>
        <v>#N/A</v>
      </c>
      <c r="DK124" s="4" t="e">
        <f ca="1">IF(AND(INDEX(SSM,DJ124,4)&gt;=$AB125,INDEX(SSM,DJ124,5)&gt;=$S119,INDEX(SSM,DJ124,6)&gt;=$R119),1,0)</f>
        <v>#N/A</v>
      </c>
      <c r="DL124" s="4" t="e">
        <f t="shared" ref="DL124" ca="1" si="1625">MATCH(1,OFFSET(DK119:DK130,DM123,0,COUNT(DK119:DK130)-DM123),0)</f>
        <v>#REF!</v>
      </c>
      <c r="DM124" s="4" t="e">
        <f t="shared" ca="1" si="1558"/>
        <v>#REF!</v>
      </c>
      <c r="DN124" s="692" t="str">
        <f ca="1">IFERROR(IF(AD126="Nested Steel Stud (wood infill)",VLOOKUP(INDEX(DJ119:DJ130,DM124),SSW,2,FALSE),VLOOKUP(INDEX(DJ119:DJ130,DM124),SSM,2,FALSE)),"----")</f>
        <v>----</v>
      </c>
      <c r="DO124" s="691" t="e">
        <f t="shared" ca="1" si="1559"/>
        <v>#N/A</v>
      </c>
      <c r="DP124" s="4" t="e">
        <f ca="1">IF(AND(INDEX(WSM,DO124,4)&gt;=$AB125,INDEX(WSM,DO124,5)&gt;=$S119,INDEX(WSM,DO124,6)&gt;=$R119),1,0)</f>
        <v>#N/A</v>
      </c>
      <c r="DQ124" s="4" t="e">
        <f t="shared" ref="DQ124" ca="1" si="1626">MATCH(1,OFFSET(DP119:DP130,DR123,0,COUNT(DP119:DP130)-DR123),0)</f>
        <v>#REF!</v>
      </c>
      <c r="DR124" s="4" t="e">
        <f t="shared" ca="1" si="1561"/>
        <v>#REF!</v>
      </c>
      <c r="DS124" s="692" t="str">
        <f ca="1">IFERROR(VLOOKUP(INDEX(DO119:DO130,DR124),WSM,2,FALSE),"----")</f>
        <v>----</v>
      </c>
      <c r="DT124" s="691" t="e">
        <f t="shared" ca="1" si="1562"/>
        <v>#N/A</v>
      </c>
      <c r="DU124" s="4" t="e">
        <f ca="1">IF(AND(INDEX(STM,DT124,4)&gt;=$AB125,INDEX(STM,DT124,5)&gt;=$S119,INDEX(STM,DT124,6)&gt;=$R119),1,0)</f>
        <v>#N/A</v>
      </c>
      <c r="DV124" s="4" t="e">
        <f t="shared" ref="DV124" ca="1" si="1627">MATCH(1,OFFSET(DU119:DU130,DW123,0,COUNT(DU119:DU130)-DW123),0)</f>
        <v>#REF!</v>
      </c>
      <c r="DW124" s="4" t="e">
        <f t="shared" ca="1" si="1564"/>
        <v>#REF!</v>
      </c>
      <c r="DX124" s="692" t="str">
        <f ca="1">IFERROR(VLOOKUP(INDEX(DT119:DT130,DW124),STM,2,FALSE),"----")</f>
        <v>----</v>
      </c>
      <c r="DY124" s="691" t="e">
        <f t="shared" ca="1" si="1565"/>
        <v>#N/A</v>
      </c>
      <c r="DZ124" s="4" t="e">
        <f ca="1">IF(AND(INDEX(ELM,DY124,4)&gt;=$AB125,INDEX(ELM,DY124,5)&gt;=$S119,INDEX(ELM,DY124,6)&gt;=$R119),1,0)</f>
        <v>#N/A</v>
      </c>
      <c r="EA124" s="4" t="e">
        <f t="shared" ref="EA124" ca="1" si="1628">MATCH(1,OFFSET(DZ119:DZ130,EB123,0,COUNT(DZ119:DZ130)-EB123),0)</f>
        <v>#REF!</v>
      </c>
      <c r="EB124" s="4" t="e">
        <f t="shared" ca="1" si="1567"/>
        <v>#REF!</v>
      </c>
      <c r="EC124" s="692" t="str">
        <f ca="1">IFERROR(VLOOKUP(INDEX(DY119:DY130,EB124),ELM,2,FALSE),"----")</f>
        <v>----</v>
      </c>
      <c r="ED124" s="691" t="e">
        <f t="shared" ca="1" si="1568"/>
        <v>#N/A</v>
      </c>
      <c r="EE124" s="4" t="e">
        <f ca="1">IF(LEFT($J119,7)="Clad Wo",IF(AND(INDEX(SPPWS,ED124,4)&gt;=$AB125,INDEX(SPPWS,ED124,5)&gt;=$S119,INDEX(SPPWS,ED124,6)&gt;=$R119),1,0),IF(AND(INDEX(SPM,ED124,4)&gt;=$AB125,INDEX(SPM,ED124,5)&gt;=$S119,INDEX(SPM,ED124,6)&gt;=$R119),1,0))</f>
        <v>#N/A</v>
      </c>
      <c r="EF124" s="4" t="e">
        <f t="shared" ref="EF124" ca="1" si="1629">MATCH(1,OFFSET(EE119:EE130,EG123,0,COUNT(EE119:EE130)-EG123),0)</f>
        <v>#REF!</v>
      </c>
      <c r="EG124" s="4" t="e">
        <f t="shared" ca="1" si="1570"/>
        <v>#REF!</v>
      </c>
      <c r="EH124" s="692" t="str">
        <f ca="1">IF(LEFT($J119,7)="Clad Wo",IFERROR(VLOOKUP(INDEX(ED119:ED130,EG124),SPPWS,2,FALSE),"----"),IFERROR(VLOOKUP(INDEX(ED119:ED130,EG124),SPM,2,FALSE),"----"))</f>
        <v>----</v>
      </c>
    </row>
    <row r="125" spans="1:138" ht="15" customHeight="1" x14ac:dyDescent="0.25">
      <c r="A125" s="1085"/>
      <c r="B125" s="925" t="s">
        <v>409</v>
      </c>
      <c r="C125" s="926"/>
      <c r="D125" s="927"/>
      <c r="E125" s="995"/>
      <c r="F125" s="996"/>
      <c r="G125" s="997"/>
      <c r="H125" s="1062"/>
      <c r="I125" s="990"/>
      <c r="J125" s="908"/>
      <c r="K125" s="909"/>
      <c r="L125" s="1001">
        <f>L119+1</f>
        <v>5</v>
      </c>
      <c r="M125" s="1064" t="str">
        <f t="shared" ref="M125" si="1630">IFERROR(IF($AE$17="",IF($AG$19="Wind Loading",MIN($V$31,IF(E$11="ASCE 7-05",$U$26,$V$7)*$V$9*(IF($E$12&lt;60,0.156*LN(MAX(MIN(500,O119),10)) -1.7618,IF($E$11="ASCE 7-22", 0.2026*LN(MAX(MIN(500,O119),20))-2.2638,0.2503*LN(MAX(MIN(500,O119),20)) -2.5526))-$V$8)),$V$7*IF(E$12&lt;60,$V$13*($V$15*(0.156*LN(MAX(MIN(500,O119),10)) -1.7618)-$V$16),$V$13*$V$15*((0.2026*LN(MAX(MIN(500,O119),20))-2.2638)-$V$16))),-ABS($AE$17)),"")</f>
        <v/>
      </c>
      <c r="N125" s="1041" t="str">
        <f t="shared" ref="N125" si="1631">IFERROR(IF($AE$19="",IF($AG$19="Wind Loading",MAX($U$31,IF(E$11="ASCE 7-05",$U$26,$V$7)*$V$9*((IF($E$12&lt;60,-0.077*LN(MAX(MIN(500,O119),10))+1.1737,IF($E$11="ASCE 7-22",-0.077*LN(MAX(MIN(500,O119),20))+1.0798,-0.093*LN(MAX(MIN(500,O119),20))+1.1776)))+$V$8)),$V$7*IF(E$12&lt;60,$V$13*($V$15*(-0.077*LN(MAX(MIN(500,O119),10))+1.1737)-$V$17),$V$13*$V$15*((-0.077*LN(MAX(MIN(500,O119),20))+1.0798)-$V$17))),ABS($AE$19)),"")</f>
        <v/>
      </c>
      <c r="O125" s="1018"/>
      <c r="P125" s="987"/>
      <c r="Q125" s="1015"/>
      <c r="R125" s="1012">
        <f>P125*Q125/8</f>
        <v>0</v>
      </c>
      <c r="S125" s="1006"/>
      <c r="T125" s="1007"/>
      <c r="U125" s="878"/>
      <c r="V125" s="881"/>
      <c r="W125" s="883" t="e">
        <f t="shared" ref="W125" si="1632">MAX(-M125,N125)*O119</f>
        <v>#VALUE!</v>
      </c>
      <c r="X125" s="884"/>
      <c r="Y125" s="886">
        <f>IFERROR(IF(AG$14="Trapezoidal",BY128,BX128)+IF($E$17="4",(400*E119^3)/(48*X119),0),0)</f>
        <v>0</v>
      </c>
      <c r="Z125" s="886" t="e">
        <f t="shared" ref="Z125" si="1633">+($V119*MAX(-$M125,$N125)*$E119^2)/(144*8)+IF($E$17=4,(400*$E119)/4,0)</f>
        <v>#VALUE!</v>
      </c>
      <c r="AA125" s="887"/>
      <c r="AB125" s="1080" t="str">
        <f t="shared" ref="AB125" ca="1" si="1634">IFERROR(Z125-AA119,"")</f>
        <v/>
      </c>
      <c r="AC125" s="1086" t="str">
        <f t="shared" ref="AC125" ca="1" si="1635">IFERROR(Y125-U119,"")</f>
        <v/>
      </c>
      <c r="AD125" s="1074" t="str">
        <f t="shared" ref="AD125" si="1636">AD119</f>
        <v/>
      </c>
      <c r="AE125" s="1075"/>
      <c r="AF125" s="1056"/>
      <c r="AG125" s="1057"/>
      <c r="AH125" s="1057"/>
      <c r="AI125" s="1088"/>
      <c r="AJ125" s="1089"/>
      <c r="AK125" s="162" t="str">
        <f t="shared" ca="1" si="1130"/>
        <v/>
      </c>
      <c r="AL125" s="1058" t="str">
        <f t="shared" ref="AL125" si="1637">IFERROR(ROUND(SQRT(P119^2+(W125/2+IF($E$17=4,200,0))^2),0),"")</f>
        <v/>
      </c>
      <c r="AM125" s="342" t="s">
        <v>669</v>
      </c>
      <c r="AN125" t="str">
        <f t="shared" ca="1" si="1154"/>
        <v/>
      </c>
      <c r="AP125" s="122" t="str">
        <f t="shared" ref="AP125" si="1638">_xlfn.CONCAT(AR125,AS130)</f>
        <v/>
      </c>
      <c r="AQ125" s="683" t="str">
        <f t="shared" si="1353"/>
        <v/>
      </c>
      <c r="AR125" s="96" t="str">
        <f t="shared" si="1114"/>
        <v/>
      </c>
      <c r="AS125" s="96" t="str">
        <f>IF(COUNTIF(imp_1,AF125)=1,"imp_1",IF(COUNTIF(imp_2,AF125)=1,"imp_2",IF(COUNTIF(imp_3,AF125)=1,"imp_3",IF(COUNTIF(impdoor,AF125)=1,"impdoor",""))))</f>
        <v/>
      </c>
      <c r="AT125" s="684" t="str">
        <f>AL125</f>
        <v/>
      </c>
      <c r="AU125" s="685" t="e">
        <f t="shared" ca="1" si="1370"/>
        <v>#REF!</v>
      </c>
      <c r="AV125" s="686" t="str">
        <f ca="1">IFERROR(VLOOKUP(AU125,INDIRECT(AQ119),2,FALSE),"----")</f>
        <v>----</v>
      </c>
      <c r="AW125" s="685" t="e">
        <f t="shared" ca="1" si="1371"/>
        <v>#REF!</v>
      </c>
      <c r="AX125" s="686" t="str">
        <f ca="1">IFERROR(VLOOKUP(AW125,INDIRECT(AQ120),2,FALSE),"----")</f>
        <v>----</v>
      </c>
      <c r="AY125" s="685" t="e">
        <f t="shared" ca="1" si="1616"/>
        <v>#REF!</v>
      </c>
      <c r="AZ125" s="686" t="str">
        <f ca="1">IFERROR(VLOOKUP(AY125,INDIRECT(AQ121),2,FALSE),"----")</f>
        <v>----</v>
      </c>
      <c r="BA125" s="685" t="e">
        <f t="shared" ca="1" si="1617"/>
        <v>#REF!</v>
      </c>
      <c r="BB125" s="686" t="str">
        <f ca="1">IFERROR(VLOOKUP(BA125,INDIRECT(AQ122),2,FALSE),"----")</f>
        <v>----</v>
      </c>
      <c r="BC125" s="685" t="e">
        <f t="shared" ca="1" si="1374"/>
        <v>#REF!</v>
      </c>
      <c r="BD125" s="686" t="str">
        <f ca="1">IFERROR(VLOOKUP(BC125,INDIRECT(AQ123),2,FALSE),"----")</f>
        <v>----</v>
      </c>
      <c r="BE125" s="685" t="e">
        <f t="shared" ca="1" si="1375"/>
        <v>#REF!</v>
      </c>
      <c r="BF125" s="686" t="str">
        <f ca="1">IFERROR(VLOOKUP(BE125,INDIRECT(AQ124),2,FALSE),"----")</f>
        <v>----</v>
      </c>
      <c r="BG125" s="702" t="e">
        <f t="shared" ca="1" si="1376"/>
        <v>#REF!</v>
      </c>
      <c r="BH125" s="686" t="str">
        <f ca="1">IFERROR(VLOOKUP(BG125,INDIRECT(AQ125),2,FALSE),"----")</f>
        <v>----</v>
      </c>
      <c r="BI125" s="702" t="e">
        <f t="shared" ca="1" si="1377"/>
        <v>#REF!</v>
      </c>
      <c r="BJ125" s="686" t="str">
        <f ca="1">IFERROR(VLOOKUP(BI125,INDIRECT(AQ126),2,FALSE),"----")</f>
        <v>----</v>
      </c>
      <c r="BK125" s="702" t="e">
        <f t="shared" ca="1" si="1378"/>
        <v>#REF!</v>
      </c>
      <c r="BL125" s="686" t="str">
        <f ca="1">IFERROR(VLOOKUP(BK125,INDIRECT(AQ127),2,FALSE),"----")</f>
        <v>----</v>
      </c>
      <c r="BM125" s="702" t="e">
        <f t="shared" ca="1" si="1379"/>
        <v>#REF!</v>
      </c>
      <c r="BN125" s="686" t="str">
        <f ca="1">IFERROR(VLOOKUP(BM125,INDIRECT(AQ128),2,FALSE),"----")</f>
        <v>----</v>
      </c>
      <c r="BO125" s="702" t="e">
        <f t="shared" ca="1" si="1380"/>
        <v>#REF!</v>
      </c>
      <c r="BP125" s="686" t="str">
        <f ca="1">IFERROR(VLOOKUP(BO125,INDIRECT(AQ129),2,FALSE),"----")</f>
        <v>----</v>
      </c>
      <c r="BQ125" s="702" t="e">
        <f t="shared" ca="1" si="1381"/>
        <v>#REF!</v>
      </c>
      <c r="BR125" s="686" t="str">
        <f ca="1">IFERROR(VLOOKUP(BQ125,INDIRECT(AQ130),2,FALSE),"----")</f>
        <v>----</v>
      </c>
      <c r="BS125" s="695">
        <f>IF(AI125="",1,IF(COUNTIF(BH119:BH130,AI125)=0,2,1))</f>
        <v>1</v>
      </c>
      <c r="BT125" s="696">
        <f>IF(AP125="1",1,IF(AF125="",1,IF(BH119=".",2,1)))</f>
        <v>1</v>
      </c>
      <c r="BU125" s="706"/>
      <c r="BV125" s="155">
        <f ca="1">IF(COUNTIF(DI119:DI130,AF125)=0,IF(AF125&lt;&gt;"",0,1),1)</f>
        <v>1</v>
      </c>
      <c r="BW125" s="157">
        <f ca="1">IFERROR(MATCH(AF125,DI119:DI130,0),1)</f>
        <v>1</v>
      </c>
      <c r="BX125" s="769" t="s">
        <v>1593</v>
      </c>
      <c r="BY125" s="769" t="s">
        <v>1629</v>
      </c>
      <c r="BZ125" s="1110"/>
      <c r="CA125" s="691" t="e">
        <f t="shared" ca="1" si="1535"/>
        <v>#REF!</v>
      </c>
      <c r="CB125" s="4" t="e" cm="1">
        <f t="array" aca="1" ref="CB125" ca="1">IF(AND(INDEX(INDIRECT(BY119),CA125,4)&gt;=$AB119,INDEX(INDIRECT(BY119),CA125,5)&gt;=$S119,INDEX(INDIRECT(BY119),CA125,6)&gt;=$R119),1,0)</f>
        <v>#REF!</v>
      </c>
      <c r="CC125" s="4" t="e">
        <f t="shared" ref="CC125" ca="1" si="1639">MATCH(1,OFFSET(CB119:CB130,CD124,0,COUNT(CB119:CB130)-CD124),0)</f>
        <v>#REF!</v>
      </c>
      <c r="CD125" s="4" t="e">
        <f t="shared" ca="1" si="1537"/>
        <v>#REF!</v>
      </c>
      <c r="CE125" s="692" t="str" cm="1">
        <f t="array" aca="1" ref="CE125" ca="1">IFERROR(VLOOKUP(INDEX(CA119:CA130,CD125),INDIRECT(BY119),2,FALSE),"----")</f>
        <v>----</v>
      </c>
      <c r="CF125" s="691" t="e">
        <f t="shared" ca="1" si="1538"/>
        <v>#N/A</v>
      </c>
      <c r="CG125" s="4" t="e">
        <f ca="1">IF(AND(INDEX(SSM,CF125,4)&gt;=$AB119,INDEX(SSM,CF125,5)&gt;=$S119,INDEX(SSM,CF125,6)&gt;=$R119),1,0)</f>
        <v>#N/A</v>
      </c>
      <c r="CH125" s="4" t="e">
        <f t="shared" ref="CH125" ca="1" si="1640">MATCH(1,OFFSET(CG119:CG130,CI124,0,COUNT(CG119:CG130)-CI124),0)</f>
        <v>#REF!</v>
      </c>
      <c r="CI125" s="4" t="e">
        <f t="shared" ca="1" si="1540"/>
        <v>#REF!</v>
      </c>
      <c r="CJ125" s="692" t="str">
        <f ca="1">IFERROR(IF(AD120="Nested Steel Stud (wood infill)",VLOOKUP(INDEX(CF119:CF130,CI125),SSW,2,FALSE),VLOOKUP(INDEX(CF119:CF130,CI125),SSM,2,FALSE)),"----")</f>
        <v>----</v>
      </c>
      <c r="CK125" s="691" t="e">
        <f t="shared" ca="1" si="1541"/>
        <v>#N/A</v>
      </c>
      <c r="CL125" s="4" t="e">
        <f ca="1">IF(AND(INDEX(WSM,CK125,4)&gt;=$AB119,INDEX(WSM,CK125,5)&gt;=$S119,INDEX(WSM,CK125,6)&gt;=$R119),1,0)</f>
        <v>#N/A</v>
      </c>
      <c r="CM125" s="4" t="e">
        <f t="shared" ref="CM125" ca="1" si="1641">MATCH(1,OFFSET(CL119:CL130,CN124,0,COUNT(CL119:CL130)-CN124),0)</f>
        <v>#REF!</v>
      </c>
      <c r="CN125" s="4" t="e">
        <f t="shared" ca="1" si="1543"/>
        <v>#REF!</v>
      </c>
      <c r="CO125" s="692" t="str">
        <f ca="1">IFERROR(VLOOKUP(INDEX(CK119:CK130,CN125),WSM,2,FALSE),"----")</f>
        <v>----</v>
      </c>
      <c r="CP125" s="691" t="e">
        <f t="shared" ca="1" si="1544"/>
        <v>#N/A</v>
      </c>
      <c r="CQ125" s="4" t="e">
        <f ca="1">IF(AND(INDEX(STM,CP125,4)&gt;=$AB119,INDEX(STM,CP125,5)&gt;=$S119,INDEX(STM,CP125,6)&gt;=$R119),1,0)</f>
        <v>#N/A</v>
      </c>
      <c r="CR125" s="4" t="e">
        <f t="shared" ref="CR125" ca="1" si="1642">MATCH(1,OFFSET(CQ119:CQ130,CS124,0,COUNT(CQ119:CQ130)-CS124),0)</f>
        <v>#REF!</v>
      </c>
      <c r="CS125" s="4" t="e">
        <f t="shared" ca="1" si="1546"/>
        <v>#REF!</v>
      </c>
      <c r="CT125" s="692" t="str">
        <f ca="1">IFERROR(VLOOKUP(INDEX(CP119:CP130,CS125),STM,2,FALSE),"----")</f>
        <v>----</v>
      </c>
      <c r="CU125" s="691" t="e">
        <f t="shared" ca="1" si="1547"/>
        <v>#N/A</v>
      </c>
      <c r="CV125" s="4" t="e">
        <f ca="1">IF(AND(INDEX(ELM,CU125,4)&gt;=$AB119,INDEX(ELM,CU125,5)&gt;=$S119,INDEX(ELM,CU125,6)&gt;=$R119),1,0)</f>
        <v>#N/A</v>
      </c>
      <c r="CW125" s="4" t="e">
        <f t="shared" ref="CW125" ca="1" si="1643">MATCH(1,OFFSET(CV119:CV130,CX124,0,COUNT(CV119:CV130)-CX124),0)</f>
        <v>#REF!</v>
      </c>
      <c r="CX125" s="4" t="e">
        <f t="shared" ca="1" si="1549"/>
        <v>#REF!</v>
      </c>
      <c r="CY125" s="692" t="str">
        <f ca="1">IFERROR(VLOOKUP(INDEX(CU119:CU130,CX125),ELM,2,FALSE),"----")</f>
        <v>----</v>
      </c>
      <c r="CZ125" s="691" t="e">
        <f t="shared" ca="1" si="1550"/>
        <v>#N/A</v>
      </c>
      <c r="DA125" s="4" t="e">
        <f ca="1">IF(LEFT($J119,7)="Clad Wo",IF(AND(INDEX(SPPWS,CZ125,4)&gt;=$AB119,INDEX(SPPWS,CZ125,5)&gt;=$S119,INDEX(SPPWS,CZ125,6)&gt;=$R119),1,0),IF(AND(INDEX(SPM,CZ125,4)&gt;=$AB119,INDEX(SPM,CZ125,5)&gt;=$S119,INDEX(SPM,CZ125,6)&gt;=$R119),1,0))</f>
        <v>#N/A</v>
      </c>
      <c r="DB125" s="4" t="e">
        <f t="shared" ref="DB125" ca="1" si="1644">MATCH(1,OFFSET(DA119:DA130,DC124,0,COUNT(DA119:DA130)-DC124),0)</f>
        <v>#REF!</v>
      </c>
      <c r="DC125" s="4" t="e">
        <f t="shared" ca="1" si="1552"/>
        <v>#REF!</v>
      </c>
      <c r="DD125" s="693" t="str">
        <f ca="1">IF(LEFT($J119,7)="Clad Wo",IFERROR(VLOOKUP(INDEX(CZ119:CZ130,DC125),SPPWS,2,FALSE),"----"),IFERROR(VLOOKUP(INDEX(CZ119:CZ130,DC125),SPM,2,FALSE),"----"))</f>
        <v>----</v>
      </c>
      <c r="DE125" s="691" t="e">
        <f t="shared" ca="1" si="1553"/>
        <v>#REF!</v>
      </c>
      <c r="DF125" s="4" t="e" cm="1">
        <f t="array" aca="1" ref="DF125" ca="1">IF(AND(INDEX(INDIRECT(BY119),DE125,4)&gt;=$AB125,INDEX(INDIRECT(BY119),DE125,5)&gt;=$S119,INDEX(INDIRECT(BY119),DE125,6)&gt;=$R119),1,0)</f>
        <v>#REF!</v>
      </c>
      <c r="DG125" s="4" t="e">
        <f t="shared" ref="DG125" ca="1" si="1645">MATCH(1,OFFSET(DF119:DF130,DH124,0,COUNT(DF119:DF130)-DH124),0)</f>
        <v>#REF!</v>
      </c>
      <c r="DH125" s="4" t="e">
        <f t="shared" ca="1" si="1555"/>
        <v>#REF!</v>
      </c>
      <c r="DI125" s="692" t="str" cm="1">
        <f t="array" aca="1" ref="DI125" ca="1">IFERROR(VLOOKUP(INDEX(DE119:DE130,DH125),INDIRECT(BY119),2,FALSE),"----")</f>
        <v>----</v>
      </c>
      <c r="DJ125" s="691" t="e">
        <f t="shared" ca="1" si="1556"/>
        <v>#N/A</v>
      </c>
      <c r="DK125" s="4" t="e">
        <f ca="1">IF(AND(INDEX(SSM,DJ125,4)&gt;=$AB125,INDEX(SSM,DJ125,5)&gt;=$S119,INDEX(SSM,DJ125,6)&gt;=$R119),1,0)</f>
        <v>#N/A</v>
      </c>
      <c r="DL125" s="4" t="e">
        <f t="shared" ref="DL125" ca="1" si="1646">MATCH(1,OFFSET(DK119:DK130,DM124,0,COUNT(DK119:DK130)-DM124),0)</f>
        <v>#REF!</v>
      </c>
      <c r="DM125" s="4" t="e">
        <f t="shared" ca="1" si="1558"/>
        <v>#REF!</v>
      </c>
      <c r="DN125" s="692" t="str">
        <f ca="1">IFERROR(IF(AD126="Nested Steel Stud (wood infill)",VLOOKUP(INDEX(DJ119:DJ130,DM125),SSW,2,FALSE),VLOOKUP(INDEX(DJ119:DJ130,DM125),SSM,2,FALSE)),"----")</f>
        <v>----</v>
      </c>
      <c r="DO125" s="691" t="e">
        <f t="shared" ca="1" si="1559"/>
        <v>#N/A</v>
      </c>
      <c r="DP125" s="4" t="e">
        <f ca="1">IF(AND(INDEX(WSM,DO125,4)&gt;=$AB125,INDEX(WSM,DO125,5)&gt;=$S119,INDEX(WSM,DO125,6)&gt;=$R119),1,0)</f>
        <v>#N/A</v>
      </c>
      <c r="DQ125" s="4" t="e">
        <f t="shared" ref="DQ125" ca="1" si="1647">MATCH(1,OFFSET(DP119:DP130,DR124,0,COUNT(DP119:DP130)-DR124),0)</f>
        <v>#REF!</v>
      </c>
      <c r="DR125" s="4" t="e">
        <f t="shared" ca="1" si="1561"/>
        <v>#REF!</v>
      </c>
      <c r="DS125" s="692" t="str">
        <f ca="1">IFERROR(VLOOKUP(INDEX(DO119:DO130,DR125),WSM,2,FALSE),"----")</f>
        <v>----</v>
      </c>
      <c r="DT125" s="691" t="e">
        <f t="shared" ca="1" si="1562"/>
        <v>#N/A</v>
      </c>
      <c r="DU125" s="4" t="e">
        <f ca="1">IF(AND(INDEX(STM,DT125,4)&gt;=$AB125,INDEX(STM,DT125,5)&gt;=$S119,INDEX(STM,DT125,6)&gt;=$R119),1,0)</f>
        <v>#N/A</v>
      </c>
      <c r="DV125" s="4" t="e">
        <f t="shared" ref="DV125" ca="1" si="1648">MATCH(1,OFFSET(DU119:DU130,DW124,0,COUNT(DU119:DU130)-DW124),0)</f>
        <v>#REF!</v>
      </c>
      <c r="DW125" s="4" t="e">
        <f t="shared" ca="1" si="1564"/>
        <v>#REF!</v>
      </c>
      <c r="DX125" s="692" t="str">
        <f ca="1">IFERROR(VLOOKUP(INDEX(DT119:DT130,DW125),STM,2,FALSE),"----")</f>
        <v>----</v>
      </c>
      <c r="DY125" s="691" t="e">
        <f t="shared" ca="1" si="1565"/>
        <v>#N/A</v>
      </c>
      <c r="DZ125" s="4" t="e">
        <f ca="1">IF(AND(INDEX(ELM,DY125,4)&gt;=$AB125,INDEX(ELM,DY125,5)&gt;=$S119,INDEX(ELM,DY125,6)&gt;=$R119),1,0)</f>
        <v>#N/A</v>
      </c>
      <c r="EA125" s="4" t="e">
        <f t="shared" ref="EA125" ca="1" si="1649">MATCH(1,OFFSET(DZ119:DZ130,EB124,0,COUNT(DZ119:DZ130)-EB124),0)</f>
        <v>#REF!</v>
      </c>
      <c r="EB125" s="4" t="e">
        <f t="shared" ca="1" si="1567"/>
        <v>#REF!</v>
      </c>
      <c r="EC125" s="692" t="str">
        <f ca="1">IFERROR(VLOOKUP(INDEX(DY119:DY130,EB125),ELM,2,FALSE),"----")</f>
        <v>----</v>
      </c>
      <c r="ED125" s="691" t="e">
        <f t="shared" ca="1" si="1568"/>
        <v>#N/A</v>
      </c>
      <c r="EE125" s="4" t="e">
        <f ca="1">IF(LEFT($J119,7)="Clad Wo",IF(AND(INDEX(SPPWS,ED125,4)&gt;=$AB125,INDEX(SPPWS,ED125,5)&gt;=$S119,INDEX(SPPWS,ED125,6)&gt;=$R119),1,0),IF(AND(INDEX(SPM,ED125,4)&gt;=$AB125,INDEX(SPM,ED125,5)&gt;=$S119,INDEX(SPM,ED125,6)&gt;=$R119),1,0))</f>
        <v>#N/A</v>
      </c>
      <c r="EF125" s="4" t="e">
        <f t="shared" ref="EF125" ca="1" si="1650">MATCH(1,OFFSET(EE119:EE130,EG124,0,COUNT(EE119:EE130)-EG124),0)</f>
        <v>#REF!</v>
      </c>
      <c r="EG125" s="4" t="e">
        <f t="shared" ca="1" si="1570"/>
        <v>#REF!</v>
      </c>
      <c r="EH125" s="692" t="str">
        <f ca="1">IF(LEFT($J119,7)="Clad Wo",IFERROR(VLOOKUP(INDEX(ED119:ED130,EG125),SPPWS,2,FALSE),"----"),IFERROR(VLOOKUP(INDEX(ED119:ED130,EG125),SPM,2,FALSE),"----"))</f>
        <v>----</v>
      </c>
    </row>
    <row r="126" spans="1:138" ht="15" customHeight="1" x14ac:dyDescent="0.25">
      <c r="A126" s="1085"/>
      <c r="B126" s="925"/>
      <c r="C126" s="926"/>
      <c r="D126" s="927"/>
      <c r="E126" s="995"/>
      <c r="F126" s="996"/>
      <c r="G126" s="997"/>
      <c r="H126" s="1062"/>
      <c r="I126" s="990"/>
      <c r="J126" s="912"/>
      <c r="K126" s="913"/>
      <c r="L126" s="1002"/>
      <c r="M126" s="923"/>
      <c r="N126" s="1042"/>
      <c r="O126" s="1018"/>
      <c r="P126" s="987"/>
      <c r="Q126" s="1015"/>
      <c r="R126" s="1012"/>
      <c r="S126" s="1006"/>
      <c r="T126" s="1007"/>
      <c r="U126" s="878"/>
      <c r="V126" s="881"/>
      <c r="W126" s="884"/>
      <c r="X126" s="884"/>
      <c r="Y126" s="887"/>
      <c r="Z126" s="887"/>
      <c r="AA126" s="887"/>
      <c r="AB126" s="1081"/>
      <c r="AC126" s="1078"/>
      <c r="AD126" s="1070" t="str">
        <f t="shared" ref="AD126" si="1651">IF(ISBLANK(AD120)=TRUE,"",AD120)</f>
        <v>Nested Steel Stud</v>
      </c>
      <c r="AE126" s="1071"/>
      <c r="AF126" s="1052"/>
      <c r="AG126" s="1053"/>
      <c r="AH126" s="1053"/>
      <c r="AI126" s="1066"/>
      <c r="AJ126" s="1067"/>
      <c r="AK126" s="156" t="str">
        <f t="shared" ca="1" si="1130"/>
        <v/>
      </c>
      <c r="AL126" s="1059"/>
      <c r="AM126" s="343" t="str">
        <f ca="1">IFERROR(Q119/12*ROUND(VLOOKUP(AF126,OFFSET(SSM,0,1),6,FALSE),2),"")</f>
        <v/>
      </c>
      <c r="AN126" t="str">
        <f t="shared" ca="1" si="1154"/>
        <v/>
      </c>
      <c r="AP126" s="122" t="str">
        <f t="shared" ref="AP126" si="1652">_xlfn.CONCAT(AR126,AS130)</f>
        <v/>
      </c>
      <c r="AQ126" s="683" t="str">
        <f t="shared" si="1353"/>
        <v/>
      </c>
      <c r="AR126" s="96" t="str">
        <f t="shared" si="1114"/>
        <v/>
      </c>
      <c r="AS126" s="96" t="str">
        <f>IF(COUNTIF(Vista_1,AF125)=1,"Vista_1",IF(COUNTIF(Vista_2,AF125)=1,"Vista_2",""))</f>
        <v/>
      </c>
      <c r="AT126" s="684" t="str">
        <f>AL125</f>
        <v/>
      </c>
      <c r="AU126" s="694" t="e">
        <f t="shared" ca="1" si="1370"/>
        <v>#REF!</v>
      </c>
      <c r="AV126" s="686" t="str">
        <f ca="1">IFERROR(VLOOKUP(AU126,INDIRECT(AQ119),2,FALSE),"----")</f>
        <v>----</v>
      </c>
      <c r="AW126" s="694" t="e">
        <f t="shared" ca="1" si="1371"/>
        <v>#REF!</v>
      </c>
      <c r="AX126" s="686" t="str">
        <f ca="1">IFERROR(VLOOKUP(AW126,INDIRECT(AQ120),2,FALSE),"----")</f>
        <v>----</v>
      </c>
      <c r="AY126" s="694" t="e">
        <f t="shared" ca="1" si="1616"/>
        <v>#REF!</v>
      </c>
      <c r="AZ126" s="686" t="str">
        <f ca="1">IFERROR(VLOOKUP(AY126,INDIRECT(AQ121),2,FALSE),"----")</f>
        <v>----</v>
      </c>
      <c r="BA126" s="694" t="e">
        <f t="shared" ca="1" si="1617"/>
        <v>#REF!</v>
      </c>
      <c r="BB126" s="686" t="str">
        <f ca="1">IFERROR(VLOOKUP(BA126,INDIRECT(AQ122),2,FALSE),"----")</f>
        <v>----</v>
      </c>
      <c r="BC126" s="694" t="e">
        <f t="shared" ca="1" si="1374"/>
        <v>#REF!</v>
      </c>
      <c r="BD126" s="686" t="str">
        <f ca="1">IFERROR(VLOOKUP(BC126,INDIRECT(AQ123),2,FALSE),"----")</f>
        <v>----</v>
      </c>
      <c r="BE126" s="694" t="e">
        <f t="shared" ca="1" si="1375"/>
        <v>#REF!</v>
      </c>
      <c r="BF126" s="686" t="str">
        <f ca="1">IFERROR(VLOOKUP(BE126,INDIRECT(AQ124),2,FALSE),"----")</f>
        <v>----</v>
      </c>
      <c r="BG126" s="702" t="e">
        <f t="shared" ca="1" si="1376"/>
        <v>#REF!</v>
      </c>
      <c r="BH126" s="686" t="str">
        <f ca="1">IFERROR(VLOOKUP(BG126,INDIRECT(AQ125),2,FALSE),"----")</f>
        <v>----</v>
      </c>
      <c r="BI126" s="702" t="e">
        <f t="shared" ca="1" si="1377"/>
        <v>#REF!</v>
      </c>
      <c r="BJ126" s="686" t="str">
        <f ca="1">IFERROR(VLOOKUP(BI126,INDIRECT(AQ126),2,FALSE),"----")</f>
        <v>----</v>
      </c>
      <c r="BK126" s="702" t="e">
        <f t="shared" ca="1" si="1378"/>
        <v>#REF!</v>
      </c>
      <c r="BL126" s="686" t="str">
        <f ca="1">IFERROR(VLOOKUP(BK126,INDIRECT(AQ127),2,FALSE),"----")</f>
        <v>----</v>
      </c>
      <c r="BM126" s="702" t="e">
        <f t="shared" ca="1" si="1379"/>
        <v>#REF!</v>
      </c>
      <c r="BN126" s="686" t="str">
        <f ca="1">IFERROR(VLOOKUP(BM126,INDIRECT(AQ128),2,FALSE),"----")</f>
        <v>----</v>
      </c>
      <c r="BO126" s="702" t="e">
        <f t="shared" ca="1" si="1380"/>
        <v>#REF!</v>
      </c>
      <c r="BP126" s="686" t="str">
        <f ca="1">IFERROR(VLOOKUP(BO126,INDIRECT(AQ129),2,FALSE),"----")</f>
        <v>----</v>
      </c>
      <c r="BQ126" s="702" t="e">
        <f t="shared" ca="1" si="1381"/>
        <v>#REF!</v>
      </c>
      <c r="BR126" s="686" t="str">
        <f ca="1">IFERROR(VLOOKUP(BQ126,INDIRECT(AQ130),2,FALSE),"----")</f>
        <v>----</v>
      </c>
      <c r="BS126" s="695">
        <f>IF(AI126="",1,IF(COUNTIF(BJ119:BJ130,AI126)=0,2,1))</f>
        <v>1</v>
      </c>
      <c r="BT126" s="696">
        <f>IF(AF126="",1,IF(BJ119=".",2,1))</f>
        <v>1</v>
      </c>
      <c r="BU126" s="706"/>
      <c r="BV126" s="155">
        <f ca="1">IF(COUNTIF(DN119:DN130,AF126)=0,IF(AF126&lt;&gt;"",0,1),1)</f>
        <v>1</v>
      </c>
      <c r="BW126" s="157">
        <f ca="1">IFERROR(MATCH(AF126,DN119:DN130,0),1)</f>
        <v>1</v>
      </c>
      <c r="BX126" s="769">
        <f t="shared" ref="BX126" si="1653">E119*(H119+I119)/144/2</f>
        <v>0</v>
      </c>
      <c r="BY126" s="769">
        <f>SUM(IF(H119&gt;E119,E119^2/4,(H119*E119/2)-(H119^2/4))/144,IF(I119&gt;E119,E119^2/4,(I119*E119/2)-(I119^2/4))/144)</f>
        <v>0</v>
      </c>
      <c r="BZ126" s="1110"/>
      <c r="CA126" s="691" t="e">
        <f t="shared" ca="1" si="1535"/>
        <v>#REF!</v>
      </c>
      <c r="CB126" s="4" t="e" cm="1">
        <f t="array" aca="1" ref="CB126" ca="1">IF(AND(INDEX(INDIRECT(BY119),CA126,4)&gt;=$AB119,INDEX(INDIRECT(BY119),CA126,5)&gt;=$S119,INDEX(INDIRECT(BY119),CA126,6)&gt;=$R119),1,0)</f>
        <v>#REF!</v>
      </c>
      <c r="CC126" s="4" t="e">
        <f t="shared" ref="CC126" ca="1" si="1654">MATCH(1,OFFSET(CB119:CB130,CD125,0,COUNT(CB119:CB130)-CD125),0)</f>
        <v>#REF!</v>
      </c>
      <c r="CD126" s="4" t="e">
        <f t="shared" ca="1" si="1537"/>
        <v>#REF!</v>
      </c>
      <c r="CE126" s="692" t="str" cm="1">
        <f t="array" aca="1" ref="CE126" ca="1">IFERROR(VLOOKUP(INDEX(CA119:CA130,CD126),INDIRECT(BY119),2,FALSE),"----")</f>
        <v>----</v>
      </c>
      <c r="CF126" s="691" t="e">
        <f t="shared" ca="1" si="1538"/>
        <v>#N/A</v>
      </c>
      <c r="CG126" s="4" t="e">
        <f ca="1">IF(AND(INDEX(SSM,CF126,4)&gt;=$AB119,INDEX(SSM,CF126,5)&gt;=$S119,INDEX(SSM,CF126,6)&gt;=$R119),1,0)</f>
        <v>#N/A</v>
      </c>
      <c r="CH126" s="4" t="e">
        <f t="shared" ref="CH126" ca="1" si="1655">MATCH(1,OFFSET(CG119:CG130,CI125,0,COUNT(CG119:CG130)-CI125),0)</f>
        <v>#REF!</v>
      </c>
      <c r="CI126" s="4" t="e">
        <f t="shared" ca="1" si="1540"/>
        <v>#REF!</v>
      </c>
      <c r="CJ126" s="692" t="str">
        <f ca="1">IFERROR(IF(AD120="Nested Steel Stud (wood infill)",VLOOKUP(INDEX(CF119:CF130,CI126),SSW,2,FALSE),VLOOKUP(INDEX(CF119:CF130,CI126),SSM,2,FALSE)),"----")</f>
        <v>----</v>
      </c>
      <c r="CK126" s="691" t="e">
        <f t="shared" ca="1" si="1541"/>
        <v>#N/A</v>
      </c>
      <c r="CL126" s="4" t="e">
        <f ca="1">IF(AND(INDEX(WSM,CK126,4)&gt;=$AB119,INDEX(WSM,CK126,5)&gt;=$S119,INDEX(WSM,CK126,6)&gt;=$R119),1,0)</f>
        <v>#N/A</v>
      </c>
      <c r="CM126" s="4" t="e">
        <f t="shared" ref="CM126" ca="1" si="1656">MATCH(1,OFFSET(CL119:CL130,CN125,0,COUNT(CL119:CL130)-CN125),0)</f>
        <v>#REF!</v>
      </c>
      <c r="CN126" s="4" t="e">
        <f t="shared" ca="1" si="1543"/>
        <v>#REF!</v>
      </c>
      <c r="CO126" s="692" t="str">
        <f ca="1">IFERROR(VLOOKUP(INDEX(CK119:CK130,CN126),WSM,2,FALSE),"----")</f>
        <v>----</v>
      </c>
      <c r="CP126" s="691" t="e">
        <f t="shared" ca="1" si="1544"/>
        <v>#N/A</v>
      </c>
      <c r="CQ126" s="4" t="e">
        <f ca="1">IF(AND(INDEX(STM,CP126,4)&gt;=$AB119,INDEX(STM,CP126,5)&gt;=$S119,INDEX(STM,CP126,6)&gt;=$R119),1,0)</f>
        <v>#N/A</v>
      </c>
      <c r="CR126" s="4" t="e">
        <f t="shared" ref="CR126" ca="1" si="1657">MATCH(1,OFFSET(CQ119:CQ130,CS125,0,COUNT(CQ119:CQ130)-CS125),0)</f>
        <v>#REF!</v>
      </c>
      <c r="CS126" s="4" t="e">
        <f t="shared" ca="1" si="1546"/>
        <v>#REF!</v>
      </c>
      <c r="CT126" s="692" t="str">
        <f ca="1">IFERROR(VLOOKUP(INDEX(CP119:CP130,CS126),STM,2,FALSE),"----")</f>
        <v>----</v>
      </c>
      <c r="CU126" s="691" t="e">
        <f t="shared" ca="1" si="1547"/>
        <v>#N/A</v>
      </c>
      <c r="CV126" s="4" t="e">
        <f ca="1">IF(AND(INDEX(ELM,CU126,4)&gt;=$AB119,INDEX(ELM,CU126,5)&gt;=$S119,INDEX(ELM,CU126,6)&gt;=$R119),1,0)</f>
        <v>#N/A</v>
      </c>
      <c r="CW126" s="4" t="e">
        <f t="shared" ref="CW126" ca="1" si="1658">MATCH(1,OFFSET(CV119:CV130,CX125,0,COUNT(CV119:CV130)-CX125),0)</f>
        <v>#REF!</v>
      </c>
      <c r="CX126" s="4" t="e">
        <f t="shared" ca="1" si="1549"/>
        <v>#REF!</v>
      </c>
      <c r="CY126" s="692" t="str">
        <f ca="1">IFERROR(VLOOKUP(INDEX(CU119:CU130,CX126),ELM,2,FALSE),"----")</f>
        <v>----</v>
      </c>
      <c r="CZ126" s="691" t="e">
        <f t="shared" ca="1" si="1550"/>
        <v>#N/A</v>
      </c>
      <c r="DA126" s="4" t="e">
        <f ca="1">IF(LEFT($J119,7)="Clad Wo",IF(AND(INDEX(SPPWS,CZ126,4)&gt;=$AB119,INDEX(SPPWS,CZ126,5)&gt;=$S119,INDEX(SPPWS,CZ126,6)&gt;=$R119),1,0),IF(AND(INDEX(SPM,CZ126,4)&gt;=$AB119,INDEX(SPM,CZ126,5)&gt;=$S119,INDEX(SPM,CZ126,6)&gt;=$R119),1,0))</f>
        <v>#N/A</v>
      </c>
      <c r="DB126" s="4" t="e">
        <f t="shared" ref="DB126" ca="1" si="1659">MATCH(1,OFFSET(DA119:DA130,DC125,0,COUNT(DA119:DA130)-DC125),0)</f>
        <v>#REF!</v>
      </c>
      <c r="DC126" s="4" t="e">
        <f t="shared" ca="1" si="1552"/>
        <v>#REF!</v>
      </c>
      <c r="DD126" s="693" t="str">
        <f ca="1">IF(LEFT($J119,7)="Clad Wo",IFERROR(VLOOKUP(INDEX(CZ119:CZ130,DC126),SPPWS,2,FALSE),"----"),IFERROR(VLOOKUP(INDEX(CZ119:CZ130,DC126),SPM,2,FALSE),"----"))</f>
        <v>----</v>
      </c>
      <c r="DE126" s="691" t="e">
        <f t="shared" ca="1" si="1553"/>
        <v>#REF!</v>
      </c>
      <c r="DF126" s="4" t="e" cm="1">
        <f t="array" aca="1" ref="DF126" ca="1">IF(AND(INDEX(INDIRECT(BY119),DE126,4)&gt;=$AB125,INDEX(INDIRECT(BY119),DE126,5)&gt;=$S119,INDEX(INDIRECT(BY119),DE126,6)&gt;=$R119),1,0)</f>
        <v>#REF!</v>
      </c>
      <c r="DG126" s="4" t="e">
        <f t="shared" ref="DG126" ca="1" si="1660">MATCH(1,OFFSET(DF119:DF130,DH125,0,COUNT(DF119:DF130)-DH125),0)</f>
        <v>#REF!</v>
      </c>
      <c r="DH126" s="4" t="e">
        <f t="shared" ca="1" si="1555"/>
        <v>#REF!</v>
      </c>
      <c r="DI126" s="692" t="str" cm="1">
        <f t="array" aca="1" ref="DI126" ca="1">IFERROR(VLOOKUP(INDEX(DE119:DE130,DH126),INDIRECT(BY119),2,FALSE),"----")</f>
        <v>----</v>
      </c>
      <c r="DJ126" s="691" t="e">
        <f t="shared" ca="1" si="1556"/>
        <v>#N/A</v>
      </c>
      <c r="DK126" s="4" t="e">
        <f ca="1">IF(AND(INDEX(SSM,DJ126,4)&gt;=$AB125,INDEX(SSM,DJ126,5)&gt;=$S119,INDEX(SSM,DJ126,6)&gt;=$R119),1,0)</f>
        <v>#N/A</v>
      </c>
      <c r="DL126" s="4" t="e">
        <f t="shared" ref="DL126" ca="1" si="1661">MATCH(1,OFFSET(DK119:DK130,DM125,0,COUNT(DK119:DK130)-DM125),0)</f>
        <v>#REF!</v>
      </c>
      <c r="DM126" s="4" t="e">
        <f t="shared" ca="1" si="1558"/>
        <v>#REF!</v>
      </c>
      <c r="DN126" s="692" t="str">
        <f ca="1">IFERROR(IF(AD126="Nested Steel Stud (wood infill)",VLOOKUP(INDEX(DJ119:DJ130,DM126),SSW,2,FALSE),VLOOKUP(INDEX(DJ119:DJ130,DM126),SSM,2,FALSE)),"----")</f>
        <v>----</v>
      </c>
      <c r="DO126" s="691" t="e">
        <f t="shared" ca="1" si="1559"/>
        <v>#N/A</v>
      </c>
      <c r="DP126" s="4" t="e">
        <f ca="1">IF(AND(INDEX(WSM,DO126,4)&gt;=$AB125,INDEX(WSM,DO126,5)&gt;=$S119,INDEX(WSM,DO126,6)&gt;=$R119),1,0)</f>
        <v>#N/A</v>
      </c>
      <c r="DQ126" s="4" t="e">
        <f t="shared" ref="DQ126" ca="1" si="1662">MATCH(1,OFFSET(DP119:DP130,DR125,0,COUNT(DP119:DP130)-DR125),0)</f>
        <v>#REF!</v>
      </c>
      <c r="DR126" s="4" t="e">
        <f t="shared" ca="1" si="1561"/>
        <v>#REF!</v>
      </c>
      <c r="DS126" s="692" t="str">
        <f ca="1">IFERROR(VLOOKUP(INDEX(DO119:DO130,DR126),WSM,2,FALSE),"----")</f>
        <v>----</v>
      </c>
      <c r="DT126" s="691" t="e">
        <f t="shared" ca="1" si="1562"/>
        <v>#N/A</v>
      </c>
      <c r="DU126" s="4" t="e">
        <f ca="1">IF(AND(INDEX(STM,DT126,4)&gt;=$AB125,INDEX(STM,DT126,5)&gt;=$S119,INDEX(STM,DT126,6)&gt;=$R119),1,0)</f>
        <v>#N/A</v>
      </c>
      <c r="DV126" s="4" t="e">
        <f t="shared" ref="DV126" ca="1" si="1663">MATCH(1,OFFSET(DU119:DU130,DW125,0,COUNT(DU119:DU130)-DW125),0)</f>
        <v>#REF!</v>
      </c>
      <c r="DW126" s="4" t="e">
        <f t="shared" ca="1" si="1564"/>
        <v>#REF!</v>
      </c>
      <c r="DX126" s="692" t="str">
        <f ca="1">IFERROR(VLOOKUP(INDEX(DT119:DT130,DW126),STM,2,FALSE),"----")</f>
        <v>----</v>
      </c>
      <c r="DY126" s="691" t="e">
        <f t="shared" ca="1" si="1565"/>
        <v>#N/A</v>
      </c>
      <c r="DZ126" s="4" t="e">
        <f ca="1">IF(AND(INDEX(ELM,DY126,4)&gt;=$AB125,INDEX(ELM,DY126,5)&gt;=$S119,INDEX(ELM,DY126,6)&gt;=$R119),1,0)</f>
        <v>#N/A</v>
      </c>
      <c r="EA126" s="4" t="e">
        <f t="shared" ref="EA126" ca="1" si="1664">MATCH(1,OFFSET(DZ119:DZ130,EB125,0,COUNT(DZ119:DZ130)-EB125),0)</f>
        <v>#REF!</v>
      </c>
      <c r="EB126" s="4" t="e">
        <f t="shared" ca="1" si="1567"/>
        <v>#REF!</v>
      </c>
      <c r="EC126" s="692" t="str">
        <f ca="1">IFERROR(VLOOKUP(INDEX(DY119:DY130,EB126),ELM,2,FALSE),"----")</f>
        <v>----</v>
      </c>
      <c r="ED126" s="691" t="e">
        <f t="shared" ca="1" si="1568"/>
        <v>#N/A</v>
      </c>
      <c r="EE126" s="4" t="e">
        <f ca="1">IF(LEFT($J119,7)="Clad Wo",IF(AND(INDEX(SPPWS,ED126,4)&gt;=$AB125,INDEX(SPPWS,ED126,5)&gt;=$S119,INDEX(SPPWS,ED126,6)&gt;=$R119),1,0),IF(AND(INDEX(SPM,ED126,4)&gt;=$AB125,INDEX(SPM,ED126,5)&gt;=$S119,INDEX(SPM,ED126,6)&gt;=$R119),1,0))</f>
        <v>#N/A</v>
      </c>
      <c r="EF126" s="4" t="e">
        <f t="shared" ref="EF126" ca="1" si="1665">MATCH(1,OFFSET(EE119:EE130,EG125,0,COUNT(EE119:EE130)-EG125),0)</f>
        <v>#REF!</v>
      </c>
      <c r="EG126" s="4" t="e">
        <f t="shared" ca="1" si="1570"/>
        <v>#REF!</v>
      </c>
      <c r="EH126" s="692" t="str">
        <f ca="1">IF(LEFT($J119,7)="Clad Wo",IFERROR(VLOOKUP(INDEX(ED119:ED130,EG126),SPPWS,2,FALSE),"----"),IFERROR(VLOOKUP(INDEX(ED119:ED130,EG126),SPM,2,FALSE),"----"))</f>
        <v>----</v>
      </c>
    </row>
    <row r="127" spans="1:138" ht="15" customHeight="1" x14ac:dyDescent="0.25">
      <c r="A127" s="1085"/>
      <c r="B127" s="925"/>
      <c r="C127" s="926"/>
      <c r="D127" s="927"/>
      <c r="E127" s="995"/>
      <c r="F127" s="996"/>
      <c r="G127" s="997"/>
      <c r="H127" s="1062"/>
      <c r="I127" s="990"/>
      <c r="J127" s="902"/>
      <c r="K127" s="903"/>
      <c r="L127" s="1002"/>
      <c r="M127" s="923"/>
      <c r="N127" s="1042"/>
      <c r="O127" s="1018"/>
      <c r="P127" s="987"/>
      <c r="Q127" s="1015"/>
      <c r="R127" s="1012"/>
      <c r="S127" s="1006"/>
      <c r="T127" s="1007"/>
      <c r="U127" s="878"/>
      <c r="V127" s="881"/>
      <c r="W127" s="884"/>
      <c r="X127" s="884"/>
      <c r="Y127" s="887"/>
      <c r="Z127" s="887"/>
      <c r="AA127" s="887"/>
      <c r="AB127" s="1081"/>
      <c r="AC127" s="1078"/>
      <c r="AD127" s="1070" t="str">
        <f t="shared" ref="AD127:AD189" si="1666">AD121</f>
        <v>Wood Stud Framing</v>
      </c>
      <c r="AE127" s="1071"/>
      <c r="AF127" s="1052"/>
      <c r="AG127" s="1053"/>
      <c r="AH127" s="1053"/>
      <c r="AI127" s="1066"/>
      <c r="AJ127" s="1067"/>
      <c r="AK127" s="156" t="str">
        <f t="shared" ca="1" si="1130"/>
        <v/>
      </c>
      <c r="AL127" s="1059"/>
      <c r="AM127" s="344" t="str">
        <f ca="1">IFERROR(Q119/12*ROUND(VLOOKUP(AF127,OFFSET(WSM,0,1),6,FALSE),2),"")</f>
        <v/>
      </c>
      <c r="AN127" t="str">
        <f t="shared" ca="1" si="1154"/>
        <v/>
      </c>
      <c r="AP127" s="122" t="str">
        <f t="shared" ref="AP127" si="1667">_xlfn.CONCAT(AR127,AS130)</f>
        <v/>
      </c>
      <c r="AQ127" s="683" t="str">
        <f t="shared" si="1353"/>
        <v/>
      </c>
      <c r="AR127" s="4" t="str">
        <f t="shared" si="1114"/>
        <v/>
      </c>
      <c r="AS127" s="4"/>
      <c r="AT127" s="697" t="str">
        <f>AL125</f>
        <v/>
      </c>
      <c r="AU127" s="694" t="e">
        <f t="shared" ca="1" si="1370"/>
        <v>#REF!</v>
      </c>
      <c r="AV127" s="686" t="str">
        <f ca="1">IFERROR(VLOOKUP(AU127,INDIRECT(AQ119),2,FALSE),"----")</f>
        <v>----</v>
      </c>
      <c r="AW127" s="694" t="e">
        <f t="shared" ca="1" si="1371"/>
        <v>#REF!</v>
      </c>
      <c r="AX127" s="686" t="str">
        <f ca="1">IFERROR(VLOOKUP(AW127,INDIRECT(AQ120),2,FALSE),"----")</f>
        <v>----</v>
      </c>
      <c r="AY127" s="694" t="e">
        <f t="shared" ca="1" si="1616"/>
        <v>#REF!</v>
      </c>
      <c r="AZ127" s="686" t="str">
        <f ca="1">IFERROR(VLOOKUP(AY127,INDIRECT(AQ121),2,FALSE),"----")</f>
        <v>----</v>
      </c>
      <c r="BA127" s="694" t="e">
        <f t="shared" ca="1" si="1617"/>
        <v>#REF!</v>
      </c>
      <c r="BB127" s="686" t="str">
        <f ca="1">IFERROR(VLOOKUP(BA127,INDIRECT(AQ122),2,FALSE),"----")</f>
        <v>----</v>
      </c>
      <c r="BC127" s="694" t="e">
        <f t="shared" ca="1" si="1374"/>
        <v>#REF!</v>
      </c>
      <c r="BD127" s="686" t="str">
        <f ca="1">IFERROR(VLOOKUP(BC127,INDIRECT(AQ123),2,FALSE),"----")</f>
        <v>----</v>
      </c>
      <c r="BE127" s="694" t="e">
        <f t="shared" ca="1" si="1375"/>
        <v>#REF!</v>
      </c>
      <c r="BF127" s="686" t="str">
        <f ca="1">IFERROR(VLOOKUP(BE127,INDIRECT(AQ124),2,FALSE),"----")</f>
        <v>----</v>
      </c>
      <c r="BG127" s="702" t="e">
        <f t="shared" ca="1" si="1376"/>
        <v>#REF!</v>
      </c>
      <c r="BH127" s="686" t="str">
        <f ca="1">IFERROR(VLOOKUP(BG127,INDIRECT(AQ125),2,FALSE),"----")</f>
        <v>----</v>
      </c>
      <c r="BI127" s="702" t="e">
        <f t="shared" ca="1" si="1377"/>
        <v>#REF!</v>
      </c>
      <c r="BJ127" s="686" t="str">
        <f ca="1">IFERROR(VLOOKUP(BI127,INDIRECT(AQ126),2,FALSE),"----")</f>
        <v>----</v>
      </c>
      <c r="BK127" s="702" t="e">
        <f t="shared" ca="1" si="1378"/>
        <v>#REF!</v>
      </c>
      <c r="BL127" s="686" t="str">
        <f ca="1">IFERROR(VLOOKUP(BK127,INDIRECT(AQ127),2,FALSE),"----")</f>
        <v>----</v>
      </c>
      <c r="BM127" s="702" t="e">
        <f t="shared" ca="1" si="1379"/>
        <v>#REF!</v>
      </c>
      <c r="BN127" s="686" t="str">
        <f ca="1">IFERROR(VLOOKUP(BM127,INDIRECT(AQ128),2,FALSE),"----")</f>
        <v>----</v>
      </c>
      <c r="BO127" s="702" t="e">
        <f t="shared" ca="1" si="1380"/>
        <v>#REF!</v>
      </c>
      <c r="BP127" s="686" t="str">
        <f ca="1">IFERROR(VLOOKUP(BO127,INDIRECT(AQ129),2,FALSE),"----")</f>
        <v>----</v>
      </c>
      <c r="BQ127" s="702" t="e">
        <f t="shared" ca="1" si="1381"/>
        <v>#REF!</v>
      </c>
      <c r="BR127" s="686" t="str">
        <f ca="1">IFERROR(VLOOKUP(BQ127,INDIRECT(AQ130),2,FALSE),"----")</f>
        <v>----</v>
      </c>
      <c r="BS127" s="695">
        <f>IF(AI127="",1,IF(COUNTIF(BL119:BL130,AI127)=0,2,1))</f>
        <v>1</v>
      </c>
      <c r="BT127" s="696">
        <f>IF(AF127="",1,IF(BL119=".",2,1))</f>
        <v>1</v>
      </c>
      <c r="BU127" s="706"/>
      <c r="BV127" s="155">
        <f ca="1">IF(COUNTIF(DS119:DS130,AF127)=0,IF(AF127&lt;&gt;"",0,1),1)</f>
        <v>1</v>
      </c>
      <c r="BW127" s="157">
        <f ca="1">IFERROR(MATCH(AF127,DS119:DS130,0),1)</f>
        <v>1</v>
      </c>
      <c r="BX127" s="769" t="e">
        <f t="shared" ref="BX127" si="1668">5*E119^3*W119/(384*X119)</f>
        <v>#VALUE!</v>
      </c>
      <c r="BY127" s="769" t="e">
        <f t="shared" ref="BY127" si="1669">W119*E119^3/(60*X119)</f>
        <v>#VALUE!</v>
      </c>
      <c r="BZ127" s="1110"/>
      <c r="CA127" s="691" t="e">
        <f t="shared" ca="1" si="1535"/>
        <v>#REF!</v>
      </c>
      <c r="CB127" s="4" t="e" cm="1">
        <f t="array" aca="1" ref="CB127" ca="1">IF(AND(INDEX(INDIRECT(BY119),CA127,4)&gt;=$AB119,INDEX(INDIRECT(BY119),CA127,5)&gt;=$S119,INDEX(INDIRECT(BY119),CA127,6)&gt;=$R119),1,0)</f>
        <v>#REF!</v>
      </c>
      <c r="CC127" s="4" t="e">
        <f t="shared" ref="CC127" ca="1" si="1670">MATCH(1,OFFSET(CB119:CB130,CD126,0,COUNT(CB119:CB130)-CD126),0)</f>
        <v>#REF!</v>
      </c>
      <c r="CD127" s="4" t="e">
        <f t="shared" ca="1" si="1537"/>
        <v>#REF!</v>
      </c>
      <c r="CE127" s="692" t="str" cm="1">
        <f t="array" aca="1" ref="CE127" ca="1">IFERROR(VLOOKUP(INDEX(CA119:CA130,CD127),INDIRECT(BY119),2,FALSE),"----")</f>
        <v>----</v>
      </c>
      <c r="CF127" s="691" t="e">
        <f t="shared" ca="1" si="1538"/>
        <v>#N/A</v>
      </c>
      <c r="CG127" s="4" t="e">
        <f ca="1">IF(AND(INDEX(SSM,CF127,4)&gt;=$AB119,INDEX(SSM,CF127,5)&gt;=$S119,INDEX(SSM,CF127,6)&gt;=$R119),1,0)</f>
        <v>#N/A</v>
      </c>
      <c r="CH127" s="4" t="e">
        <f t="shared" ref="CH127" ca="1" si="1671">MATCH(1,OFFSET(CG119:CG130,CI126,0,COUNT(CG119:CG130)-CI126),0)</f>
        <v>#REF!</v>
      </c>
      <c r="CI127" s="4" t="e">
        <f t="shared" ca="1" si="1540"/>
        <v>#REF!</v>
      </c>
      <c r="CJ127" s="692" t="str">
        <f ca="1">IFERROR(IF(AD120="Nested Steel Stud (wood infill)",VLOOKUP(INDEX(CF119:CF130,CI127),SSW,2,FALSE),VLOOKUP(INDEX(CF119:CF130,CI127),SSM,2,FALSE)),"----")</f>
        <v>----</v>
      </c>
      <c r="CK127" s="691" t="e">
        <f t="shared" ca="1" si="1541"/>
        <v>#N/A</v>
      </c>
      <c r="CL127" s="4" t="e">
        <f ca="1">IF(AND(INDEX(WSM,CK127,4)&gt;=$AB119,INDEX(WSM,CK127,5)&gt;=$S119,INDEX(WSM,CK127,6)&gt;=$R119),1,0)</f>
        <v>#N/A</v>
      </c>
      <c r="CM127" s="4" t="e">
        <f t="shared" ref="CM127" ca="1" si="1672">MATCH(1,OFFSET(CL119:CL130,CN126,0,COUNT(CL119:CL130)-CN126),0)</f>
        <v>#REF!</v>
      </c>
      <c r="CN127" s="4" t="e">
        <f t="shared" ca="1" si="1543"/>
        <v>#REF!</v>
      </c>
      <c r="CO127" s="692" t="str">
        <f ca="1">IFERROR(VLOOKUP(INDEX(CK119:CK130,CN127),WSM,2,FALSE),"----")</f>
        <v>----</v>
      </c>
      <c r="CP127" s="691" t="e">
        <f t="shared" ca="1" si="1544"/>
        <v>#N/A</v>
      </c>
      <c r="CQ127" s="4" t="e">
        <f ca="1">IF(AND(INDEX(STM,CP127,4)&gt;=$AB119,INDEX(STM,CP127,5)&gt;=$S119,INDEX(STM,CP127,6)&gt;=$R119),1,0)</f>
        <v>#N/A</v>
      </c>
      <c r="CR127" s="4" t="e">
        <f t="shared" ref="CR127" ca="1" si="1673">MATCH(1,OFFSET(CQ119:CQ130,CS126,0,COUNT(CQ119:CQ130)-CS126),0)</f>
        <v>#REF!</v>
      </c>
      <c r="CS127" s="4" t="e">
        <f t="shared" ca="1" si="1546"/>
        <v>#REF!</v>
      </c>
      <c r="CT127" s="692" t="str">
        <f ca="1">IFERROR(VLOOKUP(INDEX(CP119:CP130,CS127),STM,2,FALSE),"----")</f>
        <v>----</v>
      </c>
      <c r="CU127" s="691" t="e">
        <f t="shared" ca="1" si="1547"/>
        <v>#N/A</v>
      </c>
      <c r="CV127" s="4" t="e">
        <f ca="1">IF(AND(INDEX(ELM,CU127,4)&gt;=$AB119,INDEX(ELM,CU127,5)&gt;=$S119,INDEX(ELM,CU127,6)&gt;=$R119),1,0)</f>
        <v>#N/A</v>
      </c>
      <c r="CW127" s="4" t="e">
        <f t="shared" ref="CW127" ca="1" si="1674">MATCH(1,OFFSET(CV119:CV130,CX126,0,COUNT(CV119:CV130)-CX126),0)</f>
        <v>#REF!</v>
      </c>
      <c r="CX127" s="4" t="e">
        <f t="shared" ca="1" si="1549"/>
        <v>#REF!</v>
      </c>
      <c r="CY127" s="692" t="str">
        <f ca="1">IFERROR(VLOOKUP(INDEX(CU119:CU130,CX127),ELM,2,FALSE),"----")</f>
        <v>----</v>
      </c>
      <c r="CZ127" s="691" t="e">
        <f t="shared" ca="1" si="1550"/>
        <v>#N/A</v>
      </c>
      <c r="DA127" s="4" t="e">
        <f ca="1">IF(LEFT($J119,7)="Clad Wo",IF(AND(INDEX(SPPWS,CZ127,4)&gt;=$AB119,INDEX(SPPWS,CZ127,5)&gt;=$S119,INDEX(SPPWS,CZ127,6)&gt;=$R119),1,0),IF(AND(INDEX(SPM,CZ127,4)&gt;=$AB119,INDEX(SPM,CZ127,5)&gt;=$S119,INDEX(SPM,CZ127,6)&gt;=$R119),1,0))</f>
        <v>#N/A</v>
      </c>
      <c r="DB127" s="4" t="e">
        <f t="shared" ref="DB127" ca="1" si="1675">MATCH(1,OFFSET(DA119:DA130,DC126,0,COUNT(DA119:DA130)-DC126),0)</f>
        <v>#REF!</v>
      </c>
      <c r="DC127" s="4" t="e">
        <f t="shared" ca="1" si="1552"/>
        <v>#REF!</v>
      </c>
      <c r="DD127" s="693" t="str">
        <f ca="1">IF(LEFT($J119,7)="Clad Wo",IFERROR(VLOOKUP(INDEX(CZ119:CZ130,DC127),SPPWS,2,FALSE),"----"),IFERROR(VLOOKUP(INDEX(CZ119:CZ130,DC127),SPM,2,FALSE),"----"))</f>
        <v>----</v>
      </c>
      <c r="DE127" s="691" t="e">
        <f t="shared" ca="1" si="1553"/>
        <v>#REF!</v>
      </c>
      <c r="DF127" s="4" t="e" cm="1">
        <f t="array" aca="1" ref="DF127" ca="1">IF(AND(INDEX(INDIRECT(BY119),DE127,4)&gt;=$AB125,INDEX(INDIRECT(BY119),DE127,5)&gt;=$S119,INDEX(INDIRECT(BY119),DE127,6)&gt;=$R119),1,0)</f>
        <v>#REF!</v>
      </c>
      <c r="DG127" s="4" t="e">
        <f t="shared" ref="DG127" ca="1" si="1676">MATCH(1,OFFSET(DF119:DF130,DH126,0,COUNT(DF119:DF130)-DH126),0)</f>
        <v>#REF!</v>
      </c>
      <c r="DH127" s="4" t="e">
        <f t="shared" ca="1" si="1555"/>
        <v>#REF!</v>
      </c>
      <c r="DI127" s="692" t="str" cm="1">
        <f t="array" aca="1" ref="DI127" ca="1">IFERROR(VLOOKUP(INDEX(DE119:DE130,DH127),INDIRECT(BY119),2,FALSE),"----")</f>
        <v>----</v>
      </c>
      <c r="DJ127" s="691" t="e">
        <f t="shared" ca="1" si="1556"/>
        <v>#N/A</v>
      </c>
      <c r="DK127" s="4" t="e">
        <f ca="1">IF(AND(INDEX(SSM,DJ127,4)&gt;=$AB125,INDEX(SSM,DJ127,5)&gt;=$S119,INDEX(SSM,DJ127,6)&gt;=$R119),1,0)</f>
        <v>#N/A</v>
      </c>
      <c r="DL127" s="4" t="e">
        <f t="shared" ref="DL127" ca="1" si="1677">MATCH(1,OFFSET(DK119:DK130,DM126,0,COUNT(DK119:DK130)-DM126),0)</f>
        <v>#REF!</v>
      </c>
      <c r="DM127" s="4" t="e">
        <f t="shared" ca="1" si="1558"/>
        <v>#REF!</v>
      </c>
      <c r="DN127" s="692" t="str">
        <f ca="1">IFERROR(IF(AD126="Nested Steel Stud (wood infill)",VLOOKUP(INDEX(DJ119:DJ130,DM127),SSW,2,FALSE),VLOOKUP(INDEX(DJ119:DJ130,DM127),SSM,2,FALSE)),"----")</f>
        <v>----</v>
      </c>
      <c r="DO127" s="691" t="e">
        <f t="shared" ca="1" si="1559"/>
        <v>#N/A</v>
      </c>
      <c r="DP127" s="4" t="e">
        <f ca="1">IF(AND(INDEX(WSM,DO127,4)&gt;=$AB125,INDEX(WSM,DO127,5)&gt;=$S119,INDEX(WSM,DO127,6)&gt;=$R119),1,0)</f>
        <v>#N/A</v>
      </c>
      <c r="DQ127" s="4" t="e">
        <f t="shared" ref="DQ127" ca="1" si="1678">MATCH(1,OFFSET(DP119:DP130,DR126,0,COUNT(DP119:DP130)-DR126),0)</f>
        <v>#REF!</v>
      </c>
      <c r="DR127" s="4" t="e">
        <f t="shared" ca="1" si="1561"/>
        <v>#REF!</v>
      </c>
      <c r="DS127" s="692" t="str">
        <f ca="1">IFERROR(VLOOKUP(INDEX(DO119:DO130,DR127),WSM,2,FALSE),"----")</f>
        <v>----</v>
      </c>
      <c r="DT127" s="691" t="e">
        <f t="shared" ca="1" si="1562"/>
        <v>#N/A</v>
      </c>
      <c r="DU127" s="4" t="e">
        <f ca="1">IF(AND(INDEX(STM,DT127,4)&gt;=$AB125,INDEX(STM,DT127,5)&gt;=$S119,INDEX(STM,DT127,6)&gt;=$R119),1,0)</f>
        <v>#N/A</v>
      </c>
      <c r="DV127" s="4" t="e">
        <f t="shared" ref="DV127" ca="1" si="1679">MATCH(1,OFFSET(DU119:DU130,DW126,0,COUNT(DU119:DU130)-DW126),0)</f>
        <v>#REF!</v>
      </c>
      <c r="DW127" s="4" t="e">
        <f t="shared" ca="1" si="1564"/>
        <v>#REF!</v>
      </c>
      <c r="DX127" s="692" t="str">
        <f ca="1">IFERROR(VLOOKUP(INDEX(DT119:DT130,DW127),STM,2,FALSE),"----")</f>
        <v>----</v>
      </c>
      <c r="DY127" s="691" t="e">
        <f t="shared" ca="1" si="1565"/>
        <v>#N/A</v>
      </c>
      <c r="DZ127" s="4" t="e">
        <f ca="1">IF(AND(INDEX(ELM,DY127,4)&gt;=$AB125,INDEX(ELM,DY127,5)&gt;=$S119,INDEX(ELM,DY127,6)&gt;=$R119),1,0)</f>
        <v>#N/A</v>
      </c>
      <c r="EA127" s="4" t="e">
        <f t="shared" ref="EA127" ca="1" si="1680">MATCH(1,OFFSET(DZ119:DZ130,EB126,0,COUNT(DZ119:DZ130)-EB126),0)</f>
        <v>#REF!</v>
      </c>
      <c r="EB127" s="4" t="e">
        <f t="shared" ca="1" si="1567"/>
        <v>#REF!</v>
      </c>
      <c r="EC127" s="692" t="str">
        <f ca="1">IFERROR(VLOOKUP(INDEX(DY119:DY130,EB127),ELM,2,FALSE),"----")</f>
        <v>----</v>
      </c>
      <c r="ED127" s="691" t="e">
        <f t="shared" ca="1" si="1568"/>
        <v>#N/A</v>
      </c>
      <c r="EE127" s="4" t="e">
        <f ca="1">IF(LEFT($J119,7)="Clad Wo",IF(AND(INDEX(SPPWS,ED127,4)&gt;=$AB125,INDEX(SPPWS,ED127,5)&gt;=$S119,INDEX(SPPWS,ED127,6)&gt;=$R119),1,0),IF(AND(INDEX(SPM,ED127,4)&gt;=$AB125,INDEX(SPM,ED127,5)&gt;=$S119,INDEX(SPM,ED127,6)&gt;=$R119),1,0))</f>
        <v>#N/A</v>
      </c>
      <c r="EF127" s="4" t="e">
        <f t="shared" ref="EF127" ca="1" si="1681">MATCH(1,OFFSET(EE119:EE130,EG126,0,COUNT(EE119:EE130)-EG126),0)</f>
        <v>#REF!</v>
      </c>
      <c r="EG127" s="4" t="e">
        <f t="shared" ca="1" si="1570"/>
        <v>#REF!</v>
      </c>
      <c r="EH127" s="692" t="str">
        <f ca="1">IF(LEFT($J119,7)="Clad Wo",IFERROR(VLOOKUP(INDEX(ED119:ED130,EG127),SPPWS,2,FALSE),"----"),IFERROR(VLOOKUP(INDEX(ED119:ED130,EG127),SPM,2,FALSE),"----"))</f>
        <v>----</v>
      </c>
    </row>
    <row r="128" spans="1:138" ht="15" customHeight="1" x14ac:dyDescent="0.25">
      <c r="A128" s="1085"/>
      <c r="B128" s="925"/>
      <c r="C128" s="926"/>
      <c r="D128" s="927"/>
      <c r="E128" s="995"/>
      <c r="F128" s="996"/>
      <c r="G128" s="997"/>
      <c r="H128" s="1062"/>
      <c r="I128" s="990"/>
      <c r="J128" s="902"/>
      <c r="K128" s="903"/>
      <c r="L128" s="1002"/>
      <c r="M128" s="923"/>
      <c r="N128" s="1042"/>
      <c r="O128" s="1018"/>
      <c r="P128" s="987"/>
      <c r="Q128" s="1015"/>
      <c r="R128" s="1012"/>
      <c r="S128" s="1006"/>
      <c r="T128" s="1007"/>
      <c r="U128" s="878"/>
      <c r="V128" s="881"/>
      <c r="W128" s="884"/>
      <c r="X128" s="884"/>
      <c r="Y128" s="887"/>
      <c r="Z128" s="887"/>
      <c r="AA128" s="887"/>
      <c r="AB128" s="1081"/>
      <c r="AC128" s="1078"/>
      <c r="AD128" s="1070" t="str">
        <f t="shared" si="1666"/>
        <v>Steel Tube</v>
      </c>
      <c r="AE128" s="1071"/>
      <c r="AF128" s="1052"/>
      <c r="AG128" s="1053"/>
      <c r="AH128" s="1053"/>
      <c r="AI128" s="1066"/>
      <c r="AJ128" s="1067"/>
      <c r="AK128" s="156" t="str">
        <f t="shared" ca="1" si="1130"/>
        <v/>
      </c>
      <c r="AL128" s="1059"/>
      <c r="AM128" s="343" t="str">
        <f ca="1">IFERROR(Q119/12*ROUND(VLOOKUP(AF128,OFFSET(STM,0,1),6,FALSE),2),"")</f>
        <v/>
      </c>
      <c r="AN128" t="str">
        <f t="shared" ca="1" si="1154"/>
        <v/>
      </c>
      <c r="AP128" s="122" t="str">
        <f t="shared" ref="AP128" si="1682">_xlfn.CONCAT(AR128,AS130)</f>
        <v/>
      </c>
      <c r="AQ128" s="683" t="str">
        <f t="shared" si="1353"/>
        <v/>
      </c>
      <c r="AR128" s="4" t="str">
        <f t="shared" si="1114"/>
        <v/>
      </c>
      <c r="AS128" s="4"/>
      <c r="AT128" s="697" t="str">
        <f>AL125</f>
        <v/>
      </c>
      <c r="AU128" s="694" t="e">
        <f t="shared" ca="1" si="1370"/>
        <v>#REF!</v>
      </c>
      <c r="AV128" s="686" t="str">
        <f ca="1">IFERROR(VLOOKUP(AU128,INDIRECT(AQ119),2,FALSE),"----")</f>
        <v>----</v>
      </c>
      <c r="AW128" s="694" t="e">
        <f t="shared" ca="1" si="1371"/>
        <v>#REF!</v>
      </c>
      <c r="AX128" s="686" t="str">
        <f ca="1">IFERROR(VLOOKUP(AW128,INDIRECT(AQ120),2,FALSE),"----")</f>
        <v>----</v>
      </c>
      <c r="AY128" s="694" t="e">
        <f t="shared" ca="1" si="486"/>
        <v>#REF!</v>
      </c>
      <c r="AZ128" s="686" t="str">
        <f ca="1">IFERROR(VLOOKUP(AY128,INDIRECT(AQ121),2,FALSE),"----")</f>
        <v>----</v>
      </c>
      <c r="BA128" s="694" t="e">
        <f t="shared" ca="1" si="487"/>
        <v>#REF!</v>
      </c>
      <c r="BB128" s="686" t="str">
        <f ca="1">IFERROR(VLOOKUP(BA128,INDIRECT(AQ122),2,FALSE),"----")</f>
        <v>----</v>
      </c>
      <c r="BC128" s="694" t="e">
        <f t="shared" ca="1" si="1374"/>
        <v>#REF!</v>
      </c>
      <c r="BD128" s="686" t="str">
        <f ca="1">IFERROR(VLOOKUP(BC128,INDIRECT(AQ123),2,FALSE),"----")</f>
        <v>----</v>
      </c>
      <c r="BE128" s="694" t="e">
        <f t="shared" ca="1" si="1375"/>
        <v>#REF!</v>
      </c>
      <c r="BF128" s="686" t="str">
        <f ca="1">IFERROR(VLOOKUP(BE128,INDIRECT(AQ124),2,FALSE),"----")</f>
        <v>----</v>
      </c>
      <c r="BG128" s="702" t="e">
        <f t="shared" ca="1" si="1376"/>
        <v>#REF!</v>
      </c>
      <c r="BH128" s="686" t="str">
        <f ca="1">IFERROR(VLOOKUP(BG128,INDIRECT(AQ125),2,FALSE),"----")</f>
        <v>----</v>
      </c>
      <c r="BI128" s="702" t="e">
        <f t="shared" ca="1" si="1377"/>
        <v>#REF!</v>
      </c>
      <c r="BJ128" s="686" t="str">
        <f ca="1">IFERROR(VLOOKUP(BI128,INDIRECT(AQ126),2,FALSE),"----")</f>
        <v>----</v>
      </c>
      <c r="BK128" s="702" t="e">
        <f t="shared" ca="1" si="1378"/>
        <v>#REF!</v>
      </c>
      <c r="BL128" s="686" t="str">
        <f ca="1">IFERROR(VLOOKUP(BK128,INDIRECT(AQ127),2,FALSE),"----")</f>
        <v>----</v>
      </c>
      <c r="BM128" s="702" t="e">
        <f t="shared" ca="1" si="1379"/>
        <v>#REF!</v>
      </c>
      <c r="BN128" s="686" t="str">
        <f ca="1">IFERROR(VLOOKUP(BM128,INDIRECT(AQ128),2,FALSE),"----")</f>
        <v>----</v>
      </c>
      <c r="BO128" s="702" t="e">
        <f t="shared" ca="1" si="1380"/>
        <v>#REF!</v>
      </c>
      <c r="BP128" s="686" t="str">
        <f ca="1">IFERROR(VLOOKUP(BO128,INDIRECT(AQ129),2,FALSE),"----")</f>
        <v>----</v>
      </c>
      <c r="BQ128" s="702" t="e">
        <f t="shared" ca="1" si="1381"/>
        <v>#REF!</v>
      </c>
      <c r="BR128" s="686" t="str">
        <f ca="1">IFERROR(VLOOKUP(BQ128,INDIRECT(AQ130),2,FALSE),"----")</f>
        <v>----</v>
      </c>
      <c r="BS128" s="695">
        <f>IF(AI128="",1,IF(COUNTIF(BN119:BN130,AI128)=0,2,1))</f>
        <v>1</v>
      </c>
      <c r="BT128" s="696">
        <f>IF(AF128="",1,IF(BN119=".",2,1))</f>
        <v>1</v>
      </c>
      <c r="BU128" s="706"/>
      <c r="BV128" s="155">
        <f ca="1">IF(COUNTIF(DX119:DX130,AF128)=0,IF(AF128&lt;&gt;"",0,1),1)</f>
        <v>1</v>
      </c>
      <c r="BW128" s="157">
        <f ca="1">IFERROR(MATCH(AF128,DX119:DX130,0),1)</f>
        <v>1</v>
      </c>
      <c r="BX128" s="769" t="e">
        <f t="shared" ref="BX128" si="1683">5*E119^3*W125/(384*X119)</f>
        <v>#VALUE!</v>
      </c>
      <c r="BY128" s="769" t="e">
        <f t="shared" ref="BY128" si="1684">E119^3*W125/(60*X119)</f>
        <v>#VALUE!</v>
      </c>
      <c r="BZ128" s="1110"/>
      <c r="CA128" s="691" t="e">
        <f t="shared" ca="1" si="1535"/>
        <v>#REF!</v>
      </c>
      <c r="CB128" s="4" t="e" cm="1">
        <f t="array" aca="1" ref="CB128" ca="1">IF(AND(INDEX(INDIRECT(BY119),CA128,4)&gt;=$AB119,INDEX(INDIRECT(BY119),CA128,5)&gt;=$S119,INDEX(INDIRECT(BY119),CA128,6)&gt;=$R119),1,0)</f>
        <v>#REF!</v>
      </c>
      <c r="CC128" s="4" t="e">
        <f t="shared" ref="CC128" ca="1" si="1685">MATCH(1,OFFSET(CB119:CB130,CD127,0,COUNT(CB119:CB130)-CD127),0)</f>
        <v>#REF!</v>
      </c>
      <c r="CD128" s="4" t="e">
        <f t="shared" ca="1" si="1537"/>
        <v>#REF!</v>
      </c>
      <c r="CE128" s="692" t="str" cm="1">
        <f t="array" aca="1" ref="CE128" ca="1">IFERROR(VLOOKUP(INDEX(CA119:CA130,CD128),INDIRECT(BY119),2,FALSE),"----")</f>
        <v>----</v>
      </c>
      <c r="CF128" s="691" t="e">
        <f t="shared" ca="1" si="1538"/>
        <v>#N/A</v>
      </c>
      <c r="CG128" s="4" t="e">
        <f ca="1">IF(AND(INDEX(SSM,CF128,4)&gt;=$AB119,INDEX(SSM,CF128,5)&gt;=$S119,INDEX(SSM,CF128,6)&gt;=$R119),1,0)</f>
        <v>#N/A</v>
      </c>
      <c r="CH128" s="4" t="e">
        <f t="shared" ref="CH128" ca="1" si="1686">MATCH(1,OFFSET(CG119:CG130,CI127,0,COUNT(CG119:CG130)-CI127),0)</f>
        <v>#REF!</v>
      </c>
      <c r="CI128" s="4" t="e">
        <f t="shared" ca="1" si="1540"/>
        <v>#REF!</v>
      </c>
      <c r="CJ128" s="692" t="str">
        <f ca="1">IFERROR(IF(AD120="Nested Steel Stud (wood infill)",VLOOKUP(INDEX(CF119:CF130,CI128),SSW,2,FALSE),VLOOKUP(INDEX(CF119:CF130,CI128),SSM,2,FALSE)),"----")</f>
        <v>----</v>
      </c>
      <c r="CK128" s="691" t="e">
        <f t="shared" ca="1" si="1541"/>
        <v>#N/A</v>
      </c>
      <c r="CL128" s="4" t="e">
        <f ca="1">IF(AND(INDEX(WSM,CK128,4)&gt;=$AB119,INDEX(WSM,CK128,5)&gt;=$S119,INDEX(WSM,CK128,6)&gt;=$R119),1,0)</f>
        <v>#N/A</v>
      </c>
      <c r="CM128" s="4" t="e">
        <f t="shared" ref="CM128" ca="1" si="1687">MATCH(1,OFFSET(CL119:CL130,CN127,0,COUNT(CL119:CL130)-CN127),0)</f>
        <v>#REF!</v>
      </c>
      <c r="CN128" s="4" t="e">
        <f t="shared" ca="1" si="1543"/>
        <v>#REF!</v>
      </c>
      <c r="CO128" s="692" t="str">
        <f ca="1">IFERROR(VLOOKUP(INDEX(CK119:CK130,CN128),WSM,2,FALSE),"----")</f>
        <v>----</v>
      </c>
      <c r="CP128" s="691" t="e">
        <f t="shared" ca="1" si="1544"/>
        <v>#N/A</v>
      </c>
      <c r="CQ128" s="4" t="e">
        <f ca="1">IF(AND(INDEX(STM,CP128,4)&gt;=$AB119,INDEX(STM,CP128,5)&gt;=$S119,INDEX(STM,CP128,6)&gt;=$R119),1,0)</f>
        <v>#N/A</v>
      </c>
      <c r="CR128" s="4" t="e">
        <f t="shared" ref="CR128" ca="1" si="1688">MATCH(1,OFFSET(CQ119:CQ130,CS127,0,COUNT(CQ119:CQ130)-CS127),0)</f>
        <v>#REF!</v>
      </c>
      <c r="CS128" s="4" t="e">
        <f t="shared" ca="1" si="1546"/>
        <v>#REF!</v>
      </c>
      <c r="CT128" s="692" t="str">
        <f ca="1">IFERROR(VLOOKUP(INDEX(CP119:CP130,CS128),STM,2,FALSE),"----")</f>
        <v>----</v>
      </c>
      <c r="CU128" s="691" t="e">
        <f t="shared" ca="1" si="1547"/>
        <v>#N/A</v>
      </c>
      <c r="CV128" s="4" t="e">
        <f ca="1">IF(AND(INDEX(ELM,CU128,4)&gt;=$AB119,INDEX(ELM,CU128,5)&gt;=$S119,INDEX(ELM,CU128,6)&gt;=$R119),1,0)</f>
        <v>#N/A</v>
      </c>
      <c r="CW128" s="4" t="e">
        <f t="shared" ref="CW128" ca="1" si="1689">MATCH(1,OFFSET(CV119:CV130,CX127,0,COUNT(CV119:CV130)-CX127),0)</f>
        <v>#REF!</v>
      </c>
      <c r="CX128" s="4" t="e">
        <f t="shared" ca="1" si="1549"/>
        <v>#REF!</v>
      </c>
      <c r="CY128" s="692" t="str">
        <f ca="1">IFERROR(VLOOKUP(INDEX(CU119:CU130,CX128),ELM,2,FALSE),"----")</f>
        <v>----</v>
      </c>
      <c r="CZ128" s="691" t="e">
        <f t="shared" ca="1" si="1550"/>
        <v>#N/A</v>
      </c>
      <c r="DA128" s="4" t="e">
        <f ca="1">IF(LEFT($J119,7)="Clad Wo",IF(AND(INDEX(SPPWS,CZ128,4)&gt;=$AB119,INDEX(SPPWS,CZ128,5)&gt;=$S119,INDEX(SPPWS,CZ128,6)&gt;=$R119),1,0),IF(AND(INDEX(SPM,CZ128,4)&gt;=$AB119,INDEX(SPM,CZ128,5)&gt;=$S119,INDEX(SPM,CZ128,6)&gt;=$R119),1,0))</f>
        <v>#N/A</v>
      </c>
      <c r="DB128" s="4" t="e">
        <f t="shared" ref="DB128" ca="1" si="1690">MATCH(1,OFFSET(DA119:DA130,DC127,0,COUNT(DA119:DA130)-DC127),0)</f>
        <v>#REF!</v>
      </c>
      <c r="DC128" s="4" t="e">
        <f t="shared" ca="1" si="1552"/>
        <v>#REF!</v>
      </c>
      <c r="DD128" s="693" t="str">
        <f ca="1">IF(LEFT($J119,7)="Clad Wo",IFERROR(VLOOKUP(INDEX(CZ119:CZ130,DC128),SPPWS,2,FALSE),"----"),IFERROR(VLOOKUP(INDEX(CZ119:CZ130,DC128),SPM,2,FALSE),"----"))</f>
        <v>----</v>
      </c>
      <c r="DE128" s="691" t="e">
        <f t="shared" ca="1" si="1553"/>
        <v>#REF!</v>
      </c>
      <c r="DF128" s="4" t="e" cm="1">
        <f t="array" aca="1" ref="DF128" ca="1">IF(AND(INDEX(INDIRECT(BY119),DE128,4)&gt;=$AB125,INDEX(INDIRECT(BY119),DE128,5)&gt;=$S119,INDEX(INDIRECT(BY119),DE128,6)&gt;=$R119),1,0)</f>
        <v>#REF!</v>
      </c>
      <c r="DG128" s="4" t="e">
        <f t="shared" ref="DG128" ca="1" si="1691">MATCH(1,OFFSET(DF119:DF130,DH127,0,COUNT(DF119:DF130)-DH127),0)</f>
        <v>#REF!</v>
      </c>
      <c r="DH128" s="4" t="e">
        <f t="shared" ca="1" si="1555"/>
        <v>#REF!</v>
      </c>
      <c r="DI128" s="692" t="str" cm="1">
        <f t="array" aca="1" ref="DI128" ca="1">IFERROR(VLOOKUP(INDEX(DE119:DE130,DH128),INDIRECT(BY119),2,FALSE),"----")</f>
        <v>----</v>
      </c>
      <c r="DJ128" s="691" t="e">
        <f t="shared" ca="1" si="1556"/>
        <v>#N/A</v>
      </c>
      <c r="DK128" s="4" t="e">
        <f ca="1">IF(AND(INDEX(SSM,DJ128,4)&gt;=$AB125,INDEX(SSM,DJ128,5)&gt;=$S119,INDEX(SSM,DJ128,6)&gt;=$R119),1,0)</f>
        <v>#N/A</v>
      </c>
      <c r="DL128" s="4" t="e">
        <f t="shared" ref="DL128" ca="1" si="1692">MATCH(1,OFFSET(DK119:DK130,DM127,0,COUNT(DK119:DK130)-DM127),0)</f>
        <v>#REF!</v>
      </c>
      <c r="DM128" s="4" t="e">
        <f t="shared" ca="1" si="1558"/>
        <v>#REF!</v>
      </c>
      <c r="DN128" s="692" t="str">
        <f ca="1">IFERROR(IF(AD126="Nested Steel Stud (wood infill)",VLOOKUP(INDEX(DJ119:DJ130,DM128),SSW,2,FALSE),VLOOKUP(INDEX(DJ119:DJ130,DM128),SSM,2,FALSE)),"----")</f>
        <v>----</v>
      </c>
      <c r="DO128" s="691" t="e">
        <f t="shared" ca="1" si="1559"/>
        <v>#N/A</v>
      </c>
      <c r="DP128" s="4" t="e">
        <f ca="1">IF(AND(INDEX(WSM,DO128,4)&gt;=$AB125,INDEX(WSM,DO128,5)&gt;=$S119,INDEX(WSM,DO128,6)&gt;=$R119),1,0)</f>
        <v>#N/A</v>
      </c>
      <c r="DQ128" s="4" t="e">
        <f t="shared" ref="DQ128" ca="1" si="1693">MATCH(1,OFFSET(DP119:DP130,DR127,0,COUNT(DP119:DP130)-DR127),0)</f>
        <v>#REF!</v>
      </c>
      <c r="DR128" s="4" t="e">
        <f t="shared" ca="1" si="1561"/>
        <v>#REF!</v>
      </c>
      <c r="DS128" s="692" t="str">
        <f ca="1">IFERROR(VLOOKUP(INDEX(DO119:DO130,DR128),WSM,2,FALSE),"----")</f>
        <v>----</v>
      </c>
      <c r="DT128" s="691" t="e">
        <f t="shared" ca="1" si="1562"/>
        <v>#N/A</v>
      </c>
      <c r="DU128" s="4" t="e">
        <f ca="1">IF(AND(INDEX(STM,DT128,4)&gt;=$AB125,INDEX(STM,DT128,5)&gt;=$S119,INDEX(STM,DT128,6)&gt;=$R119),1,0)</f>
        <v>#N/A</v>
      </c>
      <c r="DV128" s="4" t="e">
        <f t="shared" ref="DV128" ca="1" si="1694">MATCH(1,OFFSET(DU119:DU130,DW127,0,COUNT(DU119:DU130)-DW127),0)</f>
        <v>#REF!</v>
      </c>
      <c r="DW128" s="4" t="e">
        <f t="shared" ca="1" si="1564"/>
        <v>#REF!</v>
      </c>
      <c r="DX128" s="692" t="str">
        <f ca="1">IFERROR(VLOOKUP(INDEX(DT119:DT130,DW128),STM,2,FALSE),"----")</f>
        <v>----</v>
      </c>
      <c r="DY128" s="691" t="e">
        <f t="shared" ca="1" si="1565"/>
        <v>#N/A</v>
      </c>
      <c r="DZ128" s="4" t="e">
        <f ca="1">IF(AND(INDEX(ELM,DY128,4)&gt;=$AB125,INDEX(ELM,DY128,5)&gt;=$S119,INDEX(ELM,DY128,6)&gt;=$R119),1,0)</f>
        <v>#N/A</v>
      </c>
      <c r="EA128" s="4" t="e">
        <f t="shared" ref="EA128" ca="1" si="1695">MATCH(1,OFFSET(DZ119:DZ130,EB127,0,COUNT(DZ119:DZ130)-EB127),0)</f>
        <v>#REF!</v>
      </c>
      <c r="EB128" s="4" t="e">
        <f t="shared" ca="1" si="1567"/>
        <v>#REF!</v>
      </c>
      <c r="EC128" s="692" t="str">
        <f ca="1">IFERROR(VLOOKUP(INDEX(DY119:DY130,EB128),ELM,2,FALSE),"----")</f>
        <v>----</v>
      </c>
      <c r="ED128" s="691" t="e">
        <f t="shared" ca="1" si="1568"/>
        <v>#N/A</v>
      </c>
      <c r="EE128" s="4" t="e">
        <f ca="1">IF(LEFT($J119,7)="Clad Wo",IF(AND(INDEX(SPPWS,ED128,4)&gt;=$AB125,INDEX(SPPWS,ED128,5)&gt;=$S119,INDEX(SPPWS,ED128,6)&gt;=$R119),1,0),IF(AND(INDEX(SPM,ED128,4)&gt;=$AB125,INDEX(SPM,ED128,5)&gt;=$S119,INDEX(SPM,ED128,6)&gt;=$R119),1,0))</f>
        <v>#N/A</v>
      </c>
      <c r="EF128" s="4" t="e">
        <f t="shared" ref="EF128" ca="1" si="1696">MATCH(1,OFFSET(EE119:EE130,EG127,0,COUNT(EE119:EE130)-EG127),0)</f>
        <v>#REF!</v>
      </c>
      <c r="EG128" s="4" t="e">
        <f t="shared" ca="1" si="1570"/>
        <v>#REF!</v>
      </c>
      <c r="EH128" s="692" t="str">
        <f ca="1">IF(LEFT($J119,7)="Clad Wo",IFERROR(VLOOKUP(INDEX(ED119:ED130,EG128),SPPWS,2,FALSE),"----"),IFERROR(VLOOKUP(INDEX(ED119:ED130,EG128),SPM,2,FALSE),"----"))</f>
        <v>----</v>
      </c>
    </row>
    <row r="129" spans="1:138" ht="15" customHeight="1" x14ac:dyDescent="0.25">
      <c r="A129" s="1085"/>
      <c r="B129" s="925"/>
      <c r="C129" s="926"/>
      <c r="D129" s="927"/>
      <c r="E129" s="995"/>
      <c r="F129" s="996"/>
      <c r="G129" s="997"/>
      <c r="H129" s="1062"/>
      <c r="I129" s="990"/>
      <c r="J129" s="902"/>
      <c r="K129" s="903"/>
      <c r="L129" s="1002"/>
      <c r="M129" s="923"/>
      <c r="N129" s="1042"/>
      <c r="O129" s="1018"/>
      <c r="P129" s="987"/>
      <c r="Q129" s="1015"/>
      <c r="R129" s="1012"/>
      <c r="S129" s="1006"/>
      <c r="T129" s="1007"/>
      <c r="U129" s="878"/>
      <c r="V129" s="881"/>
      <c r="W129" s="884"/>
      <c r="X129" s="884"/>
      <c r="Y129" s="887"/>
      <c r="Z129" s="887"/>
      <c r="AA129" s="887"/>
      <c r="AB129" s="1081"/>
      <c r="AC129" s="1078"/>
      <c r="AD129" s="1070" t="str">
        <f t="shared" si="1666"/>
        <v>Engineered Lumber</v>
      </c>
      <c r="AE129" s="1071"/>
      <c r="AF129" s="1052"/>
      <c r="AG129" s="1053"/>
      <c r="AH129" s="1053"/>
      <c r="AI129" s="1068"/>
      <c r="AJ129" s="1069"/>
      <c r="AK129" s="154" t="str">
        <f t="shared" ca="1" si="1130"/>
        <v/>
      </c>
      <c r="AL129" s="1059"/>
      <c r="AM129" s="344" t="str">
        <f ca="1">IFERROR(Q119/12*ROUND(VLOOKUP(AF129,OFFSET(ELM,0,1),6,FALSE),2),"")</f>
        <v/>
      </c>
      <c r="AN129" t="str">
        <f t="shared" ca="1" si="1154"/>
        <v/>
      </c>
      <c r="AP129" s="122" t="str">
        <f t="shared" ref="AP129" si="1697">_xlfn.CONCAT(AR129,AS130)</f>
        <v/>
      </c>
      <c r="AQ129" s="683" t="str">
        <f t="shared" si="1353"/>
        <v/>
      </c>
      <c r="AR129" s="4" t="str">
        <f t="shared" si="1114"/>
        <v/>
      </c>
      <c r="AS129" s="4"/>
      <c r="AT129" s="697" t="str">
        <f>AL125</f>
        <v/>
      </c>
      <c r="AU129" s="694" t="e">
        <f t="shared" ca="1" si="1370"/>
        <v>#REF!</v>
      </c>
      <c r="AV129" s="698" t="str">
        <f ca="1">IFERROR(VLOOKUP(AU129,INDIRECT(AQ119),2,FALSE),"----")</f>
        <v>----</v>
      </c>
      <c r="AW129" s="694" t="e">
        <f t="shared" ca="1" si="1371"/>
        <v>#REF!</v>
      </c>
      <c r="AX129" s="698" t="str">
        <f ca="1">IFERROR(VLOOKUP(AW129,INDIRECT(AQ120),2,FALSE),"----")</f>
        <v>----</v>
      </c>
      <c r="AY129" s="694" t="e">
        <f t="shared" ca="1" si="486"/>
        <v>#REF!</v>
      </c>
      <c r="AZ129" s="698" t="str">
        <f ca="1">IFERROR(VLOOKUP(AY129,INDIRECT(AQ121),2,FALSE),"----")</f>
        <v>----</v>
      </c>
      <c r="BA129" s="694" t="e">
        <f t="shared" ca="1" si="487"/>
        <v>#REF!</v>
      </c>
      <c r="BB129" s="698" t="str">
        <f ca="1">IFERROR(VLOOKUP(BA129,INDIRECT(AQ122),2,FALSE),"----")</f>
        <v>----</v>
      </c>
      <c r="BC129" s="694" t="e">
        <f t="shared" ca="1" si="1374"/>
        <v>#REF!</v>
      </c>
      <c r="BD129" s="698" t="str">
        <f ca="1">IFERROR(VLOOKUP(BC129,INDIRECT(AQ123),2,FALSE),"----")</f>
        <v>----</v>
      </c>
      <c r="BE129" s="694" t="e">
        <f t="shared" ca="1" si="1375"/>
        <v>#REF!</v>
      </c>
      <c r="BF129" s="698" t="str">
        <f ca="1">IFERROR(VLOOKUP(BE129,INDIRECT(AQ124),2,FALSE),"----")</f>
        <v>----</v>
      </c>
      <c r="BG129" s="702" t="e">
        <f t="shared" ca="1" si="1376"/>
        <v>#REF!</v>
      </c>
      <c r="BH129" s="686" t="str">
        <f ca="1">IFERROR(VLOOKUP(BG129,INDIRECT(AQ125),2,FALSE),"----")</f>
        <v>----</v>
      </c>
      <c r="BI129" s="702" t="e">
        <f t="shared" ca="1" si="1377"/>
        <v>#REF!</v>
      </c>
      <c r="BJ129" s="686" t="str">
        <f ca="1">IFERROR(VLOOKUP(BI129,INDIRECT(AQ126),2,FALSE),"----")</f>
        <v>----</v>
      </c>
      <c r="BK129" s="702" t="e">
        <f t="shared" ca="1" si="1378"/>
        <v>#REF!</v>
      </c>
      <c r="BL129" s="686" t="str">
        <f ca="1">IFERROR(VLOOKUP(BK129,INDIRECT(AQ127),2,FALSE),"----")</f>
        <v>----</v>
      </c>
      <c r="BM129" s="702" t="e">
        <f t="shared" ca="1" si="1379"/>
        <v>#REF!</v>
      </c>
      <c r="BN129" s="686" t="str">
        <f ca="1">IFERROR(VLOOKUP(BM129,INDIRECT(AQ128),2,FALSE),"----")</f>
        <v>----</v>
      </c>
      <c r="BO129" s="702" t="e">
        <f t="shared" ca="1" si="1380"/>
        <v>#REF!</v>
      </c>
      <c r="BP129" s="686" t="str">
        <f ca="1">IFERROR(VLOOKUP(BO129,INDIRECT(AQ129),2,FALSE),"----")</f>
        <v>----</v>
      </c>
      <c r="BQ129" s="702" t="e">
        <f t="shared" ca="1" si="1381"/>
        <v>#REF!</v>
      </c>
      <c r="BR129" s="686" t="str">
        <f ca="1">IFERROR(VLOOKUP(BQ129,INDIRECT(AQ130),2,FALSE),"----")</f>
        <v>----</v>
      </c>
      <c r="BS129" s="695">
        <f>IF(AI129="",1,IF(COUNTIF(BP119:BP130,AI129)=0,2,1))</f>
        <v>1</v>
      </c>
      <c r="BT129" s="696">
        <f>IF(AF129="",1,IF(BP119=".",2,1))</f>
        <v>1</v>
      </c>
      <c r="BU129" s="706"/>
      <c r="BV129" s="155">
        <f ca="1">IF(COUNTIF(EC119:EC130,AF129)=0,IF(AF129&lt;&gt;"",0,1),1)</f>
        <v>1</v>
      </c>
      <c r="BW129" s="157">
        <f ca="1">IFERROR(MATCH(AF129,EC119:EC130,0),1)</f>
        <v>1</v>
      </c>
      <c r="BX129" s="769"/>
      <c r="BY129" s="769"/>
      <c r="BZ129" s="1110"/>
      <c r="CA129" s="691" t="e">
        <f t="shared" ca="1" si="1535"/>
        <v>#REF!</v>
      </c>
      <c r="CB129" s="4" t="e" cm="1">
        <f t="array" aca="1" ref="CB129" ca="1">IF(AND(INDEX(INDIRECT(BY119),CA129,4)&gt;=$AB119,INDEX(INDIRECT(BY119),CA129,5)&gt;=$S119,INDEX(INDIRECT(BY119),CA129,6)&gt;=$R119),1,0)</f>
        <v>#REF!</v>
      </c>
      <c r="CC129" s="4" t="e">
        <f t="shared" ref="CC129" ca="1" si="1698">MATCH(1,OFFSET(CB119:CB130,CD128,0,COUNT(CB119:CB130)-CD128),0)</f>
        <v>#REF!</v>
      </c>
      <c r="CD129" s="4" t="e">
        <f t="shared" ca="1" si="1537"/>
        <v>#REF!</v>
      </c>
      <c r="CE129" s="692" t="str" cm="1">
        <f t="array" aca="1" ref="CE129" ca="1">IFERROR(VLOOKUP(INDEX(CA119:CA130,CD129),INDIRECT(BY119),2,FALSE),"----")</f>
        <v>----</v>
      </c>
      <c r="CF129" s="691" t="e">
        <f t="shared" ca="1" si="1538"/>
        <v>#N/A</v>
      </c>
      <c r="CG129" s="4" t="e">
        <f ca="1">IF(AND(INDEX(SSM,CF129,4)&gt;=$AB119,INDEX(SSM,CF129,5)&gt;=$S119,INDEX(SSM,CF129,6)&gt;=$R119),1,0)</f>
        <v>#N/A</v>
      </c>
      <c r="CH129" s="4" t="e">
        <f t="shared" ref="CH129" ca="1" si="1699">MATCH(1,OFFSET(CG119:CG130,CI128,0,COUNT(CG119:CG130)-CI128),0)</f>
        <v>#REF!</v>
      </c>
      <c r="CI129" s="4" t="e">
        <f t="shared" ca="1" si="1540"/>
        <v>#REF!</v>
      </c>
      <c r="CJ129" s="692" t="str">
        <f ca="1">IFERROR(IF(AD120="Nested Steel Stud (wood infill)",VLOOKUP(INDEX(CF119:CF130,CI129),SSW,2,FALSE),VLOOKUP(INDEX(CF119:CF130,CI129),SSM,2,FALSE)),"----")</f>
        <v>----</v>
      </c>
      <c r="CK129" s="691" t="e">
        <f t="shared" ca="1" si="1541"/>
        <v>#N/A</v>
      </c>
      <c r="CL129" s="4" t="e">
        <f ca="1">IF(AND(INDEX(WSM,CK129,4)&gt;=$AB119,INDEX(WSM,CK129,5)&gt;=$S119,INDEX(WSM,CK129,6)&gt;=$R119),1,0)</f>
        <v>#N/A</v>
      </c>
      <c r="CM129" s="4" t="e">
        <f t="shared" ref="CM129" ca="1" si="1700">MATCH(1,OFFSET(CL119:CL130,CN128,0,COUNT(CL119:CL130)-CN128),0)</f>
        <v>#REF!</v>
      </c>
      <c r="CN129" s="4" t="e">
        <f t="shared" ca="1" si="1543"/>
        <v>#REF!</v>
      </c>
      <c r="CO129" s="692" t="str">
        <f ca="1">IFERROR(VLOOKUP(INDEX(CK119:CK130,CN129),WSM,2,FALSE),"----")</f>
        <v>----</v>
      </c>
      <c r="CP129" s="691" t="e">
        <f t="shared" ca="1" si="1544"/>
        <v>#N/A</v>
      </c>
      <c r="CQ129" s="4" t="e">
        <f ca="1">IF(AND(INDEX(STM,CP129,4)&gt;=$AB119,INDEX(STM,CP129,5)&gt;=$S119,INDEX(STM,CP129,6)&gt;=$R119),1,0)</f>
        <v>#N/A</v>
      </c>
      <c r="CR129" s="4" t="e">
        <f t="shared" ref="CR129" ca="1" si="1701">MATCH(1,OFFSET(CQ119:CQ130,CS128,0,COUNT(CQ119:CQ130)-CS128),0)</f>
        <v>#REF!</v>
      </c>
      <c r="CS129" s="4" t="e">
        <f t="shared" ca="1" si="1546"/>
        <v>#REF!</v>
      </c>
      <c r="CT129" s="692" t="str">
        <f ca="1">IFERROR(VLOOKUP(INDEX(CP119:CP130,CS129),STM,2,FALSE),"----")</f>
        <v>----</v>
      </c>
      <c r="CU129" s="691" t="e">
        <f t="shared" ca="1" si="1547"/>
        <v>#N/A</v>
      </c>
      <c r="CV129" s="4" t="e">
        <f ca="1">IF(AND(INDEX(ELM,CU129,4)&gt;=$AB119,INDEX(ELM,CU129,5)&gt;=$S119,INDEX(ELM,CU129,6)&gt;=$R119),1,0)</f>
        <v>#N/A</v>
      </c>
      <c r="CW129" s="4" t="e">
        <f t="shared" ref="CW129" ca="1" si="1702">MATCH(1,OFFSET(CV119:CV130,CX128,0,COUNT(CV119:CV130)-CX128),0)</f>
        <v>#REF!</v>
      </c>
      <c r="CX129" s="4" t="e">
        <f t="shared" ca="1" si="1549"/>
        <v>#REF!</v>
      </c>
      <c r="CY129" s="692" t="str">
        <f ca="1">IFERROR(VLOOKUP(INDEX(CU119:CU130,CX129),ELM,2,FALSE),"----")</f>
        <v>----</v>
      </c>
      <c r="CZ129" s="691" t="e">
        <f t="shared" ca="1" si="1550"/>
        <v>#N/A</v>
      </c>
      <c r="DA129" s="4" t="e">
        <f ca="1">IF(LEFT($J119,7)="Clad Wo",IF(AND(INDEX(SPPWS,CZ129,4)&gt;=$AB119,INDEX(SPPWS,CZ129,5)&gt;=$S119,INDEX(SPPWS,CZ129,6)&gt;=$R119),1,0),IF(AND(INDEX(SPM,CZ129,4)&gt;=$AB119,INDEX(SPM,CZ129,5)&gt;=$S119,INDEX(SPM,CZ129,6)&gt;=$R119),1,0))</f>
        <v>#N/A</v>
      </c>
      <c r="DB129" s="4" t="e">
        <f t="shared" ref="DB129" ca="1" si="1703">MATCH(1,OFFSET(DA119:DA130,DC128,0,COUNT(DA119:DA130)-DC128),0)</f>
        <v>#REF!</v>
      </c>
      <c r="DC129" s="4" t="e">
        <f t="shared" ca="1" si="1552"/>
        <v>#REF!</v>
      </c>
      <c r="DD129" s="693" t="str">
        <f ca="1">IF(LEFT($J119,7)="Clad Wo",IFERROR(VLOOKUP(INDEX(CZ119:CZ130,DC129),SPPWS,2,FALSE),"----"),IFERROR(VLOOKUP(INDEX(CZ119:CZ130,DC129),SPM,2,FALSE),"----"))</f>
        <v>----</v>
      </c>
      <c r="DE129" s="691" t="e">
        <f t="shared" ca="1" si="1553"/>
        <v>#REF!</v>
      </c>
      <c r="DF129" s="4" t="e" cm="1">
        <f t="array" aca="1" ref="DF129" ca="1">IF(AND(INDEX(INDIRECT(BY119),DE129,4)&gt;=$AB125,INDEX(INDIRECT(BY119),DE129,5)&gt;=$S119,INDEX(INDIRECT(BY119),DE129,6)&gt;=$R119),1,0)</f>
        <v>#REF!</v>
      </c>
      <c r="DG129" s="4" t="e">
        <f t="shared" ref="DG129" ca="1" si="1704">MATCH(1,OFFSET(DF119:DF130,DH128,0,COUNT(DF119:DF130)-DH128),0)</f>
        <v>#REF!</v>
      </c>
      <c r="DH129" s="4" t="e">
        <f t="shared" ca="1" si="1555"/>
        <v>#REF!</v>
      </c>
      <c r="DI129" s="692" t="str" cm="1">
        <f t="array" aca="1" ref="DI129" ca="1">IFERROR(VLOOKUP(INDEX(DE119:DE130,DH129),INDIRECT(BY119),2,FALSE),"----")</f>
        <v>----</v>
      </c>
      <c r="DJ129" s="691" t="e">
        <f t="shared" ca="1" si="1556"/>
        <v>#N/A</v>
      </c>
      <c r="DK129" s="4" t="e">
        <f ca="1">IF(AND(INDEX(SSM,DJ129,4)&gt;=$AB125,INDEX(SSM,DJ129,5)&gt;=$S119,INDEX(SSM,DJ129,6)&gt;=$R119),1,0)</f>
        <v>#N/A</v>
      </c>
      <c r="DL129" s="4" t="e">
        <f t="shared" ref="DL129" ca="1" si="1705">MATCH(1,OFFSET(DK119:DK130,DM128,0,COUNT(DK119:DK130)-DM128),0)</f>
        <v>#REF!</v>
      </c>
      <c r="DM129" s="4" t="e">
        <f t="shared" ca="1" si="1558"/>
        <v>#REF!</v>
      </c>
      <c r="DN129" s="692" t="str">
        <f ca="1">IFERROR(IF(AD126="Nested Steel Stud (wood infill)",VLOOKUP(INDEX(DJ119:DJ130,DM129),SSW,2,FALSE),VLOOKUP(INDEX(DJ119:DJ130,DM129),SSM,2,FALSE)),"----")</f>
        <v>----</v>
      </c>
      <c r="DO129" s="691" t="e">
        <f t="shared" ca="1" si="1559"/>
        <v>#N/A</v>
      </c>
      <c r="DP129" s="4" t="e">
        <f ca="1">IF(AND(INDEX(WSM,DO129,4)&gt;=$AB125,INDEX(WSM,DO129,5)&gt;=$S119,INDEX(WSM,DO129,6)&gt;=$R119),1,0)</f>
        <v>#N/A</v>
      </c>
      <c r="DQ129" s="4" t="e">
        <f t="shared" ref="DQ129" ca="1" si="1706">MATCH(1,OFFSET(DP119:DP130,DR128,0,COUNT(DP119:DP130)-DR128),0)</f>
        <v>#REF!</v>
      </c>
      <c r="DR129" s="4" t="e">
        <f t="shared" ca="1" si="1561"/>
        <v>#REF!</v>
      </c>
      <c r="DS129" s="692" t="str">
        <f ca="1">IFERROR(VLOOKUP(INDEX(DO119:DO130,DR129),WSM,2,FALSE),"----")</f>
        <v>----</v>
      </c>
      <c r="DT129" s="691" t="e">
        <f t="shared" ca="1" si="1562"/>
        <v>#N/A</v>
      </c>
      <c r="DU129" s="4" t="e">
        <f ca="1">IF(AND(INDEX(STM,DT129,4)&gt;=$AB125,INDEX(STM,DT129,5)&gt;=$S119,INDEX(STM,DT129,6)&gt;=$R119),1,0)</f>
        <v>#N/A</v>
      </c>
      <c r="DV129" s="4" t="e">
        <f t="shared" ref="DV129" ca="1" si="1707">MATCH(1,OFFSET(DU119:DU130,DW128,0,COUNT(DU119:DU130)-DW128),0)</f>
        <v>#REF!</v>
      </c>
      <c r="DW129" s="4" t="e">
        <f t="shared" ca="1" si="1564"/>
        <v>#REF!</v>
      </c>
      <c r="DX129" s="692" t="str">
        <f ca="1">IFERROR(VLOOKUP(INDEX(DT119:DT130,DW129),STM,2,FALSE),"----")</f>
        <v>----</v>
      </c>
      <c r="DY129" s="691" t="e">
        <f t="shared" ca="1" si="1565"/>
        <v>#N/A</v>
      </c>
      <c r="DZ129" s="4" t="e">
        <f ca="1">IF(AND(INDEX(ELM,DY129,4)&gt;=$AB125,INDEX(ELM,DY129,5)&gt;=$S119,INDEX(ELM,DY129,6)&gt;=$R119),1,0)</f>
        <v>#N/A</v>
      </c>
      <c r="EA129" s="4" t="e">
        <f t="shared" ref="EA129" ca="1" si="1708">MATCH(1,OFFSET(DZ119:DZ130,EB128,0,COUNT(DZ119:DZ130)-EB128),0)</f>
        <v>#REF!</v>
      </c>
      <c r="EB129" s="4" t="e">
        <f t="shared" ca="1" si="1567"/>
        <v>#REF!</v>
      </c>
      <c r="EC129" s="692" t="str">
        <f ca="1">IFERROR(VLOOKUP(INDEX(DY119:DY130,EB129),ELM,2,FALSE),"----")</f>
        <v>----</v>
      </c>
      <c r="ED129" s="691" t="e">
        <f t="shared" ca="1" si="1568"/>
        <v>#N/A</v>
      </c>
      <c r="EE129" s="4" t="e">
        <f ca="1">IF(LEFT($J119,7)="Clad Wo",IF(AND(INDEX(SPPWS,ED129,4)&gt;=$AB125,INDEX(SPPWS,ED129,5)&gt;=$S119,INDEX(SPPWS,ED129,6)&gt;=$R119),1,0),IF(AND(INDEX(SPM,ED129,4)&gt;=$AB125,INDEX(SPM,ED129,5)&gt;=$S119,INDEX(SPM,ED129,6)&gt;=$R119),1,0))</f>
        <v>#N/A</v>
      </c>
      <c r="EF129" s="4" t="e">
        <f t="shared" ref="EF129" ca="1" si="1709">MATCH(1,OFFSET(EE119:EE130,EG128,0,COUNT(EE119:EE130)-EG128),0)</f>
        <v>#REF!</v>
      </c>
      <c r="EG129" s="4" t="e">
        <f t="shared" ca="1" si="1570"/>
        <v>#REF!</v>
      </c>
      <c r="EH129" s="692" t="str">
        <f ca="1">IF(LEFT($J119,7)="Clad Wo",IFERROR(VLOOKUP(INDEX(ED119:ED130,EG129),SPPWS,2,FALSE),"----"),IFERROR(VLOOKUP(INDEX(ED119:ED130,EG129),SPM,2,FALSE),"----"))</f>
        <v>----</v>
      </c>
    </row>
    <row r="130" spans="1:138" ht="15" customHeight="1" thickBot="1" x14ac:dyDescent="0.3">
      <c r="A130" s="1085"/>
      <c r="B130" s="928"/>
      <c r="C130" s="929"/>
      <c r="D130" s="930"/>
      <c r="E130" s="998"/>
      <c r="F130" s="999"/>
      <c r="G130" s="1000"/>
      <c r="H130" s="1063"/>
      <c r="I130" s="991"/>
      <c r="J130" s="904"/>
      <c r="K130" s="905"/>
      <c r="L130" s="1003"/>
      <c r="M130" s="1065"/>
      <c r="N130" s="1043"/>
      <c r="O130" s="1019"/>
      <c r="P130" s="988"/>
      <c r="Q130" s="1016"/>
      <c r="R130" s="1013"/>
      <c r="S130" s="1008"/>
      <c r="T130" s="1009"/>
      <c r="U130" s="879"/>
      <c r="V130" s="882"/>
      <c r="W130" s="885"/>
      <c r="X130" s="885"/>
      <c r="Y130" s="888"/>
      <c r="Z130" s="888"/>
      <c r="AA130" s="888"/>
      <c r="AB130" s="1082"/>
      <c r="AC130" s="1087"/>
      <c r="AD130" s="1098" t="str">
        <f t="shared" ref="AD130" si="1710">IF(LEFT(J119,7)="Clad Wo","Pella Wood Spr / Steel Pte","Steel Plate")</f>
        <v>Steel Plate</v>
      </c>
      <c r="AE130" s="1099"/>
      <c r="AF130" s="1096"/>
      <c r="AG130" s="1097"/>
      <c r="AH130" s="1097"/>
      <c r="AI130" s="1094"/>
      <c r="AJ130" s="1095"/>
      <c r="AK130" s="163" t="str">
        <f t="shared" ca="1" si="1130"/>
        <v/>
      </c>
      <c r="AL130" s="1060"/>
      <c r="AM130" s="345" t="str">
        <f ca="1">IFERROR(Q119/12*ROUND(VLOOKUP(AF130,OFFSET(SPM,0,1),6,FALSE),2),"")</f>
        <v/>
      </c>
      <c r="AN130" t="str">
        <f t="shared" ca="1" si="1154"/>
        <v/>
      </c>
      <c r="AP130" s="699" t="str">
        <f t="shared" ref="AP130" si="1711">_xlfn.CONCAT(AR130,AS130)</f>
        <v/>
      </c>
      <c r="AQ130" s="700" t="str">
        <f t="shared" si="1353"/>
        <v/>
      </c>
      <c r="AR130" s="160" t="str">
        <f t="shared" si="1114"/>
        <v/>
      </c>
      <c r="AS130" s="160" t="str">
        <f>IFERROR(VLOOKUP(J127, WallType,2,FALSE),"")</f>
        <v/>
      </c>
      <c r="AT130" s="707" t="str">
        <f>AL125</f>
        <v/>
      </c>
      <c r="AU130" s="708" t="e">
        <f t="shared" ca="1" si="1370"/>
        <v>#REF!</v>
      </c>
      <c r="AV130" s="709" t="str">
        <f ca="1">IFERROR(VLOOKUP(AU130,INDIRECT(AQ119),2,FALSE),"----")</f>
        <v>----</v>
      </c>
      <c r="AW130" s="710" t="e">
        <f t="shared" ca="1" si="1371"/>
        <v>#REF!</v>
      </c>
      <c r="AX130" s="709" t="str">
        <f ca="1">IFERROR(VLOOKUP(AW130,INDIRECT(AQ120),2,FALSE),"----")</f>
        <v>----</v>
      </c>
      <c r="AY130" s="710" t="e">
        <f t="shared" ca="1" si="486"/>
        <v>#REF!</v>
      </c>
      <c r="AZ130" s="709" t="str">
        <f ca="1">IFERROR(VLOOKUP(AY130,INDIRECT(AQ121),2,FALSE),"----")</f>
        <v>----</v>
      </c>
      <c r="BA130" s="710" t="e">
        <f t="shared" ca="1" si="487"/>
        <v>#REF!</v>
      </c>
      <c r="BB130" s="709" t="str">
        <f ca="1">IFERROR(VLOOKUP(BA130,INDIRECT(AQ122),2,FALSE),"----")</f>
        <v>----</v>
      </c>
      <c r="BC130" s="710" t="e">
        <f t="shared" ca="1" si="1374"/>
        <v>#REF!</v>
      </c>
      <c r="BD130" s="709" t="str">
        <f ca="1">IFERROR(VLOOKUP(BC130,INDIRECT(AQ123),2,FALSE),"----")</f>
        <v>----</v>
      </c>
      <c r="BE130" s="710" t="e">
        <f t="shared" ca="1" si="1375"/>
        <v>#REF!</v>
      </c>
      <c r="BF130" s="709" t="str">
        <f ca="1">IFERROR(VLOOKUP(BE130,INDIRECT(AQ124),2,FALSE),"----")</f>
        <v>----</v>
      </c>
      <c r="BG130" s="710" t="e">
        <f t="shared" ca="1" si="1376"/>
        <v>#REF!</v>
      </c>
      <c r="BH130" s="711" t="str">
        <f ca="1">IFERROR(VLOOKUP(BG130,INDIRECT(AQ125),2,FALSE),"----")</f>
        <v>----</v>
      </c>
      <c r="BI130" s="710" t="e">
        <f t="shared" ca="1" si="1377"/>
        <v>#REF!</v>
      </c>
      <c r="BJ130" s="711" t="str">
        <f ca="1">IFERROR(VLOOKUP(BI130,INDIRECT(AQ126),2,FALSE),"----")</f>
        <v>----</v>
      </c>
      <c r="BK130" s="710" t="e">
        <f t="shared" ca="1" si="1378"/>
        <v>#REF!</v>
      </c>
      <c r="BL130" s="711" t="str">
        <f ca="1">IFERROR(VLOOKUP(BK130,INDIRECT(AQ127),2,FALSE),"----")</f>
        <v>----</v>
      </c>
      <c r="BM130" s="710" t="e">
        <f t="shared" ca="1" si="1379"/>
        <v>#REF!</v>
      </c>
      <c r="BN130" s="711" t="str">
        <f ca="1">IFERROR(VLOOKUP(BM130,INDIRECT(AQ128),2,FALSE),"----")</f>
        <v>----</v>
      </c>
      <c r="BO130" s="710" t="e">
        <f t="shared" ca="1" si="1380"/>
        <v>#REF!</v>
      </c>
      <c r="BP130" s="711" t="str">
        <f ca="1">IFERROR(VLOOKUP(BO130,INDIRECT(AQ129),2,FALSE),"----")</f>
        <v>----</v>
      </c>
      <c r="BQ130" s="710" t="e">
        <f t="shared" ca="1" si="1381"/>
        <v>#REF!</v>
      </c>
      <c r="BR130" s="712" t="str">
        <f ca="1">IFERROR(VLOOKUP(BQ130,INDIRECT(AQ130),2,FALSE),"----")</f>
        <v>----</v>
      </c>
      <c r="BS130" s="695">
        <f>IF(AI130="",1,IF(COUNTIF(BR119:BR130,AI130)=0,2,1))</f>
        <v>1</v>
      </c>
      <c r="BT130" s="713">
        <f>IF(AF130="",1,IF(BR119=".",2,1))</f>
        <v>1</v>
      </c>
      <c r="BV130" s="155">
        <f ca="1">IF(COUNTIF(EH119:EH130,AF130)=0,IF(AF130&lt;&gt;"",0,1),1)</f>
        <v>1</v>
      </c>
      <c r="BW130" s="157">
        <f ca="1">IFERROR(MATCH(AF130,EH119:EH130,0),1)</f>
        <v>1</v>
      </c>
      <c r="BX130" s="718"/>
      <c r="BY130" s="777"/>
      <c r="BZ130" s="1110"/>
      <c r="CA130" s="714" t="e">
        <f t="shared" ca="1" si="1535"/>
        <v>#REF!</v>
      </c>
      <c r="CB130" s="715" t="e" cm="1">
        <f t="array" aca="1" ref="CB130" ca="1">IF(AND(INDEX(INDIRECT(BY119),CA130,4)&gt;=$AB119,INDEX(INDIRECT(BY119),CA130,5)&gt;=$S119,INDEX(INDIRECT(BY119),CA130,6)&gt;=$R119),1,0)</f>
        <v>#REF!</v>
      </c>
      <c r="CC130" s="715" t="e">
        <f t="shared" ref="CC130" ca="1" si="1712">MATCH(1,OFFSET(CB119:CB130,CD129,0,COUNT(CB119:CB130)-CD129),0)</f>
        <v>#REF!</v>
      </c>
      <c r="CD130" s="715" t="e">
        <f t="shared" ca="1" si="1537"/>
        <v>#REF!</v>
      </c>
      <c r="CE130" s="716" t="str" cm="1">
        <f t="array" aca="1" ref="CE130" ca="1">IFERROR(VLOOKUP(INDEX(CA119:CA130,CD130),INDIRECT(BY119),2,FALSE),"----")</f>
        <v>----</v>
      </c>
      <c r="CF130" s="714" t="e">
        <f t="shared" ca="1" si="1538"/>
        <v>#N/A</v>
      </c>
      <c r="CG130" s="715" t="e">
        <f ca="1">IF(AND(INDEX(SSM,CF130,4)&gt;=$AB119,INDEX(SSM,CF130,5)&gt;=$S119,INDEX(SSM,CF130,6)&gt;=$R119),1,0)</f>
        <v>#N/A</v>
      </c>
      <c r="CH130" s="715" t="e">
        <f t="shared" ref="CH130" ca="1" si="1713">MATCH(1,OFFSET(CG119:CG130,CI129,0,COUNT(CG119:CG130)-CI129),0)</f>
        <v>#REF!</v>
      </c>
      <c r="CI130" s="715" t="e">
        <f t="shared" ca="1" si="1540"/>
        <v>#REF!</v>
      </c>
      <c r="CJ130" s="716" t="str">
        <f ca="1">IFERROR(IF(AD120="Nested Steel Stud (wood infill)",VLOOKUP(INDEX(CF119:CF130,CI130),SSW,2,FALSE),VLOOKUP(INDEX(CF119:CF130,CI130),SSM,2,FALSE)),"----")</f>
        <v>----</v>
      </c>
      <c r="CK130" s="714" t="e">
        <f t="shared" ca="1" si="1541"/>
        <v>#N/A</v>
      </c>
      <c r="CL130" s="715" t="e">
        <f ca="1">IF(AND(INDEX(WSM,CK130,4)&gt;=$AB119,INDEX(WSM,CK130,5)&gt;=$S119,INDEX(WSM,CK130,6)&gt;=$R119),1,0)</f>
        <v>#N/A</v>
      </c>
      <c r="CM130" s="715" t="e">
        <f t="shared" ref="CM130" ca="1" si="1714">MATCH(1,OFFSET(CL119:CL130,CN129,0,COUNT(CL119:CL130)-CN129),0)</f>
        <v>#REF!</v>
      </c>
      <c r="CN130" s="715" t="e">
        <f t="shared" ca="1" si="1543"/>
        <v>#REF!</v>
      </c>
      <c r="CO130" s="716" t="str">
        <f ca="1">IFERROR(VLOOKUP(INDEX(CK119:CK130,CN130),WSM,2,FALSE),"----")</f>
        <v>----</v>
      </c>
      <c r="CP130" s="714" t="e">
        <f t="shared" ca="1" si="1544"/>
        <v>#N/A</v>
      </c>
      <c r="CQ130" s="715" t="e">
        <f ca="1">IF(AND(INDEX(STM,CP130,4)&gt;=$AB119,INDEX(STM,CP130,5)&gt;=$S119,INDEX(STM,CP130,6)&gt;=$R119),1,0)</f>
        <v>#N/A</v>
      </c>
      <c r="CR130" s="715" t="e">
        <f t="shared" ref="CR130" ca="1" si="1715">MATCH(1,OFFSET(CQ119:CQ130,CS129,0,COUNT(CQ119:CQ130)-CS129),0)</f>
        <v>#REF!</v>
      </c>
      <c r="CS130" s="715" t="e">
        <f t="shared" ca="1" si="1546"/>
        <v>#REF!</v>
      </c>
      <c r="CT130" s="716" t="str">
        <f ca="1">IFERROR(VLOOKUP(INDEX(CP119:CP130,CS130),STM,2,FALSE),"----")</f>
        <v>----</v>
      </c>
      <c r="CU130" s="714" t="e">
        <f t="shared" ca="1" si="1547"/>
        <v>#N/A</v>
      </c>
      <c r="CV130" s="715" t="e">
        <f ca="1">IF(AND(INDEX(ELM,CU130,4)&gt;=$AB119,INDEX(ELM,CU130,5)&gt;=$S119,INDEX(ELM,CU130,6)&gt;=$R119),1,0)</f>
        <v>#N/A</v>
      </c>
      <c r="CW130" s="715" t="e">
        <f t="shared" ref="CW130" ca="1" si="1716">MATCH(1,OFFSET(CV119:CV130,CX129,0,COUNT(CV119:CV130)-CX129),0)</f>
        <v>#REF!</v>
      </c>
      <c r="CX130" s="715" t="e">
        <f t="shared" ca="1" si="1549"/>
        <v>#REF!</v>
      </c>
      <c r="CY130" s="716" t="str">
        <f ca="1">IFERROR(VLOOKUP(INDEX(CU119:CU130,CX130),ELM,2,FALSE),"----")</f>
        <v>----</v>
      </c>
      <c r="CZ130" s="714" t="e">
        <f t="shared" ca="1" si="1550"/>
        <v>#N/A</v>
      </c>
      <c r="DA130" s="715" t="e">
        <f ca="1">IF(LEFT($J119,7)="Clad Wo",IF(AND(INDEX(SPPWS,CZ130,4)&gt;=$AB119,INDEX(SPPWS,CZ130,5)&gt;=$S119,INDEX(SPPWS,CZ130,6)&gt;=$R119),1,0),IF(AND(INDEX(SPM,CZ130,4)&gt;=$AB119,INDEX(SPM,CZ130,5)&gt;=$S119,INDEX(SPM,CZ130,6)&gt;=$R119),1,0))</f>
        <v>#N/A</v>
      </c>
      <c r="DB130" s="715" t="e">
        <f t="shared" ref="DB130" ca="1" si="1717">MATCH(1,OFFSET(DA119:DA130,DC129,0,COUNT(DA119:DA130)-DC129),0)</f>
        <v>#REF!</v>
      </c>
      <c r="DC130" s="715" t="e">
        <f t="shared" ca="1" si="1552"/>
        <v>#REF!</v>
      </c>
      <c r="DD130" s="717" t="str">
        <f ca="1">IF(LEFT($J119,7)="Clad Wo",IFERROR(VLOOKUP(INDEX(CZ119:CZ130,DC130),SPPWS,2,FALSE),"----"),IFERROR(VLOOKUP(INDEX(CZ119:CZ130,DC130),SPM,2,FALSE),"----"))</f>
        <v>----</v>
      </c>
      <c r="DE130" s="714" t="e">
        <f t="shared" ca="1" si="1553"/>
        <v>#REF!</v>
      </c>
      <c r="DF130" s="715" t="e" cm="1">
        <f t="array" aca="1" ref="DF130" ca="1">IF(AND(INDEX(INDIRECT(BY119),DE130,4)&gt;=$AB125,INDEX(INDIRECT(BY119),DE130,5)&gt;=$S119,INDEX(INDIRECT(BY119),DE130,6)&gt;=$R119),1,0)</f>
        <v>#REF!</v>
      </c>
      <c r="DG130" s="715" t="e">
        <f t="shared" ref="DG130" ca="1" si="1718">MATCH(1,OFFSET(DF119:DF130,DH129,0,COUNT(DF119:DF130)-DH129),0)</f>
        <v>#REF!</v>
      </c>
      <c r="DH130" s="715" t="e">
        <f t="shared" ca="1" si="1555"/>
        <v>#REF!</v>
      </c>
      <c r="DI130" s="716" t="str" cm="1">
        <f t="array" aca="1" ref="DI130" ca="1">IFERROR(VLOOKUP(INDEX(DE119:DE130,DH130),INDIRECT(BY119),2,FALSE),"----")</f>
        <v>----</v>
      </c>
      <c r="DJ130" s="714" t="e">
        <f t="shared" ca="1" si="1556"/>
        <v>#N/A</v>
      </c>
      <c r="DK130" s="715" t="e">
        <f ca="1">IF(AND(INDEX(SSM,DJ130,4)&gt;=$AB125,INDEX(SSM,DJ130,5)&gt;=$S119,INDEX(SSM,DJ130,6)&gt;=$R119),1,0)</f>
        <v>#N/A</v>
      </c>
      <c r="DL130" s="715" t="e">
        <f t="shared" ref="DL130" ca="1" si="1719">MATCH(1,OFFSET(DK119:DK130,DM129,0,COUNT(DK119:DK130)-DM129),0)</f>
        <v>#REF!</v>
      </c>
      <c r="DM130" s="715" t="e">
        <f t="shared" ca="1" si="1558"/>
        <v>#REF!</v>
      </c>
      <c r="DN130" s="716" t="str">
        <f ca="1">IFERROR(IF(AD126="Nested Steel Stud (wood infill)",VLOOKUP(INDEX(DJ119:DJ130,DM130),SSW,2,FALSE),VLOOKUP(INDEX(DJ119:DJ130,DM130),SSM,2,FALSE)),"----")</f>
        <v>----</v>
      </c>
      <c r="DO130" s="714" t="e">
        <f t="shared" ca="1" si="1559"/>
        <v>#N/A</v>
      </c>
      <c r="DP130" s="715" t="e">
        <f ca="1">IF(AND(INDEX(WSM,DO130,4)&gt;=$AB125,INDEX(WSM,DO130,5)&gt;=$S119,INDEX(WSM,DO130,6)&gt;=$R119),1,0)</f>
        <v>#N/A</v>
      </c>
      <c r="DQ130" s="715" t="e">
        <f t="shared" ref="DQ130" ca="1" si="1720">MATCH(1,OFFSET(DP119:DP130,DR129,0,COUNT(DP119:DP130)-DR129),0)</f>
        <v>#REF!</v>
      </c>
      <c r="DR130" s="715" t="e">
        <f t="shared" ca="1" si="1561"/>
        <v>#REF!</v>
      </c>
      <c r="DS130" s="716" t="str">
        <f ca="1">IFERROR(VLOOKUP(INDEX(DO119:DO130,DR130),WSM,2,FALSE),"----")</f>
        <v>----</v>
      </c>
      <c r="DT130" s="714" t="e">
        <f t="shared" ca="1" si="1562"/>
        <v>#N/A</v>
      </c>
      <c r="DU130" s="715" t="e">
        <f ca="1">IF(AND(INDEX(STM,DT130,4)&gt;=$AB125,INDEX(STM,DT130,5)&gt;=$S119,INDEX(STM,DT130,6)&gt;=$R119),1,0)</f>
        <v>#N/A</v>
      </c>
      <c r="DV130" s="715" t="e">
        <f t="shared" ref="DV130" ca="1" si="1721">MATCH(1,OFFSET(DU119:DU130,DW129,0,COUNT(DU119:DU130)-DW129),0)</f>
        <v>#REF!</v>
      </c>
      <c r="DW130" s="715" t="e">
        <f t="shared" ca="1" si="1564"/>
        <v>#REF!</v>
      </c>
      <c r="DX130" s="716" t="str">
        <f ca="1">IFERROR(VLOOKUP(INDEX(DT119:DT130,DW130),STM,2,FALSE),"----")</f>
        <v>----</v>
      </c>
      <c r="DY130" s="714" t="e">
        <f t="shared" ca="1" si="1565"/>
        <v>#N/A</v>
      </c>
      <c r="DZ130" s="715" t="e">
        <f ca="1">IF(AND(INDEX(ELM,DY130,4)&gt;=$AB125,INDEX(ELM,DY130,5)&gt;=$S119,INDEX(ELM,DY130,6)&gt;=$R119),1,0)</f>
        <v>#N/A</v>
      </c>
      <c r="EA130" s="715" t="e">
        <f t="shared" ref="EA130" ca="1" si="1722">MATCH(1,OFFSET(DZ119:DZ130,EB129,0,COUNT(DZ119:DZ130)-EB129),0)</f>
        <v>#REF!</v>
      </c>
      <c r="EB130" s="715" t="e">
        <f t="shared" ca="1" si="1567"/>
        <v>#REF!</v>
      </c>
      <c r="EC130" s="716" t="str">
        <f ca="1">IFERROR(VLOOKUP(INDEX(DY119:DY130,EB130),ELM,2,FALSE),"----")</f>
        <v>----</v>
      </c>
      <c r="ED130" s="714" t="e">
        <f t="shared" ca="1" si="1568"/>
        <v>#N/A</v>
      </c>
      <c r="EE130" s="715" t="e">
        <f ca="1">IF(LEFT($J119,7)="Clad Wo",IF(AND(INDEX(SPPWS,ED130,4)&gt;=$AB125,INDEX(SPPWS,ED130,5)&gt;=$S119,INDEX(SPPWS,ED130,6)&gt;=$R119),1,0),IF(AND(INDEX(SPM,ED130,4)&gt;=$AB125,INDEX(SPM,ED130,5)&gt;=$S119,INDEX(SPM,ED130,6)&gt;=$R119),1,0))</f>
        <v>#N/A</v>
      </c>
      <c r="EF130" s="715" t="e">
        <f t="shared" ref="EF130" ca="1" si="1723">MATCH(1,OFFSET(EE119:EE130,EG129,0,COUNT(EE119:EE130)-EG129),0)</f>
        <v>#REF!</v>
      </c>
      <c r="EG130" s="715" t="e">
        <f t="shared" ca="1" si="1570"/>
        <v>#REF!</v>
      </c>
      <c r="EH130" s="716" t="str">
        <f ca="1">IF(LEFT($J119,7)="Clad Wo",IFERROR(VLOOKUP(INDEX(ED119:ED130,EG130),SPPWS,2,FALSE),"----"),IFERROR(VLOOKUP(INDEX(ED119:ED130,EG130),SPM,2,FALSE),"----"))</f>
        <v>----</v>
      </c>
    </row>
    <row r="131" spans="1:138" ht="15" customHeight="1" thickTop="1" x14ac:dyDescent="0.25">
      <c r="A131" s="1085"/>
      <c r="B131" s="931" t="s">
        <v>92</v>
      </c>
      <c r="C131" s="932"/>
      <c r="D131" s="933"/>
      <c r="E131" s="992"/>
      <c r="F131" s="993"/>
      <c r="G131" s="994"/>
      <c r="H131" s="1061"/>
      <c r="I131" s="989"/>
      <c r="J131" s="906"/>
      <c r="K131" s="907"/>
      <c r="L131" s="1001">
        <f>$W$3</f>
        <v>4</v>
      </c>
      <c r="M131" s="923" t="str">
        <f t="shared" ref="M131" si="1724">IFERROR(IF($AE$13="",IF($AG$19="Wind Loading",MIN($V$31,IF(E$11="ASCE 7-05",$U$26,$V$7)*$V$9*(IF($E$12&lt;60,0.0771*LN(MAX(MIN(500,O131),10)) -1.2737,IF($E$11="ASCE 7-22",0.0524*LN(MAX(MIN(500,O131),50))-1.0278,0.0614*LN(MAX(MIN(500,O131),20)) -1.0829))-$V$8)),$V$7*IF(E$12&lt;60,$V$13*($V$15*0.0771*LN(MAX(MIN(500,O131),10))-1.2737-$V$16),$V$13*$V$15*((0.0524*LN(MAX(MIN(500,O131),20))-1.0278)-$V$16))),-ABS($AE$13)),"")</f>
        <v/>
      </c>
      <c r="N131" s="1042" t="str">
        <f t="shared" ref="N131" si="1725">IFERROR(IF($AE$15="",IF($AG$19="Wind Loading",MAX($U$31,IF(E$11="ASCE 7-05",$U$26,$V$7)*$V$9*((IF($E$12&lt;60,-0.077*LN(MAX(MIN(500,O131),10))+1.1737,IF($E$11="ASCE 7-22",-0.077*LN(MAX(MIN(500,O131),20))+1.0798,-0.093*LN(MAX(MIN(500,O131),20))+1.1776)))+$V$8)),$V$7*IF(E$12&lt;60,$V$13*($V$15*(-0.077*LN(MAX(MIN(500,O131),10))+1.1737)-$V$17),$V$13*$V$15*((-0.077*LN(MAX(MIN(500,O131),20))+1.0798)-$V$17))),ABS($AE$15)),"")</f>
        <v/>
      </c>
      <c r="O131" s="1017" t="str">
        <f>IF(BX138=0,"",IF(AG$14="Trapezoidal",BY138,BX138))</f>
        <v/>
      </c>
      <c r="P131" s="986"/>
      <c r="Q131" s="1014"/>
      <c r="R131" s="1011">
        <f>P131*Q131/8</f>
        <v>0</v>
      </c>
      <c r="S131" s="1004">
        <f t="shared" ref="S131" si="1726">IF(5*(P131*Q131^3/(384*0.125))=0,0,5*(P131*Q131^3/(384*0.125)))</f>
        <v>0</v>
      </c>
      <c r="T131" s="1005"/>
      <c r="U131" s="877" t="e">
        <f ca="1">VLOOKUP(J135,INDIRECT(VLOOKUP(J131,FrameStrength,2,FALSE)),3,FALSE)</f>
        <v>#N/A</v>
      </c>
      <c r="V131" s="880">
        <f t="shared" ref="V131" si="1727">(H131+I131)/2</f>
        <v>0</v>
      </c>
      <c r="W131" s="883" t="e">
        <f t="shared" ref="W131" si="1728">MAX(-M131,N131)*O131</f>
        <v>#VALUE!</v>
      </c>
      <c r="X131" s="883">
        <f t="shared" ref="X131" si="1729">IF(E131&gt;162,(E131/240+0.25),IF(AND(E131&lt;162,E131/175&lt;0.75),E131/175,0.75))</f>
        <v>0</v>
      </c>
      <c r="Y131" s="886">
        <f>IFERROR(IF(AG$14="Trapezoidal",BY139,BX139)+IF($E$17="4",(400*E131^3)/(48*X131),0),0)</f>
        <v>0</v>
      </c>
      <c r="Z131" s="886" t="e">
        <f t="shared" ref="Z131" si="1730">+($V131*MAX(-$M131,$N131)*$E131^2)/(144*8)+IF($E$17=4,(400*$E131)/4,0)</f>
        <v>#VALUE!</v>
      </c>
      <c r="AA131" s="886" t="e">
        <f ca="1">VLOOKUP(J135,INDIRECT(VLOOKUP(J131,FrameStrength,2,FALSE)),2,FALSE)</f>
        <v>#N/A</v>
      </c>
      <c r="AB131" s="1083" t="str">
        <f t="shared" ref="AB131" ca="1" si="1731">IFERROR(Z131-AA131,"")</f>
        <v/>
      </c>
      <c r="AC131" s="1077" t="str">
        <f t="shared" ref="AC131" ca="1" si="1732">IFERROR(Y131-U131,"")</f>
        <v/>
      </c>
      <c r="AD131" s="1100" t="str">
        <f>IFERROR(IF(LEFT(J135,2)="As",VLOOKUP(J135,EIMM,4,FALSE),VLOOKUP(J131,EIMM,4,FALSE)),IF(AND(ISNUMBER(SEARCH("Impervia",J131)),ISNUMBER(SEARCH("door",J135))),'New Lookup Cells'!AF$10,IF(ISNUMBER(SEARCH("Impervia",J131)),'New Lookup Cells'!AF$7,IF(AND(ISNUMBER(SEARCH("250",J131)),ISNUMBER(SEARCH("door",J135))),'New Lookup Cells'!AF$14,IF(ISNUMBER(SEARCH("250",J131)),'New Lookup Cells'!AF$13,"")))))</f>
        <v/>
      </c>
      <c r="AE131" s="1101"/>
      <c r="AF131" s="1050"/>
      <c r="AG131" s="1051"/>
      <c r="AH131" s="1051"/>
      <c r="AI131" s="1088"/>
      <c r="AJ131" s="1089"/>
      <c r="AK131" s="154" t="str">
        <f t="shared" ca="1" si="1130"/>
        <v/>
      </c>
      <c r="AL131" s="1038" t="str">
        <f t="shared" ref="AL131" si="1733">IFERROR(ROUND(SQRT(P131^2+(W131/2+IF($E$17=4,200,0))^2),0),"")</f>
        <v/>
      </c>
      <c r="AM131" s="342" t="s">
        <v>669</v>
      </c>
      <c r="AN131" t="str">
        <f t="shared" ca="1" si="1154"/>
        <v/>
      </c>
      <c r="AP131" s="122" t="str">
        <f t="shared" ref="AP131" si="1734">_xlfn.CONCAT(AR131,AS136)</f>
        <v/>
      </c>
      <c r="AQ131" s="683" t="str">
        <f t="shared" si="1353"/>
        <v/>
      </c>
      <c r="AR131" s="96" t="str">
        <f t="shared" si="1114"/>
        <v/>
      </c>
      <c r="AS131" s="96" t="str">
        <f>IF(COUNTIF(imp_1,AF131)=1,"imp_1",IF(COUNTIF(imp_2,AF131)=1,"imp_2",IF(COUNTIF(imp_3,AF131)=1,"imp_3",IF(COUNTIF(impdoor,AF131)=1,"impdoor",""))))</f>
        <v/>
      </c>
      <c r="AT131" s="684" t="str">
        <f>AL131</f>
        <v/>
      </c>
      <c r="AU131" s="685" t="e">
        <f ca="1">MATCH(AL131,INDIRECT(AP131),-1)</f>
        <v>#REF!</v>
      </c>
      <c r="AV131" s="686" t="str">
        <f ca="1">IFERROR(VLOOKUP(AU131,INDIRECT(AQ131),2,FALSE),"----")</f>
        <v>----</v>
      </c>
      <c r="AW131" s="685" t="e">
        <f ca="1">MATCH(AL131,INDIRECT(AP132),-1)</f>
        <v>#REF!</v>
      </c>
      <c r="AX131" s="686" t="str">
        <f ca="1">IFERROR(VLOOKUP(AW131,INDIRECT(AQ132),2,FALSE),"----")</f>
        <v>----</v>
      </c>
      <c r="AY131" s="685" t="e">
        <f ca="1">MATCH(AL131,INDIRECT(AP133),-1)</f>
        <v>#REF!</v>
      </c>
      <c r="AZ131" s="686" t="str">
        <f ca="1">IFERROR(VLOOKUP(AY131,INDIRECT(AQ133),2,FALSE),"----")</f>
        <v>----</v>
      </c>
      <c r="BA131" s="685" t="e">
        <f ca="1">MATCH(AL131,INDIRECT(AP134),-1)</f>
        <v>#REF!</v>
      </c>
      <c r="BB131" s="686" t="str">
        <f ca="1">IFERROR(VLOOKUP(BA131,INDIRECT(AQ134),2,FALSE),"----")</f>
        <v>----</v>
      </c>
      <c r="BC131" s="685" t="e">
        <f ca="1">MATCH(AL131,INDIRECT(AP135),-1)</f>
        <v>#REF!</v>
      </c>
      <c r="BD131" s="686" t="str">
        <f ca="1">IFERROR(VLOOKUP(BC131,INDIRECT(AQ135),2,FALSE),"----")</f>
        <v>----</v>
      </c>
      <c r="BE131" s="685" t="e">
        <f ca="1">MATCH(AL131,INDIRECT(AP136),-1)</f>
        <v>#REF!</v>
      </c>
      <c r="BF131" s="686" t="str">
        <f ca="1">IFERROR(VLOOKUP(BE131,INDIRECT(AQ136),2,FALSE),"----")</f>
        <v>----</v>
      </c>
      <c r="BG131" s="685" t="e">
        <f ca="1">MATCH(AL137,INDIRECT(AP137),-1)</f>
        <v>#REF!</v>
      </c>
      <c r="BH131" s="686" t="str">
        <f ca="1">IFERROR(VLOOKUP(BG131,INDIRECT(AQ137),2,FALSE),"----")</f>
        <v>----</v>
      </c>
      <c r="BI131" s="685" t="e">
        <f ca="1">MATCH(AL137,INDIRECT(AP138),-1)</f>
        <v>#REF!</v>
      </c>
      <c r="BJ131" s="686" t="str">
        <f ca="1">IFERROR(VLOOKUP(BI131,INDIRECT(AQ138),2,FALSE),"----")</f>
        <v>----</v>
      </c>
      <c r="BK131" s="685" t="e">
        <f ca="1">MATCH(AL137,INDIRECT(AP139),-1)</f>
        <v>#REF!</v>
      </c>
      <c r="BL131" s="686" t="str">
        <f ca="1">IFERROR(VLOOKUP(BK131,INDIRECT(AQ139),2,FALSE),"----")</f>
        <v>----</v>
      </c>
      <c r="BM131" s="685" t="e">
        <f ca="1">MATCH(AL137,INDIRECT(AP140),-1)</f>
        <v>#REF!</v>
      </c>
      <c r="BN131" s="686" t="str">
        <f ca="1">IFERROR(VLOOKUP(BM131,INDIRECT(AQ140),2,FALSE),"----")</f>
        <v>----</v>
      </c>
      <c r="BO131" s="685" t="e">
        <f ca="1">MATCH(AL137,INDIRECT(AP141),-1)</f>
        <v>#REF!</v>
      </c>
      <c r="BP131" s="686" t="str">
        <f ca="1">IFERROR(VLOOKUP(BO131,INDIRECT(AQ141),2,FALSE),"----")</f>
        <v>----</v>
      </c>
      <c r="BQ131" s="685" t="e">
        <f ca="1">MATCH(AL137,INDIRECT(AP142),-1)</f>
        <v>#REF!</v>
      </c>
      <c r="BR131" s="686" t="str">
        <f ca="1">IFERROR(VLOOKUP(BQ131,INDIRECT(AQ142),2,FALSE),"----")</f>
        <v>----</v>
      </c>
      <c r="BS131" s="687">
        <f>IF(AI131="",1,IF(COUNTIF(AV131:AV142,AI131)=0,2,1))</f>
        <v>1</v>
      </c>
      <c r="BT131" s="688">
        <f>IF(AP131="1",1,IF(AF131="",1,IF(AV131=".",2,1)))</f>
        <v>1</v>
      </c>
      <c r="BU131" s="706"/>
      <c r="BV131" s="155">
        <f ca="1">IF(COUNTIF(CE131:CE142,AF131)=0,IF(AF131&lt;&gt;"",0,1),1)</f>
        <v>1</v>
      </c>
      <c r="BW131" s="157">
        <f ca="1">IFERROR(MATCH(AF131,CE131:CE142,0),1)</f>
        <v>1</v>
      </c>
      <c r="BX131" s="769" t="str">
        <f>IFERROR(IF(LEFT(J135,2)="As",VLOOKUP(J135,EIMM,2,FALSE),IF(AND(ISNUMBER(SEARCH("Impervia",J131)),ISNUMBER(SEARCH("door",J135))),VLOOKUP("Impervia Door",EIMM,2,FALSE),IF(AND(ISNUMBER(SEARCH("250",J131)),ISNUMBER(SEARCH("door",J135))),VLOOKUP("250 Series Door",EIMM,2,FALSE),VLOOKUP(J131,EIMM,2,FALSE)))),"")</f>
        <v/>
      </c>
      <c r="BY131" s="769" t="str">
        <f ca="1">IFERROR(VLOOKUP(BX131,OFFSET(EIMM,0,1),2,FALSE),"")</f>
        <v/>
      </c>
      <c r="BZ131" s="1110" t="e">
        <f ca="1">IF((COUNTIF(INDIRECT(SUBSTITUTE(J131," ","_")),J135))=0,IF(J135="",1,0),1)</f>
        <v>#REF!</v>
      </c>
      <c r="CA131" s="691" t="e">
        <f ca="1">MATCH(AC131,INDIRECT(BX131),-1)</f>
        <v>#REF!</v>
      </c>
      <c r="CB131" s="4" t="e" cm="1">
        <f t="array" aca="1" ref="CB131" ca="1">IF(AND(INDEX(INDIRECT(BY131),CA131,4)&gt;=$AB131,INDEX(INDIRECT(BY131),CA131,5)&gt;=$S131,INDEX(INDIRECT(BY131),CA131,6)&gt;=$R131),1,0)</f>
        <v>#REF!</v>
      </c>
      <c r="CC131" s="4" t="e">
        <f t="shared" ref="CC131" ca="1" si="1735">MATCH(1,OFFSET(CB131:CB142,$W$2,0,COUNT(CB131:CB142)-$W$2),0)</f>
        <v>#REF!</v>
      </c>
      <c r="CD131" s="4" t="e">
        <f t="shared" ref="CD131" ca="1" si="1736">$W$2+CC131</f>
        <v>#REF!</v>
      </c>
      <c r="CE131" s="692" t="str" cm="1">
        <f t="array" aca="1" ref="CE131" ca="1">IFERROR(VLOOKUP(INDEX(CA131:CA142,CD131),INDIRECT(BY131),2,FALSE),"----")</f>
        <v>----</v>
      </c>
      <c r="CF131" s="691" t="e">
        <f ca="1">MATCH($AC131,SSEI,-1)</f>
        <v>#N/A</v>
      </c>
      <c r="CG131" s="4" t="e">
        <f ca="1">IF(AND(INDEX(SSM,CF131,4)&gt;=$AB131,INDEX(SSM,CF131,5)&gt;=$S131,INDEX(SSM,CF131,6)&gt;=$R131),1,0)</f>
        <v>#N/A</v>
      </c>
      <c r="CH131" s="4" t="e">
        <f t="shared" ref="CH131" ca="1" si="1737">MATCH(1,OFFSET(CG131:CG142,$W$2,0,COUNT(CG131:CG142)-$W$2),0)</f>
        <v>#REF!</v>
      </c>
      <c r="CI131" s="4" t="e">
        <f t="shared" ref="CI131" ca="1" si="1738">$W$2+CH131</f>
        <v>#REF!</v>
      </c>
      <c r="CJ131" s="692" t="str">
        <f ca="1">IFERROR(IF(AD132="Nested Steel Stud (wood infill)",VLOOKUP(INDEX(CF131:CF142,CI131),SSW,2,FALSE),VLOOKUP(INDEX(CF131:CF142,CI131),SSM,2,FALSE)),"----")</f>
        <v>----</v>
      </c>
      <c r="CK131" s="691" t="e">
        <f ca="1">MATCH($AC131,WSEI,-1)</f>
        <v>#N/A</v>
      </c>
      <c r="CL131" s="4" t="e">
        <f ca="1">IF(AND(INDEX(WSM,CK131,4)&gt;=$AB131,INDEX(WSM,CK131,5)&gt;=$S131,INDEX(WSM,CK131,6)&gt;=$R131),1,0)</f>
        <v>#N/A</v>
      </c>
      <c r="CM131" s="4" t="e">
        <f t="shared" ref="CM131" ca="1" si="1739">MATCH(1,OFFSET(CL131:CL142,$W$2,0,COUNT(CL131:CL142)-$W$2),0)</f>
        <v>#REF!</v>
      </c>
      <c r="CN131" s="4" t="e">
        <f t="shared" ref="CN131" ca="1" si="1740">$W$2+CM131</f>
        <v>#REF!</v>
      </c>
      <c r="CO131" s="692" t="str">
        <f ca="1">IFERROR(VLOOKUP(INDEX(CK131:CK142,CN131),WSM,2,FALSE),"----")</f>
        <v>----</v>
      </c>
      <c r="CP131" s="691" t="e">
        <f ca="1">MATCH($AC131,STEI,-1)</f>
        <v>#N/A</v>
      </c>
      <c r="CQ131" s="4" t="e">
        <f ca="1">IF(AND(INDEX(STM,CP131,4)&gt;=$AB131,INDEX(STM,CP131,5)&gt;=$S131,INDEX(STM,CP131,6)&gt;=$R131),1,0)</f>
        <v>#N/A</v>
      </c>
      <c r="CR131" s="4" t="e">
        <f t="shared" ref="CR131" ca="1" si="1741">MATCH(1,OFFSET(CQ131:CQ142,$W$2,0,COUNT(CQ131:CQ142)-$W$2),0)</f>
        <v>#REF!</v>
      </c>
      <c r="CS131" s="4" t="e">
        <f t="shared" ref="CS131" ca="1" si="1742">$W$2+CR131</f>
        <v>#REF!</v>
      </c>
      <c r="CT131" s="692" t="str">
        <f ca="1">IFERROR(VLOOKUP(INDEX(CP131:CP142,CS131),STM,2,FALSE),"----")</f>
        <v>----</v>
      </c>
      <c r="CU131" s="691" t="e">
        <f ca="1">MATCH($AC131,ELEI,-1)</f>
        <v>#N/A</v>
      </c>
      <c r="CV131" s="4" t="e">
        <f ca="1">IF(AND(INDEX(ELM,CU131,4)&gt;=$AB131,INDEX(ELM,CU131,5)&gt;=$S131,INDEX(ELM,CU131,6)&gt;=$R131),1,0)</f>
        <v>#N/A</v>
      </c>
      <c r="CW131" s="4" t="e">
        <f t="shared" ref="CW131" ca="1" si="1743">MATCH(1,OFFSET(CV131:CV142,$W$2,0,COUNT(CV131:CV142)-$W$2),0)</f>
        <v>#REF!</v>
      </c>
      <c r="CX131" s="4" t="e">
        <f t="shared" ref="CX131" ca="1" si="1744">$W$2+CW131</f>
        <v>#REF!</v>
      </c>
      <c r="CY131" s="692" t="str">
        <f ca="1">IFERROR(VLOOKUP(INDEX(CU131:CU142,CX131),ELM,2,FALSE),"----")</f>
        <v>----</v>
      </c>
      <c r="CZ131" s="691" t="e">
        <f ca="1">IF(LEFT($J131,7)="Clad Wo",MATCH($AC131,SPEIW,-1),MATCH($AC131,SPEI,-1))</f>
        <v>#N/A</v>
      </c>
      <c r="DA131" s="4" t="e">
        <f ca="1">IF(LEFT($J131,7)="Clad Wo",IF(AND(INDEX(SPPWS,CZ131,4)&gt;=$AB131,INDEX(SPPWS,CZ131,5)&gt;=$S131,INDEX(SPPWS,CZ131,6)&gt;=$R131),1,0),IF(AND(INDEX(SPM,CZ131,4)&gt;=$AB131,INDEX(SPM,CZ131,5)&gt;=$S131,INDEX(SPM,CZ131,6)&gt;=$R131),1,0))</f>
        <v>#N/A</v>
      </c>
      <c r="DB131" s="4" t="e">
        <f t="shared" ref="DB131" ca="1" si="1745">MATCH(1,OFFSET(DA131:DA142,$W$2,0,COUNT(DA131:DA142)-$W$2),0)</f>
        <v>#REF!</v>
      </c>
      <c r="DC131" s="4" t="e">
        <f t="shared" ref="DC131" ca="1" si="1746">$W$2+DB131</f>
        <v>#REF!</v>
      </c>
      <c r="DD131" s="693" t="str">
        <f ca="1">IF(LEFT($J131,7)="Clad Wo",IFERROR(VLOOKUP(INDEX(CZ131:CZ142,DC131),SPPWS,2,FALSE),"----"),IFERROR(VLOOKUP(INDEX(CZ131:CZ142,DC131),SPM,2,FALSE),"----"))</f>
        <v>----</v>
      </c>
      <c r="DE131" s="691" t="e">
        <f ca="1">MATCH(AC137,INDIRECT(BX131),-1)</f>
        <v>#REF!</v>
      </c>
      <c r="DF131" s="4" t="e" cm="1">
        <f t="array" aca="1" ref="DF131" ca="1">IF(AND(INDEX(INDIRECT(BY131),DE131,4)&gt;=$AB137,INDEX(INDIRECT(BY131),DE131,5)&gt;=$S131,INDEX(INDIRECT(BY131),DE131,6)&gt;=$R131),1,0)</f>
        <v>#REF!</v>
      </c>
      <c r="DG131" s="4" t="e">
        <f t="shared" ref="DG131" ca="1" si="1747">MATCH(1,OFFSET(DF131:DF142,$W$2,0,COUNT(DF131:DF142)-$W$2),0)</f>
        <v>#REF!</v>
      </c>
      <c r="DH131" s="4" t="e">
        <f t="shared" ref="DH131" ca="1" si="1748">$W$2+DG131</f>
        <v>#REF!</v>
      </c>
      <c r="DI131" s="692" t="str" cm="1">
        <f t="array" aca="1" ref="DI131" ca="1">IFERROR(VLOOKUP(INDEX(DE131:DE142,DH131),INDIRECT(BY131),2,FALSE),"----")</f>
        <v>----</v>
      </c>
      <c r="DJ131" s="691" t="e">
        <f ca="1">MATCH($AC137,SSEI,-1)</f>
        <v>#N/A</v>
      </c>
      <c r="DK131" s="4" t="e">
        <f ca="1">IF(AND(INDEX(SSM,DJ131,4)&gt;=$AB137,INDEX(SSM,DJ131,5)&gt;=$S131,INDEX(SSM,DJ131,6)&gt;=$R131),1,0)</f>
        <v>#N/A</v>
      </c>
      <c r="DL131" s="4" t="e">
        <f t="shared" ref="DL131" ca="1" si="1749">MATCH(1,OFFSET(DK131:DK142,$W$2,0,COUNT(DK131:DK142)-$W$2),0)</f>
        <v>#REF!</v>
      </c>
      <c r="DM131" s="4" t="e">
        <f t="shared" ref="DM131" ca="1" si="1750">$W$2+DL131</f>
        <v>#REF!</v>
      </c>
      <c r="DN131" s="692" t="str">
        <f ca="1">IFERROR(IF(AD138="Nested Steel Stud (wood infill)",VLOOKUP(INDEX(DJ131:DJ142,DM131),SSW,2,FALSE),VLOOKUP(INDEX(DJ131:DJ142,DM131),SSM,2,FALSE)),"----")</f>
        <v>----</v>
      </c>
      <c r="DO131" s="691" t="e">
        <f ca="1">MATCH($AC137,WSEI,-1)</f>
        <v>#N/A</v>
      </c>
      <c r="DP131" s="4" t="e">
        <f ca="1">IF(AND(INDEX(WSM,DO131,4)&gt;=$AB137,INDEX(WSM,DO131,5)&gt;=$S131,INDEX(WSM,DO131,6)&gt;=$R131),1,0)</f>
        <v>#N/A</v>
      </c>
      <c r="DQ131" s="4" t="e">
        <f t="shared" ref="DQ131" ca="1" si="1751">MATCH(1,OFFSET(DP131:DP142,$W$2,0,COUNT(DP131:DP142)-$W$2),0)</f>
        <v>#REF!</v>
      </c>
      <c r="DR131" s="4" t="e">
        <f t="shared" ref="DR131" ca="1" si="1752">$W$2+DQ131</f>
        <v>#REF!</v>
      </c>
      <c r="DS131" s="692" t="str">
        <f ca="1">IFERROR(VLOOKUP(INDEX(DO131:DO142,DR131),WSM,2,FALSE),"----")</f>
        <v>----</v>
      </c>
      <c r="DT131" s="691" t="e">
        <f ca="1">MATCH($AC137,STEI,-1)</f>
        <v>#N/A</v>
      </c>
      <c r="DU131" s="4" t="e">
        <f ca="1">IF(AND(INDEX(STM,DT131,4)&gt;=$AB137,INDEX(STM,DT131,5)&gt;=$S131,INDEX(STM,DT131,6)&gt;=$R131),1,0)</f>
        <v>#N/A</v>
      </c>
      <c r="DV131" s="4" t="e">
        <f t="shared" ref="DV131" ca="1" si="1753">MATCH(1,OFFSET(DU131:DU142,$W$2,0,COUNT(DU131:DU142)-$W$2),0)</f>
        <v>#REF!</v>
      </c>
      <c r="DW131" s="4" t="e">
        <f t="shared" ref="DW131" ca="1" si="1754">$W$2+DV131</f>
        <v>#REF!</v>
      </c>
      <c r="DX131" s="692" t="str">
        <f ca="1">IFERROR(VLOOKUP(INDEX(DT131:DT142,DW131),STM,2,FALSE),"----")</f>
        <v>----</v>
      </c>
      <c r="DY131" s="691" t="e">
        <f ca="1">MATCH($AC137,ELEI,-1)</f>
        <v>#N/A</v>
      </c>
      <c r="DZ131" s="4" t="e">
        <f ca="1">IF(AND(INDEX(ELM,DY131,4)&gt;=$AB137,INDEX(ELM,DY131,5)&gt;=$S131,INDEX(ELM,DY131,6)&gt;=$R131),1,0)</f>
        <v>#N/A</v>
      </c>
      <c r="EA131" s="4" t="e">
        <f t="shared" ref="EA131" ca="1" si="1755">MATCH(1,OFFSET(DZ131:DZ142,$W$2,0,COUNT(DZ131:DZ142)-$W$2),0)</f>
        <v>#REF!</v>
      </c>
      <c r="EB131" s="4" t="e">
        <f t="shared" ref="EB131" ca="1" si="1756">EA131+$W$2</f>
        <v>#REF!</v>
      </c>
      <c r="EC131" s="692" t="str">
        <f ca="1">IFERROR(VLOOKUP(INDEX(DY131:DY142,EB131),ELM,2,FALSE),"----")</f>
        <v>----</v>
      </c>
      <c r="ED131" s="691" t="e">
        <f ca="1">IF(LEFT($J131,7)="Clad Wo",MATCH($AC137,SPEIW,-1),MATCH($AC137,SPEI,-1))</f>
        <v>#N/A</v>
      </c>
      <c r="EE131" s="4" t="e">
        <f ca="1">IF(LEFT($J131,7)="Clad Wo",IF(AND(INDEX(SPPWS,ED131,4)&gt;=$AB137,INDEX(SPPWS,ED131,5)&gt;=$S131,INDEX(SPPWS,ED131,6)&gt;=$R131),1,0),IF(AND(INDEX(SPM,ED131,4)&gt;=$AB137,INDEX(SPM,ED131,5)&gt;=$S131,INDEX(SPM,ED131,6)&gt;=$R131),1,0))</f>
        <v>#N/A</v>
      </c>
      <c r="EF131" s="4" t="e">
        <f t="shared" ref="EF131" ca="1" si="1757">MATCH(1,OFFSET(EE131:EE142,$W$2,0,COUNT(EE131:EE142)-$W$2),0)</f>
        <v>#REF!</v>
      </c>
      <c r="EG131" s="4" t="e">
        <f t="shared" ref="EG131" ca="1" si="1758">$W$2+EF131</f>
        <v>#REF!</v>
      </c>
      <c r="EH131" s="692" t="str">
        <f ca="1">IF(LEFT($J131,7)="Clad Wo",IFERROR(VLOOKUP(INDEX(ED131:ED142,EG131),SPPWS,2,FALSE),"----"),IFERROR(VLOOKUP(INDEX(ED131:ED142,EG131),SPM,2,FALSE),"----"))</f>
        <v>----</v>
      </c>
    </row>
    <row r="132" spans="1:138" ht="15" customHeight="1" x14ac:dyDescent="0.25">
      <c r="A132" s="1085"/>
      <c r="B132" s="925"/>
      <c r="C132" s="926"/>
      <c r="D132" s="927"/>
      <c r="E132" s="995"/>
      <c r="F132" s="996"/>
      <c r="G132" s="997"/>
      <c r="H132" s="1062"/>
      <c r="I132" s="990"/>
      <c r="J132" s="908"/>
      <c r="K132" s="909"/>
      <c r="L132" s="1002"/>
      <c r="M132" s="923"/>
      <c r="N132" s="1042"/>
      <c r="O132" s="1018"/>
      <c r="P132" s="987"/>
      <c r="Q132" s="1015"/>
      <c r="R132" s="1012"/>
      <c r="S132" s="1006"/>
      <c r="T132" s="1007"/>
      <c r="U132" s="878"/>
      <c r="V132" s="881"/>
      <c r="W132" s="884"/>
      <c r="X132" s="884"/>
      <c r="Y132" s="887"/>
      <c r="Z132" s="887"/>
      <c r="AA132" s="887"/>
      <c r="AB132" s="1081"/>
      <c r="AC132" s="1078"/>
      <c r="AD132" s="1102" t="s">
        <v>38</v>
      </c>
      <c r="AE132" s="1103"/>
      <c r="AF132" s="1052"/>
      <c r="AG132" s="1053"/>
      <c r="AH132" s="1053"/>
      <c r="AI132" s="1066"/>
      <c r="AJ132" s="1067"/>
      <c r="AK132" s="156" t="str">
        <f t="shared" ca="1" si="1130"/>
        <v/>
      </c>
      <c r="AL132" s="1039"/>
      <c r="AM132" s="343" t="str">
        <f ca="1">IFERROR(Q131/12*ROUND(VLOOKUP(AF132,OFFSET(SSM,0,1),6,FALSE),2),"")</f>
        <v/>
      </c>
      <c r="AN132" t="str">
        <f t="shared" ca="1" si="1154"/>
        <v/>
      </c>
      <c r="AP132" s="122" t="str">
        <f t="shared" ref="AP132" si="1759">_xlfn.CONCAT(AR132,AS136)</f>
        <v/>
      </c>
      <c r="AQ132" s="683" t="str">
        <f t="shared" si="1353"/>
        <v/>
      </c>
      <c r="AR132" s="96" t="str">
        <f t="shared" si="1114"/>
        <v/>
      </c>
      <c r="AS132" s="96" t="str">
        <f>IF(COUNTIF(Vista_1,AF131)=1,"Vista_1",IF(COUNTIF(Vista_2,AF131)=1,"Vista_2",""))</f>
        <v/>
      </c>
      <c r="AT132" s="684" t="str">
        <f>AL131</f>
        <v/>
      </c>
      <c r="AU132" s="694" t="e">
        <f t="shared" ref="AU132" ca="1" si="1760">AU131-1</f>
        <v>#REF!</v>
      </c>
      <c r="AV132" s="686" t="str">
        <f ca="1">IFERROR(VLOOKUP(AU132,INDIRECT(AQ131),2,FALSE),"----")</f>
        <v>----</v>
      </c>
      <c r="AW132" s="694" t="e">
        <f t="shared" ref="AW132:AW133" ca="1" si="1761">AW131-1</f>
        <v>#REF!</v>
      </c>
      <c r="AX132" s="686" t="str">
        <f ca="1">IFERROR(VLOOKUP(AW132,INDIRECT(AQ132),2,FALSE),"----")</f>
        <v>----</v>
      </c>
      <c r="AY132" s="694" t="e">
        <f t="shared" ref="AY132:AY133" ca="1" si="1762">AY131-1</f>
        <v>#REF!</v>
      </c>
      <c r="AZ132" s="686" t="str">
        <f ca="1">IFERROR(VLOOKUP(AY132,INDIRECT(AQ133),2,FALSE),"----")</f>
        <v>----</v>
      </c>
      <c r="BA132" s="694" t="e">
        <f t="shared" ref="BA132:BA133" ca="1" si="1763">BA131-1</f>
        <v>#REF!</v>
      </c>
      <c r="BB132" s="686" t="str">
        <f ca="1">IFERROR(VLOOKUP(BA132,INDIRECT(AQ134),2,FALSE),"----")</f>
        <v>----</v>
      </c>
      <c r="BC132" s="694" t="e">
        <f t="shared" ref="BC132:BC133" ca="1" si="1764">BC131-1</f>
        <v>#REF!</v>
      </c>
      <c r="BD132" s="686" t="str">
        <f ca="1">IFERROR(VLOOKUP(BC132,INDIRECT(AQ135),2,FALSE),"----")</f>
        <v>----</v>
      </c>
      <c r="BE132" s="694" t="e">
        <f t="shared" ref="BE132" ca="1" si="1765">BE131-1</f>
        <v>#REF!</v>
      </c>
      <c r="BF132" s="686" t="str">
        <f ca="1">IFERROR(VLOOKUP(BE132,INDIRECT(AQ136),2,FALSE),"----")</f>
        <v>----</v>
      </c>
      <c r="BG132" s="694" t="e">
        <f t="shared" ref="BG132" ca="1" si="1766">BG131-1</f>
        <v>#REF!</v>
      </c>
      <c r="BH132" s="686" t="str">
        <f ca="1">IFERROR(VLOOKUP(BG132,INDIRECT(AQ137),2,FALSE),"----")</f>
        <v>----</v>
      </c>
      <c r="BI132" s="694" t="e">
        <f t="shared" ref="BI132:BI133" ca="1" si="1767">BI131-1</f>
        <v>#REF!</v>
      </c>
      <c r="BJ132" s="686" t="str">
        <f ca="1">IFERROR(VLOOKUP(BI132,INDIRECT(AQ138),2,FALSE),"----")</f>
        <v>----</v>
      </c>
      <c r="BK132" s="694" t="e">
        <f t="shared" ref="BK132:BK133" ca="1" si="1768">BK131-1</f>
        <v>#REF!</v>
      </c>
      <c r="BL132" s="686" t="str">
        <f ca="1">IFERROR(VLOOKUP(BK132,INDIRECT(AQ139),2,FALSE),"----")</f>
        <v>----</v>
      </c>
      <c r="BM132" s="694" t="e">
        <f t="shared" ref="BM132:BM133" ca="1" si="1769">BM131-1</f>
        <v>#REF!</v>
      </c>
      <c r="BN132" s="686" t="str">
        <f ca="1">IFERROR(VLOOKUP(BM132,INDIRECT(AQ140),2,FALSE),"----")</f>
        <v>----</v>
      </c>
      <c r="BO132" s="694" t="e">
        <f t="shared" ref="BO132:BO133" ca="1" si="1770">BO131-1</f>
        <v>#REF!</v>
      </c>
      <c r="BP132" s="686" t="str">
        <f ca="1">IFERROR(VLOOKUP(BO132,INDIRECT(AQ141),2,FALSE),"----")</f>
        <v>----</v>
      </c>
      <c r="BQ132" s="694" t="e">
        <f t="shared" ref="BQ132" ca="1" si="1771">BQ131-1</f>
        <v>#REF!</v>
      </c>
      <c r="BR132" s="686" t="str">
        <f ca="1">IFERROR(VLOOKUP(BQ132,INDIRECT(AQ142),2,FALSE),"----")</f>
        <v>----</v>
      </c>
      <c r="BS132" s="695">
        <f>IF(AI132="",1,IF(COUNTIF(AX131:AX142,AI132)=0,2,1))</f>
        <v>1</v>
      </c>
      <c r="BT132" s="696">
        <f>IF(AF132="",1,IF(AX131=".",2,1))</f>
        <v>1</v>
      </c>
      <c r="BU132" s="706"/>
      <c r="BV132" s="155">
        <f ca="1">IF(COUNTIF(CJ131:CJ142,AF132)=0,IF(AF132&lt;&gt;"",0,1),1)</f>
        <v>1</v>
      </c>
      <c r="BW132" s="157">
        <f ca="1">IFERROR(MATCH(AF132,CJ131:CJ142,0),1)</f>
        <v>1</v>
      </c>
      <c r="BX132" s="769"/>
      <c r="BY132" s="769"/>
      <c r="BZ132" s="1110"/>
      <c r="CA132" s="691" t="e">
        <f t="shared" ref="CA132:CA142" ca="1" si="1772">CA131-1</f>
        <v>#REF!</v>
      </c>
      <c r="CB132" s="4" t="e" cm="1">
        <f t="array" aca="1" ref="CB132" ca="1">IF(AND(INDEX(INDIRECT(BY131),CA132,4)&gt;=$AB131,INDEX(INDIRECT(BY131),CA132,5)&gt;=$S131,INDEX(INDIRECT(BY131),CA132,6)&gt;=$R131),1,0)</f>
        <v>#REF!</v>
      </c>
      <c r="CC132" s="4" t="e">
        <f t="shared" ref="CC132" ca="1" si="1773">MATCH(1,OFFSET(CB131:CB142,CD131,0,COUNT(CB131:CB142)-CD131),0)</f>
        <v>#REF!</v>
      </c>
      <c r="CD132" s="4" t="e">
        <f t="shared" ref="CD132:CD142" ca="1" si="1774">CD131+CC132</f>
        <v>#REF!</v>
      </c>
      <c r="CE132" s="692" t="str" cm="1">
        <f t="array" aca="1" ref="CE132" ca="1">IFERROR(VLOOKUP(INDEX(CA131:CA142,CD132),INDIRECT(BY131),2,FALSE),"----")</f>
        <v>----</v>
      </c>
      <c r="CF132" s="691" t="e">
        <f t="shared" ref="CF132:CF142" ca="1" si="1775">CF131-1</f>
        <v>#N/A</v>
      </c>
      <c r="CG132" s="4" t="e">
        <f ca="1">IF(AND(INDEX(SSM,CF132,4)&gt;=$AB131,INDEX(SSM,CF132,5)&gt;=$S131,INDEX(SSM,CF132,6)&gt;=$R131),1,0)</f>
        <v>#N/A</v>
      </c>
      <c r="CH132" s="4" t="e">
        <f t="shared" ref="CH132" ca="1" si="1776">MATCH(1,OFFSET(CG131:CG142,CI131,0,COUNT(CG131:CG142)-CI131),0)</f>
        <v>#REF!</v>
      </c>
      <c r="CI132" s="4" t="e">
        <f t="shared" ref="CI132:CI142" ca="1" si="1777">CI131+CH132</f>
        <v>#REF!</v>
      </c>
      <c r="CJ132" s="692" t="str">
        <f ca="1">IFERROR(IF(AD132="Nested Steel Stud (wood infill)",VLOOKUP(INDEX(CF131:CF142,CI132),SSW,2,FALSE),VLOOKUP(INDEX(CF131:CF142,CI132),SSM,2,FALSE)),"----")</f>
        <v>----</v>
      </c>
      <c r="CK132" s="691" t="e">
        <f t="shared" ref="CK132:CK142" ca="1" si="1778">CK131-1</f>
        <v>#N/A</v>
      </c>
      <c r="CL132" s="4" t="e">
        <f ca="1">IF(AND(INDEX(WSM,CK132,4)&gt;=$AB131,INDEX(WSM,CK132,5)&gt;=$S131,INDEX(WSM,CK132,6)&gt;=$R131),1,0)</f>
        <v>#N/A</v>
      </c>
      <c r="CM132" s="4" t="e">
        <f t="shared" ref="CM132" ca="1" si="1779">MATCH(1,OFFSET(CL131:CL142,CN131,0,COUNT(CL131:CL142)-CN131),0)</f>
        <v>#REF!</v>
      </c>
      <c r="CN132" s="4" t="e">
        <f t="shared" ref="CN132:CN142" ca="1" si="1780">CM132+CN131</f>
        <v>#REF!</v>
      </c>
      <c r="CO132" s="692" t="str">
        <f ca="1">IFERROR(VLOOKUP(INDEX(CK131:CK142,CN132),WSM,2,FALSE),"----")</f>
        <v>----</v>
      </c>
      <c r="CP132" s="691" t="e">
        <f t="shared" ref="CP132:CP142" ca="1" si="1781">CP131-1</f>
        <v>#N/A</v>
      </c>
      <c r="CQ132" s="4" t="e">
        <f ca="1">IF(AND(INDEX(STM,CP132,4)&gt;=$AB131,INDEX(STM,CP132,5)&gt;=$S131,INDEX(STM,CP132,6)&gt;=$R131),1,0)</f>
        <v>#N/A</v>
      </c>
      <c r="CR132" s="4" t="e">
        <f t="shared" ref="CR132" ca="1" si="1782">MATCH(1,OFFSET(CQ131:CQ142,CS131,0,COUNT(CQ131:CQ142)-CS131),0)</f>
        <v>#REF!</v>
      </c>
      <c r="CS132" s="4" t="e">
        <f t="shared" ref="CS132:CS142" ca="1" si="1783">CR132+CS131</f>
        <v>#REF!</v>
      </c>
      <c r="CT132" s="692" t="str">
        <f ca="1">IFERROR(VLOOKUP(INDEX(CP131:CP142,CS132),STM,2,FALSE),"----")</f>
        <v>----</v>
      </c>
      <c r="CU132" s="691" t="e">
        <f t="shared" ref="CU132:CU142" ca="1" si="1784">CU131-1</f>
        <v>#N/A</v>
      </c>
      <c r="CV132" s="4" t="e">
        <f ca="1">IF(AND(INDEX(ELM,CU132,4)&gt;=$AB131,INDEX(ELM,CU132,5)&gt;=$S131,INDEX(ELM,CU132,6)&gt;=$R131),1,0)</f>
        <v>#N/A</v>
      </c>
      <c r="CW132" s="4" t="e">
        <f t="shared" ref="CW132" ca="1" si="1785">MATCH(1,OFFSET(CV131:CV142,CX131,0,COUNT(CV131:CV142)-CX131),0)</f>
        <v>#REF!</v>
      </c>
      <c r="CX132" s="4" t="e">
        <f t="shared" ref="CX132:CX142" ca="1" si="1786">CW132+CX131</f>
        <v>#REF!</v>
      </c>
      <c r="CY132" s="692" t="str">
        <f ca="1">IFERROR(VLOOKUP(INDEX(CU131:CU142,CX132),ELM,2,FALSE),"----")</f>
        <v>----</v>
      </c>
      <c r="CZ132" s="691" t="e">
        <f t="shared" ref="CZ132:CZ142" ca="1" si="1787">CZ131-1</f>
        <v>#N/A</v>
      </c>
      <c r="DA132" s="4" t="e">
        <f ca="1">IF(LEFT($J131,7)="Clad Wo",IF(AND(INDEX(SPPWS,CZ132,4)&gt;=$AB131,INDEX(SPPWS,CZ132,5)&gt;=$S131,INDEX(SPPWS,CZ132,6)&gt;=$R131),1,0),IF(AND(INDEX(SPM,CZ132,4)&gt;=$AB131,INDEX(SPM,CZ132,5)&gt;=$S131,INDEX(SPM,CZ132,6)&gt;=$R131),1,0))</f>
        <v>#N/A</v>
      </c>
      <c r="DB132" s="4" t="e">
        <f t="shared" ref="DB132" ca="1" si="1788">MATCH(1,OFFSET(DA131:DA142,DC131,0,COUNT(DA131:DA142)-DC131),0)</f>
        <v>#REF!</v>
      </c>
      <c r="DC132" s="4" t="e">
        <f t="shared" ref="DC132:DC142" ca="1" si="1789">DC131+DB132</f>
        <v>#REF!</v>
      </c>
      <c r="DD132" s="693" t="str">
        <f ca="1">IF(LEFT($J131,7)="Clad Wo",IFERROR(VLOOKUP(INDEX(CZ131:CZ142,DC132),SPPWS,2,FALSE),"----"),IFERROR(VLOOKUP(INDEX(CZ131:CZ142,DC132),SPM,2,FALSE),"----"))</f>
        <v>----</v>
      </c>
      <c r="DE132" s="691" t="e">
        <f t="shared" ref="DE132:DE142" ca="1" si="1790">DE131-1</f>
        <v>#REF!</v>
      </c>
      <c r="DF132" s="4" t="e" cm="1">
        <f t="array" aca="1" ref="DF132" ca="1">IF(AND(INDEX(INDIRECT(BY131),DE132,4)&gt;=$AB137,INDEX(INDIRECT(BY131),DE132,5)&gt;=$S131,INDEX(INDIRECT(BY131),DE132,6)&gt;=$R131),1,0)</f>
        <v>#REF!</v>
      </c>
      <c r="DG132" s="4" t="e">
        <f t="shared" ref="DG132" ca="1" si="1791">MATCH(1,OFFSET(DF131:DF142,DH131,0,COUNT(DF131:DF142)-DH131),0)</f>
        <v>#REF!</v>
      </c>
      <c r="DH132" s="4" t="e">
        <f t="shared" ref="DH132:DH142" ca="1" si="1792">DH131+DG132</f>
        <v>#REF!</v>
      </c>
      <c r="DI132" s="692" t="str" cm="1">
        <f t="array" aca="1" ref="DI132" ca="1">IFERROR(VLOOKUP(INDEX(DE131:DE142,DH132),INDIRECT(BY131),2,FALSE),"----")</f>
        <v>----</v>
      </c>
      <c r="DJ132" s="691" t="e">
        <f t="shared" ref="DJ132:DJ142" ca="1" si="1793">DJ131-1</f>
        <v>#N/A</v>
      </c>
      <c r="DK132" s="4" t="e">
        <f ca="1">IF(AND(INDEX(SSM,DJ132,4)&gt;=$AB137,INDEX(SSM,DJ132,5)&gt;=$S131,INDEX(SSM,DJ132,6)&gt;=$R131),1,0)</f>
        <v>#N/A</v>
      </c>
      <c r="DL132" s="4" t="e">
        <f t="shared" ref="DL132" ca="1" si="1794">MATCH(1,OFFSET(DK131:DK142,DM131,0,COUNT(DK131:DK142)-DM131),0)</f>
        <v>#REF!</v>
      </c>
      <c r="DM132" s="4" t="e">
        <f t="shared" ref="DM132:DM142" ca="1" si="1795">DL132+DM131</f>
        <v>#REF!</v>
      </c>
      <c r="DN132" s="692" t="str">
        <f ca="1">IFERROR(IF(AD138="Nested Steel Stud (wood infill)",VLOOKUP(INDEX(DJ131:DJ142,DM132),SSW,2,FALSE),VLOOKUP(INDEX(DJ131:DJ142,DM132),SSM,2,FALSE)),"----")</f>
        <v>----</v>
      </c>
      <c r="DO132" s="691" t="e">
        <f t="shared" ref="DO132:DO142" ca="1" si="1796">DO131-1</f>
        <v>#N/A</v>
      </c>
      <c r="DP132" s="4" t="e">
        <f ca="1">IF(AND(INDEX(WSM,DO132,4)&gt;=$AB137,INDEX(WSM,DO132,5)&gt;=$S131,INDEX(WSM,DO132,6)&gt;=$R131),1,0)</f>
        <v>#N/A</v>
      </c>
      <c r="DQ132" s="4" t="e">
        <f t="shared" ref="DQ132" ca="1" si="1797">MATCH(1,OFFSET(DP131:DP142,DR131,0,COUNT(DP131:DP142)-DR131),0)</f>
        <v>#REF!</v>
      </c>
      <c r="DR132" s="4" t="e">
        <f t="shared" ref="DR132:DR142" ca="1" si="1798">DQ132+DR131</f>
        <v>#REF!</v>
      </c>
      <c r="DS132" s="692" t="str">
        <f ca="1">IFERROR(VLOOKUP(INDEX(DO131:DO142,DR132),WSM,2,FALSE),"----")</f>
        <v>----</v>
      </c>
      <c r="DT132" s="691" t="e">
        <f t="shared" ref="DT132:DT142" ca="1" si="1799">DT131-1</f>
        <v>#N/A</v>
      </c>
      <c r="DU132" s="4" t="e">
        <f ca="1">IF(AND(INDEX(STM,DT132,4)&gt;=$AB137,INDEX(STM,DT132,5)&gt;=$S131,INDEX(STM,DT132,6)&gt;=$R131),1,0)</f>
        <v>#N/A</v>
      </c>
      <c r="DV132" s="4" t="e">
        <f t="shared" ref="DV132" ca="1" si="1800">MATCH(1,OFFSET(DU131:DU142,DW131,0,COUNT(DU131:DU142)-DW131),0)</f>
        <v>#REF!</v>
      </c>
      <c r="DW132" s="4" t="e">
        <f t="shared" ref="DW132:DW142" ca="1" si="1801">DV132+DW131</f>
        <v>#REF!</v>
      </c>
      <c r="DX132" s="692" t="str">
        <f ca="1">IFERROR(VLOOKUP(INDEX(DT131:DT142,DW132),STM,2,FALSE),"----")</f>
        <v>----</v>
      </c>
      <c r="DY132" s="691" t="e">
        <f t="shared" ref="DY132:DY142" ca="1" si="1802">DY131-1</f>
        <v>#N/A</v>
      </c>
      <c r="DZ132" s="4" t="e">
        <f ca="1">IF(AND(INDEX(ELM,DY132,4)&gt;=$AB137,INDEX(ELM,DY132,5)&gt;=$S131,INDEX(ELM,DY132,6)&gt;=$R131),1,0)</f>
        <v>#N/A</v>
      </c>
      <c r="EA132" s="4" t="e">
        <f t="shared" ref="EA132" ca="1" si="1803">MATCH(1,OFFSET(DZ131:DZ142,EB131,0,COUNT(DZ131:DZ142)-EB131),0)</f>
        <v>#REF!</v>
      </c>
      <c r="EB132" s="4" t="e">
        <f t="shared" ref="EB132:EB142" ca="1" si="1804">EA132+EB131</f>
        <v>#REF!</v>
      </c>
      <c r="EC132" s="692" t="str">
        <f ca="1">IFERROR(VLOOKUP(INDEX(DY131:DY142,EB132),ELM,2,FALSE),"----")</f>
        <v>----</v>
      </c>
      <c r="ED132" s="691" t="e">
        <f t="shared" ref="ED132:ED142" ca="1" si="1805">ED131-1</f>
        <v>#N/A</v>
      </c>
      <c r="EE132" s="4" t="e">
        <f ca="1">IF(LEFT($J131,7)="Clad Wo",IF(AND(INDEX(SPPWS,ED132,4)&gt;=$AB137,INDEX(SPPWS,ED132,5)&gt;=$S131,INDEX(SPPWS,ED132,6)&gt;=$R131),1,0),IF(AND(INDEX(SPM,ED132,4)&gt;=$AB137,INDEX(SPM,ED132,5)&gt;=$S131,INDEX(SPM,ED132,6)&gt;=$R131),1,0))</f>
        <v>#N/A</v>
      </c>
      <c r="EF132" s="4" t="e">
        <f t="shared" ref="EF132" ca="1" si="1806">MATCH(1,OFFSET(EE131:EE142,EG131,0,COUNT(EE131:EE142)-EG131),0)</f>
        <v>#REF!</v>
      </c>
      <c r="EG132" s="4" t="e">
        <f t="shared" ref="EG132:EG142" ca="1" si="1807">EG131+EF132</f>
        <v>#REF!</v>
      </c>
      <c r="EH132" s="692" t="str">
        <f ca="1">IF(LEFT($J131,7)="Clad Wo",IFERROR(VLOOKUP(INDEX(ED131:ED142,EG132),SPPWS,2,FALSE),"----"),IFERROR(VLOOKUP(INDEX(ED131:ED142,EG132),SPM,2,FALSE),"----"))</f>
        <v>----</v>
      </c>
    </row>
    <row r="133" spans="1:138" ht="15" customHeight="1" x14ac:dyDescent="0.25">
      <c r="A133" s="1085"/>
      <c r="B133" s="925"/>
      <c r="C133" s="926"/>
      <c r="D133" s="927"/>
      <c r="E133" s="995"/>
      <c r="F133" s="996"/>
      <c r="G133" s="997"/>
      <c r="H133" s="1062"/>
      <c r="I133" s="990"/>
      <c r="J133" s="908"/>
      <c r="K133" s="909"/>
      <c r="L133" s="1002"/>
      <c r="M133" s="923"/>
      <c r="N133" s="1042"/>
      <c r="O133" s="1018"/>
      <c r="P133" s="987"/>
      <c r="Q133" s="1015"/>
      <c r="R133" s="1012"/>
      <c r="S133" s="1006"/>
      <c r="T133" s="1007"/>
      <c r="U133" s="878"/>
      <c r="V133" s="881"/>
      <c r="W133" s="884"/>
      <c r="X133" s="884"/>
      <c r="Y133" s="887"/>
      <c r="Z133" s="887"/>
      <c r="AA133" s="887"/>
      <c r="AB133" s="1081"/>
      <c r="AC133" s="1078"/>
      <c r="AD133" s="1070" t="s">
        <v>333</v>
      </c>
      <c r="AE133" s="1071"/>
      <c r="AF133" s="1052"/>
      <c r="AG133" s="1053"/>
      <c r="AH133" s="1053"/>
      <c r="AI133" s="1066"/>
      <c r="AJ133" s="1067"/>
      <c r="AK133" s="154" t="str">
        <f t="shared" ca="1" si="1130"/>
        <v/>
      </c>
      <c r="AL133" s="1039"/>
      <c r="AM133" s="344" t="str">
        <f ca="1">IFERROR(Q131/12*ROUND(VLOOKUP(AF133,OFFSET(WSM,0,1),6,FALSE),2),"")</f>
        <v/>
      </c>
      <c r="AN133" t="str">
        <f t="shared" ca="1" si="1154"/>
        <v/>
      </c>
      <c r="AP133" s="122" t="str">
        <f t="shared" ref="AP133" si="1808">_xlfn.CONCAT(AR133,AS136)</f>
        <v/>
      </c>
      <c r="AQ133" s="683" t="str">
        <f t="shared" si="1353"/>
        <v/>
      </c>
      <c r="AR133" s="4" t="str">
        <f t="shared" si="1114"/>
        <v/>
      </c>
      <c r="AS133" s="4"/>
      <c r="AT133" s="697" t="str">
        <f>AL131</f>
        <v/>
      </c>
      <c r="AU133" s="694" t="e">
        <f t="shared" ca="1" si="1370"/>
        <v>#REF!</v>
      </c>
      <c r="AV133" s="686" t="str">
        <f ca="1">IFERROR(VLOOKUP(AU133,INDIRECT(AQ131),2,FALSE),"----")</f>
        <v>----</v>
      </c>
      <c r="AW133" s="694" t="e">
        <f t="shared" ca="1" si="1761"/>
        <v>#REF!</v>
      </c>
      <c r="AX133" s="686" t="str">
        <f ca="1">IFERROR(VLOOKUP(AW133,INDIRECT(AQ132),2,FALSE),"----")</f>
        <v>----</v>
      </c>
      <c r="AY133" s="694" t="e">
        <f t="shared" ca="1" si="1762"/>
        <v>#REF!</v>
      </c>
      <c r="AZ133" s="686" t="str">
        <f ca="1">IFERROR(VLOOKUP(AY133,INDIRECT(AQ133),2,FALSE),"----")</f>
        <v>----</v>
      </c>
      <c r="BA133" s="694" t="e">
        <f t="shared" ca="1" si="1763"/>
        <v>#REF!</v>
      </c>
      <c r="BB133" s="686" t="str">
        <f ca="1">IFERROR(VLOOKUP(BA133,INDIRECT(AQ134),2,FALSE),"----")</f>
        <v>----</v>
      </c>
      <c r="BC133" s="694" t="e">
        <f t="shared" ca="1" si="1764"/>
        <v>#REF!</v>
      </c>
      <c r="BD133" s="686" t="str">
        <f ca="1">IFERROR(VLOOKUP(BC133,INDIRECT(AQ135),2,FALSE),"----")</f>
        <v>----</v>
      </c>
      <c r="BE133" s="694" t="e">
        <f t="shared" ca="1" si="1375"/>
        <v>#REF!</v>
      </c>
      <c r="BF133" s="686" t="str">
        <f ca="1">IFERROR(VLOOKUP(BE133,INDIRECT(AQ136),2,FALSE),"----")</f>
        <v>----</v>
      </c>
      <c r="BG133" s="694" t="e">
        <f t="shared" ca="1" si="1376"/>
        <v>#REF!</v>
      </c>
      <c r="BH133" s="686" t="str">
        <f ca="1">IFERROR(VLOOKUP(BG133,INDIRECT(AQ137),2,FALSE),"----")</f>
        <v>----</v>
      </c>
      <c r="BI133" s="694" t="e">
        <f t="shared" ca="1" si="1767"/>
        <v>#REF!</v>
      </c>
      <c r="BJ133" s="686" t="str">
        <f ca="1">IFERROR(VLOOKUP(BI133,INDIRECT(AQ138),2,FALSE),"----")</f>
        <v>----</v>
      </c>
      <c r="BK133" s="694" t="e">
        <f t="shared" ca="1" si="1768"/>
        <v>#REF!</v>
      </c>
      <c r="BL133" s="686" t="str">
        <f ca="1">IFERROR(VLOOKUP(BK133,INDIRECT(AQ139),2,FALSE),"----")</f>
        <v>----</v>
      </c>
      <c r="BM133" s="694" t="e">
        <f t="shared" ca="1" si="1769"/>
        <v>#REF!</v>
      </c>
      <c r="BN133" s="686" t="str">
        <f ca="1">IFERROR(VLOOKUP(BM133,INDIRECT(AQ140),2,FALSE),"----")</f>
        <v>----</v>
      </c>
      <c r="BO133" s="694" t="e">
        <f t="shared" ca="1" si="1770"/>
        <v>#REF!</v>
      </c>
      <c r="BP133" s="686" t="str">
        <f ca="1">IFERROR(VLOOKUP(BO133,INDIRECT(AQ141),2,FALSE),"----")</f>
        <v>----</v>
      </c>
      <c r="BQ133" s="694" t="e">
        <f t="shared" ca="1" si="1381"/>
        <v>#REF!</v>
      </c>
      <c r="BR133" s="686" t="str">
        <f ca="1">IFERROR(VLOOKUP(BQ133,INDIRECT(AQ142),2,FALSE),"----")</f>
        <v>----</v>
      </c>
      <c r="BS133" s="695">
        <f>IF(AI133="",1,IF(COUNTIF(AZ131:AZ142,AI133)=0,2,1))</f>
        <v>1</v>
      </c>
      <c r="BT133" s="696">
        <f>IF(AF133="",1,IF(AZ131=".",2,1))</f>
        <v>1</v>
      </c>
      <c r="BU133" s="706"/>
      <c r="BV133" s="155">
        <f ca="1">IF(COUNTIF(CO131:CO142,AF133)=0,IF(AF133&lt;&gt;"",0,1),1)</f>
        <v>1</v>
      </c>
      <c r="BW133" s="157">
        <f ca="1">IFERROR(MATCH(AF133,CO131:CO142,0),1)</f>
        <v>1</v>
      </c>
      <c r="BX133" s="769"/>
      <c r="BY133" s="769"/>
      <c r="BZ133" s="1110"/>
      <c r="CA133" s="691" t="e">
        <f t="shared" ca="1" si="1772"/>
        <v>#REF!</v>
      </c>
      <c r="CB133" s="4" t="e" cm="1">
        <f t="array" aca="1" ref="CB133" ca="1">IF(AND(INDEX(INDIRECT(BY131),CA133,4)&gt;=$AB131,INDEX(INDIRECT(BY131),CA133,5)&gt;=$S131,INDEX(INDIRECT(BY131),CA133,6)&gt;=$R131),1,0)</f>
        <v>#REF!</v>
      </c>
      <c r="CC133" s="4" t="e">
        <f t="shared" ref="CC133" ca="1" si="1809">MATCH(1,OFFSET(CB131:CB142,CD132,0,COUNT(CB131:CB142)-CD132),0)</f>
        <v>#REF!</v>
      </c>
      <c r="CD133" s="4" t="e">
        <f t="shared" ca="1" si="1774"/>
        <v>#REF!</v>
      </c>
      <c r="CE133" s="692" t="str" cm="1">
        <f t="array" aca="1" ref="CE133" ca="1">IFERROR(VLOOKUP(INDEX(CA131:CA142,CD133),INDIRECT(BY131),2,FALSE),"----")</f>
        <v>----</v>
      </c>
      <c r="CF133" s="691" t="e">
        <f t="shared" ca="1" si="1775"/>
        <v>#N/A</v>
      </c>
      <c r="CG133" s="4" t="e">
        <f ca="1">IF(AND(INDEX(SSM,CF133,4)&gt;=$AB131,INDEX(SSM,CF133,5)&gt;=$S131,INDEX(SSM,CF133,6)&gt;=$R131),1,0)</f>
        <v>#N/A</v>
      </c>
      <c r="CH133" s="4" t="e">
        <f t="shared" ref="CH133" ca="1" si="1810">MATCH(1,OFFSET(CG131:CG142,CI132,0,COUNT(CG131:CG142)-CI132),0)</f>
        <v>#REF!</v>
      </c>
      <c r="CI133" s="4" t="e">
        <f t="shared" ca="1" si="1777"/>
        <v>#REF!</v>
      </c>
      <c r="CJ133" s="692" t="str">
        <f ca="1">IFERROR(IF(AD132="Nested Steel Stud (wood infill)",VLOOKUP(INDEX(CF131:CF142,CI133),SSW,2,FALSE),VLOOKUP(INDEX(CF131:CF142,CI133),SSM,2,FALSE)),"----")</f>
        <v>----</v>
      </c>
      <c r="CK133" s="691" t="e">
        <f t="shared" ca="1" si="1778"/>
        <v>#N/A</v>
      </c>
      <c r="CL133" s="4" t="e">
        <f ca="1">IF(AND(INDEX(WSM,CK133,4)&gt;=$AB131,INDEX(WSM,CK133,5)&gt;=$S131,INDEX(WSM,CK133,6)&gt;=$R131),1,0)</f>
        <v>#N/A</v>
      </c>
      <c r="CM133" s="4" t="e">
        <f t="shared" ref="CM133" ca="1" si="1811">MATCH(1,OFFSET(CL131:CL142,CN132,0,COUNT(CL131:CL142)-CN132),0)</f>
        <v>#REF!</v>
      </c>
      <c r="CN133" s="4" t="e">
        <f t="shared" ca="1" si="1780"/>
        <v>#REF!</v>
      </c>
      <c r="CO133" s="692" t="str">
        <f ca="1">IFERROR(VLOOKUP(INDEX(CK131:CK142,CN133),WSM,2,FALSE),"----")</f>
        <v>----</v>
      </c>
      <c r="CP133" s="691" t="e">
        <f t="shared" ca="1" si="1781"/>
        <v>#N/A</v>
      </c>
      <c r="CQ133" s="4" t="e">
        <f ca="1">IF(AND(INDEX(STM,CP133,4)&gt;=$AB131,INDEX(STM,CP133,5)&gt;=$S131,INDEX(STM,CP133,6)&gt;=$R131),1,0)</f>
        <v>#N/A</v>
      </c>
      <c r="CR133" s="4" t="e">
        <f t="shared" ref="CR133" ca="1" si="1812">MATCH(1,OFFSET(CQ131:CQ142,CS132,0,COUNT(CQ131:CQ142)-CS132),0)</f>
        <v>#REF!</v>
      </c>
      <c r="CS133" s="4" t="e">
        <f t="shared" ca="1" si="1783"/>
        <v>#REF!</v>
      </c>
      <c r="CT133" s="692" t="str">
        <f ca="1">IFERROR(VLOOKUP(INDEX(CP131:CP142,CS133),STM,2,FALSE),"----")</f>
        <v>----</v>
      </c>
      <c r="CU133" s="691" t="e">
        <f t="shared" ca="1" si="1784"/>
        <v>#N/A</v>
      </c>
      <c r="CV133" s="4" t="e">
        <f ca="1">IF(AND(INDEX(ELM,CU133,4)&gt;=$AB131,INDEX(ELM,CU133,5)&gt;=$S131,INDEX(ELM,CU133,6)&gt;=$R131),1,0)</f>
        <v>#N/A</v>
      </c>
      <c r="CW133" s="4" t="e">
        <f t="shared" ref="CW133" ca="1" si="1813">MATCH(1,OFFSET(CV131:CV142,CX132,0,COUNT(CV131:CV142)-CX132),0)</f>
        <v>#REF!</v>
      </c>
      <c r="CX133" s="4" t="e">
        <f t="shared" ca="1" si="1786"/>
        <v>#REF!</v>
      </c>
      <c r="CY133" s="692" t="str">
        <f ca="1">IFERROR(VLOOKUP(INDEX(CU131:CU142,CX133),ELM,2,FALSE),"----")</f>
        <v>----</v>
      </c>
      <c r="CZ133" s="691" t="e">
        <f t="shared" ca="1" si="1787"/>
        <v>#N/A</v>
      </c>
      <c r="DA133" s="4" t="e">
        <f ca="1">IF(LEFT($J131,7)="Clad Wo",IF(AND(INDEX(SPPWS,CZ133,4)&gt;=$AB131,INDEX(SPPWS,CZ133,5)&gt;=$S131,INDEX(SPPWS,CZ133,6)&gt;=$R131),1,0),IF(AND(INDEX(SPM,CZ133,4)&gt;=$AB131,INDEX(SPM,CZ133,5)&gt;=$S131,INDEX(SPM,CZ133,6)&gt;=$R131),1,0))</f>
        <v>#N/A</v>
      </c>
      <c r="DB133" s="4" t="e">
        <f t="shared" ref="DB133" ca="1" si="1814">MATCH(1,OFFSET(DA131:DA142,DC132,0,COUNT(DA131:DA142)-DC132),0)</f>
        <v>#REF!</v>
      </c>
      <c r="DC133" s="4" t="e">
        <f t="shared" ca="1" si="1789"/>
        <v>#REF!</v>
      </c>
      <c r="DD133" s="693" t="str">
        <f ca="1">IF(LEFT($J131,7)="Clad Wo",IFERROR(VLOOKUP(INDEX(CZ131:CZ142,DC133),SPPWS,2,FALSE),"----"),IFERROR(VLOOKUP(INDEX(CZ131:CZ142,DC133),SPM,2,FALSE),"----"))</f>
        <v>----</v>
      </c>
      <c r="DE133" s="691" t="e">
        <f t="shared" ca="1" si="1790"/>
        <v>#REF!</v>
      </c>
      <c r="DF133" s="4" t="e" cm="1">
        <f t="array" aca="1" ref="DF133" ca="1">IF(AND(INDEX(INDIRECT(BY131),DE133,4)&gt;=$AB137,INDEX(INDIRECT(BY131),DE133,5)&gt;=$S131,INDEX(INDIRECT(BY131),DE133,6)&gt;=$R131),1,0)</f>
        <v>#REF!</v>
      </c>
      <c r="DG133" s="4" t="e">
        <f t="shared" ref="DG133" ca="1" si="1815">MATCH(1,OFFSET(DF131:DF142,DH132,0,COUNT(DF131:DF142)-DH132),0)</f>
        <v>#REF!</v>
      </c>
      <c r="DH133" s="4" t="e">
        <f t="shared" ca="1" si="1792"/>
        <v>#REF!</v>
      </c>
      <c r="DI133" s="692" t="str" cm="1">
        <f t="array" aca="1" ref="DI133" ca="1">IFERROR(VLOOKUP(INDEX(DE131:DE142,DH133),INDIRECT(BY131),2,FALSE),"----")</f>
        <v>----</v>
      </c>
      <c r="DJ133" s="691" t="e">
        <f t="shared" ca="1" si="1793"/>
        <v>#N/A</v>
      </c>
      <c r="DK133" s="4" t="e">
        <f ca="1">IF(AND(INDEX(SSM,DJ133,4)&gt;=$AB137,INDEX(SSM,DJ133,5)&gt;=$S131,INDEX(SSM,DJ133,6)&gt;=$R131),1,0)</f>
        <v>#N/A</v>
      </c>
      <c r="DL133" s="4" t="e">
        <f t="shared" ref="DL133" ca="1" si="1816">MATCH(1,OFFSET(DK131:DK142,DM132,0,COUNT(DK131:DK142)-DM132),0)</f>
        <v>#REF!</v>
      </c>
      <c r="DM133" s="4" t="e">
        <f t="shared" ca="1" si="1795"/>
        <v>#REF!</v>
      </c>
      <c r="DN133" s="692" t="str">
        <f ca="1">IFERROR(IF(AD138="Nested Steel Stud (wood infill)",VLOOKUP(INDEX(DJ131:DJ142,DM133),SSW,2,FALSE),VLOOKUP(INDEX(DJ131:DJ142,DM133),SSM,2,FALSE)),"----")</f>
        <v>----</v>
      </c>
      <c r="DO133" s="691" t="e">
        <f t="shared" ca="1" si="1796"/>
        <v>#N/A</v>
      </c>
      <c r="DP133" s="4" t="e">
        <f ca="1">IF(AND(INDEX(WSM,DO133,4)&gt;=$AB137,INDEX(WSM,DO133,5)&gt;=$S131,INDEX(WSM,DO133,6)&gt;=$R131),1,0)</f>
        <v>#N/A</v>
      </c>
      <c r="DQ133" s="4" t="e">
        <f t="shared" ref="DQ133" ca="1" si="1817">MATCH(1,OFFSET(DP131:DP142,DR132,0,COUNT(DP131:DP142)-DR132),0)</f>
        <v>#REF!</v>
      </c>
      <c r="DR133" s="4" t="e">
        <f t="shared" ca="1" si="1798"/>
        <v>#REF!</v>
      </c>
      <c r="DS133" s="692" t="str">
        <f ca="1">IFERROR(VLOOKUP(INDEX(DO131:DO142,DR133),WSM,2,FALSE),"----")</f>
        <v>----</v>
      </c>
      <c r="DT133" s="691" t="e">
        <f t="shared" ca="1" si="1799"/>
        <v>#N/A</v>
      </c>
      <c r="DU133" s="4" t="e">
        <f ca="1">IF(AND(INDEX(STM,DT133,4)&gt;=$AB137,INDEX(STM,DT133,5)&gt;=$S131,INDEX(STM,DT133,6)&gt;=$R131),1,0)</f>
        <v>#N/A</v>
      </c>
      <c r="DV133" s="4" t="e">
        <f t="shared" ref="DV133" ca="1" si="1818">MATCH(1,OFFSET(DU131:DU142,DW132,0,COUNT(DU131:DU142)-DW132),0)</f>
        <v>#REF!</v>
      </c>
      <c r="DW133" s="4" t="e">
        <f t="shared" ca="1" si="1801"/>
        <v>#REF!</v>
      </c>
      <c r="DX133" s="692" t="str">
        <f ca="1">IFERROR(VLOOKUP(INDEX(DT131:DT142,DW133),STM,2,FALSE),"----")</f>
        <v>----</v>
      </c>
      <c r="DY133" s="691" t="e">
        <f t="shared" ca="1" si="1802"/>
        <v>#N/A</v>
      </c>
      <c r="DZ133" s="4" t="e">
        <f ca="1">IF(AND(INDEX(ELM,DY133,4)&gt;=$AB137,INDEX(ELM,DY133,5)&gt;=$S131,INDEX(ELM,DY133,6)&gt;=$R131),1,0)</f>
        <v>#N/A</v>
      </c>
      <c r="EA133" s="4" t="e">
        <f t="shared" ref="EA133" ca="1" si="1819">MATCH(1,OFFSET(DZ131:DZ142,EB132,0,COUNT(DZ131:DZ142)-EB132),0)</f>
        <v>#REF!</v>
      </c>
      <c r="EB133" s="4" t="e">
        <f t="shared" ca="1" si="1804"/>
        <v>#REF!</v>
      </c>
      <c r="EC133" s="692" t="str">
        <f ca="1">IFERROR(VLOOKUP(INDEX(DY131:DY142,EB133),ELM,2,FALSE),"----")</f>
        <v>----</v>
      </c>
      <c r="ED133" s="691" t="e">
        <f t="shared" ca="1" si="1805"/>
        <v>#N/A</v>
      </c>
      <c r="EE133" s="4" t="e">
        <f ca="1">IF(LEFT($J131,7)="Clad Wo",IF(AND(INDEX(SPPWS,ED133,4)&gt;=$AB137,INDEX(SPPWS,ED133,5)&gt;=$S131,INDEX(SPPWS,ED133,6)&gt;=$R131),1,0),IF(AND(INDEX(SPM,ED133,4)&gt;=$AB137,INDEX(SPM,ED133,5)&gt;=$S131,INDEX(SPM,ED133,6)&gt;=$R131),1,0))</f>
        <v>#N/A</v>
      </c>
      <c r="EF133" s="4" t="e">
        <f t="shared" ref="EF133" ca="1" si="1820">MATCH(1,OFFSET(EE131:EE142,EG132,0,COUNT(EE131:EE142)-EG132),0)</f>
        <v>#REF!</v>
      </c>
      <c r="EG133" s="4" t="e">
        <f t="shared" ca="1" si="1807"/>
        <v>#REF!</v>
      </c>
      <c r="EH133" s="692" t="str">
        <f ca="1">IF(LEFT($J131,7)="Clad Wo",IFERROR(VLOOKUP(INDEX(ED131:ED142,EG133),SPPWS,2,FALSE),"----"),IFERROR(VLOOKUP(INDEX(ED131:ED142,EG133),SPM,2,FALSE),"----"))</f>
        <v>----</v>
      </c>
    </row>
    <row r="134" spans="1:138" ht="15" customHeight="1" x14ac:dyDescent="0.25">
      <c r="A134" s="1085"/>
      <c r="B134" s="925"/>
      <c r="C134" s="926"/>
      <c r="D134" s="927"/>
      <c r="E134" s="995"/>
      <c r="F134" s="996"/>
      <c r="G134" s="997"/>
      <c r="H134" s="1062"/>
      <c r="I134" s="990"/>
      <c r="J134" s="908"/>
      <c r="K134" s="909"/>
      <c r="L134" s="1002"/>
      <c r="M134" s="923"/>
      <c r="N134" s="1042"/>
      <c r="O134" s="1018"/>
      <c r="P134" s="987"/>
      <c r="Q134" s="1015"/>
      <c r="R134" s="1012"/>
      <c r="S134" s="1006"/>
      <c r="T134" s="1007"/>
      <c r="U134" s="878"/>
      <c r="V134" s="881"/>
      <c r="W134" s="884"/>
      <c r="X134" s="884"/>
      <c r="Y134" s="887"/>
      <c r="Z134" s="887"/>
      <c r="AA134" s="887"/>
      <c r="AB134" s="1081"/>
      <c r="AC134" s="1078"/>
      <c r="AD134" s="1070" t="s">
        <v>37</v>
      </c>
      <c r="AE134" s="1071"/>
      <c r="AF134" s="1052"/>
      <c r="AG134" s="1053"/>
      <c r="AH134" s="1053"/>
      <c r="AI134" s="1066"/>
      <c r="AJ134" s="1067"/>
      <c r="AK134" s="156" t="str">
        <f t="shared" ca="1" si="1130"/>
        <v/>
      </c>
      <c r="AL134" s="1039"/>
      <c r="AM134" s="343" t="str">
        <f ca="1">IFERROR(Q131/12*ROUND(VLOOKUP(AF134,OFFSET(STM,0,1),6,FALSE),2),"")</f>
        <v/>
      </c>
      <c r="AN134" t="str">
        <f t="shared" ca="1" si="1154"/>
        <v/>
      </c>
      <c r="AP134" s="122" t="str">
        <f t="shared" ref="AP134" si="1821">_xlfn.CONCAT(AR134,AS136)</f>
        <v/>
      </c>
      <c r="AQ134" s="683" t="str">
        <f t="shared" si="1353"/>
        <v/>
      </c>
      <c r="AR134" s="4" t="str">
        <f t="shared" si="1114"/>
        <v/>
      </c>
      <c r="AS134" s="4"/>
      <c r="AT134" s="697" t="str">
        <f>AL131</f>
        <v/>
      </c>
      <c r="AU134" s="694" t="e">
        <f t="shared" ca="1" si="1370"/>
        <v>#REF!</v>
      </c>
      <c r="AV134" s="686" t="str">
        <f ca="1">IFERROR(VLOOKUP(AU134,INDIRECT(AQ131),2,FALSE),"----")</f>
        <v>----</v>
      </c>
      <c r="AW134" s="694" t="e">
        <f t="shared" ca="1" si="1371"/>
        <v>#REF!</v>
      </c>
      <c r="AX134" s="686" t="str">
        <f ca="1">IFERROR(VLOOKUP(AW134,INDIRECT(AQ132),2,FALSE),"----")</f>
        <v>----</v>
      </c>
      <c r="AY134" s="694" t="e">
        <f t="shared" ref="AY134" ca="1" si="1822">AY133-1</f>
        <v>#REF!</v>
      </c>
      <c r="AZ134" s="686" t="str">
        <f ca="1">IFERROR(VLOOKUP(AY134,INDIRECT(AQ133),2,FALSE),"----")</f>
        <v>----</v>
      </c>
      <c r="BA134" s="694" t="e">
        <f t="shared" ref="BA134" ca="1" si="1823">BA133-1</f>
        <v>#REF!</v>
      </c>
      <c r="BB134" s="686" t="str">
        <f ca="1">IFERROR(VLOOKUP(BA134,INDIRECT(AQ134),2,FALSE),"----")</f>
        <v>----</v>
      </c>
      <c r="BC134" s="694" t="e">
        <f t="shared" ca="1" si="1374"/>
        <v>#REF!</v>
      </c>
      <c r="BD134" s="686" t="str">
        <f ca="1">IFERROR(VLOOKUP(BC134,INDIRECT(AQ135),2,FALSE),"----")</f>
        <v>----</v>
      </c>
      <c r="BE134" s="694" t="e">
        <f t="shared" ca="1" si="1375"/>
        <v>#REF!</v>
      </c>
      <c r="BF134" s="686" t="str">
        <f ca="1">IFERROR(VLOOKUP(BE134,INDIRECT(AQ136),2,FALSE),"----")</f>
        <v>----</v>
      </c>
      <c r="BG134" s="694" t="e">
        <f t="shared" ca="1" si="1376"/>
        <v>#REF!</v>
      </c>
      <c r="BH134" s="686" t="str">
        <f ca="1">IFERROR(VLOOKUP(BG134,INDIRECT(AQ137),2,FALSE),"----")</f>
        <v>----</v>
      </c>
      <c r="BI134" s="694" t="e">
        <f t="shared" ca="1" si="1377"/>
        <v>#REF!</v>
      </c>
      <c r="BJ134" s="686" t="str">
        <f ca="1">IFERROR(VLOOKUP(BI134,INDIRECT(AQ138),2,FALSE),"----")</f>
        <v>----</v>
      </c>
      <c r="BK134" s="694" t="e">
        <f t="shared" ca="1" si="1378"/>
        <v>#REF!</v>
      </c>
      <c r="BL134" s="686" t="str">
        <f ca="1">IFERROR(VLOOKUP(BK134,INDIRECT(AQ139),2,FALSE),"----")</f>
        <v>----</v>
      </c>
      <c r="BM134" s="694" t="e">
        <f t="shared" ca="1" si="1379"/>
        <v>#REF!</v>
      </c>
      <c r="BN134" s="686" t="str">
        <f ca="1">IFERROR(VLOOKUP(BM134,INDIRECT(AQ140),2,FALSE),"----")</f>
        <v>----</v>
      </c>
      <c r="BO134" s="694" t="e">
        <f t="shared" ca="1" si="1380"/>
        <v>#REF!</v>
      </c>
      <c r="BP134" s="686" t="str">
        <f ca="1">IFERROR(VLOOKUP(BO134,INDIRECT(AQ141),2,FALSE),"----")</f>
        <v>----</v>
      </c>
      <c r="BQ134" s="694" t="e">
        <f t="shared" ca="1" si="1381"/>
        <v>#REF!</v>
      </c>
      <c r="BR134" s="686" t="str">
        <f ca="1">IFERROR(VLOOKUP(BQ134,INDIRECT(AQ142),2,FALSE),"----")</f>
        <v>----</v>
      </c>
      <c r="BS134" s="695">
        <f>IF(AI134="",1,IF(COUNTIF(BB131:BB142,AI134)=0,2,1))</f>
        <v>1</v>
      </c>
      <c r="BT134" s="696">
        <f>IF(AF134="",1,IF(BB131=".",2,1))</f>
        <v>1</v>
      </c>
      <c r="BU134" s="706"/>
      <c r="BV134" s="155">
        <f ca="1">IF(COUNTIF(CT131:CT142,AF134)=0,IF(AF134&lt;&gt;"",0,1),1)</f>
        <v>1</v>
      </c>
      <c r="BW134" s="157">
        <f ca="1">IFERROR(MATCH(AF134,CT131:CT142,0),1)</f>
        <v>1</v>
      </c>
      <c r="BX134" s="769"/>
      <c r="BY134" s="769"/>
      <c r="BZ134" s="1110"/>
      <c r="CA134" s="691" t="e">
        <f t="shared" ca="1" si="1772"/>
        <v>#REF!</v>
      </c>
      <c r="CB134" s="4" t="e" cm="1">
        <f t="array" aca="1" ref="CB134" ca="1">IF(AND(INDEX(INDIRECT(BY131),CA134,4)&gt;=$AB131,INDEX(INDIRECT(BY131),CA134,5)&gt;=$S131,INDEX(INDIRECT(BY131),CA134,6)&gt;=$R131),1,0)</f>
        <v>#REF!</v>
      </c>
      <c r="CC134" s="4" t="e">
        <f t="shared" ref="CC134" ca="1" si="1824">MATCH(1,OFFSET(CB131:CB142,CD133,0,COUNT(CB131:CB142)-CD133),0)</f>
        <v>#REF!</v>
      </c>
      <c r="CD134" s="4" t="e">
        <f t="shared" ca="1" si="1774"/>
        <v>#REF!</v>
      </c>
      <c r="CE134" s="692" t="str" cm="1">
        <f t="array" aca="1" ref="CE134" ca="1">IFERROR(VLOOKUP(INDEX(CA131:CA142,CD134),INDIRECT(BY131),2,FALSE),"----")</f>
        <v>----</v>
      </c>
      <c r="CF134" s="691" t="e">
        <f t="shared" ca="1" si="1775"/>
        <v>#N/A</v>
      </c>
      <c r="CG134" s="4" t="e">
        <f ca="1">IF(AND(INDEX(SSM,CF134,4)&gt;=$AB131,INDEX(SSM,CF134,5)&gt;=$S131,INDEX(SSM,CF134,6)&gt;=$R131),1,0)</f>
        <v>#N/A</v>
      </c>
      <c r="CH134" s="4" t="e">
        <f t="shared" ref="CH134" ca="1" si="1825">MATCH(1,OFFSET(CG131:CG142,CI133,0,COUNT(CG131:CG142)-CI133),0)</f>
        <v>#REF!</v>
      </c>
      <c r="CI134" s="4" t="e">
        <f t="shared" ca="1" si="1777"/>
        <v>#REF!</v>
      </c>
      <c r="CJ134" s="692" t="str">
        <f ca="1">IFERROR(IF(AD132="Nested Steel Stud (wood infill)",VLOOKUP(INDEX(CF131:CF142,CI134),SSW,2,FALSE),VLOOKUP(INDEX(CF131:CF142,CI134),SSM,2,FALSE)),"----")</f>
        <v>----</v>
      </c>
      <c r="CK134" s="691" t="e">
        <f t="shared" ca="1" si="1778"/>
        <v>#N/A</v>
      </c>
      <c r="CL134" s="4" t="e">
        <f ca="1">IF(AND(INDEX(WSM,CK134,4)&gt;=$AB131,INDEX(WSM,CK134,5)&gt;=$S131,INDEX(WSM,CK134,6)&gt;=$R131),1,0)</f>
        <v>#N/A</v>
      </c>
      <c r="CM134" s="4" t="e">
        <f t="shared" ref="CM134" ca="1" si="1826">MATCH(1,OFFSET(CL131:CL142,CN133,0,COUNT(CL131:CL142)-CN133),0)</f>
        <v>#REF!</v>
      </c>
      <c r="CN134" s="4" t="e">
        <f t="shared" ca="1" si="1780"/>
        <v>#REF!</v>
      </c>
      <c r="CO134" s="692" t="str">
        <f ca="1">IFERROR(VLOOKUP(INDEX(CK131:CK142,CN134),WSM,2,FALSE),"----")</f>
        <v>----</v>
      </c>
      <c r="CP134" s="691" t="e">
        <f t="shared" ca="1" si="1781"/>
        <v>#N/A</v>
      </c>
      <c r="CQ134" s="4" t="e">
        <f ca="1">IF(AND(INDEX(STM,CP134,4)&gt;=$AB131,INDEX(STM,CP134,5)&gt;=$S131,INDEX(STM,CP134,6)&gt;=$R131),1,0)</f>
        <v>#N/A</v>
      </c>
      <c r="CR134" s="4" t="e">
        <f t="shared" ref="CR134" ca="1" si="1827">MATCH(1,OFFSET(CQ131:CQ142,CS133,0,COUNT(CQ131:CQ142)-CS133),0)</f>
        <v>#REF!</v>
      </c>
      <c r="CS134" s="4" t="e">
        <f t="shared" ca="1" si="1783"/>
        <v>#REF!</v>
      </c>
      <c r="CT134" s="692" t="str">
        <f ca="1">IFERROR(VLOOKUP(INDEX(CP131:CP142,CS134),STM,2,FALSE),"----")</f>
        <v>----</v>
      </c>
      <c r="CU134" s="691" t="e">
        <f t="shared" ca="1" si="1784"/>
        <v>#N/A</v>
      </c>
      <c r="CV134" s="4" t="e">
        <f ca="1">IF(AND(INDEX(ELM,CU134,4)&gt;=$AB131,INDEX(ELM,CU134,5)&gt;=$S131,INDEX(ELM,CU134,6)&gt;=$R131),1,0)</f>
        <v>#N/A</v>
      </c>
      <c r="CW134" s="4" t="e">
        <f t="shared" ref="CW134" ca="1" si="1828">MATCH(1,OFFSET(CV131:CV142,CX133,0,COUNT(CV131:CV142)-CX133),0)</f>
        <v>#REF!</v>
      </c>
      <c r="CX134" s="4" t="e">
        <f t="shared" ca="1" si="1786"/>
        <v>#REF!</v>
      </c>
      <c r="CY134" s="692" t="str">
        <f ca="1">IFERROR(VLOOKUP(INDEX(CU131:CU142,CX134),ELM,2,FALSE),"----")</f>
        <v>----</v>
      </c>
      <c r="CZ134" s="691" t="e">
        <f t="shared" ca="1" si="1787"/>
        <v>#N/A</v>
      </c>
      <c r="DA134" s="4" t="e">
        <f ca="1">IF(LEFT($J131,7)="Clad Wo",IF(AND(INDEX(SPPWS,CZ134,4)&gt;=$AB131,INDEX(SPPWS,CZ134,5)&gt;=$S131,INDEX(SPPWS,CZ134,6)&gt;=$R131),1,0),IF(AND(INDEX(SPM,CZ134,4)&gt;=$AB131,INDEX(SPM,CZ134,5)&gt;=$S131,INDEX(SPM,CZ134,6)&gt;=$R131),1,0))</f>
        <v>#N/A</v>
      </c>
      <c r="DB134" s="4" t="e">
        <f t="shared" ref="DB134" ca="1" si="1829">MATCH(1,OFFSET(DA131:DA142,DC133,0,COUNT(DA131:DA142)-DC133),0)</f>
        <v>#REF!</v>
      </c>
      <c r="DC134" s="4" t="e">
        <f t="shared" ca="1" si="1789"/>
        <v>#REF!</v>
      </c>
      <c r="DD134" s="693" t="str">
        <f ca="1">IF(LEFT($J131,7)="Clad Wo",IFERROR(VLOOKUP(INDEX(CZ131:CZ142,DC134),SPPWS,2,FALSE),"----"),IFERROR(VLOOKUP(INDEX(CZ131:CZ142,DC134),SPM,2,FALSE),"----"))</f>
        <v>----</v>
      </c>
      <c r="DE134" s="691" t="e">
        <f t="shared" ca="1" si="1790"/>
        <v>#REF!</v>
      </c>
      <c r="DF134" s="4" t="e" cm="1">
        <f t="array" aca="1" ref="DF134" ca="1">IF(AND(INDEX(INDIRECT(BY131),DE134,4)&gt;=$AB137,INDEX(INDIRECT(BY131),DE134,5)&gt;=$S131,INDEX(INDIRECT(BY131),DE134,6)&gt;=$R131),1,0)</f>
        <v>#REF!</v>
      </c>
      <c r="DG134" s="4" t="e">
        <f t="shared" ref="DG134" ca="1" si="1830">MATCH(1,OFFSET(DF131:DF142,DH133,0,COUNT(DF131:DF142)-DH133),0)</f>
        <v>#REF!</v>
      </c>
      <c r="DH134" s="4" t="e">
        <f t="shared" ca="1" si="1792"/>
        <v>#REF!</v>
      </c>
      <c r="DI134" s="692" t="str" cm="1">
        <f t="array" aca="1" ref="DI134" ca="1">IFERROR(VLOOKUP(INDEX(DE131:DE142,DH134),INDIRECT(BY131),2,FALSE),"----")</f>
        <v>----</v>
      </c>
      <c r="DJ134" s="691" t="e">
        <f t="shared" ca="1" si="1793"/>
        <v>#N/A</v>
      </c>
      <c r="DK134" s="4" t="e">
        <f ca="1">IF(AND(INDEX(SSM,DJ134,4)&gt;=$AB137,INDEX(SSM,DJ134,5)&gt;=$S131,INDEX(SSM,DJ134,6)&gt;=$R131),1,0)</f>
        <v>#N/A</v>
      </c>
      <c r="DL134" s="4" t="e">
        <f t="shared" ref="DL134" ca="1" si="1831">MATCH(1,OFFSET(DK131:DK142,DM133,0,COUNT(DK131:DK142)-DM133),0)</f>
        <v>#REF!</v>
      </c>
      <c r="DM134" s="4" t="e">
        <f t="shared" ca="1" si="1795"/>
        <v>#REF!</v>
      </c>
      <c r="DN134" s="692" t="str">
        <f ca="1">IFERROR(IF(AD138="Nested Steel Stud (wood infill)",VLOOKUP(INDEX(DJ131:DJ142,DM134),SSW,2,FALSE),VLOOKUP(INDEX(DJ131:DJ142,DM134),SSM,2,FALSE)),"----")</f>
        <v>----</v>
      </c>
      <c r="DO134" s="691" t="e">
        <f t="shared" ca="1" si="1796"/>
        <v>#N/A</v>
      </c>
      <c r="DP134" s="4" t="e">
        <f ca="1">IF(AND(INDEX(WSM,DO134,4)&gt;=$AB137,INDEX(WSM,DO134,5)&gt;=$S131,INDEX(WSM,DO134,6)&gt;=$R131),1,0)</f>
        <v>#N/A</v>
      </c>
      <c r="DQ134" s="4" t="e">
        <f t="shared" ref="DQ134" ca="1" si="1832">MATCH(1,OFFSET(DP131:DP142,DR133,0,COUNT(DP131:DP142)-DR133),0)</f>
        <v>#REF!</v>
      </c>
      <c r="DR134" s="4" t="e">
        <f t="shared" ca="1" si="1798"/>
        <v>#REF!</v>
      </c>
      <c r="DS134" s="692" t="str">
        <f ca="1">IFERROR(VLOOKUP(INDEX(DO131:DO142,DR134),WSM,2,FALSE),"----")</f>
        <v>----</v>
      </c>
      <c r="DT134" s="691" t="e">
        <f t="shared" ca="1" si="1799"/>
        <v>#N/A</v>
      </c>
      <c r="DU134" s="4" t="e">
        <f ca="1">IF(AND(INDEX(STM,DT134,4)&gt;=$AB137,INDEX(STM,DT134,5)&gt;=$S131,INDEX(STM,DT134,6)&gt;=$R131),1,0)</f>
        <v>#N/A</v>
      </c>
      <c r="DV134" s="4" t="e">
        <f t="shared" ref="DV134" ca="1" si="1833">MATCH(1,OFFSET(DU131:DU142,DW133,0,COUNT(DU131:DU142)-DW133),0)</f>
        <v>#REF!</v>
      </c>
      <c r="DW134" s="4" t="e">
        <f t="shared" ca="1" si="1801"/>
        <v>#REF!</v>
      </c>
      <c r="DX134" s="692" t="str">
        <f ca="1">IFERROR(VLOOKUP(INDEX(DT131:DT142,DW134),STM,2,FALSE),"----")</f>
        <v>----</v>
      </c>
      <c r="DY134" s="691" t="e">
        <f t="shared" ca="1" si="1802"/>
        <v>#N/A</v>
      </c>
      <c r="DZ134" s="4" t="e">
        <f ca="1">IF(AND(INDEX(ELM,DY134,4)&gt;=$AB137,INDEX(ELM,DY134,5)&gt;=$S131,INDEX(ELM,DY134,6)&gt;=$R131),1,0)</f>
        <v>#N/A</v>
      </c>
      <c r="EA134" s="4" t="e">
        <f t="shared" ref="EA134" ca="1" si="1834">MATCH(1,OFFSET(DZ131:DZ142,EB133,0,COUNT(DZ131:DZ142)-EB133),0)</f>
        <v>#REF!</v>
      </c>
      <c r="EB134" s="4" t="e">
        <f t="shared" ca="1" si="1804"/>
        <v>#REF!</v>
      </c>
      <c r="EC134" s="692" t="str">
        <f ca="1">IFERROR(VLOOKUP(INDEX(DY131:DY142,EB134),ELM,2,FALSE),"----")</f>
        <v>----</v>
      </c>
      <c r="ED134" s="691" t="e">
        <f t="shared" ca="1" si="1805"/>
        <v>#N/A</v>
      </c>
      <c r="EE134" s="4" t="e">
        <f ca="1">IF(LEFT($J131,7)="Clad Wo",IF(AND(INDEX(SPPWS,ED134,4)&gt;=$AB137,INDEX(SPPWS,ED134,5)&gt;=$S131,INDEX(SPPWS,ED134,6)&gt;=$R131),1,0),IF(AND(INDEX(SPM,ED134,4)&gt;=$AB137,INDEX(SPM,ED134,5)&gt;=$S131,INDEX(SPM,ED134,6)&gt;=$R131),1,0))</f>
        <v>#N/A</v>
      </c>
      <c r="EF134" s="4" t="e">
        <f t="shared" ref="EF134" ca="1" si="1835">MATCH(1,OFFSET(EE131:EE142,EG133,0,COUNT(EE131:EE142)-EG133),0)</f>
        <v>#REF!</v>
      </c>
      <c r="EG134" s="4" t="e">
        <f t="shared" ca="1" si="1807"/>
        <v>#REF!</v>
      </c>
      <c r="EH134" s="692" t="str">
        <f ca="1">IF(LEFT($J131,7)="Clad Wo",IFERROR(VLOOKUP(INDEX(ED131:ED142,EG134),SPPWS,2,FALSE),"----"),IFERROR(VLOOKUP(INDEX(ED131:ED142,EG134),SPM,2,FALSE),"----"))</f>
        <v>----</v>
      </c>
    </row>
    <row r="135" spans="1:138" ht="15" customHeight="1" x14ac:dyDescent="0.25">
      <c r="A135" s="1085"/>
      <c r="B135" s="925"/>
      <c r="C135" s="926"/>
      <c r="D135" s="927"/>
      <c r="E135" s="995"/>
      <c r="F135" s="996"/>
      <c r="G135" s="997"/>
      <c r="H135" s="1062"/>
      <c r="I135" s="990"/>
      <c r="J135" s="910"/>
      <c r="K135" s="911"/>
      <c r="L135" s="1002"/>
      <c r="M135" s="923"/>
      <c r="N135" s="1042"/>
      <c r="O135" s="1018"/>
      <c r="P135" s="987"/>
      <c r="Q135" s="1015"/>
      <c r="R135" s="1012"/>
      <c r="S135" s="1006"/>
      <c r="T135" s="1007"/>
      <c r="U135" s="878"/>
      <c r="V135" s="881"/>
      <c r="W135" s="884"/>
      <c r="X135" s="884"/>
      <c r="Y135" s="887"/>
      <c r="Z135" s="887"/>
      <c r="AA135" s="887"/>
      <c r="AB135" s="1081"/>
      <c r="AC135" s="1078"/>
      <c r="AD135" s="1070" t="s">
        <v>39</v>
      </c>
      <c r="AE135" s="1071"/>
      <c r="AF135" s="1052"/>
      <c r="AG135" s="1053"/>
      <c r="AH135" s="1053"/>
      <c r="AI135" s="1068"/>
      <c r="AJ135" s="1069"/>
      <c r="AK135" s="154" t="str">
        <f t="shared" ca="1" si="1130"/>
        <v/>
      </c>
      <c r="AL135" s="1039"/>
      <c r="AM135" s="344" t="str">
        <f ca="1">IFERROR(Q131/12*ROUND(VLOOKUP(AF135,OFFSET(ELM,0,1),6,FALSE),2),"")</f>
        <v/>
      </c>
      <c r="AN135" t="str">
        <f t="shared" ca="1" si="1154"/>
        <v/>
      </c>
      <c r="AP135" s="122" t="str">
        <f t="shared" ref="AP135" si="1836">_xlfn.CONCAT(AR135,AS136)</f>
        <v/>
      </c>
      <c r="AQ135" s="683" t="str">
        <f t="shared" si="1353"/>
        <v/>
      </c>
      <c r="AR135" s="4" t="str">
        <f t="shared" si="1114"/>
        <v/>
      </c>
      <c r="AS135" s="4"/>
      <c r="AT135" s="697" t="str">
        <f>AL131</f>
        <v/>
      </c>
      <c r="AU135" s="694" t="e">
        <f t="shared" ca="1" si="1370"/>
        <v>#REF!</v>
      </c>
      <c r="AV135" s="698" t="str">
        <f ca="1">IFERROR(VLOOKUP(AU135,INDIRECT(AQ131),2,FALSE),"----")</f>
        <v>----</v>
      </c>
      <c r="AW135" s="694" t="e">
        <f t="shared" ca="1" si="1371"/>
        <v>#REF!</v>
      </c>
      <c r="AX135" s="698" t="str">
        <f ca="1">IFERROR(VLOOKUP(AW135,INDIRECT(AQ132),2,FALSE),"----")</f>
        <v>----</v>
      </c>
      <c r="AY135" s="694" t="e">
        <f t="shared" ref="AY135" ca="1" si="1837">AY134-1</f>
        <v>#REF!</v>
      </c>
      <c r="AZ135" s="698" t="str">
        <f ca="1">IFERROR(VLOOKUP(AY135,INDIRECT(AQ133),2,FALSE),"----")</f>
        <v>----</v>
      </c>
      <c r="BA135" s="694" t="e">
        <f t="shared" ref="BA135" ca="1" si="1838">BA134-1</f>
        <v>#REF!</v>
      </c>
      <c r="BB135" s="698" t="str">
        <f ca="1">IFERROR(VLOOKUP(BA135,INDIRECT(AQ134),2,FALSE),"----")</f>
        <v>----</v>
      </c>
      <c r="BC135" s="694" t="e">
        <f t="shared" ca="1" si="1374"/>
        <v>#REF!</v>
      </c>
      <c r="BD135" s="698" t="str">
        <f ca="1">IFERROR(VLOOKUP(BC135,INDIRECT(AQ135),2,FALSE),"----")</f>
        <v>----</v>
      </c>
      <c r="BE135" s="694" t="e">
        <f t="shared" ca="1" si="1375"/>
        <v>#REF!</v>
      </c>
      <c r="BF135" s="698" t="str">
        <f ca="1">IFERROR(VLOOKUP(BE135,INDIRECT(AQ136),2,FALSE),"----")</f>
        <v>----</v>
      </c>
      <c r="BG135" s="694" t="e">
        <f t="shared" ca="1" si="1376"/>
        <v>#REF!</v>
      </c>
      <c r="BH135" s="686" t="str">
        <f ca="1">IFERROR(VLOOKUP(BG135,INDIRECT(AQ137),2,FALSE),"----")</f>
        <v>----</v>
      </c>
      <c r="BI135" s="694" t="e">
        <f t="shared" ca="1" si="1377"/>
        <v>#REF!</v>
      </c>
      <c r="BJ135" s="686" t="str">
        <f ca="1">IFERROR(VLOOKUP(BI135,INDIRECT(AQ138),2,FALSE),"----")</f>
        <v>----</v>
      </c>
      <c r="BK135" s="694" t="e">
        <f t="shared" ca="1" si="1378"/>
        <v>#REF!</v>
      </c>
      <c r="BL135" s="686" t="str">
        <f ca="1">IFERROR(VLOOKUP(BK135,INDIRECT(AQ139),2,FALSE),"----")</f>
        <v>----</v>
      </c>
      <c r="BM135" s="694" t="e">
        <f t="shared" ca="1" si="1379"/>
        <v>#REF!</v>
      </c>
      <c r="BN135" s="686" t="str">
        <f ca="1">IFERROR(VLOOKUP(BM135,INDIRECT(AQ140),2,FALSE),"----")</f>
        <v>----</v>
      </c>
      <c r="BO135" s="694" t="e">
        <f t="shared" ca="1" si="1380"/>
        <v>#REF!</v>
      </c>
      <c r="BP135" s="686" t="str">
        <f ca="1">IFERROR(VLOOKUP(BO135,INDIRECT(AQ141),2,FALSE),"----")</f>
        <v>----</v>
      </c>
      <c r="BQ135" s="694" t="e">
        <f t="shared" ca="1" si="1381"/>
        <v>#REF!</v>
      </c>
      <c r="BR135" s="686" t="str">
        <f ca="1">IFERROR(VLOOKUP(BQ135,INDIRECT(AQ142),2,FALSE),"----")</f>
        <v>----</v>
      </c>
      <c r="BS135" s="695">
        <f>IF(AI135="",1,IF(COUNTIF(BD131:BD142,AI135)=0,2,1))</f>
        <v>1</v>
      </c>
      <c r="BT135" s="696">
        <f>IF(AF135="",1,IF(BD131=".",2,1))</f>
        <v>1</v>
      </c>
      <c r="BU135" s="706"/>
      <c r="BV135" s="155">
        <f ca="1">IF(COUNTIF(CY131:CY142,AF135)=0,IF(AF135&lt;&gt;"",0,1),1)</f>
        <v>1</v>
      </c>
      <c r="BW135" s="157">
        <f ca="1">IFERROR(MATCH(AF135,CY131:CY142,0),1)</f>
        <v>1</v>
      </c>
      <c r="BX135" s="769"/>
      <c r="BY135" s="769"/>
      <c r="BZ135" s="1110"/>
      <c r="CA135" s="691" t="e">
        <f t="shared" ca="1" si="1772"/>
        <v>#REF!</v>
      </c>
      <c r="CB135" s="4" t="e" cm="1">
        <f t="array" aca="1" ref="CB135" ca="1">IF(AND(INDEX(INDIRECT(BY131),CA135,4)&gt;=$AB131,INDEX(INDIRECT(BY131),CA135,5)&gt;=$S131,INDEX(INDIRECT(BY131),CA135,6)&gt;=$R131),1,0)</f>
        <v>#REF!</v>
      </c>
      <c r="CC135" s="4" t="e">
        <f t="shared" ref="CC135" ca="1" si="1839">MATCH(1,OFFSET(CB131:CB142,CD134,0,COUNT(CB131:CB142)-CD134),0)</f>
        <v>#REF!</v>
      </c>
      <c r="CD135" s="4" t="e">
        <f t="shared" ca="1" si="1774"/>
        <v>#REF!</v>
      </c>
      <c r="CE135" s="692" t="str" cm="1">
        <f t="array" aca="1" ref="CE135" ca="1">IFERROR(VLOOKUP(INDEX(CA131:CA142,CD135),INDIRECT(BY131),2,FALSE),"----")</f>
        <v>----</v>
      </c>
      <c r="CF135" s="691" t="e">
        <f t="shared" ca="1" si="1775"/>
        <v>#N/A</v>
      </c>
      <c r="CG135" s="4" t="e">
        <f ca="1">IF(AND(INDEX(SSM,CF135,4)&gt;=$AB131,INDEX(SSM,CF135,5)&gt;=$S131,INDEX(SSM,CF135,6)&gt;=$R131),1,0)</f>
        <v>#N/A</v>
      </c>
      <c r="CH135" s="4" t="e">
        <f t="shared" ref="CH135" ca="1" si="1840">MATCH(1,OFFSET(CG131:CG142,CI134,0,COUNT(CG131:CG142)-CI134),0)</f>
        <v>#REF!</v>
      </c>
      <c r="CI135" s="4" t="e">
        <f t="shared" ca="1" si="1777"/>
        <v>#REF!</v>
      </c>
      <c r="CJ135" s="692" t="str">
        <f ca="1">IFERROR(IF(AD132="Nested Steel Stud (wood infill)",VLOOKUP(INDEX(CF131:CF142,CI135),SSW,2,FALSE),VLOOKUP(INDEX(CF131:CF142,CI135),SSM,2,FALSE)),"----")</f>
        <v>----</v>
      </c>
      <c r="CK135" s="691" t="e">
        <f t="shared" ca="1" si="1778"/>
        <v>#N/A</v>
      </c>
      <c r="CL135" s="4" t="e">
        <f ca="1">IF(AND(INDEX(WSM,CK135,4)&gt;=$AB131,INDEX(WSM,CK135,5)&gt;=$S131,INDEX(WSM,CK135,6)&gt;=$R131),1,0)</f>
        <v>#N/A</v>
      </c>
      <c r="CM135" s="4" t="e">
        <f t="shared" ref="CM135" ca="1" si="1841">MATCH(1,OFFSET(CL131:CL142,CN134,0,COUNT(CL131:CL142)-CN134),0)</f>
        <v>#REF!</v>
      </c>
      <c r="CN135" s="4" t="e">
        <f t="shared" ca="1" si="1780"/>
        <v>#REF!</v>
      </c>
      <c r="CO135" s="692" t="str">
        <f ca="1">IFERROR(VLOOKUP(INDEX(CK131:CK142,CN135),WSM,2,FALSE),"----")</f>
        <v>----</v>
      </c>
      <c r="CP135" s="691" t="e">
        <f t="shared" ca="1" si="1781"/>
        <v>#N/A</v>
      </c>
      <c r="CQ135" s="4" t="e">
        <f ca="1">IF(AND(INDEX(STM,CP135,4)&gt;=$AB131,INDEX(STM,CP135,5)&gt;=$S131,INDEX(STM,CP135,6)&gt;=$R131),1,0)</f>
        <v>#N/A</v>
      </c>
      <c r="CR135" s="4" t="e">
        <f t="shared" ref="CR135" ca="1" si="1842">MATCH(1,OFFSET(CQ131:CQ142,CS134,0,COUNT(CQ131:CQ142)-CS134),0)</f>
        <v>#REF!</v>
      </c>
      <c r="CS135" s="4" t="e">
        <f t="shared" ca="1" si="1783"/>
        <v>#REF!</v>
      </c>
      <c r="CT135" s="692" t="str">
        <f ca="1">IFERROR(VLOOKUP(INDEX(CP131:CP142,CS135),STM,2,FALSE),"----")</f>
        <v>----</v>
      </c>
      <c r="CU135" s="691" t="e">
        <f t="shared" ca="1" si="1784"/>
        <v>#N/A</v>
      </c>
      <c r="CV135" s="4" t="e">
        <f ca="1">IF(AND(INDEX(ELM,CU135,4)&gt;=$AB131,INDEX(ELM,CU135,5)&gt;=$S131,INDEX(ELM,CU135,6)&gt;=$R131),1,0)</f>
        <v>#N/A</v>
      </c>
      <c r="CW135" s="4" t="e">
        <f t="shared" ref="CW135" ca="1" si="1843">MATCH(1,OFFSET(CV131:CV142,CX134,0,COUNT(CV131:CV142)-CX134),0)</f>
        <v>#REF!</v>
      </c>
      <c r="CX135" s="4" t="e">
        <f t="shared" ca="1" si="1786"/>
        <v>#REF!</v>
      </c>
      <c r="CY135" s="692" t="str">
        <f ca="1">IFERROR(VLOOKUP(INDEX(CU131:CU142,CX135),ELM,2,FALSE),"----")</f>
        <v>----</v>
      </c>
      <c r="CZ135" s="691" t="e">
        <f t="shared" ca="1" si="1787"/>
        <v>#N/A</v>
      </c>
      <c r="DA135" s="4" t="e">
        <f ca="1">IF(LEFT($J131,7)="Clad Wo",IF(AND(INDEX(SPPWS,CZ135,4)&gt;=$AB131,INDEX(SPPWS,CZ135,5)&gt;=$S131,INDEX(SPPWS,CZ135,6)&gt;=$R131),1,0),IF(AND(INDEX(SPM,CZ135,4)&gt;=$AB131,INDEX(SPM,CZ135,5)&gt;=$S131,INDEX(SPM,CZ135,6)&gt;=$R131),1,0))</f>
        <v>#N/A</v>
      </c>
      <c r="DB135" s="4" t="e">
        <f t="shared" ref="DB135" ca="1" si="1844">MATCH(1,OFFSET(DA131:DA142,DC134,0,COUNT(DA131:DA142)-DC134),0)</f>
        <v>#REF!</v>
      </c>
      <c r="DC135" s="4" t="e">
        <f t="shared" ca="1" si="1789"/>
        <v>#REF!</v>
      </c>
      <c r="DD135" s="693" t="str">
        <f ca="1">IF(LEFT($J131,7)="Clad Wo",IFERROR(VLOOKUP(INDEX(CZ131:CZ142,DC135),SPPWS,2,FALSE),"----"),IFERROR(VLOOKUP(INDEX(CZ131:CZ142,DC135),SPM,2,FALSE),"----"))</f>
        <v>----</v>
      </c>
      <c r="DE135" s="691" t="e">
        <f t="shared" ca="1" si="1790"/>
        <v>#REF!</v>
      </c>
      <c r="DF135" s="4" t="e" cm="1">
        <f t="array" aca="1" ref="DF135" ca="1">IF(AND(INDEX(INDIRECT(BY131),DE135,4)&gt;=$AB137,INDEX(INDIRECT(BY131),DE135,5)&gt;=$S131,INDEX(INDIRECT(BY131),DE135,6)&gt;=$R131),1,0)</f>
        <v>#REF!</v>
      </c>
      <c r="DG135" s="4" t="e">
        <f t="shared" ref="DG135" ca="1" si="1845">MATCH(1,OFFSET(DF131:DF142,DH134,0,COUNT(DF131:DF142)-DH134),0)</f>
        <v>#REF!</v>
      </c>
      <c r="DH135" s="4" t="e">
        <f t="shared" ca="1" si="1792"/>
        <v>#REF!</v>
      </c>
      <c r="DI135" s="692" t="str" cm="1">
        <f t="array" aca="1" ref="DI135" ca="1">IFERROR(VLOOKUP(INDEX(DE131:DE142,DH135),INDIRECT(BY131),2,FALSE),"----")</f>
        <v>----</v>
      </c>
      <c r="DJ135" s="691" t="e">
        <f t="shared" ca="1" si="1793"/>
        <v>#N/A</v>
      </c>
      <c r="DK135" s="4" t="e">
        <f ca="1">IF(AND(INDEX(SSM,DJ135,4)&gt;=$AB137,INDEX(SSM,DJ135,5)&gt;=$S131,INDEX(SSM,DJ135,6)&gt;=$R131),1,0)</f>
        <v>#N/A</v>
      </c>
      <c r="DL135" s="4" t="e">
        <f t="shared" ref="DL135" ca="1" si="1846">MATCH(1,OFFSET(DK131:DK142,DM134,0,COUNT(DK131:DK142)-DM134),0)</f>
        <v>#REF!</v>
      </c>
      <c r="DM135" s="4" t="e">
        <f t="shared" ca="1" si="1795"/>
        <v>#REF!</v>
      </c>
      <c r="DN135" s="692" t="str">
        <f ca="1">IFERROR(IF(AD138="Nested Steel Stud (wood infill)",VLOOKUP(INDEX(DJ131:DJ142,DM135),SSW,2,FALSE),VLOOKUP(INDEX(DJ131:DJ142,DM135),SSM,2,FALSE)),"----")</f>
        <v>----</v>
      </c>
      <c r="DO135" s="691" t="e">
        <f t="shared" ca="1" si="1796"/>
        <v>#N/A</v>
      </c>
      <c r="DP135" s="4" t="e">
        <f ca="1">IF(AND(INDEX(WSM,DO135,4)&gt;=$AB137,INDEX(WSM,DO135,5)&gt;=$S131,INDEX(WSM,DO135,6)&gt;=$R131),1,0)</f>
        <v>#N/A</v>
      </c>
      <c r="DQ135" s="4" t="e">
        <f t="shared" ref="DQ135" ca="1" si="1847">MATCH(1,OFFSET(DP131:DP142,DR134,0,COUNT(DP131:DP142)-DR134),0)</f>
        <v>#REF!</v>
      </c>
      <c r="DR135" s="4" t="e">
        <f t="shared" ca="1" si="1798"/>
        <v>#REF!</v>
      </c>
      <c r="DS135" s="692" t="str">
        <f ca="1">IFERROR(VLOOKUP(INDEX(DO131:DO142,DR135),WSM,2,FALSE),"----")</f>
        <v>----</v>
      </c>
      <c r="DT135" s="691" t="e">
        <f t="shared" ca="1" si="1799"/>
        <v>#N/A</v>
      </c>
      <c r="DU135" s="4" t="e">
        <f ca="1">IF(AND(INDEX(STM,DT135,4)&gt;=$AB137,INDEX(STM,DT135,5)&gt;=$S131,INDEX(STM,DT135,6)&gt;=$R131),1,0)</f>
        <v>#N/A</v>
      </c>
      <c r="DV135" s="4" t="e">
        <f t="shared" ref="DV135" ca="1" si="1848">MATCH(1,OFFSET(DU131:DU142,DW134,0,COUNT(DU131:DU142)-DW134),0)</f>
        <v>#REF!</v>
      </c>
      <c r="DW135" s="4" t="e">
        <f t="shared" ca="1" si="1801"/>
        <v>#REF!</v>
      </c>
      <c r="DX135" s="692" t="str">
        <f ca="1">IFERROR(VLOOKUP(INDEX(DT131:DT142,DW135),STM,2,FALSE),"----")</f>
        <v>----</v>
      </c>
      <c r="DY135" s="691" t="e">
        <f t="shared" ca="1" si="1802"/>
        <v>#N/A</v>
      </c>
      <c r="DZ135" s="4" t="e">
        <f ca="1">IF(AND(INDEX(ELM,DY135,4)&gt;=$AB137,INDEX(ELM,DY135,5)&gt;=$S131,INDEX(ELM,DY135,6)&gt;=$R131),1,0)</f>
        <v>#N/A</v>
      </c>
      <c r="EA135" s="4" t="e">
        <f t="shared" ref="EA135" ca="1" si="1849">MATCH(1,OFFSET(DZ131:DZ142,EB134,0,COUNT(DZ131:DZ142)-EB134),0)</f>
        <v>#REF!</v>
      </c>
      <c r="EB135" s="4" t="e">
        <f t="shared" ca="1" si="1804"/>
        <v>#REF!</v>
      </c>
      <c r="EC135" s="692" t="str">
        <f ca="1">IFERROR(VLOOKUP(INDEX(DY131:DY142,EB135),ELM,2,FALSE),"----")</f>
        <v>----</v>
      </c>
      <c r="ED135" s="691" t="e">
        <f t="shared" ca="1" si="1805"/>
        <v>#N/A</v>
      </c>
      <c r="EE135" s="4" t="e">
        <f ca="1">IF(LEFT($J131,7)="Clad Wo",IF(AND(INDEX(SPPWS,ED135,4)&gt;=$AB137,INDEX(SPPWS,ED135,5)&gt;=$S131,INDEX(SPPWS,ED135,6)&gt;=$R131),1,0),IF(AND(INDEX(SPM,ED135,4)&gt;=$AB137,INDEX(SPM,ED135,5)&gt;=$S131,INDEX(SPM,ED135,6)&gt;=$R131),1,0))</f>
        <v>#N/A</v>
      </c>
      <c r="EF135" s="4" t="e">
        <f t="shared" ref="EF135" ca="1" si="1850">MATCH(1,OFFSET(EE131:EE142,EG134,0,COUNT(EE131:EE142)-EG134),0)</f>
        <v>#REF!</v>
      </c>
      <c r="EG135" s="4" t="e">
        <f t="shared" ca="1" si="1807"/>
        <v>#REF!</v>
      </c>
      <c r="EH135" s="692" t="str">
        <f ca="1">IF(LEFT($J131,7)="Clad Wo",IFERROR(VLOOKUP(INDEX(ED131:ED142,EG135),SPPWS,2,FALSE),"----"),IFERROR(VLOOKUP(INDEX(ED131:ED142,EG135),SPM,2,FALSE),"----"))</f>
        <v>----</v>
      </c>
    </row>
    <row r="136" spans="1:138" ht="15" customHeight="1" thickBot="1" x14ac:dyDescent="0.3">
      <c r="A136" s="1085"/>
      <c r="B136" s="934"/>
      <c r="C136" s="935"/>
      <c r="D136" s="936"/>
      <c r="E136" s="995"/>
      <c r="F136" s="996"/>
      <c r="G136" s="997"/>
      <c r="H136" s="1062"/>
      <c r="I136" s="990"/>
      <c r="J136" s="908"/>
      <c r="K136" s="909"/>
      <c r="L136" s="1010"/>
      <c r="M136" s="924"/>
      <c r="N136" s="1044"/>
      <c r="O136" s="1018"/>
      <c r="P136" s="987"/>
      <c r="Q136" s="1015"/>
      <c r="R136" s="1012"/>
      <c r="S136" s="1006"/>
      <c r="T136" s="1007"/>
      <c r="U136" s="878"/>
      <c r="V136" s="881"/>
      <c r="W136" s="889"/>
      <c r="X136" s="884"/>
      <c r="Y136" s="890"/>
      <c r="Z136" s="890"/>
      <c r="AA136" s="887"/>
      <c r="AB136" s="1084"/>
      <c r="AC136" s="1079"/>
      <c r="AD136" s="1072" t="str">
        <f t="shared" ref="AD136" si="1851">IF(LEFT(J131,7)="Clad Wo","Pella Wood Spr / Steel Pte","Steel Plate")</f>
        <v>Steel Plate</v>
      </c>
      <c r="AE136" s="1073"/>
      <c r="AF136" s="1054"/>
      <c r="AG136" s="1055"/>
      <c r="AH136" s="1055"/>
      <c r="AI136" s="1092"/>
      <c r="AJ136" s="1093"/>
      <c r="AK136" s="159" t="str">
        <f t="shared" ca="1" si="1130"/>
        <v/>
      </c>
      <c r="AL136" s="1040"/>
      <c r="AM136" s="345" t="str">
        <f ca="1">IFERROR(Q131/12*ROUND(VLOOKUP(AF136,OFFSET(SPM,0,1),6,FALSE),2),"")</f>
        <v/>
      </c>
      <c r="AN136" t="str">
        <f t="shared" ca="1" si="1154"/>
        <v/>
      </c>
      <c r="AP136" s="699" t="str">
        <f t="shared" ref="AP136" si="1852">_xlfn.CONCAT(AR136,AS136)</f>
        <v/>
      </c>
      <c r="AQ136" s="700" t="str">
        <f t="shared" si="1353"/>
        <v/>
      </c>
      <c r="AR136" s="160" t="str">
        <f t="shared" si="1114"/>
        <v/>
      </c>
      <c r="AS136" s="160" t="str">
        <f>IFERROR(VLOOKUP(J139, WallType,2,FALSE),"")</f>
        <v/>
      </c>
      <c r="AT136" s="701" t="str">
        <f>AL131</f>
        <v/>
      </c>
      <c r="AU136" s="694" t="e">
        <f t="shared" ca="1" si="1370"/>
        <v>#REF!</v>
      </c>
      <c r="AV136" s="698" t="str">
        <f ca="1">IFERROR(VLOOKUP(AU136,INDIRECT(AQ131),2,FALSE),"----")</f>
        <v>----</v>
      </c>
      <c r="AW136" s="702" t="e">
        <f t="shared" ca="1" si="1371"/>
        <v>#REF!</v>
      </c>
      <c r="AX136" s="698" t="str">
        <f ca="1">IFERROR(VLOOKUP(AW136,INDIRECT(AQ132),2,FALSE),"----")</f>
        <v>----</v>
      </c>
      <c r="AY136" s="702" t="e">
        <f t="shared" ref="AY136" ca="1" si="1853">AY135-1</f>
        <v>#REF!</v>
      </c>
      <c r="AZ136" s="698" t="str">
        <f ca="1">IFERROR(VLOOKUP(AY136,INDIRECT(AQ133),2,FALSE),"----")</f>
        <v>----</v>
      </c>
      <c r="BA136" s="702" t="e">
        <f t="shared" ref="BA136" ca="1" si="1854">BA135-1</f>
        <v>#REF!</v>
      </c>
      <c r="BB136" s="698" t="str">
        <f ca="1">IFERROR(VLOOKUP(BA136,INDIRECT(AQ134),2,FALSE),"----")</f>
        <v>----</v>
      </c>
      <c r="BC136" s="702" t="e">
        <f t="shared" ca="1" si="1374"/>
        <v>#REF!</v>
      </c>
      <c r="BD136" s="698" t="str">
        <f ca="1">IFERROR(VLOOKUP(BC136,INDIRECT(AQ135),2,FALSE),"----")</f>
        <v>----</v>
      </c>
      <c r="BE136" s="702" t="e">
        <f t="shared" ca="1" si="1375"/>
        <v>#REF!</v>
      </c>
      <c r="BF136" s="698" t="str">
        <f ca="1">IFERROR(VLOOKUP(BE136,INDIRECT(AQ136),2,FALSE),"----")</f>
        <v>----</v>
      </c>
      <c r="BG136" s="702" t="e">
        <f t="shared" ca="1" si="1376"/>
        <v>#REF!</v>
      </c>
      <c r="BH136" s="686" t="str">
        <f ca="1">IFERROR(VLOOKUP(BG136,INDIRECT(AQ137),2,FALSE),"----")</f>
        <v>----</v>
      </c>
      <c r="BI136" s="702" t="e">
        <f t="shared" ca="1" si="1377"/>
        <v>#REF!</v>
      </c>
      <c r="BJ136" s="686" t="str">
        <f ca="1">IFERROR(VLOOKUP(BI136,INDIRECT(AQ138),2,FALSE),"----")</f>
        <v>----</v>
      </c>
      <c r="BK136" s="702" t="e">
        <f t="shared" ca="1" si="1378"/>
        <v>#REF!</v>
      </c>
      <c r="BL136" s="686" t="str">
        <f ca="1">IFERROR(VLOOKUP(BK136,INDIRECT(AQ139),2,FALSE),"----")</f>
        <v>----</v>
      </c>
      <c r="BM136" s="702" t="e">
        <f t="shared" ca="1" si="1379"/>
        <v>#REF!</v>
      </c>
      <c r="BN136" s="686" t="str">
        <f ca="1">IFERROR(VLOOKUP(BM136,INDIRECT(AQ140),2,FALSE),"----")</f>
        <v>----</v>
      </c>
      <c r="BO136" s="702" t="e">
        <f t="shared" ca="1" si="1380"/>
        <v>#REF!</v>
      </c>
      <c r="BP136" s="686" t="str">
        <f ca="1">IFERROR(VLOOKUP(BO136,INDIRECT(AQ141),2,FALSE),"----")</f>
        <v>----</v>
      </c>
      <c r="BQ136" s="702" t="e">
        <f t="shared" ca="1" si="1381"/>
        <v>#REF!</v>
      </c>
      <c r="BR136" s="686" t="str">
        <f ca="1">IFERROR(VLOOKUP(BQ136,INDIRECT(AQ142),2,FALSE),"----")</f>
        <v>----</v>
      </c>
      <c r="BS136" s="703">
        <f>IF(AI136="",1,IF(COUNTIF(BF131:BF142,AI136)=0,2,1))</f>
        <v>1</v>
      </c>
      <c r="BT136" s="704">
        <f>IF(AF136="",1,IF(BF131=".",2,1))</f>
        <v>1</v>
      </c>
      <c r="BV136" s="155">
        <f ca="1">IF(COUNTIF(DD131:DD142,AF136)=0,IF(AF136&lt;&gt;"",0,1),1)</f>
        <v>1</v>
      </c>
      <c r="BW136" s="157">
        <f ca="1">IFERROR(MATCH(AF136,DD131:DD142,0),1)</f>
        <v>1</v>
      </c>
      <c r="BX136" s="875" t="s">
        <v>1594</v>
      </c>
      <c r="BY136" s="876"/>
      <c r="BZ136" s="1110"/>
      <c r="CA136" s="691" t="e">
        <f t="shared" ca="1" si="1772"/>
        <v>#REF!</v>
      </c>
      <c r="CB136" s="4" t="e" cm="1">
        <f t="array" aca="1" ref="CB136" ca="1">IF(AND(INDEX(INDIRECT(BY131),CA136,4)&gt;=$AB131,INDEX(INDIRECT(BY131),CA136,5)&gt;=$S131,INDEX(INDIRECT(BY131),CA136,6)&gt;=$R131),1,0)</f>
        <v>#REF!</v>
      </c>
      <c r="CC136" s="4" t="e">
        <f t="shared" ref="CC136" ca="1" si="1855">MATCH(1,OFFSET(CB131:CB142,CD135,0,COUNT(CB131:CB142)-CD135),0)</f>
        <v>#REF!</v>
      </c>
      <c r="CD136" s="4" t="e">
        <f t="shared" ca="1" si="1774"/>
        <v>#REF!</v>
      </c>
      <c r="CE136" s="692" t="str" cm="1">
        <f t="array" aca="1" ref="CE136" ca="1">IFERROR(VLOOKUP(INDEX(CA131:CA142,CD136),INDIRECT(BY131),2,FALSE),"----")</f>
        <v>----</v>
      </c>
      <c r="CF136" s="691" t="e">
        <f t="shared" ca="1" si="1775"/>
        <v>#N/A</v>
      </c>
      <c r="CG136" s="4" t="e">
        <f ca="1">IF(AND(INDEX(SSM,CF136,4)&gt;=$AB131,INDEX(SSM,CF136,5)&gt;=$S131,INDEX(SSM,CF136,6)&gt;=$R131),1,0)</f>
        <v>#N/A</v>
      </c>
      <c r="CH136" s="4" t="e">
        <f t="shared" ref="CH136" ca="1" si="1856">MATCH(1,OFFSET(CG131:CG142,CI135,0,COUNT(CG131:CG142)-CI135),0)</f>
        <v>#REF!</v>
      </c>
      <c r="CI136" s="4" t="e">
        <f t="shared" ca="1" si="1777"/>
        <v>#REF!</v>
      </c>
      <c r="CJ136" s="692" t="str">
        <f ca="1">IFERROR(IF(AD132="Nested Steel Stud (wood infill)",VLOOKUP(INDEX(CF131:CF142,CI136),SSW,2,FALSE),VLOOKUP(INDEX(CF131:CF142,CI136),SSM,2,FALSE)),"----")</f>
        <v>----</v>
      </c>
      <c r="CK136" s="691" t="e">
        <f t="shared" ca="1" si="1778"/>
        <v>#N/A</v>
      </c>
      <c r="CL136" s="4" t="e">
        <f ca="1">IF(AND(INDEX(WSM,CK136,4)&gt;=$AB131,INDEX(WSM,CK136,5)&gt;=$S131,INDEX(WSM,CK136,6)&gt;=$R131),1,0)</f>
        <v>#N/A</v>
      </c>
      <c r="CM136" s="4" t="e">
        <f t="shared" ref="CM136" ca="1" si="1857">MATCH(1,OFFSET(CL131:CL142,CN135,0,COUNT(CL131:CL142)-CN135),0)</f>
        <v>#REF!</v>
      </c>
      <c r="CN136" s="4" t="e">
        <f t="shared" ca="1" si="1780"/>
        <v>#REF!</v>
      </c>
      <c r="CO136" s="692" t="str">
        <f ca="1">IFERROR(VLOOKUP(INDEX(CK131:CK142,CN136),WSM,2,FALSE),"----")</f>
        <v>----</v>
      </c>
      <c r="CP136" s="691" t="e">
        <f t="shared" ca="1" si="1781"/>
        <v>#N/A</v>
      </c>
      <c r="CQ136" s="4" t="e">
        <f ca="1">IF(AND(INDEX(STM,CP136,4)&gt;=$AB131,INDEX(STM,CP136,5)&gt;=$S131,INDEX(STM,CP136,6)&gt;=$R131),1,0)</f>
        <v>#N/A</v>
      </c>
      <c r="CR136" s="4" t="e">
        <f t="shared" ref="CR136" ca="1" si="1858">MATCH(1,OFFSET(CQ131:CQ142,CS135,0,COUNT(CQ131:CQ142)-CS135),0)</f>
        <v>#REF!</v>
      </c>
      <c r="CS136" s="4" t="e">
        <f t="shared" ca="1" si="1783"/>
        <v>#REF!</v>
      </c>
      <c r="CT136" s="692" t="str">
        <f ca="1">IFERROR(VLOOKUP(INDEX(CP131:CP142,CS136),STM,2,FALSE),"----")</f>
        <v>----</v>
      </c>
      <c r="CU136" s="691" t="e">
        <f t="shared" ca="1" si="1784"/>
        <v>#N/A</v>
      </c>
      <c r="CV136" s="4" t="e">
        <f ca="1">IF(AND(INDEX(ELM,CU136,4)&gt;=$AB131,INDEX(ELM,CU136,5)&gt;=$S131,INDEX(ELM,CU136,6)&gt;=$R131),1,0)</f>
        <v>#N/A</v>
      </c>
      <c r="CW136" s="4" t="e">
        <f t="shared" ref="CW136" ca="1" si="1859">MATCH(1,OFFSET(CV131:CV142,CX135,0,COUNT(CV131:CV142)-CX135),0)</f>
        <v>#REF!</v>
      </c>
      <c r="CX136" s="4" t="e">
        <f t="shared" ca="1" si="1786"/>
        <v>#REF!</v>
      </c>
      <c r="CY136" s="692" t="str">
        <f ca="1">IFERROR(VLOOKUP(INDEX(CU131:CU142,CX136),ELM,2,FALSE),"----")</f>
        <v>----</v>
      </c>
      <c r="CZ136" s="691" t="e">
        <f t="shared" ca="1" si="1787"/>
        <v>#N/A</v>
      </c>
      <c r="DA136" s="4" t="e">
        <f ca="1">IF(LEFT($J131,7)="Clad Wo",IF(AND(INDEX(SPPWS,CZ136,4)&gt;=$AB131,INDEX(SPPWS,CZ136,5)&gt;=$S131,INDEX(SPPWS,CZ136,6)&gt;=$R131),1,0),IF(AND(INDEX(SPM,CZ136,4)&gt;=$AB131,INDEX(SPM,CZ136,5)&gt;=$S131,INDEX(SPM,CZ136,6)&gt;=$R131),1,0))</f>
        <v>#N/A</v>
      </c>
      <c r="DB136" s="4" t="e">
        <f t="shared" ref="DB136" ca="1" si="1860">MATCH(1,OFFSET(DA131:DA142,DC135,0,COUNT(DA131:DA142)-DC135),0)</f>
        <v>#REF!</v>
      </c>
      <c r="DC136" s="4" t="e">
        <f t="shared" ca="1" si="1789"/>
        <v>#REF!</v>
      </c>
      <c r="DD136" s="693" t="str">
        <f ca="1">IF(LEFT($J131,7)="Clad Wo",IFERROR(VLOOKUP(INDEX(CZ131:CZ142,DC136),SPPWS,2,FALSE),"----"),IFERROR(VLOOKUP(INDEX(CZ131:CZ142,DC136),SPM,2,FALSE),"----"))</f>
        <v>----</v>
      </c>
      <c r="DE136" s="691" t="e">
        <f t="shared" ca="1" si="1790"/>
        <v>#REF!</v>
      </c>
      <c r="DF136" s="4" t="e" cm="1">
        <f t="array" aca="1" ref="DF136" ca="1">IF(AND(INDEX(INDIRECT(BY131),DE136,4)&gt;=$AB137,INDEX(INDIRECT(BY131),DE136,5)&gt;=$S131,INDEX(INDIRECT(BY131),DE136,6)&gt;=$R131),1,0)</f>
        <v>#REF!</v>
      </c>
      <c r="DG136" s="4" t="e">
        <f t="shared" ref="DG136" ca="1" si="1861">MATCH(1,OFFSET(DF131:DF142,DH135,0,COUNT(DF131:DF142)-DH135),0)</f>
        <v>#REF!</v>
      </c>
      <c r="DH136" s="4" t="e">
        <f t="shared" ca="1" si="1792"/>
        <v>#REF!</v>
      </c>
      <c r="DI136" s="692" t="str" cm="1">
        <f t="array" aca="1" ref="DI136" ca="1">IFERROR(VLOOKUP(INDEX(DE131:DE142,DH136),INDIRECT(BY131),2,FALSE),"----")</f>
        <v>----</v>
      </c>
      <c r="DJ136" s="691" t="e">
        <f t="shared" ca="1" si="1793"/>
        <v>#N/A</v>
      </c>
      <c r="DK136" s="4" t="e">
        <f ca="1">IF(AND(INDEX(SSM,DJ136,4)&gt;=$AB137,INDEX(SSM,DJ136,5)&gt;=$S131,INDEX(SSM,DJ136,6)&gt;=$R131),1,0)</f>
        <v>#N/A</v>
      </c>
      <c r="DL136" s="4" t="e">
        <f t="shared" ref="DL136" ca="1" si="1862">MATCH(1,OFFSET(DK131:DK142,DM135,0,COUNT(DK131:DK142)-DM135),0)</f>
        <v>#REF!</v>
      </c>
      <c r="DM136" s="4" t="e">
        <f t="shared" ca="1" si="1795"/>
        <v>#REF!</v>
      </c>
      <c r="DN136" s="692" t="str">
        <f ca="1">IFERROR(IF(AD138="Nested Steel Stud (wood infill)",VLOOKUP(INDEX(DJ131:DJ142,DM136),SSW,2,FALSE),VLOOKUP(INDEX(DJ131:DJ142,DM136),SSM,2,FALSE)),"----")</f>
        <v>----</v>
      </c>
      <c r="DO136" s="691" t="e">
        <f t="shared" ca="1" si="1796"/>
        <v>#N/A</v>
      </c>
      <c r="DP136" s="4" t="e">
        <f ca="1">IF(AND(INDEX(WSM,DO136,4)&gt;=$AB137,INDEX(WSM,DO136,5)&gt;=$S131,INDEX(WSM,DO136,6)&gt;=$R131),1,0)</f>
        <v>#N/A</v>
      </c>
      <c r="DQ136" s="4" t="e">
        <f t="shared" ref="DQ136" ca="1" si="1863">MATCH(1,OFFSET(DP131:DP142,DR135,0,COUNT(DP131:DP142)-DR135),0)</f>
        <v>#REF!</v>
      </c>
      <c r="DR136" s="4" t="e">
        <f t="shared" ca="1" si="1798"/>
        <v>#REF!</v>
      </c>
      <c r="DS136" s="692" t="str">
        <f ca="1">IFERROR(VLOOKUP(INDEX(DO131:DO142,DR136),WSM,2,FALSE),"----")</f>
        <v>----</v>
      </c>
      <c r="DT136" s="691" t="e">
        <f t="shared" ca="1" si="1799"/>
        <v>#N/A</v>
      </c>
      <c r="DU136" s="4" t="e">
        <f ca="1">IF(AND(INDEX(STM,DT136,4)&gt;=$AB137,INDEX(STM,DT136,5)&gt;=$S131,INDEX(STM,DT136,6)&gt;=$R131),1,0)</f>
        <v>#N/A</v>
      </c>
      <c r="DV136" s="4" t="e">
        <f t="shared" ref="DV136" ca="1" si="1864">MATCH(1,OFFSET(DU131:DU142,DW135,0,COUNT(DU131:DU142)-DW135),0)</f>
        <v>#REF!</v>
      </c>
      <c r="DW136" s="4" t="e">
        <f t="shared" ca="1" si="1801"/>
        <v>#REF!</v>
      </c>
      <c r="DX136" s="692" t="str">
        <f ca="1">IFERROR(VLOOKUP(INDEX(DT131:DT142,DW136),STM,2,FALSE),"----")</f>
        <v>----</v>
      </c>
      <c r="DY136" s="691" t="e">
        <f t="shared" ca="1" si="1802"/>
        <v>#N/A</v>
      </c>
      <c r="DZ136" s="4" t="e">
        <f ca="1">IF(AND(INDEX(ELM,DY136,4)&gt;=$AB137,INDEX(ELM,DY136,5)&gt;=$S131,INDEX(ELM,DY136,6)&gt;=$R131),1,0)</f>
        <v>#N/A</v>
      </c>
      <c r="EA136" s="4" t="e">
        <f t="shared" ref="EA136" ca="1" si="1865">MATCH(1,OFFSET(DZ131:DZ142,EB135,0,COUNT(DZ131:DZ142)-EB135),0)</f>
        <v>#REF!</v>
      </c>
      <c r="EB136" s="4" t="e">
        <f t="shared" ca="1" si="1804"/>
        <v>#REF!</v>
      </c>
      <c r="EC136" s="692" t="str">
        <f ca="1">IFERROR(VLOOKUP(INDEX(DY131:DY142,EB136),ELM,2,FALSE),"----")</f>
        <v>----</v>
      </c>
      <c r="ED136" s="691" t="e">
        <f t="shared" ca="1" si="1805"/>
        <v>#N/A</v>
      </c>
      <c r="EE136" s="4" t="e">
        <f ca="1">IF(LEFT($J131,7)="Clad Wo",IF(AND(INDEX(SPPWS,ED136,4)&gt;=$AB137,INDEX(SPPWS,ED136,5)&gt;=$S131,INDEX(SPPWS,ED136,6)&gt;=$R131),1,0),IF(AND(INDEX(SPM,ED136,4)&gt;=$AB137,INDEX(SPM,ED136,5)&gt;=$S131,INDEX(SPM,ED136,6)&gt;=$R131),1,0))</f>
        <v>#N/A</v>
      </c>
      <c r="EF136" s="4" t="e">
        <f t="shared" ref="EF136" ca="1" si="1866">MATCH(1,OFFSET(EE131:EE142,EG135,0,COUNT(EE131:EE142)-EG135),0)</f>
        <v>#REF!</v>
      </c>
      <c r="EG136" s="4" t="e">
        <f t="shared" ca="1" si="1807"/>
        <v>#REF!</v>
      </c>
      <c r="EH136" s="692" t="str">
        <f ca="1">IF(LEFT($J131,7)="Clad Wo",IFERROR(VLOOKUP(INDEX(ED131:ED142,EG136),SPPWS,2,FALSE),"----"),IFERROR(VLOOKUP(INDEX(ED131:ED142,EG136),SPM,2,FALSE),"----"))</f>
        <v>----</v>
      </c>
    </row>
    <row r="137" spans="1:138" ht="15" customHeight="1" x14ac:dyDescent="0.25">
      <c r="A137" s="1085"/>
      <c r="B137" s="925" t="s">
        <v>409</v>
      </c>
      <c r="C137" s="926"/>
      <c r="D137" s="927"/>
      <c r="E137" s="995"/>
      <c r="F137" s="996"/>
      <c r="G137" s="997"/>
      <c r="H137" s="1062"/>
      <c r="I137" s="990"/>
      <c r="J137" s="908"/>
      <c r="K137" s="909"/>
      <c r="L137" s="1001">
        <f>L131+1</f>
        <v>5</v>
      </c>
      <c r="M137" s="1064" t="str">
        <f t="shared" ref="M137" si="1867">IFERROR(IF($AE$17="",IF($AG$19="Wind Loading",MIN($V$31,IF(E$11="ASCE 7-05",$U$26,$V$7)*$V$9*(IF($E$12&lt;60,0.156*LN(MAX(MIN(500,O131),10)) -1.7618,IF($E$11="ASCE 7-22", 0.2026*LN(MAX(MIN(500,O131),20))-2.2638,0.2503*LN(MAX(MIN(500,O131),20)) -2.5526))-$V$8)),$V$7*IF(E$12&lt;60,$V$13*($V$15*(0.156*LN(MAX(MIN(500,O131),10)) -1.7618)-$V$16),$V$13*$V$15*((0.2026*LN(MAX(MIN(500,O131),20))-2.2638)-$V$16))),-ABS($AE$17)),"")</f>
        <v/>
      </c>
      <c r="N137" s="1041" t="str">
        <f t="shared" ref="N137" si="1868">IFERROR(IF($AE$19="",IF($AG$19="Wind Loading",MAX($U$31,IF(E$11="ASCE 7-05",$U$26,$V$7)*$V$9*((IF($E$12&lt;60,-0.077*LN(MAX(MIN(500,O131),10))+1.1737,IF($E$11="ASCE 7-22",-0.077*LN(MAX(MIN(500,O131),20))+1.0798,-0.093*LN(MAX(MIN(500,O131),20))+1.1776)))+$V$8)),$V$7*IF(E$12&lt;60,$V$13*($V$15*(-0.077*LN(MAX(MIN(500,O131),10))+1.1737)-$V$17),$V$13*$V$15*((-0.077*LN(MAX(MIN(500,O131),20))+1.0798)-$V$17))),ABS($AE$19)),"")</f>
        <v/>
      </c>
      <c r="O137" s="1018"/>
      <c r="P137" s="987"/>
      <c r="Q137" s="1015"/>
      <c r="R137" s="1012">
        <f>P137*Q137/8</f>
        <v>0</v>
      </c>
      <c r="S137" s="1006"/>
      <c r="T137" s="1007"/>
      <c r="U137" s="878"/>
      <c r="V137" s="881"/>
      <c r="W137" s="883" t="e">
        <f t="shared" ref="W137" si="1869">MAX(-M137,N137)*O131</f>
        <v>#VALUE!</v>
      </c>
      <c r="X137" s="884"/>
      <c r="Y137" s="886">
        <f>IFERROR(IF(AG$14="Trapezoidal",BY140,BX140)+IF($E$17="4",(400*E131^3)/(48*X131),0),0)</f>
        <v>0</v>
      </c>
      <c r="Z137" s="886" t="e">
        <f t="shared" ref="Z137" si="1870">+($V131*MAX(-$M137,$N137)*$E131^2)/(144*8)+IF($E$17=4,(400*$E131)/4,0)</f>
        <v>#VALUE!</v>
      </c>
      <c r="AA137" s="887"/>
      <c r="AB137" s="1080" t="str">
        <f t="shared" ref="AB137" ca="1" si="1871">IFERROR(Z137-AA131,"")</f>
        <v/>
      </c>
      <c r="AC137" s="1086" t="str">
        <f t="shared" ref="AC137" ca="1" si="1872">IFERROR(Y137-U131,"")</f>
        <v/>
      </c>
      <c r="AD137" s="1074" t="str">
        <f t="shared" ref="AD137" si="1873">AD131</f>
        <v/>
      </c>
      <c r="AE137" s="1075"/>
      <c r="AF137" s="1056"/>
      <c r="AG137" s="1057"/>
      <c r="AH137" s="1057"/>
      <c r="AI137" s="1088"/>
      <c r="AJ137" s="1089"/>
      <c r="AK137" s="162" t="str">
        <f t="shared" ca="1" si="1130"/>
        <v/>
      </c>
      <c r="AL137" s="1058" t="str">
        <f t="shared" ref="AL137" si="1874">IFERROR(ROUND(SQRT(P131^2+(W137/2+IF($E$17=4,200,0))^2),0),"")</f>
        <v/>
      </c>
      <c r="AM137" s="342" t="s">
        <v>669</v>
      </c>
      <c r="AN137" t="str">
        <f t="shared" ca="1" si="1154"/>
        <v/>
      </c>
      <c r="AP137" s="122" t="str">
        <f t="shared" ref="AP137" si="1875">_xlfn.CONCAT(AR137,AS142)</f>
        <v/>
      </c>
      <c r="AQ137" s="683" t="str">
        <f t="shared" si="1353"/>
        <v/>
      </c>
      <c r="AR137" s="96" t="str">
        <f t="shared" si="1114"/>
        <v/>
      </c>
      <c r="AS137" s="96" t="str">
        <f>IF(COUNTIF(imp_1,AF137)=1,"imp_1",IF(COUNTIF(imp_2,AF137)=1,"imp_2",IF(COUNTIF(imp_3,AF137)=1,"imp_3",IF(COUNTIF(impdoor,AF137)=1,"impdoor",""))))</f>
        <v/>
      </c>
      <c r="AT137" s="684" t="str">
        <f>AL137</f>
        <v/>
      </c>
      <c r="AU137" s="685" t="e">
        <f t="shared" ca="1" si="1370"/>
        <v>#REF!</v>
      </c>
      <c r="AV137" s="686" t="str">
        <f ca="1">IFERROR(VLOOKUP(AU137,INDIRECT(AQ131),2,FALSE),"----")</f>
        <v>----</v>
      </c>
      <c r="AW137" s="685" t="e">
        <f t="shared" ca="1" si="1371"/>
        <v>#REF!</v>
      </c>
      <c r="AX137" s="686" t="str">
        <f ca="1">IFERROR(VLOOKUP(AW137,INDIRECT(AQ132),2,FALSE),"----")</f>
        <v>----</v>
      </c>
      <c r="AY137" s="685" t="e">
        <f t="shared" ca="1" si="1616"/>
        <v>#REF!</v>
      </c>
      <c r="AZ137" s="686" t="str">
        <f ca="1">IFERROR(VLOOKUP(AY137,INDIRECT(AQ133),2,FALSE),"----")</f>
        <v>----</v>
      </c>
      <c r="BA137" s="685" t="e">
        <f t="shared" ca="1" si="1617"/>
        <v>#REF!</v>
      </c>
      <c r="BB137" s="686" t="str">
        <f ca="1">IFERROR(VLOOKUP(BA137,INDIRECT(AQ134),2,FALSE),"----")</f>
        <v>----</v>
      </c>
      <c r="BC137" s="685" t="e">
        <f t="shared" ca="1" si="1374"/>
        <v>#REF!</v>
      </c>
      <c r="BD137" s="686" t="str">
        <f ca="1">IFERROR(VLOOKUP(BC137,INDIRECT(AQ135),2,FALSE),"----")</f>
        <v>----</v>
      </c>
      <c r="BE137" s="685" t="e">
        <f t="shared" ca="1" si="1375"/>
        <v>#REF!</v>
      </c>
      <c r="BF137" s="686" t="str">
        <f ca="1">IFERROR(VLOOKUP(BE137,INDIRECT(AQ136),2,FALSE),"----")</f>
        <v>----</v>
      </c>
      <c r="BG137" s="702" t="e">
        <f t="shared" ca="1" si="1376"/>
        <v>#REF!</v>
      </c>
      <c r="BH137" s="686" t="str">
        <f ca="1">IFERROR(VLOOKUP(BG137,INDIRECT(AQ137),2,FALSE),"----")</f>
        <v>----</v>
      </c>
      <c r="BI137" s="702" t="e">
        <f t="shared" ca="1" si="1377"/>
        <v>#REF!</v>
      </c>
      <c r="BJ137" s="686" t="str">
        <f ca="1">IFERROR(VLOOKUP(BI137,INDIRECT(AQ138),2,FALSE),"----")</f>
        <v>----</v>
      </c>
      <c r="BK137" s="702" t="e">
        <f t="shared" ca="1" si="1378"/>
        <v>#REF!</v>
      </c>
      <c r="BL137" s="686" t="str">
        <f ca="1">IFERROR(VLOOKUP(BK137,INDIRECT(AQ139),2,FALSE),"----")</f>
        <v>----</v>
      </c>
      <c r="BM137" s="702" t="e">
        <f t="shared" ca="1" si="1379"/>
        <v>#REF!</v>
      </c>
      <c r="BN137" s="686" t="str">
        <f ca="1">IFERROR(VLOOKUP(BM137,INDIRECT(AQ140),2,FALSE),"----")</f>
        <v>----</v>
      </c>
      <c r="BO137" s="702" t="e">
        <f t="shared" ca="1" si="1380"/>
        <v>#REF!</v>
      </c>
      <c r="BP137" s="686" t="str">
        <f ca="1">IFERROR(VLOOKUP(BO137,INDIRECT(AQ141),2,FALSE),"----")</f>
        <v>----</v>
      </c>
      <c r="BQ137" s="702" t="e">
        <f t="shared" ca="1" si="1381"/>
        <v>#REF!</v>
      </c>
      <c r="BR137" s="686" t="str">
        <f ca="1">IFERROR(VLOOKUP(BQ137,INDIRECT(AQ142),2,FALSE),"----")</f>
        <v>----</v>
      </c>
      <c r="BS137" s="695">
        <f>IF(AI137="",1,IF(COUNTIF(BH131:BH142,AI137)=0,2,1))</f>
        <v>1</v>
      </c>
      <c r="BT137" s="696">
        <f>IF(AP137="1",1,IF(AF137="",1,IF(BH131=".",2,1)))</f>
        <v>1</v>
      </c>
      <c r="BU137" s="706"/>
      <c r="BV137" s="155">
        <f ca="1">IF(COUNTIF(DI131:DI142,AF137)=0,IF(AF137&lt;&gt;"",0,1),1)</f>
        <v>1</v>
      </c>
      <c r="BW137" s="157">
        <f ca="1">IFERROR(MATCH(AF137,DI131:DI142,0),1)</f>
        <v>1</v>
      </c>
      <c r="BX137" s="769" t="s">
        <v>1593</v>
      </c>
      <c r="BY137" s="769" t="s">
        <v>1629</v>
      </c>
      <c r="BZ137" s="1110"/>
      <c r="CA137" s="691" t="e">
        <f t="shared" ca="1" si="1772"/>
        <v>#REF!</v>
      </c>
      <c r="CB137" s="4" t="e" cm="1">
        <f t="array" aca="1" ref="CB137" ca="1">IF(AND(INDEX(INDIRECT(BY131),CA137,4)&gt;=$AB131,INDEX(INDIRECT(BY131),CA137,5)&gt;=$S131,INDEX(INDIRECT(BY131),CA137,6)&gt;=$R131),1,0)</f>
        <v>#REF!</v>
      </c>
      <c r="CC137" s="4" t="e">
        <f t="shared" ref="CC137" ca="1" si="1876">MATCH(1,OFFSET(CB131:CB142,CD136,0,COUNT(CB131:CB142)-CD136),0)</f>
        <v>#REF!</v>
      </c>
      <c r="CD137" s="4" t="e">
        <f t="shared" ca="1" si="1774"/>
        <v>#REF!</v>
      </c>
      <c r="CE137" s="692" t="str" cm="1">
        <f t="array" aca="1" ref="CE137" ca="1">IFERROR(VLOOKUP(INDEX(CA131:CA142,CD137),INDIRECT(BY131),2,FALSE),"----")</f>
        <v>----</v>
      </c>
      <c r="CF137" s="691" t="e">
        <f t="shared" ca="1" si="1775"/>
        <v>#N/A</v>
      </c>
      <c r="CG137" s="4" t="e">
        <f ca="1">IF(AND(INDEX(SSM,CF137,4)&gt;=$AB131,INDEX(SSM,CF137,5)&gt;=$S131,INDEX(SSM,CF137,6)&gt;=$R131),1,0)</f>
        <v>#N/A</v>
      </c>
      <c r="CH137" s="4" t="e">
        <f t="shared" ref="CH137" ca="1" si="1877">MATCH(1,OFFSET(CG131:CG142,CI136,0,COUNT(CG131:CG142)-CI136),0)</f>
        <v>#REF!</v>
      </c>
      <c r="CI137" s="4" t="e">
        <f t="shared" ca="1" si="1777"/>
        <v>#REF!</v>
      </c>
      <c r="CJ137" s="692" t="str">
        <f ca="1">IFERROR(IF(AD132="Nested Steel Stud (wood infill)",VLOOKUP(INDEX(CF131:CF142,CI137),SSW,2,FALSE),VLOOKUP(INDEX(CF131:CF142,CI137),SSM,2,FALSE)),"----")</f>
        <v>----</v>
      </c>
      <c r="CK137" s="691" t="e">
        <f t="shared" ca="1" si="1778"/>
        <v>#N/A</v>
      </c>
      <c r="CL137" s="4" t="e">
        <f ca="1">IF(AND(INDEX(WSM,CK137,4)&gt;=$AB131,INDEX(WSM,CK137,5)&gt;=$S131,INDEX(WSM,CK137,6)&gt;=$R131),1,0)</f>
        <v>#N/A</v>
      </c>
      <c r="CM137" s="4" t="e">
        <f t="shared" ref="CM137" ca="1" si="1878">MATCH(1,OFFSET(CL131:CL142,CN136,0,COUNT(CL131:CL142)-CN136),0)</f>
        <v>#REF!</v>
      </c>
      <c r="CN137" s="4" t="e">
        <f t="shared" ca="1" si="1780"/>
        <v>#REF!</v>
      </c>
      <c r="CO137" s="692" t="str">
        <f ca="1">IFERROR(VLOOKUP(INDEX(CK131:CK142,CN137),WSM,2,FALSE),"----")</f>
        <v>----</v>
      </c>
      <c r="CP137" s="691" t="e">
        <f t="shared" ca="1" si="1781"/>
        <v>#N/A</v>
      </c>
      <c r="CQ137" s="4" t="e">
        <f ca="1">IF(AND(INDEX(STM,CP137,4)&gt;=$AB131,INDEX(STM,CP137,5)&gt;=$S131,INDEX(STM,CP137,6)&gt;=$R131),1,0)</f>
        <v>#N/A</v>
      </c>
      <c r="CR137" s="4" t="e">
        <f t="shared" ref="CR137" ca="1" si="1879">MATCH(1,OFFSET(CQ131:CQ142,CS136,0,COUNT(CQ131:CQ142)-CS136),0)</f>
        <v>#REF!</v>
      </c>
      <c r="CS137" s="4" t="e">
        <f t="shared" ca="1" si="1783"/>
        <v>#REF!</v>
      </c>
      <c r="CT137" s="692" t="str">
        <f ca="1">IFERROR(VLOOKUP(INDEX(CP131:CP142,CS137),STM,2,FALSE),"----")</f>
        <v>----</v>
      </c>
      <c r="CU137" s="691" t="e">
        <f t="shared" ca="1" si="1784"/>
        <v>#N/A</v>
      </c>
      <c r="CV137" s="4" t="e">
        <f ca="1">IF(AND(INDEX(ELM,CU137,4)&gt;=$AB131,INDEX(ELM,CU137,5)&gt;=$S131,INDEX(ELM,CU137,6)&gt;=$R131),1,0)</f>
        <v>#N/A</v>
      </c>
      <c r="CW137" s="4" t="e">
        <f t="shared" ref="CW137" ca="1" si="1880">MATCH(1,OFFSET(CV131:CV142,CX136,0,COUNT(CV131:CV142)-CX136),0)</f>
        <v>#REF!</v>
      </c>
      <c r="CX137" s="4" t="e">
        <f t="shared" ca="1" si="1786"/>
        <v>#REF!</v>
      </c>
      <c r="CY137" s="692" t="str">
        <f ca="1">IFERROR(VLOOKUP(INDEX(CU131:CU142,CX137),ELM,2,FALSE),"----")</f>
        <v>----</v>
      </c>
      <c r="CZ137" s="691" t="e">
        <f t="shared" ca="1" si="1787"/>
        <v>#N/A</v>
      </c>
      <c r="DA137" s="4" t="e">
        <f ca="1">IF(LEFT($J131,7)="Clad Wo",IF(AND(INDEX(SPPWS,CZ137,4)&gt;=$AB131,INDEX(SPPWS,CZ137,5)&gt;=$S131,INDEX(SPPWS,CZ137,6)&gt;=$R131),1,0),IF(AND(INDEX(SPM,CZ137,4)&gt;=$AB131,INDEX(SPM,CZ137,5)&gt;=$S131,INDEX(SPM,CZ137,6)&gt;=$R131),1,0))</f>
        <v>#N/A</v>
      </c>
      <c r="DB137" s="4" t="e">
        <f t="shared" ref="DB137" ca="1" si="1881">MATCH(1,OFFSET(DA131:DA142,DC136,0,COUNT(DA131:DA142)-DC136),0)</f>
        <v>#REF!</v>
      </c>
      <c r="DC137" s="4" t="e">
        <f t="shared" ca="1" si="1789"/>
        <v>#REF!</v>
      </c>
      <c r="DD137" s="693" t="str">
        <f ca="1">IF(LEFT($J131,7)="Clad Wo",IFERROR(VLOOKUP(INDEX(CZ131:CZ142,DC137),SPPWS,2,FALSE),"----"),IFERROR(VLOOKUP(INDEX(CZ131:CZ142,DC137),SPM,2,FALSE),"----"))</f>
        <v>----</v>
      </c>
      <c r="DE137" s="691" t="e">
        <f t="shared" ca="1" si="1790"/>
        <v>#REF!</v>
      </c>
      <c r="DF137" s="4" t="e" cm="1">
        <f t="array" aca="1" ref="DF137" ca="1">IF(AND(INDEX(INDIRECT(BY131),DE137,4)&gt;=$AB137,INDEX(INDIRECT(BY131),DE137,5)&gt;=$S131,INDEX(INDIRECT(BY131),DE137,6)&gt;=$R131),1,0)</f>
        <v>#REF!</v>
      </c>
      <c r="DG137" s="4" t="e">
        <f t="shared" ref="DG137" ca="1" si="1882">MATCH(1,OFFSET(DF131:DF142,DH136,0,COUNT(DF131:DF142)-DH136),0)</f>
        <v>#REF!</v>
      </c>
      <c r="DH137" s="4" t="e">
        <f t="shared" ca="1" si="1792"/>
        <v>#REF!</v>
      </c>
      <c r="DI137" s="692" t="str" cm="1">
        <f t="array" aca="1" ref="DI137" ca="1">IFERROR(VLOOKUP(INDEX(DE131:DE142,DH137),INDIRECT(BY131),2,FALSE),"----")</f>
        <v>----</v>
      </c>
      <c r="DJ137" s="691" t="e">
        <f t="shared" ca="1" si="1793"/>
        <v>#N/A</v>
      </c>
      <c r="DK137" s="4" t="e">
        <f ca="1">IF(AND(INDEX(SSM,DJ137,4)&gt;=$AB137,INDEX(SSM,DJ137,5)&gt;=$S131,INDEX(SSM,DJ137,6)&gt;=$R131),1,0)</f>
        <v>#N/A</v>
      </c>
      <c r="DL137" s="4" t="e">
        <f t="shared" ref="DL137" ca="1" si="1883">MATCH(1,OFFSET(DK131:DK142,DM136,0,COUNT(DK131:DK142)-DM136),0)</f>
        <v>#REF!</v>
      </c>
      <c r="DM137" s="4" t="e">
        <f t="shared" ca="1" si="1795"/>
        <v>#REF!</v>
      </c>
      <c r="DN137" s="692" t="str">
        <f ca="1">IFERROR(IF(AD138="Nested Steel Stud (wood infill)",VLOOKUP(INDEX(DJ131:DJ142,DM137),SSW,2,FALSE),VLOOKUP(INDEX(DJ131:DJ142,DM137),SSM,2,FALSE)),"----")</f>
        <v>----</v>
      </c>
      <c r="DO137" s="691" t="e">
        <f t="shared" ca="1" si="1796"/>
        <v>#N/A</v>
      </c>
      <c r="DP137" s="4" t="e">
        <f ca="1">IF(AND(INDEX(WSM,DO137,4)&gt;=$AB137,INDEX(WSM,DO137,5)&gt;=$S131,INDEX(WSM,DO137,6)&gt;=$R131),1,0)</f>
        <v>#N/A</v>
      </c>
      <c r="DQ137" s="4" t="e">
        <f t="shared" ref="DQ137" ca="1" si="1884">MATCH(1,OFFSET(DP131:DP142,DR136,0,COUNT(DP131:DP142)-DR136),0)</f>
        <v>#REF!</v>
      </c>
      <c r="DR137" s="4" t="e">
        <f t="shared" ca="1" si="1798"/>
        <v>#REF!</v>
      </c>
      <c r="DS137" s="692" t="str">
        <f ca="1">IFERROR(VLOOKUP(INDEX(DO131:DO142,DR137),WSM,2,FALSE),"----")</f>
        <v>----</v>
      </c>
      <c r="DT137" s="691" t="e">
        <f t="shared" ca="1" si="1799"/>
        <v>#N/A</v>
      </c>
      <c r="DU137" s="4" t="e">
        <f ca="1">IF(AND(INDEX(STM,DT137,4)&gt;=$AB137,INDEX(STM,DT137,5)&gt;=$S131,INDEX(STM,DT137,6)&gt;=$R131),1,0)</f>
        <v>#N/A</v>
      </c>
      <c r="DV137" s="4" t="e">
        <f t="shared" ref="DV137" ca="1" si="1885">MATCH(1,OFFSET(DU131:DU142,DW136,0,COUNT(DU131:DU142)-DW136),0)</f>
        <v>#REF!</v>
      </c>
      <c r="DW137" s="4" t="e">
        <f t="shared" ca="1" si="1801"/>
        <v>#REF!</v>
      </c>
      <c r="DX137" s="692" t="str">
        <f ca="1">IFERROR(VLOOKUP(INDEX(DT131:DT142,DW137),STM,2,FALSE),"----")</f>
        <v>----</v>
      </c>
      <c r="DY137" s="691" t="e">
        <f t="shared" ca="1" si="1802"/>
        <v>#N/A</v>
      </c>
      <c r="DZ137" s="4" t="e">
        <f ca="1">IF(AND(INDEX(ELM,DY137,4)&gt;=$AB137,INDEX(ELM,DY137,5)&gt;=$S131,INDEX(ELM,DY137,6)&gt;=$R131),1,0)</f>
        <v>#N/A</v>
      </c>
      <c r="EA137" s="4" t="e">
        <f t="shared" ref="EA137" ca="1" si="1886">MATCH(1,OFFSET(DZ131:DZ142,EB136,0,COUNT(DZ131:DZ142)-EB136),0)</f>
        <v>#REF!</v>
      </c>
      <c r="EB137" s="4" t="e">
        <f t="shared" ca="1" si="1804"/>
        <v>#REF!</v>
      </c>
      <c r="EC137" s="692" t="str">
        <f ca="1">IFERROR(VLOOKUP(INDEX(DY131:DY142,EB137),ELM,2,FALSE),"----")</f>
        <v>----</v>
      </c>
      <c r="ED137" s="691" t="e">
        <f t="shared" ca="1" si="1805"/>
        <v>#N/A</v>
      </c>
      <c r="EE137" s="4" t="e">
        <f ca="1">IF(LEFT($J131,7)="Clad Wo",IF(AND(INDEX(SPPWS,ED137,4)&gt;=$AB137,INDEX(SPPWS,ED137,5)&gt;=$S131,INDEX(SPPWS,ED137,6)&gt;=$R131),1,0),IF(AND(INDEX(SPM,ED137,4)&gt;=$AB137,INDEX(SPM,ED137,5)&gt;=$S131,INDEX(SPM,ED137,6)&gt;=$R131),1,0))</f>
        <v>#N/A</v>
      </c>
      <c r="EF137" s="4" t="e">
        <f t="shared" ref="EF137" ca="1" si="1887">MATCH(1,OFFSET(EE131:EE142,EG136,0,COUNT(EE131:EE142)-EG136),0)</f>
        <v>#REF!</v>
      </c>
      <c r="EG137" s="4" t="e">
        <f t="shared" ca="1" si="1807"/>
        <v>#REF!</v>
      </c>
      <c r="EH137" s="692" t="str">
        <f ca="1">IF(LEFT($J131,7)="Clad Wo",IFERROR(VLOOKUP(INDEX(ED131:ED142,EG137),SPPWS,2,FALSE),"----"),IFERROR(VLOOKUP(INDEX(ED131:ED142,EG137),SPM,2,FALSE),"----"))</f>
        <v>----</v>
      </c>
    </row>
    <row r="138" spans="1:138" ht="15" customHeight="1" x14ac:dyDescent="0.25">
      <c r="A138" s="1085"/>
      <c r="B138" s="925"/>
      <c r="C138" s="926"/>
      <c r="D138" s="927"/>
      <c r="E138" s="995"/>
      <c r="F138" s="996"/>
      <c r="G138" s="997"/>
      <c r="H138" s="1062"/>
      <c r="I138" s="990"/>
      <c r="J138" s="912"/>
      <c r="K138" s="913"/>
      <c r="L138" s="1002"/>
      <c r="M138" s="923"/>
      <c r="N138" s="1042"/>
      <c r="O138" s="1018"/>
      <c r="P138" s="987"/>
      <c r="Q138" s="1015"/>
      <c r="R138" s="1012"/>
      <c r="S138" s="1006"/>
      <c r="T138" s="1007"/>
      <c r="U138" s="878"/>
      <c r="V138" s="881"/>
      <c r="W138" s="884"/>
      <c r="X138" s="884"/>
      <c r="Y138" s="887"/>
      <c r="Z138" s="887"/>
      <c r="AA138" s="887"/>
      <c r="AB138" s="1081"/>
      <c r="AC138" s="1078"/>
      <c r="AD138" s="1070" t="str">
        <f t="shared" ref="AD138" si="1888">IF(ISBLANK(AD132)=TRUE,"",AD132)</f>
        <v>Nested Steel Stud</v>
      </c>
      <c r="AE138" s="1071"/>
      <c r="AF138" s="1052"/>
      <c r="AG138" s="1053"/>
      <c r="AH138" s="1053"/>
      <c r="AI138" s="1066"/>
      <c r="AJ138" s="1067"/>
      <c r="AK138" s="156" t="str">
        <f t="shared" ca="1" si="1130"/>
        <v/>
      </c>
      <c r="AL138" s="1059"/>
      <c r="AM138" s="343" t="str">
        <f ca="1">IFERROR(Q131/12*ROUND(VLOOKUP(AF138,OFFSET(SSM,0,1),6,FALSE),2),"")</f>
        <v/>
      </c>
      <c r="AN138" t="str">
        <f t="shared" ca="1" si="1154"/>
        <v/>
      </c>
      <c r="AP138" s="122" t="str">
        <f t="shared" ref="AP138" si="1889">_xlfn.CONCAT(AR138,AS142)</f>
        <v/>
      </c>
      <c r="AQ138" s="683" t="str">
        <f t="shared" si="1353"/>
        <v/>
      </c>
      <c r="AR138" s="96" t="str">
        <f t="shared" si="1114"/>
        <v/>
      </c>
      <c r="AS138" s="96" t="str">
        <f>IF(COUNTIF(Vista_1,AF137)=1,"Vista_1",IF(COUNTIF(Vista_2,AF137)=1,"Vista_2",""))</f>
        <v/>
      </c>
      <c r="AT138" s="684" t="str">
        <f>AL137</f>
        <v/>
      </c>
      <c r="AU138" s="694" t="e">
        <f t="shared" ca="1" si="1370"/>
        <v>#REF!</v>
      </c>
      <c r="AV138" s="686" t="str">
        <f ca="1">IFERROR(VLOOKUP(AU138,INDIRECT(AQ131),2,FALSE),"----")</f>
        <v>----</v>
      </c>
      <c r="AW138" s="694" t="e">
        <f t="shared" ca="1" si="1371"/>
        <v>#REF!</v>
      </c>
      <c r="AX138" s="686" t="str">
        <f ca="1">IFERROR(VLOOKUP(AW138,INDIRECT(AQ132),2,FALSE),"----")</f>
        <v>----</v>
      </c>
      <c r="AY138" s="694" t="e">
        <f t="shared" ca="1" si="1616"/>
        <v>#REF!</v>
      </c>
      <c r="AZ138" s="686" t="str">
        <f ca="1">IFERROR(VLOOKUP(AY138,INDIRECT(AQ133),2,FALSE),"----")</f>
        <v>----</v>
      </c>
      <c r="BA138" s="694" t="e">
        <f t="shared" ca="1" si="1617"/>
        <v>#REF!</v>
      </c>
      <c r="BB138" s="686" t="str">
        <f ca="1">IFERROR(VLOOKUP(BA138,INDIRECT(AQ134),2,FALSE),"----")</f>
        <v>----</v>
      </c>
      <c r="BC138" s="694" t="e">
        <f t="shared" ca="1" si="1374"/>
        <v>#REF!</v>
      </c>
      <c r="BD138" s="686" t="str">
        <f ca="1">IFERROR(VLOOKUP(BC138,INDIRECT(AQ135),2,FALSE),"----")</f>
        <v>----</v>
      </c>
      <c r="BE138" s="694" t="e">
        <f t="shared" ca="1" si="1375"/>
        <v>#REF!</v>
      </c>
      <c r="BF138" s="686" t="str">
        <f ca="1">IFERROR(VLOOKUP(BE138,INDIRECT(AQ136),2,FALSE),"----")</f>
        <v>----</v>
      </c>
      <c r="BG138" s="702" t="e">
        <f t="shared" ca="1" si="1376"/>
        <v>#REF!</v>
      </c>
      <c r="BH138" s="686" t="str">
        <f ca="1">IFERROR(VLOOKUP(BG138,INDIRECT(AQ137),2,FALSE),"----")</f>
        <v>----</v>
      </c>
      <c r="BI138" s="702" t="e">
        <f t="shared" ca="1" si="1377"/>
        <v>#REF!</v>
      </c>
      <c r="BJ138" s="686" t="str">
        <f ca="1">IFERROR(VLOOKUP(BI138,INDIRECT(AQ138),2,FALSE),"----")</f>
        <v>----</v>
      </c>
      <c r="BK138" s="702" t="e">
        <f t="shared" ca="1" si="1378"/>
        <v>#REF!</v>
      </c>
      <c r="BL138" s="686" t="str">
        <f ca="1">IFERROR(VLOOKUP(BK138,INDIRECT(AQ139),2,FALSE),"----")</f>
        <v>----</v>
      </c>
      <c r="BM138" s="702" t="e">
        <f t="shared" ca="1" si="1379"/>
        <v>#REF!</v>
      </c>
      <c r="BN138" s="686" t="str">
        <f ca="1">IFERROR(VLOOKUP(BM138,INDIRECT(AQ140),2,FALSE),"----")</f>
        <v>----</v>
      </c>
      <c r="BO138" s="702" t="e">
        <f t="shared" ca="1" si="1380"/>
        <v>#REF!</v>
      </c>
      <c r="BP138" s="686" t="str">
        <f ca="1">IFERROR(VLOOKUP(BO138,INDIRECT(AQ141),2,FALSE),"----")</f>
        <v>----</v>
      </c>
      <c r="BQ138" s="702" t="e">
        <f t="shared" ca="1" si="1381"/>
        <v>#REF!</v>
      </c>
      <c r="BR138" s="686" t="str">
        <f ca="1">IFERROR(VLOOKUP(BQ138,INDIRECT(AQ142),2,FALSE),"----")</f>
        <v>----</v>
      </c>
      <c r="BS138" s="695">
        <f>IF(AI138="",1,IF(COUNTIF(BJ131:BJ142,AI138)=0,2,1))</f>
        <v>1</v>
      </c>
      <c r="BT138" s="696">
        <f>IF(AF138="",1,IF(BJ131=".",2,1))</f>
        <v>1</v>
      </c>
      <c r="BU138" s="706"/>
      <c r="BV138" s="155">
        <f ca="1">IF(COUNTIF(DN131:DN142,AF138)=0,IF(AF138&lt;&gt;"",0,1),1)</f>
        <v>1</v>
      </c>
      <c r="BW138" s="157">
        <f ca="1">IFERROR(MATCH(AF138,DN131:DN142,0),1)</f>
        <v>1</v>
      </c>
      <c r="BX138" s="769">
        <f t="shared" ref="BX138" si="1890">E131*(H131+I131)/144/2</f>
        <v>0</v>
      </c>
      <c r="BY138" s="769">
        <f>SUM(IF(H131&gt;E131,E131^2/4,(H131*E131/2)-(H131^2/4))/144,IF(I131&gt;E131,E131^2/4,(I131*E131/2)-(I131^2/4))/144)</f>
        <v>0</v>
      </c>
      <c r="BZ138" s="1110"/>
      <c r="CA138" s="691" t="e">
        <f t="shared" ca="1" si="1772"/>
        <v>#REF!</v>
      </c>
      <c r="CB138" s="4" t="e" cm="1">
        <f t="array" aca="1" ref="CB138" ca="1">IF(AND(INDEX(INDIRECT(BY131),CA138,4)&gt;=$AB131,INDEX(INDIRECT(BY131),CA138,5)&gt;=$S131,INDEX(INDIRECT(BY131),CA138,6)&gt;=$R131),1,0)</f>
        <v>#REF!</v>
      </c>
      <c r="CC138" s="4" t="e">
        <f t="shared" ref="CC138" ca="1" si="1891">MATCH(1,OFFSET(CB131:CB142,CD137,0,COUNT(CB131:CB142)-CD137),0)</f>
        <v>#REF!</v>
      </c>
      <c r="CD138" s="4" t="e">
        <f t="shared" ca="1" si="1774"/>
        <v>#REF!</v>
      </c>
      <c r="CE138" s="692" t="str" cm="1">
        <f t="array" aca="1" ref="CE138" ca="1">IFERROR(VLOOKUP(INDEX(CA131:CA142,CD138),INDIRECT(BY131),2,FALSE),"----")</f>
        <v>----</v>
      </c>
      <c r="CF138" s="691" t="e">
        <f t="shared" ca="1" si="1775"/>
        <v>#N/A</v>
      </c>
      <c r="CG138" s="4" t="e">
        <f ca="1">IF(AND(INDEX(SSM,CF138,4)&gt;=$AB131,INDEX(SSM,CF138,5)&gt;=$S131,INDEX(SSM,CF138,6)&gt;=$R131),1,0)</f>
        <v>#N/A</v>
      </c>
      <c r="CH138" s="4" t="e">
        <f t="shared" ref="CH138" ca="1" si="1892">MATCH(1,OFFSET(CG131:CG142,CI137,0,COUNT(CG131:CG142)-CI137),0)</f>
        <v>#REF!</v>
      </c>
      <c r="CI138" s="4" t="e">
        <f t="shared" ca="1" si="1777"/>
        <v>#REF!</v>
      </c>
      <c r="CJ138" s="692" t="str">
        <f ca="1">IFERROR(IF(AD132="Nested Steel Stud (wood infill)",VLOOKUP(INDEX(CF131:CF142,CI138),SSW,2,FALSE),VLOOKUP(INDEX(CF131:CF142,CI138),SSM,2,FALSE)),"----")</f>
        <v>----</v>
      </c>
      <c r="CK138" s="691" t="e">
        <f t="shared" ca="1" si="1778"/>
        <v>#N/A</v>
      </c>
      <c r="CL138" s="4" t="e">
        <f ca="1">IF(AND(INDEX(WSM,CK138,4)&gt;=$AB131,INDEX(WSM,CK138,5)&gt;=$S131,INDEX(WSM,CK138,6)&gt;=$R131),1,0)</f>
        <v>#N/A</v>
      </c>
      <c r="CM138" s="4" t="e">
        <f t="shared" ref="CM138" ca="1" si="1893">MATCH(1,OFFSET(CL131:CL142,CN137,0,COUNT(CL131:CL142)-CN137),0)</f>
        <v>#REF!</v>
      </c>
      <c r="CN138" s="4" t="e">
        <f t="shared" ca="1" si="1780"/>
        <v>#REF!</v>
      </c>
      <c r="CO138" s="692" t="str">
        <f ca="1">IFERROR(VLOOKUP(INDEX(CK131:CK142,CN138),WSM,2,FALSE),"----")</f>
        <v>----</v>
      </c>
      <c r="CP138" s="691" t="e">
        <f t="shared" ca="1" si="1781"/>
        <v>#N/A</v>
      </c>
      <c r="CQ138" s="4" t="e">
        <f ca="1">IF(AND(INDEX(STM,CP138,4)&gt;=$AB131,INDEX(STM,CP138,5)&gt;=$S131,INDEX(STM,CP138,6)&gt;=$R131),1,0)</f>
        <v>#N/A</v>
      </c>
      <c r="CR138" s="4" t="e">
        <f t="shared" ref="CR138" ca="1" si="1894">MATCH(1,OFFSET(CQ131:CQ142,CS137,0,COUNT(CQ131:CQ142)-CS137),0)</f>
        <v>#REF!</v>
      </c>
      <c r="CS138" s="4" t="e">
        <f t="shared" ca="1" si="1783"/>
        <v>#REF!</v>
      </c>
      <c r="CT138" s="692" t="str">
        <f ca="1">IFERROR(VLOOKUP(INDEX(CP131:CP142,CS138),STM,2,FALSE),"----")</f>
        <v>----</v>
      </c>
      <c r="CU138" s="691" t="e">
        <f t="shared" ca="1" si="1784"/>
        <v>#N/A</v>
      </c>
      <c r="CV138" s="4" t="e">
        <f ca="1">IF(AND(INDEX(ELM,CU138,4)&gt;=$AB131,INDEX(ELM,CU138,5)&gt;=$S131,INDEX(ELM,CU138,6)&gt;=$R131),1,0)</f>
        <v>#N/A</v>
      </c>
      <c r="CW138" s="4" t="e">
        <f t="shared" ref="CW138" ca="1" si="1895">MATCH(1,OFFSET(CV131:CV142,CX137,0,COUNT(CV131:CV142)-CX137),0)</f>
        <v>#REF!</v>
      </c>
      <c r="CX138" s="4" t="e">
        <f t="shared" ca="1" si="1786"/>
        <v>#REF!</v>
      </c>
      <c r="CY138" s="692" t="str">
        <f ca="1">IFERROR(VLOOKUP(INDEX(CU131:CU142,CX138),ELM,2,FALSE),"----")</f>
        <v>----</v>
      </c>
      <c r="CZ138" s="691" t="e">
        <f t="shared" ca="1" si="1787"/>
        <v>#N/A</v>
      </c>
      <c r="DA138" s="4" t="e">
        <f ca="1">IF(LEFT($J131,7)="Clad Wo",IF(AND(INDEX(SPPWS,CZ138,4)&gt;=$AB131,INDEX(SPPWS,CZ138,5)&gt;=$S131,INDEX(SPPWS,CZ138,6)&gt;=$R131),1,0),IF(AND(INDEX(SPM,CZ138,4)&gt;=$AB131,INDEX(SPM,CZ138,5)&gt;=$S131,INDEX(SPM,CZ138,6)&gt;=$R131),1,0))</f>
        <v>#N/A</v>
      </c>
      <c r="DB138" s="4" t="e">
        <f t="shared" ref="DB138" ca="1" si="1896">MATCH(1,OFFSET(DA131:DA142,DC137,0,COUNT(DA131:DA142)-DC137),0)</f>
        <v>#REF!</v>
      </c>
      <c r="DC138" s="4" t="e">
        <f t="shared" ca="1" si="1789"/>
        <v>#REF!</v>
      </c>
      <c r="DD138" s="693" t="str">
        <f ca="1">IF(LEFT($J131,7)="Clad Wo",IFERROR(VLOOKUP(INDEX(CZ131:CZ142,DC138),SPPWS,2,FALSE),"----"),IFERROR(VLOOKUP(INDEX(CZ131:CZ142,DC138),SPM,2,FALSE),"----"))</f>
        <v>----</v>
      </c>
      <c r="DE138" s="691" t="e">
        <f t="shared" ca="1" si="1790"/>
        <v>#REF!</v>
      </c>
      <c r="DF138" s="4" t="e" cm="1">
        <f t="array" aca="1" ref="DF138" ca="1">IF(AND(INDEX(INDIRECT(BY131),DE138,4)&gt;=$AB137,INDEX(INDIRECT(BY131),DE138,5)&gt;=$S131,INDEX(INDIRECT(BY131),DE138,6)&gt;=$R131),1,0)</f>
        <v>#REF!</v>
      </c>
      <c r="DG138" s="4" t="e">
        <f t="shared" ref="DG138" ca="1" si="1897">MATCH(1,OFFSET(DF131:DF142,DH137,0,COUNT(DF131:DF142)-DH137),0)</f>
        <v>#REF!</v>
      </c>
      <c r="DH138" s="4" t="e">
        <f t="shared" ca="1" si="1792"/>
        <v>#REF!</v>
      </c>
      <c r="DI138" s="692" t="str" cm="1">
        <f t="array" aca="1" ref="DI138" ca="1">IFERROR(VLOOKUP(INDEX(DE131:DE142,DH138),INDIRECT(BY131),2,FALSE),"----")</f>
        <v>----</v>
      </c>
      <c r="DJ138" s="691" t="e">
        <f t="shared" ca="1" si="1793"/>
        <v>#N/A</v>
      </c>
      <c r="DK138" s="4" t="e">
        <f ca="1">IF(AND(INDEX(SSM,DJ138,4)&gt;=$AB137,INDEX(SSM,DJ138,5)&gt;=$S131,INDEX(SSM,DJ138,6)&gt;=$R131),1,0)</f>
        <v>#N/A</v>
      </c>
      <c r="DL138" s="4" t="e">
        <f t="shared" ref="DL138" ca="1" si="1898">MATCH(1,OFFSET(DK131:DK142,DM137,0,COUNT(DK131:DK142)-DM137),0)</f>
        <v>#REF!</v>
      </c>
      <c r="DM138" s="4" t="e">
        <f t="shared" ca="1" si="1795"/>
        <v>#REF!</v>
      </c>
      <c r="DN138" s="692" t="str">
        <f ca="1">IFERROR(IF(AD138="Nested Steel Stud (wood infill)",VLOOKUP(INDEX(DJ131:DJ142,DM138),SSW,2,FALSE),VLOOKUP(INDEX(DJ131:DJ142,DM138),SSM,2,FALSE)),"----")</f>
        <v>----</v>
      </c>
      <c r="DO138" s="691" t="e">
        <f t="shared" ca="1" si="1796"/>
        <v>#N/A</v>
      </c>
      <c r="DP138" s="4" t="e">
        <f ca="1">IF(AND(INDEX(WSM,DO138,4)&gt;=$AB137,INDEX(WSM,DO138,5)&gt;=$S131,INDEX(WSM,DO138,6)&gt;=$R131),1,0)</f>
        <v>#N/A</v>
      </c>
      <c r="DQ138" s="4" t="e">
        <f t="shared" ref="DQ138" ca="1" si="1899">MATCH(1,OFFSET(DP131:DP142,DR137,0,COUNT(DP131:DP142)-DR137),0)</f>
        <v>#REF!</v>
      </c>
      <c r="DR138" s="4" t="e">
        <f t="shared" ca="1" si="1798"/>
        <v>#REF!</v>
      </c>
      <c r="DS138" s="692" t="str">
        <f ca="1">IFERROR(VLOOKUP(INDEX(DO131:DO142,DR138),WSM,2,FALSE),"----")</f>
        <v>----</v>
      </c>
      <c r="DT138" s="691" t="e">
        <f t="shared" ca="1" si="1799"/>
        <v>#N/A</v>
      </c>
      <c r="DU138" s="4" t="e">
        <f ca="1">IF(AND(INDEX(STM,DT138,4)&gt;=$AB137,INDEX(STM,DT138,5)&gt;=$S131,INDEX(STM,DT138,6)&gt;=$R131),1,0)</f>
        <v>#N/A</v>
      </c>
      <c r="DV138" s="4" t="e">
        <f t="shared" ref="DV138" ca="1" si="1900">MATCH(1,OFFSET(DU131:DU142,DW137,0,COUNT(DU131:DU142)-DW137),0)</f>
        <v>#REF!</v>
      </c>
      <c r="DW138" s="4" t="e">
        <f t="shared" ca="1" si="1801"/>
        <v>#REF!</v>
      </c>
      <c r="DX138" s="692" t="str">
        <f ca="1">IFERROR(VLOOKUP(INDEX(DT131:DT142,DW138),STM,2,FALSE),"----")</f>
        <v>----</v>
      </c>
      <c r="DY138" s="691" t="e">
        <f t="shared" ca="1" si="1802"/>
        <v>#N/A</v>
      </c>
      <c r="DZ138" s="4" t="e">
        <f ca="1">IF(AND(INDEX(ELM,DY138,4)&gt;=$AB137,INDEX(ELM,DY138,5)&gt;=$S131,INDEX(ELM,DY138,6)&gt;=$R131),1,0)</f>
        <v>#N/A</v>
      </c>
      <c r="EA138" s="4" t="e">
        <f t="shared" ref="EA138" ca="1" si="1901">MATCH(1,OFFSET(DZ131:DZ142,EB137,0,COUNT(DZ131:DZ142)-EB137),0)</f>
        <v>#REF!</v>
      </c>
      <c r="EB138" s="4" t="e">
        <f t="shared" ca="1" si="1804"/>
        <v>#REF!</v>
      </c>
      <c r="EC138" s="692" t="str">
        <f ca="1">IFERROR(VLOOKUP(INDEX(DY131:DY142,EB138),ELM,2,FALSE),"----")</f>
        <v>----</v>
      </c>
      <c r="ED138" s="691" t="e">
        <f t="shared" ca="1" si="1805"/>
        <v>#N/A</v>
      </c>
      <c r="EE138" s="4" t="e">
        <f ca="1">IF(LEFT($J131,7)="Clad Wo",IF(AND(INDEX(SPPWS,ED138,4)&gt;=$AB137,INDEX(SPPWS,ED138,5)&gt;=$S131,INDEX(SPPWS,ED138,6)&gt;=$R131),1,0),IF(AND(INDEX(SPM,ED138,4)&gt;=$AB137,INDEX(SPM,ED138,5)&gt;=$S131,INDEX(SPM,ED138,6)&gt;=$R131),1,0))</f>
        <v>#N/A</v>
      </c>
      <c r="EF138" s="4" t="e">
        <f t="shared" ref="EF138" ca="1" si="1902">MATCH(1,OFFSET(EE131:EE142,EG137,0,COUNT(EE131:EE142)-EG137),0)</f>
        <v>#REF!</v>
      </c>
      <c r="EG138" s="4" t="e">
        <f t="shared" ca="1" si="1807"/>
        <v>#REF!</v>
      </c>
      <c r="EH138" s="692" t="str">
        <f ca="1">IF(LEFT($J131,7)="Clad Wo",IFERROR(VLOOKUP(INDEX(ED131:ED142,EG138),SPPWS,2,FALSE),"----"),IFERROR(VLOOKUP(INDEX(ED131:ED142,EG138),SPM,2,FALSE),"----"))</f>
        <v>----</v>
      </c>
    </row>
    <row r="139" spans="1:138" ht="15" customHeight="1" x14ac:dyDescent="0.25">
      <c r="A139" s="1085"/>
      <c r="B139" s="925"/>
      <c r="C139" s="926"/>
      <c r="D139" s="927"/>
      <c r="E139" s="995"/>
      <c r="F139" s="996"/>
      <c r="G139" s="997"/>
      <c r="H139" s="1062"/>
      <c r="I139" s="990"/>
      <c r="J139" s="902"/>
      <c r="K139" s="903"/>
      <c r="L139" s="1002"/>
      <c r="M139" s="923"/>
      <c r="N139" s="1042"/>
      <c r="O139" s="1018"/>
      <c r="P139" s="987"/>
      <c r="Q139" s="1015"/>
      <c r="R139" s="1012"/>
      <c r="S139" s="1006"/>
      <c r="T139" s="1007"/>
      <c r="U139" s="878"/>
      <c r="V139" s="881"/>
      <c r="W139" s="884"/>
      <c r="X139" s="884"/>
      <c r="Y139" s="887"/>
      <c r="Z139" s="887"/>
      <c r="AA139" s="887"/>
      <c r="AB139" s="1081"/>
      <c r="AC139" s="1078"/>
      <c r="AD139" s="1070" t="str">
        <f t="shared" si="1666"/>
        <v>Wood Stud Framing</v>
      </c>
      <c r="AE139" s="1071"/>
      <c r="AF139" s="1052"/>
      <c r="AG139" s="1053"/>
      <c r="AH139" s="1053"/>
      <c r="AI139" s="1066"/>
      <c r="AJ139" s="1067"/>
      <c r="AK139" s="156" t="str">
        <f t="shared" ca="1" si="1130"/>
        <v/>
      </c>
      <c r="AL139" s="1059"/>
      <c r="AM139" s="344" t="str">
        <f ca="1">IFERROR(Q131/12*ROUND(VLOOKUP(AF139,OFFSET(WSM,0,1),6,FALSE),2),"")</f>
        <v/>
      </c>
      <c r="AN139" t="str">
        <f t="shared" ca="1" si="1154"/>
        <v/>
      </c>
      <c r="AP139" s="122" t="str">
        <f t="shared" ref="AP139" si="1903">_xlfn.CONCAT(AR139,AS142)</f>
        <v/>
      </c>
      <c r="AQ139" s="683" t="str">
        <f t="shared" si="1353"/>
        <v/>
      </c>
      <c r="AR139" s="4" t="str">
        <f t="shared" si="1114"/>
        <v/>
      </c>
      <c r="AS139" s="4"/>
      <c r="AT139" s="697" t="str">
        <f>AL137</f>
        <v/>
      </c>
      <c r="AU139" s="694" t="e">
        <f t="shared" ca="1" si="1370"/>
        <v>#REF!</v>
      </c>
      <c r="AV139" s="686" t="str">
        <f ca="1">IFERROR(VLOOKUP(AU139,INDIRECT(AQ131),2,FALSE),"----")</f>
        <v>----</v>
      </c>
      <c r="AW139" s="694" t="e">
        <f t="shared" ca="1" si="1371"/>
        <v>#REF!</v>
      </c>
      <c r="AX139" s="686" t="str">
        <f ca="1">IFERROR(VLOOKUP(AW139,INDIRECT(AQ132),2,FALSE),"----")</f>
        <v>----</v>
      </c>
      <c r="AY139" s="694" t="e">
        <f t="shared" ca="1" si="1616"/>
        <v>#REF!</v>
      </c>
      <c r="AZ139" s="686" t="str">
        <f ca="1">IFERROR(VLOOKUP(AY139,INDIRECT(AQ133),2,FALSE),"----")</f>
        <v>----</v>
      </c>
      <c r="BA139" s="694" t="e">
        <f t="shared" ca="1" si="1617"/>
        <v>#REF!</v>
      </c>
      <c r="BB139" s="686" t="str">
        <f ca="1">IFERROR(VLOOKUP(BA139,INDIRECT(AQ134),2,FALSE),"----")</f>
        <v>----</v>
      </c>
      <c r="BC139" s="694" t="e">
        <f t="shared" ca="1" si="1374"/>
        <v>#REF!</v>
      </c>
      <c r="BD139" s="686" t="str">
        <f ca="1">IFERROR(VLOOKUP(BC139,INDIRECT(AQ135),2,FALSE),"----")</f>
        <v>----</v>
      </c>
      <c r="BE139" s="694" t="e">
        <f t="shared" ca="1" si="1375"/>
        <v>#REF!</v>
      </c>
      <c r="BF139" s="686" t="str">
        <f ca="1">IFERROR(VLOOKUP(BE139,INDIRECT(AQ136),2,FALSE),"----")</f>
        <v>----</v>
      </c>
      <c r="BG139" s="702" t="e">
        <f t="shared" ca="1" si="1376"/>
        <v>#REF!</v>
      </c>
      <c r="BH139" s="686" t="str">
        <f ca="1">IFERROR(VLOOKUP(BG139,INDIRECT(AQ137),2,FALSE),"----")</f>
        <v>----</v>
      </c>
      <c r="BI139" s="702" t="e">
        <f t="shared" ca="1" si="1377"/>
        <v>#REF!</v>
      </c>
      <c r="BJ139" s="686" t="str">
        <f ca="1">IFERROR(VLOOKUP(BI139,INDIRECT(AQ138),2,FALSE),"----")</f>
        <v>----</v>
      </c>
      <c r="BK139" s="702" t="e">
        <f t="shared" ca="1" si="1378"/>
        <v>#REF!</v>
      </c>
      <c r="BL139" s="686" t="str">
        <f ca="1">IFERROR(VLOOKUP(BK139,INDIRECT(AQ139),2,FALSE),"----")</f>
        <v>----</v>
      </c>
      <c r="BM139" s="702" t="e">
        <f t="shared" ca="1" si="1379"/>
        <v>#REF!</v>
      </c>
      <c r="BN139" s="686" t="str">
        <f ca="1">IFERROR(VLOOKUP(BM139,INDIRECT(AQ140),2,FALSE),"----")</f>
        <v>----</v>
      </c>
      <c r="BO139" s="702" t="e">
        <f t="shared" ca="1" si="1380"/>
        <v>#REF!</v>
      </c>
      <c r="BP139" s="686" t="str">
        <f ca="1">IFERROR(VLOOKUP(BO139,INDIRECT(AQ141),2,FALSE),"----")</f>
        <v>----</v>
      </c>
      <c r="BQ139" s="702" t="e">
        <f t="shared" ca="1" si="1381"/>
        <v>#REF!</v>
      </c>
      <c r="BR139" s="686" t="str">
        <f ca="1">IFERROR(VLOOKUP(BQ139,INDIRECT(AQ142),2,FALSE),"----")</f>
        <v>----</v>
      </c>
      <c r="BS139" s="695">
        <f>IF(AI139="",1,IF(COUNTIF(BL131:BL142,AI139)=0,2,1))</f>
        <v>1</v>
      </c>
      <c r="BT139" s="696">
        <f>IF(AF139="",1,IF(BL131=".",2,1))</f>
        <v>1</v>
      </c>
      <c r="BU139" s="706"/>
      <c r="BV139" s="155">
        <f ca="1">IF(COUNTIF(DS131:DS142,AF139)=0,IF(AF139&lt;&gt;"",0,1),1)</f>
        <v>1</v>
      </c>
      <c r="BW139" s="157">
        <f ca="1">IFERROR(MATCH(AF139,DS131:DS142,0),1)</f>
        <v>1</v>
      </c>
      <c r="BX139" s="769" t="e">
        <f t="shared" ref="BX139" si="1904">5*E131^3*W131/(384*X131)</f>
        <v>#VALUE!</v>
      </c>
      <c r="BY139" s="769" t="e">
        <f t="shared" ref="BY139" si="1905">W131*E131^3/(60*X131)</f>
        <v>#VALUE!</v>
      </c>
      <c r="BZ139" s="1110"/>
      <c r="CA139" s="691" t="e">
        <f t="shared" ca="1" si="1772"/>
        <v>#REF!</v>
      </c>
      <c r="CB139" s="4" t="e" cm="1">
        <f t="array" aca="1" ref="CB139" ca="1">IF(AND(INDEX(INDIRECT(BY131),CA139,4)&gt;=$AB131,INDEX(INDIRECT(BY131),CA139,5)&gt;=$S131,INDEX(INDIRECT(BY131),CA139,6)&gt;=$R131),1,0)</f>
        <v>#REF!</v>
      </c>
      <c r="CC139" s="4" t="e">
        <f t="shared" ref="CC139" ca="1" si="1906">MATCH(1,OFFSET(CB131:CB142,CD138,0,COUNT(CB131:CB142)-CD138),0)</f>
        <v>#REF!</v>
      </c>
      <c r="CD139" s="4" t="e">
        <f t="shared" ca="1" si="1774"/>
        <v>#REF!</v>
      </c>
      <c r="CE139" s="692" t="str" cm="1">
        <f t="array" aca="1" ref="CE139" ca="1">IFERROR(VLOOKUP(INDEX(CA131:CA142,CD139),INDIRECT(BY131),2,FALSE),"----")</f>
        <v>----</v>
      </c>
      <c r="CF139" s="691" t="e">
        <f t="shared" ca="1" si="1775"/>
        <v>#N/A</v>
      </c>
      <c r="CG139" s="4" t="e">
        <f ca="1">IF(AND(INDEX(SSM,CF139,4)&gt;=$AB131,INDEX(SSM,CF139,5)&gt;=$S131,INDEX(SSM,CF139,6)&gt;=$R131),1,0)</f>
        <v>#N/A</v>
      </c>
      <c r="CH139" s="4" t="e">
        <f t="shared" ref="CH139" ca="1" si="1907">MATCH(1,OFFSET(CG131:CG142,CI138,0,COUNT(CG131:CG142)-CI138),0)</f>
        <v>#REF!</v>
      </c>
      <c r="CI139" s="4" t="e">
        <f t="shared" ca="1" si="1777"/>
        <v>#REF!</v>
      </c>
      <c r="CJ139" s="692" t="str">
        <f ca="1">IFERROR(IF(AD132="Nested Steel Stud (wood infill)",VLOOKUP(INDEX(CF131:CF142,CI139),SSW,2,FALSE),VLOOKUP(INDEX(CF131:CF142,CI139),SSM,2,FALSE)),"----")</f>
        <v>----</v>
      </c>
      <c r="CK139" s="691" t="e">
        <f t="shared" ca="1" si="1778"/>
        <v>#N/A</v>
      </c>
      <c r="CL139" s="4" t="e">
        <f ca="1">IF(AND(INDEX(WSM,CK139,4)&gt;=$AB131,INDEX(WSM,CK139,5)&gt;=$S131,INDEX(WSM,CK139,6)&gt;=$R131),1,0)</f>
        <v>#N/A</v>
      </c>
      <c r="CM139" s="4" t="e">
        <f t="shared" ref="CM139" ca="1" si="1908">MATCH(1,OFFSET(CL131:CL142,CN138,0,COUNT(CL131:CL142)-CN138),0)</f>
        <v>#REF!</v>
      </c>
      <c r="CN139" s="4" t="e">
        <f t="shared" ca="1" si="1780"/>
        <v>#REF!</v>
      </c>
      <c r="CO139" s="692" t="str">
        <f ca="1">IFERROR(VLOOKUP(INDEX(CK131:CK142,CN139),WSM,2,FALSE),"----")</f>
        <v>----</v>
      </c>
      <c r="CP139" s="691" t="e">
        <f t="shared" ca="1" si="1781"/>
        <v>#N/A</v>
      </c>
      <c r="CQ139" s="4" t="e">
        <f ca="1">IF(AND(INDEX(STM,CP139,4)&gt;=$AB131,INDEX(STM,CP139,5)&gt;=$S131,INDEX(STM,CP139,6)&gt;=$R131),1,0)</f>
        <v>#N/A</v>
      </c>
      <c r="CR139" s="4" t="e">
        <f t="shared" ref="CR139" ca="1" si="1909">MATCH(1,OFFSET(CQ131:CQ142,CS138,0,COUNT(CQ131:CQ142)-CS138),0)</f>
        <v>#REF!</v>
      </c>
      <c r="CS139" s="4" t="e">
        <f t="shared" ca="1" si="1783"/>
        <v>#REF!</v>
      </c>
      <c r="CT139" s="692" t="str">
        <f ca="1">IFERROR(VLOOKUP(INDEX(CP131:CP142,CS139),STM,2,FALSE),"----")</f>
        <v>----</v>
      </c>
      <c r="CU139" s="691" t="e">
        <f t="shared" ca="1" si="1784"/>
        <v>#N/A</v>
      </c>
      <c r="CV139" s="4" t="e">
        <f ca="1">IF(AND(INDEX(ELM,CU139,4)&gt;=$AB131,INDEX(ELM,CU139,5)&gt;=$S131,INDEX(ELM,CU139,6)&gt;=$R131),1,0)</f>
        <v>#N/A</v>
      </c>
      <c r="CW139" s="4" t="e">
        <f t="shared" ref="CW139" ca="1" si="1910">MATCH(1,OFFSET(CV131:CV142,CX138,0,COUNT(CV131:CV142)-CX138),0)</f>
        <v>#REF!</v>
      </c>
      <c r="CX139" s="4" t="e">
        <f t="shared" ca="1" si="1786"/>
        <v>#REF!</v>
      </c>
      <c r="CY139" s="692" t="str">
        <f ca="1">IFERROR(VLOOKUP(INDEX(CU131:CU142,CX139),ELM,2,FALSE),"----")</f>
        <v>----</v>
      </c>
      <c r="CZ139" s="691" t="e">
        <f t="shared" ca="1" si="1787"/>
        <v>#N/A</v>
      </c>
      <c r="DA139" s="4" t="e">
        <f ca="1">IF(LEFT($J131,7)="Clad Wo",IF(AND(INDEX(SPPWS,CZ139,4)&gt;=$AB131,INDEX(SPPWS,CZ139,5)&gt;=$S131,INDEX(SPPWS,CZ139,6)&gt;=$R131),1,0),IF(AND(INDEX(SPM,CZ139,4)&gt;=$AB131,INDEX(SPM,CZ139,5)&gt;=$S131,INDEX(SPM,CZ139,6)&gt;=$R131),1,0))</f>
        <v>#N/A</v>
      </c>
      <c r="DB139" s="4" t="e">
        <f t="shared" ref="DB139" ca="1" si="1911">MATCH(1,OFFSET(DA131:DA142,DC138,0,COUNT(DA131:DA142)-DC138),0)</f>
        <v>#REF!</v>
      </c>
      <c r="DC139" s="4" t="e">
        <f t="shared" ca="1" si="1789"/>
        <v>#REF!</v>
      </c>
      <c r="DD139" s="693" t="str">
        <f ca="1">IF(LEFT($J131,7)="Clad Wo",IFERROR(VLOOKUP(INDEX(CZ131:CZ142,DC139),SPPWS,2,FALSE),"----"),IFERROR(VLOOKUP(INDEX(CZ131:CZ142,DC139),SPM,2,FALSE),"----"))</f>
        <v>----</v>
      </c>
      <c r="DE139" s="691" t="e">
        <f t="shared" ca="1" si="1790"/>
        <v>#REF!</v>
      </c>
      <c r="DF139" s="4" t="e" cm="1">
        <f t="array" aca="1" ref="DF139" ca="1">IF(AND(INDEX(INDIRECT(BY131),DE139,4)&gt;=$AB137,INDEX(INDIRECT(BY131),DE139,5)&gt;=$S131,INDEX(INDIRECT(BY131),DE139,6)&gt;=$R131),1,0)</f>
        <v>#REF!</v>
      </c>
      <c r="DG139" s="4" t="e">
        <f t="shared" ref="DG139" ca="1" si="1912">MATCH(1,OFFSET(DF131:DF142,DH138,0,COUNT(DF131:DF142)-DH138),0)</f>
        <v>#REF!</v>
      </c>
      <c r="DH139" s="4" t="e">
        <f t="shared" ca="1" si="1792"/>
        <v>#REF!</v>
      </c>
      <c r="DI139" s="692" t="str" cm="1">
        <f t="array" aca="1" ref="DI139" ca="1">IFERROR(VLOOKUP(INDEX(DE131:DE142,DH139),INDIRECT(BY131),2,FALSE),"----")</f>
        <v>----</v>
      </c>
      <c r="DJ139" s="691" t="e">
        <f t="shared" ca="1" si="1793"/>
        <v>#N/A</v>
      </c>
      <c r="DK139" s="4" t="e">
        <f ca="1">IF(AND(INDEX(SSM,DJ139,4)&gt;=$AB137,INDEX(SSM,DJ139,5)&gt;=$S131,INDEX(SSM,DJ139,6)&gt;=$R131),1,0)</f>
        <v>#N/A</v>
      </c>
      <c r="DL139" s="4" t="e">
        <f t="shared" ref="DL139" ca="1" si="1913">MATCH(1,OFFSET(DK131:DK142,DM138,0,COUNT(DK131:DK142)-DM138),0)</f>
        <v>#REF!</v>
      </c>
      <c r="DM139" s="4" t="e">
        <f t="shared" ca="1" si="1795"/>
        <v>#REF!</v>
      </c>
      <c r="DN139" s="692" t="str">
        <f ca="1">IFERROR(IF(AD138="Nested Steel Stud (wood infill)",VLOOKUP(INDEX(DJ131:DJ142,DM139),SSW,2,FALSE),VLOOKUP(INDEX(DJ131:DJ142,DM139),SSM,2,FALSE)),"----")</f>
        <v>----</v>
      </c>
      <c r="DO139" s="691" t="e">
        <f t="shared" ca="1" si="1796"/>
        <v>#N/A</v>
      </c>
      <c r="DP139" s="4" t="e">
        <f ca="1">IF(AND(INDEX(WSM,DO139,4)&gt;=$AB137,INDEX(WSM,DO139,5)&gt;=$S131,INDEX(WSM,DO139,6)&gt;=$R131),1,0)</f>
        <v>#N/A</v>
      </c>
      <c r="DQ139" s="4" t="e">
        <f t="shared" ref="DQ139" ca="1" si="1914">MATCH(1,OFFSET(DP131:DP142,DR138,0,COUNT(DP131:DP142)-DR138),0)</f>
        <v>#REF!</v>
      </c>
      <c r="DR139" s="4" t="e">
        <f t="shared" ca="1" si="1798"/>
        <v>#REF!</v>
      </c>
      <c r="DS139" s="692" t="str">
        <f ca="1">IFERROR(VLOOKUP(INDEX(DO131:DO142,DR139),WSM,2,FALSE),"----")</f>
        <v>----</v>
      </c>
      <c r="DT139" s="691" t="e">
        <f t="shared" ca="1" si="1799"/>
        <v>#N/A</v>
      </c>
      <c r="DU139" s="4" t="e">
        <f ca="1">IF(AND(INDEX(STM,DT139,4)&gt;=$AB137,INDEX(STM,DT139,5)&gt;=$S131,INDEX(STM,DT139,6)&gt;=$R131),1,0)</f>
        <v>#N/A</v>
      </c>
      <c r="DV139" s="4" t="e">
        <f t="shared" ref="DV139" ca="1" si="1915">MATCH(1,OFFSET(DU131:DU142,DW138,0,COUNT(DU131:DU142)-DW138),0)</f>
        <v>#REF!</v>
      </c>
      <c r="DW139" s="4" t="e">
        <f t="shared" ca="1" si="1801"/>
        <v>#REF!</v>
      </c>
      <c r="DX139" s="692" t="str">
        <f ca="1">IFERROR(VLOOKUP(INDEX(DT131:DT142,DW139),STM,2,FALSE),"----")</f>
        <v>----</v>
      </c>
      <c r="DY139" s="691" t="e">
        <f t="shared" ca="1" si="1802"/>
        <v>#N/A</v>
      </c>
      <c r="DZ139" s="4" t="e">
        <f ca="1">IF(AND(INDEX(ELM,DY139,4)&gt;=$AB137,INDEX(ELM,DY139,5)&gt;=$S131,INDEX(ELM,DY139,6)&gt;=$R131),1,0)</f>
        <v>#N/A</v>
      </c>
      <c r="EA139" s="4" t="e">
        <f t="shared" ref="EA139" ca="1" si="1916">MATCH(1,OFFSET(DZ131:DZ142,EB138,0,COUNT(DZ131:DZ142)-EB138),0)</f>
        <v>#REF!</v>
      </c>
      <c r="EB139" s="4" t="e">
        <f t="shared" ca="1" si="1804"/>
        <v>#REF!</v>
      </c>
      <c r="EC139" s="692" t="str">
        <f ca="1">IFERROR(VLOOKUP(INDEX(DY131:DY142,EB139),ELM,2,FALSE),"----")</f>
        <v>----</v>
      </c>
      <c r="ED139" s="691" t="e">
        <f t="shared" ca="1" si="1805"/>
        <v>#N/A</v>
      </c>
      <c r="EE139" s="4" t="e">
        <f ca="1">IF(LEFT($J131,7)="Clad Wo",IF(AND(INDEX(SPPWS,ED139,4)&gt;=$AB137,INDEX(SPPWS,ED139,5)&gt;=$S131,INDEX(SPPWS,ED139,6)&gt;=$R131),1,0),IF(AND(INDEX(SPM,ED139,4)&gt;=$AB137,INDEX(SPM,ED139,5)&gt;=$S131,INDEX(SPM,ED139,6)&gt;=$R131),1,0))</f>
        <v>#N/A</v>
      </c>
      <c r="EF139" s="4" t="e">
        <f t="shared" ref="EF139" ca="1" si="1917">MATCH(1,OFFSET(EE131:EE142,EG138,0,COUNT(EE131:EE142)-EG138),0)</f>
        <v>#REF!</v>
      </c>
      <c r="EG139" s="4" t="e">
        <f t="shared" ca="1" si="1807"/>
        <v>#REF!</v>
      </c>
      <c r="EH139" s="692" t="str">
        <f ca="1">IF(LEFT($J131,7)="Clad Wo",IFERROR(VLOOKUP(INDEX(ED131:ED142,EG139),SPPWS,2,FALSE),"----"),IFERROR(VLOOKUP(INDEX(ED131:ED142,EG139),SPM,2,FALSE),"----"))</f>
        <v>----</v>
      </c>
    </row>
    <row r="140" spans="1:138" ht="15" customHeight="1" x14ac:dyDescent="0.25">
      <c r="A140" s="1085"/>
      <c r="B140" s="925"/>
      <c r="C140" s="926"/>
      <c r="D140" s="927"/>
      <c r="E140" s="995"/>
      <c r="F140" s="996"/>
      <c r="G140" s="997"/>
      <c r="H140" s="1062"/>
      <c r="I140" s="990"/>
      <c r="J140" s="902"/>
      <c r="K140" s="903"/>
      <c r="L140" s="1002"/>
      <c r="M140" s="923"/>
      <c r="N140" s="1042"/>
      <c r="O140" s="1018"/>
      <c r="P140" s="987"/>
      <c r="Q140" s="1015"/>
      <c r="R140" s="1012"/>
      <c r="S140" s="1006"/>
      <c r="T140" s="1007"/>
      <c r="U140" s="878"/>
      <c r="V140" s="881"/>
      <c r="W140" s="884"/>
      <c r="X140" s="884"/>
      <c r="Y140" s="887"/>
      <c r="Z140" s="887"/>
      <c r="AA140" s="887"/>
      <c r="AB140" s="1081"/>
      <c r="AC140" s="1078"/>
      <c r="AD140" s="1070" t="str">
        <f t="shared" si="1666"/>
        <v>Steel Tube</v>
      </c>
      <c r="AE140" s="1071"/>
      <c r="AF140" s="1052"/>
      <c r="AG140" s="1053"/>
      <c r="AH140" s="1053"/>
      <c r="AI140" s="1066"/>
      <c r="AJ140" s="1067"/>
      <c r="AK140" s="156" t="str">
        <f t="shared" ca="1" si="1130"/>
        <v/>
      </c>
      <c r="AL140" s="1059"/>
      <c r="AM140" s="343" t="str">
        <f ca="1">IFERROR(Q131/12*ROUND(VLOOKUP(AF140,OFFSET(STM,0,1),6,FALSE),2),"")</f>
        <v/>
      </c>
      <c r="AN140" t="str">
        <f t="shared" ca="1" si="1154"/>
        <v/>
      </c>
      <c r="AP140" s="122" t="str">
        <f t="shared" ref="AP140" si="1918">_xlfn.CONCAT(AR140,AS142)</f>
        <v/>
      </c>
      <c r="AQ140" s="683" t="str">
        <f t="shared" si="1353"/>
        <v/>
      </c>
      <c r="AR140" s="4" t="str">
        <f t="shared" si="1114"/>
        <v/>
      </c>
      <c r="AS140" s="4"/>
      <c r="AT140" s="697" t="str">
        <f>AL137</f>
        <v/>
      </c>
      <c r="AU140" s="694" t="e">
        <f t="shared" ca="1" si="1370"/>
        <v>#REF!</v>
      </c>
      <c r="AV140" s="686" t="str">
        <f ca="1">IFERROR(VLOOKUP(AU140,INDIRECT(AQ131),2,FALSE),"----")</f>
        <v>----</v>
      </c>
      <c r="AW140" s="694" t="e">
        <f t="shared" ca="1" si="1371"/>
        <v>#REF!</v>
      </c>
      <c r="AX140" s="686" t="str">
        <f ca="1">IFERROR(VLOOKUP(AW140,INDIRECT(AQ132),2,FALSE),"----")</f>
        <v>----</v>
      </c>
      <c r="AY140" s="694" t="e">
        <f t="shared" ref="AY140:AY202" ca="1" si="1919">AY139-1</f>
        <v>#REF!</v>
      </c>
      <c r="AZ140" s="686" t="str">
        <f ca="1">IFERROR(VLOOKUP(AY140,INDIRECT(AQ133),2,FALSE),"----")</f>
        <v>----</v>
      </c>
      <c r="BA140" s="694" t="e">
        <f t="shared" ref="BA140:BA202" ca="1" si="1920">BA139-1</f>
        <v>#REF!</v>
      </c>
      <c r="BB140" s="686" t="str">
        <f ca="1">IFERROR(VLOOKUP(BA140,INDIRECT(AQ134),2,FALSE),"----")</f>
        <v>----</v>
      </c>
      <c r="BC140" s="694" t="e">
        <f t="shared" ca="1" si="1374"/>
        <v>#REF!</v>
      </c>
      <c r="BD140" s="686" t="str">
        <f ca="1">IFERROR(VLOOKUP(BC140,INDIRECT(AQ135),2,FALSE),"----")</f>
        <v>----</v>
      </c>
      <c r="BE140" s="694" t="e">
        <f t="shared" ca="1" si="1375"/>
        <v>#REF!</v>
      </c>
      <c r="BF140" s="686" t="str">
        <f ca="1">IFERROR(VLOOKUP(BE140,INDIRECT(AQ136),2,FALSE),"----")</f>
        <v>----</v>
      </c>
      <c r="BG140" s="702" t="e">
        <f t="shared" ca="1" si="1376"/>
        <v>#REF!</v>
      </c>
      <c r="BH140" s="686" t="str">
        <f ca="1">IFERROR(VLOOKUP(BG140,INDIRECT(AQ137),2,FALSE),"----")</f>
        <v>----</v>
      </c>
      <c r="BI140" s="702" t="e">
        <f t="shared" ca="1" si="1377"/>
        <v>#REF!</v>
      </c>
      <c r="BJ140" s="686" t="str">
        <f ca="1">IFERROR(VLOOKUP(BI140,INDIRECT(AQ138),2,FALSE),"----")</f>
        <v>----</v>
      </c>
      <c r="BK140" s="702" t="e">
        <f t="shared" ca="1" si="1378"/>
        <v>#REF!</v>
      </c>
      <c r="BL140" s="686" t="str">
        <f ca="1">IFERROR(VLOOKUP(BK140,INDIRECT(AQ139),2,FALSE),"----")</f>
        <v>----</v>
      </c>
      <c r="BM140" s="702" t="e">
        <f t="shared" ca="1" si="1379"/>
        <v>#REF!</v>
      </c>
      <c r="BN140" s="686" t="str">
        <f ca="1">IFERROR(VLOOKUP(BM140,INDIRECT(AQ140),2,FALSE),"----")</f>
        <v>----</v>
      </c>
      <c r="BO140" s="702" t="e">
        <f t="shared" ca="1" si="1380"/>
        <v>#REF!</v>
      </c>
      <c r="BP140" s="686" t="str">
        <f ca="1">IFERROR(VLOOKUP(BO140,INDIRECT(AQ141),2,FALSE),"----")</f>
        <v>----</v>
      </c>
      <c r="BQ140" s="702" t="e">
        <f t="shared" ca="1" si="1381"/>
        <v>#REF!</v>
      </c>
      <c r="BR140" s="686" t="str">
        <f ca="1">IFERROR(VLOOKUP(BQ140,INDIRECT(AQ142),2,FALSE),"----")</f>
        <v>----</v>
      </c>
      <c r="BS140" s="695">
        <f>IF(AI140="",1,IF(COUNTIF(BN131:BN142,AI140)=0,2,1))</f>
        <v>1</v>
      </c>
      <c r="BT140" s="696">
        <f>IF(AF140="",1,IF(BN131=".",2,1))</f>
        <v>1</v>
      </c>
      <c r="BU140" s="706"/>
      <c r="BV140" s="155">
        <f ca="1">IF(COUNTIF(DX131:DX142,AF140)=0,IF(AF140&lt;&gt;"",0,1),1)</f>
        <v>1</v>
      </c>
      <c r="BW140" s="157">
        <f ca="1">IFERROR(MATCH(AF140,DX131:DX142,0),1)</f>
        <v>1</v>
      </c>
      <c r="BX140" s="769" t="e">
        <f t="shared" ref="BX140" si="1921">5*E131^3*W137/(384*X131)</f>
        <v>#VALUE!</v>
      </c>
      <c r="BY140" s="769" t="e">
        <f t="shared" ref="BY140" si="1922">E131^3*W137/(60*X131)</f>
        <v>#VALUE!</v>
      </c>
      <c r="BZ140" s="1110"/>
      <c r="CA140" s="691" t="e">
        <f t="shared" ca="1" si="1772"/>
        <v>#REF!</v>
      </c>
      <c r="CB140" s="4" t="e" cm="1">
        <f t="array" aca="1" ref="CB140" ca="1">IF(AND(INDEX(INDIRECT(BY131),CA140,4)&gt;=$AB131,INDEX(INDIRECT(BY131),CA140,5)&gt;=$S131,INDEX(INDIRECT(BY131),CA140,6)&gt;=$R131),1,0)</f>
        <v>#REF!</v>
      </c>
      <c r="CC140" s="4" t="e">
        <f t="shared" ref="CC140" ca="1" si="1923">MATCH(1,OFFSET(CB131:CB142,CD139,0,COUNT(CB131:CB142)-CD139),0)</f>
        <v>#REF!</v>
      </c>
      <c r="CD140" s="4" t="e">
        <f t="shared" ca="1" si="1774"/>
        <v>#REF!</v>
      </c>
      <c r="CE140" s="692" t="str" cm="1">
        <f t="array" aca="1" ref="CE140" ca="1">IFERROR(VLOOKUP(INDEX(CA131:CA142,CD140),INDIRECT(BY131),2,FALSE),"----")</f>
        <v>----</v>
      </c>
      <c r="CF140" s="691" t="e">
        <f t="shared" ca="1" si="1775"/>
        <v>#N/A</v>
      </c>
      <c r="CG140" s="4" t="e">
        <f ca="1">IF(AND(INDEX(SSM,CF140,4)&gt;=$AB131,INDEX(SSM,CF140,5)&gt;=$S131,INDEX(SSM,CF140,6)&gt;=$R131),1,0)</f>
        <v>#N/A</v>
      </c>
      <c r="CH140" s="4" t="e">
        <f t="shared" ref="CH140" ca="1" si="1924">MATCH(1,OFFSET(CG131:CG142,CI139,0,COUNT(CG131:CG142)-CI139),0)</f>
        <v>#REF!</v>
      </c>
      <c r="CI140" s="4" t="e">
        <f t="shared" ca="1" si="1777"/>
        <v>#REF!</v>
      </c>
      <c r="CJ140" s="692" t="str">
        <f ca="1">IFERROR(IF(AD132="Nested Steel Stud (wood infill)",VLOOKUP(INDEX(CF131:CF142,CI140),SSW,2,FALSE),VLOOKUP(INDEX(CF131:CF142,CI140),SSM,2,FALSE)),"----")</f>
        <v>----</v>
      </c>
      <c r="CK140" s="691" t="e">
        <f t="shared" ca="1" si="1778"/>
        <v>#N/A</v>
      </c>
      <c r="CL140" s="4" t="e">
        <f ca="1">IF(AND(INDEX(WSM,CK140,4)&gt;=$AB131,INDEX(WSM,CK140,5)&gt;=$S131,INDEX(WSM,CK140,6)&gt;=$R131),1,0)</f>
        <v>#N/A</v>
      </c>
      <c r="CM140" s="4" t="e">
        <f t="shared" ref="CM140" ca="1" si="1925">MATCH(1,OFFSET(CL131:CL142,CN139,0,COUNT(CL131:CL142)-CN139),0)</f>
        <v>#REF!</v>
      </c>
      <c r="CN140" s="4" t="e">
        <f t="shared" ca="1" si="1780"/>
        <v>#REF!</v>
      </c>
      <c r="CO140" s="692" t="str">
        <f ca="1">IFERROR(VLOOKUP(INDEX(CK131:CK142,CN140),WSM,2,FALSE),"----")</f>
        <v>----</v>
      </c>
      <c r="CP140" s="691" t="e">
        <f t="shared" ca="1" si="1781"/>
        <v>#N/A</v>
      </c>
      <c r="CQ140" s="4" t="e">
        <f ca="1">IF(AND(INDEX(STM,CP140,4)&gt;=$AB131,INDEX(STM,CP140,5)&gt;=$S131,INDEX(STM,CP140,6)&gt;=$R131),1,0)</f>
        <v>#N/A</v>
      </c>
      <c r="CR140" s="4" t="e">
        <f t="shared" ref="CR140" ca="1" si="1926">MATCH(1,OFFSET(CQ131:CQ142,CS139,0,COUNT(CQ131:CQ142)-CS139),0)</f>
        <v>#REF!</v>
      </c>
      <c r="CS140" s="4" t="e">
        <f t="shared" ca="1" si="1783"/>
        <v>#REF!</v>
      </c>
      <c r="CT140" s="692" t="str">
        <f ca="1">IFERROR(VLOOKUP(INDEX(CP131:CP142,CS140),STM,2,FALSE),"----")</f>
        <v>----</v>
      </c>
      <c r="CU140" s="691" t="e">
        <f t="shared" ca="1" si="1784"/>
        <v>#N/A</v>
      </c>
      <c r="CV140" s="4" t="e">
        <f ca="1">IF(AND(INDEX(ELM,CU140,4)&gt;=$AB131,INDEX(ELM,CU140,5)&gt;=$S131,INDEX(ELM,CU140,6)&gt;=$R131),1,0)</f>
        <v>#N/A</v>
      </c>
      <c r="CW140" s="4" t="e">
        <f t="shared" ref="CW140" ca="1" si="1927">MATCH(1,OFFSET(CV131:CV142,CX139,0,COUNT(CV131:CV142)-CX139),0)</f>
        <v>#REF!</v>
      </c>
      <c r="CX140" s="4" t="e">
        <f t="shared" ca="1" si="1786"/>
        <v>#REF!</v>
      </c>
      <c r="CY140" s="692" t="str">
        <f ca="1">IFERROR(VLOOKUP(INDEX(CU131:CU142,CX140),ELM,2,FALSE),"----")</f>
        <v>----</v>
      </c>
      <c r="CZ140" s="691" t="e">
        <f t="shared" ca="1" si="1787"/>
        <v>#N/A</v>
      </c>
      <c r="DA140" s="4" t="e">
        <f ca="1">IF(LEFT($J131,7)="Clad Wo",IF(AND(INDEX(SPPWS,CZ140,4)&gt;=$AB131,INDEX(SPPWS,CZ140,5)&gt;=$S131,INDEX(SPPWS,CZ140,6)&gt;=$R131),1,0),IF(AND(INDEX(SPM,CZ140,4)&gt;=$AB131,INDEX(SPM,CZ140,5)&gt;=$S131,INDEX(SPM,CZ140,6)&gt;=$R131),1,0))</f>
        <v>#N/A</v>
      </c>
      <c r="DB140" s="4" t="e">
        <f t="shared" ref="DB140" ca="1" si="1928">MATCH(1,OFFSET(DA131:DA142,DC139,0,COUNT(DA131:DA142)-DC139),0)</f>
        <v>#REF!</v>
      </c>
      <c r="DC140" s="4" t="e">
        <f t="shared" ca="1" si="1789"/>
        <v>#REF!</v>
      </c>
      <c r="DD140" s="693" t="str">
        <f ca="1">IF(LEFT($J131,7)="Clad Wo",IFERROR(VLOOKUP(INDEX(CZ131:CZ142,DC140),SPPWS,2,FALSE),"----"),IFERROR(VLOOKUP(INDEX(CZ131:CZ142,DC140),SPM,2,FALSE),"----"))</f>
        <v>----</v>
      </c>
      <c r="DE140" s="691" t="e">
        <f t="shared" ca="1" si="1790"/>
        <v>#REF!</v>
      </c>
      <c r="DF140" s="4" t="e" cm="1">
        <f t="array" aca="1" ref="DF140" ca="1">IF(AND(INDEX(INDIRECT(BY131),DE140,4)&gt;=$AB137,INDEX(INDIRECT(BY131),DE140,5)&gt;=$S131,INDEX(INDIRECT(BY131),DE140,6)&gt;=$R131),1,0)</f>
        <v>#REF!</v>
      </c>
      <c r="DG140" s="4" t="e">
        <f t="shared" ref="DG140" ca="1" si="1929">MATCH(1,OFFSET(DF131:DF142,DH139,0,COUNT(DF131:DF142)-DH139),0)</f>
        <v>#REF!</v>
      </c>
      <c r="DH140" s="4" t="e">
        <f t="shared" ca="1" si="1792"/>
        <v>#REF!</v>
      </c>
      <c r="DI140" s="692" t="str" cm="1">
        <f t="array" aca="1" ref="DI140" ca="1">IFERROR(VLOOKUP(INDEX(DE131:DE142,DH140),INDIRECT(BY131),2,FALSE),"----")</f>
        <v>----</v>
      </c>
      <c r="DJ140" s="691" t="e">
        <f t="shared" ca="1" si="1793"/>
        <v>#N/A</v>
      </c>
      <c r="DK140" s="4" t="e">
        <f ca="1">IF(AND(INDEX(SSM,DJ140,4)&gt;=$AB137,INDEX(SSM,DJ140,5)&gt;=$S131,INDEX(SSM,DJ140,6)&gt;=$R131),1,0)</f>
        <v>#N/A</v>
      </c>
      <c r="DL140" s="4" t="e">
        <f t="shared" ref="DL140" ca="1" si="1930">MATCH(1,OFFSET(DK131:DK142,DM139,0,COUNT(DK131:DK142)-DM139),0)</f>
        <v>#REF!</v>
      </c>
      <c r="DM140" s="4" t="e">
        <f t="shared" ca="1" si="1795"/>
        <v>#REF!</v>
      </c>
      <c r="DN140" s="692" t="str">
        <f ca="1">IFERROR(IF(AD138="Nested Steel Stud (wood infill)",VLOOKUP(INDEX(DJ131:DJ142,DM140),SSW,2,FALSE),VLOOKUP(INDEX(DJ131:DJ142,DM140),SSM,2,FALSE)),"----")</f>
        <v>----</v>
      </c>
      <c r="DO140" s="691" t="e">
        <f t="shared" ca="1" si="1796"/>
        <v>#N/A</v>
      </c>
      <c r="DP140" s="4" t="e">
        <f ca="1">IF(AND(INDEX(WSM,DO140,4)&gt;=$AB137,INDEX(WSM,DO140,5)&gt;=$S131,INDEX(WSM,DO140,6)&gt;=$R131),1,0)</f>
        <v>#N/A</v>
      </c>
      <c r="DQ140" s="4" t="e">
        <f t="shared" ref="DQ140" ca="1" si="1931">MATCH(1,OFFSET(DP131:DP142,DR139,0,COUNT(DP131:DP142)-DR139),0)</f>
        <v>#REF!</v>
      </c>
      <c r="DR140" s="4" t="e">
        <f t="shared" ca="1" si="1798"/>
        <v>#REF!</v>
      </c>
      <c r="DS140" s="692" t="str">
        <f ca="1">IFERROR(VLOOKUP(INDEX(DO131:DO142,DR140),WSM,2,FALSE),"----")</f>
        <v>----</v>
      </c>
      <c r="DT140" s="691" t="e">
        <f t="shared" ca="1" si="1799"/>
        <v>#N/A</v>
      </c>
      <c r="DU140" s="4" t="e">
        <f ca="1">IF(AND(INDEX(STM,DT140,4)&gt;=$AB137,INDEX(STM,DT140,5)&gt;=$S131,INDEX(STM,DT140,6)&gt;=$R131),1,0)</f>
        <v>#N/A</v>
      </c>
      <c r="DV140" s="4" t="e">
        <f t="shared" ref="DV140" ca="1" si="1932">MATCH(1,OFFSET(DU131:DU142,DW139,0,COUNT(DU131:DU142)-DW139),0)</f>
        <v>#REF!</v>
      </c>
      <c r="DW140" s="4" t="e">
        <f t="shared" ca="1" si="1801"/>
        <v>#REF!</v>
      </c>
      <c r="DX140" s="692" t="str">
        <f ca="1">IFERROR(VLOOKUP(INDEX(DT131:DT142,DW140),STM,2,FALSE),"----")</f>
        <v>----</v>
      </c>
      <c r="DY140" s="691" t="e">
        <f t="shared" ca="1" si="1802"/>
        <v>#N/A</v>
      </c>
      <c r="DZ140" s="4" t="e">
        <f ca="1">IF(AND(INDEX(ELM,DY140,4)&gt;=$AB137,INDEX(ELM,DY140,5)&gt;=$S131,INDEX(ELM,DY140,6)&gt;=$R131),1,0)</f>
        <v>#N/A</v>
      </c>
      <c r="EA140" s="4" t="e">
        <f t="shared" ref="EA140" ca="1" si="1933">MATCH(1,OFFSET(DZ131:DZ142,EB139,0,COUNT(DZ131:DZ142)-EB139),0)</f>
        <v>#REF!</v>
      </c>
      <c r="EB140" s="4" t="e">
        <f t="shared" ca="1" si="1804"/>
        <v>#REF!</v>
      </c>
      <c r="EC140" s="692" t="str">
        <f ca="1">IFERROR(VLOOKUP(INDEX(DY131:DY142,EB140),ELM,2,FALSE),"----")</f>
        <v>----</v>
      </c>
      <c r="ED140" s="691" t="e">
        <f t="shared" ca="1" si="1805"/>
        <v>#N/A</v>
      </c>
      <c r="EE140" s="4" t="e">
        <f ca="1">IF(LEFT($J131,7)="Clad Wo",IF(AND(INDEX(SPPWS,ED140,4)&gt;=$AB137,INDEX(SPPWS,ED140,5)&gt;=$S131,INDEX(SPPWS,ED140,6)&gt;=$R131),1,0),IF(AND(INDEX(SPM,ED140,4)&gt;=$AB137,INDEX(SPM,ED140,5)&gt;=$S131,INDEX(SPM,ED140,6)&gt;=$R131),1,0))</f>
        <v>#N/A</v>
      </c>
      <c r="EF140" s="4" t="e">
        <f t="shared" ref="EF140" ca="1" si="1934">MATCH(1,OFFSET(EE131:EE142,EG139,0,COUNT(EE131:EE142)-EG139),0)</f>
        <v>#REF!</v>
      </c>
      <c r="EG140" s="4" t="e">
        <f t="shared" ca="1" si="1807"/>
        <v>#REF!</v>
      </c>
      <c r="EH140" s="692" t="str">
        <f ca="1">IF(LEFT($J131,7)="Clad Wo",IFERROR(VLOOKUP(INDEX(ED131:ED142,EG140),SPPWS,2,FALSE),"----"),IFERROR(VLOOKUP(INDEX(ED131:ED142,EG140),SPM,2,FALSE),"----"))</f>
        <v>----</v>
      </c>
    </row>
    <row r="141" spans="1:138" ht="15" customHeight="1" x14ac:dyDescent="0.25">
      <c r="A141" s="1085"/>
      <c r="B141" s="925"/>
      <c r="C141" s="926"/>
      <c r="D141" s="927"/>
      <c r="E141" s="995"/>
      <c r="F141" s="996"/>
      <c r="G141" s="997"/>
      <c r="H141" s="1062"/>
      <c r="I141" s="990"/>
      <c r="J141" s="902"/>
      <c r="K141" s="903"/>
      <c r="L141" s="1002"/>
      <c r="M141" s="923"/>
      <c r="N141" s="1042"/>
      <c r="O141" s="1018"/>
      <c r="P141" s="987"/>
      <c r="Q141" s="1015"/>
      <c r="R141" s="1012"/>
      <c r="S141" s="1006"/>
      <c r="T141" s="1007"/>
      <c r="U141" s="878"/>
      <c r="V141" s="881"/>
      <c r="W141" s="884"/>
      <c r="X141" s="884"/>
      <c r="Y141" s="887"/>
      <c r="Z141" s="887"/>
      <c r="AA141" s="887"/>
      <c r="AB141" s="1081"/>
      <c r="AC141" s="1078"/>
      <c r="AD141" s="1070" t="str">
        <f t="shared" si="1666"/>
        <v>Engineered Lumber</v>
      </c>
      <c r="AE141" s="1071"/>
      <c r="AF141" s="1052"/>
      <c r="AG141" s="1053"/>
      <c r="AH141" s="1053"/>
      <c r="AI141" s="1068"/>
      <c r="AJ141" s="1069"/>
      <c r="AK141" s="154" t="str">
        <f t="shared" ca="1" si="1130"/>
        <v/>
      </c>
      <c r="AL141" s="1059"/>
      <c r="AM141" s="344" t="str">
        <f ca="1">IFERROR(Q131/12*ROUND(VLOOKUP(AF141,OFFSET(ELM,0,1),6,FALSE),2),"")</f>
        <v/>
      </c>
      <c r="AN141" t="str">
        <f t="shared" ca="1" si="1154"/>
        <v/>
      </c>
      <c r="AP141" s="122" t="str">
        <f t="shared" ref="AP141" si="1935">_xlfn.CONCAT(AR141,AS142)</f>
        <v/>
      </c>
      <c r="AQ141" s="683" t="str">
        <f t="shared" si="1353"/>
        <v/>
      </c>
      <c r="AR141" s="4" t="str">
        <f t="shared" si="1114"/>
        <v/>
      </c>
      <c r="AS141" s="4"/>
      <c r="AT141" s="697" t="str">
        <f>AL137</f>
        <v/>
      </c>
      <c r="AU141" s="694" t="e">
        <f t="shared" ca="1" si="1370"/>
        <v>#REF!</v>
      </c>
      <c r="AV141" s="698" t="str">
        <f ca="1">IFERROR(VLOOKUP(AU141,INDIRECT(AQ131),2,FALSE),"----")</f>
        <v>----</v>
      </c>
      <c r="AW141" s="694" t="e">
        <f t="shared" ca="1" si="1371"/>
        <v>#REF!</v>
      </c>
      <c r="AX141" s="698" t="str">
        <f ca="1">IFERROR(VLOOKUP(AW141,INDIRECT(AQ132),2,FALSE),"----")</f>
        <v>----</v>
      </c>
      <c r="AY141" s="694" t="e">
        <f t="shared" ca="1" si="1919"/>
        <v>#REF!</v>
      </c>
      <c r="AZ141" s="698" t="str">
        <f ca="1">IFERROR(VLOOKUP(AY141,INDIRECT(AQ133),2,FALSE),"----")</f>
        <v>----</v>
      </c>
      <c r="BA141" s="694" t="e">
        <f t="shared" ca="1" si="1920"/>
        <v>#REF!</v>
      </c>
      <c r="BB141" s="698" t="str">
        <f ca="1">IFERROR(VLOOKUP(BA141,INDIRECT(AQ134),2,FALSE),"----")</f>
        <v>----</v>
      </c>
      <c r="BC141" s="694" t="e">
        <f t="shared" ca="1" si="1374"/>
        <v>#REF!</v>
      </c>
      <c r="BD141" s="698" t="str">
        <f ca="1">IFERROR(VLOOKUP(BC141,INDIRECT(AQ135),2,FALSE),"----")</f>
        <v>----</v>
      </c>
      <c r="BE141" s="694" t="e">
        <f t="shared" ca="1" si="1375"/>
        <v>#REF!</v>
      </c>
      <c r="BF141" s="698" t="str">
        <f ca="1">IFERROR(VLOOKUP(BE141,INDIRECT(AQ136),2,FALSE),"----")</f>
        <v>----</v>
      </c>
      <c r="BG141" s="702" t="e">
        <f t="shared" ca="1" si="1376"/>
        <v>#REF!</v>
      </c>
      <c r="BH141" s="686" t="str">
        <f ca="1">IFERROR(VLOOKUP(BG141,INDIRECT(AQ137),2,FALSE),"----")</f>
        <v>----</v>
      </c>
      <c r="BI141" s="702" t="e">
        <f t="shared" ca="1" si="1377"/>
        <v>#REF!</v>
      </c>
      <c r="BJ141" s="686" t="str">
        <f ca="1">IFERROR(VLOOKUP(BI141,INDIRECT(AQ138),2,FALSE),"----")</f>
        <v>----</v>
      </c>
      <c r="BK141" s="702" t="e">
        <f t="shared" ca="1" si="1378"/>
        <v>#REF!</v>
      </c>
      <c r="BL141" s="686" t="str">
        <f ca="1">IFERROR(VLOOKUP(BK141,INDIRECT(AQ139),2,FALSE),"----")</f>
        <v>----</v>
      </c>
      <c r="BM141" s="702" t="e">
        <f t="shared" ca="1" si="1379"/>
        <v>#REF!</v>
      </c>
      <c r="BN141" s="686" t="str">
        <f ca="1">IFERROR(VLOOKUP(BM141,INDIRECT(AQ140),2,FALSE),"----")</f>
        <v>----</v>
      </c>
      <c r="BO141" s="702" t="e">
        <f t="shared" ca="1" si="1380"/>
        <v>#REF!</v>
      </c>
      <c r="BP141" s="686" t="str">
        <f ca="1">IFERROR(VLOOKUP(BO141,INDIRECT(AQ141),2,FALSE),"----")</f>
        <v>----</v>
      </c>
      <c r="BQ141" s="702" t="e">
        <f t="shared" ca="1" si="1381"/>
        <v>#REF!</v>
      </c>
      <c r="BR141" s="686" t="str">
        <f ca="1">IFERROR(VLOOKUP(BQ141,INDIRECT(AQ142),2,FALSE),"----")</f>
        <v>----</v>
      </c>
      <c r="BS141" s="695">
        <f>IF(AI141="",1,IF(COUNTIF(BP131:BP142,AI141)=0,2,1))</f>
        <v>1</v>
      </c>
      <c r="BT141" s="696">
        <f>IF(AF141="",1,IF(BP131=".",2,1))</f>
        <v>1</v>
      </c>
      <c r="BU141" s="706"/>
      <c r="BV141" s="155">
        <f ca="1">IF(COUNTIF(EC131:EC142,AF141)=0,IF(AF141&lt;&gt;"",0,1),1)</f>
        <v>1</v>
      </c>
      <c r="BW141" s="157">
        <f ca="1">IFERROR(MATCH(AF141,EC131:EC142,0),1)</f>
        <v>1</v>
      </c>
      <c r="BX141" s="769"/>
      <c r="BY141" s="769"/>
      <c r="BZ141" s="1110"/>
      <c r="CA141" s="691" t="e">
        <f t="shared" ca="1" si="1772"/>
        <v>#REF!</v>
      </c>
      <c r="CB141" s="4" t="e" cm="1">
        <f t="array" aca="1" ref="CB141" ca="1">IF(AND(INDEX(INDIRECT(BY131),CA141,4)&gt;=$AB131,INDEX(INDIRECT(BY131),CA141,5)&gt;=$S131,INDEX(INDIRECT(BY131),CA141,6)&gt;=$R131),1,0)</f>
        <v>#REF!</v>
      </c>
      <c r="CC141" s="4" t="e">
        <f t="shared" ref="CC141" ca="1" si="1936">MATCH(1,OFFSET(CB131:CB142,CD140,0,COUNT(CB131:CB142)-CD140),0)</f>
        <v>#REF!</v>
      </c>
      <c r="CD141" s="4" t="e">
        <f t="shared" ca="1" si="1774"/>
        <v>#REF!</v>
      </c>
      <c r="CE141" s="692" t="str" cm="1">
        <f t="array" aca="1" ref="CE141" ca="1">IFERROR(VLOOKUP(INDEX(CA131:CA142,CD141),INDIRECT(BY131),2,FALSE),"----")</f>
        <v>----</v>
      </c>
      <c r="CF141" s="691" t="e">
        <f t="shared" ca="1" si="1775"/>
        <v>#N/A</v>
      </c>
      <c r="CG141" s="4" t="e">
        <f ca="1">IF(AND(INDEX(SSM,CF141,4)&gt;=$AB131,INDEX(SSM,CF141,5)&gt;=$S131,INDEX(SSM,CF141,6)&gt;=$R131),1,0)</f>
        <v>#N/A</v>
      </c>
      <c r="CH141" s="4" t="e">
        <f t="shared" ref="CH141" ca="1" si="1937">MATCH(1,OFFSET(CG131:CG142,CI140,0,COUNT(CG131:CG142)-CI140),0)</f>
        <v>#REF!</v>
      </c>
      <c r="CI141" s="4" t="e">
        <f t="shared" ca="1" si="1777"/>
        <v>#REF!</v>
      </c>
      <c r="CJ141" s="692" t="str">
        <f ca="1">IFERROR(IF(AD132="Nested Steel Stud (wood infill)",VLOOKUP(INDEX(CF131:CF142,CI141),SSW,2,FALSE),VLOOKUP(INDEX(CF131:CF142,CI141),SSM,2,FALSE)),"----")</f>
        <v>----</v>
      </c>
      <c r="CK141" s="691" t="e">
        <f t="shared" ca="1" si="1778"/>
        <v>#N/A</v>
      </c>
      <c r="CL141" s="4" t="e">
        <f ca="1">IF(AND(INDEX(WSM,CK141,4)&gt;=$AB131,INDEX(WSM,CK141,5)&gt;=$S131,INDEX(WSM,CK141,6)&gt;=$R131),1,0)</f>
        <v>#N/A</v>
      </c>
      <c r="CM141" s="4" t="e">
        <f t="shared" ref="CM141" ca="1" si="1938">MATCH(1,OFFSET(CL131:CL142,CN140,0,COUNT(CL131:CL142)-CN140),0)</f>
        <v>#REF!</v>
      </c>
      <c r="CN141" s="4" t="e">
        <f t="shared" ca="1" si="1780"/>
        <v>#REF!</v>
      </c>
      <c r="CO141" s="692" t="str">
        <f ca="1">IFERROR(VLOOKUP(INDEX(CK131:CK142,CN141),WSM,2,FALSE),"----")</f>
        <v>----</v>
      </c>
      <c r="CP141" s="691" t="e">
        <f t="shared" ca="1" si="1781"/>
        <v>#N/A</v>
      </c>
      <c r="CQ141" s="4" t="e">
        <f ca="1">IF(AND(INDEX(STM,CP141,4)&gt;=$AB131,INDEX(STM,CP141,5)&gt;=$S131,INDEX(STM,CP141,6)&gt;=$R131),1,0)</f>
        <v>#N/A</v>
      </c>
      <c r="CR141" s="4" t="e">
        <f t="shared" ref="CR141" ca="1" si="1939">MATCH(1,OFFSET(CQ131:CQ142,CS140,0,COUNT(CQ131:CQ142)-CS140),0)</f>
        <v>#REF!</v>
      </c>
      <c r="CS141" s="4" t="e">
        <f t="shared" ca="1" si="1783"/>
        <v>#REF!</v>
      </c>
      <c r="CT141" s="692" t="str">
        <f ca="1">IFERROR(VLOOKUP(INDEX(CP131:CP142,CS141),STM,2,FALSE),"----")</f>
        <v>----</v>
      </c>
      <c r="CU141" s="691" t="e">
        <f t="shared" ca="1" si="1784"/>
        <v>#N/A</v>
      </c>
      <c r="CV141" s="4" t="e">
        <f ca="1">IF(AND(INDEX(ELM,CU141,4)&gt;=$AB131,INDEX(ELM,CU141,5)&gt;=$S131,INDEX(ELM,CU141,6)&gt;=$R131),1,0)</f>
        <v>#N/A</v>
      </c>
      <c r="CW141" s="4" t="e">
        <f t="shared" ref="CW141" ca="1" si="1940">MATCH(1,OFFSET(CV131:CV142,CX140,0,COUNT(CV131:CV142)-CX140),0)</f>
        <v>#REF!</v>
      </c>
      <c r="CX141" s="4" t="e">
        <f t="shared" ca="1" si="1786"/>
        <v>#REF!</v>
      </c>
      <c r="CY141" s="692" t="str">
        <f ca="1">IFERROR(VLOOKUP(INDEX(CU131:CU142,CX141),ELM,2,FALSE),"----")</f>
        <v>----</v>
      </c>
      <c r="CZ141" s="691" t="e">
        <f t="shared" ca="1" si="1787"/>
        <v>#N/A</v>
      </c>
      <c r="DA141" s="4" t="e">
        <f ca="1">IF(LEFT($J131,7)="Clad Wo",IF(AND(INDEX(SPPWS,CZ141,4)&gt;=$AB131,INDEX(SPPWS,CZ141,5)&gt;=$S131,INDEX(SPPWS,CZ141,6)&gt;=$R131),1,0),IF(AND(INDEX(SPM,CZ141,4)&gt;=$AB131,INDEX(SPM,CZ141,5)&gt;=$S131,INDEX(SPM,CZ141,6)&gt;=$R131),1,0))</f>
        <v>#N/A</v>
      </c>
      <c r="DB141" s="4" t="e">
        <f t="shared" ref="DB141" ca="1" si="1941">MATCH(1,OFFSET(DA131:DA142,DC140,0,COUNT(DA131:DA142)-DC140),0)</f>
        <v>#REF!</v>
      </c>
      <c r="DC141" s="4" t="e">
        <f t="shared" ca="1" si="1789"/>
        <v>#REF!</v>
      </c>
      <c r="DD141" s="693" t="str">
        <f ca="1">IF(LEFT($J131,7)="Clad Wo",IFERROR(VLOOKUP(INDEX(CZ131:CZ142,DC141),SPPWS,2,FALSE),"----"),IFERROR(VLOOKUP(INDEX(CZ131:CZ142,DC141),SPM,2,FALSE),"----"))</f>
        <v>----</v>
      </c>
      <c r="DE141" s="691" t="e">
        <f t="shared" ca="1" si="1790"/>
        <v>#REF!</v>
      </c>
      <c r="DF141" s="4" t="e" cm="1">
        <f t="array" aca="1" ref="DF141" ca="1">IF(AND(INDEX(INDIRECT(BY131),DE141,4)&gt;=$AB137,INDEX(INDIRECT(BY131),DE141,5)&gt;=$S131,INDEX(INDIRECT(BY131),DE141,6)&gt;=$R131),1,0)</f>
        <v>#REF!</v>
      </c>
      <c r="DG141" s="4" t="e">
        <f t="shared" ref="DG141" ca="1" si="1942">MATCH(1,OFFSET(DF131:DF142,DH140,0,COUNT(DF131:DF142)-DH140),0)</f>
        <v>#REF!</v>
      </c>
      <c r="DH141" s="4" t="e">
        <f t="shared" ca="1" si="1792"/>
        <v>#REF!</v>
      </c>
      <c r="DI141" s="692" t="str" cm="1">
        <f t="array" aca="1" ref="DI141" ca="1">IFERROR(VLOOKUP(INDEX(DE131:DE142,DH141),INDIRECT(BY131),2,FALSE),"----")</f>
        <v>----</v>
      </c>
      <c r="DJ141" s="691" t="e">
        <f t="shared" ca="1" si="1793"/>
        <v>#N/A</v>
      </c>
      <c r="DK141" s="4" t="e">
        <f ca="1">IF(AND(INDEX(SSM,DJ141,4)&gt;=$AB137,INDEX(SSM,DJ141,5)&gt;=$S131,INDEX(SSM,DJ141,6)&gt;=$R131),1,0)</f>
        <v>#N/A</v>
      </c>
      <c r="DL141" s="4" t="e">
        <f t="shared" ref="DL141" ca="1" si="1943">MATCH(1,OFFSET(DK131:DK142,DM140,0,COUNT(DK131:DK142)-DM140),0)</f>
        <v>#REF!</v>
      </c>
      <c r="DM141" s="4" t="e">
        <f t="shared" ca="1" si="1795"/>
        <v>#REF!</v>
      </c>
      <c r="DN141" s="692" t="str">
        <f ca="1">IFERROR(IF(AD138="Nested Steel Stud (wood infill)",VLOOKUP(INDEX(DJ131:DJ142,DM141),SSW,2,FALSE),VLOOKUP(INDEX(DJ131:DJ142,DM141),SSM,2,FALSE)),"----")</f>
        <v>----</v>
      </c>
      <c r="DO141" s="691" t="e">
        <f t="shared" ca="1" si="1796"/>
        <v>#N/A</v>
      </c>
      <c r="DP141" s="4" t="e">
        <f ca="1">IF(AND(INDEX(WSM,DO141,4)&gt;=$AB137,INDEX(WSM,DO141,5)&gt;=$S131,INDEX(WSM,DO141,6)&gt;=$R131),1,0)</f>
        <v>#N/A</v>
      </c>
      <c r="DQ141" s="4" t="e">
        <f t="shared" ref="DQ141" ca="1" si="1944">MATCH(1,OFFSET(DP131:DP142,DR140,0,COUNT(DP131:DP142)-DR140),0)</f>
        <v>#REF!</v>
      </c>
      <c r="DR141" s="4" t="e">
        <f t="shared" ca="1" si="1798"/>
        <v>#REF!</v>
      </c>
      <c r="DS141" s="692" t="str">
        <f ca="1">IFERROR(VLOOKUP(INDEX(DO131:DO142,DR141),WSM,2,FALSE),"----")</f>
        <v>----</v>
      </c>
      <c r="DT141" s="691" t="e">
        <f t="shared" ca="1" si="1799"/>
        <v>#N/A</v>
      </c>
      <c r="DU141" s="4" t="e">
        <f ca="1">IF(AND(INDEX(STM,DT141,4)&gt;=$AB137,INDEX(STM,DT141,5)&gt;=$S131,INDEX(STM,DT141,6)&gt;=$R131),1,0)</f>
        <v>#N/A</v>
      </c>
      <c r="DV141" s="4" t="e">
        <f t="shared" ref="DV141" ca="1" si="1945">MATCH(1,OFFSET(DU131:DU142,DW140,0,COUNT(DU131:DU142)-DW140),0)</f>
        <v>#REF!</v>
      </c>
      <c r="DW141" s="4" t="e">
        <f t="shared" ca="1" si="1801"/>
        <v>#REF!</v>
      </c>
      <c r="DX141" s="692" t="str">
        <f ca="1">IFERROR(VLOOKUP(INDEX(DT131:DT142,DW141),STM,2,FALSE),"----")</f>
        <v>----</v>
      </c>
      <c r="DY141" s="691" t="e">
        <f t="shared" ca="1" si="1802"/>
        <v>#N/A</v>
      </c>
      <c r="DZ141" s="4" t="e">
        <f ca="1">IF(AND(INDEX(ELM,DY141,4)&gt;=$AB137,INDEX(ELM,DY141,5)&gt;=$S131,INDEX(ELM,DY141,6)&gt;=$R131),1,0)</f>
        <v>#N/A</v>
      </c>
      <c r="EA141" s="4" t="e">
        <f t="shared" ref="EA141" ca="1" si="1946">MATCH(1,OFFSET(DZ131:DZ142,EB140,0,COUNT(DZ131:DZ142)-EB140),0)</f>
        <v>#REF!</v>
      </c>
      <c r="EB141" s="4" t="e">
        <f t="shared" ca="1" si="1804"/>
        <v>#REF!</v>
      </c>
      <c r="EC141" s="692" t="str">
        <f ca="1">IFERROR(VLOOKUP(INDEX(DY131:DY142,EB141),ELM,2,FALSE),"----")</f>
        <v>----</v>
      </c>
      <c r="ED141" s="691" t="e">
        <f t="shared" ca="1" si="1805"/>
        <v>#N/A</v>
      </c>
      <c r="EE141" s="4" t="e">
        <f ca="1">IF(LEFT($J131,7)="Clad Wo",IF(AND(INDEX(SPPWS,ED141,4)&gt;=$AB137,INDEX(SPPWS,ED141,5)&gt;=$S131,INDEX(SPPWS,ED141,6)&gt;=$R131),1,0),IF(AND(INDEX(SPM,ED141,4)&gt;=$AB137,INDEX(SPM,ED141,5)&gt;=$S131,INDEX(SPM,ED141,6)&gt;=$R131),1,0))</f>
        <v>#N/A</v>
      </c>
      <c r="EF141" s="4" t="e">
        <f t="shared" ref="EF141" ca="1" si="1947">MATCH(1,OFFSET(EE131:EE142,EG140,0,COUNT(EE131:EE142)-EG140),0)</f>
        <v>#REF!</v>
      </c>
      <c r="EG141" s="4" t="e">
        <f t="shared" ca="1" si="1807"/>
        <v>#REF!</v>
      </c>
      <c r="EH141" s="692" t="str">
        <f ca="1">IF(LEFT($J131,7)="Clad Wo",IFERROR(VLOOKUP(INDEX(ED131:ED142,EG141),SPPWS,2,FALSE),"----"),IFERROR(VLOOKUP(INDEX(ED131:ED142,EG141),SPM,2,FALSE),"----"))</f>
        <v>----</v>
      </c>
    </row>
    <row r="142" spans="1:138" ht="15" customHeight="1" thickBot="1" x14ac:dyDescent="0.3">
      <c r="A142" s="1085"/>
      <c r="B142" s="928"/>
      <c r="C142" s="929"/>
      <c r="D142" s="930"/>
      <c r="E142" s="998"/>
      <c r="F142" s="999"/>
      <c r="G142" s="1000"/>
      <c r="H142" s="1063"/>
      <c r="I142" s="991"/>
      <c r="J142" s="904"/>
      <c r="K142" s="905"/>
      <c r="L142" s="1003"/>
      <c r="M142" s="1065"/>
      <c r="N142" s="1043"/>
      <c r="O142" s="1019"/>
      <c r="P142" s="988"/>
      <c r="Q142" s="1016"/>
      <c r="R142" s="1013"/>
      <c r="S142" s="1008"/>
      <c r="T142" s="1009"/>
      <c r="U142" s="879"/>
      <c r="V142" s="882"/>
      <c r="W142" s="885"/>
      <c r="X142" s="885"/>
      <c r="Y142" s="888"/>
      <c r="Z142" s="888"/>
      <c r="AA142" s="888"/>
      <c r="AB142" s="1082"/>
      <c r="AC142" s="1087"/>
      <c r="AD142" s="1098" t="str">
        <f t="shared" ref="AD142" si="1948">IF(LEFT(J131,7)="Clad Wo","Pella Wood Spr / Steel Pte","Steel Plate")</f>
        <v>Steel Plate</v>
      </c>
      <c r="AE142" s="1099"/>
      <c r="AF142" s="1096"/>
      <c r="AG142" s="1097"/>
      <c r="AH142" s="1097"/>
      <c r="AI142" s="1094"/>
      <c r="AJ142" s="1095"/>
      <c r="AK142" s="163" t="str">
        <f t="shared" ca="1" si="1130"/>
        <v/>
      </c>
      <c r="AL142" s="1060"/>
      <c r="AM142" s="345" t="str">
        <f ca="1">IFERROR(Q131/12*ROUND(VLOOKUP(AF142,OFFSET(SPM,0,1),6,FALSE),2),"")</f>
        <v/>
      </c>
      <c r="AN142" t="str">
        <f t="shared" ca="1" si="1154"/>
        <v/>
      </c>
      <c r="AP142" s="699" t="str">
        <f t="shared" ref="AP142" si="1949">_xlfn.CONCAT(AR142,AS142)</f>
        <v/>
      </c>
      <c r="AQ142" s="700" t="str">
        <f t="shared" si="1353"/>
        <v/>
      </c>
      <c r="AR142" s="160" t="str">
        <f t="shared" si="1114"/>
        <v/>
      </c>
      <c r="AS142" s="160" t="str">
        <f>IFERROR(VLOOKUP(J139, WallType,2,FALSE),"")</f>
        <v/>
      </c>
      <c r="AT142" s="707" t="str">
        <f>AL137</f>
        <v/>
      </c>
      <c r="AU142" s="708" t="e">
        <f t="shared" ca="1" si="1370"/>
        <v>#REF!</v>
      </c>
      <c r="AV142" s="709" t="str">
        <f ca="1">IFERROR(VLOOKUP(AU142,INDIRECT(AQ131),2,FALSE),"----")</f>
        <v>----</v>
      </c>
      <c r="AW142" s="710" t="e">
        <f t="shared" ca="1" si="1371"/>
        <v>#REF!</v>
      </c>
      <c r="AX142" s="709" t="str">
        <f ca="1">IFERROR(VLOOKUP(AW142,INDIRECT(AQ132),2,FALSE),"----")</f>
        <v>----</v>
      </c>
      <c r="AY142" s="710" t="e">
        <f t="shared" ca="1" si="1919"/>
        <v>#REF!</v>
      </c>
      <c r="AZ142" s="709" t="str">
        <f ca="1">IFERROR(VLOOKUP(AY142,INDIRECT(AQ133),2,FALSE),"----")</f>
        <v>----</v>
      </c>
      <c r="BA142" s="710" t="e">
        <f t="shared" ca="1" si="1920"/>
        <v>#REF!</v>
      </c>
      <c r="BB142" s="709" t="str">
        <f ca="1">IFERROR(VLOOKUP(BA142,INDIRECT(AQ134),2,FALSE),"----")</f>
        <v>----</v>
      </c>
      <c r="BC142" s="710" t="e">
        <f t="shared" ca="1" si="1374"/>
        <v>#REF!</v>
      </c>
      <c r="BD142" s="709" t="str">
        <f ca="1">IFERROR(VLOOKUP(BC142,INDIRECT(AQ135),2,FALSE),"----")</f>
        <v>----</v>
      </c>
      <c r="BE142" s="710" t="e">
        <f t="shared" ca="1" si="1375"/>
        <v>#REF!</v>
      </c>
      <c r="BF142" s="709" t="str">
        <f ca="1">IFERROR(VLOOKUP(BE142,INDIRECT(AQ136),2,FALSE),"----")</f>
        <v>----</v>
      </c>
      <c r="BG142" s="710" t="e">
        <f t="shared" ca="1" si="1376"/>
        <v>#REF!</v>
      </c>
      <c r="BH142" s="711" t="str">
        <f ca="1">IFERROR(VLOOKUP(BG142,INDIRECT(AQ137),2,FALSE),"----")</f>
        <v>----</v>
      </c>
      <c r="BI142" s="710" t="e">
        <f t="shared" ca="1" si="1377"/>
        <v>#REF!</v>
      </c>
      <c r="BJ142" s="711" t="str">
        <f ca="1">IFERROR(VLOOKUP(BI142,INDIRECT(AQ138),2,FALSE),"----")</f>
        <v>----</v>
      </c>
      <c r="BK142" s="710" t="e">
        <f t="shared" ca="1" si="1378"/>
        <v>#REF!</v>
      </c>
      <c r="BL142" s="711" t="str">
        <f ca="1">IFERROR(VLOOKUP(BK142,INDIRECT(AQ139),2,FALSE),"----")</f>
        <v>----</v>
      </c>
      <c r="BM142" s="710" t="e">
        <f t="shared" ca="1" si="1379"/>
        <v>#REF!</v>
      </c>
      <c r="BN142" s="711" t="str">
        <f ca="1">IFERROR(VLOOKUP(BM142,INDIRECT(AQ140),2,FALSE),"----")</f>
        <v>----</v>
      </c>
      <c r="BO142" s="710" t="e">
        <f t="shared" ca="1" si="1380"/>
        <v>#REF!</v>
      </c>
      <c r="BP142" s="711" t="str">
        <f ca="1">IFERROR(VLOOKUP(BO142,INDIRECT(AQ141),2,FALSE),"----")</f>
        <v>----</v>
      </c>
      <c r="BQ142" s="710" t="e">
        <f t="shared" ca="1" si="1381"/>
        <v>#REF!</v>
      </c>
      <c r="BR142" s="712" t="str">
        <f ca="1">IFERROR(VLOOKUP(BQ142,INDIRECT(AQ142),2,FALSE),"----")</f>
        <v>----</v>
      </c>
      <c r="BS142" s="695">
        <f>IF(AI142="",1,IF(COUNTIF(BR131:BR142,AI142)=0,2,1))</f>
        <v>1</v>
      </c>
      <c r="BT142" s="713">
        <f>IF(AF142="",1,IF(BR131=".",2,1))</f>
        <v>1</v>
      </c>
      <c r="BV142" s="155">
        <f ca="1">IF(COUNTIF(EH131:EH142,AF142)=0,IF(AF142&lt;&gt;"",0,1),1)</f>
        <v>1</v>
      </c>
      <c r="BW142" s="157">
        <f ca="1">IFERROR(MATCH(AF142,EH131:EH142,0),1)</f>
        <v>1</v>
      </c>
      <c r="BX142" s="718"/>
      <c r="BY142" s="777"/>
      <c r="BZ142" s="1110"/>
      <c r="CA142" s="714" t="e">
        <f t="shared" ca="1" si="1772"/>
        <v>#REF!</v>
      </c>
      <c r="CB142" s="715" t="e" cm="1">
        <f t="array" aca="1" ref="CB142" ca="1">IF(AND(INDEX(INDIRECT(BY131),CA142,4)&gt;=$AB131,INDEX(INDIRECT(BY131),CA142,5)&gt;=$S131,INDEX(INDIRECT(BY131),CA142,6)&gt;=$R131),1,0)</f>
        <v>#REF!</v>
      </c>
      <c r="CC142" s="715" t="e">
        <f t="shared" ref="CC142" ca="1" si="1950">MATCH(1,OFFSET(CB131:CB142,CD141,0,COUNT(CB131:CB142)-CD141),0)</f>
        <v>#REF!</v>
      </c>
      <c r="CD142" s="715" t="e">
        <f t="shared" ca="1" si="1774"/>
        <v>#REF!</v>
      </c>
      <c r="CE142" s="716" t="str" cm="1">
        <f t="array" aca="1" ref="CE142" ca="1">IFERROR(VLOOKUP(INDEX(CA131:CA142,CD142),INDIRECT(BY131),2,FALSE),"----")</f>
        <v>----</v>
      </c>
      <c r="CF142" s="714" t="e">
        <f t="shared" ca="1" si="1775"/>
        <v>#N/A</v>
      </c>
      <c r="CG142" s="715" t="e">
        <f ca="1">IF(AND(INDEX(SSM,CF142,4)&gt;=$AB131,INDEX(SSM,CF142,5)&gt;=$S131,INDEX(SSM,CF142,6)&gt;=$R131),1,0)</f>
        <v>#N/A</v>
      </c>
      <c r="CH142" s="715" t="e">
        <f t="shared" ref="CH142" ca="1" si="1951">MATCH(1,OFFSET(CG131:CG142,CI141,0,COUNT(CG131:CG142)-CI141),0)</f>
        <v>#REF!</v>
      </c>
      <c r="CI142" s="715" t="e">
        <f t="shared" ca="1" si="1777"/>
        <v>#REF!</v>
      </c>
      <c r="CJ142" s="716" t="str">
        <f ca="1">IFERROR(IF(AD132="Nested Steel Stud (wood infill)",VLOOKUP(INDEX(CF131:CF142,CI142),SSW,2,FALSE),VLOOKUP(INDEX(CF131:CF142,CI142),SSM,2,FALSE)),"----")</f>
        <v>----</v>
      </c>
      <c r="CK142" s="714" t="e">
        <f t="shared" ca="1" si="1778"/>
        <v>#N/A</v>
      </c>
      <c r="CL142" s="715" t="e">
        <f ca="1">IF(AND(INDEX(WSM,CK142,4)&gt;=$AB131,INDEX(WSM,CK142,5)&gt;=$S131,INDEX(WSM,CK142,6)&gt;=$R131),1,0)</f>
        <v>#N/A</v>
      </c>
      <c r="CM142" s="715" t="e">
        <f t="shared" ref="CM142" ca="1" si="1952">MATCH(1,OFFSET(CL131:CL142,CN141,0,COUNT(CL131:CL142)-CN141),0)</f>
        <v>#REF!</v>
      </c>
      <c r="CN142" s="715" t="e">
        <f t="shared" ca="1" si="1780"/>
        <v>#REF!</v>
      </c>
      <c r="CO142" s="716" t="str">
        <f ca="1">IFERROR(VLOOKUP(INDEX(CK131:CK142,CN142),WSM,2,FALSE),"----")</f>
        <v>----</v>
      </c>
      <c r="CP142" s="714" t="e">
        <f t="shared" ca="1" si="1781"/>
        <v>#N/A</v>
      </c>
      <c r="CQ142" s="715" t="e">
        <f ca="1">IF(AND(INDEX(STM,CP142,4)&gt;=$AB131,INDEX(STM,CP142,5)&gt;=$S131,INDEX(STM,CP142,6)&gt;=$R131),1,0)</f>
        <v>#N/A</v>
      </c>
      <c r="CR142" s="715" t="e">
        <f t="shared" ref="CR142" ca="1" si="1953">MATCH(1,OFFSET(CQ131:CQ142,CS141,0,COUNT(CQ131:CQ142)-CS141),0)</f>
        <v>#REF!</v>
      </c>
      <c r="CS142" s="715" t="e">
        <f t="shared" ca="1" si="1783"/>
        <v>#REF!</v>
      </c>
      <c r="CT142" s="716" t="str">
        <f ca="1">IFERROR(VLOOKUP(INDEX(CP131:CP142,CS142),STM,2,FALSE),"----")</f>
        <v>----</v>
      </c>
      <c r="CU142" s="714" t="e">
        <f t="shared" ca="1" si="1784"/>
        <v>#N/A</v>
      </c>
      <c r="CV142" s="715" t="e">
        <f ca="1">IF(AND(INDEX(ELM,CU142,4)&gt;=$AB131,INDEX(ELM,CU142,5)&gt;=$S131,INDEX(ELM,CU142,6)&gt;=$R131),1,0)</f>
        <v>#N/A</v>
      </c>
      <c r="CW142" s="715" t="e">
        <f t="shared" ref="CW142" ca="1" si="1954">MATCH(1,OFFSET(CV131:CV142,CX141,0,COUNT(CV131:CV142)-CX141),0)</f>
        <v>#REF!</v>
      </c>
      <c r="CX142" s="715" t="e">
        <f t="shared" ca="1" si="1786"/>
        <v>#REF!</v>
      </c>
      <c r="CY142" s="716" t="str">
        <f ca="1">IFERROR(VLOOKUP(INDEX(CU131:CU142,CX142),ELM,2,FALSE),"----")</f>
        <v>----</v>
      </c>
      <c r="CZ142" s="714" t="e">
        <f t="shared" ca="1" si="1787"/>
        <v>#N/A</v>
      </c>
      <c r="DA142" s="715" t="e">
        <f ca="1">IF(LEFT($J131,7)="Clad Wo",IF(AND(INDEX(SPPWS,CZ142,4)&gt;=$AB131,INDEX(SPPWS,CZ142,5)&gt;=$S131,INDEX(SPPWS,CZ142,6)&gt;=$R131),1,0),IF(AND(INDEX(SPM,CZ142,4)&gt;=$AB131,INDEX(SPM,CZ142,5)&gt;=$S131,INDEX(SPM,CZ142,6)&gt;=$R131),1,0))</f>
        <v>#N/A</v>
      </c>
      <c r="DB142" s="715" t="e">
        <f t="shared" ref="DB142" ca="1" si="1955">MATCH(1,OFFSET(DA131:DA142,DC141,0,COUNT(DA131:DA142)-DC141),0)</f>
        <v>#REF!</v>
      </c>
      <c r="DC142" s="715" t="e">
        <f t="shared" ca="1" si="1789"/>
        <v>#REF!</v>
      </c>
      <c r="DD142" s="717" t="str">
        <f ca="1">IF(LEFT($J131,7)="Clad Wo",IFERROR(VLOOKUP(INDEX(CZ131:CZ142,DC142),SPPWS,2,FALSE),"----"),IFERROR(VLOOKUP(INDEX(CZ131:CZ142,DC142),SPM,2,FALSE),"----"))</f>
        <v>----</v>
      </c>
      <c r="DE142" s="714" t="e">
        <f t="shared" ca="1" si="1790"/>
        <v>#REF!</v>
      </c>
      <c r="DF142" s="715" t="e" cm="1">
        <f t="array" aca="1" ref="DF142" ca="1">IF(AND(INDEX(INDIRECT(BY131),DE142,4)&gt;=$AB137,INDEX(INDIRECT(BY131),DE142,5)&gt;=$S131,INDEX(INDIRECT(BY131),DE142,6)&gt;=$R131),1,0)</f>
        <v>#REF!</v>
      </c>
      <c r="DG142" s="715" t="e">
        <f t="shared" ref="DG142" ca="1" si="1956">MATCH(1,OFFSET(DF131:DF142,DH141,0,COUNT(DF131:DF142)-DH141),0)</f>
        <v>#REF!</v>
      </c>
      <c r="DH142" s="715" t="e">
        <f t="shared" ca="1" si="1792"/>
        <v>#REF!</v>
      </c>
      <c r="DI142" s="716" t="str" cm="1">
        <f t="array" aca="1" ref="DI142" ca="1">IFERROR(VLOOKUP(INDEX(DE131:DE142,DH142),INDIRECT(BY131),2,FALSE),"----")</f>
        <v>----</v>
      </c>
      <c r="DJ142" s="714" t="e">
        <f t="shared" ca="1" si="1793"/>
        <v>#N/A</v>
      </c>
      <c r="DK142" s="715" t="e">
        <f ca="1">IF(AND(INDEX(SSM,DJ142,4)&gt;=$AB137,INDEX(SSM,DJ142,5)&gt;=$S131,INDEX(SSM,DJ142,6)&gt;=$R131),1,0)</f>
        <v>#N/A</v>
      </c>
      <c r="DL142" s="715" t="e">
        <f t="shared" ref="DL142" ca="1" si="1957">MATCH(1,OFFSET(DK131:DK142,DM141,0,COUNT(DK131:DK142)-DM141),0)</f>
        <v>#REF!</v>
      </c>
      <c r="DM142" s="715" t="e">
        <f t="shared" ca="1" si="1795"/>
        <v>#REF!</v>
      </c>
      <c r="DN142" s="716" t="str">
        <f ca="1">IFERROR(IF(AD138="Nested Steel Stud (wood infill)",VLOOKUP(INDEX(DJ131:DJ142,DM142),SSW,2,FALSE),VLOOKUP(INDEX(DJ131:DJ142,DM142),SSM,2,FALSE)),"----")</f>
        <v>----</v>
      </c>
      <c r="DO142" s="714" t="e">
        <f t="shared" ca="1" si="1796"/>
        <v>#N/A</v>
      </c>
      <c r="DP142" s="715" t="e">
        <f ca="1">IF(AND(INDEX(WSM,DO142,4)&gt;=$AB137,INDEX(WSM,DO142,5)&gt;=$S131,INDEX(WSM,DO142,6)&gt;=$R131),1,0)</f>
        <v>#N/A</v>
      </c>
      <c r="DQ142" s="715" t="e">
        <f t="shared" ref="DQ142" ca="1" si="1958">MATCH(1,OFFSET(DP131:DP142,DR141,0,COUNT(DP131:DP142)-DR141),0)</f>
        <v>#REF!</v>
      </c>
      <c r="DR142" s="715" t="e">
        <f t="shared" ca="1" si="1798"/>
        <v>#REF!</v>
      </c>
      <c r="DS142" s="716" t="str">
        <f ca="1">IFERROR(VLOOKUP(INDEX(DO131:DO142,DR142),WSM,2,FALSE),"----")</f>
        <v>----</v>
      </c>
      <c r="DT142" s="714" t="e">
        <f t="shared" ca="1" si="1799"/>
        <v>#N/A</v>
      </c>
      <c r="DU142" s="715" t="e">
        <f ca="1">IF(AND(INDEX(STM,DT142,4)&gt;=$AB137,INDEX(STM,DT142,5)&gt;=$S131,INDEX(STM,DT142,6)&gt;=$R131),1,0)</f>
        <v>#N/A</v>
      </c>
      <c r="DV142" s="715" t="e">
        <f t="shared" ref="DV142" ca="1" si="1959">MATCH(1,OFFSET(DU131:DU142,DW141,0,COUNT(DU131:DU142)-DW141),0)</f>
        <v>#REF!</v>
      </c>
      <c r="DW142" s="715" t="e">
        <f t="shared" ca="1" si="1801"/>
        <v>#REF!</v>
      </c>
      <c r="DX142" s="716" t="str">
        <f ca="1">IFERROR(VLOOKUP(INDEX(DT131:DT142,DW142),STM,2,FALSE),"----")</f>
        <v>----</v>
      </c>
      <c r="DY142" s="714" t="e">
        <f t="shared" ca="1" si="1802"/>
        <v>#N/A</v>
      </c>
      <c r="DZ142" s="715" t="e">
        <f ca="1">IF(AND(INDEX(ELM,DY142,4)&gt;=$AB137,INDEX(ELM,DY142,5)&gt;=$S131,INDEX(ELM,DY142,6)&gt;=$R131),1,0)</f>
        <v>#N/A</v>
      </c>
      <c r="EA142" s="715" t="e">
        <f t="shared" ref="EA142" ca="1" si="1960">MATCH(1,OFFSET(DZ131:DZ142,EB141,0,COUNT(DZ131:DZ142)-EB141),0)</f>
        <v>#REF!</v>
      </c>
      <c r="EB142" s="715" t="e">
        <f t="shared" ca="1" si="1804"/>
        <v>#REF!</v>
      </c>
      <c r="EC142" s="716" t="str">
        <f ca="1">IFERROR(VLOOKUP(INDEX(DY131:DY142,EB142),ELM,2,FALSE),"----")</f>
        <v>----</v>
      </c>
      <c r="ED142" s="714" t="e">
        <f t="shared" ca="1" si="1805"/>
        <v>#N/A</v>
      </c>
      <c r="EE142" s="715" t="e">
        <f ca="1">IF(LEFT($J131,7)="Clad Wo",IF(AND(INDEX(SPPWS,ED142,4)&gt;=$AB137,INDEX(SPPWS,ED142,5)&gt;=$S131,INDEX(SPPWS,ED142,6)&gt;=$R131),1,0),IF(AND(INDEX(SPM,ED142,4)&gt;=$AB137,INDEX(SPM,ED142,5)&gt;=$S131,INDEX(SPM,ED142,6)&gt;=$R131),1,0))</f>
        <v>#N/A</v>
      </c>
      <c r="EF142" s="715" t="e">
        <f t="shared" ref="EF142" ca="1" si="1961">MATCH(1,OFFSET(EE131:EE142,EG141,0,COUNT(EE131:EE142)-EG141),0)</f>
        <v>#REF!</v>
      </c>
      <c r="EG142" s="715" t="e">
        <f t="shared" ca="1" si="1807"/>
        <v>#REF!</v>
      </c>
      <c r="EH142" s="716" t="str">
        <f ca="1">IF(LEFT($J131,7)="Clad Wo",IFERROR(VLOOKUP(INDEX(ED131:ED142,EG142),SPPWS,2,FALSE),"----"),IFERROR(VLOOKUP(INDEX(ED131:ED142,EG142),SPM,2,FALSE),"----"))</f>
        <v>----</v>
      </c>
    </row>
    <row r="143" spans="1:138" ht="15" customHeight="1" thickTop="1" x14ac:dyDescent="0.25">
      <c r="A143" s="1085"/>
      <c r="B143" s="931" t="s">
        <v>92</v>
      </c>
      <c r="C143" s="932"/>
      <c r="D143" s="933"/>
      <c r="E143" s="992"/>
      <c r="F143" s="993"/>
      <c r="G143" s="994"/>
      <c r="H143" s="1061"/>
      <c r="I143" s="989"/>
      <c r="J143" s="906"/>
      <c r="K143" s="907"/>
      <c r="L143" s="1001">
        <f>$W$3</f>
        <v>4</v>
      </c>
      <c r="M143" s="923" t="str">
        <f t="shared" ref="M143" si="1962">IFERROR(IF($AE$13="",IF($AG$19="Wind Loading",MIN($V$31,IF(E$11="ASCE 7-05",$U$26,$V$7)*$V$9*(IF($E$12&lt;60,0.0771*LN(MAX(MIN(500,O143),10)) -1.2737,IF($E$11="ASCE 7-22",0.0524*LN(MAX(MIN(500,O143),50))-1.0278,0.0614*LN(MAX(MIN(500,O143),20)) -1.0829))-$V$8)),$V$7*IF(E$12&lt;60,$V$13*($V$15*0.0771*LN(MAX(MIN(500,O143),10))-1.2737-$V$16),$V$13*$V$15*((0.0524*LN(MAX(MIN(500,O143),20))-1.0278)-$V$16))),-ABS($AE$13)),"")</f>
        <v/>
      </c>
      <c r="N143" s="1042" t="str">
        <f t="shared" ref="N143" si="1963">IFERROR(IF($AE$15="",IF($AG$19="Wind Loading",MAX($U$31,IF(E$11="ASCE 7-05",$U$26,$V$7)*$V$9*((IF($E$12&lt;60,-0.077*LN(MAX(MIN(500,O143),10))+1.1737,IF($E$11="ASCE 7-22",-0.077*LN(MAX(MIN(500,O143),20))+1.0798,-0.093*LN(MAX(MIN(500,O143),20))+1.1776)))+$V$8)),$V$7*IF(E$12&lt;60,$V$13*($V$15*(-0.077*LN(MAX(MIN(500,O143),10))+1.1737)-$V$17),$V$13*$V$15*((-0.077*LN(MAX(MIN(500,O143),20))+1.0798)-$V$17))),ABS($AE$15)),"")</f>
        <v/>
      </c>
      <c r="O143" s="1017" t="str">
        <f>IF(BX150=0,"",IF(AG$14="Trapezoidal",BY150,BX150))</f>
        <v/>
      </c>
      <c r="P143" s="986"/>
      <c r="Q143" s="1014"/>
      <c r="R143" s="1011">
        <f>P143*Q143/8</f>
        <v>0</v>
      </c>
      <c r="S143" s="1004">
        <f t="shared" ref="S143" si="1964">IF(5*(P143*Q143^3/(384*0.125))=0,0,5*(P143*Q143^3/(384*0.125)))</f>
        <v>0</v>
      </c>
      <c r="T143" s="1005"/>
      <c r="U143" s="877" t="e">
        <f ca="1">VLOOKUP(J147,INDIRECT(VLOOKUP(J143,FrameStrength,2,FALSE)),3,FALSE)</f>
        <v>#N/A</v>
      </c>
      <c r="V143" s="880">
        <f t="shared" ref="V143" si="1965">(H143+I143)/2</f>
        <v>0</v>
      </c>
      <c r="W143" s="883" t="e">
        <f t="shared" ref="W143" si="1966">MAX(-M143,N143)*O143</f>
        <v>#VALUE!</v>
      </c>
      <c r="X143" s="883">
        <f t="shared" ref="X143" si="1967">IF(E143&gt;162,(E143/240+0.25),IF(AND(E143&lt;162,E143/175&lt;0.75),E143/175,0.75))</f>
        <v>0</v>
      </c>
      <c r="Y143" s="886">
        <f>IFERROR(IF(AG$14="Trapezoidal",BY151,BX151)+IF($E$17="4",(400*E143^3)/(48*X143),0),0)</f>
        <v>0</v>
      </c>
      <c r="Z143" s="886" t="e">
        <f t="shared" ref="Z143" si="1968">+($V143*MAX(-$M143,$N143)*$E143^2)/(144*8)+IF($E$17=4,(400*$E143)/4,0)</f>
        <v>#VALUE!</v>
      </c>
      <c r="AA143" s="886" t="e">
        <f ca="1">VLOOKUP(J147,INDIRECT(VLOOKUP(J143,FrameStrength,2,FALSE)),2,FALSE)</f>
        <v>#N/A</v>
      </c>
      <c r="AB143" s="1083" t="str">
        <f t="shared" ref="AB143" ca="1" si="1969">IFERROR(Z143-AA143,"")</f>
        <v/>
      </c>
      <c r="AC143" s="1077" t="str">
        <f t="shared" ref="AC143" ca="1" si="1970">IFERROR(Y143-U143,"")</f>
        <v/>
      </c>
      <c r="AD143" s="1100" t="str">
        <f>IFERROR(IF(LEFT(J147,2)="As",VLOOKUP(J147,EIMM,4,FALSE),VLOOKUP(J143,EIMM,4,FALSE)),IF(AND(ISNUMBER(SEARCH("Impervia",J143)),ISNUMBER(SEARCH("door",J147))),'New Lookup Cells'!AF$10,IF(ISNUMBER(SEARCH("Impervia",J143)),'New Lookup Cells'!AF$7,IF(AND(ISNUMBER(SEARCH("250",J143)),ISNUMBER(SEARCH("door",J147))),'New Lookup Cells'!AF$14,IF(ISNUMBER(SEARCH("250",J143)),'New Lookup Cells'!AF$13,"")))))</f>
        <v/>
      </c>
      <c r="AE143" s="1101"/>
      <c r="AF143" s="1050"/>
      <c r="AG143" s="1051"/>
      <c r="AH143" s="1051"/>
      <c r="AI143" s="1088"/>
      <c r="AJ143" s="1089"/>
      <c r="AK143" s="154" t="str">
        <f t="shared" ca="1" si="1130"/>
        <v/>
      </c>
      <c r="AL143" s="1038" t="str">
        <f t="shared" ref="AL143" si="1971">IFERROR(ROUND(SQRT(P143^2+(W143/2+IF($E$17=4,200,0))^2),0),"")</f>
        <v/>
      </c>
      <c r="AM143" s="342" t="s">
        <v>669</v>
      </c>
      <c r="AN143" t="str">
        <f t="shared" ca="1" si="1154"/>
        <v/>
      </c>
      <c r="AP143" s="122" t="str">
        <f t="shared" ref="AP143" si="1972">_xlfn.CONCAT(AR143,AS148)</f>
        <v/>
      </c>
      <c r="AQ143" s="683" t="str">
        <f t="shared" si="1353"/>
        <v/>
      </c>
      <c r="AR143" s="96" t="str">
        <f t="shared" si="1114"/>
        <v/>
      </c>
      <c r="AS143" s="96" t="str">
        <f>IF(COUNTIF(imp_1,AF143)=1,"imp_1",IF(COUNTIF(imp_2,AF143)=1,"imp_2",IF(COUNTIF(imp_3,AF143)=1,"imp_3",IF(COUNTIF(impdoor,AF143)=1,"impdoor",""))))</f>
        <v/>
      </c>
      <c r="AT143" s="684" t="str">
        <f>AL143</f>
        <v/>
      </c>
      <c r="AU143" s="685" t="e">
        <f ca="1">MATCH(AL143,INDIRECT(AP143),-1)</f>
        <v>#REF!</v>
      </c>
      <c r="AV143" s="686" t="str">
        <f ca="1">IFERROR(VLOOKUP(AU143,INDIRECT(AQ143),2,FALSE),"----")</f>
        <v>----</v>
      </c>
      <c r="AW143" s="685" t="e">
        <f ca="1">MATCH(AL143,INDIRECT(AP144),-1)</f>
        <v>#REF!</v>
      </c>
      <c r="AX143" s="686" t="str">
        <f ca="1">IFERROR(VLOOKUP(AW143,INDIRECT(AQ144),2,FALSE),"----")</f>
        <v>----</v>
      </c>
      <c r="AY143" s="685" t="e">
        <f ca="1">MATCH(AL143,INDIRECT(AP145),-1)</f>
        <v>#REF!</v>
      </c>
      <c r="AZ143" s="686" t="str">
        <f ca="1">IFERROR(VLOOKUP(AY143,INDIRECT(AQ145),2,FALSE),"----")</f>
        <v>----</v>
      </c>
      <c r="BA143" s="685" t="e">
        <f ca="1">MATCH(AL143,INDIRECT(AP146),-1)</f>
        <v>#REF!</v>
      </c>
      <c r="BB143" s="686" t="str">
        <f ca="1">IFERROR(VLOOKUP(BA143,INDIRECT(AQ146),2,FALSE),"----")</f>
        <v>----</v>
      </c>
      <c r="BC143" s="685" t="e">
        <f ca="1">MATCH(AL143,INDIRECT(AP147),-1)</f>
        <v>#REF!</v>
      </c>
      <c r="BD143" s="686" t="str">
        <f ca="1">IFERROR(VLOOKUP(BC143,INDIRECT(AQ147),2,FALSE),"----")</f>
        <v>----</v>
      </c>
      <c r="BE143" s="685" t="e">
        <f ca="1">MATCH(AL143,INDIRECT(AP148),-1)</f>
        <v>#REF!</v>
      </c>
      <c r="BF143" s="686" t="str">
        <f ca="1">IFERROR(VLOOKUP(BE143,INDIRECT(AQ148),2,FALSE),"----")</f>
        <v>----</v>
      </c>
      <c r="BG143" s="685" t="e">
        <f ca="1">MATCH(AL149,INDIRECT(AP149),-1)</f>
        <v>#REF!</v>
      </c>
      <c r="BH143" s="686" t="str">
        <f ca="1">IFERROR(VLOOKUP(BG143,INDIRECT(AQ149),2,FALSE),"----")</f>
        <v>----</v>
      </c>
      <c r="BI143" s="685" t="e">
        <f ca="1">MATCH(AL149,INDIRECT(AP150),-1)</f>
        <v>#REF!</v>
      </c>
      <c r="BJ143" s="686" t="str">
        <f ca="1">IFERROR(VLOOKUP(BI143,INDIRECT(AQ150),2,FALSE),"----")</f>
        <v>----</v>
      </c>
      <c r="BK143" s="685" t="e">
        <f ca="1">MATCH(AL149,INDIRECT(AP151),-1)</f>
        <v>#REF!</v>
      </c>
      <c r="BL143" s="686" t="str">
        <f ca="1">IFERROR(VLOOKUP(BK143,INDIRECT(AQ151),2,FALSE),"----")</f>
        <v>----</v>
      </c>
      <c r="BM143" s="685" t="e">
        <f ca="1">MATCH(AL149,INDIRECT(AP152),-1)</f>
        <v>#REF!</v>
      </c>
      <c r="BN143" s="686" t="str">
        <f ca="1">IFERROR(VLOOKUP(BM143,INDIRECT(AQ152),2,FALSE),"----")</f>
        <v>----</v>
      </c>
      <c r="BO143" s="685" t="e">
        <f ca="1">MATCH(AL149,INDIRECT(AP153),-1)</f>
        <v>#REF!</v>
      </c>
      <c r="BP143" s="686" t="str">
        <f ca="1">IFERROR(VLOOKUP(BO143,INDIRECT(AQ153),2,FALSE),"----")</f>
        <v>----</v>
      </c>
      <c r="BQ143" s="685" t="e">
        <f ca="1">MATCH(AL149,INDIRECT(AP154),-1)</f>
        <v>#REF!</v>
      </c>
      <c r="BR143" s="686" t="str">
        <f ca="1">IFERROR(VLOOKUP(BQ143,INDIRECT(AQ154),2,FALSE),"----")</f>
        <v>----</v>
      </c>
      <c r="BS143" s="687">
        <f>IF(AI143="",1,IF(COUNTIF(AV143:AV154,AI143)=0,2,1))</f>
        <v>1</v>
      </c>
      <c r="BT143" s="688">
        <f>IF(AP143="1",1,IF(AF143="",1,IF(AV143=".",2,1)))</f>
        <v>1</v>
      </c>
      <c r="BU143" s="706"/>
      <c r="BV143" s="155">
        <f ca="1">IF(COUNTIF(CE143:CE154,AF143)=0,IF(AF143&lt;&gt;"",0,1),1)</f>
        <v>1</v>
      </c>
      <c r="BW143" s="157">
        <f ca="1">IFERROR(MATCH(AF143,CE143:CE154,0),1)</f>
        <v>1</v>
      </c>
      <c r="BX143" s="769" t="str">
        <f>IFERROR(IF(LEFT(J147,2)="As",VLOOKUP(J147,EIMM,2,FALSE),IF(AND(ISNUMBER(SEARCH("Impervia",J143)),ISNUMBER(SEARCH("door",J147))),VLOOKUP("Impervia Door",EIMM,2,FALSE),IF(AND(ISNUMBER(SEARCH("250",J143)),ISNUMBER(SEARCH("door",J147))),VLOOKUP("250 Series Door",EIMM,2,FALSE),VLOOKUP(J143,EIMM,2,FALSE)))),"")</f>
        <v/>
      </c>
      <c r="BY143" s="769" t="str">
        <f ca="1">IFERROR(VLOOKUP(BX143,OFFSET(EIMM,0,1),2,FALSE),"")</f>
        <v/>
      </c>
      <c r="BZ143" s="1110" t="e">
        <f ca="1">IF((COUNTIF(INDIRECT(SUBSTITUTE(J143," ","_")),J147))=0,IF(J147="",1,0),1)</f>
        <v>#REF!</v>
      </c>
      <c r="CA143" s="691" t="e">
        <f ca="1">MATCH(AC143,INDIRECT(BX143),-1)</f>
        <v>#REF!</v>
      </c>
      <c r="CB143" s="4" t="e" cm="1">
        <f t="array" aca="1" ref="CB143" ca="1">IF(AND(INDEX(INDIRECT(BY143),CA143,4)&gt;=$AB143,INDEX(INDIRECT(BY143),CA143,5)&gt;=$S143,INDEX(INDIRECT(BY143),CA143,6)&gt;=$R143),1,0)</f>
        <v>#REF!</v>
      </c>
      <c r="CC143" s="4" t="e">
        <f t="shared" ref="CC143" ca="1" si="1973">MATCH(1,OFFSET(CB143:CB154,$W$2,0,COUNT(CB143:CB154)-$W$2),0)</f>
        <v>#REF!</v>
      </c>
      <c r="CD143" s="4" t="e">
        <f t="shared" ref="CD143" ca="1" si="1974">$W$2+CC143</f>
        <v>#REF!</v>
      </c>
      <c r="CE143" s="692" t="str" cm="1">
        <f t="array" aca="1" ref="CE143" ca="1">IFERROR(VLOOKUP(INDEX(CA143:CA154,CD143),INDIRECT(BY143),2,FALSE),"----")</f>
        <v>----</v>
      </c>
      <c r="CF143" s="691" t="e">
        <f ca="1">MATCH($AC143,SSEI,-1)</f>
        <v>#N/A</v>
      </c>
      <c r="CG143" s="4" t="e">
        <f ca="1">IF(AND(INDEX(SSM,CF143,4)&gt;=$AB143,INDEX(SSM,CF143,5)&gt;=$S143,INDEX(SSM,CF143,6)&gt;=$R143),1,0)</f>
        <v>#N/A</v>
      </c>
      <c r="CH143" s="4" t="e">
        <f t="shared" ref="CH143" ca="1" si="1975">MATCH(1,OFFSET(CG143:CG154,$W$2,0,COUNT(CG143:CG154)-$W$2),0)</f>
        <v>#REF!</v>
      </c>
      <c r="CI143" s="4" t="e">
        <f t="shared" ref="CI143" ca="1" si="1976">$W$2+CH143</f>
        <v>#REF!</v>
      </c>
      <c r="CJ143" s="692" t="str">
        <f ca="1">IFERROR(IF(AD144="Nested Steel Stud (wood infill)",VLOOKUP(INDEX(CF143:CF154,CI143),SSW,2,FALSE),VLOOKUP(INDEX(CF143:CF154,CI143),SSM,2,FALSE)),"----")</f>
        <v>----</v>
      </c>
      <c r="CK143" s="691" t="e">
        <f ca="1">MATCH($AC143,WSEI,-1)</f>
        <v>#N/A</v>
      </c>
      <c r="CL143" s="4" t="e">
        <f ca="1">IF(AND(INDEX(WSM,CK143,4)&gt;=$AB143,INDEX(WSM,CK143,5)&gt;=$S143,INDEX(WSM,CK143,6)&gt;=$R143),1,0)</f>
        <v>#N/A</v>
      </c>
      <c r="CM143" s="4" t="e">
        <f t="shared" ref="CM143" ca="1" si="1977">MATCH(1,OFFSET(CL143:CL154,$W$2,0,COUNT(CL143:CL154)-$W$2),0)</f>
        <v>#REF!</v>
      </c>
      <c r="CN143" s="4" t="e">
        <f t="shared" ref="CN143" ca="1" si="1978">$W$2+CM143</f>
        <v>#REF!</v>
      </c>
      <c r="CO143" s="692" t="str">
        <f ca="1">IFERROR(VLOOKUP(INDEX(CK143:CK154,CN143),WSM,2,FALSE),"----")</f>
        <v>----</v>
      </c>
      <c r="CP143" s="691" t="e">
        <f ca="1">MATCH($AC143,STEI,-1)</f>
        <v>#N/A</v>
      </c>
      <c r="CQ143" s="4" t="e">
        <f ca="1">IF(AND(INDEX(STM,CP143,4)&gt;=$AB143,INDEX(STM,CP143,5)&gt;=$S143,INDEX(STM,CP143,6)&gt;=$R143),1,0)</f>
        <v>#N/A</v>
      </c>
      <c r="CR143" s="4" t="e">
        <f t="shared" ref="CR143" ca="1" si="1979">MATCH(1,OFFSET(CQ143:CQ154,$W$2,0,COUNT(CQ143:CQ154)-$W$2),0)</f>
        <v>#REF!</v>
      </c>
      <c r="CS143" s="4" t="e">
        <f t="shared" ref="CS143" ca="1" si="1980">$W$2+CR143</f>
        <v>#REF!</v>
      </c>
      <c r="CT143" s="692" t="str">
        <f ca="1">IFERROR(VLOOKUP(INDEX(CP143:CP154,CS143),STM,2,FALSE),"----")</f>
        <v>----</v>
      </c>
      <c r="CU143" s="691" t="e">
        <f ca="1">MATCH($AC143,ELEI,-1)</f>
        <v>#N/A</v>
      </c>
      <c r="CV143" s="4" t="e">
        <f ca="1">IF(AND(INDEX(ELM,CU143,4)&gt;=$AB143,INDEX(ELM,CU143,5)&gt;=$S143,INDEX(ELM,CU143,6)&gt;=$R143),1,0)</f>
        <v>#N/A</v>
      </c>
      <c r="CW143" s="4" t="e">
        <f t="shared" ref="CW143" ca="1" si="1981">MATCH(1,OFFSET(CV143:CV154,$W$2,0,COUNT(CV143:CV154)-$W$2),0)</f>
        <v>#REF!</v>
      </c>
      <c r="CX143" s="4" t="e">
        <f t="shared" ref="CX143" ca="1" si="1982">$W$2+CW143</f>
        <v>#REF!</v>
      </c>
      <c r="CY143" s="692" t="str">
        <f ca="1">IFERROR(VLOOKUP(INDEX(CU143:CU154,CX143),ELM,2,FALSE),"----")</f>
        <v>----</v>
      </c>
      <c r="CZ143" s="691" t="e">
        <f ca="1">IF(LEFT($J143,7)="Clad Wo",MATCH($AC143,SPEIW,-1),MATCH($AC143,SPEI,-1))</f>
        <v>#N/A</v>
      </c>
      <c r="DA143" s="4" t="e">
        <f ca="1">IF(LEFT($J143,7)="Clad Wo",IF(AND(INDEX(SPPWS,CZ143,4)&gt;=$AB143,INDEX(SPPWS,CZ143,5)&gt;=$S143,INDEX(SPPWS,CZ143,6)&gt;=$R143),1,0),IF(AND(INDEX(SPM,CZ143,4)&gt;=$AB143,INDEX(SPM,CZ143,5)&gt;=$S143,INDEX(SPM,CZ143,6)&gt;=$R143),1,0))</f>
        <v>#N/A</v>
      </c>
      <c r="DB143" s="4" t="e">
        <f t="shared" ref="DB143" ca="1" si="1983">MATCH(1,OFFSET(DA143:DA154,$W$2,0,COUNT(DA143:DA154)-$W$2),0)</f>
        <v>#REF!</v>
      </c>
      <c r="DC143" s="4" t="e">
        <f t="shared" ref="DC143" ca="1" si="1984">$W$2+DB143</f>
        <v>#REF!</v>
      </c>
      <c r="DD143" s="693" t="str">
        <f ca="1">IF(LEFT($J143,7)="Clad Wo",IFERROR(VLOOKUP(INDEX(CZ143:CZ154,DC143),SPPWS,2,FALSE),"----"),IFERROR(VLOOKUP(INDEX(CZ143:CZ154,DC143),SPM,2,FALSE),"----"))</f>
        <v>----</v>
      </c>
      <c r="DE143" s="691" t="e">
        <f ca="1">MATCH(AC149,INDIRECT(BX143),-1)</f>
        <v>#REF!</v>
      </c>
      <c r="DF143" s="4" t="e" cm="1">
        <f t="array" aca="1" ref="DF143" ca="1">IF(AND(INDEX(INDIRECT(BY143),DE143,4)&gt;=$AB149,INDEX(INDIRECT(BY143),DE143,5)&gt;=$S143,INDEX(INDIRECT(BY143),DE143,6)&gt;=$R143),1,0)</f>
        <v>#REF!</v>
      </c>
      <c r="DG143" s="4" t="e">
        <f t="shared" ref="DG143" ca="1" si="1985">MATCH(1,OFFSET(DF143:DF154,$W$2,0,COUNT(DF143:DF154)-$W$2),0)</f>
        <v>#REF!</v>
      </c>
      <c r="DH143" s="4" t="e">
        <f t="shared" ref="DH143" ca="1" si="1986">$W$2+DG143</f>
        <v>#REF!</v>
      </c>
      <c r="DI143" s="692" t="str" cm="1">
        <f t="array" aca="1" ref="DI143" ca="1">IFERROR(VLOOKUP(INDEX(DE143:DE154,DH143),INDIRECT(BY143),2,FALSE),"----")</f>
        <v>----</v>
      </c>
      <c r="DJ143" s="691" t="e">
        <f ca="1">MATCH($AC149,SSEI,-1)</f>
        <v>#N/A</v>
      </c>
      <c r="DK143" s="4" t="e">
        <f ca="1">IF(AND(INDEX(SSM,DJ143,4)&gt;=$AB149,INDEX(SSM,DJ143,5)&gt;=$S143,INDEX(SSM,DJ143,6)&gt;=$R143),1,0)</f>
        <v>#N/A</v>
      </c>
      <c r="DL143" s="4" t="e">
        <f t="shared" ref="DL143" ca="1" si="1987">MATCH(1,OFFSET(DK143:DK154,$W$2,0,COUNT(DK143:DK154)-$W$2),0)</f>
        <v>#REF!</v>
      </c>
      <c r="DM143" s="4" t="e">
        <f t="shared" ref="DM143" ca="1" si="1988">$W$2+DL143</f>
        <v>#REF!</v>
      </c>
      <c r="DN143" s="692" t="str">
        <f ca="1">IFERROR(IF(AD150="Nested Steel Stud (wood infill)",VLOOKUP(INDEX(DJ143:DJ154,DM143),SSW,2,FALSE),VLOOKUP(INDEX(DJ143:DJ154,DM143),SSM,2,FALSE)),"----")</f>
        <v>----</v>
      </c>
      <c r="DO143" s="691" t="e">
        <f ca="1">MATCH($AC149,WSEI,-1)</f>
        <v>#N/A</v>
      </c>
      <c r="DP143" s="4" t="e">
        <f ca="1">IF(AND(INDEX(WSM,DO143,4)&gt;=$AB149,INDEX(WSM,DO143,5)&gt;=$S143,INDEX(WSM,DO143,6)&gt;=$R143),1,0)</f>
        <v>#N/A</v>
      </c>
      <c r="DQ143" s="4" t="e">
        <f t="shared" ref="DQ143" ca="1" si="1989">MATCH(1,OFFSET(DP143:DP154,$W$2,0,COUNT(DP143:DP154)-$W$2),0)</f>
        <v>#REF!</v>
      </c>
      <c r="DR143" s="4" t="e">
        <f t="shared" ref="DR143" ca="1" si="1990">$W$2+DQ143</f>
        <v>#REF!</v>
      </c>
      <c r="DS143" s="692" t="str">
        <f ca="1">IFERROR(VLOOKUP(INDEX(DO143:DO154,DR143),WSM,2,FALSE),"----")</f>
        <v>----</v>
      </c>
      <c r="DT143" s="691" t="e">
        <f ca="1">MATCH($AC149,STEI,-1)</f>
        <v>#N/A</v>
      </c>
      <c r="DU143" s="4" t="e">
        <f ca="1">IF(AND(INDEX(STM,DT143,4)&gt;=$AB149,INDEX(STM,DT143,5)&gt;=$S143,INDEX(STM,DT143,6)&gt;=$R143),1,0)</f>
        <v>#N/A</v>
      </c>
      <c r="DV143" s="4" t="e">
        <f t="shared" ref="DV143" ca="1" si="1991">MATCH(1,OFFSET(DU143:DU154,$W$2,0,COUNT(DU143:DU154)-$W$2),0)</f>
        <v>#REF!</v>
      </c>
      <c r="DW143" s="4" t="e">
        <f t="shared" ref="DW143" ca="1" si="1992">$W$2+DV143</f>
        <v>#REF!</v>
      </c>
      <c r="DX143" s="692" t="str">
        <f ca="1">IFERROR(VLOOKUP(INDEX(DT143:DT154,DW143),STM,2,FALSE),"----")</f>
        <v>----</v>
      </c>
      <c r="DY143" s="691" t="e">
        <f ca="1">MATCH($AC149,ELEI,-1)</f>
        <v>#N/A</v>
      </c>
      <c r="DZ143" s="4" t="e">
        <f ca="1">IF(AND(INDEX(ELM,DY143,4)&gt;=$AB149,INDEX(ELM,DY143,5)&gt;=$S143,INDEX(ELM,DY143,6)&gt;=$R143),1,0)</f>
        <v>#N/A</v>
      </c>
      <c r="EA143" s="4" t="e">
        <f t="shared" ref="EA143" ca="1" si="1993">MATCH(1,OFFSET(DZ143:DZ154,$W$2,0,COUNT(DZ143:DZ154)-$W$2),0)</f>
        <v>#REF!</v>
      </c>
      <c r="EB143" s="4" t="e">
        <f t="shared" ref="EB143" ca="1" si="1994">EA143+$W$2</f>
        <v>#REF!</v>
      </c>
      <c r="EC143" s="692" t="str">
        <f ca="1">IFERROR(VLOOKUP(INDEX(DY143:DY154,EB143),ELM,2,FALSE),"----")</f>
        <v>----</v>
      </c>
      <c r="ED143" s="691" t="e">
        <f ca="1">IF(LEFT($J143,7)="Clad Wo",MATCH($AC149,SPEIW,-1),MATCH($AC149,SPEI,-1))</f>
        <v>#N/A</v>
      </c>
      <c r="EE143" s="4" t="e">
        <f ca="1">IF(LEFT($J143,7)="Clad Wo",IF(AND(INDEX(SPPWS,ED143,4)&gt;=$AB149,INDEX(SPPWS,ED143,5)&gt;=$S143,INDEX(SPPWS,ED143,6)&gt;=$R143),1,0),IF(AND(INDEX(SPM,ED143,4)&gt;=$AB149,INDEX(SPM,ED143,5)&gt;=$S143,INDEX(SPM,ED143,6)&gt;=$R143),1,0))</f>
        <v>#N/A</v>
      </c>
      <c r="EF143" s="4" t="e">
        <f t="shared" ref="EF143" ca="1" si="1995">MATCH(1,OFFSET(EE143:EE154,$W$2,0,COUNT(EE143:EE154)-$W$2),0)</f>
        <v>#REF!</v>
      </c>
      <c r="EG143" s="4" t="e">
        <f t="shared" ref="EG143" ca="1" si="1996">$W$2+EF143</f>
        <v>#REF!</v>
      </c>
      <c r="EH143" s="692" t="str">
        <f ca="1">IF(LEFT($J143,7)="Clad Wo",IFERROR(VLOOKUP(INDEX(ED143:ED154,EG143),SPPWS,2,FALSE),"----"),IFERROR(VLOOKUP(INDEX(ED143:ED154,EG143),SPM,2,FALSE),"----"))</f>
        <v>----</v>
      </c>
    </row>
    <row r="144" spans="1:138" ht="15" customHeight="1" x14ac:dyDescent="0.25">
      <c r="A144" s="1085"/>
      <c r="B144" s="925"/>
      <c r="C144" s="926"/>
      <c r="D144" s="927"/>
      <c r="E144" s="995"/>
      <c r="F144" s="996"/>
      <c r="G144" s="997"/>
      <c r="H144" s="1062"/>
      <c r="I144" s="990"/>
      <c r="J144" s="908"/>
      <c r="K144" s="909"/>
      <c r="L144" s="1002"/>
      <c r="M144" s="923"/>
      <c r="N144" s="1042"/>
      <c r="O144" s="1018"/>
      <c r="P144" s="987"/>
      <c r="Q144" s="1015"/>
      <c r="R144" s="1012"/>
      <c r="S144" s="1006"/>
      <c r="T144" s="1007"/>
      <c r="U144" s="878"/>
      <c r="V144" s="881"/>
      <c r="W144" s="884"/>
      <c r="X144" s="884"/>
      <c r="Y144" s="887"/>
      <c r="Z144" s="887"/>
      <c r="AA144" s="887"/>
      <c r="AB144" s="1081"/>
      <c r="AC144" s="1078"/>
      <c r="AD144" s="1102" t="s">
        <v>38</v>
      </c>
      <c r="AE144" s="1103"/>
      <c r="AF144" s="1052"/>
      <c r="AG144" s="1053"/>
      <c r="AH144" s="1053"/>
      <c r="AI144" s="1066"/>
      <c r="AJ144" s="1067"/>
      <c r="AK144" s="156" t="str">
        <f t="shared" ca="1" si="1130"/>
        <v/>
      </c>
      <c r="AL144" s="1039"/>
      <c r="AM144" s="343" t="str">
        <f ca="1">IFERROR(Q143/12*ROUND(VLOOKUP(AF144,OFFSET(SSM,0,1),6,FALSE),2),"")</f>
        <v/>
      </c>
      <c r="AN144" t="str">
        <f t="shared" ca="1" si="1154"/>
        <v/>
      </c>
      <c r="AP144" s="122" t="str">
        <f t="shared" ref="AP144" si="1997">_xlfn.CONCAT(AR144,AS148)</f>
        <v/>
      </c>
      <c r="AQ144" s="683" t="str">
        <f t="shared" si="1353"/>
        <v/>
      </c>
      <c r="AR144" s="96" t="str">
        <f t="shared" si="1114"/>
        <v/>
      </c>
      <c r="AS144" s="96" t="str">
        <f>IF(COUNTIF(Vista_1,AF143)=1,"Vista_1",IF(COUNTIF(Vista_2,AF143)=1,"Vista_2",""))</f>
        <v/>
      </c>
      <c r="AT144" s="684" t="str">
        <f>AL143</f>
        <v/>
      </c>
      <c r="AU144" s="694" t="e">
        <f t="shared" ref="AU144" ca="1" si="1998">AU143-1</f>
        <v>#REF!</v>
      </c>
      <c r="AV144" s="686" t="str">
        <f ca="1">IFERROR(VLOOKUP(AU144,INDIRECT(AQ143),2,FALSE),"----")</f>
        <v>----</v>
      </c>
      <c r="AW144" s="694" t="e">
        <f t="shared" ref="AW144:AW145" ca="1" si="1999">AW143-1</f>
        <v>#REF!</v>
      </c>
      <c r="AX144" s="686" t="str">
        <f ca="1">IFERROR(VLOOKUP(AW144,INDIRECT(AQ144),2,FALSE),"----")</f>
        <v>----</v>
      </c>
      <c r="AY144" s="694" t="e">
        <f t="shared" ref="AY144:AY145" ca="1" si="2000">AY143-1</f>
        <v>#REF!</v>
      </c>
      <c r="AZ144" s="686" t="str">
        <f ca="1">IFERROR(VLOOKUP(AY144,INDIRECT(AQ145),2,FALSE),"----")</f>
        <v>----</v>
      </c>
      <c r="BA144" s="694" t="e">
        <f t="shared" ref="BA144:BA145" ca="1" si="2001">BA143-1</f>
        <v>#REF!</v>
      </c>
      <c r="BB144" s="686" t="str">
        <f ca="1">IFERROR(VLOOKUP(BA144,INDIRECT(AQ146),2,FALSE),"----")</f>
        <v>----</v>
      </c>
      <c r="BC144" s="694" t="e">
        <f t="shared" ref="BC144:BC145" ca="1" si="2002">BC143-1</f>
        <v>#REF!</v>
      </c>
      <c r="BD144" s="686" t="str">
        <f ca="1">IFERROR(VLOOKUP(BC144,INDIRECT(AQ147),2,FALSE),"----")</f>
        <v>----</v>
      </c>
      <c r="BE144" s="694" t="e">
        <f t="shared" ref="BE144" ca="1" si="2003">BE143-1</f>
        <v>#REF!</v>
      </c>
      <c r="BF144" s="686" t="str">
        <f ca="1">IFERROR(VLOOKUP(BE144,INDIRECT(AQ148),2,FALSE),"----")</f>
        <v>----</v>
      </c>
      <c r="BG144" s="694" t="e">
        <f t="shared" ref="BG144" ca="1" si="2004">BG143-1</f>
        <v>#REF!</v>
      </c>
      <c r="BH144" s="686" t="str">
        <f ca="1">IFERROR(VLOOKUP(BG144,INDIRECT(AQ149),2,FALSE),"----")</f>
        <v>----</v>
      </c>
      <c r="BI144" s="694" t="e">
        <f t="shared" ref="BI144:BI145" ca="1" si="2005">BI143-1</f>
        <v>#REF!</v>
      </c>
      <c r="BJ144" s="686" t="str">
        <f ca="1">IFERROR(VLOOKUP(BI144,INDIRECT(AQ150),2,FALSE),"----")</f>
        <v>----</v>
      </c>
      <c r="BK144" s="694" t="e">
        <f t="shared" ref="BK144:BK145" ca="1" si="2006">BK143-1</f>
        <v>#REF!</v>
      </c>
      <c r="BL144" s="686" t="str">
        <f ca="1">IFERROR(VLOOKUP(BK144,INDIRECT(AQ151),2,FALSE),"----")</f>
        <v>----</v>
      </c>
      <c r="BM144" s="694" t="e">
        <f t="shared" ref="BM144:BM145" ca="1" si="2007">BM143-1</f>
        <v>#REF!</v>
      </c>
      <c r="BN144" s="686" t="str">
        <f ca="1">IFERROR(VLOOKUP(BM144,INDIRECT(AQ152),2,FALSE),"----")</f>
        <v>----</v>
      </c>
      <c r="BO144" s="694" t="e">
        <f t="shared" ref="BO144:BO145" ca="1" si="2008">BO143-1</f>
        <v>#REF!</v>
      </c>
      <c r="BP144" s="686" t="str">
        <f ca="1">IFERROR(VLOOKUP(BO144,INDIRECT(AQ153),2,FALSE),"----")</f>
        <v>----</v>
      </c>
      <c r="BQ144" s="694" t="e">
        <f t="shared" ref="BQ144" ca="1" si="2009">BQ143-1</f>
        <v>#REF!</v>
      </c>
      <c r="BR144" s="686" t="str">
        <f ca="1">IFERROR(VLOOKUP(BQ144,INDIRECT(AQ154),2,FALSE),"----")</f>
        <v>----</v>
      </c>
      <c r="BS144" s="695">
        <f>IF(AI144="",1,IF(COUNTIF(AX143:AX154,AI144)=0,2,1))</f>
        <v>1</v>
      </c>
      <c r="BT144" s="696">
        <f>IF(AF144="",1,IF(AX143=".",2,1))</f>
        <v>1</v>
      </c>
      <c r="BU144" s="706"/>
      <c r="BV144" s="155">
        <f ca="1">IF(COUNTIF(CJ143:CJ154,AF144)=0,IF(AF144&lt;&gt;"",0,1),1)</f>
        <v>1</v>
      </c>
      <c r="BW144" s="157">
        <f ca="1">IFERROR(MATCH(AF144,CJ143:CJ154,0),1)</f>
        <v>1</v>
      </c>
      <c r="BX144" s="769"/>
      <c r="BY144" s="769"/>
      <c r="BZ144" s="1110"/>
      <c r="CA144" s="691" t="e">
        <f t="shared" ref="CA144:CA154" ca="1" si="2010">CA143-1</f>
        <v>#REF!</v>
      </c>
      <c r="CB144" s="4" t="e" cm="1">
        <f t="array" aca="1" ref="CB144" ca="1">IF(AND(INDEX(INDIRECT(BY143),CA144,4)&gt;=$AB143,INDEX(INDIRECT(BY143),CA144,5)&gt;=$S143,INDEX(INDIRECT(BY143),CA144,6)&gt;=$R143),1,0)</f>
        <v>#REF!</v>
      </c>
      <c r="CC144" s="4" t="e">
        <f t="shared" ref="CC144" ca="1" si="2011">MATCH(1,OFFSET(CB143:CB154,CD143,0,COUNT(CB143:CB154)-CD143),0)</f>
        <v>#REF!</v>
      </c>
      <c r="CD144" s="4" t="e">
        <f t="shared" ref="CD144:CD154" ca="1" si="2012">CD143+CC144</f>
        <v>#REF!</v>
      </c>
      <c r="CE144" s="692" t="str" cm="1">
        <f t="array" aca="1" ref="CE144" ca="1">IFERROR(VLOOKUP(INDEX(CA143:CA154,CD144),INDIRECT(BY143),2,FALSE),"----")</f>
        <v>----</v>
      </c>
      <c r="CF144" s="691" t="e">
        <f t="shared" ref="CF144:CF154" ca="1" si="2013">CF143-1</f>
        <v>#N/A</v>
      </c>
      <c r="CG144" s="4" t="e">
        <f ca="1">IF(AND(INDEX(SSM,CF144,4)&gt;=$AB143,INDEX(SSM,CF144,5)&gt;=$S143,INDEX(SSM,CF144,6)&gt;=$R143),1,0)</f>
        <v>#N/A</v>
      </c>
      <c r="CH144" s="4" t="e">
        <f t="shared" ref="CH144" ca="1" si="2014">MATCH(1,OFFSET(CG143:CG154,CI143,0,COUNT(CG143:CG154)-CI143),0)</f>
        <v>#REF!</v>
      </c>
      <c r="CI144" s="4" t="e">
        <f t="shared" ref="CI144:CI154" ca="1" si="2015">CI143+CH144</f>
        <v>#REF!</v>
      </c>
      <c r="CJ144" s="692" t="str">
        <f ca="1">IFERROR(IF(AD144="Nested Steel Stud (wood infill)",VLOOKUP(INDEX(CF143:CF154,CI144),SSW,2,FALSE),VLOOKUP(INDEX(CF143:CF154,CI144),SSM,2,FALSE)),"----")</f>
        <v>----</v>
      </c>
      <c r="CK144" s="691" t="e">
        <f t="shared" ref="CK144:CK154" ca="1" si="2016">CK143-1</f>
        <v>#N/A</v>
      </c>
      <c r="CL144" s="4" t="e">
        <f ca="1">IF(AND(INDEX(WSM,CK144,4)&gt;=$AB143,INDEX(WSM,CK144,5)&gt;=$S143,INDEX(WSM,CK144,6)&gt;=$R143),1,0)</f>
        <v>#N/A</v>
      </c>
      <c r="CM144" s="4" t="e">
        <f t="shared" ref="CM144" ca="1" si="2017">MATCH(1,OFFSET(CL143:CL154,CN143,0,COUNT(CL143:CL154)-CN143),0)</f>
        <v>#REF!</v>
      </c>
      <c r="CN144" s="4" t="e">
        <f t="shared" ref="CN144:CN154" ca="1" si="2018">CM144+CN143</f>
        <v>#REF!</v>
      </c>
      <c r="CO144" s="692" t="str">
        <f ca="1">IFERROR(VLOOKUP(INDEX(CK143:CK154,CN144),WSM,2,FALSE),"----")</f>
        <v>----</v>
      </c>
      <c r="CP144" s="691" t="e">
        <f t="shared" ref="CP144:CP154" ca="1" si="2019">CP143-1</f>
        <v>#N/A</v>
      </c>
      <c r="CQ144" s="4" t="e">
        <f ca="1">IF(AND(INDEX(STM,CP144,4)&gt;=$AB143,INDEX(STM,CP144,5)&gt;=$S143,INDEX(STM,CP144,6)&gt;=$R143),1,0)</f>
        <v>#N/A</v>
      </c>
      <c r="CR144" s="4" t="e">
        <f t="shared" ref="CR144" ca="1" si="2020">MATCH(1,OFFSET(CQ143:CQ154,CS143,0,COUNT(CQ143:CQ154)-CS143),0)</f>
        <v>#REF!</v>
      </c>
      <c r="CS144" s="4" t="e">
        <f t="shared" ref="CS144:CS154" ca="1" si="2021">CR144+CS143</f>
        <v>#REF!</v>
      </c>
      <c r="CT144" s="692" t="str">
        <f ca="1">IFERROR(VLOOKUP(INDEX(CP143:CP154,CS144),STM,2,FALSE),"----")</f>
        <v>----</v>
      </c>
      <c r="CU144" s="691" t="e">
        <f t="shared" ref="CU144:CU154" ca="1" si="2022">CU143-1</f>
        <v>#N/A</v>
      </c>
      <c r="CV144" s="4" t="e">
        <f ca="1">IF(AND(INDEX(ELM,CU144,4)&gt;=$AB143,INDEX(ELM,CU144,5)&gt;=$S143,INDEX(ELM,CU144,6)&gt;=$R143),1,0)</f>
        <v>#N/A</v>
      </c>
      <c r="CW144" s="4" t="e">
        <f t="shared" ref="CW144" ca="1" si="2023">MATCH(1,OFFSET(CV143:CV154,CX143,0,COUNT(CV143:CV154)-CX143),0)</f>
        <v>#REF!</v>
      </c>
      <c r="CX144" s="4" t="e">
        <f t="shared" ref="CX144:CX154" ca="1" si="2024">CW144+CX143</f>
        <v>#REF!</v>
      </c>
      <c r="CY144" s="692" t="str">
        <f ca="1">IFERROR(VLOOKUP(INDEX(CU143:CU154,CX144),ELM,2,FALSE),"----")</f>
        <v>----</v>
      </c>
      <c r="CZ144" s="691" t="e">
        <f t="shared" ref="CZ144:CZ154" ca="1" si="2025">CZ143-1</f>
        <v>#N/A</v>
      </c>
      <c r="DA144" s="4" t="e">
        <f ca="1">IF(LEFT($J143,7)="Clad Wo",IF(AND(INDEX(SPPWS,CZ144,4)&gt;=$AB143,INDEX(SPPWS,CZ144,5)&gt;=$S143,INDEX(SPPWS,CZ144,6)&gt;=$R143),1,0),IF(AND(INDEX(SPM,CZ144,4)&gt;=$AB143,INDEX(SPM,CZ144,5)&gt;=$S143,INDEX(SPM,CZ144,6)&gt;=$R143),1,0))</f>
        <v>#N/A</v>
      </c>
      <c r="DB144" s="4" t="e">
        <f t="shared" ref="DB144" ca="1" si="2026">MATCH(1,OFFSET(DA143:DA154,DC143,0,COUNT(DA143:DA154)-DC143),0)</f>
        <v>#REF!</v>
      </c>
      <c r="DC144" s="4" t="e">
        <f t="shared" ref="DC144:DC154" ca="1" si="2027">DC143+DB144</f>
        <v>#REF!</v>
      </c>
      <c r="DD144" s="693" t="str">
        <f ca="1">IF(LEFT($J143,7)="Clad Wo",IFERROR(VLOOKUP(INDEX(CZ143:CZ154,DC144),SPPWS,2,FALSE),"----"),IFERROR(VLOOKUP(INDEX(CZ143:CZ154,DC144),SPM,2,FALSE),"----"))</f>
        <v>----</v>
      </c>
      <c r="DE144" s="691" t="e">
        <f t="shared" ref="DE144:DE154" ca="1" si="2028">DE143-1</f>
        <v>#REF!</v>
      </c>
      <c r="DF144" s="4" t="e" cm="1">
        <f t="array" aca="1" ref="DF144" ca="1">IF(AND(INDEX(INDIRECT(BY143),DE144,4)&gt;=$AB149,INDEX(INDIRECT(BY143),DE144,5)&gt;=$S143,INDEX(INDIRECT(BY143),DE144,6)&gt;=$R143),1,0)</f>
        <v>#REF!</v>
      </c>
      <c r="DG144" s="4" t="e">
        <f t="shared" ref="DG144" ca="1" si="2029">MATCH(1,OFFSET(DF143:DF154,DH143,0,COUNT(DF143:DF154)-DH143),0)</f>
        <v>#REF!</v>
      </c>
      <c r="DH144" s="4" t="e">
        <f t="shared" ref="DH144:DH154" ca="1" si="2030">DH143+DG144</f>
        <v>#REF!</v>
      </c>
      <c r="DI144" s="692" t="str" cm="1">
        <f t="array" aca="1" ref="DI144" ca="1">IFERROR(VLOOKUP(INDEX(DE143:DE154,DH144),INDIRECT(BY143),2,FALSE),"----")</f>
        <v>----</v>
      </c>
      <c r="DJ144" s="691" t="e">
        <f t="shared" ref="DJ144:DJ154" ca="1" si="2031">DJ143-1</f>
        <v>#N/A</v>
      </c>
      <c r="DK144" s="4" t="e">
        <f ca="1">IF(AND(INDEX(SSM,DJ144,4)&gt;=$AB149,INDEX(SSM,DJ144,5)&gt;=$S143,INDEX(SSM,DJ144,6)&gt;=$R143),1,0)</f>
        <v>#N/A</v>
      </c>
      <c r="DL144" s="4" t="e">
        <f t="shared" ref="DL144" ca="1" si="2032">MATCH(1,OFFSET(DK143:DK154,DM143,0,COUNT(DK143:DK154)-DM143),0)</f>
        <v>#REF!</v>
      </c>
      <c r="DM144" s="4" t="e">
        <f t="shared" ref="DM144:DM154" ca="1" si="2033">DL144+DM143</f>
        <v>#REF!</v>
      </c>
      <c r="DN144" s="692" t="str">
        <f ca="1">IFERROR(IF(AD150="Nested Steel Stud (wood infill)",VLOOKUP(INDEX(DJ143:DJ154,DM144),SSW,2,FALSE),VLOOKUP(INDEX(DJ143:DJ154,DM144),SSM,2,FALSE)),"----")</f>
        <v>----</v>
      </c>
      <c r="DO144" s="691" t="e">
        <f t="shared" ref="DO144:DO154" ca="1" si="2034">DO143-1</f>
        <v>#N/A</v>
      </c>
      <c r="DP144" s="4" t="e">
        <f ca="1">IF(AND(INDEX(WSM,DO144,4)&gt;=$AB149,INDEX(WSM,DO144,5)&gt;=$S143,INDEX(WSM,DO144,6)&gt;=$R143),1,0)</f>
        <v>#N/A</v>
      </c>
      <c r="DQ144" s="4" t="e">
        <f t="shared" ref="DQ144" ca="1" si="2035">MATCH(1,OFFSET(DP143:DP154,DR143,0,COUNT(DP143:DP154)-DR143),0)</f>
        <v>#REF!</v>
      </c>
      <c r="DR144" s="4" t="e">
        <f t="shared" ref="DR144:DR154" ca="1" si="2036">DQ144+DR143</f>
        <v>#REF!</v>
      </c>
      <c r="DS144" s="692" t="str">
        <f ca="1">IFERROR(VLOOKUP(INDEX(DO143:DO154,DR144),WSM,2,FALSE),"----")</f>
        <v>----</v>
      </c>
      <c r="DT144" s="691" t="e">
        <f t="shared" ref="DT144:DT154" ca="1" si="2037">DT143-1</f>
        <v>#N/A</v>
      </c>
      <c r="DU144" s="4" t="e">
        <f ca="1">IF(AND(INDEX(STM,DT144,4)&gt;=$AB149,INDEX(STM,DT144,5)&gt;=$S143,INDEX(STM,DT144,6)&gt;=$R143),1,0)</f>
        <v>#N/A</v>
      </c>
      <c r="DV144" s="4" t="e">
        <f t="shared" ref="DV144" ca="1" si="2038">MATCH(1,OFFSET(DU143:DU154,DW143,0,COUNT(DU143:DU154)-DW143),0)</f>
        <v>#REF!</v>
      </c>
      <c r="DW144" s="4" t="e">
        <f t="shared" ref="DW144:DW154" ca="1" si="2039">DV144+DW143</f>
        <v>#REF!</v>
      </c>
      <c r="DX144" s="692" t="str">
        <f ca="1">IFERROR(VLOOKUP(INDEX(DT143:DT154,DW144),STM,2,FALSE),"----")</f>
        <v>----</v>
      </c>
      <c r="DY144" s="691" t="e">
        <f t="shared" ref="DY144:DY154" ca="1" si="2040">DY143-1</f>
        <v>#N/A</v>
      </c>
      <c r="DZ144" s="4" t="e">
        <f ca="1">IF(AND(INDEX(ELM,DY144,4)&gt;=$AB149,INDEX(ELM,DY144,5)&gt;=$S143,INDEX(ELM,DY144,6)&gt;=$R143),1,0)</f>
        <v>#N/A</v>
      </c>
      <c r="EA144" s="4" t="e">
        <f t="shared" ref="EA144" ca="1" si="2041">MATCH(1,OFFSET(DZ143:DZ154,EB143,0,COUNT(DZ143:DZ154)-EB143),0)</f>
        <v>#REF!</v>
      </c>
      <c r="EB144" s="4" t="e">
        <f t="shared" ref="EB144:EB154" ca="1" si="2042">EA144+EB143</f>
        <v>#REF!</v>
      </c>
      <c r="EC144" s="692" t="str">
        <f ca="1">IFERROR(VLOOKUP(INDEX(DY143:DY154,EB144),ELM,2,FALSE),"----")</f>
        <v>----</v>
      </c>
      <c r="ED144" s="691" t="e">
        <f t="shared" ref="ED144:ED154" ca="1" si="2043">ED143-1</f>
        <v>#N/A</v>
      </c>
      <c r="EE144" s="4" t="e">
        <f ca="1">IF(LEFT($J143,7)="Clad Wo",IF(AND(INDEX(SPPWS,ED144,4)&gt;=$AB149,INDEX(SPPWS,ED144,5)&gt;=$S143,INDEX(SPPWS,ED144,6)&gt;=$R143),1,0),IF(AND(INDEX(SPM,ED144,4)&gt;=$AB149,INDEX(SPM,ED144,5)&gt;=$S143,INDEX(SPM,ED144,6)&gt;=$R143),1,0))</f>
        <v>#N/A</v>
      </c>
      <c r="EF144" s="4" t="e">
        <f t="shared" ref="EF144" ca="1" si="2044">MATCH(1,OFFSET(EE143:EE154,EG143,0,COUNT(EE143:EE154)-EG143),0)</f>
        <v>#REF!</v>
      </c>
      <c r="EG144" s="4" t="e">
        <f t="shared" ref="EG144:EG154" ca="1" si="2045">EG143+EF144</f>
        <v>#REF!</v>
      </c>
      <c r="EH144" s="692" t="str">
        <f ca="1">IF(LEFT($J143,7)="Clad Wo",IFERROR(VLOOKUP(INDEX(ED143:ED154,EG144),SPPWS,2,FALSE),"----"),IFERROR(VLOOKUP(INDEX(ED143:ED154,EG144),SPM,2,FALSE),"----"))</f>
        <v>----</v>
      </c>
    </row>
    <row r="145" spans="1:138" ht="15" customHeight="1" x14ac:dyDescent="0.25">
      <c r="A145" s="1085"/>
      <c r="B145" s="925"/>
      <c r="C145" s="926"/>
      <c r="D145" s="927"/>
      <c r="E145" s="995"/>
      <c r="F145" s="996"/>
      <c r="G145" s="997"/>
      <c r="H145" s="1062"/>
      <c r="I145" s="990"/>
      <c r="J145" s="908"/>
      <c r="K145" s="909"/>
      <c r="L145" s="1002"/>
      <c r="M145" s="923"/>
      <c r="N145" s="1042"/>
      <c r="O145" s="1018"/>
      <c r="P145" s="987"/>
      <c r="Q145" s="1015"/>
      <c r="R145" s="1012"/>
      <c r="S145" s="1006"/>
      <c r="T145" s="1007"/>
      <c r="U145" s="878"/>
      <c r="V145" s="881"/>
      <c r="W145" s="884"/>
      <c r="X145" s="884"/>
      <c r="Y145" s="887"/>
      <c r="Z145" s="887"/>
      <c r="AA145" s="887"/>
      <c r="AB145" s="1081"/>
      <c r="AC145" s="1078"/>
      <c r="AD145" s="1070" t="s">
        <v>333</v>
      </c>
      <c r="AE145" s="1071"/>
      <c r="AF145" s="1052"/>
      <c r="AG145" s="1053"/>
      <c r="AH145" s="1053"/>
      <c r="AI145" s="1066"/>
      <c r="AJ145" s="1067"/>
      <c r="AK145" s="154" t="str">
        <f t="shared" ca="1" si="1130"/>
        <v/>
      </c>
      <c r="AL145" s="1039"/>
      <c r="AM145" s="344" t="str">
        <f ca="1">IFERROR(Q143/12*ROUND(VLOOKUP(AF145,OFFSET(WSM,0,1),6,FALSE),2),"")</f>
        <v/>
      </c>
      <c r="AN145" t="str">
        <f t="shared" ca="1" si="1154"/>
        <v/>
      </c>
      <c r="AP145" s="122" t="str">
        <f t="shared" ref="AP145" si="2046">_xlfn.CONCAT(AR145,AS148)</f>
        <v/>
      </c>
      <c r="AQ145" s="683" t="str">
        <f t="shared" si="1353"/>
        <v/>
      </c>
      <c r="AR145" s="4" t="str">
        <f t="shared" si="1114"/>
        <v/>
      </c>
      <c r="AS145" s="4"/>
      <c r="AT145" s="697" t="str">
        <f>AL143</f>
        <v/>
      </c>
      <c r="AU145" s="694" t="e">
        <f t="shared" ca="1" si="1370"/>
        <v>#REF!</v>
      </c>
      <c r="AV145" s="686" t="str">
        <f ca="1">IFERROR(VLOOKUP(AU145,INDIRECT(AQ143),2,FALSE),"----")</f>
        <v>----</v>
      </c>
      <c r="AW145" s="694" t="e">
        <f t="shared" ca="1" si="1999"/>
        <v>#REF!</v>
      </c>
      <c r="AX145" s="686" t="str">
        <f ca="1">IFERROR(VLOOKUP(AW145,INDIRECT(AQ144),2,FALSE),"----")</f>
        <v>----</v>
      </c>
      <c r="AY145" s="694" t="e">
        <f t="shared" ca="1" si="2000"/>
        <v>#REF!</v>
      </c>
      <c r="AZ145" s="686" t="str">
        <f ca="1">IFERROR(VLOOKUP(AY145,INDIRECT(AQ145),2,FALSE),"----")</f>
        <v>----</v>
      </c>
      <c r="BA145" s="694" t="e">
        <f t="shared" ca="1" si="2001"/>
        <v>#REF!</v>
      </c>
      <c r="BB145" s="686" t="str">
        <f ca="1">IFERROR(VLOOKUP(BA145,INDIRECT(AQ146),2,FALSE),"----")</f>
        <v>----</v>
      </c>
      <c r="BC145" s="694" t="e">
        <f t="shared" ca="1" si="2002"/>
        <v>#REF!</v>
      </c>
      <c r="BD145" s="686" t="str">
        <f ca="1">IFERROR(VLOOKUP(BC145,INDIRECT(AQ147),2,FALSE),"----")</f>
        <v>----</v>
      </c>
      <c r="BE145" s="694" t="e">
        <f t="shared" ca="1" si="1375"/>
        <v>#REF!</v>
      </c>
      <c r="BF145" s="686" t="str">
        <f ca="1">IFERROR(VLOOKUP(BE145,INDIRECT(AQ148),2,FALSE),"----")</f>
        <v>----</v>
      </c>
      <c r="BG145" s="694" t="e">
        <f t="shared" ca="1" si="1376"/>
        <v>#REF!</v>
      </c>
      <c r="BH145" s="686" t="str">
        <f ca="1">IFERROR(VLOOKUP(BG145,INDIRECT(AQ149),2,FALSE),"----")</f>
        <v>----</v>
      </c>
      <c r="BI145" s="694" t="e">
        <f t="shared" ca="1" si="2005"/>
        <v>#REF!</v>
      </c>
      <c r="BJ145" s="686" t="str">
        <f ca="1">IFERROR(VLOOKUP(BI145,INDIRECT(AQ150),2,FALSE),"----")</f>
        <v>----</v>
      </c>
      <c r="BK145" s="694" t="e">
        <f t="shared" ca="1" si="2006"/>
        <v>#REF!</v>
      </c>
      <c r="BL145" s="686" t="str">
        <f ca="1">IFERROR(VLOOKUP(BK145,INDIRECT(AQ151),2,FALSE),"----")</f>
        <v>----</v>
      </c>
      <c r="BM145" s="694" t="e">
        <f t="shared" ca="1" si="2007"/>
        <v>#REF!</v>
      </c>
      <c r="BN145" s="686" t="str">
        <f ca="1">IFERROR(VLOOKUP(BM145,INDIRECT(AQ152),2,FALSE),"----")</f>
        <v>----</v>
      </c>
      <c r="BO145" s="694" t="e">
        <f t="shared" ca="1" si="2008"/>
        <v>#REF!</v>
      </c>
      <c r="BP145" s="686" t="str">
        <f ca="1">IFERROR(VLOOKUP(BO145,INDIRECT(AQ153),2,FALSE),"----")</f>
        <v>----</v>
      </c>
      <c r="BQ145" s="694" t="e">
        <f t="shared" ca="1" si="1381"/>
        <v>#REF!</v>
      </c>
      <c r="BR145" s="686" t="str">
        <f ca="1">IFERROR(VLOOKUP(BQ145,INDIRECT(AQ154),2,FALSE),"----")</f>
        <v>----</v>
      </c>
      <c r="BS145" s="695">
        <f>IF(AI145="",1,IF(COUNTIF(AZ143:AZ154,AI145)=0,2,1))</f>
        <v>1</v>
      </c>
      <c r="BT145" s="696">
        <f>IF(AF145="",1,IF(AZ143=".",2,1))</f>
        <v>1</v>
      </c>
      <c r="BU145" s="706"/>
      <c r="BV145" s="155">
        <f ca="1">IF(COUNTIF(CO143:CO154,AF145)=0,IF(AF145&lt;&gt;"",0,1),1)</f>
        <v>1</v>
      </c>
      <c r="BW145" s="157">
        <f ca="1">IFERROR(MATCH(AF145,CO143:CO154,0),1)</f>
        <v>1</v>
      </c>
      <c r="BX145" s="769"/>
      <c r="BY145" s="769"/>
      <c r="BZ145" s="1110"/>
      <c r="CA145" s="691" t="e">
        <f t="shared" ca="1" si="2010"/>
        <v>#REF!</v>
      </c>
      <c r="CB145" s="4" t="e" cm="1">
        <f t="array" aca="1" ref="CB145" ca="1">IF(AND(INDEX(INDIRECT(BY143),CA145,4)&gt;=$AB143,INDEX(INDIRECT(BY143),CA145,5)&gt;=$S143,INDEX(INDIRECT(BY143),CA145,6)&gt;=$R143),1,0)</f>
        <v>#REF!</v>
      </c>
      <c r="CC145" s="4" t="e">
        <f t="shared" ref="CC145" ca="1" si="2047">MATCH(1,OFFSET(CB143:CB154,CD144,0,COUNT(CB143:CB154)-CD144),0)</f>
        <v>#REF!</v>
      </c>
      <c r="CD145" s="4" t="e">
        <f t="shared" ca="1" si="2012"/>
        <v>#REF!</v>
      </c>
      <c r="CE145" s="692" t="str" cm="1">
        <f t="array" aca="1" ref="CE145" ca="1">IFERROR(VLOOKUP(INDEX(CA143:CA154,CD145),INDIRECT(BY143),2,FALSE),"----")</f>
        <v>----</v>
      </c>
      <c r="CF145" s="691" t="e">
        <f t="shared" ca="1" si="2013"/>
        <v>#N/A</v>
      </c>
      <c r="CG145" s="4" t="e">
        <f ca="1">IF(AND(INDEX(SSM,CF145,4)&gt;=$AB143,INDEX(SSM,CF145,5)&gt;=$S143,INDEX(SSM,CF145,6)&gt;=$R143),1,0)</f>
        <v>#N/A</v>
      </c>
      <c r="CH145" s="4" t="e">
        <f t="shared" ref="CH145" ca="1" si="2048">MATCH(1,OFFSET(CG143:CG154,CI144,0,COUNT(CG143:CG154)-CI144),0)</f>
        <v>#REF!</v>
      </c>
      <c r="CI145" s="4" t="e">
        <f t="shared" ca="1" si="2015"/>
        <v>#REF!</v>
      </c>
      <c r="CJ145" s="692" t="str">
        <f ca="1">IFERROR(IF(AD144="Nested Steel Stud (wood infill)",VLOOKUP(INDEX(CF143:CF154,CI145),SSW,2,FALSE),VLOOKUP(INDEX(CF143:CF154,CI145),SSM,2,FALSE)),"----")</f>
        <v>----</v>
      </c>
      <c r="CK145" s="691" t="e">
        <f t="shared" ca="1" si="2016"/>
        <v>#N/A</v>
      </c>
      <c r="CL145" s="4" t="e">
        <f ca="1">IF(AND(INDEX(WSM,CK145,4)&gt;=$AB143,INDEX(WSM,CK145,5)&gt;=$S143,INDEX(WSM,CK145,6)&gt;=$R143),1,0)</f>
        <v>#N/A</v>
      </c>
      <c r="CM145" s="4" t="e">
        <f t="shared" ref="CM145" ca="1" si="2049">MATCH(1,OFFSET(CL143:CL154,CN144,0,COUNT(CL143:CL154)-CN144),0)</f>
        <v>#REF!</v>
      </c>
      <c r="CN145" s="4" t="e">
        <f t="shared" ca="1" si="2018"/>
        <v>#REF!</v>
      </c>
      <c r="CO145" s="692" t="str">
        <f ca="1">IFERROR(VLOOKUP(INDEX(CK143:CK154,CN145),WSM,2,FALSE),"----")</f>
        <v>----</v>
      </c>
      <c r="CP145" s="691" t="e">
        <f t="shared" ca="1" si="2019"/>
        <v>#N/A</v>
      </c>
      <c r="CQ145" s="4" t="e">
        <f ca="1">IF(AND(INDEX(STM,CP145,4)&gt;=$AB143,INDEX(STM,CP145,5)&gt;=$S143,INDEX(STM,CP145,6)&gt;=$R143),1,0)</f>
        <v>#N/A</v>
      </c>
      <c r="CR145" s="4" t="e">
        <f t="shared" ref="CR145" ca="1" si="2050">MATCH(1,OFFSET(CQ143:CQ154,CS144,0,COUNT(CQ143:CQ154)-CS144),0)</f>
        <v>#REF!</v>
      </c>
      <c r="CS145" s="4" t="e">
        <f t="shared" ca="1" si="2021"/>
        <v>#REF!</v>
      </c>
      <c r="CT145" s="692" t="str">
        <f ca="1">IFERROR(VLOOKUP(INDEX(CP143:CP154,CS145),STM,2,FALSE),"----")</f>
        <v>----</v>
      </c>
      <c r="CU145" s="691" t="e">
        <f t="shared" ca="1" si="2022"/>
        <v>#N/A</v>
      </c>
      <c r="CV145" s="4" t="e">
        <f ca="1">IF(AND(INDEX(ELM,CU145,4)&gt;=$AB143,INDEX(ELM,CU145,5)&gt;=$S143,INDEX(ELM,CU145,6)&gt;=$R143),1,0)</f>
        <v>#N/A</v>
      </c>
      <c r="CW145" s="4" t="e">
        <f t="shared" ref="CW145" ca="1" si="2051">MATCH(1,OFFSET(CV143:CV154,CX144,0,COUNT(CV143:CV154)-CX144),0)</f>
        <v>#REF!</v>
      </c>
      <c r="CX145" s="4" t="e">
        <f t="shared" ca="1" si="2024"/>
        <v>#REF!</v>
      </c>
      <c r="CY145" s="692" t="str">
        <f ca="1">IFERROR(VLOOKUP(INDEX(CU143:CU154,CX145),ELM,2,FALSE),"----")</f>
        <v>----</v>
      </c>
      <c r="CZ145" s="691" t="e">
        <f t="shared" ca="1" si="2025"/>
        <v>#N/A</v>
      </c>
      <c r="DA145" s="4" t="e">
        <f ca="1">IF(LEFT($J143,7)="Clad Wo",IF(AND(INDEX(SPPWS,CZ145,4)&gt;=$AB143,INDEX(SPPWS,CZ145,5)&gt;=$S143,INDEX(SPPWS,CZ145,6)&gt;=$R143),1,0),IF(AND(INDEX(SPM,CZ145,4)&gt;=$AB143,INDEX(SPM,CZ145,5)&gt;=$S143,INDEX(SPM,CZ145,6)&gt;=$R143),1,0))</f>
        <v>#N/A</v>
      </c>
      <c r="DB145" s="4" t="e">
        <f t="shared" ref="DB145" ca="1" si="2052">MATCH(1,OFFSET(DA143:DA154,DC144,0,COUNT(DA143:DA154)-DC144),0)</f>
        <v>#REF!</v>
      </c>
      <c r="DC145" s="4" t="e">
        <f t="shared" ca="1" si="2027"/>
        <v>#REF!</v>
      </c>
      <c r="DD145" s="693" t="str">
        <f ca="1">IF(LEFT($J143,7)="Clad Wo",IFERROR(VLOOKUP(INDEX(CZ143:CZ154,DC145),SPPWS,2,FALSE),"----"),IFERROR(VLOOKUP(INDEX(CZ143:CZ154,DC145),SPM,2,FALSE),"----"))</f>
        <v>----</v>
      </c>
      <c r="DE145" s="691" t="e">
        <f t="shared" ca="1" si="2028"/>
        <v>#REF!</v>
      </c>
      <c r="DF145" s="4" t="e" cm="1">
        <f t="array" aca="1" ref="DF145" ca="1">IF(AND(INDEX(INDIRECT(BY143),DE145,4)&gt;=$AB149,INDEX(INDIRECT(BY143),DE145,5)&gt;=$S143,INDEX(INDIRECT(BY143),DE145,6)&gt;=$R143),1,0)</f>
        <v>#REF!</v>
      </c>
      <c r="DG145" s="4" t="e">
        <f t="shared" ref="DG145" ca="1" si="2053">MATCH(1,OFFSET(DF143:DF154,DH144,0,COUNT(DF143:DF154)-DH144),0)</f>
        <v>#REF!</v>
      </c>
      <c r="DH145" s="4" t="e">
        <f t="shared" ca="1" si="2030"/>
        <v>#REF!</v>
      </c>
      <c r="DI145" s="692" t="str" cm="1">
        <f t="array" aca="1" ref="DI145" ca="1">IFERROR(VLOOKUP(INDEX(DE143:DE154,DH145),INDIRECT(BY143),2,FALSE),"----")</f>
        <v>----</v>
      </c>
      <c r="DJ145" s="691" t="e">
        <f t="shared" ca="1" si="2031"/>
        <v>#N/A</v>
      </c>
      <c r="DK145" s="4" t="e">
        <f ca="1">IF(AND(INDEX(SSM,DJ145,4)&gt;=$AB149,INDEX(SSM,DJ145,5)&gt;=$S143,INDEX(SSM,DJ145,6)&gt;=$R143),1,0)</f>
        <v>#N/A</v>
      </c>
      <c r="DL145" s="4" t="e">
        <f t="shared" ref="DL145" ca="1" si="2054">MATCH(1,OFFSET(DK143:DK154,DM144,0,COUNT(DK143:DK154)-DM144),0)</f>
        <v>#REF!</v>
      </c>
      <c r="DM145" s="4" t="e">
        <f t="shared" ca="1" si="2033"/>
        <v>#REF!</v>
      </c>
      <c r="DN145" s="692" t="str">
        <f ca="1">IFERROR(IF(AD150="Nested Steel Stud (wood infill)",VLOOKUP(INDEX(DJ143:DJ154,DM145),SSW,2,FALSE),VLOOKUP(INDEX(DJ143:DJ154,DM145),SSM,2,FALSE)),"----")</f>
        <v>----</v>
      </c>
      <c r="DO145" s="691" t="e">
        <f t="shared" ca="1" si="2034"/>
        <v>#N/A</v>
      </c>
      <c r="DP145" s="4" t="e">
        <f ca="1">IF(AND(INDEX(WSM,DO145,4)&gt;=$AB149,INDEX(WSM,DO145,5)&gt;=$S143,INDEX(WSM,DO145,6)&gt;=$R143),1,0)</f>
        <v>#N/A</v>
      </c>
      <c r="DQ145" s="4" t="e">
        <f t="shared" ref="DQ145" ca="1" si="2055">MATCH(1,OFFSET(DP143:DP154,DR144,0,COUNT(DP143:DP154)-DR144),0)</f>
        <v>#REF!</v>
      </c>
      <c r="DR145" s="4" t="e">
        <f t="shared" ca="1" si="2036"/>
        <v>#REF!</v>
      </c>
      <c r="DS145" s="692" t="str">
        <f ca="1">IFERROR(VLOOKUP(INDEX(DO143:DO154,DR145),WSM,2,FALSE),"----")</f>
        <v>----</v>
      </c>
      <c r="DT145" s="691" t="e">
        <f t="shared" ca="1" si="2037"/>
        <v>#N/A</v>
      </c>
      <c r="DU145" s="4" t="e">
        <f ca="1">IF(AND(INDEX(STM,DT145,4)&gt;=$AB149,INDEX(STM,DT145,5)&gt;=$S143,INDEX(STM,DT145,6)&gt;=$R143),1,0)</f>
        <v>#N/A</v>
      </c>
      <c r="DV145" s="4" t="e">
        <f t="shared" ref="DV145" ca="1" si="2056">MATCH(1,OFFSET(DU143:DU154,DW144,0,COUNT(DU143:DU154)-DW144),0)</f>
        <v>#REF!</v>
      </c>
      <c r="DW145" s="4" t="e">
        <f t="shared" ca="1" si="2039"/>
        <v>#REF!</v>
      </c>
      <c r="DX145" s="692" t="str">
        <f ca="1">IFERROR(VLOOKUP(INDEX(DT143:DT154,DW145),STM,2,FALSE),"----")</f>
        <v>----</v>
      </c>
      <c r="DY145" s="691" t="e">
        <f t="shared" ca="1" si="2040"/>
        <v>#N/A</v>
      </c>
      <c r="DZ145" s="4" t="e">
        <f ca="1">IF(AND(INDEX(ELM,DY145,4)&gt;=$AB149,INDEX(ELM,DY145,5)&gt;=$S143,INDEX(ELM,DY145,6)&gt;=$R143),1,0)</f>
        <v>#N/A</v>
      </c>
      <c r="EA145" s="4" t="e">
        <f t="shared" ref="EA145" ca="1" si="2057">MATCH(1,OFFSET(DZ143:DZ154,EB144,0,COUNT(DZ143:DZ154)-EB144),0)</f>
        <v>#REF!</v>
      </c>
      <c r="EB145" s="4" t="e">
        <f t="shared" ca="1" si="2042"/>
        <v>#REF!</v>
      </c>
      <c r="EC145" s="692" t="str">
        <f ca="1">IFERROR(VLOOKUP(INDEX(DY143:DY154,EB145),ELM,2,FALSE),"----")</f>
        <v>----</v>
      </c>
      <c r="ED145" s="691" t="e">
        <f t="shared" ca="1" si="2043"/>
        <v>#N/A</v>
      </c>
      <c r="EE145" s="4" t="e">
        <f ca="1">IF(LEFT($J143,7)="Clad Wo",IF(AND(INDEX(SPPWS,ED145,4)&gt;=$AB149,INDEX(SPPWS,ED145,5)&gt;=$S143,INDEX(SPPWS,ED145,6)&gt;=$R143),1,0),IF(AND(INDEX(SPM,ED145,4)&gt;=$AB149,INDEX(SPM,ED145,5)&gt;=$S143,INDEX(SPM,ED145,6)&gt;=$R143),1,0))</f>
        <v>#N/A</v>
      </c>
      <c r="EF145" s="4" t="e">
        <f t="shared" ref="EF145" ca="1" si="2058">MATCH(1,OFFSET(EE143:EE154,EG144,0,COUNT(EE143:EE154)-EG144),0)</f>
        <v>#REF!</v>
      </c>
      <c r="EG145" s="4" t="e">
        <f t="shared" ca="1" si="2045"/>
        <v>#REF!</v>
      </c>
      <c r="EH145" s="692" t="str">
        <f ca="1">IF(LEFT($J143,7)="Clad Wo",IFERROR(VLOOKUP(INDEX(ED143:ED154,EG145),SPPWS,2,FALSE),"----"),IFERROR(VLOOKUP(INDEX(ED143:ED154,EG145),SPM,2,FALSE),"----"))</f>
        <v>----</v>
      </c>
    </row>
    <row r="146" spans="1:138" ht="15" customHeight="1" x14ac:dyDescent="0.25">
      <c r="A146" s="1085"/>
      <c r="B146" s="925"/>
      <c r="C146" s="926"/>
      <c r="D146" s="927"/>
      <c r="E146" s="995"/>
      <c r="F146" s="996"/>
      <c r="G146" s="997"/>
      <c r="H146" s="1062"/>
      <c r="I146" s="990"/>
      <c r="J146" s="908"/>
      <c r="K146" s="909"/>
      <c r="L146" s="1002"/>
      <c r="M146" s="923"/>
      <c r="N146" s="1042"/>
      <c r="O146" s="1018"/>
      <c r="P146" s="987"/>
      <c r="Q146" s="1015"/>
      <c r="R146" s="1012"/>
      <c r="S146" s="1006"/>
      <c r="T146" s="1007"/>
      <c r="U146" s="878"/>
      <c r="V146" s="881"/>
      <c r="W146" s="884"/>
      <c r="X146" s="884"/>
      <c r="Y146" s="887"/>
      <c r="Z146" s="887"/>
      <c r="AA146" s="887"/>
      <c r="AB146" s="1081"/>
      <c r="AC146" s="1078"/>
      <c r="AD146" s="1070" t="s">
        <v>37</v>
      </c>
      <c r="AE146" s="1071"/>
      <c r="AF146" s="1052"/>
      <c r="AG146" s="1053"/>
      <c r="AH146" s="1053"/>
      <c r="AI146" s="1066"/>
      <c r="AJ146" s="1067"/>
      <c r="AK146" s="156" t="str">
        <f t="shared" ca="1" si="1130"/>
        <v/>
      </c>
      <c r="AL146" s="1039"/>
      <c r="AM146" s="343" t="str">
        <f ca="1">IFERROR(Q143/12*ROUND(VLOOKUP(AF146,OFFSET(STM,0,1),6,FALSE),2),"")</f>
        <v/>
      </c>
      <c r="AN146" t="str">
        <f t="shared" ca="1" si="1154"/>
        <v/>
      </c>
      <c r="AP146" s="122" t="str">
        <f t="shared" ref="AP146" si="2059">_xlfn.CONCAT(AR146,AS148)</f>
        <v/>
      </c>
      <c r="AQ146" s="683" t="str">
        <f t="shared" si="1353"/>
        <v/>
      </c>
      <c r="AR146" s="4" t="str">
        <f t="shared" si="1114"/>
        <v/>
      </c>
      <c r="AS146" s="4"/>
      <c r="AT146" s="697" t="str">
        <f>AL143</f>
        <v/>
      </c>
      <c r="AU146" s="694" t="e">
        <f t="shared" ca="1" si="1370"/>
        <v>#REF!</v>
      </c>
      <c r="AV146" s="686" t="str">
        <f ca="1">IFERROR(VLOOKUP(AU146,INDIRECT(AQ143),2,FALSE),"----")</f>
        <v>----</v>
      </c>
      <c r="AW146" s="694" t="e">
        <f t="shared" ca="1" si="1371"/>
        <v>#REF!</v>
      </c>
      <c r="AX146" s="686" t="str">
        <f ca="1">IFERROR(VLOOKUP(AW146,INDIRECT(AQ144),2,FALSE),"----")</f>
        <v>----</v>
      </c>
      <c r="AY146" s="694" t="e">
        <f t="shared" ref="AY146" ca="1" si="2060">AY145-1</f>
        <v>#REF!</v>
      </c>
      <c r="AZ146" s="686" t="str">
        <f ca="1">IFERROR(VLOOKUP(AY146,INDIRECT(AQ145),2,FALSE),"----")</f>
        <v>----</v>
      </c>
      <c r="BA146" s="694" t="e">
        <f t="shared" ref="BA146" ca="1" si="2061">BA145-1</f>
        <v>#REF!</v>
      </c>
      <c r="BB146" s="686" t="str">
        <f ca="1">IFERROR(VLOOKUP(BA146,INDIRECT(AQ146),2,FALSE),"----")</f>
        <v>----</v>
      </c>
      <c r="BC146" s="694" t="e">
        <f t="shared" ca="1" si="1374"/>
        <v>#REF!</v>
      </c>
      <c r="BD146" s="686" t="str">
        <f ca="1">IFERROR(VLOOKUP(BC146,INDIRECT(AQ147),2,FALSE),"----")</f>
        <v>----</v>
      </c>
      <c r="BE146" s="694" t="e">
        <f t="shared" ca="1" si="1375"/>
        <v>#REF!</v>
      </c>
      <c r="BF146" s="686" t="str">
        <f ca="1">IFERROR(VLOOKUP(BE146,INDIRECT(AQ148),2,FALSE),"----")</f>
        <v>----</v>
      </c>
      <c r="BG146" s="694" t="e">
        <f t="shared" ca="1" si="1376"/>
        <v>#REF!</v>
      </c>
      <c r="BH146" s="686" t="str">
        <f ca="1">IFERROR(VLOOKUP(BG146,INDIRECT(AQ149),2,FALSE),"----")</f>
        <v>----</v>
      </c>
      <c r="BI146" s="694" t="e">
        <f t="shared" ca="1" si="1377"/>
        <v>#REF!</v>
      </c>
      <c r="BJ146" s="686" t="str">
        <f ca="1">IFERROR(VLOOKUP(BI146,INDIRECT(AQ150),2,FALSE),"----")</f>
        <v>----</v>
      </c>
      <c r="BK146" s="694" t="e">
        <f t="shared" ca="1" si="1378"/>
        <v>#REF!</v>
      </c>
      <c r="BL146" s="686" t="str">
        <f ca="1">IFERROR(VLOOKUP(BK146,INDIRECT(AQ151),2,FALSE),"----")</f>
        <v>----</v>
      </c>
      <c r="BM146" s="694" t="e">
        <f t="shared" ca="1" si="1379"/>
        <v>#REF!</v>
      </c>
      <c r="BN146" s="686" t="str">
        <f ca="1">IFERROR(VLOOKUP(BM146,INDIRECT(AQ152),2,FALSE),"----")</f>
        <v>----</v>
      </c>
      <c r="BO146" s="694" t="e">
        <f t="shared" ca="1" si="1380"/>
        <v>#REF!</v>
      </c>
      <c r="BP146" s="686" t="str">
        <f ca="1">IFERROR(VLOOKUP(BO146,INDIRECT(AQ153),2,FALSE),"----")</f>
        <v>----</v>
      </c>
      <c r="BQ146" s="694" t="e">
        <f t="shared" ca="1" si="1381"/>
        <v>#REF!</v>
      </c>
      <c r="BR146" s="686" t="str">
        <f ca="1">IFERROR(VLOOKUP(BQ146,INDIRECT(AQ154),2,FALSE),"----")</f>
        <v>----</v>
      </c>
      <c r="BS146" s="695">
        <f>IF(AI146="",1,IF(COUNTIF(BB143:BB154,AI146)=0,2,1))</f>
        <v>1</v>
      </c>
      <c r="BT146" s="696">
        <f>IF(AF146="",1,IF(BB143=".",2,1))</f>
        <v>1</v>
      </c>
      <c r="BU146" s="706"/>
      <c r="BV146" s="155">
        <f ca="1">IF(COUNTIF(CT143:CT154,AF146)=0,IF(AF146&lt;&gt;"",0,1),1)</f>
        <v>1</v>
      </c>
      <c r="BW146" s="157">
        <f ca="1">IFERROR(MATCH(AF146,CT143:CT154,0),1)</f>
        <v>1</v>
      </c>
      <c r="BX146" s="769"/>
      <c r="BY146" s="769"/>
      <c r="BZ146" s="1110"/>
      <c r="CA146" s="691" t="e">
        <f t="shared" ca="1" si="2010"/>
        <v>#REF!</v>
      </c>
      <c r="CB146" s="4" t="e" cm="1">
        <f t="array" aca="1" ref="CB146" ca="1">IF(AND(INDEX(INDIRECT(BY143),CA146,4)&gt;=$AB143,INDEX(INDIRECT(BY143),CA146,5)&gt;=$S143,INDEX(INDIRECT(BY143),CA146,6)&gt;=$R143),1,0)</f>
        <v>#REF!</v>
      </c>
      <c r="CC146" s="4" t="e">
        <f t="shared" ref="CC146" ca="1" si="2062">MATCH(1,OFFSET(CB143:CB154,CD145,0,COUNT(CB143:CB154)-CD145),0)</f>
        <v>#REF!</v>
      </c>
      <c r="CD146" s="4" t="e">
        <f t="shared" ca="1" si="2012"/>
        <v>#REF!</v>
      </c>
      <c r="CE146" s="692" t="str" cm="1">
        <f t="array" aca="1" ref="CE146" ca="1">IFERROR(VLOOKUP(INDEX(CA143:CA154,CD146),INDIRECT(BY143),2,FALSE),"----")</f>
        <v>----</v>
      </c>
      <c r="CF146" s="691" t="e">
        <f t="shared" ca="1" si="2013"/>
        <v>#N/A</v>
      </c>
      <c r="CG146" s="4" t="e">
        <f ca="1">IF(AND(INDEX(SSM,CF146,4)&gt;=$AB143,INDEX(SSM,CF146,5)&gt;=$S143,INDEX(SSM,CF146,6)&gt;=$R143),1,0)</f>
        <v>#N/A</v>
      </c>
      <c r="CH146" s="4" t="e">
        <f t="shared" ref="CH146" ca="1" si="2063">MATCH(1,OFFSET(CG143:CG154,CI145,0,COUNT(CG143:CG154)-CI145),0)</f>
        <v>#REF!</v>
      </c>
      <c r="CI146" s="4" t="e">
        <f t="shared" ca="1" si="2015"/>
        <v>#REF!</v>
      </c>
      <c r="CJ146" s="692" t="str">
        <f ca="1">IFERROR(IF(AD144="Nested Steel Stud (wood infill)",VLOOKUP(INDEX(CF143:CF154,CI146),SSW,2,FALSE),VLOOKUP(INDEX(CF143:CF154,CI146),SSM,2,FALSE)),"----")</f>
        <v>----</v>
      </c>
      <c r="CK146" s="691" t="e">
        <f t="shared" ca="1" si="2016"/>
        <v>#N/A</v>
      </c>
      <c r="CL146" s="4" t="e">
        <f ca="1">IF(AND(INDEX(WSM,CK146,4)&gt;=$AB143,INDEX(WSM,CK146,5)&gt;=$S143,INDEX(WSM,CK146,6)&gt;=$R143),1,0)</f>
        <v>#N/A</v>
      </c>
      <c r="CM146" s="4" t="e">
        <f t="shared" ref="CM146" ca="1" si="2064">MATCH(1,OFFSET(CL143:CL154,CN145,0,COUNT(CL143:CL154)-CN145),0)</f>
        <v>#REF!</v>
      </c>
      <c r="CN146" s="4" t="e">
        <f t="shared" ca="1" si="2018"/>
        <v>#REF!</v>
      </c>
      <c r="CO146" s="692" t="str">
        <f ca="1">IFERROR(VLOOKUP(INDEX(CK143:CK154,CN146),WSM,2,FALSE),"----")</f>
        <v>----</v>
      </c>
      <c r="CP146" s="691" t="e">
        <f t="shared" ca="1" si="2019"/>
        <v>#N/A</v>
      </c>
      <c r="CQ146" s="4" t="e">
        <f ca="1">IF(AND(INDEX(STM,CP146,4)&gt;=$AB143,INDEX(STM,CP146,5)&gt;=$S143,INDEX(STM,CP146,6)&gt;=$R143),1,0)</f>
        <v>#N/A</v>
      </c>
      <c r="CR146" s="4" t="e">
        <f t="shared" ref="CR146" ca="1" si="2065">MATCH(1,OFFSET(CQ143:CQ154,CS145,0,COUNT(CQ143:CQ154)-CS145),0)</f>
        <v>#REF!</v>
      </c>
      <c r="CS146" s="4" t="e">
        <f t="shared" ca="1" si="2021"/>
        <v>#REF!</v>
      </c>
      <c r="CT146" s="692" t="str">
        <f ca="1">IFERROR(VLOOKUP(INDEX(CP143:CP154,CS146),STM,2,FALSE),"----")</f>
        <v>----</v>
      </c>
      <c r="CU146" s="691" t="e">
        <f t="shared" ca="1" si="2022"/>
        <v>#N/A</v>
      </c>
      <c r="CV146" s="4" t="e">
        <f ca="1">IF(AND(INDEX(ELM,CU146,4)&gt;=$AB143,INDEX(ELM,CU146,5)&gt;=$S143,INDEX(ELM,CU146,6)&gt;=$R143),1,0)</f>
        <v>#N/A</v>
      </c>
      <c r="CW146" s="4" t="e">
        <f t="shared" ref="CW146" ca="1" si="2066">MATCH(1,OFFSET(CV143:CV154,CX145,0,COUNT(CV143:CV154)-CX145),0)</f>
        <v>#REF!</v>
      </c>
      <c r="CX146" s="4" t="e">
        <f t="shared" ca="1" si="2024"/>
        <v>#REF!</v>
      </c>
      <c r="CY146" s="692" t="str">
        <f ca="1">IFERROR(VLOOKUP(INDEX(CU143:CU154,CX146),ELM,2,FALSE),"----")</f>
        <v>----</v>
      </c>
      <c r="CZ146" s="691" t="e">
        <f t="shared" ca="1" si="2025"/>
        <v>#N/A</v>
      </c>
      <c r="DA146" s="4" t="e">
        <f ca="1">IF(LEFT($J143,7)="Clad Wo",IF(AND(INDEX(SPPWS,CZ146,4)&gt;=$AB143,INDEX(SPPWS,CZ146,5)&gt;=$S143,INDEX(SPPWS,CZ146,6)&gt;=$R143),1,0),IF(AND(INDEX(SPM,CZ146,4)&gt;=$AB143,INDEX(SPM,CZ146,5)&gt;=$S143,INDEX(SPM,CZ146,6)&gt;=$R143),1,0))</f>
        <v>#N/A</v>
      </c>
      <c r="DB146" s="4" t="e">
        <f t="shared" ref="DB146" ca="1" si="2067">MATCH(1,OFFSET(DA143:DA154,DC145,0,COUNT(DA143:DA154)-DC145),0)</f>
        <v>#REF!</v>
      </c>
      <c r="DC146" s="4" t="e">
        <f t="shared" ca="1" si="2027"/>
        <v>#REF!</v>
      </c>
      <c r="DD146" s="693" t="str">
        <f ca="1">IF(LEFT($J143,7)="Clad Wo",IFERROR(VLOOKUP(INDEX(CZ143:CZ154,DC146),SPPWS,2,FALSE),"----"),IFERROR(VLOOKUP(INDEX(CZ143:CZ154,DC146),SPM,2,FALSE),"----"))</f>
        <v>----</v>
      </c>
      <c r="DE146" s="691" t="e">
        <f t="shared" ca="1" si="2028"/>
        <v>#REF!</v>
      </c>
      <c r="DF146" s="4" t="e" cm="1">
        <f t="array" aca="1" ref="DF146" ca="1">IF(AND(INDEX(INDIRECT(BY143),DE146,4)&gt;=$AB149,INDEX(INDIRECT(BY143),DE146,5)&gt;=$S143,INDEX(INDIRECT(BY143),DE146,6)&gt;=$R143),1,0)</f>
        <v>#REF!</v>
      </c>
      <c r="DG146" s="4" t="e">
        <f t="shared" ref="DG146" ca="1" si="2068">MATCH(1,OFFSET(DF143:DF154,DH145,0,COUNT(DF143:DF154)-DH145),0)</f>
        <v>#REF!</v>
      </c>
      <c r="DH146" s="4" t="e">
        <f t="shared" ca="1" si="2030"/>
        <v>#REF!</v>
      </c>
      <c r="DI146" s="692" t="str" cm="1">
        <f t="array" aca="1" ref="DI146" ca="1">IFERROR(VLOOKUP(INDEX(DE143:DE154,DH146),INDIRECT(BY143),2,FALSE),"----")</f>
        <v>----</v>
      </c>
      <c r="DJ146" s="691" t="e">
        <f t="shared" ca="1" si="2031"/>
        <v>#N/A</v>
      </c>
      <c r="DK146" s="4" t="e">
        <f ca="1">IF(AND(INDEX(SSM,DJ146,4)&gt;=$AB149,INDEX(SSM,DJ146,5)&gt;=$S143,INDEX(SSM,DJ146,6)&gt;=$R143),1,0)</f>
        <v>#N/A</v>
      </c>
      <c r="DL146" s="4" t="e">
        <f t="shared" ref="DL146" ca="1" si="2069">MATCH(1,OFFSET(DK143:DK154,DM145,0,COUNT(DK143:DK154)-DM145),0)</f>
        <v>#REF!</v>
      </c>
      <c r="DM146" s="4" t="e">
        <f t="shared" ca="1" si="2033"/>
        <v>#REF!</v>
      </c>
      <c r="DN146" s="692" t="str">
        <f ca="1">IFERROR(IF(AD150="Nested Steel Stud (wood infill)",VLOOKUP(INDEX(DJ143:DJ154,DM146),SSW,2,FALSE),VLOOKUP(INDEX(DJ143:DJ154,DM146),SSM,2,FALSE)),"----")</f>
        <v>----</v>
      </c>
      <c r="DO146" s="691" t="e">
        <f t="shared" ca="1" si="2034"/>
        <v>#N/A</v>
      </c>
      <c r="DP146" s="4" t="e">
        <f ca="1">IF(AND(INDEX(WSM,DO146,4)&gt;=$AB149,INDEX(WSM,DO146,5)&gt;=$S143,INDEX(WSM,DO146,6)&gt;=$R143),1,0)</f>
        <v>#N/A</v>
      </c>
      <c r="DQ146" s="4" t="e">
        <f t="shared" ref="DQ146" ca="1" si="2070">MATCH(1,OFFSET(DP143:DP154,DR145,0,COUNT(DP143:DP154)-DR145),0)</f>
        <v>#REF!</v>
      </c>
      <c r="DR146" s="4" t="e">
        <f t="shared" ca="1" si="2036"/>
        <v>#REF!</v>
      </c>
      <c r="DS146" s="692" t="str">
        <f ca="1">IFERROR(VLOOKUP(INDEX(DO143:DO154,DR146),WSM,2,FALSE),"----")</f>
        <v>----</v>
      </c>
      <c r="DT146" s="691" t="e">
        <f t="shared" ca="1" si="2037"/>
        <v>#N/A</v>
      </c>
      <c r="DU146" s="4" t="e">
        <f ca="1">IF(AND(INDEX(STM,DT146,4)&gt;=$AB149,INDEX(STM,DT146,5)&gt;=$S143,INDEX(STM,DT146,6)&gt;=$R143),1,0)</f>
        <v>#N/A</v>
      </c>
      <c r="DV146" s="4" t="e">
        <f t="shared" ref="DV146" ca="1" si="2071">MATCH(1,OFFSET(DU143:DU154,DW145,0,COUNT(DU143:DU154)-DW145),0)</f>
        <v>#REF!</v>
      </c>
      <c r="DW146" s="4" t="e">
        <f t="shared" ca="1" si="2039"/>
        <v>#REF!</v>
      </c>
      <c r="DX146" s="692" t="str">
        <f ca="1">IFERROR(VLOOKUP(INDEX(DT143:DT154,DW146),STM,2,FALSE),"----")</f>
        <v>----</v>
      </c>
      <c r="DY146" s="691" t="e">
        <f t="shared" ca="1" si="2040"/>
        <v>#N/A</v>
      </c>
      <c r="DZ146" s="4" t="e">
        <f ca="1">IF(AND(INDEX(ELM,DY146,4)&gt;=$AB149,INDEX(ELM,DY146,5)&gt;=$S143,INDEX(ELM,DY146,6)&gt;=$R143),1,0)</f>
        <v>#N/A</v>
      </c>
      <c r="EA146" s="4" t="e">
        <f t="shared" ref="EA146" ca="1" si="2072">MATCH(1,OFFSET(DZ143:DZ154,EB145,0,COUNT(DZ143:DZ154)-EB145),0)</f>
        <v>#REF!</v>
      </c>
      <c r="EB146" s="4" t="e">
        <f t="shared" ca="1" si="2042"/>
        <v>#REF!</v>
      </c>
      <c r="EC146" s="692" t="str">
        <f ca="1">IFERROR(VLOOKUP(INDEX(DY143:DY154,EB146),ELM,2,FALSE),"----")</f>
        <v>----</v>
      </c>
      <c r="ED146" s="691" t="e">
        <f t="shared" ca="1" si="2043"/>
        <v>#N/A</v>
      </c>
      <c r="EE146" s="4" t="e">
        <f ca="1">IF(LEFT($J143,7)="Clad Wo",IF(AND(INDEX(SPPWS,ED146,4)&gt;=$AB149,INDEX(SPPWS,ED146,5)&gt;=$S143,INDEX(SPPWS,ED146,6)&gt;=$R143),1,0),IF(AND(INDEX(SPM,ED146,4)&gt;=$AB149,INDEX(SPM,ED146,5)&gt;=$S143,INDEX(SPM,ED146,6)&gt;=$R143),1,0))</f>
        <v>#N/A</v>
      </c>
      <c r="EF146" s="4" t="e">
        <f t="shared" ref="EF146" ca="1" si="2073">MATCH(1,OFFSET(EE143:EE154,EG145,0,COUNT(EE143:EE154)-EG145),0)</f>
        <v>#REF!</v>
      </c>
      <c r="EG146" s="4" t="e">
        <f t="shared" ca="1" si="2045"/>
        <v>#REF!</v>
      </c>
      <c r="EH146" s="692" t="str">
        <f ca="1">IF(LEFT($J143,7)="Clad Wo",IFERROR(VLOOKUP(INDEX(ED143:ED154,EG146),SPPWS,2,FALSE),"----"),IFERROR(VLOOKUP(INDEX(ED143:ED154,EG146),SPM,2,FALSE),"----"))</f>
        <v>----</v>
      </c>
    </row>
    <row r="147" spans="1:138" ht="15" customHeight="1" x14ac:dyDescent="0.25">
      <c r="A147" s="1085"/>
      <c r="B147" s="925"/>
      <c r="C147" s="926"/>
      <c r="D147" s="927"/>
      <c r="E147" s="995"/>
      <c r="F147" s="996"/>
      <c r="G147" s="997"/>
      <c r="H147" s="1062"/>
      <c r="I147" s="990"/>
      <c r="J147" s="910"/>
      <c r="K147" s="911"/>
      <c r="L147" s="1002"/>
      <c r="M147" s="923"/>
      <c r="N147" s="1042"/>
      <c r="O147" s="1018"/>
      <c r="P147" s="987"/>
      <c r="Q147" s="1015"/>
      <c r="R147" s="1012"/>
      <c r="S147" s="1006"/>
      <c r="T147" s="1007"/>
      <c r="U147" s="878"/>
      <c r="V147" s="881"/>
      <c r="W147" s="884"/>
      <c r="X147" s="884"/>
      <c r="Y147" s="887"/>
      <c r="Z147" s="887"/>
      <c r="AA147" s="887"/>
      <c r="AB147" s="1081"/>
      <c r="AC147" s="1078"/>
      <c r="AD147" s="1070" t="s">
        <v>39</v>
      </c>
      <c r="AE147" s="1071"/>
      <c r="AF147" s="1052"/>
      <c r="AG147" s="1053"/>
      <c r="AH147" s="1053"/>
      <c r="AI147" s="1068"/>
      <c r="AJ147" s="1069"/>
      <c r="AK147" s="154" t="str">
        <f t="shared" ca="1" si="1130"/>
        <v/>
      </c>
      <c r="AL147" s="1039"/>
      <c r="AM147" s="344" t="str">
        <f ca="1">IFERROR(Q143/12*ROUND(VLOOKUP(AF147,OFFSET(ELM,0,1),6,FALSE),2),"")</f>
        <v/>
      </c>
      <c r="AN147" t="str">
        <f t="shared" ca="1" si="1154"/>
        <v/>
      </c>
      <c r="AP147" s="122" t="str">
        <f t="shared" ref="AP147" si="2074">_xlfn.CONCAT(AR147,AS148)</f>
        <v/>
      </c>
      <c r="AQ147" s="683" t="str">
        <f t="shared" si="1353"/>
        <v/>
      </c>
      <c r="AR147" s="4" t="str">
        <f t="shared" si="1114"/>
        <v/>
      </c>
      <c r="AS147" s="4"/>
      <c r="AT147" s="697" t="str">
        <f>AL143</f>
        <v/>
      </c>
      <c r="AU147" s="694" t="e">
        <f t="shared" ca="1" si="1370"/>
        <v>#REF!</v>
      </c>
      <c r="AV147" s="698" t="str">
        <f ca="1">IFERROR(VLOOKUP(AU147,INDIRECT(AQ143),2,FALSE),"----")</f>
        <v>----</v>
      </c>
      <c r="AW147" s="694" t="e">
        <f t="shared" ca="1" si="1371"/>
        <v>#REF!</v>
      </c>
      <c r="AX147" s="698" t="str">
        <f ca="1">IFERROR(VLOOKUP(AW147,INDIRECT(AQ144),2,FALSE),"----")</f>
        <v>----</v>
      </c>
      <c r="AY147" s="694" t="e">
        <f t="shared" ref="AY147" ca="1" si="2075">AY146-1</f>
        <v>#REF!</v>
      </c>
      <c r="AZ147" s="698" t="str">
        <f ca="1">IFERROR(VLOOKUP(AY147,INDIRECT(AQ145),2,FALSE),"----")</f>
        <v>----</v>
      </c>
      <c r="BA147" s="694" t="e">
        <f t="shared" ref="BA147" ca="1" si="2076">BA146-1</f>
        <v>#REF!</v>
      </c>
      <c r="BB147" s="698" t="str">
        <f ca="1">IFERROR(VLOOKUP(BA147,INDIRECT(AQ146),2,FALSE),"----")</f>
        <v>----</v>
      </c>
      <c r="BC147" s="694" t="e">
        <f t="shared" ca="1" si="1374"/>
        <v>#REF!</v>
      </c>
      <c r="BD147" s="698" t="str">
        <f ca="1">IFERROR(VLOOKUP(BC147,INDIRECT(AQ147),2,FALSE),"----")</f>
        <v>----</v>
      </c>
      <c r="BE147" s="694" t="e">
        <f t="shared" ca="1" si="1375"/>
        <v>#REF!</v>
      </c>
      <c r="BF147" s="698" t="str">
        <f ca="1">IFERROR(VLOOKUP(BE147,INDIRECT(AQ148),2,FALSE),"----")</f>
        <v>----</v>
      </c>
      <c r="BG147" s="694" t="e">
        <f t="shared" ca="1" si="1376"/>
        <v>#REF!</v>
      </c>
      <c r="BH147" s="686" t="str">
        <f ca="1">IFERROR(VLOOKUP(BG147,INDIRECT(AQ149),2,FALSE),"----")</f>
        <v>----</v>
      </c>
      <c r="BI147" s="694" t="e">
        <f t="shared" ca="1" si="1377"/>
        <v>#REF!</v>
      </c>
      <c r="BJ147" s="686" t="str">
        <f ca="1">IFERROR(VLOOKUP(BI147,INDIRECT(AQ150),2,FALSE),"----")</f>
        <v>----</v>
      </c>
      <c r="BK147" s="694" t="e">
        <f t="shared" ca="1" si="1378"/>
        <v>#REF!</v>
      </c>
      <c r="BL147" s="686" t="str">
        <f ca="1">IFERROR(VLOOKUP(BK147,INDIRECT(AQ151),2,FALSE),"----")</f>
        <v>----</v>
      </c>
      <c r="BM147" s="694" t="e">
        <f t="shared" ca="1" si="1379"/>
        <v>#REF!</v>
      </c>
      <c r="BN147" s="686" t="str">
        <f ca="1">IFERROR(VLOOKUP(BM147,INDIRECT(AQ152),2,FALSE),"----")</f>
        <v>----</v>
      </c>
      <c r="BO147" s="694" t="e">
        <f t="shared" ca="1" si="1380"/>
        <v>#REF!</v>
      </c>
      <c r="BP147" s="686" t="str">
        <f ca="1">IFERROR(VLOOKUP(BO147,INDIRECT(AQ153),2,FALSE),"----")</f>
        <v>----</v>
      </c>
      <c r="BQ147" s="694" t="e">
        <f t="shared" ca="1" si="1381"/>
        <v>#REF!</v>
      </c>
      <c r="BR147" s="686" t="str">
        <f ca="1">IFERROR(VLOOKUP(BQ147,INDIRECT(AQ154),2,FALSE),"----")</f>
        <v>----</v>
      </c>
      <c r="BS147" s="695">
        <f>IF(AI147="",1,IF(COUNTIF(BD143:BD154,AI147)=0,2,1))</f>
        <v>1</v>
      </c>
      <c r="BT147" s="696">
        <f>IF(AF147="",1,IF(BD143=".",2,1))</f>
        <v>1</v>
      </c>
      <c r="BU147" s="706"/>
      <c r="BV147" s="155">
        <f ca="1">IF(COUNTIF(CY143:CY154,AF147)=0,IF(AF147&lt;&gt;"",0,1),1)</f>
        <v>1</v>
      </c>
      <c r="BW147" s="157">
        <f ca="1">IFERROR(MATCH(AF147,CY143:CY154,0),1)</f>
        <v>1</v>
      </c>
      <c r="BX147" s="769"/>
      <c r="BY147" s="769"/>
      <c r="BZ147" s="1110"/>
      <c r="CA147" s="691" t="e">
        <f t="shared" ca="1" si="2010"/>
        <v>#REF!</v>
      </c>
      <c r="CB147" s="4" t="e" cm="1">
        <f t="array" aca="1" ref="CB147" ca="1">IF(AND(INDEX(INDIRECT(BY143),CA147,4)&gt;=$AB143,INDEX(INDIRECT(BY143),CA147,5)&gt;=$S143,INDEX(INDIRECT(BY143),CA147,6)&gt;=$R143),1,0)</f>
        <v>#REF!</v>
      </c>
      <c r="CC147" s="4" t="e">
        <f t="shared" ref="CC147" ca="1" si="2077">MATCH(1,OFFSET(CB143:CB154,CD146,0,COUNT(CB143:CB154)-CD146),0)</f>
        <v>#REF!</v>
      </c>
      <c r="CD147" s="4" t="e">
        <f t="shared" ca="1" si="2012"/>
        <v>#REF!</v>
      </c>
      <c r="CE147" s="692" t="str" cm="1">
        <f t="array" aca="1" ref="CE147" ca="1">IFERROR(VLOOKUP(INDEX(CA143:CA154,CD147),INDIRECT(BY143),2,FALSE),"----")</f>
        <v>----</v>
      </c>
      <c r="CF147" s="691" t="e">
        <f t="shared" ca="1" si="2013"/>
        <v>#N/A</v>
      </c>
      <c r="CG147" s="4" t="e">
        <f ca="1">IF(AND(INDEX(SSM,CF147,4)&gt;=$AB143,INDEX(SSM,CF147,5)&gt;=$S143,INDEX(SSM,CF147,6)&gt;=$R143),1,0)</f>
        <v>#N/A</v>
      </c>
      <c r="CH147" s="4" t="e">
        <f t="shared" ref="CH147" ca="1" si="2078">MATCH(1,OFFSET(CG143:CG154,CI146,0,COUNT(CG143:CG154)-CI146),0)</f>
        <v>#REF!</v>
      </c>
      <c r="CI147" s="4" t="e">
        <f t="shared" ca="1" si="2015"/>
        <v>#REF!</v>
      </c>
      <c r="CJ147" s="692" t="str">
        <f ca="1">IFERROR(IF(AD144="Nested Steel Stud (wood infill)",VLOOKUP(INDEX(CF143:CF154,CI147),SSW,2,FALSE),VLOOKUP(INDEX(CF143:CF154,CI147),SSM,2,FALSE)),"----")</f>
        <v>----</v>
      </c>
      <c r="CK147" s="691" t="e">
        <f t="shared" ca="1" si="2016"/>
        <v>#N/A</v>
      </c>
      <c r="CL147" s="4" t="e">
        <f ca="1">IF(AND(INDEX(WSM,CK147,4)&gt;=$AB143,INDEX(WSM,CK147,5)&gt;=$S143,INDEX(WSM,CK147,6)&gt;=$R143),1,0)</f>
        <v>#N/A</v>
      </c>
      <c r="CM147" s="4" t="e">
        <f t="shared" ref="CM147" ca="1" si="2079">MATCH(1,OFFSET(CL143:CL154,CN146,0,COUNT(CL143:CL154)-CN146),0)</f>
        <v>#REF!</v>
      </c>
      <c r="CN147" s="4" t="e">
        <f t="shared" ca="1" si="2018"/>
        <v>#REF!</v>
      </c>
      <c r="CO147" s="692" t="str">
        <f ca="1">IFERROR(VLOOKUP(INDEX(CK143:CK154,CN147),WSM,2,FALSE),"----")</f>
        <v>----</v>
      </c>
      <c r="CP147" s="691" t="e">
        <f t="shared" ca="1" si="2019"/>
        <v>#N/A</v>
      </c>
      <c r="CQ147" s="4" t="e">
        <f ca="1">IF(AND(INDEX(STM,CP147,4)&gt;=$AB143,INDEX(STM,CP147,5)&gt;=$S143,INDEX(STM,CP147,6)&gt;=$R143),1,0)</f>
        <v>#N/A</v>
      </c>
      <c r="CR147" s="4" t="e">
        <f t="shared" ref="CR147" ca="1" si="2080">MATCH(1,OFFSET(CQ143:CQ154,CS146,0,COUNT(CQ143:CQ154)-CS146),0)</f>
        <v>#REF!</v>
      </c>
      <c r="CS147" s="4" t="e">
        <f t="shared" ca="1" si="2021"/>
        <v>#REF!</v>
      </c>
      <c r="CT147" s="692" t="str">
        <f ca="1">IFERROR(VLOOKUP(INDEX(CP143:CP154,CS147),STM,2,FALSE),"----")</f>
        <v>----</v>
      </c>
      <c r="CU147" s="691" t="e">
        <f t="shared" ca="1" si="2022"/>
        <v>#N/A</v>
      </c>
      <c r="CV147" s="4" t="e">
        <f ca="1">IF(AND(INDEX(ELM,CU147,4)&gt;=$AB143,INDEX(ELM,CU147,5)&gt;=$S143,INDEX(ELM,CU147,6)&gt;=$R143),1,0)</f>
        <v>#N/A</v>
      </c>
      <c r="CW147" s="4" t="e">
        <f t="shared" ref="CW147" ca="1" si="2081">MATCH(1,OFFSET(CV143:CV154,CX146,0,COUNT(CV143:CV154)-CX146),0)</f>
        <v>#REF!</v>
      </c>
      <c r="CX147" s="4" t="e">
        <f t="shared" ca="1" si="2024"/>
        <v>#REF!</v>
      </c>
      <c r="CY147" s="692" t="str">
        <f ca="1">IFERROR(VLOOKUP(INDEX(CU143:CU154,CX147),ELM,2,FALSE),"----")</f>
        <v>----</v>
      </c>
      <c r="CZ147" s="691" t="e">
        <f t="shared" ca="1" si="2025"/>
        <v>#N/A</v>
      </c>
      <c r="DA147" s="4" t="e">
        <f ca="1">IF(LEFT($J143,7)="Clad Wo",IF(AND(INDEX(SPPWS,CZ147,4)&gt;=$AB143,INDEX(SPPWS,CZ147,5)&gt;=$S143,INDEX(SPPWS,CZ147,6)&gt;=$R143),1,0),IF(AND(INDEX(SPM,CZ147,4)&gt;=$AB143,INDEX(SPM,CZ147,5)&gt;=$S143,INDEX(SPM,CZ147,6)&gt;=$R143),1,0))</f>
        <v>#N/A</v>
      </c>
      <c r="DB147" s="4" t="e">
        <f t="shared" ref="DB147" ca="1" si="2082">MATCH(1,OFFSET(DA143:DA154,DC146,0,COUNT(DA143:DA154)-DC146),0)</f>
        <v>#REF!</v>
      </c>
      <c r="DC147" s="4" t="e">
        <f t="shared" ca="1" si="2027"/>
        <v>#REF!</v>
      </c>
      <c r="DD147" s="693" t="str">
        <f ca="1">IF(LEFT($J143,7)="Clad Wo",IFERROR(VLOOKUP(INDEX(CZ143:CZ154,DC147),SPPWS,2,FALSE),"----"),IFERROR(VLOOKUP(INDEX(CZ143:CZ154,DC147),SPM,2,FALSE),"----"))</f>
        <v>----</v>
      </c>
      <c r="DE147" s="691" t="e">
        <f t="shared" ca="1" si="2028"/>
        <v>#REF!</v>
      </c>
      <c r="DF147" s="4" t="e" cm="1">
        <f t="array" aca="1" ref="DF147" ca="1">IF(AND(INDEX(INDIRECT(BY143),DE147,4)&gt;=$AB149,INDEX(INDIRECT(BY143),DE147,5)&gt;=$S143,INDEX(INDIRECT(BY143),DE147,6)&gt;=$R143),1,0)</f>
        <v>#REF!</v>
      </c>
      <c r="DG147" s="4" t="e">
        <f t="shared" ref="DG147" ca="1" si="2083">MATCH(1,OFFSET(DF143:DF154,DH146,0,COUNT(DF143:DF154)-DH146),0)</f>
        <v>#REF!</v>
      </c>
      <c r="DH147" s="4" t="e">
        <f t="shared" ca="1" si="2030"/>
        <v>#REF!</v>
      </c>
      <c r="DI147" s="692" t="str" cm="1">
        <f t="array" aca="1" ref="DI147" ca="1">IFERROR(VLOOKUP(INDEX(DE143:DE154,DH147),INDIRECT(BY143),2,FALSE),"----")</f>
        <v>----</v>
      </c>
      <c r="DJ147" s="691" t="e">
        <f t="shared" ca="1" si="2031"/>
        <v>#N/A</v>
      </c>
      <c r="DK147" s="4" t="e">
        <f ca="1">IF(AND(INDEX(SSM,DJ147,4)&gt;=$AB149,INDEX(SSM,DJ147,5)&gt;=$S143,INDEX(SSM,DJ147,6)&gt;=$R143),1,0)</f>
        <v>#N/A</v>
      </c>
      <c r="DL147" s="4" t="e">
        <f t="shared" ref="DL147" ca="1" si="2084">MATCH(1,OFFSET(DK143:DK154,DM146,0,COUNT(DK143:DK154)-DM146),0)</f>
        <v>#REF!</v>
      </c>
      <c r="DM147" s="4" t="e">
        <f t="shared" ca="1" si="2033"/>
        <v>#REF!</v>
      </c>
      <c r="DN147" s="692" t="str">
        <f ca="1">IFERROR(IF(AD150="Nested Steel Stud (wood infill)",VLOOKUP(INDEX(DJ143:DJ154,DM147),SSW,2,FALSE),VLOOKUP(INDEX(DJ143:DJ154,DM147),SSM,2,FALSE)),"----")</f>
        <v>----</v>
      </c>
      <c r="DO147" s="691" t="e">
        <f t="shared" ca="1" si="2034"/>
        <v>#N/A</v>
      </c>
      <c r="DP147" s="4" t="e">
        <f ca="1">IF(AND(INDEX(WSM,DO147,4)&gt;=$AB149,INDEX(WSM,DO147,5)&gt;=$S143,INDEX(WSM,DO147,6)&gt;=$R143),1,0)</f>
        <v>#N/A</v>
      </c>
      <c r="DQ147" s="4" t="e">
        <f t="shared" ref="DQ147" ca="1" si="2085">MATCH(1,OFFSET(DP143:DP154,DR146,0,COUNT(DP143:DP154)-DR146),0)</f>
        <v>#REF!</v>
      </c>
      <c r="DR147" s="4" t="e">
        <f t="shared" ca="1" si="2036"/>
        <v>#REF!</v>
      </c>
      <c r="DS147" s="692" t="str">
        <f ca="1">IFERROR(VLOOKUP(INDEX(DO143:DO154,DR147),WSM,2,FALSE),"----")</f>
        <v>----</v>
      </c>
      <c r="DT147" s="691" t="e">
        <f t="shared" ca="1" si="2037"/>
        <v>#N/A</v>
      </c>
      <c r="DU147" s="4" t="e">
        <f ca="1">IF(AND(INDEX(STM,DT147,4)&gt;=$AB149,INDEX(STM,DT147,5)&gt;=$S143,INDEX(STM,DT147,6)&gt;=$R143),1,0)</f>
        <v>#N/A</v>
      </c>
      <c r="DV147" s="4" t="e">
        <f t="shared" ref="DV147" ca="1" si="2086">MATCH(1,OFFSET(DU143:DU154,DW146,0,COUNT(DU143:DU154)-DW146),0)</f>
        <v>#REF!</v>
      </c>
      <c r="DW147" s="4" t="e">
        <f t="shared" ca="1" si="2039"/>
        <v>#REF!</v>
      </c>
      <c r="DX147" s="692" t="str">
        <f ca="1">IFERROR(VLOOKUP(INDEX(DT143:DT154,DW147),STM,2,FALSE),"----")</f>
        <v>----</v>
      </c>
      <c r="DY147" s="691" t="e">
        <f t="shared" ca="1" si="2040"/>
        <v>#N/A</v>
      </c>
      <c r="DZ147" s="4" t="e">
        <f ca="1">IF(AND(INDEX(ELM,DY147,4)&gt;=$AB149,INDEX(ELM,DY147,5)&gt;=$S143,INDEX(ELM,DY147,6)&gt;=$R143),1,0)</f>
        <v>#N/A</v>
      </c>
      <c r="EA147" s="4" t="e">
        <f t="shared" ref="EA147" ca="1" si="2087">MATCH(1,OFFSET(DZ143:DZ154,EB146,0,COUNT(DZ143:DZ154)-EB146),0)</f>
        <v>#REF!</v>
      </c>
      <c r="EB147" s="4" t="e">
        <f t="shared" ca="1" si="2042"/>
        <v>#REF!</v>
      </c>
      <c r="EC147" s="692" t="str">
        <f ca="1">IFERROR(VLOOKUP(INDEX(DY143:DY154,EB147),ELM,2,FALSE),"----")</f>
        <v>----</v>
      </c>
      <c r="ED147" s="691" t="e">
        <f t="shared" ca="1" si="2043"/>
        <v>#N/A</v>
      </c>
      <c r="EE147" s="4" t="e">
        <f ca="1">IF(LEFT($J143,7)="Clad Wo",IF(AND(INDEX(SPPWS,ED147,4)&gt;=$AB149,INDEX(SPPWS,ED147,5)&gt;=$S143,INDEX(SPPWS,ED147,6)&gt;=$R143),1,0),IF(AND(INDEX(SPM,ED147,4)&gt;=$AB149,INDEX(SPM,ED147,5)&gt;=$S143,INDEX(SPM,ED147,6)&gt;=$R143),1,0))</f>
        <v>#N/A</v>
      </c>
      <c r="EF147" s="4" t="e">
        <f t="shared" ref="EF147" ca="1" si="2088">MATCH(1,OFFSET(EE143:EE154,EG146,0,COUNT(EE143:EE154)-EG146),0)</f>
        <v>#REF!</v>
      </c>
      <c r="EG147" s="4" t="e">
        <f t="shared" ca="1" si="2045"/>
        <v>#REF!</v>
      </c>
      <c r="EH147" s="692" t="str">
        <f ca="1">IF(LEFT($J143,7)="Clad Wo",IFERROR(VLOOKUP(INDEX(ED143:ED154,EG147),SPPWS,2,FALSE),"----"),IFERROR(VLOOKUP(INDEX(ED143:ED154,EG147),SPM,2,FALSE),"----"))</f>
        <v>----</v>
      </c>
    </row>
    <row r="148" spans="1:138" ht="15" customHeight="1" thickBot="1" x14ac:dyDescent="0.3">
      <c r="A148" s="1085"/>
      <c r="B148" s="934"/>
      <c r="C148" s="935"/>
      <c r="D148" s="936"/>
      <c r="E148" s="995"/>
      <c r="F148" s="996"/>
      <c r="G148" s="997"/>
      <c r="H148" s="1062"/>
      <c r="I148" s="990"/>
      <c r="J148" s="908"/>
      <c r="K148" s="909"/>
      <c r="L148" s="1010"/>
      <c r="M148" s="924"/>
      <c r="N148" s="1044"/>
      <c r="O148" s="1018"/>
      <c r="P148" s="987"/>
      <c r="Q148" s="1015"/>
      <c r="R148" s="1012"/>
      <c r="S148" s="1006"/>
      <c r="T148" s="1007"/>
      <c r="U148" s="878"/>
      <c r="V148" s="881"/>
      <c r="W148" s="889"/>
      <c r="X148" s="884"/>
      <c r="Y148" s="890"/>
      <c r="Z148" s="890"/>
      <c r="AA148" s="887"/>
      <c r="AB148" s="1084"/>
      <c r="AC148" s="1079"/>
      <c r="AD148" s="1072" t="str">
        <f t="shared" ref="AD148" si="2089">IF(LEFT(J143,7)="Clad Wo","Pella Wood Spr / Steel Pte","Steel Plate")</f>
        <v>Steel Plate</v>
      </c>
      <c r="AE148" s="1073"/>
      <c r="AF148" s="1054"/>
      <c r="AG148" s="1055"/>
      <c r="AH148" s="1055"/>
      <c r="AI148" s="1092"/>
      <c r="AJ148" s="1093"/>
      <c r="AK148" s="159" t="str">
        <f t="shared" ca="1" si="1130"/>
        <v/>
      </c>
      <c r="AL148" s="1040"/>
      <c r="AM148" s="345" t="str">
        <f ca="1">IFERROR(Q143/12*ROUND(VLOOKUP(AF148,OFFSET(SPM,0,1),6,FALSE),2),"")</f>
        <v/>
      </c>
      <c r="AN148" t="str">
        <f t="shared" ca="1" si="1154"/>
        <v/>
      </c>
      <c r="AP148" s="699" t="str">
        <f t="shared" ref="AP148" si="2090">_xlfn.CONCAT(AR148,AS148)</f>
        <v/>
      </c>
      <c r="AQ148" s="700" t="str">
        <f t="shared" si="1353"/>
        <v/>
      </c>
      <c r="AR148" s="160" t="str">
        <f t="shared" si="1114"/>
        <v/>
      </c>
      <c r="AS148" s="160" t="str">
        <f>IFERROR(VLOOKUP(J151, WallType,2,FALSE),"")</f>
        <v/>
      </c>
      <c r="AT148" s="701" t="str">
        <f>AL143</f>
        <v/>
      </c>
      <c r="AU148" s="694" t="e">
        <f t="shared" ca="1" si="1370"/>
        <v>#REF!</v>
      </c>
      <c r="AV148" s="698" t="str">
        <f ca="1">IFERROR(VLOOKUP(AU148,INDIRECT(AQ143),2,FALSE),"----")</f>
        <v>----</v>
      </c>
      <c r="AW148" s="702" t="e">
        <f t="shared" ca="1" si="1371"/>
        <v>#REF!</v>
      </c>
      <c r="AX148" s="698" t="str">
        <f ca="1">IFERROR(VLOOKUP(AW148,INDIRECT(AQ144),2,FALSE),"----")</f>
        <v>----</v>
      </c>
      <c r="AY148" s="702" t="e">
        <f t="shared" ref="AY148:AY163" ca="1" si="2091">AY147-1</f>
        <v>#REF!</v>
      </c>
      <c r="AZ148" s="698" t="str">
        <f ca="1">IFERROR(VLOOKUP(AY148,INDIRECT(AQ145),2,FALSE),"----")</f>
        <v>----</v>
      </c>
      <c r="BA148" s="702" t="e">
        <f t="shared" ref="BA148:BA163" ca="1" si="2092">BA147-1</f>
        <v>#REF!</v>
      </c>
      <c r="BB148" s="698" t="str">
        <f ca="1">IFERROR(VLOOKUP(BA148,INDIRECT(AQ146),2,FALSE),"----")</f>
        <v>----</v>
      </c>
      <c r="BC148" s="702" t="e">
        <f t="shared" ca="1" si="1374"/>
        <v>#REF!</v>
      </c>
      <c r="BD148" s="698" t="str">
        <f ca="1">IFERROR(VLOOKUP(BC148,INDIRECT(AQ147),2,FALSE),"----")</f>
        <v>----</v>
      </c>
      <c r="BE148" s="702" t="e">
        <f t="shared" ca="1" si="1375"/>
        <v>#REF!</v>
      </c>
      <c r="BF148" s="698" t="str">
        <f ca="1">IFERROR(VLOOKUP(BE148,INDIRECT(AQ148),2,FALSE),"----")</f>
        <v>----</v>
      </c>
      <c r="BG148" s="702" t="e">
        <f t="shared" ca="1" si="1376"/>
        <v>#REF!</v>
      </c>
      <c r="BH148" s="686" t="str">
        <f ca="1">IFERROR(VLOOKUP(BG148,INDIRECT(AQ149),2,FALSE),"----")</f>
        <v>----</v>
      </c>
      <c r="BI148" s="702" t="e">
        <f t="shared" ca="1" si="1377"/>
        <v>#REF!</v>
      </c>
      <c r="BJ148" s="686" t="str">
        <f ca="1">IFERROR(VLOOKUP(BI148,INDIRECT(AQ150),2,FALSE),"----")</f>
        <v>----</v>
      </c>
      <c r="BK148" s="702" t="e">
        <f t="shared" ca="1" si="1378"/>
        <v>#REF!</v>
      </c>
      <c r="BL148" s="686" t="str">
        <f ca="1">IFERROR(VLOOKUP(BK148,INDIRECT(AQ151),2,FALSE),"----")</f>
        <v>----</v>
      </c>
      <c r="BM148" s="702" t="e">
        <f t="shared" ca="1" si="1379"/>
        <v>#REF!</v>
      </c>
      <c r="BN148" s="686" t="str">
        <f ca="1">IFERROR(VLOOKUP(BM148,INDIRECT(AQ152),2,FALSE),"----")</f>
        <v>----</v>
      </c>
      <c r="BO148" s="702" t="e">
        <f t="shared" ca="1" si="1380"/>
        <v>#REF!</v>
      </c>
      <c r="BP148" s="686" t="str">
        <f ca="1">IFERROR(VLOOKUP(BO148,INDIRECT(AQ153),2,FALSE),"----")</f>
        <v>----</v>
      </c>
      <c r="BQ148" s="702" t="e">
        <f t="shared" ca="1" si="1381"/>
        <v>#REF!</v>
      </c>
      <c r="BR148" s="686" t="str">
        <f ca="1">IFERROR(VLOOKUP(BQ148,INDIRECT(AQ154),2,FALSE),"----")</f>
        <v>----</v>
      </c>
      <c r="BS148" s="703">
        <f>IF(AI148="",1,IF(COUNTIF(BF143:BF154,AI148)=0,2,1))</f>
        <v>1</v>
      </c>
      <c r="BT148" s="704">
        <f>IF(AF148="",1,IF(BF143=".",2,1))</f>
        <v>1</v>
      </c>
      <c r="BV148" s="155">
        <f ca="1">IF(COUNTIF(DD143:DD154,AF148)=0,IF(AF148&lt;&gt;"",0,1),1)</f>
        <v>1</v>
      </c>
      <c r="BW148" s="157">
        <f ca="1">IFERROR(MATCH(AF148,DD143:DD154,0),1)</f>
        <v>1</v>
      </c>
      <c r="BX148" s="875" t="s">
        <v>1594</v>
      </c>
      <c r="BY148" s="876"/>
      <c r="BZ148" s="1110"/>
      <c r="CA148" s="691" t="e">
        <f t="shared" ca="1" si="2010"/>
        <v>#REF!</v>
      </c>
      <c r="CB148" s="4" t="e" cm="1">
        <f t="array" aca="1" ref="CB148" ca="1">IF(AND(INDEX(INDIRECT(BY143),CA148,4)&gt;=$AB143,INDEX(INDIRECT(BY143),CA148,5)&gt;=$S143,INDEX(INDIRECT(BY143),CA148,6)&gt;=$R143),1,0)</f>
        <v>#REF!</v>
      </c>
      <c r="CC148" s="4" t="e">
        <f t="shared" ref="CC148" ca="1" si="2093">MATCH(1,OFFSET(CB143:CB154,CD147,0,COUNT(CB143:CB154)-CD147),0)</f>
        <v>#REF!</v>
      </c>
      <c r="CD148" s="4" t="e">
        <f t="shared" ca="1" si="2012"/>
        <v>#REF!</v>
      </c>
      <c r="CE148" s="692" t="str" cm="1">
        <f t="array" aca="1" ref="CE148" ca="1">IFERROR(VLOOKUP(INDEX(CA143:CA154,CD148),INDIRECT(BY143),2,FALSE),"----")</f>
        <v>----</v>
      </c>
      <c r="CF148" s="691" t="e">
        <f t="shared" ca="1" si="2013"/>
        <v>#N/A</v>
      </c>
      <c r="CG148" s="4" t="e">
        <f ca="1">IF(AND(INDEX(SSM,CF148,4)&gt;=$AB143,INDEX(SSM,CF148,5)&gt;=$S143,INDEX(SSM,CF148,6)&gt;=$R143),1,0)</f>
        <v>#N/A</v>
      </c>
      <c r="CH148" s="4" t="e">
        <f t="shared" ref="CH148" ca="1" si="2094">MATCH(1,OFFSET(CG143:CG154,CI147,0,COUNT(CG143:CG154)-CI147),0)</f>
        <v>#REF!</v>
      </c>
      <c r="CI148" s="4" t="e">
        <f t="shared" ca="1" si="2015"/>
        <v>#REF!</v>
      </c>
      <c r="CJ148" s="692" t="str">
        <f ca="1">IFERROR(IF(AD144="Nested Steel Stud (wood infill)",VLOOKUP(INDEX(CF143:CF154,CI148),SSW,2,FALSE),VLOOKUP(INDEX(CF143:CF154,CI148),SSM,2,FALSE)),"----")</f>
        <v>----</v>
      </c>
      <c r="CK148" s="691" t="e">
        <f t="shared" ca="1" si="2016"/>
        <v>#N/A</v>
      </c>
      <c r="CL148" s="4" t="e">
        <f ca="1">IF(AND(INDEX(WSM,CK148,4)&gt;=$AB143,INDEX(WSM,CK148,5)&gt;=$S143,INDEX(WSM,CK148,6)&gt;=$R143),1,0)</f>
        <v>#N/A</v>
      </c>
      <c r="CM148" s="4" t="e">
        <f t="shared" ref="CM148" ca="1" si="2095">MATCH(1,OFFSET(CL143:CL154,CN147,0,COUNT(CL143:CL154)-CN147),0)</f>
        <v>#REF!</v>
      </c>
      <c r="CN148" s="4" t="e">
        <f t="shared" ca="1" si="2018"/>
        <v>#REF!</v>
      </c>
      <c r="CO148" s="692" t="str">
        <f ca="1">IFERROR(VLOOKUP(INDEX(CK143:CK154,CN148),WSM,2,FALSE),"----")</f>
        <v>----</v>
      </c>
      <c r="CP148" s="691" t="e">
        <f t="shared" ca="1" si="2019"/>
        <v>#N/A</v>
      </c>
      <c r="CQ148" s="4" t="e">
        <f ca="1">IF(AND(INDEX(STM,CP148,4)&gt;=$AB143,INDEX(STM,CP148,5)&gt;=$S143,INDEX(STM,CP148,6)&gt;=$R143),1,0)</f>
        <v>#N/A</v>
      </c>
      <c r="CR148" s="4" t="e">
        <f t="shared" ref="CR148" ca="1" si="2096">MATCH(1,OFFSET(CQ143:CQ154,CS147,0,COUNT(CQ143:CQ154)-CS147),0)</f>
        <v>#REF!</v>
      </c>
      <c r="CS148" s="4" t="e">
        <f t="shared" ca="1" si="2021"/>
        <v>#REF!</v>
      </c>
      <c r="CT148" s="692" t="str">
        <f ca="1">IFERROR(VLOOKUP(INDEX(CP143:CP154,CS148),STM,2,FALSE),"----")</f>
        <v>----</v>
      </c>
      <c r="CU148" s="691" t="e">
        <f t="shared" ca="1" si="2022"/>
        <v>#N/A</v>
      </c>
      <c r="CV148" s="4" t="e">
        <f ca="1">IF(AND(INDEX(ELM,CU148,4)&gt;=$AB143,INDEX(ELM,CU148,5)&gt;=$S143,INDEX(ELM,CU148,6)&gt;=$R143),1,0)</f>
        <v>#N/A</v>
      </c>
      <c r="CW148" s="4" t="e">
        <f t="shared" ref="CW148" ca="1" si="2097">MATCH(1,OFFSET(CV143:CV154,CX147,0,COUNT(CV143:CV154)-CX147),0)</f>
        <v>#REF!</v>
      </c>
      <c r="CX148" s="4" t="e">
        <f t="shared" ca="1" si="2024"/>
        <v>#REF!</v>
      </c>
      <c r="CY148" s="692" t="str">
        <f ca="1">IFERROR(VLOOKUP(INDEX(CU143:CU154,CX148),ELM,2,FALSE),"----")</f>
        <v>----</v>
      </c>
      <c r="CZ148" s="691" t="e">
        <f t="shared" ca="1" si="2025"/>
        <v>#N/A</v>
      </c>
      <c r="DA148" s="4" t="e">
        <f ca="1">IF(LEFT($J143,7)="Clad Wo",IF(AND(INDEX(SPPWS,CZ148,4)&gt;=$AB143,INDEX(SPPWS,CZ148,5)&gt;=$S143,INDEX(SPPWS,CZ148,6)&gt;=$R143),1,0),IF(AND(INDEX(SPM,CZ148,4)&gt;=$AB143,INDEX(SPM,CZ148,5)&gt;=$S143,INDEX(SPM,CZ148,6)&gt;=$R143),1,0))</f>
        <v>#N/A</v>
      </c>
      <c r="DB148" s="4" t="e">
        <f t="shared" ref="DB148" ca="1" si="2098">MATCH(1,OFFSET(DA143:DA154,DC147,0,COUNT(DA143:DA154)-DC147),0)</f>
        <v>#REF!</v>
      </c>
      <c r="DC148" s="4" t="e">
        <f t="shared" ca="1" si="2027"/>
        <v>#REF!</v>
      </c>
      <c r="DD148" s="693" t="str">
        <f ca="1">IF(LEFT($J143,7)="Clad Wo",IFERROR(VLOOKUP(INDEX(CZ143:CZ154,DC148),SPPWS,2,FALSE),"----"),IFERROR(VLOOKUP(INDEX(CZ143:CZ154,DC148),SPM,2,FALSE),"----"))</f>
        <v>----</v>
      </c>
      <c r="DE148" s="691" t="e">
        <f t="shared" ca="1" si="2028"/>
        <v>#REF!</v>
      </c>
      <c r="DF148" s="4" t="e" cm="1">
        <f t="array" aca="1" ref="DF148" ca="1">IF(AND(INDEX(INDIRECT(BY143),DE148,4)&gt;=$AB149,INDEX(INDIRECT(BY143),DE148,5)&gt;=$S143,INDEX(INDIRECT(BY143),DE148,6)&gt;=$R143),1,0)</f>
        <v>#REF!</v>
      </c>
      <c r="DG148" s="4" t="e">
        <f t="shared" ref="DG148" ca="1" si="2099">MATCH(1,OFFSET(DF143:DF154,DH147,0,COUNT(DF143:DF154)-DH147),0)</f>
        <v>#REF!</v>
      </c>
      <c r="DH148" s="4" t="e">
        <f t="shared" ca="1" si="2030"/>
        <v>#REF!</v>
      </c>
      <c r="DI148" s="692" t="str" cm="1">
        <f t="array" aca="1" ref="DI148" ca="1">IFERROR(VLOOKUP(INDEX(DE143:DE154,DH148),INDIRECT(BY143),2,FALSE),"----")</f>
        <v>----</v>
      </c>
      <c r="DJ148" s="691" t="e">
        <f t="shared" ca="1" si="2031"/>
        <v>#N/A</v>
      </c>
      <c r="DK148" s="4" t="e">
        <f ca="1">IF(AND(INDEX(SSM,DJ148,4)&gt;=$AB149,INDEX(SSM,DJ148,5)&gt;=$S143,INDEX(SSM,DJ148,6)&gt;=$R143),1,0)</f>
        <v>#N/A</v>
      </c>
      <c r="DL148" s="4" t="e">
        <f t="shared" ref="DL148" ca="1" si="2100">MATCH(1,OFFSET(DK143:DK154,DM147,0,COUNT(DK143:DK154)-DM147),0)</f>
        <v>#REF!</v>
      </c>
      <c r="DM148" s="4" t="e">
        <f t="shared" ca="1" si="2033"/>
        <v>#REF!</v>
      </c>
      <c r="DN148" s="692" t="str">
        <f ca="1">IFERROR(IF(AD150="Nested Steel Stud (wood infill)",VLOOKUP(INDEX(DJ143:DJ154,DM148),SSW,2,FALSE),VLOOKUP(INDEX(DJ143:DJ154,DM148),SSM,2,FALSE)),"----")</f>
        <v>----</v>
      </c>
      <c r="DO148" s="691" t="e">
        <f t="shared" ca="1" si="2034"/>
        <v>#N/A</v>
      </c>
      <c r="DP148" s="4" t="e">
        <f ca="1">IF(AND(INDEX(WSM,DO148,4)&gt;=$AB149,INDEX(WSM,DO148,5)&gt;=$S143,INDEX(WSM,DO148,6)&gt;=$R143),1,0)</f>
        <v>#N/A</v>
      </c>
      <c r="DQ148" s="4" t="e">
        <f t="shared" ref="DQ148" ca="1" si="2101">MATCH(1,OFFSET(DP143:DP154,DR147,0,COUNT(DP143:DP154)-DR147),0)</f>
        <v>#REF!</v>
      </c>
      <c r="DR148" s="4" t="e">
        <f t="shared" ca="1" si="2036"/>
        <v>#REF!</v>
      </c>
      <c r="DS148" s="692" t="str">
        <f ca="1">IFERROR(VLOOKUP(INDEX(DO143:DO154,DR148),WSM,2,FALSE),"----")</f>
        <v>----</v>
      </c>
      <c r="DT148" s="691" t="e">
        <f t="shared" ca="1" si="2037"/>
        <v>#N/A</v>
      </c>
      <c r="DU148" s="4" t="e">
        <f ca="1">IF(AND(INDEX(STM,DT148,4)&gt;=$AB149,INDEX(STM,DT148,5)&gt;=$S143,INDEX(STM,DT148,6)&gt;=$R143),1,0)</f>
        <v>#N/A</v>
      </c>
      <c r="DV148" s="4" t="e">
        <f t="shared" ref="DV148" ca="1" si="2102">MATCH(1,OFFSET(DU143:DU154,DW147,0,COUNT(DU143:DU154)-DW147),0)</f>
        <v>#REF!</v>
      </c>
      <c r="DW148" s="4" t="e">
        <f t="shared" ca="1" si="2039"/>
        <v>#REF!</v>
      </c>
      <c r="DX148" s="692" t="str">
        <f ca="1">IFERROR(VLOOKUP(INDEX(DT143:DT154,DW148),STM,2,FALSE),"----")</f>
        <v>----</v>
      </c>
      <c r="DY148" s="691" t="e">
        <f t="shared" ca="1" si="2040"/>
        <v>#N/A</v>
      </c>
      <c r="DZ148" s="4" t="e">
        <f ca="1">IF(AND(INDEX(ELM,DY148,4)&gt;=$AB149,INDEX(ELM,DY148,5)&gt;=$S143,INDEX(ELM,DY148,6)&gt;=$R143),1,0)</f>
        <v>#N/A</v>
      </c>
      <c r="EA148" s="4" t="e">
        <f t="shared" ref="EA148" ca="1" si="2103">MATCH(1,OFFSET(DZ143:DZ154,EB147,0,COUNT(DZ143:DZ154)-EB147),0)</f>
        <v>#REF!</v>
      </c>
      <c r="EB148" s="4" t="e">
        <f t="shared" ca="1" si="2042"/>
        <v>#REF!</v>
      </c>
      <c r="EC148" s="692" t="str">
        <f ca="1">IFERROR(VLOOKUP(INDEX(DY143:DY154,EB148),ELM,2,FALSE),"----")</f>
        <v>----</v>
      </c>
      <c r="ED148" s="691" t="e">
        <f t="shared" ca="1" si="2043"/>
        <v>#N/A</v>
      </c>
      <c r="EE148" s="4" t="e">
        <f ca="1">IF(LEFT($J143,7)="Clad Wo",IF(AND(INDEX(SPPWS,ED148,4)&gt;=$AB149,INDEX(SPPWS,ED148,5)&gt;=$S143,INDEX(SPPWS,ED148,6)&gt;=$R143),1,0),IF(AND(INDEX(SPM,ED148,4)&gt;=$AB149,INDEX(SPM,ED148,5)&gt;=$S143,INDEX(SPM,ED148,6)&gt;=$R143),1,0))</f>
        <v>#N/A</v>
      </c>
      <c r="EF148" s="4" t="e">
        <f t="shared" ref="EF148" ca="1" si="2104">MATCH(1,OFFSET(EE143:EE154,EG147,0,COUNT(EE143:EE154)-EG147),0)</f>
        <v>#REF!</v>
      </c>
      <c r="EG148" s="4" t="e">
        <f t="shared" ca="1" si="2045"/>
        <v>#REF!</v>
      </c>
      <c r="EH148" s="692" t="str">
        <f ca="1">IF(LEFT($J143,7)="Clad Wo",IFERROR(VLOOKUP(INDEX(ED143:ED154,EG148),SPPWS,2,FALSE),"----"),IFERROR(VLOOKUP(INDEX(ED143:ED154,EG148),SPM,2,FALSE),"----"))</f>
        <v>----</v>
      </c>
    </row>
    <row r="149" spans="1:138" ht="15" customHeight="1" x14ac:dyDescent="0.25">
      <c r="A149" s="1085"/>
      <c r="B149" s="925" t="s">
        <v>409</v>
      </c>
      <c r="C149" s="926"/>
      <c r="D149" s="927"/>
      <c r="E149" s="995"/>
      <c r="F149" s="996"/>
      <c r="G149" s="997"/>
      <c r="H149" s="1062"/>
      <c r="I149" s="990"/>
      <c r="J149" s="908"/>
      <c r="K149" s="909"/>
      <c r="L149" s="1001">
        <f>L143+1</f>
        <v>5</v>
      </c>
      <c r="M149" s="1064" t="str">
        <f t="shared" ref="M149" si="2105">IFERROR(IF($AE$17="",IF($AG$19="Wind Loading",MIN($V$31,IF(E$11="ASCE 7-05",$U$26,$V$7)*$V$9*(IF($E$12&lt;60,0.156*LN(MAX(MIN(500,O143),10)) -1.7618,IF($E$11="ASCE 7-22", 0.2026*LN(MAX(MIN(500,O143),20))-2.2638,0.2503*LN(MAX(MIN(500,O143),20)) -2.5526))-$V$8)),$V$7*IF(E$12&lt;60,$V$13*($V$15*(0.156*LN(MAX(MIN(500,O143),10)) -1.7618)-$V$16),$V$13*$V$15*((0.2026*LN(MAX(MIN(500,O143),20))-2.2638)-$V$16))),-ABS($AE$17)),"")</f>
        <v/>
      </c>
      <c r="N149" s="1041" t="str">
        <f t="shared" ref="N149" si="2106">IFERROR(IF($AE$19="",IF($AG$19="Wind Loading",MAX($U$31,IF(E$11="ASCE 7-05",$U$26,$V$7)*$V$9*((IF($E$12&lt;60,-0.077*LN(MAX(MIN(500,O143),10))+1.1737,IF($E$11="ASCE 7-22",-0.077*LN(MAX(MIN(500,O143),20))+1.0798,-0.093*LN(MAX(MIN(500,O143),20))+1.1776)))+$V$8)),$V$7*IF(E$12&lt;60,$V$13*($V$15*(-0.077*LN(MAX(MIN(500,O143),10))+1.1737)-$V$17),$V$13*$V$15*((-0.077*LN(MAX(MIN(500,O143),20))+1.0798)-$V$17))),ABS($AE$19)),"")</f>
        <v/>
      </c>
      <c r="O149" s="1018"/>
      <c r="P149" s="987"/>
      <c r="Q149" s="1015"/>
      <c r="R149" s="1012">
        <f>P149*Q149/8</f>
        <v>0</v>
      </c>
      <c r="S149" s="1006"/>
      <c r="T149" s="1007"/>
      <c r="U149" s="878"/>
      <c r="V149" s="881"/>
      <c r="W149" s="883" t="e">
        <f t="shared" ref="W149" si="2107">MAX(-M149,N149)*O143</f>
        <v>#VALUE!</v>
      </c>
      <c r="X149" s="884"/>
      <c r="Y149" s="886">
        <f>IFERROR(IF(AG$14="Trapezoidal",BY152,BX152)+IF($E$17="4",(400*E143^3)/(48*X143),0),0)</f>
        <v>0</v>
      </c>
      <c r="Z149" s="886" t="e">
        <f t="shared" ref="Z149" si="2108">+($V143*MAX(-$M149,$N149)*$E143^2)/(144*8)+IF($E$17=4,(400*$E143)/4,0)</f>
        <v>#VALUE!</v>
      </c>
      <c r="AA149" s="887"/>
      <c r="AB149" s="1080" t="str">
        <f t="shared" ref="AB149" ca="1" si="2109">IFERROR(Z149-AA143,"")</f>
        <v/>
      </c>
      <c r="AC149" s="1086" t="str">
        <f t="shared" ref="AC149" ca="1" si="2110">IFERROR(Y149-U143,"")</f>
        <v/>
      </c>
      <c r="AD149" s="1074" t="str">
        <f t="shared" ref="AD149" si="2111">AD143</f>
        <v/>
      </c>
      <c r="AE149" s="1075"/>
      <c r="AF149" s="1056"/>
      <c r="AG149" s="1057"/>
      <c r="AH149" s="1057"/>
      <c r="AI149" s="1088"/>
      <c r="AJ149" s="1089"/>
      <c r="AK149" s="162" t="str">
        <f t="shared" ca="1" si="1130"/>
        <v/>
      </c>
      <c r="AL149" s="1058" t="str">
        <f t="shared" ref="AL149" si="2112">IFERROR(ROUND(SQRT(P143^2+(W149/2+IF($E$17=4,200,0))^2),0),"")</f>
        <v/>
      </c>
      <c r="AM149" s="342" t="s">
        <v>669</v>
      </c>
      <c r="AN149" t="str">
        <f t="shared" ca="1" si="1154"/>
        <v/>
      </c>
      <c r="AP149" s="122" t="str">
        <f t="shared" ref="AP149" si="2113">_xlfn.CONCAT(AR149,AS154)</f>
        <v/>
      </c>
      <c r="AQ149" s="683" t="str">
        <f t="shared" si="1353"/>
        <v/>
      </c>
      <c r="AR149" s="96" t="str">
        <f t="shared" si="1114"/>
        <v/>
      </c>
      <c r="AS149" s="96" t="str">
        <f>IF(COUNTIF(imp_1,AF149)=1,"imp_1",IF(COUNTIF(imp_2,AF149)=1,"imp_2",IF(COUNTIF(imp_3,AF149)=1,"imp_3",IF(COUNTIF(impdoor,AF149)=1,"impdoor",""))))</f>
        <v/>
      </c>
      <c r="AT149" s="684" t="str">
        <f>AL149</f>
        <v/>
      </c>
      <c r="AU149" s="685" t="e">
        <f t="shared" ca="1" si="1370"/>
        <v>#REF!</v>
      </c>
      <c r="AV149" s="686" t="str">
        <f ca="1">IFERROR(VLOOKUP(AU149,INDIRECT(AQ143),2,FALSE),"----")</f>
        <v>----</v>
      </c>
      <c r="AW149" s="685" t="e">
        <f t="shared" ca="1" si="1371"/>
        <v>#REF!</v>
      </c>
      <c r="AX149" s="686" t="str">
        <f ca="1">IFERROR(VLOOKUP(AW149,INDIRECT(AQ144),2,FALSE),"----")</f>
        <v>----</v>
      </c>
      <c r="AY149" s="685" t="e">
        <f t="shared" ca="1" si="2091"/>
        <v>#REF!</v>
      </c>
      <c r="AZ149" s="686" t="str">
        <f ca="1">IFERROR(VLOOKUP(AY149,INDIRECT(AQ145),2,FALSE),"----")</f>
        <v>----</v>
      </c>
      <c r="BA149" s="685" t="e">
        <f t="shared" ca="1" si="2092"/>
        <v>#REF!</v>
      </c>
      <c r="BB149" s="686" t="str">
        <f ca="1">IFERROR(VLOOKUP(BA149,INDIRECT(AQ146),2,FALSE),"----")</f>
        <v>----</v>
      </c>
      <c r="BC149" s="685" t="e">
        <f t="shared" ca="1" si="1374"/>
        <v>#REF!</v>
      </c>
      <c r="BD149" s="686" t="str">
        <f ca="1">IFERROR(VLOOKUP(BC149,INDIRECT(AQ147),2,FALSE),"----")</f>
        <v>----</v>
      </c>
      <c r="BE149" s="685" t="e">
        <f t="shared" ca="1" si="1375"/>
        <v>#REF!</v>
      </c>
      <c r="BF149" s="686" t="str">
        <f ca="1">IFERROR(VLOOKUP(BE149,INDIRECT(AQ148),2,FALSE),"----")</f>
        <v>----</v>
      </c>
      <c r="BG149" s="702" t="e">
        <f t="shared" ca="1" si="1376"/>
        <v>#REF!</v>
      </c>
      <c r="BH149" s="686" t="str">
        <f ca="1">IFERROR(VLOOKUP(BG149,INDIRECT(AQ149),2,FALSE),"----")</f>
        <v>----</v>
      </c>
      <c r="BI149" s="702" t="e">
        <f t="shared" ca="1" si="1377"/>
        <v>#REF!</v>
      </c>
      <c r="BJ149" s="686" t="str">
        <f ca="1">IFERROR(VLOOKUP(BI149,INDIRECT(AQ150),2,FALSE),"----")</f>
        <v>----</v>
      </c>
      <c r="BK149" s="702" t="e">
        <f t="shared" ca="1" si="1378"/>
        <v>#REF!</v>
      </c>
      <c r="BL149" s="686" t="str">
        <f ca="1">IFERROR(VLOOKUP(BK149,INDIRECT(AQ151),2,FALSE),"----")</f>
        <v>----</v>
      </c>
      <c r="BM149" s="702" t="e">
        <f t="shared" ca="1" si="1379"/>
        <v>#REF!</v>
      </c>
      <c r="BN149" s="686" t="str">
        <f ca="1">IFERROR(VLOOKUP(BM149,INDIRECT(AQ152),2,FALSE),"----")</f>
        <v>----</v>
      </c>
      <c r="BO149" s="702" t="e">
        <f t="shared" ca="1" si="1380"/>
        <v>#REF!</v>
      </c>
      <c r="BP149" s="686" t="str">
        <f ca="1">IFERROR(VLOOKUP(BO149,INDIRECT(AQ153),2,FALSE),"----")</f>
        <v>----</v>
      </c>
      <c r="BQ149" s="702" t="e">
        <f t="shared" ca="1" si="1381"/>
        <v>#REF!</v>
      </c>
      <c r="BR149" s="686" t="str">
        <f ca="1">IFERROR(VLOOKUP(BQ149,INDIRECT(AQ154),2,FALSE),"----")</f>
        <v>----</v>
      </c>
      <c r="BS149" s="695">
        <f>IF(AI149="",1,IF(COUNTIF(BH143:BH154,AI149)=0,2,1))</f>
        <v>1</v>
      </c>
      <c r="BT149" s="696">
        <f>IF(AP149="1",1,IF(AF149="",1,IF(BH143=".",2,1)))</f>
        <v>1</v>
      </c>
      <c r="BU149" s="706"/>
      <c r="BV149" s="155">
        <f ca="1">IF(COUNTIF(DI143:DI154,AF149)=0,IF(AF149&lt;&gt;"",0,1),1)</f>
        <v>1</v>
      </c>
      <c r="BW149" s="157">
        <f ca="1">IFERROR(MATCH(AF149,DI143:DI154,0),1)</f>
        <v>1</v>
      </c>
      <c r="BX149" s="769" t="s">
        <v>1593</v>
      </c>
      <c r="BY149" s="769" t="s">
        <v>1629</v>
      </c>
      <c r="BZ149" s="1110"/>
      <c r="CA149" s="691" t="e">
        <f t="shared" ca="1" si="2010"/>
        <v>#REF!</v>
      </c>
      <c r="CB149" s="4" t="e" cm="1">
        <f t="array" aca="1" ref="CB149" ca="1">IF(AND(INDEX(INDIRECT(BY143),CA149,4)&gt;=$AB143,INDEX(INDIRECT(BY143),CA149,5)&gt;=$S143,INDEX(INDIRECT(BY143),CA149,6)&gt;=$R143),1,0)</f>
        <v>#REF!</v>
      </c>
      <c r="CC149" s="4" t="e">
        <f t="shared" ref="CC149" ca="1" si="2114">MATCH(1,OFFSET(CB143:CB154,CD148,0,COUNT(CB143:CB154)-CD148),0)</f>
        <v>#REF!</v>
      </c>
      <c r="CD149" s="4" t="e">
        <f t="shared" ca="1" si="2012"/>
        <v>#REF!</v>
      </c>
      <c r="CE149" s="692" t="str" cm="1">
        <f t="array" aca="1" ref="CE149" ca="1">IFERROR(VLOOKUP(INDEX(CA143:CA154,CD149),INDIRECT(BY143),2,FALSE),"----")</f>
        <v>----</v>
      </c>
      <c r="CF149" s="691" t="e">
        <f t="shared" ca="1" si="2013"/>
        <v>#N/A</v>
      </c>
      <c r="CG149" s="4" t="e">
        <f ca="1">IF(AND(INDEX(SSM,CF149,4)&gt;=$AB143,INDEX(SSM,CF149,5)&gt;=$S143,INDEX(SSM,CF149,6)&gt;=$R143),1,0)</f>
        <v>#N/A</v>
      </c>
      <c r="CH149" s="4" t="e">
        <f t="shared" ref="CH149" ca="1" si="2115">MATCH(1,OFFSET(CG143:CG154,CI148,0,COUNT(CG143:CG154)-CI148),0)</f>
        <v>#REF!</v>
      </c>
      <c r="CI149" s="4" t="e">
        <f t="shared" ca="1" si="2015"/>
        <v>#REF!</v>
      </c>
      <c r="CJ149" s="692" t="str">
        <f ca="1">IFERROR(IF(AD144="Nested Steel Stud (wood infill)",VLOOKUP(INDEX(CF143:CF154,CI149),SSW,2,FALSE),VLOOKUP(INDEX(CF143:CF154,CI149),SSM,2,FALSE)),"----")</f>
        <v>----</v>
      </c>
      <c r="CK149" s="691" t="e">
        <f t="shared" ca="1" si="2016"/>
        <v>#N/A</v>
      </c>
      <c r="CL149" s="4" t="e">
        <f ca="1">IF(AND(INDEX(WSM,CK149,4)&gt;=$AB143,INDEX(WSM,CK149,5)&gt;=$S143,INDEX(WSM,CK149,6)&gt;=$R143),1,0)</f>
        <v>#N/A</v>
      </c>
      <c r="CM149" s="4" t="e">
        <f t="shared" ref="CM149" ca="1" si="2116">MATCH(1,OFFSET(CL143:CL154,CN148,0,COUNT(CL143:CL154)-CN148),0)</f>
        <v>#REF!</v>
      </c>
      <c r="CN149" s="4" t="e">
        <f t="shared" ca="1" si="2018"/>
        <v>#REF!</v>
      </c>
      <c r="CO149" s="692" t="str">
        <f ca="1">IFERROR(VLOOKUP(INDEX(CK143:CK154,CN149),WSM,2,FALSE),"----")</f>
        <v>----</v>
      </c>
      <c r="CP149" s="691" t="e">
        <f t="shared" ca="1" si="2019"/>
        <v>#N/A</v>
      </c>
      <c r="CQ149" s="4" t="e">
        <f ca="1">IF(AND(INDEX(STM,CP149,4)&gt;=$AB143,INDEX(STM,CP149,5)&gt;=$S143,INDEX(STM,CP149,6)&gt;=$R143),1,0)</f>
        <v>#N/A</v>
      </c>
      <c r="CR149" s="4" t="e">
        <f t="shared" ref="CR149" ca="1" si="2117">MATCH(1,OFFSET(CQ143:CQ154,CS148,0,COUNT(CQ143:CQ154)-CS148),0)</f>
        <v>#REF!</v>
      </c>
      <c r="CS149" s="4" t="e">
        <f t="shared" ca="1" si="2021"/>
        <v>#REF!</v>
      </c>
      <c r="CT149" s="692" t="str">
        <f ca="1">IFERROR(VLOOKUP(INDEX(CP143:CP154,CS149),STM,2,FALSE),"----")</f>
        <v>----</v>
      </c>
      <c r="CU149" s="691" t="e">
        <f t="shared" ca="1" si="2022"/>
        <v>#N/A</v>
      </c>
      <c r="CV149" s="4" t="e">
        <f ca="1">IF(AND(INDEX(ELM,CU149,4)&gt;=$AB143,INDEX(ELM,CU149,5)&gt;=$S143,INDEX(ELM,CU149,6)&gt;=$R143),1,0)</f>
        <v>#N/A</v>
      </c>
      <c r="CW149" s="4" t="e">
        <f t="shared" ref="CW149" ca="1" si="2118">MATCH(1,OFFSET(CV143:CV154,CX148,0,COUNT(CV143:CV154)-CX148),0)</f>
        <v>#REF!</v>
      </c>
      <c r="CX149" s="4" t="e">
        <f t="shared" ca="1" si="2024"/>
        <v>#REF!</v>
      </c>
      <c r="CY149" s="692" t="str">
        <f ca="1">IFERROR(VLOOKUP(INDEX(CU143:CU154,CX149),ELM,2,FALSE),"----")</f>
        <v>----</v>
      </c>
      <c r="CZ149" s="691" t="e">
        <f t="shared" ca="1" si="2025"/>
        <v>#N/A</v>
      </c>
      <c r="DA149" s="4" t="e">
        <f ca="1">IF(LEFT($J143,7)="Clad Wo",IF(AND(INDEX(SPPWS,CZ149,4)&gt;=$AB143,INDEX(SPPWS,CZ149,5)&gt;=$S143,INDEX(SPPWS,CZ149,6)&gt;=$R143),1,0),IF(AND(INDEX(SPM,CZ149,4)&gt;=$AB143,INDEX(SPM,CZ149,5)&gt;=$S143,INDEX(SPM,CZ149,6)&gt;=$R143),1,0))</f>
        <v>#N/A</v>
      </c>
      <c r="DB149" s="4" t="e">
        <f t="shared" ref="DB149" ca="1" si="2119">MATCH(1,OFFSET(DA143:DA154,DC148,0,COUNT(DA143:DA154)-DC148),0)</f>
        <v>#REF!</v>
      </c>
      <c r="DC149" s="4" t="e">
        <f t="shared" ca="1" si="2027"/>
        <v>#REF!</v>
      </c>
      <c r="DD149" s="693" t="str">
        <f ca="1">IF(LEFT($J143,7)="Clad Wo",IFERROR(VLOOKUP(INDEX(CZ143:CZ154,DC149),SPPWS,2,FALSE),"----"),IFERROR(VLOOKUP(INDEX(CZ143:CZ154,DC149),SPM,2,FALSE),"----"))</f>
        <v>----</v>
      </c>
      <c r="DE149" s="691" t="e">
        <f t="shared" ca="1" si="2028"/>
        <v>#REF!</v>
      </c>
      <c r="DF149" s="4" t="e" cm="1">
        <f t="array" aca="1" ref="DF149" ca="1">IF(AND(INDEX(INDIRECT(BY143),DE149,4)&gt;=$AB149,INDEX(INDIRECT(BY143),DE149,5)&gt;=$S143,INDEX(INDIRECT(BY143),DE149,6)&gt;=$R143),1,0)</f>
        <v>#REF!</v>
      </c>
      <c r="DG149" s="4" t="e">
        <f t="shared" ref="DG149" ca="1" si="2120">MATCH(1,OFFSET(DF143:DF154,DH148,0,COUNT(DF143:DF154)-DH148),0)</f>
        <v>#REF!</v>
      </c>
      <c r="DH149" s="4" t="e">
        <f t="shared" ca="1" si="2030"/>
        <v>#REF!</v>
      </c>
      <c r="DI149" s="692" t="str" cm="1">
        <f t="array" aca="1" ref="DI149" ca="1">IFERROR(VLOOKUP(INDEX(DE143:DE154,DH149),INDIRECT(BY143),2,FALSE),"----")</f>
        <v>----</v>
      </c>
      <c r="DJ149" s="691" t="e">
        <f t="shared" ca="1" si="2031"/>
        <v>#N/A</v>
      </c>
      <c r="DK149" s="4" t="e">
        <f ca="1">IF(AND(INDEX(SSM,DJ149,4)&gt;=$AB149,INDEX(SSM,DJ149,5)&gt;=$S143,INDEX(SSM,DJ149,6)&gt;=$R143),1,0)</f>
        <v>#N/A</v>
      </c>
      <c r="DL149" s="4" t="e">
        <f t="shared" ref="DL149" ca="1" si="2121">MATCH(1,OFFSET(DK143:DK154,DM148,0,COUNT(DK143:DK154)-DM148),0)</f>
        <v>#REF!</v>
      </c>
      <c r="DM149" s="4" t="e">
        <f t="shared" ca="1" si="2033"/>
        <v>#REF!</v>
      </c>
      <c r="DN149" s="692" t="str">
        <f ca="1">IFERROR(IF(AD150="Nested Steel Stud (wood infill)",VLOOKUP(INDEX(DJ143:DJ154,DM149),SSW,2,FALSE),VLOOKUP(INDEX(DJ143:DJ154,DM149),SSM,2,FALSE)),"----")</f>
        <v>----</v>
      </c>
      <c r="DO149" s="691" t="e">
        <f t="shared" ca="1" si="2034"/>
        <v>#N/A</v>
      </c>
      <c r="DP149" s="4" t="e">
        <f ca="1">IF(AND(INDEX(WSM,DO149,4)&gt;=$AB149,INDEX(WSM,DO149,5)&gt;=$S143,INDEX(WSM,DO149,6)&gt;=$R143),1,0)</f>
        <v>#N/A</v>
      </c>
      <c r="DQ149" s="4" t="e">
        <f t="shared" ref="DQ149" ca="1" si="2122">MATCH(1,OFFSET(DP143:DP154,DR148,0,COUNT(DP143:DP154)-DR148),0)</f>
        <v>#REF!</v>
      </c>
      <c r="DR149" s="4" t="e">
        <f t="shared" ca="1" si="2036"/>
        <v>#REF!</v>
      </c>
      <c r="DS149" s="692" t="str">
        <f ca="1">IFERROR(VLOOKUP(INDEX(DO143:DO154,DR149),WSM,2,FALSE),"----")</f>
        <v>----</v>
      </c>
      <c r="DT149" s="691" t="e">
        <f t="shared" ca="1" si="2037"/>
        <v>#N/A</v>
      </c>
      <c r="DU149" s="4" t="e">
        <f ca="1">IF(AND(INDEX(STM,DT149,4)&gt;=$AB149,INDEX(STM,DT149,5)&gt;=$S143,INDEX(STM,DT149,6)&gt;=$R143),1,0)</f>
        <v>#N/A</v>
      </c>
      <c r="DV149" s="4" t="e">
        <f t="shared" ref="DV149" ca="1" si="2123">MATCH(1,OFFSET(DU143:DU154,DW148,0,COUNT(DU143:DU154)-DW148),0)</f>
        <v>#REF!</v>
      </c>
      <c r="DW149" s="4" t="e">
        <f t="shared" ca="1" si="2039"/>
        <v>#REF!</v>
      </c>
      <c r="DX149" s="692" t="str">
        <f ca="1">IFERROR(VLOOKUP(INDEX(DT143:DT154,DW149),STM,2,FALSE),"----")</f>
        <v>----</v>
      </c>
      <c r="DY149" s="691" t="e">
        <f t="shared" ca="1" si="2040"/>
        <v>#N/A</v>
      </c>
      <c r="DZ149" s="4" t="e">
        <f ca="1">IF(AND(INDEX(ELM,DY149,4)&gt;=$AB149,INDEX(ELM,DY149,5)&gt;=$S143,INDEX(ELM,DY149,6)&gt;=$R143),1,0)</f>
        <v>#N/A</v>
      </c>
      <c r="EA149" s="4" t="e">
        <f t="shared" ref="EA149" ca="1" si="2124">MATCH(1,OFFSET(DZ143:DZ154,EB148,0,COUNT(DZ143:DZ154)-EB148),0)</f>
        <v>#REF!</v>
      </c>
      <c r="EB149" s="4" t="e">
        <f t="shared" ca="1" si="2042"/>
        <v>#REF!</v>
      </c>
      <c r="EC149" s="692" t="str">
        <f ca="1">IFERROR(VLOOKUP(INDEX(DY143:DY154,EB149),ELM,2,FALSE),"----")</f>
        <v>----</v>
      </c>
      <c r="ED149" s="691" t="e">
        <f t="shared" ca="1" si="2043"/>
        <v>#N/A</v>
      </c>
      <c r="EE149" s="4" t="e">
        <f ca="1">IF(LEFT($J143,7)="Clad Wo",IF(AND(INDEX(SPPWS,ED149,4)&gt;=$AB149,INDEX(SPPWS,ED149,5)&gt;=$S143,INDEX(SPPWS,ED149,6)&gt;=$R143),1,0),IF(AND(INDEX(SPM,ED149,4)&gt;=$AB149,INDEX(SPM,ED149,5)&gt;=$S143,INDEX(SPM,ED149,6)&gt;=$R143),1,0))</f>
        <v>#N/A</v>
      </c>
      <c r="EF149" s="4" t="e">
        <f t="shared" ref="EF149" ca="1" si="2125">MATCH(1,OFFSET(EE143:EE154,EG148,0,COUNT(EE143:EE154)-EG148),0)</f>
        <v>#REF!</v>
      </c>
      <c r="EG149" s="4" t="e">
        <f t="shared" ca="1" si="2045"/>
        <v>#REF!</v>
      </c>
      <c r="EH149" s="692" t="str">
        <f ca="1">IF(LEFT($J143,7)="Clad Wo",IFERROR(VLOOKUP(INDEX(ED143:ED154,EG149),SPPWS,2,FALSE),"----"),IFERROR(VLOOKUP(INDEX(ED143:ED154,EG149),SPM,2,FALSE),"----"))</f>
        <v>----</v>
      </c>
    </row>
    <row r="150" spans="1:138" ht="15" customHeight="1" x14ac:dyDescent="0.25">
      <c r="A150" s="1085"/>
      <c r="B150" s="925"/>
      <c r="C150" s="926"/>
      <c r="D150" s="927"/>
      <c r="E150" s="995"/>
      <c r="F150" s="996"/>
      <c r="G150" s="997"/>
      <c r="H150" s="1062"/>
      <c r="I150" s="990"/>
      <c r="J150" s="912"/>
      <c r="K150" s="913"/>
      <c r="L150" s="1002"/>
      <c r="M150" s="923"/>
      <c r="N150" s="1042"/>
      <c r="O150" s="1018"/>
      <c r="P150" s="987"/>
      <c r="Q150" s="1015"/>
      <c r="R150" s="1012"/>
      <c r="S150" s="1006"/>
      <c r="T150" s="1007"/>
      <c r="U150" s="878"/>
      <c r="V150" s="881"/>
      <c r="W150" s="884"/>
      <c r="X150" s="884"/>
      <c r="Y150" s="887"/>
      <c r="Z150" s="887"/>
      <c r="AA150" s="887"/>
      <c r="AB150" s="1081"/>
      <c r="AC150" s="1078"/>
      <c r="AD150" s="1070" t="str">
        <f t="shared" ref="AD150" si="2126">IF(ISBLANK(AD144)=TRUE,"",AD144)</f>
        <v>Nested Steel Stud</v>
      </c>
      <c r="AE150" s="1071"/>
      <c r="AF150" s="1052"/>
      <c r="AG150" s="1053"/>
      <c r="AH150" s="1053"/>
      <c r="AI150" s="1066"/>
      <c r="AJ150" s="1067"/>
      <c r="AK150" s="156" t="str">
        <f t="shared" ca="1" si="1130"/>
        <v/>
      </c>
      <c r="AL150" s="1059"/>
      <c r="AM150" s="343" t="str">
        <f ca="1">IFERROR(Q143/12*ROUND(VLOOKUP(AF150,OFFSET(SSM,0,1),6,FALSE),2),"")</f>
        <v/>
      </c>
      <c r="AN150" t="str">
        <f t="shared" ca="1" si="1154"/>
        <v/>
      </c>
      <c r="AP150" s="122" t="str">
        <f t="shared" ref="AP150" si="2127">_xlfn.CONCAT(AR150,AS154)</f>
        <v/>
      </c>
      <c r="AQ150" s="683" t="str">
        <f t="shared" si="1353"/>
        <v/>
      </c>
      <c r="AR150" s="96" t="str">
        <f t="shared" si="1114"/>
        <v/>
      </c>
      <c r="AS150" s="96" t="str">
        <f>IF(COUNTIF(Vista_1,AF149)=1,"Vista_1",IF(COUNTIF(Vista_2,AF149)=1,"Vista_2",""))</f>
        <v/>
      </c>
      <c r="AT150" s="684" t="str">
        <f>AL149</f>
        <v/>
      </c>
      <c r="AU150" s="694" t="e">
        <f t="shared" ca="1" si="1370"/>
        <v>#REF!</v>
      </c>
      <c r="AV150" s="686" t="str">
        <f ca="1">IFERROR(VLOOKUP(AU150,INDIRECT(AQ143),2,FALSE),"----")</f>
        <v>----</v>
      </c>
      <c r="AW150" s="694" t="e">
        <f t="shared" ca="1" si="1371"/>
        <v>#REF!</v>
      </c>
      <c r="AX150" s="686" t="str">
        <f ca="1">IFERROR(VLOOKUP(AW150,INDIRECT(AQ144),2,FALSE),"----")</f>
        <v>----</v>
      </c>
      <c r="AY150" s="694" t="e">
        <f t="shared" ca="1" si="2091"/>
        <v>#REF!</v>
      </c>
      <c r="AZ150" s="686" t="str">
        <f ca="1">IFERROR(VLOOKUP(AY150,INDIRECT(AQ145),2,FALSE),"----")</f>
        <v>----</v>
      </c>
      <c r="BA150" s="694" t="e">
        <f t="shared" ca="1" si="2092"/>
        <v>#REF!</v>
      </c>
      <c r="BB150" s="686" t="str">
        <f ca="1">IFERROR(VLOOKUP(BA150,INDIRECT(AQ146),2,FALSE),"----")</f>
        <v>----</v>
      </c>
      <c r="BC150" s="694" t="e">
        <f t="shared" ca="1" si="1374"/>
        <v>#REF!</v>
      </c>
      <c r="BD150" s="686" t="str">
        <f ca="1">IFERROR(VLOOKUP(BC150,INDIRECT(AQ147),2,FALSE),"----")</f>
        <v>----</v>
      </c>
      <c r="BE150" s="694" t="e">
        <f t="shared" ca="1" si="1375"/>
        <v>#REF!</v>
      </c>
      <c r="BF150" s="686" t="str">
        <f ca="1">IFERROR(VLOOKUP(BE150,INDIRECT(AQ148),2,FALSE),"----")</f>
        <v>----</v>
      </c>
      <c r="BG150" s="702" t="e">
        <f t="shared" ca="1" si="1376"/>
        <v>#REF!</v>
      </c>
      <c r="BH150" s="686" t="str">
        <f ca="1">IFERROR(VLOOKUP(BG150,INDIRECT(AQ149),2,FALSE),"----")</f>
        <v>----</v>
      </c>
      <c r="BI150" s="702" t="e">
        <f t="shared" ca="1" si="1377"/>
        <v>#REF!</v>
      </c>
      <c r="BJ150" s="686" t="str">
        <f ca="1">IFERROR(VLOOKUP(BI150,INDIRECT(AQ150),2,FALSE),"----")</f>
        <v>----</v>
      </c>
      <c r="BK150" s="702" t="e">
        <f t="shared" ca="1" si="1378"/>
        <v>#REF!</v>
      </c>
      <c r="BL150" s="686" t="str">
        <f ca="1">IFERROR(VLOOKUP(BK150,INDIRECT(AQ151),2,FALSE),"----")</f>
        <v>----</v>
      </c>
      <c r="BM150" s="702" t="e">
        <f t="shared" ca="1" si="1379"/>
        <v>#REF!</v>
      </c>
      <c r="BN150" s="686" t="str">
        <f ca="1">IFERROR(VLOOKUP(BM150,INDIRECT(AQ152),2,FALSE),"----")</f>
        <v>----</v>
      </c>
      <c r="BO150" s="702" t="e">
        <f t="shared" ca="1" si="1380"/>
        <v>#REF!</v>
      </c>
      <c r="BP150" s="686" t="str">
        <f ca="1">IFERROR(VLOOKUP(BO150,INDIRECT(AQ153),2,FALSE),"----")</f>
        <v>----</v>
      </c>
      <c r="BQ150" s="702" t="e">
        <f t="shared" ca="1" si="1381"/>
        <v>#REF!</v>
      </c>
      <c r="BR150" s="686" t="str">
        <f ca="1">IFERROR(VLOOKUP(BQ150,INDIRECT(AQ154),2,FALSE),"----")</f>
        <v>----</v>
      </c>
      <c r="BS150" s="695">
        <f>IF(AI150="",1,IF(COUNTIF(BJ143:BJ154,AI150)=0,2,1))</f>
        <v>1</v>
      </c>
      <c r="BT150" s="696">
        <f>IF(AF150="",1,IF(BJ143=".",2,1))</f>
        <v>1</v>
      </c>
      <c r="BU150" s="706"/>
      <c r="BV150" s="155">
        <f ca="1">IF(COUNTIF(DN143:DN154,AF150)=0,IF(AF150&lt;&gt;"",0,1),1)</f>
        <v>1</v>
      </c>
      <c r="BW150" s="157">
        <f ca="1">IFERROR(MATCH(AF150,DN143:DN154,0),1)</f>
        <v>1</v>
      </c>
      <c r="BX150" s="769">
        <f t="shared" ref="BX150" si="2128">E143*(H143+I143)/144/2</f>
        <v>0</v>
      </c>
      <c r="BY150" s="769">
        <f>SUM(IF(H143&gt;E143,E143^2/4,(H143*E143/2)-(H143^2/4))/144,IF(I143&gt;E143,E143^2/4,(I143*E143/2)-(I143^2/4))/144)</f>
        <v>0</v>
      </c>
      <c r="BZ150" s="1110"/>
      <c r="CA150" s="691" t="e">
        <f t="shared" ca="1" si="2010"/>
        <v>#REF!</v>
      </c>
      <c r="CB150" s="4" t="e" cm="1">
        <f t="array" aca="1" ref="CB150" ca="1">IF(AND(INDEX(INDIRECT(BY143),CA150,4)&gt;=$AB143,INDEX(INDIRECT(BY143),CA150,5)&gt;=$S143,INDEX(INDIRECT(BY143),CA150,6)&gt;=$R143),1,0)</f>
        <v>#REF!</v>
      </c>
      <c r="CC150" s="4" t="e">
        <f t="shared" ref="CC150" ca="1" si="2129">MATCH(1,OFFSET(CB143:CB154,CD149,0,COUNT(CB143:CB154)-CD149),0)</f>
        <v>#REF!</v>
      </c>
      <c r="CD150" s="4" t="e">
        <f t="shared" ca="1" si="2012"/>
        <v>#REF!</v>
      </c>
      <c r="CE150" s="692" t="str" cm="1">
        <f t="array" aca="1" ref="CE150" ca="1">IFERROR(VLOOKUP(INDEX(CA143:CA154,CD150),INDIRECT(BY143),2,FALSE),"----")</f>
        <v>----</v>
      </c>
      <c r="CF150" s="691" t="e">
        <f t="shared" ca="1" si="2013"/>
        <v>#N/A</v>
      </c>
      <c r="CG150" s="4" t="e">
        <f ca="1">IF(AND(INDEX(SSM,CF150,4)&gt;=$AB143,INDEX(SSM,CF150,5)&gt;=$S143,INDEX(SSM,CF150,6)&gt;=$R143),1,0)</f>
        <v>#N/A</v>
      </c>
      <c r="CH150" s="4" t="e">
        <f t="shared" ref="CH150" ca="1" si="2130">MATCH(1,OFFSET(CG143:CG154,CI149,0,COUNT(CG143:CG154)-CI149),0)</f>
        <v>#REF!</v>
      </c>
      <c r="CI150" s="4" t="e">
        <f t="shared" ca="1" si="2015"/>
        <v>#REF!</v>
      </c>
      <c r="CJ150" s="692" t="str">
        <f ca="1">IFERROR(IF(AD144="Nested Steel Stud (wood infill)",VLOOKUP(INDEX(CF143:CF154,CI150),SSW,2,FALSE),VLOOKUP(INDEX(CF143:CF154,CI150),SSM,2,FALSE)),"----")</f>
        <v>----</v>
      </c>
      <c r="CK150" s="691" t="e">
        <f t="shared" ca="1" si="2016"/>
        <v>#N/A</v>
      </c>
      <c r="CL150" s="4" t="e">
        <f ca="1">IF(AND(INDEX(WSM,CK150,4)&gt;=$AB143,INDEX(WSM,CK150,5)&gt;=$S143,INDEX(WSM,CK150,6)&gt;=$R143),1,0)</f>
        <v>#N/A</v>
      </c>
      <c r="CM150" s="4" t="e">
        <f t="shared" ref="CM150" ca="1" si="2131">MATCH(1,OFFSET(CL143:CL154,CN149,0,COUNT(CL143:CL154)-CN149),0)</f>
        <v>#REF!</v>
      </c>
      <c r="CN150" s="4" t="e">
        <f t="shared" ca="1" si="2018"/>
        <v>#REF!</v>
      </c>
      <c r="CO150" s="692" t="str">
        <f ca="1">IFERROR(VLOOKUP(INDEX(CK143:CK154,CN150),WSM,2,FALSE),"----")</f>
        <v>----</v>
      </c>
      <c r="CP150" s="691" t="e">
        <f t="shared" ca="1" si="2019"/>
        <v>#N/A</v>
      </c>
      <c r="CQ150" s="4" t="e">
        <f ca="1">IF(AND(INDEX(STM,CP150,4)&gt;=$AB143,INDEX(STM,CP150,5)&gt;=$S143,INDEX(STM,CP150,6)&gt;=$R143),1,0)</f>
        <v>#N/A</v>
      </c>
      <c r="CR150" s="4" t="e">
        <f t="shared" ref="CR150" ca="1" si="2132">MATCH(1,OFFSET(CQ143:CQ154,CS149,0,COUNT(CQ143:CQ154)-CS149),0)</f>
        <v>#REF!</v>
      </c>
      <c r="CS150" s="4" t="e">
        <f t="shared" ca="1" si="2021"/>
        <v>#REF!</v>
      </c>
      <c r="CT150" s="692" t="str">
        <f ca="1">IFERROR(VLOOKUP(INDEX(CP143:CP154,CS150),STM,2,FALSE),"----")</f>
        <v>----</v>
      </c>
      <c r="CU150" s="691" t="e">
        <f t="shared" ca="1" si="2022"/>
        <v>#N/A</v>
      </c>
      <c r="CV150" s="4" t="e">
        <f ca="1">IF(AND(INDEX(ELM,CU150,4)&gt;=$AB143,INDEX(ELM,CU150,5)&gt;=$S143,INDEX(ELM,CU150,6)&gt;=$R143),1,0)</f>
        <v>#N/A</v>
      </c>
      <c r="CW150" s="4" t="e">
        <f t="shared" ref="CW150" ca="1" si="2133">MATCH(1,OFFSET(CV143:CV154,CX149,0,COUNT(CV143:CV154)-CX149),0)</f>
        <v>#REF!</v>
      </c>
      <c r="CX150" s="4" t="e">
        <f t="shared" ca="1" si="2024"/>
        <v>#REF!</v>
      </c>
      <c r="CY150" s="692" t="str">
        <f ca="1">IFERROR(VLOOKUP(INDEX(CU143:CU154,CX150),ELM,2,FALSE),"----")</f>
        <v>----</v>
      </c>
      <c r="CZ150" s="691" t="e">
        <f t="shared" ca="1" si="2025"/>
        <v>#N/A</v>
      </c>
      <c r="DA150" s="4" t="e">
        <f ca="1">IF(LEFT($J143,7)="Clad Wo",IF(AND(INDEX(SPPWS,CZ150,4)&gt;=$AB143,INDEX(SPPWS,CZ150,5)&gt;=$S143,INDEX(SPPWS,CZ150,6)&gt;=$R143),1,0),IF(AND(INDEX(SPM,CZ150,4)&gt;=$AB143,INDEX(SPM,CZ150,5)&gt;=$S143,INDEX(SPM,CZ150,6)&gt;=$R143),1,0))</f>
        <v>#N/A</v>
      </c>
      <c r="DB150" s="4" t="e">
        <f t="shared" ref="DB150" ca="1" si="2134">MATCH(1,OFFSET(DA143:DA154,DC149,0,COUNT(DA143:DA154)-DC149),0)</f>
        <v>#REF!</v>
      </c>
      <c r="DC150" s="4" t="e">
        <f t="shared" ca="1" si="2027"/>
        <v>#REF!</v>
      </c>
      <c r="DD150" s="693" t="str">
        <f ca="1">IF(LEFT($J143,7)="Clad Wo",IFERROR(VLOOKUP(INDEX(CZ143:CZ154,DC150),SPPWS,2,FALSE),"----"),IFERROR(VLOOKUP(INDEX(CZ143:CZ154,DC150),SPM,2,FALSE),"----"))</f>
        <v>----</v>
      </c>
      <c r="DE150" s="691" t="e">
        <f t="shared" ca="1" si="2028"/>
        <v>#REF!</v>
      </c>
      <c r="DF150" s="4" t="e" cm="1">
        <f t="array" aca="1" ref="DF150" ca="1">IF(AND(INDEX(INDIRECT(BY143),DE150,4)&gt;=$AB149,INDEX(INDIRECT(BY143),DE150,5)&gt;=$S143,INDEX(INDIRECT(BY143),DE150,6)&gt;=$R143),1,0)</f>
        <v>#REF!</v>
      </c>
      <c r="DG150" s="4" t="e">
        <f t="shared" ref="DG150" ca="1" si="2135">MATCH(1,OFFSET(DF143:DF154,DH149,0,COUNT(DF143:DF154)-DH149),0)</f>
        <v>#REF!</v>
      </c>
      <c r="DH150" s="4" t="e">
        <f t="shared" ca="1" si="2030"/>
        <v>#REF!</v>
      </c>
      <c r="DI150" s="692" t="str" cm="1">
        <f t="array" aca="1" ref="DI150" ca="1">IFERROR(VLOOKUP(INDEX(DE143:DE154,DH150),INDIRECT(BY143),2,FALSE),"----")</f>
        <v>----</v>
      </c>
      <c r="DJ150" s="691" t="e">
        <f t="shared" ca="1" si="2031"/>
        <v>#N/A</v>
      </c>
      <c r="DK150" s="4" t="e">
        <f ca="1">IF(AND(INDEX(SSM,DJ150,4)&gt;=$AB149,INDEX(SSM,DJ150,5)&gt;=$S143,INDEX(SSM,DJ150,6)&gt;=$R143),1,0)</f>
        <v>#N/A</v>
      </c>
      <c r="DL150" s="4" t="e">
        <f t="shared" ref="DL150" ca="1" si="2136">MATCH(1,OFFSET(DK143:DK154,DM149,0,COUNT(DK143:DK154)-DM149),0)</f>
        <v>#REF!</v>
      </c>
      <c r="DM150" s="4" t="e">
        <f t="shared" ca="1" si="2033"/>
        <v>#REF!</v>
      </c>
      <c r="DN150" s="692" t="str">
        <f ca="1">IFERROR(IF(AD150="Nested Steel Stud (wood infill)",VLOOKUP(INDEX(DJ143:DJ154,DM150),SSW,2,FALSE),VLOOKUP(INDEX(DJ143:DJ154,DM150),SSM,2,FALSE)),"----")</f>
        <v>----</v>
      </c>
      <c r="DO150" s="691" t="e">
        <f t="shared" ca="1" si="2034"/>
        <v>#N/A</v>
      </c>
      <c r="DP150" s="4" t="e">
        <f ca="1">IF(AND(INDEX(WSM,DO150,4)&gt;=$AB149,INDEX(WSM,DO150,5)&gt;=$S143,INDEX(WSM,DO150,6)&gt;=$R143),1,0)</f>
        <v>#N/A</v>
      </c>
      <c r="DQ150" s="4" t="e">
        <f t="shared" ref="DQ150" ca="1" si="2137">MATCH(1,OFFSET(DP143:DP154,DR149,0,COUNT(DP143:DP154)-DR149),0)</f>
        <v>#REF!</v>
      </c>
      <c r="DR150" s="4" t="e">
        <f t="shared" ca="1" si="2036"/>
        <v>#REF!</v>
      </c>
      <c r="DS150" s="692" t="str">
        <f ca="1">IFERROR(VLOOKUP(INDEX(DO143:DO154,DR150),WSM,2,FALSE),"----")</f>
        <v>----</v>
      </c>
      <c r="DT150" s="691" t="e">
        <f t="shared" ca="1" si="2037"/>
        <v>#N/A</v>
      </c>
      <c r="DU150" s="4" t="e">
        <f ca="1">IF(AND(INDEX(STM,DT150,4)&gt;=$AB149,INDEX(STM,DT150,5)&gt;=$S143,INDEX(STM,DT150,6)&gt;=$R143),1,0)</f>
        <v>#N/A</v>
      </c>
      <c r="DV150" s="4" t="e">
        <f t="shared" ref="DV150" ca="1" si="2138">MATCH(1,OFFSET(DU143:DU154,DW149,0,COUNT(DU143:DU154)-DW149),0)</f>
        <v>#REF!</v>
      </c>
      <c r="DW150" s="4" t="e">
        <f t="shared" ca="1" si="2039"/>
        <v>#REF!</v>
      </c>
      <c r="DX150" s="692" t="str">
        <f ca="1">IFERROR(VLOOKUP(INDEX(DT143:DT154,DW150),STM,2,FALSE),"----")</f>
        <v>----</v>
      </c>
      <c r="DY150" s="691" t="e">
        <f t="shared" ca="1" si="2040"/>
        <v>#N/A</v>
      </c>
      <c r="DZ150" s="4" t="e">
        <f ca="1">IF(AND(INDEX(ELM,DY150,4)&gt;=$AB149,INDEX(ELM,DY150,5)&gt;=$S143,INDEX(ELM,DY150,6)&gt;=$R143),1,0)</f>
        <v>#N/A</v>
      </c>
      <c r="EA150" s="4" t="e">
        <f t="shared" ref="EA150" ca="1" si="2139">MATCH(1,OFFSET(DZ143:DZ154,EB149,0,COUNT(DZ143:DZ154)-EB149),0)</f>
        <v>#REF!</v>
      </c>
      <c r="EB150" s="4" t="e">
        <f t="shared" ca="1" si="2042"/>
        <v>#REF!</v>
      </c>
      <c r="EC150" s="692" t="str">
        <f ca="1">IFERROR(VLOOKUP(INDEX(DY143:DY154,EB150),ELM,2,FALSE),"----")</f>
        <v>----</v>
      </c>
      <c r="ED150" s="691" t="e">
        <f t="shared" ca="1" si="2043"/>
        <v>#N/A</v>
      </c>
      <c r="EE150" s="4" t="e">
        <f ca="1">IF(LEFT($J143,7)="Clad Wo",IF(AND(INDEX(SPPWS,ED150,4)&gt;=$AB149,INDEX(SPPWS,ED150,5)&gt;=$S143,INDEX(SPPWS,ED150,6)&gt;=$R143),1,0),IF(AND(INDEX(SPM,ED150,4)&gt;=$AB149,INDEX(SPM,ED150,5)&gt;=$S143,INDEX(SPM,ED150,6)&gt;=$R143),1,0))</f>
        <v>#N/A</v>
      </c>
      <c r="EF150" s="4" t="e">
        <f t="shared" ref="EF150" ca="1" si="2140">MATCH(1,OFFSET(EE143:EE154,EG149,0,COUNT(EE143:EE154)-EG149),0)</f>
        <v>#REF!</v>
      </c>
      <c r="EG150" s="4" t="e">
        <f t="shared" ca="1" si="2045"/>
        <v>#REF!</v>
      </c>
      <c r="EH150" s="692" t="str">
        <f ca="1">IF(LEFT($J143,7)="Clad Wo",IFERROR(VLOOKUP(INDEX(ED143:ED154,EG150),SPPWS,2,FALSE),"----"),IFERROR(VLOOKUP(INDEX(ED143:ED154,EG150),SPM,2,FALSE),"----"))</f>
        <v>----</v>
      </c>
    </row>
    <row r="151" spans="1:138" ht="15" customHeight="1" x14ac:dyDescent="0.25">
      <c r="A151" s="1085"/>
      <c r="B151" s="925"/>
      <c r="C151" s="926"/>
      <c r="D151" s="927"/>
      <c r="E151" s="995"/>
      <c r="F151" s="996"/>
      <c r="G151" s="997"/>
      <c r="H151" s="1062"/>
      <c r="I151" s="990"/>
      <c r="J151" s="902"/>
      <c r="K151" s="903"/>
      <c r="L151" s="1002"/>
      <c r="M151" s="923"/>
      <c r="N151" s="1042"/>
      <c r="O151" s="1018"/>
      <c r="P151" s="987"/>
      <c r="Q151" s="1015"/>
      <c r="R151" s="1012"/>
      <c r="S151" s="1006"/>
      <c r="T151" s="1007"/>
      <c r="U151" s="878"/>
      <c r="V151" s="881"/>
      <c r="W151" s="884"/>
      <c r="X151" s="884"/>
      <c r="Y151" s="887"/>
      <c r="Z151" s="887"/>
      <c r="AA151" s="887"/>
      <c r="AB151" s="1081"/>
      <c r="AC151" s="1078"/>
      <c r="AD151" s="1070" t="str">
        <f t="shared" si="1666"/>
        <v>Wood Stud Framing</v>
      </c>
      <c r="AE151" s="1071"/>
      <c r="AF151" s="1052"/>
      <c r="AG151" s="1053"/>
      <c r="AH151" s="1053"/>
      <c r="AI151" s="1066"/>
      <c r="AJ151" s="1067"/>
      <c r="AK151" s="156" t="str">
        <f t="shared" ca="1" si="1130"/>
        <v/>
      </c>
      <c r="AL151" s="1059"/>
      <c r="AM151" s="344" t="str">
        <f ca="1">IFERROR(Q143/12*ROUND(VLOOKUP(AF151,OFFSET(WSM,0,1),6,FALSE),2),"")</f>
        <v/>
      </c>
      <c r="AN151" t="str">
        <f t="shared" ca="1" si="1154"/>
        <v/>
      </c>
      <c r="AP151" s="122" t="str">
        <f t="shared" ref="AP151" si="2141">_xlfn.CONCAT(AR151,AS154)</f>
        <v/>
      </c>
      <c r="AQ151" s="683" t="str">
        <f t="shared" si="1353"/>
        <v/>
      </c>
      <c r="AR151" s="4" t="str">
        <f t="shared" si="1114"/>
        <v/>
      </c>
      <c r="AS151" s="4"/>
      <c r="AT151" s="697" t="str">
        <f>AL149</f>
        <v/>
      </c>
      <c r="AU151" s="694" t="e">
        <f t="shared" ca="1" si="1370"/>
        <v>#REF!</v>
      </c>
      <c r="AV151" s="686" t="str">
        <f ca="1">IFERROR(VLOOKUP(AU151,INDIRECT(AQ143),2,FALSE),"----")</f>
        <v>----</v>
      </c>
      <c r="AW151" s="694" t="e">
        <f t="shared" ca="1" si="1371"/>
        <v>#REF!</v>
      </c>
      <c r="AX151" s="686" t="str">
        <f ca="1">IFERROR(VLOOKUP(AW151,INDIRECT(AQ144),2,FALSE),"----")</f>
        <v>----</v>
      </c>
      <c r="AY151" s="694" t="e">
        <f t="shared" ca="1" si="2091"/>
        <v>#REF!</v>
      </c>
      <c r="AZ151" s="686" t="str">
        <f ca="1">IFERROR(VLOOKUP(AY151,INDIRECT(AQ145),2,FALSE),"----")</f>
        <v>----</v>
      </c>
      <c r="BA151" s="694" t="e">
        <f t="shared" ca="1" si="2092"/>
        <v>#REF!</v>
      </c>
      <c r="BB151" s="686" t="str">
        <f ca="1">IFERROR(VLOOKUP(BA151,INDIRECT(AQ146),2,FALSE),"----")</f>
        <v>----</v>
      </c>
      <c r="BC151" s="694" t="e">
        <f t="shared" ca="1" si="1374"/>
        <v>#REF!</v>
      </c>
      <c r="BD151" s="686" t="str">
        <f ca="1">IFERROR(VLOOKUP(BC151,INDIRECT(AQ147),2,FALSE),"----")</f>
        <v>----</v>
      </c>
      <c r="BE151" s="694" t="e">
        <f t="shared" ca="1" si="1375"/>
        <v>#REF!</v>
      </c>
      <c r="BF151" s="686" t="str">
        <f ca="1">IFERROR(VLOOKUP(BE151,INDIRECT(AQ148),2,FALSE),"----")</f>
        <v>----</v>
      </c>
      <c r="BG151" s="702" t="e">
        <f t="shared" ca="1" si="1376"/>
        <v>#REF!</v>
      </c>
      <c r="BH151" s="686" t="str">
        <f ca="1">IFERROR(VLOOKUP(BG151,INDIRECT(AQ149),2,FALSE),"----")</f>
        <v>----</v>
      </c>
      <c r="BI151" s="702" t="e">
        <f t="shared" ca="1" si="1377"/>
        <v>#REF!</v>
      </c>
      <c r="BJ151" s="686" t="str">
        <f ca="1">IFERROR(VLOOKUP(BI151,INDIRECT(AQ150),2,FALSE),"----")</f>
        <v>----</v>
      </c>
      <c r="BK151" s="702" t="e">
        <f t="shared" ca="1" si="1378"/>
        <v>#REF!</v>
      </c>
      <c r="BL151" s="686" t="str">
        <f ca="1">IFERROR(VLOOKUP(BK151,INDIRECT(AQ151),2,FALSE),"----")</f>
        <v>----</v>
      </c>
      <c r="BM151" s="702" t="e">
        <f t="shared" ca="1" si="1379"/>
        <v>#REF!</v>
      </c>
      <c r="BN151" s="686" t="str">
        <f ca="1">IFERROR(VLOOKUP(BM151,INDIRECT(AQ152),2,FALSE),"----")</f>
        <v>----</v>
      </c>
      <c r="BO151" s="702" t="e">
        <f t="shared" ca="1" si="1380"/>
        <v>#REF!</v>
      </c>
      <c r="BP151" s="686" t="str">
        <f ca="1">IFERROR(VLOOKUP(BO151,INDIRECT(AQ153),2,FALSE),"----")</f>
        <v>----</v>
      </c>
      <c r="BQ151" s="702" t="e">
        <f t="shared" ca="1" si="1381"/>
        <v>#REF!</v>
      </c>
      <c r="BR151" s="686" t="str">
        <f ca="1">IFERROR(VLOOKUP(BQ151,INDIRECT(AQ154),2,FALSE),"----")</f>
        <v>----</v>
      </c>
      <c r="BS151" s="695">
        <f>IF(AI151="",1,IF(COUNTIF(BL143:BL154,AI151)=0,2,1))</f>
        <v>1</v>
      </c>
      <c r="BT151" s="696">
        <f>IF(AF151="",1,IF(BL143=".",2,1))</f>
        <v>1</v>
      </c>
      <c r="BU151" s="706"/>
      <c r="BV151" s="155">
        <f ca="1">IF(COUNTIF(DS143:DS154,AF151)=0,IF(AF151&lt;&gt;"",0,1),1)</f>
        <v>1</v>
      </c>
      <c r="BW151" s="157">
        <f ca="1">IFERROR(MATCH(AF151,DS143:DS154,0),1)</f>
        <v>1</v>
      </c>
      <c r="BX151" s="769" t="e">
        <f t="shared" ref="BX151" si="2142">5*E143^3*W143/(384*X143)</f>
        <v>#VALUE!</v>
      </c>
      <c r="BY151" s="769" t="e">
        <f t="shared" ref="BY151" si="2143">W143*E143^3/(60*X143)</f>
        <v>#VALUE!</v>
      </c>
      <c r="BZ151" s="1110"/>
      <c r="CA151" s="691" t="e">
        <f t="shared" ca="1" si="2010"/>
        <v>#REF!</v>
      </c>
      <c r="CB151" s="4" t="e" cm="1">
        <f t="array" aca="1" ref="CB151" ca="1">IF(AND(INDEX(INDIRECT(BY143),CA151,4)&gt;=$AB143,INDEX(INDIRECT(BY143),CA151,5)&gt;=$S143,INDEX(INDIRECT(BY143),CA151,6)&gt;=$R143),1,0)</f>
        <v>#REF!</v>
      </c>
      <c r="CC151" s="4" t="e">
        <f t="shared" ref="CC151" ca="1" si="2144">MATCH(1,OFFSET(CB143:CB154,CD150,0,COUNT(CB143:CB154)-CD150),0)</f>
        <v>#REF!</v>
      </c>
      <c r="CD151" s="4" t="e">
        <f t="shared" ca="1" si="2012"/>
        <v>#REF!</v>
      </c>
      <c r="CE151" s="692" t="str" cm="1">
        <f t="array" aca="1" ref="CE151" ca="1">IFERROR(VLOOKUP(INDEX(CA143:CA154,CD151),INDIRECT(BY143),2,FALSE),"----")</f>
        <v>----</v>
      </c>
      <c r="CF151" s="691" t="e">
        <f t="shared" ca="1" si="2013"/>
        <v>#N/A</v>
      </c>
      <c r="CG151" s="4" t="e">
        <f ca="1">IF(AND(INDEX(SSM,CF151,4)&gt;=$AB143,INDEX(SSM,CF151,5)&gt;=$S143,INDEX(SSM,CF151,6)&gt;=$R143),1,0)</f>
        <v>#N/A</v>
      </c>
      <c r="CH151" s="4" t="e">
        <f t="shared" ref="CH151" ca="1" si="2145">MATCH(1,OFFSET(CG143:CG154,CI150,0,COUNT(CG143:CG154)-CI150),0)</f>
        <v>#REF!</v>
      </c>
      <c r="CI151" s="4" t="e">
        <f t="shared" ca="1" si="2015"/>
        <v>#REF!</v>
      </c>
      <c r="CJ151" s="692" t="str">
        <f ca="1">IFERROR(IF(AD144="Nested Steel Stud (wood infill)",VLOOKUP(INDEX(CF143:CF154,CI151),SSW,2,FALSE),VLOOKUP(INDEX(CF143:CF154,CI151),SSM,2,FALSE)),"----")</f>
        <v>----</v>
      </c>
      <c r="CK151" s="691" t="e">
        <f t="shared" ca="1" si="2016"/>
        <v>#N/A</v>
      </c>
      <c r="CL151" s="4" t="e">
        <f ca="1">IF(AND(INDEX(WSM,CK151,4)&gt;=$AB143,INDEX(WSM,CK151,5)&gt;=$S143,INDEX(WSM,CK151,6)&gt;=$R143),1,0)</f>
        <v>#N/A</v>
      </c>
      <c r="CM151" s="4" t="e">
        <f t="shared" ref="CM151" ca="1" si="2146">MATCH(1,OFFSET(CL143:CL154,CN150,0,COUNT(CL143:CL154)-CN150),0)</f>
        <v>#REF!</v>
      </c>
      <c r="CN151" s="4" t="e">
        <f t="shared" ca="1" si="2018"/>
        <v>#REF!</v>
      </c>
      <c r="CO151" s="692" t="str">
        <f ca="1">IFERROR(VLOOKUP(INDEX(CK143:CK154,CN151),WSM,2,FALSE),"----")</f>
        <v>----</v>
      </c>
      <c r="CP151" s="691" t="e">
        <f t="shared" ca="1" si="2019"/>
        <v>#N/A</v>
      </c>
      <c r="CQ151" s="4" t="e">
        <f ca="1">IF(AND(INDEX(STM,CP151,4)&gt;=$AB143,INDEX(STM,CP151,5)&gt;=$S143,INDEX(STM,CP151,6)&gt;=$R143),1,0)</f>
        <v>#N/A</v>
      </c>
      <c r="CR151" s="4" t="e">
        <f t="shared" ref="CR151" ca="1" si="2147">MATCH(1,OFFSET(CQ143:CQ154,CS150,0,COUNT(CQ143:CQ154)-CS150),0)</f>
        <v>#REF!</v>
      </c>
      <c r="CS151" s="4" t="e">
        <f t="shared" ca="1" si="2021"/>
        <v>#REF!</v>
      </c>
      <c r="CT151" s="692" t="str">
        <f ca="1">IFERROR(VLOOKUP(INDEX(CP143:CP154,CS151),STM,2,FALSE),"----")</f>
        <v>----</v>
      </c>
      <c r="CU151" s="691" t="e">
        <f t="shared" ca="1" si="2022"/>
        <v>#N/A</v>
      </c>
      <c r="CV151" s="4" t="e">
        <f ca="1">IF(AND(INDEX(ELM,CU151,4)&gt;=$AB143,INDEX(ELM,CU151,5)&gt;=$S143,INDEX(ELM,CU151,6)&gt;=$R143),1,0)</f>
        <v>#N/A</v>
      </c>
      <c r="CW151" s="4" t="e">
        <f t="shared" ref="CW151" ca="1" si="2148">MATCH(1,OFFSET(CV143:CV154,CX150,0,COUNT(CV143:CV154)-CX150),0)</f>
        <v>#REF!</v>
      </c>
      <c r="CX151" s="4" t="e">
        <f t="shared" ca="1" si="2024"/>
        <v>#REF!</v>
      </c>
      <c r="CY151" s="692" t="str">
        <f ca="1">IFERROR(VLOOKUP(INDEX(CU143:CU154,CX151),ELM,2,FALSE),"----")</f>
        <v>----</v>
      </c>
      <c r="CZ151" s="691" t="e">
        <f t="shared" ca="1" si="2025"/>
        <v>#N/A</v>
      </c>
      <c r="DA151" s="4" t="e">
        <f ca="1">IF(LEFT($J143,7)="Clad Wo",IF(AND(INDEX(SPPWS,CZ151,4)&gt;=$AB143,INDEX(SPPWS,CZ151,5)&gt;=$S143,INDEX(SPPWS,CZ151,6)&gt;=$R143),1,0),IF(AND(INDEX(SPM,CZ151,4)&gt;=$AB143,INDEX(SPM,CZ151,5)&gt;=$S143,INDEX(SPM,CZ151,6)&gt;=$R143),1,0))</f>
        <v>#N/A</v>
      </c>
      <c r="DB151" s="4" t="e">
        <f t="shared" ref="DB151" ca="1" si="2149">MATCH(1,OFFSET(DA143:DA154,DC150,0,COUNT(DA143:DA154)-DC150),0)</f>
        <v>#REF!</v>
      </c>
      <c r="DC151" s="4" t="e">
        <f t="shared" ca="1" si="2027"/>
        <v>#REF!</v>
      </c>
      <c r="DD151" s="693" t="str">
        <f ca="1">IF(LEFT($J143,7)="Clad Wo",IFERROR(VLOOKUP(INDEX(CZ143:CZ154,DC151),SPPWS,2,FALSE),"----"),IFERROR(VLOOKUP(INDEX(CZ143:CZ154,DC151),SPM,2,FALSE),"----"))</f>
        <v>----</v>
      </c>
      <c r="DE151" s="691" t="e">
        <f t="shared" ca="1" si="2028"/>
        <v>#REF!</v>
      </c>
      <c r="DF151" s="4" t="e" cm="1">
        <f t="array" aca="1" ref="DF151" ca="1">IF(AND(INDEX(INDIRECT(BY143),DE151,4)&gt;=$AB149,INDEX(INDIRECT(BY143),DE151,5)&gt;=$S143,INDEX(INDIRECT(BY143),DE151,6)&gt;=$R143),1,0)</f>
        <v>#REF!</v>
      </c>
      <c r="DG151" s="4" t="e">
        <f t="shared" ref="DG151" ca="1" si="2150">MATCH(1,OFFSET(DF143:DF154,DH150,0,COUNT(DF143:DF154)-DH150),0)</f>
        <v>#REF!</v>
      </c>
      <c r="DH151" s="4" t="e">
        <f t="shared" ca="1" si="2030"/>
        <v>#REF!</v>
      </c>
      <c r="DI151" s="692" t="str" cm="1">
        <f t="array" aca="1" ref="DI151" ca="1">IFERROR(VLOOKUP(INDEX(DE143:DE154,DH151),INDIRECT(BY143),2,FALSE),"----")</f>
        <v>----</v>
      </c>
      <c r="DJ151" s="691" t="e">
        <f t="shared" ca="1" si="2031"/>
        <v>#N/A</v>
      </c>
      <c r="DK151" s="4" t="e">
        <f ca="1">IF(AND(INDEX(SSM,DJ151,4)&gt;=$AB149,INDEX(SSM,DJ151,5)&gt;=$S143,INDEX(SSM,DJ151,6)&gt;=$R143),1,0)</f>
        <v>#N/A</v>
      </c>
      <c r="DL151" s="4" t="e">
        <f t="shared" ref="DL151" ca="1" si="2151">MATCH(1,OFFSET(DK143:DK154,DM150,0,COUNT(DK143:DK154)-DM150),0)</f>
        <v>#REF!</v>
      </c>
      <c r="DM151" s="4" t="e">
        <f t="shared" ca="1" si="2033"/>
        <v>#REF!</v>
      </c>
      <c r="DN151" s="692" t="str">
        <f ca="1">IFERROR(IF(AD150="Nested Steel Stud (wood infill)",VLOOKUP(INDEX(DJ143:DJ154,DM151),SSW,2,FALSE),VLOOKUP(INDEX(DJ143:DJ154,DM151),SSM,2,FALSE)),"----")</f>
        <v>----</v>
      </c>
      <c r="DO151" s="691" t="e">
        <f t="shared" ca="1" si="2034"/>
        <v>#N/A</v>
      </c>
      <c r="DP151" s="4" t="e">
        <f ca="1">IF(AND(INDEX(WSM,DO151,4)&gt;=$AB149,INDEX(WSM,DO151,5)&gt;=$S143,INDEX(WSM,DO151,6)&gt;=$R143),1,0)</f>
        <v>#N/A</v>
      </c>
      <c r="DQ151" s="4" t="e">
        <f t="shared" ref="DQ151" ca="1" si="2152">MATCH(1,OFFSET(DP143:DP154,DR150,0,COUNT(DP143:DP154)-DR150),0)</f>
        <v>#REF!</v>
      </c>
      <c r="DR151" s="4" t="e">
        <f t="shared" ca="1" si="2036"/>
        <v>#REF!</v>
      </c>
      <c r="DS151" s="692" t="str">
        <f ca="1">IFERROR(VLOOKUP(INDEX(DO143:DO154,DR151),WSM,2,FALSE),"----")</f>
        <v>----</v>
      </c>
      <c r="DT151" s="691" t="e">
        <f t="shared" ca="1" si="2037"/>
        <v>#N/A</v>
      </c>
      <c r="DU151" s="4" t="e">
        <f ca="1">IF(AND(INDEX(STM,DT151,4)&gt;=$AB149,INDEX(STM,DT151,5)&gt;=$S143,INDEX(STM,DT151,6)&gt;=$R143),1,0)</f>
        <v>#N/A</v>
      </c>
      <c r="DV151" s="4" t="e">
        <f t="shared" ref="DV151" ca="1" si="2153">MATCH(1,OFFSET(DU143:DU154,DW150,0,COUNT(DU143:DU154)-DW150),0)</f>
        <v>#REF!</v>
      </c>
      <c r="DW151" s="4" t="e">
        <f t="shared" ca="1" si="2039"/>
        <v>#REF!</v>
      </c>
      <c r="DX151" s="692" t="str">
        <f ca="1">IFERROR(VLOOKUP(INDEX(DT143:DT154,DW151),STM,2,FALSE),"----")</f>
        <v>----</v>
      </c>
      <c r="DY151" s="691" t="e">
        <f t="shared" ca="1" si="2040"/>
        <v>#N/A</v>
      </c>
      <c r="DZ151" s="4" t="e">
        <f ca="1">IF(AND(INDEX(ELM,DY151,4)&gt;=$AB149,INDEX(ELM,DY151,5)&gt;=$S143,INDEX(ELM,DY151,6)&gt;=$R143),1,0)</f>
        <v>#N/A</v>
      </c>
      <c r="EA151" s="4" t="e">
        <f t="shared" ref="EA151" ca="1" si="2154">MATCH(1,OFFSET(DZ143:DZ154,EB150,0,COUNT(DZ143:DZ154)-EB150),0)</f>
        <v>#REF!</v>
      </c>
      <c r="EB151" s="4" t="e">
        <f t="shared" ca="1" si="2042"/>
        <v>#REF!</v>
      </c>
      <c r="EC151" s="692" t="str">
        <f ca="1">IFERROR(VLOOKUP(INDEX(DY143:DY154,EB151),ELM,2,FALSE),"----")</f>
        <v>----</v>
      </c>
      <c r="ED151" s="691" t="e">
        <f t="shared" ca="1" si="2043"/>
        <v>#N/A</v>
      </c>
      <c r="EE151" s="4" t="e">
        <f ca="1">IF(LEFT($J143,7)="Clad Wo",IF(AND(INDEX(SPPWS,ED151,4)&gt;=$AB149,INDEX(SPPWS,ED151,5)&gt;=$S143,INDEX(SPPWS,ED151,6)&gt;=$R143),1,0),IF(AND(INDEX(SPM,ED151,4)&gt;=$AB149,INDEX(SPM,ED151,5)&gt;=$S143,INDEX(SPM,ED151,6)&gt;=$R143),1,0))</f>
        <v>#N/A</v>
      </c>
      <c r="EF151" s="4" t="e">
        <f t="shared" ref="EF151" ca="1" si="2155">MATCH(1,OFFSET(EE143:EE154,EG150,0,COUNT(EE143:EE154)-EG150),0)</f>
        <v>#REF!</v>
      </c>
      <c r="EG151" s="4" t="e">
        <f t="shared" ca="1" si="2045"/>
        <v>#REF!</v>
      </c>
      <c r="EH151" s="692" t="str">
        <f ca="1">IF(LEFT($J143,7)="Clad Wo",IFERROR(VLOOKUP(INDEX(ED143:ED154,EG151),SPPWS,2,FALSE),"----"),IFERROR(VLOOKUP(INDEX(ED143:ED154,EG151),SPM,2,FALSE),"----"))</f>
        <v>----</v>
      </c>
    </row>
    <row r="152" spans="1:138" ht="15" customHeight="1" x14ac:dyDescent="0.25">
      <c r="A152" s="1085"/>
      <c r="B152" s="925"/>
      <c r="C152" s="926"/>
      <c r="D152" s="927"/>
      <c r="E152" s="995"/>
      <c r="F152" s="996"/>
      <c r="G152" s="997"/>
      <c r="H152" s="1062"/>
      <c r="I152" s="990"/>
      <c r="J152" s="902"/>
      <c r="K152" s="903"/>
      <c r="L152" s="1002"/>
      <c r="M152" s="923"/>
      <c r="N152" s="1042"/>
      <c r="O152" s="1018"/>
      <c r="P152" s="987"/>
      <c r="Q152" s="1015"/>
      <c r="R152" s="1012"/>
      <c r="S152" s="1006"/>
      <c r="T152" s="1007"/>
      <c r="U152" s="878"/>
      <c r="V152" s="881"/>
      <c r="W152" s="884"/>
      <c r="X152" s="884"/>
      <c r="Y152" s="887"/>
      <c r="Z152" s="887"/>
      <c r="AA152" s="887"/>
      <c r="AB152" s="1081"/>
      <c r="AC152" s="1078"/>
      <c r="AD152" s="1070" t="str">
        <f t="shared" si="1666"/>
        <v>Steel Tube</v>
      </c>
      <c r="AE152" s="1071"/>
      <c r="AF152" s="1052"/>
      <c r="AG152" s="1053"/>
      <c r="AH152" s="1053"/>
      <c r="AI152" s="1066"/>
      <c r="AJ152" s="1067"/>
      <c r="AK152" s="156" t="str">
        <f t="shared" ca="1" si="1130"/>
        <v/>
      </c>
      <c r="AL152" s="1059"/>
      <c r="AM152" s="343" t="str">
        <f ca="1">IFERROR(Q143/12*ROUND(VLOOKUP(AF152,OFFSET(STM,0,1),6,FALSE),2),"")</f>
        <v/>
      </c>
      <c r="AN152" t="str">
        <f t="shared" ca="1" si="1154"/>
        <v/>
      </c>
      <c r="AP152" s="122" t="str">
        <f t="shared" ref="AP152" si="2156">_xlfn.CONCAT(AR152,AS154)</f>
        <v/>
      </c>
      <c r="AQ152" s="683" t="str">
        <f t="shared" si="1353"/>
        <v/>
      </c>
      <c r="AR152" s="4" t="str">
        <f t="shared" si="1114"/>
        <v/>
      </c>
      <c r="AS152" s="4"/>
      <c r="AT152" s="697" t="str">
        <f>AL149</f>
        <v/>
      </c>
      <c r="AU152" s="694" t="e">
        <f t="shared" ca="1" si="1370"/>
        <v>#REF!</v>
      </c>
      <c r="AV152" s="686" t="str">
        <f ca="1">IFERROR(VLOOKUP(AU152,INDIRECT(AQ143),2,FALSE),"----")</f>
        <v>----</v>
      </c>
      <c r="AW152" s="694" t="e">
        <f t="shared" ca="1" si="1371"/>
        <v>#REF!</v>
      </c>
      <c r="AX152" s="686" t="str">
        <f ca="1">IFERROR(VLOOKUP(AW152,INDIRECT(AQ144),2,FALSE),"----")</f>
        <v>----</v>
      </c>
      <c r="AY152" s="694" t="e">
        <f t="shared" ca="1" si="1919"/>
        <v>#REF!</v>
      </c>
      <c r="AZ152" s="686" t="str">
        <f ca="1">IFERROR(VLOOKUP(AY152,INDIRECT(AQ145),2,FALSE),"----")</f>
        <v>----</v>
      </c>
      <c r="BA152" s="694" t="e">
        <f t="shared" ca="1" si="1920"/>
        <v>#REF!</v>
      </c>
      <c r="BB152" s="686" t="str">
        <f ca="1">IFERROR(VLOOKUP(BA152,INDIRECT(AQ146),2,FALSE),"----")</f>
        <v>----</v>
      </c>
      <c r="BC152" s="694" t="e">
        <f t="shared" ca="1" si="1374"/>
        <v>#REF!</v>
      </c>
      <c r="BD152" s="686" t="str">
        <f ca="1">IFERROR(VLOOKUP(BC152,INDIRECT(AQ147),2,FALSE),"----")</f>
        <v>----</v>
      </c>
      <c r="BE152" s="694" t="e">
        <f t="shared" ca="1" si="1375"/>
        <v>#REF!</v>
      </c>
      <c r="BF152" s="686" t="str">
        <f ca="1">IFERROR(VLOOKUP(BE152,INDIRECT(AQ148),2,FALSE),"----")</f>
        <v>----</v>
      </c>
      <c r="BG152" s="702" t="e">
        <f t="shared" ca="1" si="1376"/>
        <v>#REF!</v>
      </c>
      <c r="BH152" s="686" t="str">
        <f ca="1">IFERROR(VLOOKUP(BG152,INDIRECT(AQ149),2,FALSE),"----")</f>
        <v>----</v>
      </c>
      <c r="BI152" s="702" t="e">
        <f t="shared" ca="1" si="1377"/>
        <v>#REF!</v>
      </c>
      <c r="BJ152" s="686" t="str">
        <f ca="1">IFERROR(VLOOKUP(BI152,INDIRECT(AQ150),2,FALSE),"----")</f>
        <v>----</v>
      </c>
      <c r="BK152" s="702" t="e">
        <f t="shared" ca="1" si="1378"/>
        <v>#REF!</v>
      </c>
      <c r="BL152" s="686" t="str">
        <f ca="1">IFERROR(VLOOKUP(BK152,INDIRECT(AQ151),2,FALSE),"----")</f>
        <v>----</v>
      </c>
      <c r="BM152" s="702" t="e">
        <f t="shared" ca="1" si="1379"/>
        <v>#REF!</v>
      </c>
      <c r="BN152" s="686" t="str">
        <f ca="1">IFERROR(VLOOKUP(BM152,INDIRECT(AQ152),2,FALSE),"----")</f>
        <v>----</v>
      </c>
      <c r="BO152" s="702" t="e">
        <f t="shared" ca="1" si="1380"/>
        <v>#REF!</v>
      </c>
      <c r="BP152" s="686" t="str">
        <f ca="1">IFERROR(VLOOKUP(BO152,INDIRECT(AQ153),2,FALSE),"----")</f>
        <v>----</v>
      </c>
      <c r="BQ152" s="702" t="e">
        <f t="shared" ca="1" si="1381"/>
        <v>#REF!</v>
      </c>
      <c r="BR152" s="686" t="str">
        <f ca="1">IFERROR(VLOOKUP(BQ152,INDIRECT(AQ154),2,FALSE),"----")</f>
        <v>----</v>
      </c>
      <c r="BS152" s="695">
        <f>IF(AI152="",1,IF(COUNTIF(BN143:BN154,AI152)=0,2,1))</f>
        <v>1</v>
      </c>
      <c r="BT152" s="696">
        <f>IF(AF152="",1,IF(BN143=".",2,1))</f>
        <v>1</v>
      </c>
      <c r="BU152" s="706"/>
      <c r="BV152" s="155">
        <f ca="1">IF(COUNTIF(DX143:DX154,AF152)=0,IF(AF152&lt;&gt;"",0,1),1)</f>
        <v>1</v>
      </c>
      <c r="BW152" s="157">
        <f ca="1">IFERROR(MATCH(AF152,DX143:DX154,0),1)</f>
        <v>1</v>
      </c>
      <c r="BX152" s="769" t="e">
        <f t="shared" ref="BX152" si="2157">5*E143^3*W149/(384*X143)</f>
        <v>#VALUE!</v>
      </c>
      <c r="BY152" s="769" t="e">
        <f t="shared" ref="BY152" si="2158">E143^3*W149/(60*X143)</f>
        <v>#VALUE!</v>
      </c>
      <c r="BZ152" s="1110"/>
      <c r="CA152" s="691" t="e">
        <f t="shared" ca="1" si="2010"/>
        <v>#REF!</v>
      </c>
      <c r="CB152" s="4" t="e" cm="1">
        <f t="array" aca="1" ref="CB152" ca="1">IF(AND(INDEX(INDIRECT(BY143),CA152,4)&gt;=$AB143,INDEX(INDIRECT(BY143),CA152,5)&gt;=$S143,INDEX(INDIRECT(BY143),CA152,6)&gt;=$R143),1,0)</f>
        <v>#REF!</v>
      </c>
      <c r="CC152" s="4" t="e">
        <f t="shared" ref="CC152" ca="1" si="2159">MATCH(1,OFFSET(CB143:CB154,CD151,0,COUNT(CB143:CB154)-CD151),0)</f>
        <v>#REF!</v>
      </c>
      <c r="CD152" s="4" t="e">
        <f t="shared" ca="1" si="2012"/>
        <v>#REF!</v>
      </c>
      <c r="CE152" s="692" t="str" cm="1">
        <f t="array" aca="1" ref="CE152" ca="1">IFERROR(VLOOKUP(INDEX(CA143:CA154,CD152),INDIRECT(BY143),2,FALSE),"----")</f>
        <v>----</v>
      </c>
      <c r="CF152" s="691" t="e">
        <f t="shared" ca="1" si="2013"/>
        <v>#N/A</v>
      </c>
      <c r="CG152" s="4" t="e">
        <f ca="1">IF(AND(INDEX(SSM,CF152,4)&gt;=$AB143,INDEX(SSM,CF152,5)&gt;=$S143,INDEX(SSM,CF152,6)&gt;=$R143),1,0)</f>
        <v>#N/A</v>
      </c>
      <c r="CH152" s="4" t="e">
        <f t="shared" ref="CH152" ca="1" si="2160">MATCH(1,OFFSET(CG143:CG154,CI151,0,COUNT(CG143:CG154)-CI151),0)</f>
        <v>#REF!</v>
      </c>
      <c r="CI152" s="4" t="e">
        <f t="shared" ca="1" si="2015"/>
        <v>#REF!</v>
      </c>
      <c r="CJ152" s="692" t="str">
        <f ca="1">IFERROR(IF(AD144="Nested Steel Stud (wood infill)",VLOOKUP(INDEX(CF143:CF154,CI152),SSW,2,FALSE),VLOOKUP(INDEX(CF143:CF154,CI152),SSM,2,FALSE)),"----")</f>
        <v>----</v>
      </c>
      <c r="CK152" s="691" t="e">
        <f t="shared" ca="1" si="2016"/>
        <v>#N/A</v>
      </c>
      <c r="CL152" s="4" t="e">
        <f ca="1">IF(AND(INDEX(WSM,CK152,4)&gt;=$AB143,INDEX(WSM,CK152,5)&gt;=$S143,INDEX(WSM,CK152,6)&gt;=$R143),1,0)</f>
        <v>#N/A</v>
      </c>
      <c r="CM152" s="4" t="e">
        <f t="shared" ref="CM152" ca="1" si="2161">MATCH(1,OFFSET(CL143:CL154,CN151,0,COUNT(CL143:CL154)-CN151),0)</f>
        <v>#REF!</v>
      </c>
      <c r="CN152" s="4" t="e">
        <f t="shared" ca="1" si="2018"/>
        <v>#REF!</v>
      </c>
      <c r="CO152" s="692" t="str">
        <f ca="1">IFERROR(VLOOKUP(INDEX(CK143:CK154,CN152),WSM,2,FALSE),"----")</f>
        <v>----</v>
      </c>
      <c r="CP152" s="691" t="e">
        <f t="shared" ca="1" si="2019"/>
        <v>#N/A</v>
      </c>
      <c r="CQ152" s="4" t="e">
        <f ca="1">IF(AND(INDEX(STM,CP152,4)&gt;=$AB143,INDEX(STM,CP152,5)&gt;=$S143,INDEX(STM,CP152,6)&gt;=$R143),1,0)</f>
        <v>#N/A</v>
      </c>
      <c r="CR152" s="4" t="e">
        <f t="shared" ref="CR152" ca="1" si="2162">MATCH(1,OFFSET(CQ143:CQ154,CS151,0,COUNT(CQ143:CQ154)-CS151),0)</f>
        <v>#REF!</v>
      </c>
      <c r="CS152" s="4" t="e">
        <f t="shared" ca="1" si="2021"/>
        <v>#REF!</v>
      </c>
      <c r="CT152" s="692" t="str">
        <f ca="1">IFERROR(VLOOKUP(INDEX(CP143:CP154,CS152),STM,2,FALSE),"----")</f>
        <v>----</v>
      </c>
      <c r="CU152" s="691" t="e">
        <f t="shared" ca="1" si="2022"/>
        <v>#N/A</v>
      </c>
      <c r="CV152" s="4" t="e">
        <f ca="1">IF(AND(INDEX(ELM,CU152,4)&gt;=$AB143,INDEX(ELM,CU152,5)&gt;=$S143,INDEX(ELM,CU152,6)&gt;=$R143),1,0)</f>
        <v>#N/A</v>
      </c>
      <c r="CW152" s="4" t="e">
        <f t="shared" ref="CW152" ca="1" si="2163">MATCH(1,OFFSET(CV143:CV154,CX151,0,COUNT(CV143:CV154)-CX151),0)</f>
        <v>#REF!</v>
      </c>
      <c r="CX152" s="4" t="e">
        <f t="shared" ca="1" si="2024"/>
        <v>#REF!</v>
      </c>
      <c r="CY152" s="692" t="str">
        <f ca="1">IFERROR(VLOOKUP(INDEX(CU143:CU154,CX152),ELM,2,FALSE),"----")</f>
        <v>----</v>
      </c>
      <c r="CZ152" s="691" t="e">
        <f t="shared" ca="1" si="2025"/>
        <v>#N/A</v>
      </c>
      <c r="DA152" s="4" t="e">
        <f ca="1">IF(LEFT($J143,7)="Clad Wo",IF(AND(INDEX(SPPWS,CZ152,4)&gt;=$AB143,INDEX(SPPWS,CZ152,5)&gt;=$S143,INDEX(SPPWS,CZ152,6)&gt;=$R143),1,0),IF(AND(INDEX(SPM,CZ152,4)&gt;=$AB143,INDEX(SPM,CZ152,5)&gt;=$S143,INDEX(SPM,CZ152,6)&gt;=$R143),1,0))</f>
        <v>#N/A</v>
      </c>
      <c r="DB152" s="4" t="e">
        <f t="shared" ref="DB152" ca="1" si="2164">MATCH(1,OFFSET(DA143:DA154,DC151,0,COUNT(DA143:DA154)-DC151),0)</f>
        <v>#REF!</v>
      </c>
      <c r="DC152" s="4" t="e">
        <f t="shared" ca="1" si="2027"/>
        <v>#REF!</v>
      </c>
      <c r="DD152" s="693" t="str">
        <f ca="1">IF(LEFT($J143,7)="Clad Wo",IFERROR(VLOOKUP(INDEX(CZ143:CZ154,DC152),SPPWS,2,FALSE),"----"),IFERROR(VLOOKUP(INDEX(CZ143:CZ154,DC152),SPM,2,FALSE),"----"))</f>
        <v>----</v>
      </c>
      <c r="DE152" s="691" t="e">
        <f t="shared" ca="1" si="2028"/>
        <v>#REF!</v>
      </c>
      <c r="DF152" s="4" t="e" cm="1">
        <f t="array" aca="1" ref="DF152" ca="1">IF(AND(INDEX(INDIRECT(BY143),DE152,4)&gt;=$AB149,INDEX(INDIRECT(BY143),DE152,5)&gt;=$S143,INDEX(INDIRECT(BY143),DE152,6)&gt;=$R143),1,0)</f>
        <v>#REF!</v>
      </c>
      <c r="DG152" s="4" t="e">
        <f t="shared" ref="DG152" ca="1" si="2165">MATCH(1,OFFSET(DF143:DF154,DH151,0,COUNT(DF143:DF154)-DH151),0)</f>
        <v>#REF!</v>
      </c>
      <c r="DH152" s="4" t="e">
        <f t="shared" ca="1" si="2030"/>
        <v>#REF!</v>
      </c>
      <c r="DI152" s="692" t="str" cm="1">
        <f t="array" aca="1" ref="DI152" ca="1">IFERROR(VLOOKUP(INDEX(DE143:DE154,DH152),INDIRECT(BY143),2,FALSE),"----")</f>
        <v>----</v>
      </c>
      <c r="DJ152" s="691" t="e">
        <f t="shared" ca="1" si="2031"/>
        <v>#N/A</v>
      </c>
      <c r="DK152" s="4" t="e">
        <f ca="1">IF(AND(INDEX(SSM,DJ152,4)&gt;=$AB149,INDEX(SSM,DJ152,5)&gt;=$S143,INDEX(SSM,DJ152,6)&gt;=$R143),1,0)</f>
        <v>#N/A</v>
      </c>
      <c r="DL152" s="4" t="e">
        <f t="shared" ref="DL152" ca="1" si="2166">MATCH(1,OFFSET(DK143:DK154,DM151,0,COUNT(DK143:DK154)-DM151),0)</f>
        <v>#REF!</v>
      </c>
      <c r="DM152" s="4" t="e">
        <f t="shared" ca="1" si="2033"/>
        <v>#REF!</v>
      </c>
      <c r="DN152" s="692" t="str">
        <f ca="1">IFERROR(IF(AD150="Nested Steel Stud (wood infill)",VLOOKUP(INDEX(DJ143:DJ154,DM152),SSW,2,FALSE),VLOOKUP(INDEX(DJ143:DJ154,DM152),SSM,2,FALSE)),"----")</f>
        <v>----</v>
      </c>
      <c r="DO152" s="691" t="e">
        <f t="shared" ca="1" si="2034"/>
        <v>#N/A</v>
      </c>
      <c r="DP152" s="4" t="e">
        <f ca="1">IF(AND(INDEX(WSM,DO152,4)&gt;=$AB149,INDEX(WSM,DO152,5)&gt;=$S143,INDEX(WSM,DO152,6)&gt;=$R143),1,0)</f>
        <v>#N/A</v>
      </c>
      <c r="DQ152" s="4" t="e">
        <f t="shared" ref="DQ152" ca="1" si="2167">MATCH(1,OFFSET(DP143:DP154,DR151,0,COUNT(DP143:DP154)-DR151),0)</f>
        <v>#REF!</v>
      </c>
      <c r="DR152" s="4" t="e">
        <f t="shared" ca="1" si="2036"/>
        <v>#REF!</v>
      </c>
      <c r="DS152" s="692" t="str">
        <f ca="1">IFERROR(VLOOKUP(INDEX(DO143:DO154,DR152),WSM,2,FALSE),"----")</f>
        <v>----</v>
      </c>
      <c r="DT152" s="691" t="e">
        <f t="shared" ca="1" si="2037"/>
        <v>#N/A</v>
      </c>
      <c r="DU152" s="4" t="e">
        <f ca="1">IF(AND(INDEX(STM,DT152,4)&gt;=$AB149,INDEX(STM,DT152,5)&gt;=$S143,INDEX(STM,DT152,6)&gt;=$R143),1,0)</f>
        <v>#N/A</v>
      </c>
      <c r="DV152" s="4" t="e">
        <f t="shared" ref="DV152" ca="1" si="2168">MATCH(1,OFFSET(DU143:DU154,DW151,0,COUNT(DU143:DU154)-DW151),0)</f>
        <v>#REF!</v>
      </c>
      <c r="DW152" s="4" t="e">
        <f t="shared" ca="1" si="2039"/>
        <v>#REF!</v>
      </c>
      <c r="DX152" s="692" t="str">
        <f ca="1">IFERROR(VLOOKUP(INDEX(DT143:DT154,DW152),STM,2,FALSE),"----")</f>
        <v>----</v>
      </c>
      <c r="DY152" s="691" t="e">
        <f t="shared" ca="1" si="2040"/>
        <v>#N/A</v>
      </c>
      <c r="DZ152" s="4" t="e">
        <f ca="1">IF(AND(INDEX(ELM,DY152,4)&gt;=$AB149,INDEX(ELM,DY152,5)&gt;=$S143,INDEX(ELM,DY152,6)&gt;=$R143),1,0)</f>
        <v>#N/A</v>
      </c>
      <c r="EA152" s="4" t="e">
        <f t="shared" ref="EA152" ca="1" si="2169">MATCH(1,OFFSET(DZ143:DZ154,EB151,0,COUNT(DZ143:DZ154)-EB151),0)</f>
        <v>#REF!</v>
      </c>
      <c r="EB152" s="4" t="e">
        <f t="shared" ca="1" si="2042"/>
        <v>#REF!</v>
      </c>
      <c r="EC152" s="692" t="str">
        <f ca="1">IFERROR(VLOOKUP(INDEX(DY143:DY154,EB152),ELM,2,FALSE),"----")</f>
        <v>----</v>
      </c>
      <c r="ED152" s="691" t="e">
        <f t="shared" ca="1" si="2043"/>
        <v>#N/A</v>
      </c>
      <c r="EE152" s="4" t="e">
        <f ca="1">IF(LEFT($J143,7)="Clad Wo",IF(AND(INDEX(SPPWS,ED152,4)&gt;=$AB149,INDEX(SPPWS,ED152,5)&gt;=$S143,INDEX(SPPWS,ED152,6)&gt;=$R143),1,0),IF(AND(INDEX(SPM,ED152,4)&gt;=$AB149,INDEX(SPM,ED152,5)&gt;=$S143,INDEX(SPM,ED152,6)&gt;=$R143),1,0))</f>
        <v>#N/A</v>
      </c>
      <c r="EF152" s="4" t="e">
        <f t="shared" ref="EF152" ca="1" si="2170">MATCH(1,OFFSET(EE143:EE154,EG151,0,COUNT(EE143:EE154)-EG151),0)</f>
        <v>#REF!</v>
      </c>
      <c r="EG152" s="4" t="e">
        <f t="shared" ca="1" si="2045"/>
        <v>#REF!</v>
      </c>
      <c r="EH152" s="692" t="str">
        <f ca="1">IF(LEFT($J143,7)="Clad Wo",IFERROR(VLOOKUP(INDEX(ED143:ED154,EG152),SPPWS,2,FALSE),"----"),IFERROR(VLOOKUP(INDEX(ED143:ED154,EG152),SPM,2,FALSE),"----"))</f>
        <v>----</v>
      </c>
    </row>
    <row r="153" spans="1:138" ht="15" customHeight="1" x14ac:dyDescent="0.25">
      <c r="A153" s="1085"/>
      <c r="B153" s="925"/>
      <c r="C153" s="926"/>
      <c r="D153" s="927"/>
      <c r="E153" s="995"/>
      <c r="F153" s="996"/>
      <c r="G153" s="997"/>
      <c r="H153" s="1062"/>
      <c r="I153" s="990"/>
      <c r="J153" s="902"/>
      <c r="K153" s="903"/>
      <c r="L153" s="1002"/>
      <c r="M153" s="923"/>
      <c r="N153" s="1042"/>
      <c r="O153" s="1018"/>
      <c r="P153" s="987"/>
      <c r="Q153" s="1015"/>
      <c r="R153" s="1012"/>
      <c r="S153" s="1006"/>
      <c r="T153" s="1007"/>
      <c r="U153" s="878"/>
      <c r="V153" s="881"/>
      <c r="W153" s="884"/>
      <c r="X153" s="884"/>
      <c r="Y153" s="887"/>
      <c r="Z153" s="887"/>
      <c r="AA153" s="887"/>
      <c r="AB153" s="1081"/>
      <c r="AC153" s="1078"/>
      <c r="AD153" s="1070" t="str">
        <f t="shared" si="1666"/>
        <v>Engineered Lumber</v>
      </c>
      <c r="AE153" s="1071"/>
      <c r="AF153" s="1052"/>
      <c r="AG153" s="1053"/>
      <c r="AH153" s="1053"/>
      <c r="AI153" s="1068"/>
      <c r="AJ153" s="1069"/>
      <c r="AK153" s="154" t="str">
        <f t="shared" ca="1" si="1130"/>
        <v/>
      </c>
      <c r="AL153" s="1059"/>
      <c r="AM153" s="344" t="str">
        <f ca="1">IFERROR(Q143/12*ROUND(VLOOKUP(AF153,OFFSET(ELM,0,1),6,FALSE),2),"")</f>
        <v/>
      </c>
      <c r="AN153" t="str">
        <f t="shared" ca="1" si="1154"/>
        <v/>
      </c>
      <c r="AP153" s="122" t="str">
        <f t="shared" ref="AP153" si="2171">_xlfn.CONCAT(AR153,AS154)</f>
        <v/>
      </c>
      <c r="AQ153" s="683" t="str">
        <f t="shared" si="1353"/>
        <v/>
      </c>
      <c r="AR153" s="4" t="str">
        <f t="shared" si="1114"/>
        <v/>
      </c>
      <c r="AS153" s="4"/>
      <c r="AT153" s="697" t="str">
        <f>AL149</f>
        <v/>
      </c>
      <c r="AU153" s="694" t="e">
        <f t="shared" ca="1" si="1370"/>
        <v>#REF!</v>
      </c>
      <c r="AV153" s="698" t="str">
        <f ca="1">IFERROR(VLOOKUP(AU153,INDIRECT(AQ143),2,FALSE),"----")</f>
        <v>----</v>
      </c>
      <c r="AW153" s="694" t="e">
        <f t="shared" ca="1" si="1371"/>
        <v>#REF!</v>
      </c>
      <c r="AX153" s="698" t="str">
        <f ca="1">IFERROR(VLOOKUP(AW153,INDIRECT(AQ144),2,FALSE),"----")</f>
        <v>----</v>
      </c>
      <c r="AY153" s="694" t="e">
        <f t="shared" ca="1" si="1919"/>
        <v>#REF!</v>
      </c>
      <c r="AZ153" s="698" t="str">
        <f ca="1">IFERROR(VLOOKUP(AY153,INDIRECT(AQ145),2,FALSE),"----")</f>
        <v>----</v>
      </c>
      <c r="BA153" s="694" t="e">
        <f t="shared" ca="1" si="1920"/>
        <v>#REF!</v>
      </c>
      <c r="BB153" s="698" t="str">
        <f ca="1">IFERROR(VLOOKUP(BA153,INDIRECT(AQ146),2,FALSE),"----")</f>
        <v>----</v>
      </c>
      <c r="BC153" s="694" t="e">
        <f t="shared" ca="1" si="1374"/>
        <v>#REF!</v>
      </c>
      <c r="BD153" s="698" t="str">
        <f ca="1">IFERROR(VLOOKUP(BC153,INDIRECT(AQ147),2,FALSE),"----")</f>
        <v>----</v>
      </c>
      <c r="BE153" s="694" t="e">
        <f t="shared" ca="1" si="1375"/>
        <v>#REF!</v>
      </c>
      <c r="BF153" s="698" t="str">
        <f ca="1">IFERROR(VLOOKUP(BE153,INDIRECT(AQ148),2,FALSE),"----")</f>
        <v>----</v>
      </c>
      <c r="BG153" s="702" t="e">
        <f t="shared" ca="1" si="1376"/>
        <v>#REF!</v>
      </c>
      <c r="BH153" s="686" t="str">
        <f ca="1">IFERROR(VLOOKUP(BG153,INDIRECT(AQ149),2,FALSE),"----")</f>
        <v>----</v>
      </c>
      <c r="BI153" s="702" t="e">
        <f t="shared" ca="1" si="1377"/>
        <v>#REF!</v>
      </c>
      <c r="BJ153" s="686" t="str">
        <f ca="1">IFERROR(VLOOKUP(BI153,INDIRECT(AQ150),2,FALSE),"----")</f>
        <v>----</v>
      </c>
      <c r="BK153" s="702" t="e">
        <f t="shared" ca="1" si="1378"/>
        <v>#REF!</v>
      </c>
      <c r="BL153" s="686" t="str">
        <f ca="1">IFERROR(VLOOKUP(BK153,INDIRECT(AQ151),2,FALSE),"----")</f>
        <v>----</v>
      </c>
      <c r="BM153" s="702" t="e">
        <f t="shared" ca="1" si="1379"/>
        <v>#REF!</v>
      </c>
      <c r="BN153" s="686" t="str">
        <f ca="1">IFERROR(VLOOKUP(BM153,INDIRECT(AQ152),2,FALSE),"----")</f>
        <v>----</v>
      </c>
      <c r="BO153" s="702" t="e">
        <f t="shared" ca="1" si="1380"/>
        <v>#REF!</v>
      </c>
      <c r="BP153" s="686" t="str">
        <f ca="1">IFERROR(VLOOKUP(BO153,INDIRECT(AQ153),2,FALSE),"----")</f>
        <v>----</v>
      </c>
      <c r="BQ153" s="702" t="e">
        <f t="shared" ca="1" si="1381"/>
        <v>#REF!</v>
      </c>
      <c r="BR153" s="686" t="str">
        <f ca="1">IFERROR(VLOOKUP(BQ153,INDIRECT(AQ154),2,FALSE),"----")</f>
        <v>----</v>
      </c>
      <c r="BS153" s="695">
        <f>IF(AI153="",1,IF(COUNTIF(BP143:BP154,AI153)=0,2,1))</f>
        <v>1</v>
      </c>
      <c r="BT153" s="696">
        <f>IF(AF153="",1,IF(BP143=".",2,1))</f>
        <v>1</v>
      </c>
      <c r="BU153" s="706"/>
      <c r="BV153" s="155">
        <f ca="1">IF(COUNTIF(EC143:EC154,AF153)=0,IF(AF153&lt;&gt;"",0,1),1)</f>
        <v>1</v>
      </c>
      <c r="BW153" s="157">
        <f ca="1">IFERROR(MATCH(AF153,EC143:EC154,0),1)</f>
        <v>1</v>
      </c>
      <c r="BX153" s="769"/>
      <c r="BY153" s="769"/>
      <c r="BZ153" s="1110"/>
      <c r="CA153" s="691" t="e">
        <f t="shared" ca="1" si="2010"/>
        <v>#REF!</v>
      </c>
      <c r="CB153" s="4" t="e" cm="1">
        <f t="array" aca="1" ref="CB153" ca="1">IF(AND(INDEX(INDIRECT(BY143),CA153,4)&gt;=$AB143,INDEX(INDIRECT(BY143),CA153,5)&gt;=$S143,INDEX(INDIRECT(BY143),CA153,6)&gt;=$R143),1,0)</f>
        <v>#REF!</v>
      </c>
      <c r="CC153" s="4" t="e">
        <f t="shared" ref="CC153" ca="1" si="2172">MATCH(1,OFFSET(CB143:CB154,CD152,0,COUNT(CB143:CB154)-CD152),0)</f>
        <v>#REF!</v>
      </c>
      <c r="CD153" s="4" t="e">
        <f t="shared" ca="1" si="2012"/>
        <v>#REF!</v>
      </c>
      <c r="CE153" s="692" t="str" cm="1">
        <f t="array" aca="1" ref="CE153" ca="1">IFERROR(VLOOKUP(INDEX(CA143:CA154,CD153),INDIRECT(BY143),2,FALSE),"----")</f>
        <v>----</v>
      </c>
      <c r="CF153" s="691" t="e">
        <f t="shared" ca="1" si="2013"/>
        <v>#N/A</v>
      </c>
      <c r="CG153" s="4" t="e">
        <f ca="1">IF(AND(INDEX(SSM,CF153,4)&gt;=$AB143,INDEX(SSM,CF153,5)&gt;=$S143,INDEX(SSM,CF153,6)&gt;=$R143),1,0)</f>
        <v>#N/A</v>
      </c>
      <c r="CH153" s="4" t="e">
        <f t="shared" ref="CH153" ca="1" si="2173">MATCH(1,OFFSET(CG143:CG154,CI152,0,COUNT(CG143:CG154)-CI152),0)</f>
        <v>#REF!</v>
      </c>
      <c r="CI153" s="4" t="e">
        <f t="shared" ca="1" si="2015"/>
        <v>#REF!</v>
      </c>
      <c r="CJ153" s="692" t="str">
        <f ca="1">IFERROR(IF(AD144="Nested Steel Stud (wood infill)",VLOOKUP(INDEX(CF143:CF154,CI153),SSW,2,FALSE),VLOOKUP(INDEX(CF143:CF154,CI153),SSM,2,FALSE)),"----")</f>
        <v>----</v>
      </c>
      <c r="CK153" s="691" t="e">
        <f t="shared" ca="1" si="2016"/>
        <v>#N/A</v>
      </c>
      <c r="CL153" s="4" t="e">
        <f ca="1">IF(AND(INDEX(WSM,CK153,4)&gt;=$AB143,INDEX(WSM,CK153,5)&gt;=$S143,INDEX(WSM,CK153,6)&gt;=$R143),1,0)</f>
        <v>#N/A</v>
      </c>
      <c r="CM153" s="4" t="e">
        <f t="shared" ref="CM153" ca="1" si="2174">MATCH(1,OFFSET(CL143:CL154,CN152,0,COUNT(CL143:CL154)-CN152),0)</f>
        <v>#REF!</v>
      </c>
      <c r="CN153" s="4" t="e">
        <f t="shared" ca="1" si="2018"/>
        <v>#REF!</v>
      </c>
      <c r="CO153" s="692" t="str">
        <f ca="1">IFERROR(VLOOKUP(INDEX(CK143:CK154,CN153),WSM,2,FALSE),"----")</f>
        <v>----</v>
      </c>
      <c r="CP153" s="691" t="e">
        <f t="shared" ca="1" si="2019"/>
        <v>#N/A</v>
      </c>
      <c r="CQ153" s="4" t="e">
        <f ca="1">IF(AND(INDEX(STM,CP153,4)&gt;=$AB143,INDEX(STM,CP153,5)&gt;=$S143,INDEX(STM,CP153,6)&gt;=$R143),1,0)</f>
        <v>#N/A</v>
      </c>
      <c r="CR153" s="4" t="e">
        <f t="shared" ref="CR153" ca="1" si="2175">MATCH(1,OFFSET(CQ143:CQ154,CS152,0,COUNT(CQ143:CQ154)-CS152),0)</f>
        <v>#REF!</v>
      </c>
      <c r="CS153" s="4" t="e">
        <f t="shared" ca="1" si="2021"/>
        <v>#REF!</v>
      </c>
      <c r="CT153" s="692" t="str">
        <f ca="1">IFERROR(VLOOKUP(INDEX(CP143:CP154,CS153),STM,2,FALSE),"----")</f>
        <v>----</v>
      </c>
      <c r="CU153" s="691" t="e">
        <f t="shared" ca="1" si="2022"/>
        <v>#N/A</v>
      </c>
      <c r="CV153" s="4" t="e">
        <f ca="1">IF(AND(INDEX(ELM,CU153,4)&gt;=$AB143,INDEX(ELM,CU153,5)&gt;=$S143,INDEX(ELM,CU153,6)&gt;=$R143),1,0)</f>
        <v>#N/A</v>
      </c>
      <c r="CW153" s="4" t="e">
        <f t="shared" ref="CW153" ca="1" si="2176">MATCH(1,OFFSET(CV143:CV154,CX152,0,COUNT(CV143:CV154)-CX152),0)</f>
        <v>#REF!</v>
      </c>
      <c r="CX153" s="4" t="e">
        <f t="shared" ca="1" si="2024"/>
        <v>#REF!</v>
      </c>
      <c r="CY153" s="692" t="str">
        <f ca="1">IFERROR(VLOOKUP(INDEX(CU143:CU154,CX153),ELM,2,FALSE),"----")</f>
        <v>----</v>
      </c>
      <c r="CZ153" s="691" t="e">
        <f t="shared" ca="1" si="2025"/>
        <v>#N/A</v>
      </c>
      <c r="DA153" s="4" t="e">
        <f ca="1">IF(LEFT($J143,7)="Clad Wo",IF(AND(INDEX(SPPWS,CZ153,4)&gt;=$AB143,INDEX(SPPWS,CZ153,5)&gt;=$S143,INDEX(SPPWS,CZ153,6)&gt;=$R143),1,0),IF(AND(INDEX(SPM,CZ153,4)&gt;=$AB143,INDEX(SPM,CZ153,5)&gt;=$S143,INDEX(SPM,CZ153,6)&gt;=$R143),1,0))</f>
        <v>#N/A</v>
      </c>
      <c r="DB153" s="4" t="e">
        <f t="shared" ref="DB153" ca="1" si="2177">MATCH(1,OFFSET(DA143:DA154,DC152,0,COUNT(DA143:DA154)-DC152),0)</f>
        <v>#REF!</v>
      </c>
      <c r="DC153" s="4" t="e">
        <f t="shared" ca="1" si="2027"/>
        <v>#REF!</v>
      </c>
      <c r="DD153" s="693" t="str">
        <f ca="1">IF(LEFT($J143,7)="Clad Wo",IFERROR(VLOOKUP(INDEX(CZ143:CZ154,DC153),SPPWS,2,FALSE),"----"),IFERROR(VLOOKUP(INDEX(CZ143:CZ154,DC153),SPM,2,FALSE),"----"))</f>
        <v>----</v>
      </c>
      <c r="DE153" s="691" t="e">
        <f t="shared" ca="1" si="2028"/>
        <v>#REF!</v>
      </c>
      <c r="DF153" s="4" t="e" cm="1">
        <f t="array" aca="1" ref="DF153" ca="1">IF(AND(INDEX(INDIRECT(BY143),DE153,4)&gt;=$AB149,INDEX(INDIRECT(BY143),DE153,5)&gt;=$S143,INDEX(INDIRECT(BY143),DE153,6)&gt;=$R143),1,0)</f>
        <v>#REF!</v>
      </c>
      <c r="DG153" s="4" t="e">
        <f t="shared" ref="DG153" ca="1" si="2178">MATCH(1,OFFSET(DF143:DF154,DH152,0,COUNT(DF143:DF154)-DH152),0)</f>
        <v>#REF!</v>
      </c>
      <c r="DH153" s="4" t="e">
        <f t="shared" ca="1" si="2030"/>
        <v>#REF!</v>
      </c>
      <c r="DI153" s="692" t="str" cm="1">
        <f t="array" aca="1" ref="DI153" ca="1">IFERROR(VLOOKUP(INDEX(DE143:DE154,DH153),INDIRECT(BY143),2,FALSE),"----")</f>
        <v>----</v>
      </c>
      <c r="DJ153" s="691" t="e">
        <f t="shared" ca="1" si="2031"/>
        <v>#N/A</v>
      </c>
      <c r="DK153" s="4" t="e">
        <f ca="1">IF(AND(INDEX(SSM,DJ153,4)&gt;=$AB149,INDEX(SSM,DJ153,5)&gt;=$S143,INDEX(SSM,DJ153,6)&gt;=$R143),1,0)</f>
        <v>#N/A</v>
      </c>
      <c r="DL153" s="4" t="e">
        <f t="shared" ref="DL153" ca="1" si="2179">MATCH(1,OFFSET(DK143:DK154,DM152,0,COUNT(DK143:DK154)-DM152),0)</f>
        <v>#REF!</v>
      </c>
      <c r="DM153" s="4" t="e">
        <f t="shared" ca="1" si="2033"/>
        <v>#REF!</v>
      </c>
      <c r="DN153" s="692" t="str">
        <f ca="1">IFERROR(IF(AD150="Nested Steel Stud (wood infill)",VLOOKUP(INDEX(DJ143:DJ154,DM153),SSW,2,FALSE),VLOOKUP(INDEX(DJ143:DJ154,DM153),SSM,2,FALSE)),"----")</f>
        <v>----</v>
      </c>
      <c r="DO153" s="691" t="e">
        <f t="shared" ca="1" si="2034"/>
        <v>#N/A</v>
      </c>
      <c r="DP153" s="4" t="e">
        <f ca="1">IF(AND(INDEX(WSM,DO153,4)&gt;=$AB149,INDEX(WSM,DO153,5)&gt;=$S143,INDEX(WSM,DO153,6)&gt;=$R143),1,0)</f>
        <v>#N/A</v>
      </c>
      <c r="DQ153" s="4" t="e">
        <f t="shared" ref="DQ153" ca="1" si="2180">MATCH(1,OFFSET(DP143:DP154,DR152,0,COUNT(DP143:DP154)-DR152),0)</f>
        <v>#REF!</v>
      </c>
      <c r="DR153" s="4" t="e">
        <f t="shared" ca="1" si="2036"/>
        <v>#REF!</v>
      </c>
      <c r="DS153" s="692" t="str">
        <f ca="1">IFERROR(VLOOKUP(INDEX(DO143:DO154,DR153),WSM,2,FALSE),"----")</f>
        <v>----</v>
      </c>
      <c r="DT153" s="691" t="e">
        <f t="shared" ca="1" si="2037"/>
        <v>#N/A</v>
      </c>
      <c r="DU153" s="4" t="e">
        <f ca="1">IF(AND(INDEX(STM,DT153,4)&gt;=$AB149,INDEX(STM,DT153,5)&gt;=$S143,INDEX(STM,DT153,6)&gt;=$R143),1,0)</f>
        <v>#N/A</v>
      </c>
      <c r="DV153" s="4" t="e">
        <f t="shared" ref="DV153" ca="1" si="2181">MATCH(1,OFFSET(DU143:DU154,DW152,0,COUNT(DU143:DU154)-DW152),0)</f>
        <v>#REF!</v>
      </c>
      <c r="DW153" s="4" t="e">
        <f t="shared" ca="1" si="2039"/>
        <v>#REF!</v>
      </c>
      <c r="DX153" s="692" t="str">
        <f ca="1">IFERROR(VLOOKUP(INDEX(DT143:DT154,DW153),STM,2,FALSE),"----")</f>
        <v>----</v>
      </c>
      <c r="DY153" s="691" t="e">
        <f t="shared" ca="1" si="2040"/>
        <v>#N/A</v>
      </c>
      <c r="DZ153" s="4" t="e">
        <f ca="1">IF(AND(INDEX(ELM,DY153,4)&gt;=$AB149,INDEX(ELM,DY153,5)&gt;=$S143,INDEX(ELM,DY153,6)&gt;=$R143),1,0)</f>
        <v>#N/A</v>
      </c>
      <c r="EA153" s="4" t="e">
        <f t="shared" ref="EA153" ca="1" si="2182">MATCH(1,OFFSET(DZ143:DZ154,EB152,0,COUNT(DZ143:DZ154)-EB152),0)</f>
        <v>#REF!</v>
      </c>
      <c r="EB153" s="4" t="e">
        <f t="shared" ca="1" si="2042"/>
        <v>#REF!</v>
      </c>
      <c r="EC153" s="692" t="str">
        <f ca="1">IFERROR(VLOOKUP(INDEX(DY143:DY154,EB153),ELM,2,FALSE),"----")</f>
        <v>----</v>
      </c>
      <c r="ED153" s="691" t="e">
        <f t="shared" ca="1" si="2043"/>
        <v>#N/A</v>
      </c>
      <c r="EE153" s="4" t="e">
        <f ca="1">IF(LEFT($J143,7)="Clad Wo",IF(AND(INDEX(SPPWS,ED153,4)&gt;=$AB149,INDEX(SPPWS,ED153,5)&gt;=$S143,INDEX(SPPWS,ED153,6)&gt;=$R143),1,0),IF(AND(INDEX(SPM,ED153,4)&gt;=$AB149,INDEX(SPM,ED153,5)&gt;=$S143,INDEX(SPM,ED153,6)&gt;=$R143),1,0))</f>
        <v>#N/A</v>
      </c>
      <c r="EF153" s="4" t="e">
        <f t="shared" ref="EF153" ca="1" si="2183">MATCH(1,OFFSET(EE143:EE154,EG152,0,COUNT(EE143:EE154)-EG152),0)</f>
        <v>#REF!</v>
      </c>
      <c r="EG153" s="4" t="e">
        <f t="shared" ca="1" si="2045"/>
        <v>#REF!</v>
      </c>
      <c r="EH153" s="692" t="str">
        <f ca="1">IF(LEFT($J143,7)="Clad Wo",IFERROR(VLOOKUP(INDEX(ED143:ED154,EG153),SPPWS,2,FALSE),"----"),IFERROR(VLOOKUP(INDEX(ED143:ED154,EG153),SPM,2,FALSE),"----"))</f>
        <v>----</v>
      </c>
    </row>
    <row r="154" spans="1:138" ht="15" customHeight="1" thickBot="1" x14ac:dyDescent="0.3">
      <c r="A154" s="1085"/>
      <c r="B154" s="928"/>
      <c r="C154" s="929"/>
      <c r="D154" s="930"/>
      <c r="E154" s="998"/>
      <c r="F154" s="999"/>
      <c r="G154" s="1000"/>
      <c r="H154" s="1063"/>
      <c r="I154" s="991"/>
      <c r="J154" s="904"/>
      <c r="K154" s="905"/>
      <c r="L154" s="1003"/>
      <c r="M154" s="1065"/>
      <c r="N154" s="1043"/>
      <c r="O154" s="1019"/>
      <c r="P154" s="988"/>
      <c r="Q154" s="1016"/>
      <c r="R154" s="1013"/>
      <c r="S154" s="1008"/>
      <c r="T154" s="1009"/>
      <c r="U154" s="879"/>
      <c r="V154" s="882"/>
      <c r="W154" s="885"/>
      <c r="X154" s="885"/>
      <c r="Y154" s="888"/>
      <c r="Z154" s="888"/>
      <c r="AA154" s="888"/>
      <c r="AB154" s="1082"/>
      <c r="AC154" s="1087"/>
      <c r="AD154" s="1098" t="str">
        <f t="shared" ref="AD154" si="2184">IF(LEFT(J143,7)="Clad Wo","Pella Wood Spr / Steel Pte","Steel Plate")</f>
        <v>Steel Plate</v>
      </c>
      <c r="AE154" s="1099"/>
      <c r="AF154" s="1096"/>
      <c r="AG154" s="1097"/>
      <c r="AH154" s="1097"/>
      <c r="AI154" s="1094"/>
      <c r="AJ154" s="1095"/>
      <c r="AK154" s="163" t="str">
        <f t="shared" ca="1" si="1130"/>
        <v/>
      </c>
      <c r="AL154" s="1060"/>
      <c r="AM154" s="345" t="str">
        <f ca="1">IFERROR(Q143/12*ROUND(VLOOKUP(AF154,OFFSET(SPM,0,1),6,FALSE),2),"")</f>
        <v/>
      </c>
      <c r="AN154" t="str">
        <f t="shared" ca="1" si="1154"/>
        <v/>
      </c>
      <c r="AP154" s="699" t="str">
        <f t="shared" ref="AP154" si="2185">_xlfn.CONCAT(AR154,AS154)</f>
        <v/>
      </c>
      <c r="AQ154" s="700" t="str">
        <f t="shared" si="1353"/>
        <v/>
      </c>
      <c r="AR154" s="160" t="str">
        <f t="shared" si="1114"/>
        <v/>
      </c>
      <c r="AS154" s="160" t="str">
        <f>IFERROR(VLOOKUP(J151, WallType,2,FALSE),"")</f>
        <v/>
      </c>
      <c r="AT154" s="707" t="str">
        <f>AL149</f>
        <v/>
      </c>
      <c r="AU154" s="708" t="e">
        <f t="shared" ca="1" si="1370"/>
        <v>#REF!</v>
      </c>
      <c r="AV154" s="709" t="str">
        <f ca="1">IFERROR(VLOOKUP(AU154,INDIRECT(AQ143),2,FALSE),"----")</f>
        <v>----</v>
      </c>
      <c r="AW154" s="710" t="e">
        <f t="shared" ca="1" si="1371"/>
        <v>#REF!</v>
      </c>
      <c r="AX154" s="709" t="str">
        <f ca="1">IFERROR(VLOOKUP(AW154,INDIRECT(AQ144),2,FALSE),"----")</f>
        <v>----</v>
      </c>
      <c r="AY154" s="710" t="e">
        <f t="shared" ca="1" si="1919"/>
        <v>#REF!</v>
      </c>
      <c r="AZ154" s="709" t="str">
        <f ca="1">IFERROR(VLOOKUP(AY154,INDIRECT(AQ145),2,FALSE),"----")</f>
        <v>----</v>
      </c>
      <c r="BA154" s="710" t="e">
        <f t="shared" ca="1" si="1920"/>
        <v>#REF!</v>
      </c>
      <c r="BB154" s="709" t="str">
        <f ca="1">IFERROR(VLOOKUP(BA154,INDIRECT(AQ146),2,FALSE),"----")</f>
        <v>----</v>
      </c>
      <c r="BC154" s="710" t="e">
        <f t="shared" ca="1" si="1374"/>
        <v>#REF!</v>
      </c>
      <c r="BD154" s="709" t="str">
        <f ca="1">IFERROR(VLOOKUP(BC154,INDIRECT(AQ147),2,FALSE),"----")</f>
        <v>----</v>
      </c>
      <c r="BE154" s="710" t="e">
        <f t="shared" ca="1" si="1375"/>
        <v>#REF!</v>
      </c>
      <c r="BF154" s="709" t="str">
        <f ca="1">IFERROR(VLOOKUP(BE154,INDIRECT(AQ148),2,FALSE),"----")</f>
        <v>----</v>
      </c>
      <c r="BG154" s="710" t="e">
        <f t="shared" ca="1" si="1376"/>
        <v>#REF!</v>
      </c>
      <c r="BH154" s="711" t="str">
        <f ca="1">IFERROR(VLOOKUP(BG154,INDIRECT(AQ149),2,FALSE),"----")</f>
        <v>----</v>
      </c>
      <c r="BI154" s="710" t="e">
        <f t="shared" ca="1" si="1377"/>
        <v>#REF!</v>
      </c>
      <c r="BJ154" s="711" t="str">
        <f ca="1">IFERROR(VLOOKUP(BI154,INDIRECT(AQ150),2,FALSE),"----")</f>
        <v>----</v>
      </c>
      <c r="BK154" s="710" t="e">
        <f t="shared" ca="1" si="1378"/>
        <v>#REF!</v>
      </c>
      <c r="BL154" s="711" t="str">
        <f ca="1">IFERROR(VLOOKUP(BK154,INDIRECT(AQ151),2,FALSE),"----")</f>
        <v>----</v>
      </c>
      <c r="BM154" s="710" t="e">
        <f t="shared" ca="1" si="1379"/>
        <v>#REF!</v>
      </c>
      <c r="BN154" s="711" t="str">
        <f ca="1">IFERROR(VLOOKUP(BM154,INDIRECT(AQ152),2,FALSE),"----")</f>
        <v>----</v>
      </c>
      <c r="BO154" s="710" t="e">
        <f t="shared" ca="1" si="1380"/>
        <v>#REF!</v>
      </c>
      <c r="BP154" s="711" t="str">
        <f ca="1">IFERROR(VLOOKUP(BO154,INDIRECT(AQ153),2,FALSE),"----")</f>
        <v>----</v>
      </c>
      <c r="BQ154" s="710" t="e">
        <f t="shared" ca="1" si="1381"/>
        <v>#REF!</v>
      </c>
      <c r="BR154" s="712" t="str">
        <f ca="1">IFERROR(VLOOKUP(BQ154,INDIRECT(AQ154),2,FALSE),"----")</f>
        <v>----</v>
      </c>
      <c r="BS154" s="695">
        <f>IF(AI154="",1,IF(COUNTIF(BR143:BR154,AI154)=0,2,1))</f>
        <v>1</v>
      </c>
      <c r="BT154" s="713">
        <f>IF(AF154="",1,IF(BR143=".",2,1))</f>
        <v>1</v>
      </c>
      <c r="BV154" s="155">
        <f ca="1">IF(COUNTIF(EH143:EH154,AF154)=0,IF(AF154&lt;&gt;"",0,1),1)</f>
        <v>1</v>
      </c>
      <c r="BW154" s="157">
        <f ca="1">IFERROR(MATCH(AF154,EH143:EH154,0),1)</f>
        <v>1</v>
      </c>
      <c r="BX154" s="718"/>
      <c r="BY154" s="777"/>
      <c r="BZ154" s="1110"/>
      <c r="CA154" s="714" t="e">
        <f t="shared" ca="1" si="2010"/>
        <v>#REF!</v>
      </c>
      <c r="CB154" s="715" t="e" cm="1">
        <f t="array" aca="1" ref="CB154" ca="1">IF(AND(INDEX(INDIRECT(BY143),CA154,4)&gt;=$AB143,INDEX(INDIRECT(BY143),CA154,5)&gt;=$S143,INDEX(INDIRECT(BY143),CA154,6)&gt;=$R143),1,0)</f>
        <v>#REF!</v>
      </c>
      <c r="CC154" s="715" t="e">
        <f t="shared" ref="CC154" ca="1" si="2186">MATCH(1,OFFSET(CB143:CB154,CD153,0,COUNT(CB143:CB154)-CD153),0)</f>
        <v>#REF!</v>
      </c>
      <c r="CD154" s="715" t="e">
        <f t="shared" ca="1" si="2012"/>
        <v>#REF!</v>
      </c>
      <c r="CE154" s="716" t="str" cm="1">
        <f t="array" aca="1" ref="CE154" ca="1">IFERROR(VLOOKUP(INDEX(CA143:CA154,CD154),INDIRECT(BY143),2,FALSE),"----")</f>
        <v>----</v>
      </c>
      <c r="CF154" s="714" t="e">
        <f t="shared" ca="1" si="2013"/>
        <v>#N/A</v>
      </c>
      <c r="CG154" s="715" t="e">
        <f ca="1">IF(AND(INDEX(SSM,CF154,4)&gt;=$AB143,INDEX(SSM,CF154,5)&gt;=$S143,INDEX(SSM,CF154,6)&gt;=$R143),1,0)</f>
        <v>#N/A</v>
      </c>
      <c r="CH154" s="715" t="e">
        <f t="shared" ref="CH154" ca="1" si="2187">MATCH(1,OFFSET(CG143:CG154,CI153,0,COUNT(CG143:CG154)-CI153),0)</f>
        <v>#REF!</v>
      </c>
      <c r="CI154" s="715" t="e">
        <f t="shared" ca="1" si="2015"/>
        <v>#REF!</v>
      </c>
      <c r="CJ154" s="716" t="str">
        <f ca="1">IFERROR(IF(AD144="Nested Steel Stud (wood infill)",VLOOKUP(INDEX(CF143:CF154,CI154),SSW,2,FALSE),VLOOKUP(INDEX(CF143:CF154,CI154),SSM,2,FALSE)),"----")</f>
        <v>----</v>
      </c>
      <c r="CK154" s="714" t="e">
        <f t="shared" ca="1" si="2016"/>
        <v>#N/A</v>
      </c>
      <c r="CL154" s="715" t="e">
        <f ca="1">IF(AND(INDEX(WSM,CK154,4)&gt;=$AB143,INDEX(WSM,CK154,5)&gt;=$S143,INDEX(WSM,CK154,6)&gt;=$R143),1,0)</f>
        <v>#N/A</v>
      </c>
      <c r="CM154" s="715" t="e">
        <f t="shared" ref="CM154" ca="1" si="2188">MATCH(1,OFFSET(CL143:CL154,CN153,0,COUNT(CL143:CL154)-CN153),0)</f>
        <v>#REF!</v>
      </c>
      <c r="CN154" s="715" t="e">
        <f t="shared" ca="1" si="2018"/>
        <v>#REF!</v>
      </c>
      <c r="CO154" s="716" t="str">
        <f ca="1">IFERROR(VLOOKUP(INDEX(CK143:CK154,CN154),WSM,2,FALSE),"----")</f>
        <v>----</v>
      </c>
      <c r="CP154" s="714" t="e">
        <f t="shared" ca="1" si="2019"/>
        <v>#N/A</v>
      </c>
      <c r="CQ154" s="715" t="e">
        <f ca="1">IF(AND(INDEX(STM,CP154,4)&gt;=$AB143,INDEX(STM,CP154,5)&gt;=$S143,INDEX(STM,CP154,6)&gt;=$R143),1,0)</f>
        <v>#N/A</v>
      </c>
      <c r="CR154" s="715" t="e">
        <f t="shared" ref="CR154" ca="1" si="2189">MATCH(1,OFFSET(CQ143:CQ154,CS153,0,COUNT(CQ143:CQ154)-CS153),0)</f>
        <v>#REF!</v>
      </c>
      <c r="CS154" s="715" t="e">
        <f t="shared" ca="1" si="2021"/>
        <v>#REF!</v>
      </c>
      <c r="CT154" s="716" t="str">
        <f ca="1">IFERROR(VLOOKUP(INDEX(CP143:CP154,CS154),STM,2,FALSE),"----")</f>
        <v>----</v>
      </c>
      <c r="CU154" s="714" t="e">
        <f t="shared" ca="1" si="2022"/>
        <v>#N/A</v>
      </c>
      <c r="CV154" s="715" t="e">
        <f ca="1">IF(AND(INDEX(ELM,CU154,4)&gt;=$AB143,INDEX(ELM,CU154,5)&gt;=$S143,INDEX(ELM,CU154,6)&gt;=$R143),1,0)</f>
        <v>#N/A</v>
      </c>
      <c r="CW154" s="715" t="e">
        <f t="shared" ref="CW154" ca="1" si="2190">MATCH(1,OFFSET(CV143:CV154,CX153,0,COUNT(CV143:CV154)-CX153),0)</f>
        <v>#REF!</v>
      </c>
      <c r="CX154" s="715" t="e">
        <f t="shared" ca="1" si="2024"/>
        <v>#REF!</v>
      </c>
      <c r="CY154" s="716" t="str">
        <f ca="1">IFERROR(VLOOKUP(INDEX(CU143:CU154,CX154),ELM,2,FALSE),"----")</f>
        <v>----</v>
      </c>
      <c r="CZ154" s="714" t="e">
        <f t="shared" ca="1" si="2025"/>
        <v>#N/A</v>
      </c>
      <c r="DA154" s="715" t="e">
        <f ca="1">IF(LEFT($J143,7)="Clad Wo",IF(AND(INDEX(SPPWS,CZ154,4)&gt;=$AB143,INDEX(SPPWS,CZ154,5)&gt;=$S143,INDEX(SPPWS,CZ154,6)&gt;=$R143),1,0),IF(AND(INDEX(SPM,CZ154,4)&gt;=$AB143,INDEX(SPM,CZ154,5)&gt;=$S143,INDEX(SPM,CZ154,6)&gt;=$R143),1,0))</f>
        <v>#N/A</v>
      </c>
      <c r="DB154" s="715" t="e">
        <f t="shared" ref="DB154" ca="1" si="2191">MATCH(1,OFFSET(DA143:DA154,DC153,0,COUNT(DA143:DA154)-DC153),0)</f>
        <v>#REF!</v>
      </c>
      <c r="DC154" s="715" t="e">
        <f t="shared" ca="1" si="2027"/>
        <v>#REF!</v>
      </c>
      <c r="DD154" s="717" t="str">
        <f ca="1">IF(LEFT($J143,7)="Clad Wo",IFERROR(VLOOKUP(INDEX(CZ143:CZ154,DC154),SPPWS,2,FALSE),"----"),IFERROR(VLOOKUP(INDEX(CZ143:CZ154,DC154),SPM,2,FALSE),"----"))</f>
        <v>----</v>
      </c>
      <c r="DE154" s="714" t="e">
        <f t="shared" ca="1" si="2028"/>
        <v>#REF!</v>
      </c>
      <c r="DF154" s="715" t="e" cm="1">
        <f t="array" aca="1" ref="DF154" ca="1">IF(AND(INDEX(INDIRECT(BY143),DE154,4)&gt;=$AB149,INDEX(INDIRECT(BY143),DE154,5)&gt;=$S143,INDEX(INDIRECT(BY143),DE154,6)&gt;=$R143),1,0)</f>
        <v>#REF!</v>
      </c>
      <c r="DG154" s="715" t="e">
        <f t="shared" ref="DG154" ca="1" si="2192">MATCH(1,OFFSET(DF143:DF154,DH153,0,COUNT(DF143:DF154)-DH153),0)</f>
        <v>#REF!</v>
      </c>
      <c r="DH154" s="715" t="e">
        <f t="shared" ca="1" si="2030"/>
        <v>#REF!</v>
      </c>
      <c r="DI154" s="716" t="str" cm="1">
        <f t="array" aca="1" ref="DI154" ca="1">IFERROR(VLOOKUP(INDEX(DE143:DE154,DH154),INDIRECT(BY143),2,FALSE),"----")</f>
        <v>----</v>
      </c>
      <c r="DJ154" s="714" t="e">
        <f t="shared" ca="1" si="2031"/>
        <v>#N/A</v>
      </c>
      <c r="DK154" s="715" t="e">
        <f ca="1">IF(AND(INDEX(SSM,DJ154,4)&gt;=$AB149,INDEX(SSM,DJ154,5)&gt;=$S143,INDEX(SSM,DJ154,6)&gt;=$R143),1,0)</f>
        <v>#N/A</v>
      </c>
      <c r="DL154" s="715" t="e">
        <f t="shared" ref="DL154" ca="1" si="2193">MATCH(1,OFFSET(DK143:DK154,DM153,0,COUNT(DK143:DK154)-DM153),0)</f>
        <v>#REF!</v>
      </c>
      <c r="DM154" s="715" t="e">
        <f t="shared" ca="1" si="2033"/>
        <v>#REF!</v>
      </c>
      <c r="DN154" s="716" t="str">
        <f ca="1">IFERROR(IF(AD150="Nested Steel Stud (wood infill)",VLOOKUP(INDEX(DJ143:DJ154,DM154),SSW,2,FALSE),VLOOKUP(INDEX(DJ143:DJ154,DM154),SSM,2,FALSE)),"----")</f>
        <v>----</v>
      </c>
      <c r="DO154" s="714" t="e">
        <f t="shared" ca="1" si="2034"/>
        <v>#N/A</v>
      </c>
      <c r="DP154" s="715" t="e">
        <f ca="1">IF(AND(INDEX(WSM,DO154,4)&gt;=$AB149,INDEX(WSM,DO154,5)&gt;=$S143,INDEX(WSM,DO154,6)&gt;=$R143),1,0)</f>
        <v>#N/A</v>
      </c>
      <c r="DQ154" s="715" t="e">
        <f t="shared" ref="DQ154" ca="1" si="2194">MATCH(1,OFFSET(DP143:DP154,DR153,0,COUNT(DP143:DP154)-DR153),0)</f>
        <v>#REF!</v>
      </c>
      <c r="DR154" s="715" t="e">
        <f t="shared" ca="1" si="2036"/>
        <v>#REF!</v>
      </c>
      <c r="DS154" s="716" t="str">
        <f ca="1">IFERROR(VLOOKUP(INDEX(DO143:DO154,DR154),WSM,2,FALSE),"----")</f>
        <v>----</v>
      </c>
      <c r="DT154" s="714" t="e">
        <f t="shared" ca="1" si="2037"/>
        <v>#N/A</v>
      </c>
      <c r="DU154" s="715" t="e">
        <f ca="1">IF(AND(INDEX(STM,DT154,4)&gt;=$AB149,INDEX(STM,DT154,5)&gt;=$S143,INDEX(STM,DT154,6)&gt;=$R143),1,0)</f>
        <v>#N/A</v>
      </c>
      <c r="DV154" s="715" t="e">
        <f t="shared" ref="DV154" ca="1" si="2195">MATCH(1,OFFSET(DU143:DU154,DW153,0,COUNT(DU143:DU154)-DW153),0)</f>
        <v>#REF!</v>
      </c>
      <c r="DW154" s="715" t="e">
        <f t="shared" ca="1" si="2039"/>
        <v>#REF!</v>
      </c>
      <c r="DX154" s="716" t="str">
        <f ca="1">IFERROR(VLOOKUP(INDEX(DT143:DT154,DW154),STM,2,FALSE),"----")</f>
        <v>----</v>
      </c>
      <c r="DY154" s="714" t="e">
        <f t="shared" ca="1" si="2040"/>
        <v>#N/A</v>
      </c>
      <c r="DZ154" s="715" t="e">
        <f ca="1">IF(AND(INDEX(ELM,DY154,4)&gt;=$AB149,INDEX(ELM,DY154,5)&gt;=$S143,INDEX(ELM,DY154,6)&gt;=$R143),1,0)</f>
        <v>#N/A</v>
      </c>
      <c r="EA154" s="715" t="e">
        <f t="shared" ref="EA154" ca="1" si="2196">MATCH(1,OFFSET(DZ143:DZ154,EB153,0,COUNT(DZ143:DZ154)-EB153),0)</f>
        <v>#REF!</v>
      </c>
      <c r="EB154" s="715" t="e">
        <f t="shared" ca="1" si="2042"/>
        <v>#REF!</v>
      </c>
      <c r="EC154" s="716" t="str">
        <f ca="1">IFERROR(VLOOKUP(INDEX(DY143:DY154,EB154),ELM,2,FALSE),"----")</f>
        <v>----</v>
      </c>
      <c r="ED154" s="714" t="e">
        <f t="shared" ca="1" si="2043"/>
        <v>#N/A</v>
      </c>
      <c r="EE154" s="715" t="e">
        <f ca="1">IF(LEFT($J143,7)="Clad Wo",IF(AND(INDEX(SPPWS,ED154,4)&gt;=$AB149,INDEX(SPPWS,ED154,5)&gt;=$S143,INDEX(SPPWS,ED154,6)&gt;=$R143),1,0),IF(AND(INDEX(SPM,ED154,4)&gt;=$AB149,INDEX(SPM,ED154,5)&gt;=$S143,INDEX(SPM,ED154,6)&gt;=$R143),1,0))</f>
        <v>#N/A</v>
      </c>
      <c r="EF154" s="715" t="e">
        <f t="shared" ref="EF154" ca="1" si="2197">MATCH(1,OFFSET(EE143:EE154,EG153,0,COUNT(EE143:EE154)-EG153),0)</f>
        <v>#REF!</v>
      </c>
      <c r="EG154" s="715" t="e">
        <f t="shared" ca="1" si="2045"/>
        <v>#REF!</v>
      </c>
      <c r="EH154" s="716" t="str">
        <f ca="1">IF(LEFT($J143,7)="Clad Wo",IFERROR(VLOOKUP(INDEX(ED143:ED154,EG154),SPPWS,2,FALSE),"----"),IFERROR(VLOOKUP(INDEX(ED143:ED154,EG154),SPM,2,FALSE),"----"))</f>
        <v>----</v>
      </c>
    </row>
    <row r="155" spans="1:138" ht="15" customHeight="1" thickTop="1" x14ac:dyDescent="0.25">
      <c r="A155" s="1085"/>
      <c r="B155" s="931" t="s">
        <v>92</v>
      </c>
      <c r="C155" s="932"/>
      <c r="D155" s="933"/>
      <c r="E155" s="992"/>
      <c r="F155" s="993"/>
      <c r="G155" s="994"/>
      <c r="H155" s="1061"/>
      <c r="I155" s="989"/>
      <c r="J155" s="906"/>
      <c r="K155" s="907"/>
      <c r="L155" s="1001">
        <f>$W$3</f>
        <v>4</v>
      </c>
      <c r="M155" s="923" t="str">
        <f t="shared" ref="M155" si="2198">IFERROR(IF($AE$13="",IF($AG$19="Wind Loading",MIN($V$31,IF(E$11="ASCE 7-05",$U$26,$V$7)*$V$9*(IF($E$12&lt;60,0.0771*LN(MAX(MIN(500,O155),10)) -1.2737,IF($E$11="ASCE 7-22",0.0524*LN(MAX(MIN(500,O155),50))-1.0278,0.0614*LN(MAX(MIN(500,O155),20)) -1.0829))-$V$8)),$V$7*IF(E$12&lt;60,$V$13*($V$15*0.0771*LN(MAX(MIN(500,O155),10))-1.2737-$V$16),$V$13*$V$15*((0.0524*LN(MAX(MIN(500,O155),20))-1.0278)-$V$16))),-ABS($AE$13)),"")</f>
        <v/>
      </c>
      <c r="N155" s="1042" t="str">
        <f t="shared" ref="N155" si="2199">IFERROR(IF($AE$15="",IF($AG$19="Wind Loading",MAX($U$31,IF(E$11="ASCE 7-05",$U$26,$V$7)*$V$9*((IF($E$12&lt;60,-0.077*LN(MAX(MIN(500,O155),10))+1.1737,IF($E$11="ASCE 7-22",-0.077*LN(MAX(MIN(500,O155),20))+1.0798,-0.093*LN(MAX(MIN(500,O155),20))+1.1776)))+$V$8)),$V$7*IF(E$12&lt;60,$V$13*($V$15*(-0.077*LN(MAX(MIN(500,O155),10))+1.1737)-$V$17),$V$13*$V$15*((-0.077*LN(MAX(MIN(500,O155),20))+1.0798)-$V$17))),ABS($AE$15)),"")</f>
        <v/>
      </c>
      <c r="O155" s="1017" t="str">
        <f>IF(BX162=0,"",IF(AG$14="Trapezoidal",BY162,BX162))</f>
        <v/>
      </c>
      <c r="P155" s="986"/>
      <c r="Q155" s="1014"/>
      <c r="R155" s="1011">
        <f>P155*Q155/8</f>
        <v>0</v>
      </c>
      <c r="S155" s="1004">
        <f t="shared" ref="S155" si="2200">IF(5*(P155*Q155^3/(384*0.125))=0,0,5*(P155*Q155^3/(384*0.125)))</f>
        <v>0</v>
      </c>
      <c r="T155" s="1005"/>
      <c r="U155" s="877" t="e">
        <f ca="1">VLOOKUP(J159,INDIRECT(VLOOKUP(J155,FrameStrength,2,FALSE)),3,FALSE)</f>
        <v>#N/A</v>
      </c>
      <c r="V155" s="880">
        <f t="shared" ref="V155" si="2201">(H155+I155)/2</f>
        <v>0</v>
      </c>
      <c r="W155" s="883" t="e">
        <f t="shared" ref="W155" si="2202">MAX(-M155,N155)*O155</f>
        <v>#VALUE!</v>
      </c>
      <c r="X155" s="883">
        <f t="shared" ref="X155" si="2203">IF(E155&gt;162,(E155/240+0.25),IF(AND(E155&lt;162,E155/175&lt;0.75),E155/175,0.75))</f>
        <v>0</v>
      </c>
      <c r="Y155" s="886">
        <f>IFERROR(IF(AG$14="Trapezoidal",BY163,BX163)+IF($E$17="4",(400*E155^3)/(48*X155),0),0)</f>
        <v>0</v>
      </c>
      <c r="Z155" s="886" t="e">
        <f t="shared" ref="Z155" si="2204">+($V155*MAX(-$M155,$N155)*$E155^2)/(144*8)+IF($E$17=4,(400*$E155)/4,0)</f>
        <v>#VALUE!</v>
      </c>
      <c r="AA155" s="886" t="e">
        <f ca="1">VLOOKUP(J159,INDIRECT(VLOOKUP(J155,FrameStrength,2,FALSE)),2,FALSE)</f>
        <v>#N/A</v>
      </c>
      <c r="AB155" s="1083" t="str">
        <f t="shared" ref="AB155" ca="1" si="2205">IFERROR(Z155-AA155,"")</f>
        <v/>
      </c>
      <c r="AC155" s="1077" t="str">
        <f t="shared" ref="AC155" ca="1" si="2206">IFERROR(Y155-U155,"")</f>
        <v/>
      </c>
      <c r="AD155" s="1100" t="str">
        <f>IFERROR(IF(LEFT(J159,2)="As",VLOOKUP(J159,EIMM,4,FALSE),VLOOKUP(J155,EIMM,4,FALSE)),IF(AND(ISNUMBER(SEARCH("Impervia",J155)),ISNUMBER(SEARCH("door",J159))),'New Lookup Cells'!AF$10,IF(ISNUMBER(SEARCH("Impervia",J155)),'New Lookup Cells'!AF$7,IF(AND(ISNUMBER(SEARCH("250",J155)),ISNUMBER(SEARCH("door",J159))),'New Lookup Cells'!AF$14,IF(ISNUMBER(SEARCH("250",J155)),'New Lookup Cells'!AF$13,"")))))</f>
        <v/>
      </c>
      <c r="AE155" s="1101"/>
      <c r="AF155" s="1050"/>
      <c r="AG155" s="1051"/>
      <c r="AH155" s="1051"/>
      <c r="AI155" s="1088"/>
      <c r="AJ155" s="1089"/>
      <c r="AK155" s="154" t="str">
        <f t="shared" ca="1" si="1130"/>
        <v/>
      </c>
      <c r="AL155" s="1038" t="str">
        <f t="shared" ref="AL155" si="2207">IFERROR(ROUND(SQRT(P155^2+(W155/2+IF($E$17=4,200,0))^2),0),"")</f>
        <v/>
      </c>
      <c r="AM155" s="342" t="s">
        <v>669</v>
      </c>
      <c r="AN155" t="str">
        <f t="shared" ca="1" si="1154"/>
        <v/>
      </c>
      <c r="AP155" s="122" t="str">
        <f t="shared" ref="AP155" si="2208">_xlfn.CONCAT(AR155,AS160)</f>
        <v/>
      </c>
      <c r="AQ155" s="683" t="str">
        <f t="shared" si="1353"/>
        <v/>
      </c>
      <c r="AR155" s="96" t="str">
        <f t="shared" si="1114"/>
        <v/>
      </c>
      <c r="AS155" s="96" t="str">
        <f>IF(COUNTIF(imp_1,AF155)=1,"imp_1",IF(COUNTIF(imp_2,AF155)=1,"imp_2",IF(COUNTIF(imp_3,AF155)=1,"imp_3",IF(COUNTIF(impdoor,AF155)=1,"impdoor",""))))</f>
        <v/>
      </c>
      <c r="AT155" s="684" t="str">
        <f>AL155</f>
        <v/>
      </c>
      <c r="AU155" s="685" t="e">
        <f ca="1">MATCH(AL155,INDIRECT(AP155),-1)</f>
        <v>#REF!</v>
      </c>
      <c r="AV155" s="686" t="str">
        <f ca="1">IFERROR(VLOOKUP(AU155,INDIRECT(AQ155),2,FALSE),"----")</f>
        <v>----</v>
      </c>
      <c r="AW155" s="685" t="e">
        <f ca="1">MATCH(AL155,INDIRECT(AP156),-1)</f>
        <v>#REF!</v>
      </c>
      <c r="AX155" s="686" t="str">
        <f ca="1">IFERROR(VLOOKUP(AW155,INDIRECT(AQ156),2,FALSE),"----")</f>
        <v>----</v>
      </c>
      <c r="AY155" s="685" t="e">
        <f ca="1">MATCH(AL155,INDIRECT(AP157),-1)</f>
        <v>#REF!</v>
      </c>
      <c r="AZ155" s="686" t="str">
        <f ca="1">IFERROR(VLOOKUP(AY155,INDIRECT(AQ157),2,FALSE),"----")</f>
        <v>----</v>
      </c>
      <c r="BA155" s="685" t="e">
        <f ca="1">MATCH(AL155,INDIRECT(AP158),-1)</f>
        <v>#REF!</v>
      </c>
      <c r="BB155" s="686" t="str">
        <f ca="1">IFERROR(VLOOKUP(BA155,INDIRECT(AQ158),2,FALSE),"----")</f>
        <v>----</v>
      </c>
      <c r="BC155" s="685" t="e">
        <f ca="1">MATCH(AL155,INDIRECT(AP159),-1)</f>
        <v>#REF!</v>
      </c>
      <c r="BD155" s="686" t="str">
        <f ca="1">IFERROR(VLOOKUP(BC155,INDIRECT(AQ159),2,FALSE),"----")</f>
        <v>----</v>
      </c>
      <c r="BE155" s="685" t="e">
        <f ca="1">MATCH(AL155,INDIRECT(AP160),-1)</f>
        <v>#REF!</v>
      </c>
      <c r="BF155" s="686" t="str">
        <f ca="1">IFERROR(VLOOKUP(BE155,INDIRECT(AQ160),2,FALSE),"----")</f>
        <v>----</v>
      </c>
      <c r="BG155" s="685" t="e">
        <f ca="1">MATCH(AL161,INDIRECT(AP161),-1)</f>
        <v>#REF!</v>
      </c>
      <c r="BH155" s="686" t="str">
        <f ca="1">IFERROR(VLOOKUP(BG155,INDIRECT(AQ161),2,FALSE),"----")</f>
        <v>----</v>
      </c>
      <c r="BI155" s="685" t="e">
        <f ca="1">MATCH(AL161,INDIRECT(AP162),-1)</f>
        <v>#REF!</v>
      </c>
      <c r="BJ155" s="686" t="str">
        <f ca="1">IFERROR(VLOOKUP(BI155,INDIRECT(AQ162),2,FALSE),"----")</f>
        <v>----</v>
      </c>
      <c r="BK155" s="685" t="e">
        <f ca="1">MATCH(AL161,INDIRECT(AP163),-1)</f>
        <v>#REF!</v>
      </c>
      <c r="BL155" s="686" t="str">
        <f ca="1">IFERROR(VLOOKUP(BK155,INDIRECT(AQ163),2,FALSE),"----")</f>
        <v>----</v>
      </c>
      <c r="BM155" s="685" t="e">
        <f ca="1">MATCH(AL161,INDIRECT(AP164),-1)</f>
        <v>#REF!</v>
      </c>
      <c r="BN155" s="686" t="str">
        <f ca="1">IFERROR(VLOOKUP(BM155,INDIRECT(AQ164),2,FALSE),"----")</f>
        <v>----</v>
      </c>
      <c r="BO155" s="685" t="e">
        <f ca="1">MATCH(AL161,INDIRECT(AP165),-1)</f>
        <v>#REF!</v>
      </c>
      <c r="BP155" s="686" t="str">
        <f ca="1">IFERROR(VLOOKUP(BO155,INDIRECT(AQ165),2,FALSE),"----")</f>
        <v>----</v>
      </c>
      <c r="BQ155" s="685" t="e">
        <f ca="1">MATCH(AL161,INDIRECT(AP166),-1)</f>
        <v>#REF!</v>
      </c>
      <c r="BR155" s="686" t="str">
        <f ca="1">IFERROR(VLOOKUP(BQ155,INDIRECT(AQ166),2,FALSE),"----")</f>
        <v>----</v>
      </c>
      <c r="BS155" s="687">
        <f>IF(AI155="",1,IF(COUNTIF(AV155:AV166,AI155)=0,2,1))</f>
        <v>1</v>
      </c>
      <c r="BT155" s="688">
        <f>IF(AP155="1",1,IF(AF155="",1,IF(AV155=".",2,1)))</f>
        <v>1</v>
      </c>
      <c r="BU155" s="706"/>
      <c r="BV155" s="155">
        <f ca="1">IF(COUNTIF(CE155:CE166,AF155)=0,IF(AF155&lt;&gt;"",0,1),1)</f>
        <v>1</v>
      </c>
      <c r="BW155" s="157">
        <f ca="1">IFERROR(MATCH(AF155,CE155:CE166,0),1)</f>
        <v>1</v>
      </c>
      <c r="BX155" s="769" t="str">
        <f>IFERROR(IF(LEFT(J159,2)="As",VLOOKUP(J159,EIMM,2,FALSE),IF(AND(ISNUMBER(SEARCH("Impervia",J155)),ISNUMBER(SEARCH("door",J159))),VLOOKUP("Impervia Door",EIMM,2,FALSE),IF(AND(ISNUMBER(SEARCH("250",J155)),ISNUMBER(SEARCH("door",J159))),VLOOKUP("250 Series Door",EIMM,2,FALSE),VLOOKUP(J155,EIMM,2,FALSE)))),"")</f>
        <v/>
      </c>
      <c r="BY155" s="769" t="str">
        <f ca="1">IFERROR(VLOOKUP(BX155,OFFSET(EIMM,0,1),2,FALSE),"")</f>
        <v/>
      </c>
      <c r="BZ155" s="1110" t="e">
        <f ca="1">IF((COUNTIF(INDIRECT(SUBSTITUTE(J155," ","_")),J159))=0,IF(J159="",1,0),1)</f>
        <v>#REF!</v>
      </c>
      <c r="CA155" s="691" t="e">
        <f ca="1">MATCH(AC155,INDIRECT(BX155),-1)</f>
        <v>#REF!</v>
      </c>
      <c r="CB155" s="4" t="e" cm="1">
        <f t="array" aca="1" ref="CB155" ca="1">IF(AND(INDEX(INDIRECT(BY155),CA155,4)&gt;=$AB155,INDEX(INDIRECT(BY155),CA155,5)&gt;=$S155,INDEX(INDIRECT(BY155),CA155,6)&gt;=$R155),1,0)</f>
        <v>#REF!</v>
      </c>
      <c r="CC155" s="4" t="e">
        <f t="shared" ref="CC155" ca="1" si="2209">MATCH(1,OFFSET(CB155:CB166,$W$2,0,COUNT(CB155:CB166)-$W$2),0)</f>
        <v>#REF!</v>
      </c>
      <c r="CD155" s="4" t="e">
        <f t="shared" ref="CD155" ca="1" si="2210">$W$2+CC155</f>
        <v>#REF!</v>
      </c>
      <c r="CE155" s="692" t="str" cm="1">
        <f t="array" aca="1" ref="CE155" ca="1">IFERROR(VLOOKUP(INDEX(CA155:CA166,CD155),INDIRECT(BY155),2,FALSE),"----")</f>
        <v>----</v>
      </c>
      <c r="CF155" s="691" t="e">
        <f ca="1">MATCH($AC155,SSEI,-1)</f>
        <v>#N/A</v>
      </c>
      <c r="CG155" s="4" t="e">
        <f ca="1">IF(AND(INDEX(SSM,CF155,4)&gt;=$AB155,INDEX(SSM,CF155,5)&gt;=$S155,INDEX(SSM,CF155,6)&gt;=$R155),1,0)</f>
        <v>#N/A</v>
      </c>
      <c r="CH155" s="4" t="e">
        <f t="shared" ref="CH155" ca="1" si="2211">MATCH(1,OFFSET(CG155:CG166,$W$2,0,COUNT(CG155:CG166)-$W$2),0)</f>
        <v>#REF!</v>
      </c>
      <c r="CI155" s="4" t="e">
        <f t="shared" ref="CI155" ca="1" si="2212">$W$2+CH155</f>
        <v>#REF!</v>
      </c>
      <c r="CJ155" s="692" t="str">
        <f ca="1">IFERROR(IF(AD156="Nested Steel Stud (wood infill)",VLOOKUP(INDEX(CF155:CF166,CI155),SSW,2,FALSE),VLOOKUP(INDEX(CF155:CF166,CI155),SSM,2,FALSE)),"----")</f>
        <v>----</v>
      </c>
      <c r="CK155" s="691" t="e">
        <f ca="1">MATCH($AC155,WSEI,-1)</f>
        <v>#N/A</v>
      </c>
      <c r="CL155" s="4" t="e">
        <f ca="1">IF(AND(INDEX(WSM,CK155,4)&gt;=$AB155,INDEX(WSM,CK155,5)&gt;=$S155,INDEX(WSM,CK155,6)&gt;=$R155),1,0)</f>
        <v>#N/A</v>
      </c>
      <c r="CM155" s="4" t="e">
        <f t="shared" ref="CM155" ca="1" si="2213">MATCH(1,OFFSET(CL155:CL166,$W$2,0,COUNT(CL155:CL166)-$W$2),0)</f>
        <v>#REF!</v>
      </c>
      <c r="CN155" s="4" t="e">
        <f t="shared" ref="CN155" ca="1" si="2214">$W$2+CM155</f>
        <v>#REF!</v>
      </c>
      <c r="CO155" s="692" t="str">
        <f ca="1">IFERROR(VLOOKUP(INDEX(CK155:CK166,CN155),WSM,2,FALSE),"----")</f>
        <v>----</v>
      </c>
      <c r="CP155" s="691" t="e">
        <f ca="1">MATCH($AC155,STEI,-1)</f>
        <v>#N/A</v>
      </c>
      <c r="CQ155" s="4" t="e">
        <f ca="1">IF(AND(INDEX(STM,CP155,4)&gt;=$AB155,INDEX(STM,CP155,5)&gt;=$S155,INDEX(STM,CP155,6)&gt;=$R155),1,0)</f>
        <v>#N/A</v>
      </c>
      <c r="CR155" s="4" t="e">
        <f t="shared" ref="CR155" ca="1" si="2215">MATCH(1,OFFSET(CQ155:CQ166,$W$2,0,COUNT(CQ155:CQ166)-$W$2),0)</f>
        <v>#REF!</v>
      </c>
      <c r="CS155" s="4" t="e">
        <f t="shared" ref="CS155" ca="1" si="2216">$W$2+CR155</f>
        <v>#REF!</v>
      </c>
      <c r="CT155" s="692" t="str">
        <f ca="1">IFERROR(VLOOKUP(INDEX(CP155:CP166,CS155),STM,2,FALSE),"----")</f>
        <v>----</v>
      </c>
      <c r="CU155" s="691" t="e">
        <f ca="1">MATCH($AC155,ELEI,-1)</f>
        <v>#N/A</v>
      </c>
      <c r="CV155" s="4" t="e">
        <f ca="1">IF(AND(INDEX(ELM,CU155,4)&gt;=$AB155,INDEX(ELM,CU155,5)&gt;=$S155,INDEX(ELM,CU155,6)&gt;=$R155),1,0)</f>
        <v>#N/A</v>
      </c>
      <c r="CW155" s="4" t="e">
        <f t="shared" ref="CW155" ca="1" si="2217">MATCH(1,OFFSET(CV155:CV166,$W$2,0,COUNT(CV155:CV166)-$W$2),0)</f>
        <v>#REF!</v>
      </c>
      <c r="CX155" s="4" t="e">
        <f t="shared" ref="CX155" ca="1" si="2218">$W$2+CW155</f>
        <v>#REF!</v>
      </c>
      <c r="CY155" s="692" t="str">
        <f ca="1">IFERROR(VLOOKUP(INDEX(CU155:CU166,CX155),ELM,2,FALSE),"----")</f>
        <v>----</v>
      </c>
      <c r="CZ155" s="691" t="e">
        <f ca="1">IF(LEFT($J155,7)="Clad Wo",MATCH($AC155,SPEIW,-1),MATCH($AC155,SPEI,-1))</f>
        <v>#N/A</v>
      </c>
      <c r="DA155" s="4" t="e">
        <f ca="1">IF(LEFT($J155,7)="Clad Wo",IF(AND(INDEX(SPPWS,CZ155,4)&gt;=$AB155,INDEX(SPPWS,CZ155,5)&gt;=$S155,INDEX(SPPWS,CZ155,6)&gt;=$R155),1,0),IF(AND(INDEX(SPM,CZ155,4)&gt;=$AB155,INDEX(SPM,CZ155,5)&gt;=$S155,INDEX(SPM,CZ155,6)&gt;=$R155),1,0))</f>
        <v>#N/A</v>
      </c>
      <c r="DB155" s="4" t="e">
        <f t="shared" ref="DB155" ca="1" si="2219">MATCH(1,OFFSET(DA155:DA166,$W$2,0,COUNT(DA155:DA166)-$W$2),0)</f>
        <v>#REF!</v>
      </c>
      <c r="DC155" s="4" t="e">
        <f t="shared" ref="DC155" ca="1" si="2220">$W$2+DB155</f>
        <v>#REF!</v>
      </c>
      <c r="DD155" s="693" t="str">
        <f ca="1">IF(LEFT($J155,7)="Clad Wo",IFERROR(VLOOKUP(INDEX(CZ155:CZ166,DC155),SPPWS,2,FALSE),"----"),IFERROR(VLOOKUP(INDEX(CZ155:CZ166,DC155),SPM,2,FALSE),"----"))</f>
        <v>----</v>
      </c>
      <c r="DE155" s="691" t="e">
        <f ca="1">MATCH(AC161,INDIRECT(BX155),-1)</f>
        <v>#REF!</v>
      </c>
      <c r="DF155" s="4" t="e" cm="1">
        <f t="array" aca="1" ref="DF155" ca="1">IF(AND(INDEX(INDIRECT(BY155),DE155,4)&gt;=$AB161,INDEX(INDIRECT(BY155),DE155,5)&gt;=$S155,INDEX(INDIRECT(BY155),DE155,6)&gt;=$R155),1,0)</f>
        <v>#REF!</v>
      </c>
      <c r="DG155" s="4" t="e">
        <f t="shared" ref="DG155" ca="1" si="2221">MATCH(1,OFFSET(DF155:DF166,$W$2,0,COUNT(DF155:DF166)-$W$2),0)</f>
        <v>#REF!</v>
      </c>
      <c r="DH155" s="4" t="e">
        <f t="shared" ref="DH155" ca="1" si="2222">$W$2+DG155</f>
        <v>#REF!</v>
      </c>
      <c r="DI155" s="692" t="str" cm="1">
        <f t="array" aca="1" ref="DI155" ca="1">IFERROR(VLOOKUP(INDEX(DE155:DE166,DH155),INDIRECT(BY155),2,FALSE),"----")</f>
        <v>----</v>
      </c>
      <c r="DJ155" s="691" t="e">
        <f ca="1">MATCH($AC161,SSEI,-1)</f>
        <v>#N/A</v>
      </c>
      <c r="DK155" s="4" t="e">
        <f ca="1">IF(AND(INDEX(SSM,DJ155,4)&gt;=$AB161,INDEX(SSM,DJ155,5)&gt;=$S155,INDEX(SSM,DJ155,6)&gt;=$R155),1,0)</f>
        <v>#N/A</v>
      </c>
      <c r="DL155" s="4" t="e">
        <f t="shared" ref="DL155" ca="1" si="2223">MATCH(1,OFFSET(DK155:DK166,$W$2,0,COUNT(DK155:DK166)-$W$2),0)</f>
        <v>#REF!</v>
      </c>
      <c r="DM155" s="4" t="e">
        <f t="shared" ref="DM155" ca="1" si="2224">$W$2+DL155</f>
        <v>#REF!</v>
      </c>
      <c r="DN155" s="692" t="str">
        <f ca="1">IFERROR(IF(AD162="Nested Steel Stud (wood infill)",VLOOKUP(INDEX(DJ155:DJ166,DM155),SSW,2,FALSE),VLOOKUP(INDEX(DJ155:DJ166,DM155),SSM,2,FALSE)),"----")</f>
        <v>----</v>
      </c>
      <c r="DO155" s="691" t="e">
        <f ca="1">MATCH($AC161,WSEI,-1)</f>
        <v>#N/A</v>
      </c>
      <c r="DP155" s="4" t="e">
        <f ca="1">IF(AND(INDEX(WSM,DO155,4)&gt;=$AB161,INDEX(WSM,DO155,5)&gt;=$S155,INDEX(WSM,DO155,6)&gt;=$R155),1,0)</f>
        <v>#N/A</v>
      </c>
      <c r="DQ155" s="4" t="e">
        <f t="shared" ref="DQ155" ca="1" si="2225">MATCH(1,OFFSET(DP155:DP166,$W$2,0,COUNT(DP155:DP166)-$W$2),0)</f>
        <v>#REF!</v>
      </c>
      <c r="DR155" s="4" t="e">
        <f t="shared" ref="DR155" ca="1" si="2226">$W$2+DQ155</f>
        <v>#REF!</v>
      </c>
      <c r="DS155" s="692" t="str">
        <f ca="1">IFERROR(VLOOKUP(INDEX(DO155:DO166,DR155),WSM,2,FALSE),"----")</f>
        <v>----</v>
      </c>
      <c r="DT155" s="691" t="e">
        <f ca="1">MATCH($AC161,STEI,-1)</f>
        <v>#N/A</v>
      </c>
      <c r="DU155" s="4" t="e">
        <f ca="1">IF(AND(INDEX(STM,DT155,4)&gt;=$AB161,INDEX(STM,DT155,5)&gt;=$S155,INDEX(STM,DT155,6)&gt;=$R155),1,0)</f>
        <v>#N/A</v>
      </c>
      <c r="DV155" s="4" t="e">
        <f t="shared" ref="DV155" ca="1" si="2227">MATCH(1,OFFSET(DU155:DU166,$W$2,0,COUNT(DU155:DU166)-$W$2),0)</f>
        <v>#REF!</v>
      </c>
      <c r="DW155" s="4" t="e">
        <f t="shared" ref="DW155" ca="1" si="2228">$W$2+DV155</f>
        <v>#REF!</v>
      </c>
      <c r="DX155" s="692" t="str">
        <f ca="1">IFERROR(VLOOKUP(INDEX(DT155:DT166,DW155),STM,2,FALSE),"----")</f>
        <v>----</v>
      </c>
      <c r="DY155" s="691" t="e">
        <f ca="1">MATCH($AC161,ELEI,-1)</f>
        <v>#N/A</v>
      </c>
      <c r="DZ155" s="4" t="e">
        <f ca="1">IF(AND(INDEX(ELM,DY155,4)&gt;=$AB161,INDEX(ELM,DY155,5)&gt;=$S155,INDEX(ELM,DY155,6)&gt;=$R155),1,0)</f>
        <v>#N/A</v>
      </c>
      <c r="EA155" s="4" t="e">
        <f t="shared" ref="EA155" ca="1" si="2229">MATCH(1,OFFSET(DZ155:DZ166,$W$2,0,COUNT(DZ155:DZ166)-$W$2),0)</f>
        <v>#REF!</v>
      </c>
      <c r="EB155" s="4" t="e">
        <f t="shared" ref="EB155" ca="1" si="2230">EA155+$W$2</f>
        <v>#REF!</v>
      </c>
      <c r="EC155" s="692" t="str">
        <f ca="1">IFERROR(VLOOKUP(INDEX(DY155:DY166,EB155),ELM,2,FALSE),"----")</f>
        <v>----</v>
      </c>
      <c r="ED155" s="691" t="e">
        <f ca="1">IF(LEFT($J155,7)="Clad Wo",MATCH($AC161,SPEIW,-1),MATCH($AC161,SPEI,-1))</f>
        <v>#N/A</v>
      </c>
      <c r="EE155" s="4" t="e">
        <f ca="1">IF(LEFT($J155,7)="Clad Wo",IF(AND(INDEX(SPPWS,ED155,4)&gt;=$AB161,INDEX(SPPWS,ED155,5)&gt;=$S155,INDEX(SPPWS,ED155,6)&gt;=$R155),1,0),IF(AND(INDEX(SPM,ED155,4)&gt;=$AB161,INDEX(SPM,ED155,5)&gt;=$S155,INDEX(SPM,ED155,6)&gt;=$R155),1,0))</f>
        <v>#N/A</v>
      </c>
      <c r="EF155" s="4" t="e">
        <f t="shared" ref="EF155" ca="1" si="2231">MATCH(1,OFFSET(EE155:EE166,$W$2,0,COUNT(EE155:EE166)-$W$2),0)</f>
        <v>#REF!</v>
      </c>
      <c r="EG155" s="4" t="e">
        <f t="shared" ref="EG155" ca="1" si="2232">$W$2+EF155</f>
        <v>#REF!</v>
      </c>
      <c r="EH155" s="692" t="str">
        <f ca="1">IF(LEFT($J155,7)="Clad Wo",IFERROR(VLOOKUP(INDEX(ED155:ED166,EG155),SPPWS,2,FALSE),"----"),IFERROR(VLOOKUP(INDEX(ED155:ED166,EG155),SPM,2,FALSE),"----"))</f>
        <v>----</v>
      </c>
    </row>
    <row r="156" spans="1:138" ht="15" customHeight="1" x14ac:dyDescent="0.25">
      <c r="A156" s="1085"/>
      <c r="B156" s="925"/>
      <c r="C156" s="926"/>
      <c r="D156" s="927"/>
      <c r="E156" s="995"/>
      <c r="F156" s="996"/>
      <c r="G156" s="997"/>
      <c r="H156" s="1062"/>
      <c r="I156" s="990"/>
      <c r="J156" s="908"/>
      <c r="K156" s="909"/>
      <c r="L156" s="1002"/>
      <c r="M156" s="923"/>
      <c r="N156" s="1042"/>
      <c r="O156" s="1018"/>
      <c r="P156" s="987"/>
      <c r="Q156" s="1015"/>
      <c r="R156" s="1012"/>
      <c r="S156" s="1006"/>
      <c r="T156" s="1007"/>
      <c r="U156" s="878"/>
      <c r="V156" s="881"/>
      <c r="W156" s="884"/>
      <c r="X156" s="884"/>
      <c r="Y156" s="887"/>
      <c r="Z156" s="887"/>
      <c r="AA156" s="887"/>
      <c r="AB156" s="1081"/>
      <c r="AC156" s="1078"/>
      <c r="AD156" s="1102" t="s">
        <v>38</v>
      </c>
      <c r="AE156" s="1103"/>
      <c r="AF156" s="1052"/>
      <c r="AG156" s="1053"/>
      <c r="AH156" s="1053"/>
      <c r="AI156" s="1066"/>
      <c r="AJ156" s="1067"/>
      <c r="AK156" s="156" t="str">
        <f t="shared" ca="1" si="1130"/>
        <v/>
      </c>
      <c r="AL156" s="1039"/>
      <c r="AM156" s="343" t="str">
        <f ca="1">IFERROR(Q155/12*ROUND(VLOOKUP(AF156,OFFSET(SSM,0,1),6,FALSE),2),"")</f>
        <v/>
      </c>
      <c r="AN156" t="str">
        <f t="shared" ca="1" si="1154"/>
        <v/>
      </c>
      <c r="AP156" s="122" t="str">
        <f t="shared" ref="AP156" si="2233">_xlfn.CONCAT(AR156,AS160)</f>
        <v/>
      </c>
      <c r="AQ156" s="683" t="str">
        <f t="shared" si="1353"/>
        <v/>
      </c>
      <c r="AR156" s="96" t="str">
        <f t="shared" si="1114"/>
        <v/>
      </c>
      <c r="AS156" s="96" t="str">
        <f>IF(COUNTIF(Vista_1,AF155)=1,"Vista_1",IF(COUNTIF(Vista_2,AF155)=1,"Vista_2",""))</f>
        <v/>
      </c>
      <c r="AT156" s="684" t="str">
        <f>AL155</f>
        <v/>
      </c>
      <c r="AU156" s="694" t="e">
        <f t="shared" ref="AU156" ca="1" si="2234">AU155-1</f>
        <v>#REF!</v>
      </c>
      <c r="AV156" s="686" t="str">
        <f ca="1">IFERROR(VLOOKUP(AU156,INDIRECT(AQ155),2,FALSE),"----")</f>
        <v>----</v>
      </c>
      <c r="AW156" s="694" t="e">
        <f t="shared" ref="AW156:AW157" ca="1" si="2235">AW155-1</f>
        <v>#REF!</v>
      </c>
      <c r="AX156" s="686" t="str">
        <f ca="1">IFERROR(VLOOKUP(AW156,INDIRECT(AQ156),2,FALSE),"----")</f>
        <v>----</v>
      </c>
      <c r="AY156" s="694" t="e">
        <f t="shared" ref="AY156:AY157" ca="1" si="2236">AY155-1</f>
        <v>#REF!</v>
      </c>
      <c r="AZ156" s="686" t="str">
        <f ca="1">IFERROR(VLOOKUP(AY156,INDIRECT(AQ157),2,FALSE),"----")</f>
        <v>----</v>
      </c>
      <c r="BA156" s="694" t="e">
        <f t="shared" ref="BA156:BA157" ca="1" si="2237">BA155-1</f>
        <v>#REF!</v>
      </c>
      <c r="BB156" s="686" t="str">
        <f ca="1">IFERROR(VLOOKUP(BA156,INDIRECT(AQ158),2,FALSE),"----")</f>
        <v>----</v>
      </c>
      <c r="BC156" s="694" t="e">
        <f t="shared" ref="BC156:BC157" ca="1" si="2238">BC155-1</f>
        <v>#REF!</v>
      </c>
      <c r="BD156" s="686" t="str">
        <f ca="1">IFERROR(VLOOKUP(BC156,INDIRECT(AQ159),2,FALSE),"----")</f>
        <v>----</v>
      </c>
      <c r="BE156" s="694" t="e">
        <f t="shared" ref="BE156" ca="1" si="2239">BE155-1</f>
        <v>#REF!</v>
      </c>
      <c r="BF156" s="686" t="str">
        <f ca="1">IFERROR(VLOOKUP(BE156,INDIRECT(AQ160),2,FALSE),"----")</f>
        <v>----</v>
      </c>
      <c r="BG156" s="694" t="e">
        <f t="shared" ref="BG156" ca="1" si="2240">BG155-1</f>
        <v>#REF!</v>
      </c>
      <c r="BH156" s="686" t="str">
        <f ca="1">IFERROR(VLOOKUP(BG156,INDIRECT(AQ161),2,FALSE),"----")</f>
        <v>----</v>
      </c>
      <c r="BI156" s="694" t="e">
        <f t="shared" ref="BI156:BI157" ca="1" si="2241">BI155-1</f>
        <v>#REF!</v>
      </c>
      <c r="BJ156" s="686" t="str">
        <f ca="1">IFERROR(VLOOKUP(BI156,INDIRECT(AQ162),2,FALSE),"----")</f>
        <v>----</v>
      </c>
      <c r="BK156" s="694" t="e">
        <f t="shared" ref="BK156:BK157" ca="1" si="2242">BK155-1</f>
        <v>#REF!</v>
      </c>
      <c r="BL156" s="686" t="str">
        <f ca="1">IFERROR(VLOOKUP(BK156,INDIRECT(AQ163),2,FALSE),"----")</f>
        <v>----</v>
      </c>
      <c r="BM156" s="694" t="e">
        <f t="shared" ref="BM156:BM157" ca="1" si="2243">BM155-1</f>
        <v>#REF!</v>
      </c>
      <c r="BN156" s="686" t="str">
        <f ca="1">IFERROR(VLOOKUP(BM156,INDIRECT(AQ164),2,FALSE),"----")</f>
        <v>----</v>
      </c>
      <c r="BO156" s="694" t="e">
        <f t="shared" ref="BO156:BO157" ca="1" si="2244">BO155-1</f>
        <v>#REF!</v>
      </c>
      <c r="BP156" s="686" t="str">
        <f ca="1">IFERROR(VLOOKUP(BO156,INDIRECT(AQ165),2,FALSE),"----")</f>
        <v>----</v>
      </c>
      <c r="BQ156" s="694" t="e">
        <f t="shared" ref="BQ156" ca="1" si="2245">BQ155-1</f>
        <v>#REF!</v>
      </c>
      <c r="BR156" s="686" t="str">
        <f ca="1">IFERROR(VLOOKUP(BQ156,INDIRECT(AQ166),2,FALSE),"----")</f>
        <v>----</v>
      </c>
      <c r="BS156" s="695">
        <f>IF(AI156="",1,IF(COUNTIF(AX155:AX166,AI156)=0,2,1))</f>
        <v>1</v>
      </c>
      <c r="BT156" s="696">
        <f>IF(AF156="",1,IF(AX155=".",2,1))</f>
        <v>1</v>
      </c>
      <c r="BU156" s="706"/>
      <c r="BV156" s="155">
        <f ca="1">IF(COUNTIF(CJ155:CJ166,AF156)=0,IF(AF156&lt;&gt;"",0,1),1)</f>
        <v>1</v>
      </c>
      <c r="BW156" s="157">
        <f ca="1">IFERROR(MATCH(AF156,CJ155:CJ166,0),1)</f>
        <v>1</v>
      </c>
      <c r="BX156" s="769"/>
      <c r="BY156" s="769"/>
      <c r="BZ156" s="1110"/>
      <c r="CA156" s="691" t="e">
        <f t="shared" ref="CA156:CA166" ca="1" si="2246">CA155-1</f>
        <v>#REF!</v>
      </c>
      <c r="CB156" s="4" t="e" cm="1">
        <f t="array" aca="1" ref="CB156" ca="1">IF(AND(INDEX(INDIRECT(BY155),CA156,4)&gt;=$AB155,INDEX(INDIRECT(BY155),CA156,5)&gt;=$S155,INDEX(INDIRECT(BY155),CA156,6)&gt;=$R155),1,0)</f>
        <v>#REF!</v>
      </c>
      <c r="CC156" s="4" t="e">
        <f t="shared" ref="CC156" ca="1" si="2247">MATCH(1,OFFSET(CB155:CB166,CD155,0,COUNT(CB155:CB166)-CD155),0)</f>
        <v>#REF!</v>
      </c>
      <c r="CD156" s="4" t="e">
        <f t="shared" ref="CD156:CD166" ca="1" si="2248">CD155+CC156</f>
        <v>#REF!</v>
      </c>
      <c r="CE156" s="692" t="str" cm="1">
        <f t="array" aca="1" ref="CE156" ca="1">IFERROR(VLOOKUP(INDEX(CA155:CA166,CD156),INDIRECT(BY155),2,FALSE),"----")</f>
        <v>----</v>
      </c>
      <c r="CF156" s="691" t="e">
        <f t="shared" ref="CF156:CF166" ca="1" si="2249">CF155-1</f>
        <v>#N/A</v>
      </c>
      <c r="CG156" s="4" t="e">
        <f ca="1">IF(AND(INDEX(SSM,CF156,4)&gt;=$AB155,INDEX(SSM,CF156,5)&gt;=$S155,INDEX(SSM,CF156,6)&gt;=$R155),1,0)</f>
        <v>#N/A</v>
      </c>
      <c r="CH156" s="4" t="e">
        <f t="shared" ref="CH156" ca="1" si="2250">MATCH(1,OFFSET(CG155:CG166,CI155,0,COUNT(CG155:CG166)-CI155),0)</f>
        <v>#REF!</v>
      </c>
      <c r="CI156" s="4" t="e">
        <f t="shared" ref="CI156:CI166" ca="1" si="2251">CI155+CH156</f>
        <v>#REF!</v>
      </c>
      <c r="CJ156" s="692" t="str">
        <f ca="1">IFERROR(IF(AD156="Nested Steel Stud (wood infill)",VLOOKUP(INDEX(CF155:CF166,CI156),SSW,2,FALSE),VLOOKUP(INDEX(CF155:CF166,CI156),SSM,2,FALSE)),"----")</f>
        <v>----</v>
      </c>
      <c r="CK156" s="691" t="e">
        <f t="shared" ref="CK156:CK166" ca="1" si="2252">CK155-1</f>
        <v>#N/A</v>
      </c>
      <c r="CL156" s="4" t="e">
        <f ca="1">IF(AND(INDEX(WSM,CK156,4)&gt;=$AB155,INDEX(WSM,CK156,5)&gt;=$S155,INDEX(WSM,CK156,6)&gt;=$R155),1,0)</f>
        <v>#N/A</v>
      </c>
      <c r="CM156" s="4" t="e">
        <f t="shared" ref="CM156" ca="1" si="2253">MATCH(1,OFFSET(CL155:CL166,CN155,0,COUNT(CL155:CL166)-CN155),0)</f>
        <v>#REF!</v>
      </c>
      <c r="CN156" s="4" t="e">
        <f t="shared" ref="CN156:CN166" ca="1" si="2254">CM156+CN155</f>
        <v>#REF!</v>
      </c>
      <c r="CO156" s="692" t="str">
        <f ca="1">IFERROR(VLOOKUP(INDEX(CK155:CK166,CN156),WSM,2,FALSE),"----")</f>
        <v>----</v>
      </c>
      <c r="CP156" s="691" t="e">
        <f t="shared" ref="CP156:CP166" ca="1" si="2255">CP155-1</f>
        <v>#N/A</v>
      </c>
      <c r="CQ156" s="4" t="e">
        <f ca="1">IF(AND(INDEX(STM,CP156,4)&gt;=$AB155,INDEX(STM,CP156,5)&gt;=$S155,INDEX(STM,CP156,6)&gt;=$R155),1,0)</f>
        <v>#N/A</v>
      </c>
      <c r="CR156" s="4" t="e">
        <f t="shared" ref="CR156" ca="1" si="2256">MATCH(1,OFFSET(CQ155:CQ166,CS155,0,COUNT(CQ155:CQ166)-CS155),0)</f>
        <v>#REF!</v>
      </c>
      <c r="CS156" s="4" t="e">
        <f t="shared" ref="CS156:CS166" ca="1" si="2257">CR156+CS155</f>
        <v>#REF!</v>
      </c>
      <c r="CT156" s="692" t="str">
        <f ca="1">IFERROR(VLOOKUP(INDEX(CP155:CP166,CS156),STM,2,FALSE),"----")</f>
        <v>----</v>
      </c>
      <c r="CU156" s="691" t="e">
        <f t="shared" ref="CU156:CU166" ca="1" si="2258">CU155-1</f>
        <v>#N/A</v>
      </c>
      <c r="CV156" s="4" t="e">
        <f ca="1">IF(AND(INDEX(ELM,CU156,4)&gt;=$AB155,INDEX(ELM,CU156,5)&gt;=$S155,INDEX(ELM,CU156,6)&gt;=$R155),1,0)</f>
        <v>#N/A</v>
      </c>
      <c r="CW156" s="4" t="e">
        <f t="shared" ref="CW156" ca="1" si="2259">MATCH(1,OFFSET(CV155:CV166,CX155,0,COUNT(CV155:CV166)-CX155),0)</f>
        <v>#REF!</v>
      </c>
      <c r="CX156" s="4" t="e">
        <f t="shared" ref="CX156:CX166" ca="1" si="2260">CW156+CX155</f>
        <v>#REF!</v>
      </c>
      <c r="CY156" s="692" t="str">
        <f ca="1">IFERROR(VLOOKUP(INDEX(CU155:CU166,CX156),ELM,2,FALSE),"----")</f>
        <v>----</v>
      </c>
      <c r="CZ156" s="691" t="e">
        <f t="shared" ref="CZ156:CZ166" ca="1" si="2261">CZ155-1</f>
        <v>#N/A</v>
      </c>
      <c r="DA156" s="4" t="e">
        <f ca="1">IF(LEFT($J155,7)="Clad Wo",IF(AND(INDEX(SPPWS,CZ156,4)&gt;=$AB155,INDEX(SPPWS,CZ156,5)&gt;=$S155,INDEX(SPPWS,CZ156,6)&gt;=$R155),1,0),IF(AND(INDEX(SPM,CZ156,4)&gt;=$AB155,INDEX(SPM,CZ156,5)&gt;=$S155,INDEX(SPM,CZ156,6)&gt;=$R155),1,0))</f>
        <v>#N/A</v>
      </c>
      <c r="DB156" s="4" t="e">
        <f t="shared" ref="DB156" ca="1" si="2262">MATCH(1,OFFSET(DA155:DA166,DC155,0,COUNT(DA155:DA166)-DC155),0)</f>
        <v>#REF!</v>
      </c>
      <c r="DC156" s="4" t="e">
        <f t="shared" ref="DC156:DC166" ca="1" si="2263">DC155+DB156</f>
        <v>#REF!</v>
      </c>
      <c r="DD156" s="693" t="str">
        <f ca="1">IF(LEFT($J155,7)="Clad Wo",IFERROR(VLOOKUP(INDEX(CZ155:CZ166,DC156),SPPWS,2,FALSE),"----"),IFERROR(VLOOKUP(INDEX(CZ155:CZ166,DC156),SPM,2,FALSE),"----"))</f>
        <v>----</v>
      </c>
      <c r="DE156" s="691" t="e">
        <f t="shared" ref="DE156:DE166" ca="1" si="2264">DE155-1</f>
        <v>#REF!</v>
      </c>
      <c r="DF156" s="4" t="e" cm="1">
        <f t="array" aca="1" ref="DF156" ca="1">IF(AND(INDEX(INDIRECT(BY155),DE156,4)&gt;=$AB161,INDEX(INDIRECT(BY155),DE156,5)&gt;=$S155,INDEX(INDIRECT(BY155),DE156,6)&gt;=$R155),1,0)</f>
        <v>#REF!</v>
      </c>
      <c r="DG156" s="4" t="e">
        <f t="shared" ref="DG156" ca="1" si="2265">MATCH(1,OFFSET(DF155:DF166,DH155,0,COUNT(DF155:DF166)-DH155),0)</f>
        <v>#REF!</v>
      </c>
      <c r="DH156" s="4" t="e">
        <f t="shared" ref="DH156:DH166" ca="1" si="2266">DH155+DG156</f>
        <v>#REF!</v>
      </c>
      <c r="DI156" s="692" t="str" cm="1">
        <f t="array" aca="1" ref="DI156" ca="1">IFERROR(VLOOKUP(INDEX(DE155:DE166,DH156),INDIRECT(BY155),2,FALSE),"----")</f>
        <v>----</v>
      </c>
      <c r="DJ156" s="691" t="e">
        <f t="shared" ref="DJ156:DJ166" ca="1" si="2267">DJ155-1</f>
        <v>#N/A</v>
      </c>
      <c r="DK156" s="4" t="e">
        <f ca="1">IF(AND(INDEX(SSM,DJ156,4)&gt;=$AB161,INDEX(SSM,DJ156,5)&gt;=$S155,INDEX(SSM,DJ156,6)&gt;=$R155),1,0)</f>
        <v>#N/A</v>
      </c>
      <c r="DL156" s="4" t="e">
        <f t="shared" ref="DL156" ca="1" si="2268">MATCH(1,OFFSET(DK155:DK166,DM155,0,COUNT(DK155:DK166)-DM155),0)</f>
        <v>#REF!</v>
      </c>
      <c r="DM156" s="4" t="e">
        <f t="shared" ref="DM156:DM166" ca="1" si="2269">DL156+DM155</f>
        <v>#REF!</v>
      </c>
      <c r="DN156" s="692" t="str">
        <f ca="1">IFERROR(IF(AD162="Nested Steel Stud (wood infill)",VLOOKUP(INDEX(DJ155:DJ166,DM156),SSW,2,FALSE),VLOOKUP(INDEX(DJ155:DJ166,DM156),SSM,2,FALSE)),"----")</f>
        <v>----</v>
      </c>
      <c r="DO156" s="691" t="e">
        <f t="shared" ref="DO156:DO166" ca="1" si="2270">DO155-1</f>
        <v>#N/A</v>
      </c>
      <c r="DP156" s="4" t="e">
        <f ca="1">IF(AND(INDEX(WSM,DO156,4)&gt;=$AB161,INDEX(WSM,DO156,5)&gt;=$S155,INDEX(WSM,DO156,6)&gt;=$R155),1,0)</f>
        <v>#N/A</v>
      </c>
      <c r="DQ156" s="4" t="e">
        <f t="shared" ref="DQ156" ca="1" si="2271">MATCH(1,OFFSET(DP155:DP166,DR155,0,COUNT(DP155:DP166)-DR155),0)</f>
        <v>#REF!</v>
      </c>
      <c r="DR156" s="4" t="e">
        <f t="shared" ref="DR156:DR166" ca="1" si="2272">DQ156+DR155</f>
        <v>#REF!</v>
      </c>
      <c r="DS156" s="692" t="str">
        <f ca="1">IFERROR(VLOOKUP(INDEX(DO155:DO166,DR156),WSM,2,FALSE),"----")</f>
        <v>----</v>
      </c>
      <c r="DT156" s="691" t="e">
        <f t="shared" ref="DT156:DT166" ca="1" si="2273">DT155-1</f>
        <v>#N/A</v>
      </c>
      <c r="DU156" s="4" t="e">
        <f ca="1">IF(AND(INDEX(STM,DT156,4)&gt;=$AB161,INDEX(STM,DT156,5)&gt;=$S155,INDEX(STM,DT156,6)&gt;=$R155),1,0)</f>
        <v>#N/A</v>
      </c>
      <c r="DV156" s="4" t="e">
        <f t="shared" ref="DV156" ca="1" si="2274">MATCH(1,OFFSET(DU155:DU166,DW155,0,COUNT(DU155:DU166)-DW155),0)</f>
        <v>#REF!</v>
      </c>
      <c r="DW156" s="4" t="e">
        <f t="shared" ref="DW156:DW166" ca="1" si="2275">DV156+DW155</f>
        <v>#REF!</v>
      </c>
      <c r="DX156" s="692" t="str">
        <f ca="1">IFERROR(VLOOKUP(INDEX(DT155:DT166,DW156),STM,2,FALSE),"----")</f>
        <v>----</v>
      </c>
      <c r="DY156" s="691" t="e">
        <f t="shared" ref="DY156:DY166" ca="1" si="2276">DY155-1</f>
        <v>#N/A</v>
      </c>
      <c r="DZ156" s="4" t="e">
        <f ca="1">IF(AND(INDEX(ELM,DY156,4)&gt;=$AB161,INDEX(ELM,DY156,5)&gt;=$S155,INDEX(ELM,DY156,6)&gt;=$R155),1,0)</f>
        <v>#N/A</v>
      </c>
      <c r="EA156" s="4" t="e">
        <f t="shared" ref="EA156" ca="1" si="2277">MATCH(1,OFFSET(DZ155:DZ166,EB155,0,COUNT(DZ155:DZ166)-EB155),0)</f>
        <v>#REF!</v>
      </c>
      <c r="EB156" s="4" t="e">
        <f t="shared" ref="EB156:EB166" ca="1" si="2278">EA156+EB155</f>
        <v>#REF!</v>
      </c>
      <c r="EC156" s="692" t="str">
        <f ca="1">IFERROR(VLOOKUP(INDEX(DY155:DY166,EB156),ELM,2,FALSE),"----")</f>
        <v>----</v>
      </c>
      <c r="ED156" s="691" t="e">
        <f t="shared" ref="ED156:ED166" ca="1" si="2279">ED155-1</f>
        <v>#N/A</v>
      </c>
      <c r="EE156" s="4" t="e">
        <f ca="1">IF(LEFT($J155,7)="Clad Wo",IF(AND(INDEX(SPPWS,ED156,4)&gt;=$AB161,INDEX(SPPWS,ED156,5)&gt;=$S155,INDEX(SPPWS,ED156,6)&gt;=$R155),1,0),IF(AND(INDEX(SPM,ED156,4)&gt;=$AB161,INDEX(SPM,ED156,5)&gt;=$S155,INDEX(SPM,ED156,6)&gt;=$R155),1,0))</f>
        <v>#N/A</v>
      </c>
      <c r="EF156" s="4" t="e">
        <f t="shared" ref="EF156" ca="1" si="2280">MATCH(1,OFFSET(EE155:EE166,EG155,0,COUNT(EE155:EE166)-EG155),0)</f>
        <v>#REF!</v>
      </c>
      <c r="EG156" s="4" t="e">
        <f t="shared" ref="EG156:EG166" ca="1" si="2281">EG155+EF156</f>
        <v>#REF!</v>
      </c>
      <c r="EH156" s="692" t="str">
        <f ca="1">IF(LEFT($J155,7)="Clad Wo",IFERROR(VLOOKUP(INDEX(ED155:ED166,EG156),SPPWS,2,FALSE),"----"),IFERROR(VLOOKUP(INDEX(ED155:ED166,EG156),SPM,2,FALSE),"----"))</f>
        <v>----</v>
      </c>
    </row>
    <row r="157" spans="1:138" ht="15" customHeight="1" x14ac:dyDescent="0.25">
      <c r="A157" s="1085"/>
      <c r="B157" s="925"/>
      <c r="C157" s="926"/>
      <c r="D157" s="927"/>
      <c r="E157" s="995"/>
      <c r="F157" s="996"/>
      <c r="G157" s="997"/>
      <c r="H157" s="1062"/>
      <c r="I157" s="990"/>
      <c r="J157" s="908"/>
      <c r="K157" s="909"/>
      <c r="L157" s="1002"/>
      <c r="M157" s="923"/>
      <c r="N157" s="1042"/>
      <c r="O157" s="1018"/>
      <c r="P157" s="987"/>
      <c r="Q157" s="1015"/>
      <c r="R157" s="1012"/>
      <c r="S157" s="1006"/>
      <c r="T157" s="1007"/>
      <c r="U157" s="878"/>
      <c r="V157" s="881"/>
      <c r="W157" s="884"/>
      <c r="X157" s="884"/>
      <c r="Y157" s="887"/>
      <c r="Z157" s="887"/>
      <c r="AA157" s="887"/>
      <c r="AB157" s="1081"/>
      <c r="AC157" s="1078"/>
      <c r="AD157" s="1070" t="s">
        <v>333</v>
      </c>
      <c r="AE157" s="1071"/>
      <c r="AF157" s="1052"/>
      <c r="AG157" s="1053"/>
      <c r="AH157" s="1053"/>
      <c r="AI157" s="1066"/>
      <c r="AJ157" s="1067"/>
      <c r="AK157" s="154" t="str">
        <f t="shared" ca="1" si="1130"/>
        <v/>
      </c>
      <c r="AL157" s="1039"/>
      <c r="AM157" s="344" t="str">
        <f ca="1">IFERROR(Q155/12*ROUND(VLOOKUP(AF157,OFFSET(WSM,0,1),6,FALSE),2),"")</f>
        <v/>
      </c>
      <c r="AN157" t="str">
        <f t="shared" ca="1" si="1154"/>
        <v/>
      </c>
      <c r="AP157" s="122" t="str">
        <f t="shared" ref="AP157" si="2282">_xlfn.CONCAT(AR157,AS160)</f>
        <v/>
      </c>
      <c r="AQ157" s="683" t="str">
        <f t="shared" si="1353"/>
        <v/>
      </c>
      <c r="AR157" s="4" t="str">
        <f t="shared" si="1114"/>
        <v/>
      </c>
      <c r="AS157" s="4"/>
      <c r="AT157" s="697" t="str">
        <f>AL155</f>
        <v/>
      </c>
      <c r="AU157" s="694" t="e">
        <f t="shared" ca="1" si="1370"/>
        <v>#REF!</v>
      </c>
      <c r="AV157" s="686" t="str">
        <f ca="1">IFERROR(VLOOKUP(AU157,INDIRECT(AQ155),2,FALSE),"----")</f>
        <v>----</v>
      </c>
      <c r="AW157" s="694" t="e">
        <f t="shared" ca="1" si="2235"/>
        <v>#REF!</v>
      </c>
      <c r="AX157" s="686" t="str">
        <f ca="1">IFERROR(VLOOKUP(AW157,INDIRECT(AQ156),2,FALSE),"----")</f>
        <v>----</v>
      </c>
      <c r="AY157" s="694" t="e">
        <f t="shared" ca="1" si="2236"/>
        <v>#REF!</v>
      </c>
      <c r="AZ157" s="686" t="str">
        <f ca="1">IFERROR(VLOOKUP(AY157,INDIRECT(AQ157),2,FALSE),"----")</f>
        <v>----</v>
      </c>
      <c r="BA157" s="694" t="e">
        <f t="shared" ca="1" si="2237"/>
        <v>#REF!</v>
      </c>
      <c r="BB157" s="686" t="str">
        <f ca="1">IFERROR(VLOOKUP(BA157,INDIRECT(AQ158),2,FALSE),"----")</f>
        <v>----</v>
      </c>
      <c r="BC157" s="694" t="e">
        <f t="shared" ca="1" si="2238"/>
        <v>#REF!</v>
      </c>
      <c r="BD157" s="686" t="str">
        <f ca="1">IFERROR(VLOOKUP(BC157,INDIRECT(AQ159),2,FALSE),"----")</f>
        <v>----</v>
      </c>
      <c r="BE157" s="694" t="e">
        <f t="shared" ca="1" si="1375"/>
        <v>#REF!</v>
      </c>
      <c r="BF157" s="686" t="str">
        <f ca="1">IFERROR(VLOOKUP(BE157,INDIRECT(AQ160),2,FALSE),"----")</f>
        <v>----</v>
      </c>
      <c r="BG157" s="694" t="e">
        <f t="shared" ca="1" si="1376"/>
        <v>#REF!</v>
      </c>
      <c r="BH157" s="686" t="str">
        <f ca="1">IFERROR(VLOOKUP(BG157,INDIRECT(AQ161),2,FALSE),"----")</f>
        <v>----</v>
      </c>
      <c r="BI157" s="694" t="e">
        <f t="shared" ca="1" si="2241"/>
        <v>#REF!</v>
      </c>
      <c r="BJ157" s="686" t="str">
        <f ca="1">IFERROR(VLOOKUP(BI157,INDIRECT(AQ162),2,FALSE),"----")</f>
        <v>----</v>
      </c>
      <c r="BK157" s="694" t="e">
        <f t="shared" ca="1" si="2242"/>
        <v>#REF!</v>
      </c>
      <c r="BL157" s="686" t="str">
        <f ca="1">IFERROR(VLOOKUP(BK157,INDIRECT(AQ163),2,FALSE),"----")</f>
        <v>----</v>
      </c>
      <c r="BM157" s="694" t="e">
        <f t="shared" ca="1" si="2243"/>
        <v>#REF!</v>
      </c>
      <c r="BN157" s="686" t="str">
        <f ca="1">IFERROR(VLOOKUP(BM157,INDIRECT(AQ164),2,FALSE),"----")</f>
        <v>----</v>
      </c>
      <c r="BO157" s="694" t="e">
        <f t="shared" ca="1" si="2244"/>
        <v>#REF!</v>
      </c>
      <c r="BP157" s="686" t="str">
        <f ca="1">IFERROR(VLOOKUP(BO157,INDIRECT(AQ165),2,FALSE),"----")</f>
        <v>----</v>
      </c>
      <c r="BQ157" s="694" t="e">
        <f t="shared" ca="1" si="1381"/>
        <v>#REF!</v>
      </c>
      <c r="BR157" s="686" t="str">
        <f ca="1">IFERROR(VLOOKUP(BQ157,INDIRECT(AQ166),2,FALSE),"----")</f>
        <v>----</v>
      </c>
      <c r="BS157" s="695">
        <f>IF(AI157="",1,IF(COUNTIF(AZ155:AZ166,AI157)=0,2,1))</f>
        <v>1</v>
      </c>
      <c r="BT157" s="696">
        <f>IF(AF157="",1,IF(AZ155=".",2,1))</f>
        <v>1</v>
      </c>
      <c r="BU157" s="706"/>
      <c r="BV157" s="155">
        <f ca="1">IF(COUNTIF(CO155:CO166,AF157)=0,IF(AF157&lt;&gt;"",0,1),1)</f>
        <v>1</v>
      </c>
      <c r="BW157" s="157">
        <f ca="1">IFERROR(MATCH(AF157,CO155:CO166,0),1)</f>
        <v>1</v>
      </c>
      <c r="BX157" s="769"/>
      <c r="BY157" s="769"/>
      <c r="BZ157" s="1110"/>
      <c r="CA157" s="691" t="e">
        <f t="shared" ca="1" si="2246"/>
        <v>#REF!</v>
      </c>
      <c r="CB157" s="4" t="e" cm="1">
        <f t="array" aca="1" ref="CB157" ca="1">IF(AND(INDEX(INDIRECT(BY155),CA157,4)&gt;=$AB155,INDEX(INDIRECT(BY155),CA157,5)&gt;=$S155,INDEX(INDIRECT(BY155),CA157,6)&gt;=$R155),1,0)</f>
        <v>#REF!</v>
      </c>
      <c r="CC157" s="4" t="e">
        <f t="shared" ref="CC157" ca="1" si="2283">MATCH(1,OFFSET(CB155:CB166,CD156,0,COUNT(CB155:CB166)-CD156),0)</f>
        <v>#REF!</v>
      </c>
      <c r="CD157" s="4" t="e">
        <f t="shared" ca="1" si="2248"/>
        <v>#REF!</v>
      </c>
      <c r="CE157" s="692" t="str" cm="1">
        <f t="array" aca="1" ref="CE157" ca="1">IFERROR(VLOOKUP(INDEX(CA155:CA166,CD157),INDIRECT(BY155),2,FALSE),"----")</f>
        <v>----</v>
      </c>
      <c r="CF157" s="691" t="e">
        <f t="shared" ca="1" si="2249"/>
        <v>#N/A</v>
      </c>
      <c r="CG157" s="4" t="e">
        <f ca="1">IF(AND(INDEX(SSM,CF157,4)&gt;=$AB155,INDEX(SSM,CF157,5)&gt;=$S155,INDEX(SSM,CF157,6)&gt;=$R155),1,0)</f>
        <v>#N/A</v>
      </c>
      <c r="CH157" s="4" t="e">
        <f t="shared" ref="CH157" ca="1" si="2284">MATCH(1,OFFSET(CG155:CG166,CI156,0,COUNT(CG155:CG166)-CI156),0)</f>
        <v>#REF!</v>
      </c>
      <c r="CI157" s="4" t="e">
        <f t="shared" ca="1" si="2251"/>
        <v>#REF!</v>
      </c>
      <c r="CJ157" s="692" t="str">
        <f ca="1">IFERROR(IF(AD156="Nested Steel Stud (wood infill)",VLOOKUP(INDEX(CF155:CF166,CI157),SSW,2,FALSE),VLOOKUP(INDEX(CF155:CF166,CI157),SSM,2,FALSE)),"----")</f>
        <v>----</v>
      </c>
      <c r="CK157" s="691" t="e">
        <f t="shared" ca="1" si="2252"/>
        <v>#N/A</v>
      </c>
      <c r="CL157" s="4" t="e">
        <f ca="1">IF(AND(INDEX(WSM,CK157,4)&gt;=$AB155,INDEX(WSM,CK157,5)&gt;=$S155,INDEX(WSM,CK157,6)&gt;=$R155),1,0)</f>
        <v>#N/A</v>
      </c>
      <c r="CM157" s="4" t="e">
        <f t="shared" ref="CM157" ca="1" si="2285">MATCH(1,OFFSET(CL155:CL166,CN156,0,COUNT(CL155:CL166)-CN156),0)</f>
        <v>#REF!</v>
      </c>
      <c r="CN157" s="4" t="e">
        <f t="shared" ca="1" si="2254"/>
        <v>#REF!</v>
      </c>
      <c r="CO157" s="692" t="str">
        <f ca="1">IFERROR(VLOOKUP(INDEX(CK155:CK166,CN157),WSM,2,FALSE),"----")</f>
        <v>----</v>
      </c>
      <c r="CP157" s="691" t="e">
        <f t="shared" ca="1" si="2255"/>
        <v>#N/A</v>
      </c>
      <c r="CQ157" s="4" t="e">
        <f ca="1">IF(AND(INDEX(STM,CP157,4)&gt;=$AB155,INDEX(STM,CP157,5)&gt;=$S155,INDEX(STM,CP157,6)&gt;=$R155),1,0)</f>
        <v>#N/A</v>
      </c>
      <c r="CR157" s="4" t="e">
        <f t="shared" ref="CR157" ca="1" si="2286">MATCH(1,OFFSET(CQ155:CQ166,CS156,0,COUNT(CQ155:CQ166)-CS156),0)</f>
        <v>#REF!</v>
      </c>
      <c r="CS157" s="4" t="e">
        <f t="shared" ca="1" si="2257"/>
        <v>#REF!</v>
      </c>
      <c r="CT157" s="692" t="str">
        <f ca="1">IFERROR(VLOOKUP(INDEX(CP155:CP166,CS157),STM,2,FALSE),"----")</f>
        <v>----</v>
      </c>
      <c r="CU157" s="691" t="e">
        <f t="shared" ca="1" si="2258"/>
        <v>#N/A</v>
      </c>
      <c r="CV157" s="4" t="e">
        <f ca="1">IF(AND(INDEX(ELM,CU157,4)&gt;=$AB155,INDEX(ELM,CU157,5)&gt;=$S155,INDEX(ELM,CU157,6)&gt;=$R155),1,0)</f>
        <v>#N/A</v>
      </c>
      <c r="CW157" s="4" t="e">
        <f t="shared" ref="CW157" ca="1" si="2287">MATCH(1,OFFSET(CV155:CV166,CX156,0,COUNT(CV155:CV166)-CX156),0)</f>
        <v>#REF!</v>
      </c>
      <c r="CX157" s="4" t="e">
        <f t="shared" ca="1" si="2260"/>
        <v>#REF!</v>
      </c>
      <c r="CY157" s="692" t="str">
        <f ca="1">IFERROR(VLOOKUP(INDEX(CU155:CU166,CX157),ELM,2,FALSE),"----")</f>
        <v>----</v>
      </c>
      <c r="CZ157" s="691" t="e">
        <f t="shared" ca="1" si="2261"/>
        <v>#N/A</v>
      </c>
      <c r="DA157" s="4" t="e">
        <f ca="1">IF(LEFT($J155,7)="Clad Wo",IF(AND(INDEX(SPPWS,CZ157,4)&gt;=$AB155,INDEX(SPPWS,CZ157,5)&gt;=$S155,INDEX(SPPWS,CZ157,6)&gt;=$R155),1,0),IF(AND(INDEX(SPM,CZ157,4)&gt;=$AB155,INDEX(SPM,CZ157,5)&gt;=$S155,INDEX(SPM,CZ157,6)&gt;=$R155),1,0))</f>
        <v>#N/A</v>
      </c>
      <c r="DB157" s="4" t="e">
        <f t="shared" ref="DB157" ca="1" si="2288">MATCH(1,OFFSET(DA155:DA166,DC156,0,COUNT(DA155:DA166)-DC156),0)</f>
        <v>#REF!</v>
      </c>
      <c r="DC157" s="4" t="e">
        <f t="shared" ca="1" si="2263"/>
        <v>#REF!</v>
      </c>
      <c r="DD157" s="693" t="str">
        <f ca="1">IF(LEFT($J155,7)="Clad Wo",IFERROR(VLOOKUP(INDEX(CZ155:CZ166,DC157),SPPWS,2,FALSE),"----"),IFERROR(VLOOKUP(INDEX(CZ155:CZ166,DC157),SPM,2,FALSE),"----"))</f>
        <v>----</v>
      </c>
      <c r="DE157" s="691" t="e">
        <f t="shared" ca="1" si="2264"/>
        <v>#REF!</v>
      </c>
      <c r="DF157" s="4" t="e" cm="1">
        <f t="array" aca="1" ref="DF157" ca="1">IF(AND(INDEX(INDIRECT(BY155),DE157,4)&gt;=$AB161,INDEX(INDIRECT(BY155),DE157,5)&gt;=$S155,INDEX(INDIRECT(BY155),DE157,6)&gt;=$R155),1,0)</f>
        <v>#REF!</v>
      </c>
      <c r="DG157" s="4" t="e">
        <f t="shared" ref="DG157" ca="1" si="2289">MATCH(1,OFFSET(DF155:DF166,DH156,0,COUNT(DF155:DF166)-DH156),0)</f>
        <v>#REF!</v>
      </c>
      <c r="DH157" s="4" t="e">
        <f t="shared" ca="1" si="2266"/>
        <v>#REF!</v>
      </c>
      <c r="DI157" s="692" t="str" cm="1">
        <f t="array" aca="1" ref="DI157" ca="1">IFERROR(VLOOKUP(INDEX(DE155:DE166,DH157),INDIRECT(BY155),2,FALSE),"----")</f>
        <v>----</v>
      </c>
      <c r="DJ157" s="691" t="e">
        <f t="shared" ca="1" si="2267"/>
        <v>#N/A</v>
      </c>
      <c r="DK157" s="4" t="e">
        <f ca="1">IF(AND(INDEX(SSM,DJ157,4)&gt;=$AB161,INDEX(SSM,DJ157,5)&gt;=$S155,INDEX(SSM,DJ157,6)&gt;=$R155),1,0)</f>
        <v>#N/A</v>
      </c>
      <c r="DL157" s="4" t="e">
        <f t="shared" ref="DL157" ca="1" si="2290">MATCH(1,OFFSET(DK155:DK166,DM156,0,COUNT(DK155:DK166)-DM156),0)</f>
        <v>#REF!</v>
      </c>
      <c r="DM157" s="4" t="e">
        <f t="shared" ca="1" si="2269"/>
        <v>#REF!</v>
      </c>
      <c r="DN157" s="692" t="str">
        <f ca="1">IFERROR(IF(AD162="Nested Steel Stud (wood infill)",VLOOKUP(INDEX(DJ155:DJ166,DM157),SSW,2,FALSE),VLOOKUP(INDEX(DJ155:DJ166,DM157),SSM,2,FALSE)),"----")</f>
        <v>----</v>
      </c>
      <c r="DO157" s="691" t="e">
        <f t="shared" ca="1" si="2270"/>
        <v>#N/A</v>
      </c>
      <c r="DP157" s="4" t="e">
        <f ca="1">IF(AND(INDEX(WSM,DO157,4)&gt;=$AB161,INDEX(WSM,DO157,5)&gt;=$S155,INDEX(WSM,DO157,6)&gt;=$R155),1,0)</f>
        <v>#N/A</v>
      </c>
      <c r="DQ157" s="4" t="e">
        <f t="shared" ref="DQ157" ca="1" si="2291">MATCH(1,OFFSET(DP155:DP166,DR156,0,COUNT(DP155:DP166)-DR156),0)</f>
        <v>#REF!</v>
      </c>
      <c r="DR157" s="4" t="e">
        <f t="shared" ca="1" si="2272"/>
        <v>#REF!</v>
      </c>
      <c r="DS157" s="692" t="str">
        <f ca="1">IFERROR(VLOOKUP(INDEX(DO155:DO166,DR157),WSM,2,FALSE),"----")</f>
        <v>----</v>
      </c>
      <c r="DT157" s="691" t="e">
        <f t="shared" ca="1" si="2273"/>
        <v>#N/A</v>
      </c>
      <c r="DU157" s="4" t="e">
        <f ca="1">IF(AND(INDEX(STM,DT157,4)&gt;=$AB161,INDEX(STM,DT157,5)&gt;=$S155,INDEX(STM,DT157,6)&gt;=$R155),1,0)</f>
        <v>#N/A</v>
      </c>
      <c r="DV157" s="4" t="e">
        <f t="shared" ref="DV157" ca="1" si="2292">MATCH(1,OFFSET(DU155:DU166,DW156,0,COUNT(DU155:DU166)-DW156),0)</f>
        <v>#REF!</v>
      </c>
      <c r="DW157" s="4" t="e">
        <f t="shared" ca="1" si="2275"/>
        <v>#REF!</v>
      </c>
      <c r="DX157" s="692" t="str">
        <f ca="1">IFERROR(VLOOKUP(INDEX(DT155:DT166,DW157),STM,2,FALSE),"----")</f>
        <v>----</v>
      </c>
      <c r="DY157" s="691" t="e">
        <f t="shared" ca="1" si="2276"/>
        <v>#N/A</v>
      </c>
      <c r="DZ157" s="4" t="e">
        <f ca="1">IF(AND(INDEX(ELM,DY157,4)&gt;=$AB161,INDEX(ELM,DY157,5)&gt;=$S155,INDEX(ELM,DY157,6)&gt;=$R155),1,0)</f>
        <v>#N/A</v>
      </c>
      <c r="EA157" s="4" t="e">
        <f t="shared" ref="EA157" ca="1" si="2293">MATCH(1,OFFSET(DZ155:DZ166,EB156,0,COUNT(DZ155:DZ166)-EB156),0)</f>
        <v>#REF!</v>
      </c>
      <c r="EB157" s="4" t="e">
        <f t="shared" ca="1" si="2278"/>
        <v>#REF!</v>
      </c>
      <c r="EC157" s="692" t="str">
        <f ca="1">IFERROR(VLOOKUP(INDEX(DY155:DY166,EB157),ELM,2,FALSE),"----")</f>
        <v>----</v>
      </c>
      <c r="ED157" s="691" t="e">
        <f t="shared" ca="1" si="2279"/>
        <v>#N/A</v>
      </c>
      <c r="EE157" s="4" t="e">
        <f ca="1">IF(LEFT($J155,7)="Clad Wo",IF(AND(INDEX(SPPWS,ED157,4)&gt;=$AB161,INDEX(SPPWS,ED157,5)&gt;=$S155,INDEX(SPPWS,ED157,6)&gt;=$R155),1,0),IF(AND(INDEX(SPM,ED157,4)&gt;=$AB161,INDEX(SPM,ED157,5)&gt;=$S155,INDEX(SPM,ED157,6)&gt;=$R155),1,0))</f>
        <v>#N/A</v>
      </c>
      <c r="EF157" s="4" t="e">
        <f t="shared" ref="EF157" ca="1" si="2294">MATCH(1,OFFSET(EE155:EE166,EG156,0,COUNT(EE155:EE166)-EG156),0)</f>
        <v>#REF!</v>
      </c>
      <c r="EG157" s="4" t="e">
        <f t="shared" ca="1" si="2281"/>
        <v>#REF!</v>
      </c>
      <c r="EH157" s="692" t="str">
        <f ca="1">IF(LEFT($J155,7)="Clad Wo",IFERROR(VLOOKUP(INDEX(ED155:ED166,EG157),SPPWS,2,FALSE),"----"),IFERROR(VLOOKUP(INDEX(ED155:ED166,EG157),SPM,2,FALSE),"----"))</f>
        <v>----</v>
      </c>
    </row>
    <row r="158" spans="1:138" ht="15" customHeight="1" x14ac:dyDescent="0.25">
      <c r="A158" s="1085"/>
      <c r="B158" s="925"/>
      <c r="C158" s="926"/>
      <c r="D158" s="927"/>
      <c r="E158" s="995"/>
      <c r="F158" s="996"/>
      <c r="G158" s="997"/>
      <c r="H158" s="1062"/>
      <c r="I158" s="990"/>
      <c r="J158" s="908"/>
      <c r="K158" s="909"/>
      <c r="L158" s="1002"/>
      <c r="M158" s="923"/>
      <c r="N158" s="1042"/>
      <c r="O158" s="1018"/>
      <c r="P158" s="987"/>
      <c r="Q158" s="1015"/>
      <c r="R158" s="1012"/>
      <c r="S158" s="1006"/>
      <c r="T158" s="1007"/>
      <c r="U158" s="878"/>
      <c r="V158" s="881"/>
      <c r="W158" s="884"/>
      <c r="X158" s="884"/>
      <c r="Y158" s="887"/>
      <c r="Z158" s="887"/>
      <c r="AA158" s="887"/>
      <c r="AB158" s="1081"/>
      <c r="AC158" s="1078"/>
      <c r="AD158" s="1070" t="s">
        <v>37</v>
      </c>
      <c r="AE158" s="1071"/>
      <c r="AF158" s="1052"/>
      <c r="AG158" s="1053"/>
      <c r="AH158" s="1053"/>
      <c r="AI158" s="1066"/>
      <c r="AJ158" s="1067"/>
      <c r="AK158" s="156" t="str">
        <f t="shared" ca="1" si="1130"/>
        <v/>
      </c>
      <c r="AL158" s="1039"/>
      <c r="AM158" s="343" t="str">
        <f ca="1">IFERROR(Q155/12*ROUND(VLOOKUP(AF158,OFFSET(STM,0,1),6,FALSE),2),"")</f>
        <v/>
      </c>
      <c r="AN158" t="str">
        <f t="shared" ca="1" si="1154"/>
        <v/>
      </c>
      <c r="AP158" s="122" t="str">
        <f t="shared" ref="AP158" si="2295">_xlfn.CONCAT(AR158,AS160)</f>
        <v/>
      </c>
      <c r="AQ158" s="683" t="str">
        <f t="shared" si="1353"/>
        <v/>
      </c>
      <c r="AR158" s="4" t="str">
        <f t="shared" si="1114"/>
        <v/>
      </c>
      <c r="AS158" s="4"/>
      <c r="AT158" s="697" t="str">
        <f>AL155</f>
        <v/>
      </c>
      <c r="AU158" s="694" t="e">
        <f t="shared" ca="1" si="1370"/>
        <v>#REF!</v>
      </c>
      <c r="AV158" s="686" t="str">
        <f ca="1">IFERROR(VLOOKUP(AU158,INDIRECT(AQ155),2,FALSE),"----")</f>
        <v>----</v>
      </c>
      <c r="AW158" s="694" t="e">
        <f t="shared" ca="1" si="1371"/>
        <v>#REF!</v>
      </c>
      <c r="AX158" s="686" t="str">
        <f ca="1">IFERROR(VLOOKUP(AW158,INDIRECT(AQ156),2,FALSE),"----")</f>
        <v>----</v>
      </c>
      <c r="AY158" s="694" t="e">
        <f t="shared" ref="AY158" ca="1" si="2296">AY157-1</f>
        <v>#REF!</v>
      </c>
      <c r="AZ158" s="686" t="str">
        <f ca="1">IFERROR(VLOOKUP(AY158,INDIRECT(AQ157),2,FALSE),"----")</f>
        <v>----</v>
      </c>
      <c r="BA158" s="694" t="e">
        <f t="shared" ref="BA158" ca="1" si="2297">BA157-1</f>
        <v>#REF!</v>
      </c>
      <c r="BB158" s="686" t="str">
        <f ca="1">IFERROR(VLOOKUP(BA158,INDIRECT(AQ158),2,FALSE),"----")</f>
        <v>----</v>
      </c>
      <c r="BC158" s="694" t="e">
        <f t="shared" ca="1" si="1374"/>
        <v>#REF!</v>
      </c>
      <c r="BD158" s="686" t="str">
        <f ca="1">IFERROR(VLOOKUP(BC158,INDIRECT(AQ159),2,FALSE),"----")</f>
        <v>----</v>
      </c>
      <c r="BE158" s="694" t="e">
        <f t="shared" ca="1" si="1375"/>
        <v>#REF!</v>
      </c>
      <c r="BF158" s="686" t="str">
        <f ca="1">IFERROR(VLOOKUP(BE158,INDIRECT(AQ160),2,FALSE),"----")</f>
        <v>----</v>
      </c>
      <c r="BG158" s="694" t="e">
        <f t="shared" ca="1" si="1376"/>
        <v>#REF!</v>
      </c>
      <c r="BH158" s="686" t="str">
        <f ca="1">IFERROR(VLOOKUP(BG158,INDIRECT(AQ161),2,FALSE),"----")</f>
        <v>----</v>
      </c>
      <c r="BI158" s="694" t="e">
        <f t="shared" ca="1" si="1377"/>
        <v>#REF!</v>
      </c>
      <c r="BJ158" s="686" t="str">
        <f ca="1">IFERROR(VLOOKUP(BI158,INDIRECT(AQ162),2,FALSE),"----")</f>
        <v>----</v>
      </c>
      <c r="BK158" s="694" t="e">
        <f t="shared" ca="1" si="1378"/>
        <v>#REF!</v>
      </c>
      <c r="BL158" s="686" t="str">
        <f ca="1">IFERROR(VLOOKUP(BK158,INDIRECT(AQ163),2,FALSE),"----")</f>
        <v>----</v>
      </c>
      <c r="BM158" s="694" t="e">
        <f t="shared" ca="1" si="1379"/>
        <v>#REF!</v>
      </c>
      <c r="BN158" s="686" t="str">
        <f ca="1">IFERROR(VLOOKUP(BM158,INDIRECT(AQ164),2,FALSE),"----")</f>
        <v>----</v>
      </c>
      <c r="BO158" s="694" t="e">
        <f t="shared" ca="1" si="1380"/>
        <v>#REF!</v>
      </c>
      <c r="BP158" s="686" t="str">
        <f ca="1">IFERROR(VLOOKUP(BO158,INDIRECT(AQ165),2,FALSE),"----")</f>
        <v>----</v>
      </c>
      <c r="BQ158" s="694" t="e">
        <f t="shared" ca="1" si="1381"/>
        <v>#REF!</v>
      </c>
      <c r="BR158" s="686" t="str">
        <f ca="1">IFERROR(VLOOKUP(BQ158,INDIRECT(AQ166),2,FALSE),"----")</f>
        <v>----</v>
      </c>
      <c r="BS158" s="695">
        <f>IF(AI158="",1,IF(COUNTIF(BB155:BB166,AI158)=0,2,1))</f>
        <v>1</v>
      </c>
      <c r="BT158" s="696">
        <f>IF(AF158="",1,IF(BB155=".",2,1))</f>
        <v>1</v>
      </c>
      <c r="BU158" s="706"/>
      <c r="BV158" s="155">
        <f ca="1">IF(COUNTIF(CT155:CT166,AF158)=0,IF(AF158&lt;&gt;"",0,1),1)</f>
        <v>1</v>
      </c>
      <c r="BW158" s="157">
        <f ca="1">IFERROR(MATCH(AF158,CT155:CT166,0),1)</f>
        <v>1</v>
      </c>
      <c r="BX158" s="769"/>
      <c r="BY158" s="769"/>
      <c r="BZ158" s="1110"/>
      <c r="CA158" s="691" t="e">
        <f t="shared" ca="1" si="2246"/>
        <v>#REF!</v>
      </c>
      <c r="CB158" s="4" t="e" cm="1">
        <f t="array" aca="1" ref="CB158" ca="1">IF(AND(INDEX(INDIRECT(BY155),CA158,4)&gt;=$AB155,INDEX(INDIRECT(BY155),CA158,5)&gt;=$S155,INDEX(INDIRECT(BY155),CA158,6)&gt;=$R155),1,0)</f>
        <v>#REF!</v>
      </c>
      <c r="CC158" s="4" t="e">
        <f t="shared" ref="CC158" ca="1" si="2298">MATCH(1,OFFSET(CB155:CB166,CD157,0,COUNT(CB155:CB166)-CD157),0)</f>
        <v>#REF!</v>
      </c>
      <c r="CD158" s="4" t="e">
        <f t="shared" ca="1" si="2248"/>
        <v>#REF!</v>
      </c>
      <c r="CE158" s="692" t="str" cm="1">
        <f t="array" aca="1" ref="CE158" ca="1">IFERROR(VLOOKUP(INDEX(CA155:CA166,CD158),INDIRECT(BY155),2,FALSE),"----")</f>
        <v>----</v>
      </c>
      <c r="CF158" s="691" t="e">
        <f t="shared" ca="1" si="2249"/>
        <v>#N/A</v>
      </c>
      <c r="CG158" s="4" t="e">
        <f ca="1">IF(AND(INDEX(SSM,CF158,4)&gt;=$AB155,INDEX(SSM,CF158,5)&gt;=$S155,INDEX(SSM,CF158,6)&gt;=$R155),1,0)</f>
        <v>#N/A</v>
      </c>
      <c r="CH158" s="4" t="e">
        <f t="shared" ref="CH158" ca="1" si="2299">MATCH(1,OFFSET(CG155:CG166,CI157,0,COUNT(CG155:CG166)-CI157),0)</f>
        <v>#REF!</v>
      </c>
      <c r="CI158" s="4" t="e">
        <f t="shared" ca="1" si="2251"/>
        <v>#REF!</v>
      </c>
      <c r="CJ158" s="692" t="str">
        <f ca="1">IFERROR(IF(AD156="Nested Steel Stud (wood infill)",VLOOKUP(INDEX(CF155:CF166,CI158),SSW,2,FALSE),VLOOKUP(INDEX(CF155:CF166,CI158),SSM,2,FALSE)),"----")</f>
        <v>----</v>
      </c>
      <c r="CK158" s="691" t="e">
        <f t="shared" ca="1" si="2252"/>
        <v>#N/A</v>
      </c>
      <c r="CL158" s="4" t="e">
        <f ca="1">IF(AND(INDEX(WSM,CK158,4)&gt;=$AB155,INDEX(WSM,CK158,5)&gt;=$S155,INDEX(WSM,CK158,6)&gt;=$R155),1,0)</f>
        <v>#N/A</v>
      </c>
      <c r="CM158" s="4" t="e">
        <f t="shared" ref="CM158" ca="1" si="2300">MATCH(1,OFFSET(CL155:CL166,CN157,0,COUNT(CL155:CL166)-CN157),0)</f>
        <v>#REF!</v>
      </c>
      <c r="CN158" s="4" t="e">
        <f t="shared" ca="1" si="2254"/>
        <v>#REF!</v>
      </c>
      <c r="CO158" s="692" t="str">
        <f ca="1">IFERROR(VLOOKUP(INDEX(CK155:CK166,CN158),WSM,2,FALSE),"----")</f>
        <v>----</v>
      </c>
      <c r="CP158" s="691" t="e">
        <f t="shared" ca="1" si="2255"/>
        <v>#N/A</v>
      </c>
      <c r="CQ158" s="4" t="e">
        <f ca="1">IF(AND(INDEX(STM,CP158,4)&gt;=$AB155,INDEX(STM,CP158,5)&gt;=$S155,INDEX(STM,CP158,6)&gt;=$R155),1,0)</f>
        <v>#N/A</v>
      </c>
      <c r="CR158" s="4" t="e">
        <f t="shared" ref="CR158" ca="1" si="2301">MATCH(1,OFFSET(CQ155:CQ166,CS157,0,COUNT(CQ155:CQ166)-CS157),0)</f>
        <v>#REF!</v>
      </c>
      <c r="CS158" s="4" t="e">
        <f t="shared" ca="1" si="2257"/>
        <v>#REF!</v>
      </c>
      <c r="CT158" s="692" t="str">
        <f ca="1">IFERROR(VLOOKUP(INDEX(CP155:CP166,CS158),STM,2,FALSE),"----")</f>
        <v>----</v>
      </c>
      <c r="CU158" s="691" t="e">
        <f t="shared" ca="1" si="2258"/>
        <v>#N/A</v>
      </c>
      <c r="CV158" s="4" t="e">
        <f ca="1">IF(AND(INDEX(ELM,CU158,4)&gt;=$AB155,INDEX(ELM,CU158,5)&gt;=$S155,INDEX(ELM,CU158,6)&gt;=$R155),1,0)</f>
        <v>#N/A</v>
      </c>
      <c r="CW158" s="4" t="e">
        <f t="shared" ref="CW158" ca="1" si="2302">MATCH(1,OFFSET(CV155:CV166,CX157,0,COUNT(CV155:CV166)-CX157),0)</f>
        <v>#REF!</v>
      </c>
      <c r="CX158" s="4" t="e">
        <f t="shared" ca="1" si="2260"/>
        <v>#REF!</v>
      </c>
      <c r="CY158" s="692" t="str">
        <f ca="1">IFERROR(VLOOKUP(INDEX(CU155:CU166,CX158),ELM,2,FALSE),"----")</f>
        <v>----</v>
      </c>
      <c r="CZ158" s="691" t="e">
        <f t="shared" ca="1" si="2261"/>
        <v>#N/A</v>
      </c>
      <c r="DA158" s="4" t="e">
        <f ca="1">IF(LEFT($J155,7)="Clad Wo",IF(AND(INDEX(SPPWS,CZ158,4)&gt;=$AB155,INDEX(SPPWS,CZ158,5)&gt;=$S155,INDEX(SPPWS,CZ158,6)&gt;=$R155),1,0),IF(AND(INDEX(SPM,CZ158,4)&gt;=$AB155,INDEX(SPM,CZ158,5)&gt;=$S155,INDEX(SPM,CZ158,6)&gt;=$R155),1,0))</f>
        <v>#N/A</v>
      </c>
      <c r="DB158" s="4" t="e">
        <f t="shared" ref="DB158" ca="1" si="2303">MATCH(1,OFFSET(DA155:DA166,DC157,0,COUNT(DA155:DA166)-DC157),0)</f>
        <v>#REF!</v>
      </c>
      <c r="DC158" s="4" t="e">
        <f t="shared" ca="1" si="2263"/>
        <v>#REF!</v>
      </c>
      <c r="DD158" s="693" t="str">
        <f ca="1">IF(LEFT($J155,7)="Clad Wo",IFERROR(VLOOKUP(INDEX(CZ155:CZ166,DC158),SPPWS,2,FALSE),"----"),IFERROR(VLOOKUP(INDEX(CZ155:CZ166,DC158),SPM,2,FALSE),"----"))</f>
        <v>----</v>
      </c>
      <c r="DE158" s="691" t="e">
        <f t="shared" ca="1" si="2264"/>
        <v>#REF!</v>
      </c>
      <c r="DF158" s="4" t="e" cm="1">
        <f t="array" aca="1" ref="DF158" ca="1">IF(AND(INDEX(INDIRECT(BY155),DE158,4)&gt;=$AB161,INDEX(INDIRECT(BY155),DE158,5)&gt;=$S155,INDEX(INDIRECT(BY155),DE158,6)&gt;=$R155),1,0)</f>
        <v>#REF!</v>
      </c>
      <c r="DG158" s="4" t="e">
        <f t="shared" ref="DG158" ca="1" si="2304">MATCH(1,OFFSET(DF155:DF166,DH157,0,COUNT(DF155:DF166)-DH157),0)</f>
        <v>#REF!</v>
      </c>
      <c r="DH158" s="4" t="e">
        <f t="shared" ca="1" si="2266"/>
        <v>#REF!</v>
      </c>
      <c r="DI158" s="692" t="str" cm="1">
        <f t="array" aca="1" ref="DI158" ca="1">IFERROR(VLOOKUP(INDEX(DE155:DE166,DH158),INDIRECT(BY155),2,FALSE),"----")</f>
        <v>----</v>
      </c>
      <c r="DJ158" s="691" t="e">
        <f t="shared" ca="1" si="2267"/>
        <v>#N/A</v>
      </c>
      <c r="DK158" s="4" t="e">
        <f ca="1">IF(AND(INDEX(SSM,DJ158,4)&gt;=$AB161,INDEX(SSM,DJ158,5)&gt;=$S155,INDEX(SSM,DJ158,6)&gt;=$R155),1,0)</f>
        <v>#N/A</v>
      </c>
      <c r="DL158" s="4" t="e">
        <f t="shared" ref="DL158" ca="1" si="2305">MATCH(1,OFFSET(DK155:DK166,DM157,0,COUNT(DK155:DK166)-DM157),0)</f>
        <v>#REF!</v>
      </c>
      <c r="DM158" s="4" t="e">
        <f t="shared" ca="1" si="2269"/>
        <v>#REF!</v>
      </c>
      <c r="DN158" s="692" t="str">
        <f ca="1">IFERROR(IF(AD162="Nested Steel Stud (wood infill)",VLOOKUP(INDEX(DJ155:DJ166,DM158),SSW,2,FALSE),VLOOKUP(INDEX(DJ155:DJ166,DM158),SSM,2,FALSE)),"----")</f>
        <v>----</v>
      </c>
      <c r="DO158" s="691" t="e">
        <f t="shared" ca="1" si="2270"/>
        <v>#N/A</v>
      </c>
      <c r="DP158" s="4" t="e">
        <f ca="1">IF(AND(INDEX(WSM,DO158,4)&gt;=$AB161,INDEX(WSM,DO158,5)&gt;=$S155,INDEX(WSM,DO158,6)&gt;=$R155),1,0)</f>
        <v>#N/A</v>
      </c>
      <c r="DQ158" s="4" t="e">
        <f t="shared" ref="DQ158" ca="1" si="2306">MATCH(1,OFFSET(DP155:DP166,DR157,0,COUNT(DP155:DP166)-DR157),0)</f>
        <v>#REF!</v>
      </c>
      <c r="DR158" s="4" t="e">
        <f t="shared" ca="1" si="2272"/>
        <v>#REF!</v>
      </c>
      <c r="DS158" s="692" t="str">
        <f ca="1">IFERROR(VLOOKUP(INDEX(DO155:DO166,DR158),WSM,2,FALSE),"----")</f>
        <v>----</v>
      </c>
      <c r="DT158" s="691" t="e">
        <f t="shared" ca="1" si="2273"/>
        <v>#N/A</v>
      </c>
      <c r="DU158" s="4" t="e">
        <f ca="1">IF(AND(INDEX(STM,DT158,4)&gt;=$AB161,INDEX(STM,DT158,5)&gt;=$S155,INDEX(STM,DT158,6)&gt;=$R155),1,0)</f>
        <v>#N/A</v>
      </c>
      <c r="DV158" s="4" t="e">
        <f t="shared" ref="DV158" ca="1" si="2307">MATCH(1,OFFSET(DU155:DU166,DW157,0,COUNT(DU155:DU166)-DW157),0)</f>
        <v>#REF!</v>
      </c>
      <c r="DW158" s="4" t="e">
        <f t="shared" ca="1" si="2275"/>
        <v>#REF!</v>
      </c>
      <c r="DX158" s="692" t="str">
        <f ca="1">IFERROR(VLOOKUP(INDEX(DT155:DT166,DW158),STM,2,FALSE),"----")</f>
        <v>----</v>
      </c>
      <c r="DY158" s="691" t="e">
        <f t="shared" ca="1" si="2276"/>
        <v>#N/A</v>
      </c>
      <c r="DZ158" s="4" t="e">
        <f ca="1">IF(AND(INDEX(ELM,DY158,4)&gt;=$AB161,INDEX(ELM,DY158,5)&gt;=$S155,INDEX(ELM,DY158,6)&gt;=$R155),1,0)</f>
        <v>#N/A</v>
      </c>
      <c r="EA158" s="4" t="e">
        <f t="shared" ref="EA158" ca="1" si="2308">MATCH(1,OFFSET(DZ155:DZ166,EB157,0,COUNT(DZ155:DZ166)-EB157),0)</f>
        <v>#REF!</v>
      </c>
      <c r="EB158" s="4" t="e">
        <f t="shared" ca="1" si="2278"/>
        <v>#REF!</v>
      </c>
      <c r="EC158" s="692" t="str">
        <f ca="1">IFERROR(VLOOKUP(INDEX(DY155:DY166,EB158),ELM,2,FALSE),"----")</f>
        <v>----</v>
      </c>
      <c r="ED158" s="691" t="e">
        <f t="shared" ca="1" si="2279"/>
        <v>#N/A</v>
      </c>
      <c r="EE158" s="4" t="e">
        <f ca="1">IF(LEFT($J155,7)="Clad Wo",IF(AND(INDEX(SPPWS,ED158,4)&gt;=$AB161,INDEX(SPPWS,ED158,5)&gt;=$S155,INDEX(SPPWS,ED158,6)&gt;=$R155),1,0),IF(AND(INDEX(SPM,ED158,4)&gt;=$AB161,INDEX(SPM,ED158,5)&gt;=$S155,INDEX(SPM,ED158,6)&gt;=$R155),1,0))</f>
        <v>#N/A</v>
      </c>
      <c r="EF158" s="4" t="e">
        <f t="shared" ref="EF158" ca="1" si="2309">MATCH(1,OFFSET(EE155:EE166,EG157,0,COUNT(EE155:EE166)-EG157),0)</f>
        <v>#REF!</v>
      </c>
      <c r="EG158" s="4" t="e">
        <f t="shared" ca="1" si="2281"/>
        <v>#REF!</v>
      </c>
      <c r="EH158" s="692" t="str">
        <f ca="1">IF(LEFT($J155,7)="Clad Wo",IFERROR(VLOOKUP(INDEX(ED155:ED166,EG158),SPPWS,2,FALSE),"----"),IFERROR(VLOOKUP(INDEX(ED155:ED166,EG158),SPM,2,FALSE),"----"))</f>
        <v>----</v>
      </c>
    </row>
    <row r="159" spans="1:138" ht="15" customHeight="1" x14ac:dyDescent="0.25">
      <c r="A159" s="1085"/>
      <c r="B159" s="925"/>
      <c r="C159" s="926"/>
      <c r="D159" s="927"/>
      <c r="E159" s="995"/>
      <c r="F159" s="996"/>
      <c r="G159" s="997"/>
      <c r="H159" s="1062"/>
      <c r="I159" s="990"/>
      <c r="J159" s="910"/>
      <c r="K159" s="911"/>
      <c r="L159" s="1002"/>
      <c r="M159" s="923"/>
      <c r="N159" s="1042"/>
      <c r="O159" s="1018"/>
      <c r="P159" s="987"/>
      <c r="Q159" s="1015"/>
      <c r="R159" s="1012"/>
      <c r="S159" s="1006"/>
      <c r="T159" s="1007"/>
      <c r="U159" s="878"/>
      <c r="V159" s="881"/>
      <c r="W159" s="884"/>
      <c r="X159" s="884"/>
      <c r="Y159" s="887"/>
      <c r="Z159" s="887"/>
      <c r="AA159" s="887"/>
      <c r="AB159" s="1081"/>
      <c r="AC159" s="1078"/>
      <c r="AD159" s="1070" t="s">
        <v>39</v>
      </c>
      <c r="AE159" s="1071"/>
      <c r="AF159" s="1052"/>
      <c r="AG159" s="1053"/>
      <c r="AH159" s="1053"/>
      <c r="AI159" s="1068"/>
      <c r="AJ159" s="1069"/>
      <c r="AK159" s="154" t="str">
        <f t="shared" ca="1" si="1130"/>
        <v/>
      </c>
      <c r="AL159" s="1039"/>
      <c r="AM159" s="344" t="str">
        <f ca="1">IFERROR(Q155/12*ROUND(VLOOKUP(AF159,OFFSET(ELM,0,1),6,FALSE),2),"")</f>
        <v/>
      </c>
      <c r="AN159" t="str">
        <f t="shared" ca="1" si="1154"/>
        <v/>
      </c>
      <c r="AP159" s="122" t="str">
        <f t="shared" ref="AP159" si="2310">_xlfn.CONCAT(AR159,AS160)</f>
        <v/>
      </c>
      <c r="AQ159" s="683" t="str">
        <f t="shared" si="1353"/>
        <v/>
      </c>
      <c r="AR159" s="4" t="str">
        <f t="shared" si="1114"/>
        <v/>
      </c>
      <c r="AS159" s="4"/>
      <c r="AT159" s="697" t="str">
        <f>AL155</f>
        <v/>
      </c>
      <c r="AU159" s="694" t="e">
        <f t="shared" ca="1" si="1370"/>
        <v>#REF!</v>
      </c>
      <c r="AV159" s="698" t="str">
        <f ca="1">IFERROR(VLOOKUP(AU159,INDIRECT(AQ155),2,FALSE),"----")</f>
        <v>----</v>
      </c>
      <c r="AW159" s="694" t="e">
        <f t="shared" ca="1" si="1371"/>
        <v>#REF!</v>
      </c>
      <c r="AX159" s="698" t="str">
        <f ca="1">IFERROR(VLOOKUP(AW159,INDIRECT(AQ156),2,FALSE),"----")</f>
        <v>----</v>
      </c>
      <c r="AY159" s="694" t="e">
        <f t="shared" ref="AY159" ca="1" si="2311">AY158-1</f>
        <v>#REF!</v>
      </c>
      <c r="AZ159" s="698" t="str">
        <f ca="1">IFERROR(VLOOKUP(AY159,INDIRECT(AQ157),2,FALSE),"----")</f>
        <v>----</v>
      </c>
      <c r="BA159" s="694" t="e">
        <f t="shared" ref="BA159" ca="1" si="2312">BA158-1</f>
        <v>#REF!</v>
      </c>
      <c r="BB159" s="698" t="str">
        <f ca="1">IFERROR(VLOOKUP(BA159,INDIRECT(AQ158),2,FALSE),"----")</f>
        <v>----</v>
      </c>
      <c r="BC159" s="694" t="e">
        <f t="shared" ca="1" si="1374"/>
        <v>#REF!</v>
      </c>
      <c r="BD159" s="698" t="str">
        <f ca="1">IFERROR(VLOOKUP(BC159,INDIRECT(AQ159),2,FALSE),"----")</f>
        <v>----</v>
      </c>
      <c r="BE159" s="694" t="e">
        <f t="shared" ca="1" si="1375"/>
        <v>#REF!</v>
      </c>
      <c r="BF159" s="698" t="str">
        <f ca="1">IFERROR(VLOOKUP(BE159,INDIRECT(AQ160),2,FALSE),"----")</f>
        <v>----</v>
      </c>
      <c r="BG159" s="694" t="e">
        <f t="shared" ca="1" si="1376"/>
        <v>#REF!</v>
      </c>
      <c r="BH159" s="686" t="str">
        <f ca="1">IFERROR(VLOOKUP(BG159,INDIRECT(AQ161),2,FALSE),"----")</f>
        <v>----</v>
      </c>
      <c r="BI159" s="694" t="e">
        <f t="shared" ca="1" si="1377"/>
        <v>#REF!</v>
      </c>
      <c r="BJ159" s="686" t="str">
        <f ca="1">IFERROR(VLOOKUP(BI159,INDIRECT(AQ162),2,FALSE),"----")</f>
        <v>----</v>
      </c>
      <c r="BK159" s="694" t="e">
        <f t="shared" ca="1" si="1378"/>
        <v>#REF!</v>
      </c>
      <c r="BL159" s="686" t="str">
        <f ca="1">IFERROR(VLOOKUP(BK159,INDIRECT(AQ163),2,FALSE),"----")</f>
        <v>----</v>
      </c>
      <c r="BM159" s="694" t="e">
        <f t="shared" ca="1" si="1379"/>
        <v>#REF!</v>
      </c>
      <c r="BN159" s="686" t="str">
        <f ca="1">IFERROR(VLOOKUP(BM159,INDIRECT(AQ164),2,FALSE),"----")</f>
        <v>----</v>
      </c>
      <c r="BO159" s="694" t="e">
        <f t="shared" ca="1" si="1380"/>
        <v>#REF!</v>
      </c>
      <c r="BP159" s="686" t="str">
        <f ca="1">IFERROR(VLOOKUP(BO159,INDIRECT(AQ165),2,FALSE),"----")</f>
        <v>----</v>
      </c>
      <c r="BQ159" s="694" t="e">
        <f t="shared" ca="1" si="1381"/>
        <v>#REF!</v>
      </c>
      <c r="BR159" s="686" t="str">
        <f ca="1">IFERROR(VLOOKUP(BQ159,INDIRECT(AQ166),2,FALSE),"----")</f>
        <v>----</v>
      </c>
      <c r="BS159" s="695">
        <f>IF(AI159="",1,IF(COUNTIF(BD155:BD166,AI159)=0,2,1))</f>
        <v>1</v>
      </c>
      <c r="BT159" s="696">
        <f>IF(AF159="",1,IF(BD155=".",2,1))</f>
        <v>1</v>
      </c>
      <c r="BU159" s="706"/>
      <c r="BV159" s="155">
        <f ca="1">IF(COUNTIF(CY155:CY166,AF159)=0,IF(AF159&lt;&gt;"",0,1),1)</f>
        <v>1</v>
      </c>
      <c r="BW159" s="157">
        <f ca="1">IFERROR(MATCH(AF159,CY155:CY166,0),1)</f>
        <v>1</v>
      </c>
      <c r="BX159" s="769"/>
      <c r="BY159" s="769"/>
      <c r="BZ159" s="1110"/>
      <c r="CA159" s="691" t="e">
        <f t="shared" ca="1" si="2246"/>
        <v>#REF!</v>
      </c>
      <c r="CB159" s="4" t="e" cm="1">
        <f t="array" aca="1" ref="CB159" ca="1">IF(AND(INDEX(INDIRECT(BY155),CA159,4)&gt;=$AB155,INDEX(INDIRECT(BY155),CA159,5)&gt;=$S155,INDEX(INDIRECT(BY155),CA159,6)&gt;=$R155),1,0)</f>
        <v>#REF!</v>
      </c>
      <c r="CC159" s="4" t="e">
        <f t="shared" ref="CC159" ca="1" si="2313">MATCH(1,OFFSET(CB155:CB166,CD158,0,COUNT(CB155:CB166)-CD158),0)</f>
        <v>#REF!</v>
      </c>
      <c r="CD159" s="4" t="e">
        <f t="shared" ca="1" si="2248"/>
        <v>#REF!</v>
      </c>
      <c r="CE159" s="692" t="str" cm="1">
        <f t="array" aca="1" ref="CE159" ca="1">IFERROR(VLOOKUP(INDEX(CA155:CA166,CD159),INDIRECT(BY155),2,FALSE),"----")</f>
        <v>----</v>
      </c>
      <c r="CF159" s="691" t="e">
        <f t="shared" ca="1" si="2249"/>
        <v>#N/A</v>
      </c>
      <c r="CG159" s="4" t="e">
        <f ca="1">IF(AND(INDEX(SSM,CF159,4)&gt;=$AB155,INDEX(SSM,CF159,5)&gt;=$S155,INDEX(SSM,CF159,6)&gt;=$R155),1,0)</f>
        <v>#N/A</v>
      </c>
      <c r="CH159" s="4" t="e">
        <f t="shared" ref="CH159" ca="1" si="2314">MATCH(1,OFFSET(CG155:CG166,CI158,0,COUNT(CG155:CG166)-CI158),0)</f>
        <v>#REF!</v>
      </c>
      <c r="CI159" s="4" t="e">
        <f t="shared" ca="1" si="2251"/>
        <v>#REF!</v>
      </c>
      <c r="CJ159" s="692" t="str">
        <f ca="1">IFERROR(IF(AD156="Nested Steel Stud (wood infill)",VLOOKUP(INDEX(CF155:CF166,CI159),SSW,2,FALSE),VLOOKUP(INDEX(CF155:CF166,CI159),SSM,2,FALSE)),"----")</f>
        <v>----</v>
      </c>
      <c r="CK159" s="691" t="e">
        <f t="shared" ca="1" si="2252"/>
        <v>#N/A</v>
      </c>
      <c r="CL159" s="4" t="e">
        <f ca="1">IF(AND(INDEX(WSM,CK159,4)&gt;=$AB155,INDEX(WSM,CK159,5)&gt;=$S155,INDEX(WSM,CK159,6)&gt;=$R155),1,0)</f>
        <v>#N/A</v>
      </c>
      <c r="CM159" s="4" t="e">
        <f t="shared" ref="CM159" ca="1" si="2315">MATCH(1,OFFSET(CL155:CL166,CN158,0,COUNT(CL155:CL166)-CN158),0)</f>
        <v>#REF!</v>
      </c>
      <c r="CN159" s="4" t="e">
        <f t="shared" ca="1" si="2254"/>
        <v>#REF!</v>
      </c>
      <c r="CO159" s="692" t="str">
        <f ca="1">IFERROR(VLOOKUP(INDEX(CK155:CK166,CN159),WSM,2,FALSE),"----")</f>
        <v>----</v>
      </c>
      <c r="CP159" s="691" t="e">
        <f t="shared" ca="1" si="2255"/>
        <v>#N/A</v>
      </c>
      <c r="CQ159" s="4" t="e">
        <f ca="1">IF(AND(INDEX(STM,CP159,4)&gt;=$AB155,INDEX(STM,CP159,5)&gt;=$S155,INDEX(STM,CP159,6)&gt;=$R155),1,0)</f>
        <v>#N/A</v>
      </c>
      <c r="CR159" s="4" t="e">
        <f t="shared" ref="CR159" ca="1" si="2316">MATCH(1,OFFSET(CQ155:CQ166,CS158,0,COUNT(CQ155:CQ166)-CS158),0)</f>
        <v>#REF!</v>
      </c>
      <c r="CS159" s="4" t="e">
        <f t="shared" ca="1" si="2257"/>
        <v>#REF!</v>
      </c>
      <c r="CT159" s="692" t="str">
        <f ca="1">IFERROR(VLOOKUP(INDEX(CP155:CP166,CS159),STM,2,FALSE),"----")</f>
        <v>----</v>
      </c>
      <c r="CU159" s="691" t="e">
        <f t="shared" ca="1" si="2258"/>
        <v>#N/A</v>
      </c>
      <c r="CV159" s="4" t="e">
        <f ca="1">IF(AND(INDEX(ELM,CU159,4)&gt;=$AB155,INDEX(ELM,CU159,5)&gt;=$S155,INDEX(ELM,CU159,6)&gt;=$R155),1,0)</f>
        <v>#N/A</v>
      </c>
      <c r="CW159" s="4" t="e">
        <f t="shared" ref="CW159" ca="1" si="2317">MATCH(1,OFFSET(CV155:CV166,CX158,0,COUNT(CV155:CV166)-CX158),0)</f>
        <v>#REF!</v>
      </c>
      <c r="CX159" s="4" t="e">
        <f t="shared" ca="1" si="2260"/>
        <v>#REF!</v>
      </c>
      <c r="CY159" s="692" t="str">
        <f ca="1">IFERROR(VLOOKUP(INDEX(CU155:CU166,CX159),ELM,2,FALSE),"----")</f>
        <v>----</v>
      </c>
      <c r="CZ159" s="691" t="e">
        <f t="shared" ca="1" si="2261"/>
        <v>#N/A</v>
      </c>
      <c r="DA159" s="4" t="e">
        <f ca="1">IF(LEFT($J155,7)="Clad Wo",IF(AND(INDEX(SPPWS,CZ159,4)&gt;=$AB155,INDEX(SPPWS,CZ159,5)&gt;=$S155,INDEX(SPPWS,CZ159,6)&gt;=$R155),1,0),IF(AND(INDEX(SPM,CZ159,4)&gt;=$AB155,INDEX(SPM,CZ159,5)&gt;=$S155,INDEX(SPM,CZ159,6)&gt;=$R155),1,0))</f>
        <v>#N/A</v>
      </c>
      <c r="DB159" s="4" t="e">
        <f t="shared" ref="DB159" ca="1" si="2318">MATCH(1,OFFSET(DA155:DA166,DC158,0,COUNT(DA155:DA166)-DC158),0)</f>
        <v>#REF!</v>
      </c>
      <c r="DC159" s="4" t="e">
        <f t="shared" ca="1" si="2263"/>
        <v>#REF!</v>
      </c>
      <c r="DD159" s="693" t="str">
        <f ca="1">IF(LEFT($J155,7)="Clad Wo",IFERROR(VLOOKUP(INDEX(CZ155:CZ166,DC159),SPPWS,2,FALSE),"----"),IFERROR(VLOOKUP(INDEX(CZ155:CZ166,DC159),SPM,2,FALSE),"----"))</f>
        <v>----</v>
      </c>
      <c r="DE159" s="691" t="e">
        <f t="shared" ca="1" si="2264"/>
        <v>#REF!</v>
      </c>
      <c r="DF159" s="4" t="e" cm="1">
        <f t="array" aca="1" ref="DF159" ca="1">IF(AND(INDEX(INDIRECT(BY155),DE159,4)&gt;=$AB161,INDEX(INDIRECT(BY155),DE159,5)&gt;=$S155,INDEX(INDIRECT(BY155),DE159,6)&gt;=$R155),1,0)</f>
        <v>#REF!</v>
      </c>
      <c r="DG159" s="4" t="e">
        <f t="shared" ref="DG159" ca="1" si="2319">MATCH(1,OFFSET(DF155:DF166,DH158,0,COUNT(DF155:DF166)-DH158),0)</f>
        <v>#REF!</v>
      </c>
      <c r="DH159" s="4" t="e">
        <f t="shared" ca="1" si="2266"/>
        <v>#REF!</v>
      </c>
      <c r="DI159" s="692" t="str" cm="1">
        <f t="array" aca="1" ref="DI159" ca="1">IFERROR(VLOOKUP(INDEX(DE155:DE166,DH159),INDIRECT(BY155),2,FALSE),"----")</f>
        <v>----</v>
      </c>
      <c r="DJ159" s="691" t="e">
        <f t="shared" ca="1" si="2267"/>
        <v>#N/A</v>
      </c>
      <c r="DK159" s="4" t="e">
        <f ca="1">IF(AND(INDEX(SSM,DJ159,4)&gt;=$AB161,INDEX(SSM,DJ159,5)&gt;=$S155,INDEX(SSM,DJ159,6)&gt;=$R155),1,0)</f>
        <v>#N/A</v>
      </c>
      <c r="DL159" s="4" t="e">
        <f t="shared" ref="DL159" ca="1" si="2320">MATCH(1,OFFSET(DK155:DK166,DM158,0,COUNT(DK155:DK166)-DM158),0)</f>
        <v>#REF!</v>
      </c>
      <c r="DM159" s="4" t="e">
        <f t="shared" ca="1" si="2269"/>
        <v>#REF!</v>
      </c>
      <c r="DN159" s="692" t="str">
        <f ca="1">IFERROR(IF(AD162="Nested Steel Stud (wood infill)",VLOOKUP(INDEX(DJ155:DJ166,DM159),SSW,2,FALSE),VLOOKUP(INDEX(DJ155:DJ166,DM159),SSM,2,FALSE)),"----")</f>
        <v>----</v>
      </c>
      <c r="DO159" s="691" t="e">
        <f t="shared" ca="1" si="2270"/>
        <v>#N/A</v>
      </c>
      <c r="DP159" s="4" t="e">
        <f ca="1">IF(AND(INDEX(WSM,DO159,4)&gt;=$AB161,INDEX(WSM,DO159,5)&gt;=$S155,INDEX(WSM,DO159,6)&gt;=$R155),1,0)</f>
        <v>#N/A</v>
      </c>
      <c r="DQ159" s="4" t="e">
        <f t="shared" ref="DQ159" ca="1" si="2321">MATCH(1,OFFSET(DP155:DP166,DR158,0,COUNT(DP155:DP166)-DR158),0)</f>
        <v>#REF!</v>
      </c>
      <c r="DR159" s="4" t="e">
        <f t="shared" ca="1" si="2272"/>
        <v>#REF!</v>
      </c>
      <c r="DS159" s="692" t="str">
        <f ca="1">IFERROR(VLOOKUP(INDEX(DO155:DO166,DR159),WSM,2,FALSE),"----")</f>
        <v>----</v>
      </c>
      <c r="DT159" s="691" t="e">
        <f t="shared" ca="1" si="2273"/>
        <v>#N/A</v>
      </c>
      <c r="DU159" s="4" t="e">
        <f ca="1">IF(AND(INDEX(STM,DT159,4)&gt;=$AB161,INDEX(STM,DT159,5)&gt;=$S155,INDEX(STM,DT159,6)&gt;=$R155),1,0)</f>
        <v>#N/A</v>
      </c>
      <c r="DV159" s="4" t="e">
        <f t="shared" ref="DV159" ca="1" si="2322">MATCH(1,OFFSET(DU155:DU166,DW158,0,COUNT(DU155:DU166)-DW158),0)</f>
        <v>#REF!</v>
      </c>
      <c r="DW159" s="4" t="e">
        <f t="shared" ca="1" si="2275"/>
        <v>#REF!</v>
      </c>
      <c r="DX159" s="692" t="str">
        <f ca="1">IFERROR(VLOOKUP(INDEX(DT155:DT166,DW159),STM,2,FALSE),"----")</f>
        <v>----</v>
      </c>
      <c r="DY159" s="691" t="e">
        <f t="shared" ca="1" si="2276"/>
        <v>#N/A</v>
      </c>
      <c r="DZ159" s="4" t="e">
        <f ca="1">IF(AND(INDEX(ELM,DY159,4)&gt;=$AB161,INDEX(ELM,DY159,5)&gt;=$S155,INDEX(ELM,DY159,6)&gt;=$R155),1,0)</f>
        <v>#N/A</v>
      </c>
      <c r="EA159" s="4" t="e">
        <f t="shared" ref="EA159" ca="1" si="2323">MATCH(1,OFFSET(DZ155:DZ166,EB158,0,COUNT(DZ155:DZ166)-EB158),0)</f>
        <v>#REF!</v>
      </c>
      <c r="EB159" s="4" t="e">
        <f t="shared" ca="1" si="2278"/>
        <v>#REF!</v>
      </c>
      <c r="EC159" s="692" t="str">
        <f ca="1">IFERROR(VLOOKUP(INDEX(DY155:DY166,EB159),ELM,2,FALSE),"----")</f>
        <v>----</v>
      </c>
      <c r="ED159" s="691" t="e">
        <f t="shared" ca="1" si="2279"/>
        <v>#N/A</v>
      </c>
      <c r="EE159" s="4" t="e">
        <f ca="1">IF(LEFT($J155,7)="Clad Wo",IF(AND(INDEX(SPPWS,ED159,4)&gt;=$AB161,INDEX(SPPWS,ED159,5)&gt;=$S155,INDEX(SPPWS,ED159,6)&gt;=$R155),1,0),IF(AND(INDEX(SPM,ED159,4)&gt;=$AB161,INDEX(SPM,ED159,5)&gt;=$S155,INDEX(SPM,ED159,6)&gt;=$R155),1,0))</f>
        <v>#N/A</v>
      </c>
      <c r="EF159" s="4" t="e">
        <f t="shared" ref="EF159" ca="1" si="2324">MATCH(1,OFFSET(EE155:EE166,EG158,0,COUNT(EE155:EE166)-EG158),0)</f>
        <v>#REF!</v>
      </c>
      <c r="EG159" s="4" t="e">
        <f t="shared" ca="1" si="2281"/>
        <v>#REF!</v>
      </c>
      <c r="EH159" s="692" t="str">
        <f ca="1">IF(LEFT($J155,7)="Clad Wo",IFERROR(VLOOKUP(INDEX(ED155:ED166,EG159),SPPWS,2,FALSE),"----"),IFERROR(VLOOKUP(INDEX(ED155:ED166,EG159),SPM,2,FALSE),"----"))</f>
        <v>----</v>
      </c>
    </row>
    <row r="160" spans="1:138" ht="15" customHeight="1" thickBot="1" x14ac:dyDescent="0.3">
      <c r="A160" s="1085"/>
      <c r="B160" s="934"/>
      <c r="C160" s="935"/>
      <c r="D160" s="936"/>
      <c r="E160" s="995"/>
      <c r="F160" s="996"/>
      <c r="G160" s="997"/>
      <c r="H160" s="1062"/>
      <c r="I160" s="990"/>
      <c r="J160" s="908"/>
      <c r="K160" s="909"/>
      <c r="L160" s="1010"/>
      <c r="M160" s="924"/>
      <c r="N160" s="1044"/>
      <c r="O160" s="1018"/>
      <c r="P160" s="987"/>
      <c r="Q160" s="1015"/>
      <c r="R160" s="1012"/>
      <c r="S160" s="1006"/>
      <c r="T160" s="1007"/>
      <c r="U160" s="878"/>
      <c r="V160" s="881"/>
      <c r="W160" s="889"/>
      <c r="X160" s="884"/>
      <c r="Y160" s="890"/>
      <c r="Z160" s="890"/>
      <c r="AA160" s="887"/>
      <c r="AB160" s="1084"/>
      <c r="AC160" s="1079"/>
      <c r="AD160" s="1072" t="str">
        <f t="shared" ref="AD160" si="2325">IF(LEFT(J155,7)="Clad Wo","Pella Wood Spr / Steel Pte","Steel Plate")</f>
        <v>Steel Plate</v>
      </c>
      <c r="AE160" s="1073"/>
      <c r="AF160" s="1054"/>
      <c r="AG160" s="1055"/>
      <c r="AH160" s="1055"/>
      <c r="AI160" s="1092"/>
      <c r="AJ160" s="1093"/>
      <c r="AK160" s="159" t="str">
        <f t="shared" ca="1" si="1130"/>
        <v/>
      </c>
      <c r="AL160" s="1040"/>
      <c r="AM160" s="345" t="str">
        <f ca="1">IFERROR(Q155/12*ROUND(VLOOKUP(AF160,OFFSET(SPM,0,1),6,FALSE),2),"")</f>
        <v/>
      </c>
      <c r="AN160" t="str">
        <f t="shared" ca="1" si="1154"/>
        <v/>
      </c>
      <c r="AP160" s="699" t="str">
        <f t="shared" ref="AP160" si="2326">_xlfn.CONCAT(AR160,AS160)</f>
        <v/>
      </c>
      <c r="AQ160" s="700" t="str">
        <f t="shared" si="1353"/>
        <v/>
      </c>
      <c r="AR160" s="160" t="str">
        <f t="shared" si="1114"/>
        <v/>
      </c>
      <c r="AS160" s="160" t="str">
        <f>IFERROR(VLOOKUP(J163, WallType,2,FALSE),"")</f>
        <v/>
      </c>
      <c r="AT160" s="701" t="str">
        <f>AL155</f>
        <v/>
      </c>
      <c r="AU160" s="694" t="e">
        <f t="shared" ca="1" si="1370"/>
        <v>#REF!</v>
      </c>
      <c r="AV160" s="698" t="str">
        <f ca="1">IFERROR(VLOOKUP(AU160,INDIRECT(AQ155),2,FALSE),"----")</f>
        <v>----</v>
      </c>
      <c r="AW160" s="702" t="e">
        <f t="shared" ca="1" si="1371"/>
        <v>#REF!</v>
      </c>
      <c r="AX160" s="698" t="str">
        <f ca="1">IFERROR(VLOOKUP(AW160,INDIRECT(AQ156),2,FALSE),"----")</f>
        <v>----</v>
      </c>
      <c r="AY160" s="702" t="e">
        <f t="shared" ref="AY160" ca="1" si="2327">AY159-1</f>
        <v>#REF!</v>
      </c>
      <c r="AZ160" s="698" t="str">
        <f ca="1">IFERROR(VLOOKUP(AY160,INDIRECT(AQ157),2,FALSE),"----")</f>
        <v>----</v>
      </c>
      <c r="BA160" s="702" t="e">
        <f t="shared" ref="BA160" ca="1" si="2328">BA159-1</f>
        <v>#REF!</v>
      </c>
      <c r="BB160" s="698" t="str">
        <f ca="1">IFERROR(VLOOKUP(BA160,INDIRECT(AQ158),2,FALSE),"----")</f>
        <v>----</v>
      </c>
      <c r="BC160" s="702" t="e">
        <f t="shared" ca="1" si="1374"/>
        <v>#REF!</v>
      </c>
      <c r="BD160" s="698" t="str">
        <f ca="1">IFERROR(VLOOKUP(BC160,INDIRECT(AQ159),2,FALSE),"----")</f>
        <v>----</v>
      </c>
      <c r="BE160" s="702" t="e">
        <f t="shared" ca="1" si="1375"/>
        <v>#REF!</v>
      </c>
      <c r="BF160" s="698" t="str">
        <f ca="1">IFERROR(VLOOKUP(BE160,INDIRECT(AQ160),2,FALSE),"----")</f>
        <v>----</v>
      </c>
      <c r="BG160" s="702" t="e">
        <f t="shared" ca="1" si="1376"/>
        <v>#REF!</v>
      </c>
      <c r="BH160" s="686" t="str">
        <f ca="1">IFERROR(VLOOKUP(BG160,INDIRECT(AQ161),2,FALSE),"----")</f>
        <v>----</v>
      </c>
      <c r="BI160" s="702" t="e">
        <f t="shared" ca="1" si="1377"/>
        <v>#REF!</v>
      </c>
      <c r="BJ160" s="686" t="str">
        <f ca="1">IFERROR(VLOOKUP(BI160,INDIRECT(AQ162),2,FALSE),"----")</f>
        <v>----</v>
      </c>
      <c r="BK160" s="702" t="e">
        <f t="shared" ca="1" si="1378"/>
        <v>#REF!</v>
      </c>
      <c r="BL160" s="686" t="str">
        <f ca="1">IFERROR(VLOOKUP(BK160,INDIRECT(AQ163),2,FALSE),"----")</f>
        <v>----</v>
      </c>
      <c r="BM160" s="702" t="e">
        <f t="shared" ca="1" si="1379"/>
        <v>#REF!</v>
      </c>
      <c r="BN160" s="686" t="str">
        <f ca="1">IFERROR(VLOOKUP(BM160,INDIRECT(AQ164),2,FALSE),"----")</f>
        <v>----</v>
      </c>
      <c r="BO160" s="702" t="e">
        <f t="shared" ca="1" si="1380"/>
        <v>#REF!</v>
      </c>
      <c r="BP160" s="686" t="str">
        <f ca="1">IFERROR(VLOOKUP(BO160,INDIRECT(AQ165),2,FALSE),"----")</f>
        <v>----</v>
      </c>
      <c r="BQ160" s="702" t="e">
        <f t="shared" ca="1" si="1381"/>
        <v>#REF!</v>
      </c>
      <c r="BR160" s="686" t="str">
        <f ca="1">IFERROR(VLOOKUP(BQ160,INDIRECT(AQ166),2,FALSE),"----")</f>
        <v>----</v>
      </c>
      <c r="BS160" s="703">
        <f>IF(AI160="",1,IF(COUNTIF(BF155:BF166,AI160)=0,2,1))</f>
        <v>1</v>
      </c>
      <c r="BT160" s="704">
        <f>IF(AF160="",1,IF(BF155=".",2,1))</f>
        <v>1</v>
      </c>
      <c r="BV160" s="155">
        <f ca="1">IF(COUNTIF(DD155:DD166,AF160)=0,IF(AF160&lt;&gt;"",0,1),1)</f>
        <v>1</v>
      </c>
      <c r="BW160" s="157">
        <f ca="1">IFERROR(MATCH(AF160,DD155:DD166,0),1)</f>
        <v>1</v>
      </c>
      <c r="BX160" s="875" t="s">
        <v>1594</v>
      </c>
      <c r="BY160" s="876"/>
      <c r="BZ160" s="1110"/>
      <c r="CA160" s="691" t="e">
        <f t="shared" ca="1" si="2246"/>
        <v>#REF!</v>
      </c>
      <c r="CB160" s="4" t="e" cm="1">
        <f t="array" aca="1" ref="CB160" ca="1">IF(AND(INDEX(INDIRECT(BY155),CA160,4)&gt;=$AB155,INDEX(INDIRECT(BY155),CA160,5)&gt;=$S155,INDEX(INDIRECT(BY155),CA160,6)&gt;=$R155),1,0)</f>
        <v>#REF!</v>
      </c>
      <c r="CC160" s="4" t="e">
        <f t="shared" ref="CC160" ca="1" si="2329">MATCH(1,OFFSET(CB155:CB166,CD159,0,COUNT(CB155:CB166)-CD159),0)</f>
        <v>#REF!</v>
      </c>
      <c r="CD160" s="4" t="e">
        <f t="shared" ca="1" si="2248"/>
        <v>#REF!</v>
      </c>
      <c r="CE160" s="692" t="str" cm="1">
        <f t="array" aca="1" ref="CE160" ca="1">IFERROR(VLOOKUP(INDEX(CA155:CA166,CD160),INDIRECT(BY155),2,FALSE),"----")</f>
        <v>----</v>
      </c>
      <c r="CF160" s="691" t="e">
        <f t="shared" ca="1" si="2249"/>
        <v>#N/A</v>
      </c>
      <c r="CG160" s="4" t="e">
        <f ca="1">IF(AND(INDEX(SSM,CF160,4)&gt;=$AB155,INDEX(SSM,CF160,5)&gt;=$S155,INDEX(SSM,CF160,6)&gt;=$R155),1,0)</f>
        <v>#N/A</v>
      </c>
      <c r="CH160" s="4" t="e">
        <f t="shared" ref="CH160" ca="1" si="2330">MATCH(1,OFFSET(CG155:CG166,CI159,0,COUNT(CG155:CG166)-CI159),0)</f>
        <v>#REF!</v>
      </c>
      <c r="CI160" s="4" t="e">
        <f t="shared" ca="1" si="2251"/>
        <v>#REF!</v>
      </c>
      <c r="CJ160" s="692" t="str">
        <f ca="1">IFERROR(IF(AD156="Nested Steel Stud (wood infill)",VLOOKUP(INDEX(CF155:CF166,CI160),SSW,2,FALSE),VLOOKUP(INDEX(CF155:CF166,CI160),SSM,2,FALSE)),"----")</f>
        <v>----</v>
      </c>
      <c r="CK160" s="691" t="e">
        <f t="shared" ca="1" si="2252"/>
        <v>#N/A</v>
      </c>
      <c r="CL160" s="4" t="e">
        <f ca="1">IF(AND(INDEX(WSM,CK160,4)&gt;=$AB155,INDEX(WSM,CK160,5)&gt;=$S155,INDEX(WSM,CK160,6)&gt;=$R155),1,0)</f>
        <v>#N/A</v>
      </c>
      <c r="CM160" s="4" t="e">
        <f t="shared" ref="CM160" ca="1" si="2331">MATCH(1,OFFSET(CL155:CL166,CN159,0,COUNT(CL155:CL166)-CN159),0)</f>
        <v>#REF!</v>
      </c>
      <c r="CN160" s="4" t="e">
        <f t="shared" ca="1" si="2254"/>
        <v>#REF!</v>
      </c>
      <c r="CO160" s="692" t="str">
        <f ca="1">IFERROR(VLOOKUP(INDEX(CK155:CK166,CN160),WSM,2,FALSE),"----")</f>
        <v>----</v>
      </c>
      <c r="CP160" s="691" t="e">
        <f t="shared" ca="1" si="2255"/>
        <v>#N/A</v>
      </c>
      <c r="CQ160" s="4" t="e">
        <f ca="1">IF(AND(INDEX(STM,CP160,4)&gt;=$AB155,INDEX(STM,CP160,5)&gt;=$S155,INDEX(STM,CP160,6)&gt;=$R155),1,0)</f>
        <v>#N/A</v>
      </c>
      <c r="CR160" s="4" t="e">
        <f t="shared" ref="CR160" ca="1" si="2332">MATCH(1,OFFSET(CQ155:CQ166,CS159,0,COUNT(CQ155:CQ166)-CS159),0)</f>
        <v>#REF!</v>
      </c>
      <c r="CS160" s="4" t="e">
        <f t="shared" ca="1" si="2257"/>
        <v>#REF!</v>
      </c>
      <c r="CT160" s="692" t="str">
        <f ca="1">IFERROR(VLOOKUP(INDEX(CP155:CP166,CS160),STM,2,FALSE),"----")</f>
        <v>----</v>
      </c>
      <c r="CU160" s="691" t="e">
        <f t="shared" ca="1" si="2258"/>
        <v>#N/A</v>
      </c>
      <c r="CV160" s="4" t="e">
        <f ca="1">IF(AND(INDEX(ELM,CU160,4)&gt;=$AB155,INDEX(ELM,CU160,5)&gt;=$S155,INDEX(ELM,CU160,6)&gt;=$R155),1,0)</f>
        <v>#N/A</v>
      </c>
      <c r="CW160" s="4" t="e">
        <f t="shared" ref="CW160" ca="1" si="2333">MATCH(1,OFFSET(CV155:CV166,CX159,0,COUNT(CV155:CV166)-CX159),0)</f>
        <v>#REF!</v>
      </c>
      <c r="CX160" s="4" t="e">
        <f t="shared" ca="1" si="2260"/>
        <v>#REF!</v>
      </c>
      <c r="CY160" s="692" t="str">
        <f ca="1">IFERROR(VLOOKUP(INDEX(CU155:CU166,CX160),ELM,2,FALSE),"----")</f>
        <v>----</v>
      </c>
      <c r="CZ160" s="691" t="e">
        <f t="shared" ca="1" si="2261"/>
        <v>#N/A</v>
      </c>
      <c r="DA160" s="4" t="e">
        <f ca="1">IF(LEFT($J155,7)="Clad Wo",IF(AND(INDEX(SPPWS,CZ160,4)&gt;=$AB155,INDEX(SPPWS,CZ160,5)&gt;=$S155,INDEX(SPPWS,CZ160,6)&gt;=$R155),1,0),IF(AND(INDEX(SPM,CZ160,4)&gt;=$AB155,INDEX(SPM,CZ160,5)&gt;=$S155,INDEX(SPM,CZ160,6)&gt;=$R155),1,0))</f>
        <v>#N/A</v>
      </c>
      <c r="DB160" s="4" t="e">
        <f t="shared" ref="DB160" ca="1" si="2334">MATCH(1,OFFSET(DA155:DA166,DC159,0,COUNT(DA155:DA166)-DC159),0)</f>
        <v>#REF!</v>
      </c>
      <c r="DC160" s="4" t="e">
        <f t="shared" ca="1" si="2263"/>
        <v>#REF!</v>
      </c>
      <c r="DD160" s="693" t="str">
        <f ca="1">IF(LEFT($J155,7)="Clad Wo",IFERROR(VLOOKUP(INDEX(CZ155:CZ166,DC160),SPPWS,2,FALSE),"----"),IFERROR(VLOOKUP(INDEX(CZ155:CZ166,DC160),SPM,2,FALSE),"----"))</f>
        <v>----</v>
      </c>
      <c r="DE160" s="691" t="e">
        <f t="shared" ca="1" si="2264"/>
        <v>#REF!</v>
      </c>
      <c r="DF160" s="4" t="e" cm="1">
        <f t="array" aca="1" ref="DF160" ca="1">IF(AND(INDEX(INDIRECT(BY155),DE160,4)&gt;=$AB161,INDEX(INDIRECT(BY155),DE160,5)&gt;=$S155,INDEX(INDIRECT(BY155),DE160,6)&gt;=$R155),1,0)</f>
        <v>#REF!</v>
      </c>
      <c r="DG160" s="4" t="e">
        <f t="shared" ref="DG160" ca="1" si="2335">MATCH(1,OFFSET(DF155:DF166,DH159,0,COUNT(DF155:DF166)-DH159),0)</f>
        <v>#REF!</v>
      </c>
      <c r="DH160" s="4" t="e">
        <f t="shared" ca="1" si="2266"/>
        <v>#REF!</v>
      </c>
      <c r="DI160" s="692" t="str" cm="1">
        <f t="array" aca="1" ref="DI160" ca="1">IFERROR(VLOOKUP(INDEX(DE155:DE166,DH160),INDIRECT(BY155),2,FALSE),"----")</f>
        <v>----</v>
      </c>
      <c r="DJ160" s="691" t="e">
        <f t="shared" ca="1" si="2267"/>
        <v>#N/A</v>
      </c>
      <c r="DK160" s="4" t="e">
        <f ca="1">IF(AND(INDEX(SSM,DJ160,4)&gt;=$AB161,INDEX(SSM,DJ160,5)&gt;=$S155,INDEX(SSM,DJ160,6)&gt;=$R155),1,0)</f>
        <v>#N/A</v>
      </c>
      <c r="DL160" s="4" t="e">
        <f t="shared" ref="DL160" ca="1" si="2336">MATCH(1,OFFSET(DK155:DK166,DM159,0,COUNT(DK155:DK166)-DM159),0)</f>
        <v>#REF!</v>
      </c>
      <c r="DM160" s="4" t="e">
        <f t="shared" ca="1" si="2269"/>
        <v>#REF!</v>
      </c>
      <c r="DN160" s="692" t="str">
        <f ca="1">IFERROR(IF(AD162="Nested Steel Stud (wood infill)",VLOOKUP(INDEX(DJ155:DJ166,DM160),SSW,2,FALSE),VLOOKUP(INDEX(DJ155:DJ166,DM160),SSM,2,FALSE)),"----")</f>
        <v>----</v>
      </c>
      <c r="DO160" s="691" t="e">
        <f t="shared" ca="1" si="2270"/>
        <v>#N/A</v>
      </c>
      <c r="DP160" s="4" t="e">
        <f ca="1">IF(AND(INDEX(WSM,DO160,4)&gt;=$AB161,INDEX(WSM,DO160,5)&gt;=$S155,INDEX(WSM,DO160,6)&gt;=$R155),1,0)</f>
        <v>#N/A</v>
      </c>
      <c r="DQ160" s="4" t="e">
        <f t="shared" ref="DQ160" ca="1" si="2337">MATCH(1,OFFSET(DP155:DP166,DR159,0,COUNT(DP155:DP166)-DR159),0)</f>
        <v>#REF!</v>
      </c>
      <c r="DR160" s="4" t="e">
        <f t="shared" ca="1" si="2272"/>
        <v>#REF!</v>
      </c>
      <c r="DS160" s="692" t="str">
        <f ca="1">IFERROR(VLOOKUP(INDEX(DO155:DO166,DR160),WSM,2,FALSE),"----")</f>
        <v>----</v>
      </c>
      <c r="DT160" s="691" t="e">
        <f t="shared" ca="1" si="2273"/>
        <v>#N/A</v>
      </c>
      <c r="DU160" s="4" t="e">
        <f ca="1">IF(AND(INDEX(STM,DT160,4)&gt;=$AB161,INDEX(STM,DT160,5)&gt;=$S155,INDEX(STM,DT160,6)&gt;=$R155),1,0)</f>
        <v>#N/A</v>
      </c>
      <c r="DV160" s="4" t="e">
        <f t="shared" ref="DV160" ca="1" si="2338">MATCH(1,OFFSET(DU155:DU166,DW159,0,COUNT(DU155:DU166)-DW159),0)</f>
        <v>#REF!</v>
      </c>
      <c r="DW160" s="4" t="e">
        <f t="shared" ca="1" si="2275"/>
        <v>#REF!</v>
      </c>
      <c r="DX160" s="692" t="str">
        <f ca="1">IFERROR(VLOOKUP(INDEX(DT155:DT166,DW160),STM,2,FALSE),"----")</f>
        <v>----</v>
      </c>
      <c r="DY160" s="691" t="e">
        <f t="shared" ca="1" si="2276"/>
        <v>#N/A</v>
      </c>
      <c r="DZ160" s="4" t="e">
        <f ca="1">IF(AND(INDEX(ELM,DY160,4)&gt;=$AB161,INDEX(ELM,DY160,5)&gt;=$S155,INDEX(ELM,DY160,6)&gt;=$R155),1,0)</f>
        <v>#N/A</v>
      </c>
      <c r="EA160" s="4" t="e">
        <f t="shared" ref="EA160" ca="1" si="2339">MATCH(1,OFFSET(DZ155:DZ166,EB159,0,COUNT(DZ155:DZ166)-EB159),0)</f>
        <v>#REF!</v>
      </c>
      <c r="EB160" s="4" t="e">
        <f t="shared" ca="1" si="2278"/>
        <v>#REF!</v>
      </c>
      <c r="EC160" s="692" t="str">
        <f ca="1">IFERROR(VLOOKUP(INDEX(DY155:DY166,EB160),ELM,2,FALSE),"----")</f>
        <v>----</v>
      </c>
      <c r="ED160" s="691" t="e">
        <f t="shared" ca="1" si="2279"/>
        <v>#N/A</v>
      </c>
      <c r="EE160" s="4" t="e">
        <f ca="1">IF(LEFT($J155,7)="Clad Wo",IF(AND(INDEX(SPPWS,ED160,4)&gt;=$AB161,INDEX(SPPWS,ED160,5)&gt;=$S155,INDEX(SPPWS,ED160,6)&gt;=$R155),1,0),IF(AND(INDEX(SPM,ED160,4)&gt;=$AB161,INDEX(SPM,ED160,5)&gt;=$S155,INDEX(SPM,ED160,6)&gt;=$R155),1,0))</f>
        <v>#N/A</v>
      </c>
      <c r="EF160" s="4" t="e">
        <f t="shared" ref="EF160" ca="1" si="2340">MATCH(1,OFFSET(EE155:EE166,EG159,0,COUNT(EE155:EE166)-EG159),0)</f>
        <v>#REF!</v>
      </c>
      <c r="EG160" s="4" t="e">
        <f t="shared" ca="1" si="2281"/>
        <v>#REF!</v>
      </c>
      <c r="EH160" s="692" t="str">
        <f ca="1">IF(LEFT($J155,7)="Clad Wo",IFERROR(VLOOKUP(INDEX(ED155:ED166,EG160),SPPWS,2,FALSE),"----"),IFERROR(VLOOKUP(INDEX(ED155:ED166,EG160),SPM,2,FALSE),"----"))</f>
        <v>----</v>
      </c>
    </row>
    <row r="161" spans="1:138" ht="15" customHeight="1" x14ac:dyDescent="0.25">
      <c r="A161" s="1085"/>
      <c r="B161" s="925" t="s">
        <v>409</v>
      </c>
      <c r="C161" s="926"/>
      <c r="D161" s="927"/>
      <c r="E161" s="995"/>
      <c r="F161" s="996"/>
      <c r="G161" s="997"/>
      <c r="H161" s="1062"/>
      <c r="I161" s="990"/>
      <c r="J161" s="908"/>
      <c r="K161" s="909"/>
      <c r="L161" s="1001">
        <f>L155+1</f>
        <v>5</v>
      </c>
      <c r="M161" s="1064" t="str">
        <f t="shared" ref="M161" si="2341">IFERROR(IF($AE$17="",IF($AG$19="Wind Loading",MIN($V$31,IF(E$11="ASCE 7-05",$U$26,$V$7)*$V$9*(IF($E$12&lt;60,0.156*LN(MAX(MIN(500,O155),10)) -1.7618,IF($E$11="ASCE 7-22", 0.2026*LN(MAX(MIN(500,O155),20))-2.2638,0.2503*LN(MAX(MIN(500,O155),20)) -2.5526))-$V$8)),$V$7*IF(E$12&lt;60,$V$13*($V$15*(0.156*LN(MAX(MIN(500,O155),10)) -1.7618)-$V$16),$V$13*$V$15*((0.2026*LN(MAX(MIN(500,O155),20))-2.2638)-$V$16))),-ABS($AE$17)),"")</f>
        <v/>
      </c>
      <c r="N161" s="1041" t="str">
        <f t="shared" ref="N161" si="2342">IFERROR(IF($AE$19="",IF($AG$19="Wind Loading",MAX($U$31,IF(E$11="ASCE 7-05",$U$26,$V$7)*$V$9*((IF($E$12&lt;60,-0.077*LN(MAX(MIN(500,O155),10))+1.1737,IF($E$11="ASCE 7-22",-0.077*LN(MAX(MIN(500,O155),20))+1.0798,-0.093*LN(MAX(MIN(500,O155),20))+1.1776)))+$V$8)),$V$7*IF(E$12&lt;60,$V$13*($V$15*(-0.077*LN(MAX(MIN(500,O155),10))+1.1737)-$V$17),$V$13*$V$15*((-0.077*LN(MAX(MIN(500,O155),20))+1.0798)-$V$17))),ABS($AE$19)),"")</f>
        <v/>
      </c>
      <c r="O161" s="1018"/>
      <c r="P161" s="987"/>
      <c r="Q161" s="1015"/>
      <c r="R161" s="1012">
        <f>P161*Q161/8</f>
        <v>0</v>
      </c>
      <c r="S161" s="1006"/>
      <c r="T161" s="1007"/>
      <c r="U161" s="878"/>
      <c r="V161" s="881"/>
      <c r="W161" s="883" t="e">
        <f t="shared" ref="W161" si="2343">MAX(-M161,N161)*O155</f>
        <v>#VALUE!</v>
      </c>
      <c r="X161" s="884"/>
      <c r="Y161" s="886">
        <f>IFERROR(IF(AG$14="Trapezoidal",BY164,BX164)+IF($E$17="4",(400*E155^3)/(48*X155),0),0)</f>
        <v>0</v>
      </c>
      <c r="Z161" s="886" t="e">
        <f t="shared" ref="Z161" si="2344">+($V155*MAX(-$M161,$N161)*$E155^2)/(144*8)+IF($E$17=4,(400*$E155)/4,0)</f>
        <v>#VALUE!</v>
      </c>
      <c r="AA161" s="887"/>
      <c r="AB161" s="1080" t="str">
        <f t="shared" ref="AB161" ca="1" si="2345">IFERROR(Z161-AA155,"")</f>
        <v/>
      </c>
      <c r="AC161" s="1086" t="str">
        <f t="shared" ref="AC161" ca="1" si="2346">IFERROR(Y161-U155,"")</f>
        <v/>
      </c>
      <c r="AD161" s="1074" t="str">
        <f t="shared" ref="AD161" si="2347">AD155</f>
        <v/>
      </c>
      <c r="AE161" s="1075"/>
      <c r="AF161" s="1056"/>
      <c r="AG161" s="1057"/>
      <c r="AH161" s="1057"/>
      <c r="AI161" s="1088"/>
      <c r="AJ161" s="1089"/>
      <c r="AK161" s="162" t="str">
        <f t="shared" ca="1" si="1130"/>
        <v/>
      </c>
      <c r="AL161" s="1058" t="str">
        <f t="shared" ref="AL161" si="2348">IFERROR(ROUND(SQRT(P155^2+(W161/2+IF($E$17=4,200,0))^2),0),"")</f>
        <v/>
      </c>
      <c r="AM161" s="342" t="s">
        <v>669</v>
      </c>
      <c r="AN161" t="str">
        <f t="shared" ca="1" si="1154"/>
        <v/>
      </c>
      <c r="AP161" s="122" t="str">
        <f t="shared" ref="AP161" si="2349">_xlfn.CONCAT(AR161,AS166)</f>
        <v/>
      </c>
      <c r="AQ161" s="683" t="str">
        <f t="shared" si="1353"/>
        <v/>
      </c>
      <c r="AR161" s="96" t="str">
        <f t="shared" si="1114"/>
        <v/>
      </c>
      <c r="AS161" s="96" t="str">
        <f>IF(COUNTIF(imp_1,AF161)=1,"imp_1",IF(COUNTIF(imp_2,AF161)=1,"imp_2",IF(COUNTIF(imp_3,AF161)=1,"imp_3",IF(COUNTIF(impdoor,AF161)=1,"impdoor",""))))</f>
        <v/>
      </c>
      <c r="AT161" s="684" t="str">
        <f>AL161</f>
        <v/>
      </c>
      <c r="AU161" s="685" t="e">
        <f t="shared" ca="1" si="1370"/>
        <v>#REF!</v>
      </c>
      <c r="AV161" s="686" t="str">
        <f ca="1">IFERROR(VLOOKUP(AU161,INDIRECT(AQ155),2,FALSE),"----")</f>
        <v>----</v>
      </c>
      <c r="AW161" s="685" t="e">
        <f t="shared" ca="1" si="1371"/>
        <v>#REF!</v>
      </c>
      <c r="AX161" s="686" t="str">
        <f ca="1">IFERROR(VLOOKUP(AW161,INDIRECT(AQ156),2,FALSE),"----")</f>
        <v>----</v>
      </c>
      <c r="AY161" s="685" t="e">
        <f t="shared" ca="1" si="2091"/>
        <v>#REF!</v>
      </c>
      <c r="AZ161" s="686" t="str">
        <f ca="1">IFERROR(VLOOKUP(AY161,INDIRECT(AQ157),2,FALSE),"----")</f>
        <v>----</v>
      </c>
      <c r="BA161" s="685" t="e">
        <f t="shared" ca="1" si="2092"/>
        <v>#REF!</v>
      </c>
      <c r="BB161" s="686" t="str">
        <f ca="1">IFERROR(VLOOKUP(BA161,INDIRECT(AQ158),2,FALSE),"----")</f>
        <v>----</v>
      </c>
      <c r="BC161" s="685" t="e">
        <f t="shared" ca="1" si="1374"/>
        <v>#REF!</v>
      </c>
      <c r="BD161" s="686" t="str">
        <f ca="1">IFERROR(VLOOKUP(BC161,INDIRECT(AQ159),2,FALSE),"----")</f>
        <v>----</v>
      </c>
      <c r="BE161" s="685" t="e">
        <f t="shared" ca="1" si="1375"/>
        <v>#REF!</v>
      </c>
      <c r="BF161" s="686" t="str">
        <f ca="1">IFERROR(VLOOKUP(BE161,INDIRECT(AQ160),2,FALSE),"----")</f>
        <v>----</v>
      </c>
      <c r="BG161" s="702" t="e">
        <f t="shared" ca="1" si="1376"/>
        <v>#REF!</v>
      </c>
      <c r="BH161" s="686" t="str">
        <f ca="1">IFERROR(VLOOKUP(BG161,INDIRECT(AQ161),2,FALSE),"----")</f>
        <v>----</v>
      </c>
      <c r="BI161" s="702" t="e">
        <f t="shared" ca="1" si="1377"/>
        <v>#REF!</v>
      </c>
      <c r="BJ161" s="686" t="str">
        <f ca="1">IFERROR(VLOOKUP(BI161,INDIRECT(AQ162),2,FALSE),"----")</f>
        <v>----</v>
      </c>
      <c r="BK161" s="702" t="e">
        <f t="shared" ca="1" si="1378"/>
        <v>#REF!</v>
      </c>
      <c r="BL161" s="686" t="str">
        <f ca="1">IFERROR(VLOOKUP(BK161,INDIRECT(AQ163),2,FALSE),"----")</f>
        <v>----</v>
      </c>
      <c r="BM161" s="702" t="e">
        <f t="shared" ca="1" si="1379"/>
        <v>#REF!</v>
      </c>
      <c r="BN161" s="686" t="str">
        <f ca="1">IFERROR(VLOOKUP(BM161,INDIRECT(AQ164),2,FALSE),"----")</f>
        <v>----</v>
      </c>
      <c r="BO161" s="702" t="e">
        <f t="shared" ca="1" si="1380"/>
        <v>#REF!</v>
      </c>
      <c r="BP161" s="686" t="str">
        <f ca="1">IFERROR(VLOOKUP(BO161,INDIRECT(AQ165),2,FALSE),"----")</f>
        <v>----</v>
      </c>
      <c r="BQ161" s="702" t="e">
        <f t="shared" ca="1" si="1381"/>
        <v>#REF!</v>
      </c>
      <c r="BR161" s="686" t="str">
        <f ca="1">IFERROR(VLOOKUP(BQ161,INDIRECT(AQ166),2,FALSE),"----")</f>
        <v>----</v>
      </c>
      <c r="BS161" s="695">
        <f>IF(AI161="",1,IF(COUNTIF(BH155:BH166,AI161)=0,2,1))</f>
        <v>1</v>
      </c>
      <c r="BT161" s="696">
        <f>IF(AP161="1",1,IF(AF161="",1,IF(BH155=".",2,1)))</f>
        <v>1</v>
      </c>
      <c r="BU161" s="706"/>
      <c r="BV161" s="155">
        <f ca="1">IF(COUNTIF(DI155:DI166,AF161)=0,IF(AF161&lt;&gt;"",0,1),1)</f>
        <v>1</v>
      </c>
      <c r="BW161" s="157">
        <f ca="1">IFERROR(MATCH(AF161,DI155:DI166,0),1)</f>
        <v>1</v>
      </c>
      <c r="BX161" s="769" t="s">
        <v>1593</v>
      </c>
      <c r="BY161" s="769" t="s">
        <v>1629</v>
      </c>
      <c r="BZ161" s="1110"/>
      <c r="CA161" s="691" t="e">
        <f t="shared" ca="1" si="2246"/>
        <v>#REF!</v>
      </c>
      <c r="CB161" s="4" t="e" cm="1">
        <f t="array" aca="1" ref="CB161" ca="1">IF(AND(INDEX(INDIRECT(BY155),CA161,4)&gt;=$AB155,INDEX(INDIRECT(BY155),CA161,5)&gt;=$S155,INDEX(INDIRECT(BY155),CA161,6)&gt;=$R155),1,0)</f>
        <v>#REF!</v>
      </c>
      <c r="CC161" s="4" t="e">
        <f t="shared" ref="CC161" ca="1" si="2350">MATCH(1,OFFSET(CB155:CB166,CD160,0,COUNT(CB155:CB166)-CD160),0)</f>
        <v>#REF!</v>
      </c>
      <c r="CD161" s="4" t="e">
        <f t="shared" ca="1" si="2248"/>
        <v>#REF!</v>
      </c>
      <c r="CE161" s="692" t="str" cm="1">
        <f t="array" aca="1" ref="CE161" ca="1">IFERROR(VLOOKUP(INDEX(CA155:CA166,CD161),INDIRECT(BY155),2,FALSE),"----")</f>
        <v>----</v>
      </c>
      <c r="CF161" s="691" t="e">
        <f t="shared" ca="1" si="2249"/>
        <v>#N/A</v>
      </c>
      <c r="CG161" s="4" t="e">
        <f ca="1">IF(AND(INDEX(SSM,CF161,4)&gt;=$AB155,INDEX(SSM,CF161,5)&gt;=$S155,INDEX(SSM,CF161,6)&gt;=$R155),1,0)</f>
        <v>#N/A</v>
      </c>
      <c r="CH161" s="4" t="e">
        <f t="shared" ref="CH161" ca="1" si="2351">MATCH(1,OFFSET(CG155:CG166,CI160,0,COUNT(CG155:CG166)-CI160),0)</f>
        <v>#REF!</v>
      </c>
      <c r="CI161" s="4" t="e">
        <f t="shared" ca="1" si="2251"/>
        <v>#REF!</v>
      </c>
      <c r="CJ161" s="692" t="str">
        <f ca="1">IFERROR(IF(AD156="Nested Steel Stud (wood infill)",VLOOKUP(INDEX(CF155:CF166,CI161),SSW,2,FALSE),VLOOKUP(INDEX(CF155:CF166,CI161),SSM,2,FALSE)),"----")</f>
        <v>----</v>
      </c>
      <c r="CK161" s="691" t="e">
        <f t="shared" ca="1" si="2252"/>
        <v>#N/A</v>
      </c>
      <c r="CL161" s="4" t="e">
        <f ca="1">IF(AND(INDEX(WSM,CK161,4)&gt;=$AB155,INDEX(WSM,CK161,5)&gt;=$S155,INDEX(WSM,CK161,6)&gt;=$R155),1,0)</f>
        <v>#N/A</v>
      </c>
      <c r="CM161" s="4" t="e">
        <f t="shared" ref="CM161" ca="1" si="2352">MATCH(1,OFFSET(CL155:CL166,CN160,0,COUNT(CL155:CL166)-CN160),0)</f>
        <v>#REF!</v>
      </c>
      <c r="CN161" s="4" t="e">
        <f t="shared" ca="1" si="2254"/>
        <v>#REF!</v>
      </c>
      <c r="CO161" s="692" t="str">
        <f ca="1">IFERROR(VLOOKUP(INDEX(CK155:CK166,CN161),WSM,2,FALSE),"----")</f>
        <v>----</v>
      </c>
      <c r="CP161" s="691" t="e">
        <f t="shared" ca="1" si="2255"/>
        <v>#N/A</v>
      </c>
      <c r="CQ161" s="4" t="e">
        <f ca="1">IF(AND(INDEX(STM,CP161,4)&gt;=$AB155,INDEX(STM,CP161,5)&gt;=$S155,INDEX(STM,CP161,6)&gt;=$R155),1,0)</f>
        <v>#N/A</v>
      </c>
      <c r="CR161" s="4" t="e">
        <f t="shared" ref="CR161" ca="1" si="2353">MATCH(1,OFFSET(CQ155:CQ166,CS160,0,COUNT(CQ155:CQ166)-CS160),0)</f>
        <v>#REF!</v>
      </c>
      <c r="CS161" s="4" t="e">
        <f t="shared" ca="1" si="2257"/>
        <v>#REF!</v>
      </c>
      <c r="CT161" s="692" t="str">
        <f ca="1">IFERROR(VLOOKUP(INDEX(CP155:CP166,CS161),STM,2,FALSE),"----")</f>
        <v>----</v>
      </c>
      <c r="CU161" s="691" t="e">
        <f t="shared" ca="1" si="2258"/>
        <v>#N/A</v>
      </c>
      <c r="CV161" s="4" t="e">
        <f ca="1">IF(AND(INDEX(ELM,CU161,4)&gt;=$AB155,INDEX(ELM,CU161,5)&gt;=$S155,INDEX(ELM,CU161,6)&gt;=$R155),1,0)</f>
        <v>#N/A</v>
      </c>
      <c r="CW161" s="4" t="e">
        <f t="shared" ref="CW161" ca="1" si="2354">MATCH(1,OFFSET(CV155:CV166,CX160,0,COUNT(CV155:CV166)-CX160),0)</f>
        <v>#REF!</v>
      </c>
      <c r="CX161" s="4" t="e">
        <f t="shared" ca="1" si="2260"/>
        <v>#REF!</v>
      </c>
      <c r="CY161" s="692" t="str">
        <f ca="1">IFERROR(VLOOKUP(INDEX(CU155:CU166,CX161),ELM,2,FALSE),"----")</f>
        <v>----</v>
      </c>
      <c r="CZ161" s="691" t="e">
        <f t="shared" ca="1" si="2261"/>
        <v>#N/A</v>
      </c>
      <c r="DA161" s="4" t="e">
        <f ca="1">IF(LEFT($J155,7)="Clad Wo",IF(AND(INDEX(SPPWS,CZ161,4)&gt;=$AB155,INDEX(SPPWS,CZ161,5)&gt;=$S155,INDEX(SPPWS,CZ161,6)&gt;=$R155),1,0),IF(AND(INDEX(SPM,CZ161,4)&gt;=$AB155,INDEX(SPM,CZ161,5)&gt;=$S155,INDEX(SPM,CZ161,6)&gt;=$R155),1,0))</f>
        <v>#N/A</v>
      </c>
      <c r="DB161" s="4" t="e">
        <f t="shared" ref="DB161" ca="1" si="2355">MATCH(1,OFFSET(DA155:DA166,DC160,0,COUNT(DA155:DA166)-DC160),0)</f>
        <v>#REF!</v>
      </c>
      <c r="DC161" s="4" t="e">
        <f t="shared" ca="1" si="2263"/>
        <v>#REF!</v>
      </c>
      <c r="DD161" s="693" t="str">
        <f ca="1">IF(LEFT($J155,7)="Clad Wo",IFERROR(VLOOKUP(INDEX(CZ155:CZ166,DC161),SPPWS,2,FALSE),"----"),IFERROR(VLOOKUP(INDEX(CZ155:CZ166,DC161),SPM,2,FALSE),"----"))</f>
        <v>----</v>
      </c>
      <c r="DE161" s="691" t="e">
        <f t="shared" ca="1" si="2264"/>
        <v>#REF!</v>
      </c>
      <c r="DF161" s="4" t="e" cm="1">
        <f t="array" aca="1" ref="DF161" ca="1">IF(AND(INDEX(INDIRECT(BY155),DE161,4)&gt;=$AB161,INDEX(INDIRECT(BY155),DE161,5)&gt;=$S155,INDEX(INDIRECT(BY155),DE161,6)&gt;=$R155),1,0)</f>
        <v>#REF!</v>
      </c>
      <c r="DG161" s="4" t="e">
        <f t="shared" ref="DG161" ca="1" si="2356">MATCH(1,OFFSET(DF155:DF166,DH160,0,COUNT(DF155:DF166)-DH160),0)</f>
        <v>#REF!</v>
      </c>
      <c r="DH161" s="4" t="e">
        <f t="shared" ca="1" si="2266"/>
        <v>#REF!</v>
      </c>
      <c r="DI161" s="692" t="str" cm="1">
        <f t="array" aca="1" ref="DI161" ca="1">IFERROR(VLOOKUP(INDEX(DE155:DE166,DH161),INDIRECT(BY155),2,FALSE),"----")</f>
        <v>----</v>
      </c>
      <c r="DJ161" s="691" t="e">
        <f t="shared" ca="1" si="2267"/>
        <v>#N/A</v>
      </c>
      <c r="DK161" s="4" t="e">
        <f ca="1">IF(AND(INDEX(SSM,DJ161,4)&gt;=$AB161,INDEX(SSM,DJ161,5)&gt;=$S155,INDEX(SSM,DJ161,6)&gt;=$R155),1,0)</f>
        <v>#N/A</v>
      </c>
      <c r="DL161" s="4" t="e">
        <f t="shared" ref="DL161" ca="1" si="2357">MATCH(1,OFFSET(DK155:DK166,DM160,0,COUNT(DK155:DK166)-DM160),0)</f>
        <v>#REF!</v>
      </c>
      <c r="DM161" s="4" t="e">
        <f t="shared" ca="1" si="2269"/>
        <v>#REF!</v>
      </c>
      <c r="DN161" s="692" t="str">
        <f ca="1">IFERROR(IF(AD162="Nested Steel Stud (wood infill)",VLOOKUP(INDEX(DJ155:DJ166,DM161),SSW,2,FALSE),VLOOKUP(INDEX(DJ155:DJ166,DM161),SSM,2,FALSE)),"----")</f>
        <v>----</v>
      </c>
      <c r="DO161" s="691" t="e">
        <f t="shared" ca="1" si="2270"/>
        <v>#N/A</v>
      </c>
      <c r="DP161" s="4" t="e">
        <f ca="1">IF(AND(INDEX(WSM,DO161,4)&gt;=$AB161,INDEX(WSM,DO161,5)&gt;=$S155,INDEX(WSM,DO161,6)&gt;=$R155),1,0)</f>
        <v>#N/A</v>
      </c>
      <c r="DQ161" s="4" t="e">
        <f t="shared" ref="DQ161" ca="1" si="2358">MATCH(1,OFFSET(DP155:DP166,DR160,0,COUNT(DP155:DP166)-DR160),0)</f>
        <v>#REF!</v>
      </c>
      <c r="DR161" s="4" t="e">
        <f t="shared" ca="1" si="2272"/>
        <v>#REF!</v>
      </c>
      <c r="DS161" s="692" t="str">
        <f ca="1">IFERROR(VLOOKUP(INDEX(DO155:DO166,DR161),WSM,2,FALSE),"----")</f>
        <v>----</v>
      </c>
      <c r="DT161" s="691" t="e">
        <f t="shared" ca="1" si="2273"/>
        <v>#N/A</v>
      </c>
      <c r="DU161" s="4" t="e">
        <f ca="1">IF(AND(INDEX(STM,DT161,4)&gt;=$AB161,INDEX(STM,DT161,5)&gt;=$S155,INDEX(STM,DT161,6)&gt;=$R155),1,0)</f>
        <v>#N/A</v>
      </c>
      <c r="DV161" s="4" t="e">
        <f t="shared" ref="DV161" ca="1" si="2359">MATCH(1,OFFSET(DU155:DU166,DW160,0,COUNT(DU155:DU166)-DW160),0)</f>
        <v>#REF!</v>
      </c>
      <c r="DW161" s="4" t="e">
        <f t="shared" ca="1" si="2275"/>
        <v>#REF!</v>
      </c>
      <c r="DX161" s="692" t="str">
        <f ca="1">IFERROR(VLOOKUP(INDEX(DT155:DT166,DW161),STM,2,FALSE),"----")</f>
        <v>----</v>
      </c>
      <c r="DY161" s="691" t="e">
        <f t="shared" ca="1" si="2276"/>
        <v>#N/A</v>
      </c>
      <c r="DZ161" s="4" t="e">
        <f ca="1">IF(AND(INDEX(ELM,DY161,4)&gt;=$AB161,INDEX(ELM,DY161,5)&gt;=$S155,INDEX(ELM,DY161,6)&gt;=$R155),1,0)</f>
        <v>#N/A</v>
      </c>
      <c r="EA161" s="4" t="e">
        <f t="shared" ref="EA161" ca="1" si="2360">MATCH(1,OFFSET(DZ155:DZ166,EB160,0,COUNT(DZ155:DZ166)-EB160),0)</f>
        <v>#REF!</v>
      </c>
      <c r="EB161" s="4" t="e">
        <f t="shared" ca="1" si="2278"/>
        <v>#REF!</v>
      </c>
      <c r="EC161" s="692" t="str">
        <f ca="1">IFERROR(VLOOKUP(INDEX(DY155:DY166,EB161),ELM,2,FALSE),"----")</f>
        <v>----</v>
      </c>
      <c r="ED161" s="691" t="e">
        <f t="shared" ca="1" si="2279"/>
        <v>#N/A</v>
      </c>
      <c r="EE161" s="4" t="e">
        <f ca="1">IF(LEFT($J155,7)="Clad Wo",IF(AND(INDEX(SPPWS,ED161,4)&gt;=$AB161,INDEX(SPPWS,ED161,5)&gt;=$S155,INDEX(SPPWS,ED161,6)&gt;=$R155),1,0),IF(AND(INDEX(SPM,ED161,4)&gt;=$AB161,INDEX(SPM,ED161,5)&gt;=$S155,INDEX(SPM,ED161,6)&gt;=$R155),1,0))</f>
        <v>#N/A</v>
      </c>
      <c r="EF161" s="4" t="e">
        <f t="shared" ref="EF161" ca="1" si="2361">MATCH(1,OFFSET(EE155:EE166,EG160,0,COUNT(EE155:EE166)-EG160),0)</f>
        <v>#REF!</v>
      </c>
      <c r="EG161" s="4" t="e">
        <f t="shared" ca="1" si="2281"/>
        <v>#REF!</v>
      </c>
      <c r="EH161" s="692" t="str">
        <f ca="1">IF(LEFT($J155,7)="Clad Wo",IFERROR(VLOOKUP(INDEX(ED155:ED166,EG161),SPPWS,2,FALSE),"----"),IFERROR(VLOOKUP(INDEX(ED155:ED166,EG161),SPM,2,FALSE),"----"))</f>
        <v>----</v>
      </c>
    </row>
    <row r="162" spans="1:138" ht="15" customHeight="1" x14ac:dyDescent="0.25">
      <c r="A162" s="1085"/>
      <c r="B162" s="925"/>
      <c r="C162" s="926"/>
      <c r="D162" s="927"/>
      <c r="E162" s="995"/>
      <c r="F162" s="996"/>
      <c r="G162" s="997"/>
      <c r="H162" s="1062"/>
      <c r="I162" s="990"/>
      <c r="J162" s="912"/>
      <c r="K162" s="913"/>
      <c r="L162" s="1002"/>
      <c r="M162" s="923"/>
      <c r="N162" s="1042"/>
      <c r="O162" s="1018"/>
      <c r="P162" s="987"/>
      <c r="Q162" s="1015"/>
      <c r="R162" s="1012"/>
      <c r="S162" s="1006"/>
      <c r="T162" s="1007"/>
      <c r="U162" s="878"/>
      <c r="V162" s="881"/>
      <c r="W162" s="884"/>
      <c r="X162" s="884"/>
      <c r="Y162" s="887"/>
      <c r="Z162" s="887"/>
      <c r="AA162" s="887"/>
      <c r="AB162" s="1081"/>
      <c r="AC162" s="1078"/>
      <c r="AD162" s="1070" t="str">
        <f t="shared" ref="AD162" si="2362">IF(ISBLANK(AD156)=TRUE,"",AD156)</f>
        <v>Nested Steel Stud</v>
      </c>
      <c r="AE162" s="1071"/>
      <c r="AF162" s="1052"/>
      <c r="AG162" s="1053"/>
      <c r="AH162" s="1053"/>
      <c r="AI162" s="1066"/>
      <c r="AJ162" s="1067"/>
      <c r="AK162" s="156" t="str">
        <f t="shared" ca="1" si="1130"/>
        <v/>
      </c>
      <c r="AL162" s="1059"/>
      <c r="AM162" s="343" t="str">
        <f ca="1">IFERROR(Q155/12*ROUND(VLOOKUP(AF162,OFFSET(SSM,0,1),6,FALSE),2),"")</f>
        <v/>
      </c>
      <c r="AN162" t="str">
        <f t="shared" ca="1" si="1154"/>
        <v/>
      </c>
      <c r="AP162" s="122" t="str">
        <f t="shared" ref="AP162" si="2363">_xlfn.CONCAT(AR162,AS166)</f>
        <v/>
      </c>
      <c r="AQ162" s="683" t="str">
        <f t="shared" si="1353"/>
        <v/>
      </c>
      <c r="AR162" s="96" t="str">
        <f t="shared" si="1114"/>
        <v/>
      </c>
      <c r="AS162" s="96" t="str">
        <f>IF(COUNTIF(Vista_1,AF161)=1,"Vista_1",IF(COUNTIF(Vista_2,AF161)=1,"Vista_2",""))</f>
        <v/>
      </c>
      <c r="AT162" s="684" t="str">
        <f>AL161</f>
        <v/>
      </c>
      <c r="AU162" s="694" t="e">
        <f t="shared" ca="1" si="1370"/>
        <v>#REF!</v>
      </c>
      <c r="AV162" s="686" t="str">
        <f ca="1">IFERROR(VLOOKUP(AU162,INDIRECT(AQ155),2,FALSE),"----")</f>
        <v>----</v>
      </c>
      <c r="AW162" s="694" t="e">
        <f t="shared" ca="1" si="1371"/>
        <v>#REF!</v>
      </c>
      <c r="AX162" s="686" t="str">
        <f ca="1">IFERROR(VLOOKUP(AW162,INDIRECT(AQ156),2,FALSE),"----")</f>
        <v>----</v>
      </c>
      <c r="AY162" s="694" t="e">
        <f t="shared" ca="1" si="2091"/>
        <v>#REF!</v>
      </c>
      <c r="AZ162" s="686" t="str">
        <f ca="1">IFERROR(VLOOKUP(AY162,INDIRECT(AQ157),2,FALSE),"----")</f>
        <v>----</v>
      </c>
      <c r="BA162" s="694" t="e">
        <f t="shared" ca="1" si="2092"/>
        <v>#REF!</v>
      </c>
      <c r="BB162" s="686" t="str">
        <f ca="1">IFERROR(VLOOKUP(BA162,INDIRECT(AQ158),2,FALSE),"----")</f>
        <v>----</v>
      </c>
      <c r="BC162" s="694" t="e">
        <f t="shared" ca="1" si="1374"/>
        <v>#REF!</v>
      </c>
      <c r="BD162" s="686" t="str">
        <f ca="1">IFERROR(VLOOKUP(BC162,INDIRECT(AQ159),2,FALSE),"----")</f>
        <v>----</v>
      </c>
      <c r="BE162" s="694" t="e">
        <f t="shared" ca="1" si="1375"/>
        <v>#REF!</v>
      </c>
      <c r="BF162" s="686" t="str">
        <f ca="1">IFERROR(VLOOKUP(BE162,INDIRECT(AQ160),2,FALSE),"----")</f>
        <v>----</v>
      </c>
      <c r="BG162" s="702" t="e">
        <f t="shared" ca="1" si="1376"/>
        <v>#REF!</v>
      </c>
      <c r="BH162" s="686" t="str">
        <f ca="1">IFERROR(VLOOKUP(BG162,INDIRECT(AQ161),2,FALSE),"----")</f>
        <v>----</v>
      </c>
      <c r="BI162" s="702" t="e">
        <f t="shared" ca="1" si="1377"/>
        <v>#REF!</v>
      </c>
      <c r="BJ162" s="686" t="str">
        <f ca="1">IFERROR(VLOOKUP(BI162,INDIRECT(AQ162),2,FALSE),"----")</f>
        <v>----</v>
      </c>
      <c r="BK162" s="702" t="e">
        <f t="shared" ca="1" si="1378"/>
        <v>#REF!</v>
      </c>
      <c r="BL162" s="686" t="str">
        <f ca="1">IFERROR(VLOOKUP(BK162,INDIRECT(AQ163),2,FALSE),"----")</f>
        <v>----</v>
      </c>
      <c r="BM162" s="702" t="e">
        <f t="shared" ca="1" si="1379"/>
        <v>#REF!</v>
      </c>
      <c r="BN162" s="686" t="str">
        <f ca="1">IFERROR(VLOOKUP(BM162,INDIRECT(AQ164),2,FALSE),"----")</f>
        <v>----</v>
      </c>
      <c r="BO162" s="702" t="e">
        <f t="shared" ca="1" si="1380"/>
        <v>#REF!</v>
      </c>
      <c r="BP162" s="686" t="str">
        <f ca="1">IFERROR(VLOOKUP(BO162,INDIRECT(AQ165),2,FALSE),"----")</f>
        <v>----</v>
      </c>
      <c r="BQ162" s="702" t="e">
        <f t="shared" ca="1" si="1381"/>
        <v>#REF!</v>
      </c>
      <c r="BR162" s="686" t="str">
        <f ca="1">IFERROR(VLOOKUP(BQ162,INDIRECT(AQ166),2,FALSE),"----")</f>
        <v>----</v>
      </c>
      <c r="BS162" s="695">
        <f>IF(AI162="",1,IF(COUNTIF(BJ155:BJ166,AI162)=0,2,1))</f>
        <v>1</v>
      </c>
      <c r="BT162" s="696">
        <f>IF(AF162="",1,IF(BJ155=".",2,1))</f>
        <v>1</v>
      </c>
      <c r="BU162" s="706"/>
      <c r="BV162" s="155">
        <f ca="1">IF(COUNTIF(DN155:DN166,AF162)=0,IF(AF162&lt;&gt;"",0,1),1)</f>
        <v>1</v>
      </c>
      <c r="BW162" s="157">
        <f ca="1">IFERROR(MATCH(AF162,DN155:DN166,0),1)</f>
        <v>1</v>
      </c>
      <c r="BX162" s="769">
        <f t="shared" ref="BX162" si="2364">E155*(H155+I155)/144/2</f>
        <v>0</v>
      </c>
      <c r="BY162" s="769">
        <f>SUM(IF(H155&gt;E155,E155^2/4,(H155*E155/2)-(H155^2/4))/144,IF(I155&gt;E155,E155^2/4,(I155*E155/2)-(I155^2/4))/144)</f>
        <v>0</v>
      </c>
      <c r="BZ162" s="1110"/>
      <c r="CA162" s="691" t="e">
        <f t="shared" ca="1" si="2246"/>
        <v>#REF!</v>
      </c>
      <c r="CB162" s="4" t="e" cm="1">
        <f t="array" aca="1" ref="CB162" ca="1">IF(AND(INDEX(INDIRECT(BY155),CA162,4)&gt;=$AB155,INDEX(INDIRECT(BY155),CA162,5)&gt;=$S155,INDEX(INDIRECT(BY155),CA162,6)&gt;=$R155),1,0)</f>
        <v>#REF!</v>
      </c>
      <c r="CC162" s="4" t="e">
        <f t="shared" ref="CC162" ca="1" si="2365">MATCH(1,OFFSET(CB155:CB166,CD161,0,COUNT(CB155:CB166)-CD161),0)</f>
        <v>#REF!</v>
      </c>
      <c r="CD162" s="4" t="e">
        <f t="shared" ca="1" si="2248"/>
        <v>#REF!</v>
      </c>
      <c r="CE162" s="692" t="str" cm="1">
        <f t="array" aca="1" ref="CE162" ca="1">IFERROR(VLOOKUP(INDEX(CA155:CA166,CD162),INDIRECT(BY155),2,FALSE),"----")</f>
        <v>----</v>
      </c>
      <c r="CF162" s="691" t="e">
        <f t="shared" ca="1" si="2249"/>
        <v>#N/A</v>
      </c>
      <c r="CG162" s="4" t="e">
        <f ca="1">IF(AND(INDEX(SSM,CF162,4)&gt;=$AB155,INDEX(SSM,CF162,5)&gt;=$S155,INDEX(SSM,CF162,6)&gt;=$R155),1,0)</f>
        <v>#N/A</v>
      </c>
      <c r="CH162" s="4" t="e">
        <f t="shared" ref="CH162" ca="1" si="2366">MATCH(1,OFFSET(CG155:CG166,CI161,0,COUNT(CG155:CG166)-CI161),0)</f>
        <v>#REF!</v>
      </c>
      <c r="CI162" s="4" t="e">
        <f t="shared" ca="1" si="2251"/>
        <v>#REF!</v>
      </c>
      <c r="CJ162" s="692" t="str">
        <f ca="1">IFERROR(IF(AD156="Nested Steel Stud (wood infill)",VLOOKUP(INDEX(CF155:CF166,CI162),SSW,2,FALSE),VLOOKUP(INDEX(CF155:CF166,CI162),SSM,2,FALSE)),"----")</f>
        <v>----</v>
      </c>
      <c r="CK162" s="691" t="e">
        <f t="shared" ca="1" si="2252"/>
        <v>#N/A</v>
      </c>
      <c r="CL162" s="4" t="e">
        <f ca="1">IF(AND(INDEX(WSM,CK162,4)&gt;=$AB155,INDEX(WSM,CK162,5)&gt;=$S155,INDEX(WSM,CK162,6)&gt;=$R155),1,0)</f>
        <v>#N/A</v>
      </c>
      <c r="CM162" s="4" t="e">
        <f t="shared" ref="CM162" ca="1" si="2367">MATCH(1,OFFSET(CL155:CL166,CN161,0,COUNT(CL155:CL166)-CN161),0)</f>
        <v>#REF!</v>
      </c>
      <c r="CN162" s="4" t="e">
        <f t="shared" ca="1" si="2254"/>
        <v>#REF!</v>
      </c>
      <c r="CO162" s="692" t="str">
        <f ca="1">IFERROR(VLOOKUP(INDEX(CK155:CK166,CN162),WSM,2,FALSE),"----")</f>
        <v>----</v>
      </c>
      <c r="CP162" s="691" t="e">
        <f t="shared" ca="1" si="2255"/>
        <v>#N/A</v>
      </c>
      <c r="CQ162" s="4" t="e">
        <f ca="1">IF(AND(INDEX(STM,CP162,4)&gt;=$AB155,INDEX(STM,CP162,5)&gt;=$S155,INDEX(STM,CP162,6)&gt;=$R155),1,0)</f>
        <v>#N/A</v>
      </c>
      <c r="CR162" s="4" t="e">
        <f t="shared" ref="CR162" ca="1" si="2368">MATCH(1,OFFSET(CQ155:CQ166,CS161,0,COUNT(CQ155:CQ166)-CS161),0)</f>
        <v>#REF!</v>
      </c>
      <c r="CS162" s="4" t="e">
        <f t="shared" ca="1" si="2257"/>
        <v>#REF!</v>
      </c>
      <c r="CT162" s="692" t="str">
        <f ca="1">IFERROR(VLOOKUP(INDEX(CP155:CP166,CS162),STM,2,FALSE),"----")</f>
        <v>----</v>
      </c>
      <c r="CU162" s="691" t="e">
        <f t="shared" ca="1" si="2258"/>
        <v>#N/A</v>
      </c>
      <c r="CV162" s="4" t="e">
        <f ca="1">IF(AND(INDEX(ELM,CU162,4)&gt;=$AB155,INDEX(ELM,CU162,5)&gt;=$S155,INDEX(ELM,CU162,6)&gt;=$R155),1,0)</f>
        <v>#N/A</v>
      </c>
      <c r="CW162" s="4" t="e">
        <f t="shared" ref="CW162" ca="1" si="2369">MATCH(1,OFFSET(CV155:CV166,CX161,0,COUNT(CV155:CV166)-CX161),0)</f>
        <v>#REF!</v>
      </c>
      <c r="CX162" s="4" t="e">
        <f t="shared" ca="1" si="2260"/>
        <v>#REF!</v>
      </c>
      <c r="CY162" s="692" t="str">
        <f ca="1">IFERROR(VLOOKUP(INDEX(CU155:CU166,CX162),ELM,2,FALSE),"----")</f>
        <v>----</v>
      </c>
      <c r="CZ162" s="691" t="e">
        <f t="shared" ca="1" si="2261"/>
        <v>#N/A</v>
      </c>
      <c r="DA162" s="4" t="e">
        <f ca="1">IF(LEFT($J155,7)="Clad Wo",IF(AND(INDEX(SPPWS,CZ162,4)&gt;=$AB155,INDEX(SPPWS,CZ162,5)&gt;=$S155,INDEX(SPPWS,CZ162,6)&gt;=$R155),1,0),IF(AND(INDEX(SPM,CZ162,4)&gt;=$AB155,INDEX(SPM,CZ162,5)&gt;=$S155,INDEX(SPM,CZ162,6)&gt;=$R155),1,0))</f>
        <v>#N/A</v>
      </c>
      <c r="DB162" s="4" t="e">
        <f t="shared" ref="DB162" ca="1" si="2370">MATCH(1,OFFSET(DA155:DA166,DC161,0,COUNT(DA155:DA166)-DC161),0)</f>
        <v>#REF!</v>
      </c>
      <c r="DC162" s="4" t="e">
        <f t="shared" ca="1" si="2263"/>
        <v>#REF!</v>
      </c>
      <c r="DD162" s="693" t="str">
        <f ca="1">IF(LEFT($J155,7)="Clad Wo",IFERROR(VLOOKUP(INDEX(CZ155:CZ166,DC162),SPPWS,2,FALSE),"----"),IFERROR(VLOOKUP(INDEX(CZ155:CZ166,DC162),SPM,2,FALSE),"----"))</f>
        <v>----</v>
      </c>
      <c r="DE162" s="691" t="e">
        <f t="shared" ca="1" si="2264"/>
        <v>#REF!</v>
      </c>
      <c r="DF162" s="4" t="e" cm="1">
        <f t="array" aca="1" ref="DF162" ca="1">IF(AND(INDEX(INDIRECT(BY155),DE162,4)&gt;=$AB161,INDEX(INDIRECT(BY155),DE162,5)&gt;=$S155,INDEX(INDIRECT(BY155),DE162,6)&gt;=$R155),1,0)</f>
        <v>#REF!</v>
      </c>
      <c r="DG162" s="4" t="e">
        <f t="shared" ref="DG162" ca="1" si="2371">MATCH(1,OFFSET(DF155:DF166,DH161,0,COUNT(DF155:DF166)-DH161),0)</f>
        <v>#REF!</v>
      </c>
      <c r="DH162" s="4" t="e">
        <f t="shared" ca="1" si="2266"/>
        <v>#REF!</v>
      </c>
      <c r="DI162" s="692" t="str" cm="1">
        <f t="array" aca="1" ref="DI162" ca="1">IFERROR(VLOOKUP(INDEX(DE155:DE166,DH162),INDIRECT(BY155),2,FALSE),"----")</f>
        <v>----</v>
      </c>
      <c r="DJ162" s="691" t="e">
        <f t="shared" ca="1" si="2267"/>
        <v>#N/A</v>
      </c>
      <c r="DK162" s="4" t="e">
        <f ca="1">IF(AND(INDEX(SSM,DJ162,4)&gt;=$AB161,INDEX(SSM,DJ162,5)&gt;=$S155,INDEX(SSM,DJ162,6)&gt;=$R155),1,0)</f>
        <v>#N/A</v>
      </c>
      <c r="DL162" s="4" t="e">
        <f t="shared" ref="DL162" ca="1" si="2372">MATCH(1,OFFSET(DK155:DK166,DM161,0,COUNT(DK155:DK166)-DM161),0)</f>
        <v>#REF!</v>
      </c>
      <c r="DM162" s="4" t="e">
        <f t="shared" ca="1" si="2269"/>
        <v>#REF!</v>
      </c>
      <c r="DN162" s="692" t="str">
        <f ca="1">IFERROR(IF(AD162="Nested Steel Stud (wood infill)",VLOOKUP(INDEX(DJ155:DJ166,DM162),SSW,2,FALSE),VLOOKUP(INDEX(DJ155:DJ166,DM162),SSM,2,FALSE)),"----")</f>
        <v>----</v>
      </c>
      <c r="DO162" s="691" t="e">
        <f t="shared" ca="1" si="2270"/>
        <v>#N/A</v>
      </c>
      <c r="DP162" s="4" t="e">
        <f ca="1">IF(AND(INDEX(WSM,DO162,4)&gt;=$AB161,INDEX(WSM,DO162,5)&gt;=$S155,INDEX(WSM,DO162,6)&gt;=$R155),1,0)</f>
        <v>#N/A</v>
      </c>
      <c r="DQ162" s="4" t="e">
        <f t="shared" ref="DQ162" ca="1" si="2373">MATCH(1,OFFSET(DP155:DP166,DR161,0,COUNT(DP155:DP166)-DR161),0)</f>
        <v>#REF!</v>
      </c>
      <c r="DR162" s="4" t="e">
        <f t="shared" ca="1" si="2272"/>
        <v>#REF!</v>
      </c>
      <c r="DS162" s="692" t="str">
        <f ca="1">IFERROR(VLOOKUP(INDEX(DO155:DO166,DR162),WSM,2,FALSE),"----")</f>
        <v>----</v>
      </c>
      <c r="DT162" s="691" t="e">
        <f t="shared" ca="1" si="2273"/>
        <v>#N/A</v>
      </c>
      <c r="DU162" s="4" t="e">
        <f ca="1">IF(AND(INDEX(STM,DT162,4)&gt;=$AB161,INDEX(STM,DT162,5)&gt;=$S155,INDEX(STM,DT162,6)&gt;=$R155),1,0)</f>
        <v>#N/A</v>
      </c>
      <c r="DV162" s="4" t="e">
        <f t="shared" ref="DV162" ca="1" si="2374">MATCH(1,OFFSET(DU155:DU166,DW161,0,COUNT(DU155:DU166)-DW161),0)</f>
        <v>#REF!</v>
      </c>
      <c r="DW162" s="4" t="e">
        <f t="shared" ca="1" si="2275"/>
        <v>#REF!</v>
      </c>
      <c r="DX162" s="692" t="str">
        <f ca="1">IFERROR(VLOOKUP(INDEX(DT155:DT166,DW162),STM,2,FALSE),"----")</f>
        <v>----</v>
      </c>
      <c r="DY162" s="691" t="e">
        <f t="shared" ca="1" si="2276"/>
        <v>#N/A</v>
      </c>
      <c r="DZ162" s="4" t="e">
        <f ca="1">IF(AND(INDEX(ELM,DY162,4)&gt;=$AB161,INDEX(ELM,DY162,5)&gt;=$S155,INDEX(ELM,DY162,6)&gt;=$R155),1,0)</f>
        <v>#N/A</v>
      </c>
      <c r="EA162" s="4" t="e">
        <f t="shared" ref="EA162" ca="1" si="2375">MATCH(1,OFFSET(DZ155:DZ166,EB161,0,COUNT(DZ155:DZ166)-EB161),0)</f>
        <v>#REF!</v>
      </c>
      <c r="EB162" s="4" t="e">
        <f t="shared" ca="1" si="2278"/>
        <v>#REF!</v>
      </c>
      <c r="EC162" s="692" t="str">
        <f ca="1">IFERROR(VLOOKUP(INDEX(DY155:DY166,EB162),ELM,2,FALSE),"----")</f>
        <v>----</v>
      </c>
      <c r="ED162" s="691" t="e">
        <f t="shared" ca="1" si="2279"/>
        <v>#N/A</v>
      </c>
      <c r="EE162" s="4" t="e">
        <f ca="1">IF(LEFT($J155,7)="Clad Wo",IF(AND(INDEX(SPPWS,ED162,4)&gt;=$AB161,INDEX(SPPWS,ED162,5)&gt;=$S155,INDEX(SPPWS,ED162,6)&gt;=$R155),1,0),IF(AND(INDEX(SPM,ED162,4)&gt;=$AB161,INDEX(SPM,ED162,5)&gt;=$S155,INDEX(SPM,ED162,6)&gt;=$R155),1,0))</f>
        <v>#N/A</v>
      </c>
      <c r="EF162" s="4" t="e">
        <f t="shared" ref="EF162" ca="1" si="2376">MATCH(1,OFFSET(EE155:EE166,EG161,0,COUNT(EE155:EE166)-EG161),0)</f>
        <v>#REF!</v>
      </c>
      <c r="EG162" s="4" t="e">
        <f t="shared" ca="1" si="2281"/>
        <v>#REF!</v>
      </c>
      <c r="EH162" s="692" t="str">
        <f ca="1">IF(LEFT($J155,7)="Clad Wo",IFERROR(VLOOKUP(INDEX(ED155:ED166,EG162),SPPWS,2,FALSE),"----"),IFERROR(VLOOKUP(INDEX(ED155:ED166,EG162),SPM,2,FALSE),"----"))</f>
        <v>----</v>
      </c>
    </row>
    <row r="163" spans="1:138" ht="15" customHeight="1" x14ac:dyDescent="0.25">
      <c r="A163" s="1085"/>
      <c r="B163" s="925"/>
      <c r="C163" s="926"/>
      <c r="D163" s="927"/>
      <c r="E163" s="995"/>
      <c r="F163" s="996"/>
      <c r="G163" s="997"/>
      <c r="H163" s="1062"/>
      <c r="I163" s="990"/>
      <c r="J163" s="902"/>
      <c r="K163" s="903"/>
      <c r="L163" s="1002"/>
      <c r="M163" s="923"/>
      <c r="N163" s="1042"/>
      <c r="O163" s="1018"/>
      <c r="P163" s="987"/>
      <c r="Q163" s="1015"/>
      <c r="R163" s="1012"/>
      <c r="S163" s="1006"/>
      <c r="T163" s="1007"/>
      <c r="U163" s="878"/>
      <c r="V163" s="881"/>
      <c r="W163" s="884"/>
      <c r="X163" s="884"/>
      <c r="Y163" s="887"/>
      <c r="Z163" s="887"/>
      <c r="AA163" s="887"/>
      <c r="AB163" s="1081"/>
      <c r="AC163" s="1078"/>
      <c r="AD163" s="1070" t="str">
        <f t="shared" si="1666"/>
        <v>Wood Stud Framing</v>
      </c>
      <c r="AE163" s="1071"/>
      <c r="AF163" s="1052"/>
      <c r="AG163" s="1053"/>
      <c r="AH163" s="1053"/>
      <c r="AI163" s="1066"/>
      <c r="AJ163" s="1067"/>
      <c r="AK163" s="156" t="str">
        <f t="shared" ca="1" si="1130"/>
        <v/>
      </c>
      <c r="AL163" s="1059"/>
      <c r="AM163" s="344" t="str">
        <f ca="1">IFERROR(Q155/12*ROUND(VLOOKUP(AF163,OFFSET(WSM,0,1),6,FALSE),2),"")</f>
        <v/>
      </c>
      <c r="AN163" t="str">
        <f t="shared" ca="1" si="1154"/>
        <v/>
      </c>
      <c r="AP163" s="122" t="str">
        <f t="shared" ref="AP163" si="2377">_xlfn.CONCAT(AR163,AS166)</f>
        <v/>
      </c>
      <c r="AQ163" s="683" t="str">
        <f t="shared" si="1353"/>
        <v/>
      </c>
      <c r="AR163" s="4" t="str">
        <f t="shared" ref="AR163:AR226" si="2378">IFERROR(VLOOKUP(AF163,MullList,2,FALSE),"")</f>
        <v/>
      </c>
      <c r="AS163" s="4"/>
      <c r="AT163" s="697" t="str">
        <f>AL161</f>
        <v/>
      </c>
      <c r="AU163" s="694" t="e">
        <f t="shared" ca="1" si="1370"/>
        <v>#REF!</v>
      </c>
      <c r="AV163" s="686" t="str">
        <f ca="1">IFERROR(VLOOKUP(AU163,INDIRECT(AQ155),2,FALSE),"----")</f>
        <v>----</v>
      </c>
      <c r="AW163" s="694" t="e">
        <f t="shared" ca="1" si="1371"/>
        <v>#REF!</v>
      </c>
      <c r="AX163" s="686" t="str">
        <f ca="1">IFERROR(VLOOKUP(AW163,INDIRECT(AQ156),2,FALSE),"----")</f>
        <v>----</v>
      </c>
      <c r="AY163" s="694" t="e">
        <f t="shared" ca="1" si="2091"/>
        <v>#REF!</v>
      </c>
      <c r="AZ163" s="686" t="str">
        <f ca="1">IFERROR(VLOOKUP(AY163,INDIRECT(AQ157),2,FALSE),"----")</f>
        <v>----</v>
      </c>
      <c r="BA163" s="694" t="e">
        <f t="shared" ca="1" si="2092"/>
        <v>#REF!</v>
      </c>
      <c r="BB163" s="686" t="str">
        <f ca="1">IFERROR(VLOOKUP(BA163,INDIRECT(AQ158),2,FALSE),"----")</f>
        <v>----</v>
      </c>
      <c r="BC163" s="694" t="e">
        <f t="shared" ca="1" si="1374"/>
        <v>#REF!</v>
      </c>
      <c r="BD163" s="686" t="str">
        <f ca="1">IFERROR(VLOOKUP(BC163,INDIRECT(AQ159),2,FALSE),"----")</f>
        <v>----</v>
      </c>
      <c r="BE163" s="694" t="e">
        <f t="shared" ca="1" si="1375"/>
        <v>#REF!</v>
      </c>
      <c r="BF163" s="686" t="str">
        <f ca="1">IFERROR(VLOOKUP(BE163,INDIRECT(AQ160),2,FALSE),"----")</f>
        <v>----</v>
      </c>
      <c r="BG163" s="702" t="e">
        <f t="shared" ca="1" si="1376"/>
        <v>#REF!</v>
      </c>
      <c r="BH163" s="686" t="str">
        <f ca="1">IFERROR(VLOOKUP(BG163,INDIRECT(AQ161),2,FALSE),"----")</f>
        <v>----</v>
      </c>
      <c r="BI163" s="702" t="e">
        <f t="shared" ca="1" si="1377"/>
        <v>#REF!</v>
      </c>
      <c r="BJ163" s="686" t="str">
        <f ca="1">IFERROR(VLOOKUP(BI163,INDIRECT(AQ162),2,FALSE),"----")</f>
        <v>----</v>
      </c>
      <c r="BK163" s="702" t="e">
        <f t="shared" ca="1" si="1378"/>
        <v>#REF!</v>
      </c>
      <c r="BL163" s="686" t="str">
        <f ca="1">IFERROR(VLOOKUP(BK163,INDIRECT(AQ163),2,FALSE),"----")</f>
        <v>----</v>
      </c>
      <c r="BM163" s="702" t="e">
        <f t="shared" ca="1" si="1379"/>
        <v>#REF!</v>
      </c>
      <c r="BN163" s="686" t="str">
        <f ca="1">IFERROR(VLOOKUP(BM163,INDIRECT(AQ164),2,FALSE),"----")</f>
        <v>----</v>
      </c>
      <c r="BO163" s="702" t="e">
        <f t="shared" ca="1" si="1380"/>
        <v>#REF!</v>
      </c>
      <c r="BP163" s="686" t="str">
        <f ca="1">IFERROR(VLOOKUP(BO163,INDIRECT(AQ165),2,FALSE),"----")</f>
        <v>----</v>
      </c>
      <c r="BQ163" s="702" t="e">
        <f t="shared" ca="1" si="1381"/>
        <v>#REF!</v>
      </c>
      <c r="BR163" s="686" t="str">
        <f ca="1">IFERROR(VLOOKUP(BQ163,INDIRECT(AQ166),2,FALSE),"----")</f>
        <v>----</v>
      </c>
      <c r="BS163" s="695">
        <f>IF(AI163="",1,IF(COUNTIF(BL155:BL166,AI163)=0,2,1))</f>
        <v>1</v>
      </c>
      <c r="BT163" s="696">
        <f>IF(AF163="",1,IF(BL155=".",2,1))</f>
        <v>1</v>
      </c>
      <c r="BU163" s="706"/>
      <c r="BV163" s="155">
        <f ca="1">IF(COUNTIF(DS155:DS166,AF163)=0,IF(AF163&lt;&gt;"",0,1),1)</f>
        <v>1</v>
      </c>
      <c r="BW163" s="157">
        <f ca="1">IFERROR(MATCH(AF163,DS155:DS166,0),1)</f>
        <v>1</v>
      </c>
      <c r="BX163" s="769" t="e">
        <f t="shared" ref="BX163" si="2379">5*E155^3*W155/(384*X155)</f>
        <v>#VALUE!</v>
      </c>
      <c r="BY163" s="769" t="e">
        <f t="shared" ref="BY163" si="2380">W155*E155^3/(60*X155)</f>
        <v>#VALUE!</v>
      </c>
      <c r="BZ163" s="1110"/>
      <c r="CA163" s="691" t="e">
        <f t="shared" ca="1" si="2246"/>
        <v>#REF!</v>
      </c>
      <c r="CB163" s="4" t="e" cm="1">
        <f t="array" aca="1" ref="CB163" ca="1">IF(AND(INDEX(INDIRECT(BY155),CA163,4)&gt;=$AB155,INDEX(INDIRECT(BY155),CA163,5)&gt;=$S155,INDEX(INDIRECT(BY155),CA163,6)&gt;=$R155),1,0)</f>
        <v>#REF!</v>
      </c>
      <c r="CC163" s="4" t="e">
        <f t="shared" ref="CC163" ca="1" si="2381">MATCH(1,OFFSET(CB155:CB166,CD162,0,COUNT(CB155:CB166)-CD162),0)</f>
        <v>#REF!</v>
      </c>
      <c r="CD163" s="4" t="e">
        <f t="shared" ca="1" si="2248"/>
        <v>#REF!</v>
      </c>
      <c r="CE163" s="692" t="str" cm="1">
        <f t="array" aca="1" ref="CE163" ca="1">IFERROR(VLOOKUP(INDEX(CA155:CA166,CD163),INDIRECT(BY155),2,FALSE),"----")</f>
        <v>----</v>
      </c>
      <c r="CF163" s="691" t="e">
        <f t="shared" ca="1" si="2249"/>
        <v>#N/A</v>
      </c>
      <c r="CG163" s="4" t="e">
        <f ca="1">IF(AND(INDEX(SSM,CF163,4)&gt;=$AB155,INDEX(SSM,CF163,5)&gt;=$S155,INDEX(SSM,CF163,6)&gt;=$R155),1,0)</f>
        <v>#N/A</v>
      </c>
      <c r="CH163" s="4" t="e">
        <f t="shared" ref="CH163" ca="1" si="2382">MATCH(1,OFFSET(CG155:CG166,CI162,0,COUNT(CG155:CG166)-CI162),0)</f>
        <v>#REF!</v>
      </c>
      <c r="CI163" s="4" t="e">
        <f t="shared" ca="1" si="2251"/>
        <v>#REF!</v>
      </c>
      <c r="CJ163" s="692" t="str">
        <f ca="1">IFERROR(IF(AD156="Nested Steel Stud (wood infill)",VLOOKUP(INDEX(CF155:CF166,CI163),SSW,2,FALSE),VLOOKUP(INDEX(CF155:CF166,CI163),SSM,2,FALSE)),"----")</f>
        <v>----</v>
      </c>
      <c r="CK163" s="691" t="e">
        <f t="shared" ca="1" si="2252"/>
        <v>#N/A</v>
      </c>
      <c r="CL163" s="4" t="e">
        <f ca="1">IF(AND(INDEX(WSM,CK163,4)&gt;=$AB155,INDEX(WSM,CK163,5)&gt;=$S155,INDEX(WSM,CK163,6)&gt;=$R155),1,0)</f>
        <v>#N/A</v>
      </c>
      <c r="CM163" s="4" t="e">
        <f t="shared" ref="CM163" ca="1" si="2383">MATCH(1,OFFSET(CL155:CL166,CN162,0,COUNT(CL155:CL166)-CN162),0)</f>
        <v>#REF!</v>
      </c>
      <c r="CN163" s="4" t="e">
        <f t="shared" ca="1" si="2254"/>
        <v>#REF!</v>
      </c>
      <c r="CO163" s="692" t="str">
        <f ca="1">IFERROR(VLOOKUP(INDEX(CK155:CK166,CN163),WSM,2,FALSE),"----")</f>
        <v>----</v>
      </c>
      <c r="CP163" s="691" t="e">
        <f t="shared" ca="1" si="2255"/>
        <v>#N/A</v>
      </c>
      <c r="CQ163" s="4" t="e">
        <f ca="1">IF(AND(INDEX(STM,CP163,4)&gt;=$AB155,INDEX(STM,CP163,5)&gt;=$S155,INDEX(STM,CP163,6)&gt;=$R155),1,0)</f>
        <v>#N/A</v>
      </c>
      <c r="CR163" s="4" t="e">
        <f t="shared" ref="CR163" ca="1" si="2384">MATCH(1,OFFSET(CQ155:CQ166,CS162,0,COUNT(CQ155:CQ166)-CS162),0)</f>
        <v>#REF!</v>
      </c>
      <c r="CS163" s="4" t="e">
        <f t="shared" ca="1" si="2257"/>
        <v>#REF!</v>
      </c>
      <c r="CT163" s="692" t="str">
        <f ca="1">IFERROR(VLOOKUP(INDEX(CP155:CP166,CS163),STM,2,FALSE),"----")</f>
        <v>----</v>
      </c>
      <c r="CU163" s="691" t="e">
        <f t="shared" ca="1" si="2258"/>
        <v>#N/A</v>
      </c>
      <c r="CV163" s="4" t="e">
        <f ca="1">IF(AND(INDEX(ELM,CU163,4)&gt;=$AB155,INDEX(ELM,CU163,5)&gt;=$S155,INDEX(ELM,CU163,6)&gt;=$R155),1,0)</f>
        <v>#N/A</v>
      </c>
      <c r="CW163" s="4" t="e">
        <f t="shared" ref="CW163" ca="1" si="2385">MATCH(1,OFFSET(CV155:CV166,CX162,0,COUNT(CV155:CV166)-CX162),0)</f>
        <v>#REF!</v>
      </c>
      <c r="CX163" s="4" t="e">
        <f t="shared" ca="1" si="2260"/>
        <v>#REF!</v>
      </c>
      <c r="CY163" s="692" t="str">
        <f ca="1">IFERROR(VLOOKUP(INDEX(CU155:CU166,CX163),ELM,2,FALSE),"----")</f>
        <v>----</v>
      </c>
      <c r="CZ163" s="691" t="e">
        <f t="shared" ca="1" si="2261"/>
        <v>#N/A</v>
      </c>
      <c r="DA163" s="4" t="e">
        <f ca="1">IF(LEFT($J155,7)="Clad Wo",IF(AND(INDEX(SPPWS,CZ163,4)&gt;=$AB155,INDEX(SPPWS,CZ163,5)&gt;=$S155,INDEX(SPPWS,CZ163,6)&gt;=$R155),1,0),IF(AND(INDEX(SPM,CZ163,4)&gt;=$AB155,INDEX(SPM,CZ163,5)&gt;=$S155,INDEX(SPM,CZ163,6)&gt;=$R155),1,0))</f>
        <v>#N/A</v>
      </c>
      <c r="DB163" s="4" t="e">
        <f t="shared" ref="DB163" ca="1" si="2386">MATCH(1,OFFSET(DA155:DA166,DC162,0,COUNT(DA155:DA166)-DC162),0)</f>
        <v>#REF!</v>
      </c>
      <c r="DC163" s="4" t="e">
        <f t="shared" ca="1" si="2263"/>
        <v>#REF!</v>
      </c>
      <c r="DD163" s="693" t="str">
        <f ca="1">IF(LEFT($J155,7)="Clad Wo",IFERROR(VLOOKUP(INDEX(CZ155:CZ166,DC163),SPPWS,2,FALSE),"----"),IFERROR(VLOOKUP(INDEX(CZ155:CZ166,DC163),SPM,2,FALSE),"----"))</f>
        <v>----</v>
      </c>
      <c r="DE163" s="691" t="e">
        <f t="shared" ca="1" si="2264"/>
        <v>#REF!</v>
      </c>
      <c r="DF163" s="4" t="e" cm="1">
        <f t="array" aca="1" ref="DF163" ca="1">IF(AND(INDEX(INDIRECT(BY155),DE163,4)&gt;=$AB161,INDEX(INDIRECT(BY155),DE163,5)&gt;=$S155,INDEX(INDIRECT(BY155),DE163,6)&gt;=$R155),1,0)</f>
        <v>#REF!</v>
      </c>
      <c r="DG163" s="4" t="e">
        <f t="shared" ref="DG163" ca="1" si="2387">MATCH(1,OFFSET(DF155:DF166,DH162,0,COUNT(DF155:DF166)-DH162),0)</f>
        <v>#REF!</v>
      </c>
      <c r="DH163" s="4" t="e">
        <f t="shared" ca="1" si="2266"/>
        <v>#REF!</v>
      </c>
      <c r="DI163" s="692" t="str" cm="1">
        <f t="array" aca="1" ref="DI163" ca="1">IFERROR(VLOOKUP(INDEX(DE155:DE166,DH163),INDIRECT(BY155),2,FALSE),"----")</f>
        <v>----</v>
      </c>
      <c r="DJ163" s="691" t="e">
        <f t="shared" ca="1" si="2267"/>
        <v>#N/A</v>
      </c>
      <c r="DK163" s="4" t="e">
        <f ca="1">IF(AND(INDEX(SSM,DJ163,4)&gt;=$AB161,INDEX(SSM,DJ163,5)&gt;=$S155,INDEX(SSM,DJ163,6)&gt;=$R155),1,0)</f>
        <v>#N/A</v>
      </c>
      <c r="DL163" s="4" t="e">
        <f t="shared" ref="DL163" ca="1" si="2388">MATCH(1,OFFSET(DK155:DK166,DM162,0,COUNT(DK155:DK166)-DM162),0)</f>
        <v>#REF!</v>
      </c>
      <c r="DM163" s="4" t="e">
        <f t="shared" ca="1" si="2269"/>
        <v>#REF!</v>
      </c>
      <c r="DN163" s="692" t="str">
        <f ca="1">IFERROR(IF(AD162="Nested Steel Stud (wood infill)",VLOOKUP(INDEX(DJ155:DJ166,DM163),SSW,2,FALSE),VLOOKUP(INDEX(DJ155:DJ166,DM163),SSM,2,FALSE)),"----")</f>
        <v>----</v>
      </c>
      <c r="DO163" s="691" t="e">
        <f t="shared" ca="1" si="2270"/>
        <v>#N/A</v>
      </c>
      <c r="DP163" s="4" t="e">
        <f ca="1">IF(AND(INDEX(WSM,DO163,4)&gt;=$AB161,INDEX(WSM,DO163,5)&gt;=$S155,INDEX(WSM,DO163,6)&gt;=$R155),1,0)</f>
        <v>#N/A</v>
      </c>
      <c r="DQ163" s="4" t="e">
        <f t="shared" ref="DQ163" ca="1" si="2389">MATCH(1,OFFSET(DP155:DP166,DR162,0,COUNT(DP155:DP166)-DR162),0)</f>
        <v>#REF!</v>
      </c>
      <c r="DR163" s="4" t="e">
        <f t="shared" ca="1" si="2272"/>
        <v>#REF!</v>
      </c>
      <c r="DS163" s="692" t="str">
        <f ca="1">IFERROR(VLOOKUP(INDEX(DO155:DO166,DR163),WSM,2,FALSE),"----")</f>
        <v>----</v>
      </c>
      <c r="DT163" s="691" t="e">
        <f t="shared" ca="1" si="2273"/>
        <v>#N/A</v>
      </c>
      <c r="DU163" s="4" t="e">
        <f ca="1">IF(AND(INDEX(STM,DT163,4)&gt;=$AB161,INDEX(STM,DT163,5)&gt;=$S155,INDEX(STM,DT163,6)&gt;=$R155),1,0)</f>
        <v>#N/A</v>
      </c>
      <c r="DV163" s="4" t="e">
        <f t="shared" ref="DV163" ca="1" si="2390">MATCH(1,OFFSET(DU155:DU166,DW162,0,COUNT(DU155:DU166)-DW162),0)</f>
        <v>#REF!</v>
      </c>
      <c r="DW163" s="4" t="e">
        <f t="shared" ca="1" si="2275"/>
        <v>#REF!</v>
      </c>
      <c r="DX163" s="692" t="str">
        <f ca="1">IFERROR(VLOOKUP(INDEX(DT155:DT166,DW163),STM,2,FALSE),"----")</f>
        <v>----</v>
      </c>
      <c r="DY163" s="691" t="e">
        <f t="shared" ca="1" si="2276"/>
        <v>#N/A</v>
      </c>
      <c r="DZ163" s="4" t="e">
        <f ca="1">IF(AND(INDEX(ELM,DY163,4)&gt;=$AB161,INDEX(ELM,DY163,5)&gt;=$S155,INDEX(ELM,DY163,6)&gt;=$R155),1,0)</f>
        <v>#N/A</v>
      </c>
      <c r="EA163" s="4" t="e">
        <f t="shared" ref="EA163" ca="1" si="2391">MATCH(1,OFFSET(DZ155:DZ166,EB162,0,COUNT(DZ155:DZ166)-EB162),0)</f>
        <v>#REF!</v>
      </c>
      <c r="EB163" s="4" t="e">
        <f t="shared" ca="1" si="2278"/>
        <v>#REF!</v>
      </c>
      <c r="EC163" s="692" t="str">
        <f ca="1">IFERROR(VLOOKUP(INDEX(DY155:DY166,EB163),ELM,2,FALSE),"----")</f>
        <v>----</v>
      </c>
      <c r="ED163" s="691" t="e">
        <f t="shared" ca="1" si="2279"/>
        <v>#N/A</v>
      </c>
      <c r="EE163" s="4" t="e">
        <f ca="1">IF(LEFT($J155,7)="Clad Wo",IF(AND(INDEX(SPPWS,ED163,4)&gt;=$AB161,INDEX(SPPWS,ED163,5)&gt;=$S155,INDEX(SPPWS,ED163,6)&gt;=$R155),1,0),IF(AND(INDEX(SPM,ED163,4)&gt;=$AB161,INDEX(SPM,ED163,5)&gt;=$S155,INDEX(SPM,ED163,6)&gt;=$R155),1,0))</f>
        <v>#N/A</v>
      </c>
      <c r="EF163" s="4" t="e">
        <f t="shared" ref="EF163" ca="1" si="2392">MATCH(1,OFFSET(EE155:EE166,EG162,0,COUNT(EE155:EE166)-EG162),0)</f>
        <v>#REF!</v>
      </c>
      <c r="EG163" s="4" t="e">
        <f t="shared" ca="1" si="2281"/>
        <v>#REF!</v>
      </c>
      <c r="EH163" s="692" t="str">
        <f ca="1">IF(LEFT($J155,7)="Clad Wo",IFERROR(VLOOKUP(INDEX(ED155:ED166,EG163),SPPWS,2,FALSE),"----"),IFERROR(VLOOKUP(INDEX(ED155:ED166,EG163),SPM,2,FALSE),"----"))</f>
        <v>----</v>
      </c>
    </row>
    <row r="164" spans="1:138" ht="15" customHeight="1" x14ac:dyDescent="0.25">
      <c r="A164" s="1085"/>
      <c r="B164" s="925"/>
      <c r="C164" s="926"/>
      <c r="D164" s="927"/>
      <c r="E164" s="995"/>
      <c r="F164" s="996"/>
      <c r="G164" s="997"/>
      <c r="H164" s="1062"/>
      <c r="I164" s="990"/>
      <c r="J164" s="902"/>
      <c r="K164" s="903"/>
      <c r="L164" s="1002"/>
      <c r="M164" s="923"/>
      <c r="N164" s="1042"/>
      <c r="O164" s="1018"/>
      <c r="P164" s="987"/>
      <c r="Q164" s="1015"/>
      <c r="R164" s="1012"/>
      <c r="S164" s="1006"/>
      <c r="T164" s="1007"/>
      <c r="U164" s="878"/>
      <c r="V164" s="881"/>
      <c r="W164" s="884"/>
      <c r="X164" s="884"/>
      <c r="Y164" s="887"/>
      <c r="Z164" s="887"/>
      <c r="AA164" s="887"/>
      <c r="AB164" s="1081"/>
      <c r="AC164" s="1078"/>
      <c r="AD164" s="1070" t="str">
        <f t="shared" si="1666"/>
        <v>Steel Tube</v>
      </c>
      <c r="AE164" s="1071"/>
      <c r="AF164" s="1052"/>
      <c r="AG164" s="1053"/>
      <c r="AH164" s="1053"/>
      <c r="AI164" s="1066"/>
      <c r="AJ164" s="1067"/>
      <c r="AK164" s="156" t="str">
        <f t="shared" ref="AK164:AK227" ca="1" si="2393">IFERROR(VLOOKUP(AI164,OFFSET(INDIRECT(AQ164),0,1),2,FALSE),"")</f>
        <v/>
      </c>
      <c r="AL164" s="1059"/>
      <c r="AM164" s="343" t="str">
        <f ca="1">IFERROR(Q155/12*ROUND(VLOOKUP(AF164,OFFSET(STM,0,1),6,FALSE),2),"")</f>
        <v/>
      </c>
      <c r="AN164" t="str">
        <f t="shared" ca="1" si="1154"/>
        <v/>
      </c>
      <c r="AP164" s="122" t="str">
        <f t="shared" ref="AP164" si="2394">_xlfn.CONCAT(AR164,AS166)</f>
        <v/>
      </c>
      <c r="AQ164" s="683" t="str">
        <f t="shared" si="1353"/>
        <v/>
      </c>
      <c r="AR164" s="4" t="str">
        <f t="shared" si="2378"/>
        <v/>
      </c>
      <c r="AS164" s="4"/>
      <c r="AT164" s="697" t="str">
        <f>AL161</f>
        <v/>
      </c>
      <c r="AU164" s="694" t="e">
        <f t="shared" ca="1" si="1370"/>
        <v>#REF!</v>
      </c>
      <c r="AV164" s="686" t="str">
        <f ca="1">IFERROR(VLOOKUP(AU164,INDIRECT(AQ155),2,FALSE),"----")</f>
        <v>----</v>
      </c>
      <c r="AW164" s="694" t="e">
        <f t="shared" ca="1" si="1371"/>
        <v>#REF!</v>
      </c>
      <c r="AX164" s="686" t="str">
        <f ca="1">IFERROR(VLOOKUP(AW164,INDIRECT(AQ156),2,FALSE),"----")</f>
        <v>----</v>
      </c>
      <c r="AY164" s="694" t="e">
        <f t="shared" ca="1" si="1919"/>
        <v>#REF!</v>
      </c>
      <c r="AZ164" s="686" t="str">
        <f ca="1">IFERROR(VLOOKUP(AY164,INDIRECT(AQ157),2,FALSE),"----")</f>
        <v>----</v>
      </c>
      <c r="BA164" s="694" t="e">
        <f t="shared" ca="1" si="1920"/>
        <v>#REF!</v>
      </c>
      <c r="BB164" s="686" t="str">
        <f ca="1">IFERROR(VLOOKUP(BA164,INDIRECT(AQ158),2,FALSE),"----")</f>
        <v>----</v>
      </c>
      <c r="BC164" s="694" t="e">
        <f t="shared" ca="1" si="1374"/>
        <v>#REF!</v>
      </c>
      <c r="BD164" s="686" t="str">
        <f ca="1">IFERROR(VLOOKUP(BC164,INDIRECT(AQ159),2,FALSE),"----")</f>
        <v>----</v>
      </c>
      <c r="BE164" s="694" t="e">
        <f t="shared" ca="1" si="1375"/>
        <v>#REF!</v>
      </c>
      <c r="BF164" s="686" t="str">
        <f ca="1">IFERROR(VLOOKUP(BE164,INDIRECT(AQ160),2,FALSE),"----")</f>
        <v>----</v>
      </c>
      <c r="BG164" s="702" t="e">
        <f t="shared" ca="1" si="1376"/>
        <v>#REF!</v>
      </c>
      <c r="BH164" s="686" t="str">
        <f ca="1">IFERROR(VLOOKUP(BG164,INDIRECT(AQ161),2,FALSE),"----")</f>
        <v>----</v>
      </c>
      <c r="BI164" s="702" t="e">
        <f t="shared" ca="1" si="1377"/>
        <v>#REF!</v>
      </c>
      <c r="BJ164" s="686" t="str">
        <f ca="1">IFERROR(VLOOKUP(BI164,INDIRECT(AQ162),2,FALSE),"----")</f>
        <v>----</v>
      </c>
      <c r="BK164" s="702" t="e">
        <f t="shared" ca="1" si="1378"/>
        <v>#REF!</v>
      </c>
      <c r="BL164" s="686" t="str">
        <f ca="1">IFERROR(VLOOKUP(BK164,INDIRECT(AQ163),2,FALSE),"----")</f>
        <v>----</v>
      </c>
      <c r="BM164" s="702" t="e">
        <f t="shared" ca="1" si="1379"/>
        <v>#REF!</v>
      </c>
      <c r="BN164" s="686" t="str">
        <f ca="1">IFERROR(VLOOKUP(BM164,INDIRECT(AQ164),2,FALSE),"----")</f>
        <v>----</v>
      </c>
      <c r="BO164" s="702" t="e">
        <f t="shared" ca="1" si="1380"/>
        <v>#REF!</v>
      </c>
      <c r="BP164" s="686" t="str">
        <f ca="1">IFERROR(VLOOKUP(BO164,INDIRECT(AQ165),2,FALSE),"----")</f>
        <v>----</v>
      </c>
      <c r="BQ164" s="702" t="e">
        <f t="shared" ca="1" si="1381"/>
        <v>#REF!</v>
      </c>
      <c r="BR164" s="686" t="str">
        <f ca="1">IFERROR(VLOOKUP(BQ164,INDIRECT(AQ166),2,FALSE),"----")</f>
        <v>----</v>
      </c>
      <c r="BS164" s="695">
        <f>IF(AI164="",1,IF(COUNTIF(BN155:BN166,AI164)=0,2,1))</f>
        <v>1</v>
      </c>
      <c r="BT164" s="696">
        <f>IF(AF164="",1,IF(BN155=".",2,1))</f>
        <v>1</v>
      </c>
      <c r="BU164" s="706"/>
      <c r="BV164" s="155">
        <f ca="1">IF(COUNTIF(DX155:DX166,AF164)=0,IF(AF164&lt;&gt;"",0,1),1)</f>
        <v>1</v>
      </c>
      <c r="BW164" s="157">
        <f ca="1">IFERROR(MATCH(AF164,DX155:DX166,0),1)</f>
        <v>1</v>
      </c>
      <c r="BX164" s="769" t="e">
        <f t="shared" ref="BX164" si="2395">5*E155^3*W161/(384*X155)</f>
        <v>#VALUE!</v>
      </c>
      <c r="BY164" s="769" t="e">
        <f t="shared" ref="BY164" si="2396">E155^3*W161/(60*X155)</f>
        <v>#VALUE!</v>
      </c>
      <c r="BZ164" s="1110"/>
      <c r="CA164" s="691" t="e">
        <f t="shared" ca="1" si="2246"/>
        <v>#REF!</v>
      </c>
      <c r="CB164" s="4" t="e" cm="1">
        <f t="array" aca="1" ref="CB164" ca="1">IF(AND(INDEX(INDIRECT(BY155),CA164,4)&gt;=$AB155,INDEX(INDIRECT(BY155),CA164,5)&gt;=$S155,INDEX(INDIRECT(BY155),CA164,6)&gt;=$R155),1,0)</f>
        <v>#REF!</v>
      </c>
      <c r="CC164" s="4" t="e">
        <f t="shared" ref="CC164" ca="1" si="2397">MATCH(1,OFFSET(CB155:CB166,CD163,0,COUNT(CB155:CB166)-CD163),0)</f>
        <v>#REF!</v>
      </c>
      <c r="CD164" s="4" t="e">
        <f t="shared" ca="1" si="2248"/>
        <v>#REF!</v>
      </c>
      <c r="CE164" s="692" t="str" cm="1">
        <f t="array" aca="1" ref="CE164" ca="1">IFERROR(VLOOKUP(INDEX(CA155:CA166,CD164),INDIRECT(BY155),2,FALSE),"----")</f>
        <v>----</v>
      </c>
      <c r="CF164" s="691" t="e">
        <f t="shared" ca="1" si="2249"/>
        <v>#N/A</v>
      </c>
      <c r="CG164" s="4" t="e">
        <f ca="1">IF(AND(INDEX(SSM,CF164,4)&gt;=$AB155,INDEX(SSM,CF164,5)&gt;=$S155,INDEX(SSM,CF164,6)&gt;=$R155),1,0)</f>
        <v>#N/A</v>
      </c>
      <c r="CH164" s="4" t="e">
        <f t="shared" ref="CH164" ca="1" si="2398">MATCH(1,OFFSET(CG155:CG166,CI163,0,COUNT(CG155:CG166)-CI163),0)</f>
        <v>#REF!</v>
      </c>
      <c r="CI164" s="4" t="e">
        <f t="shared" ca="1" si="2251"/>
        <v>#REF!</v>
      </c>
      <c r="CJ164" s="692" t="str">
        <f ca="1">IFERROR(IF(AD156="Nested Steel Stud (wood infill)",VLOOKUP(INDEX(CF155:CF166,CI164),SSW,2,FALSE),VLOOKUP(INDEX(CF155:CF166,CI164),SSM,2,FALSE)),"----")</f>
        <v>----</v>
      </c>
      <c r="CK164" s="691" t="e">
        <f t="shared" ca="1" si="2252"/>
        <v>#N/A</v>
      </c>
      <c r="CL164" s="4" t="e">
        <f ca="1">IF(AND(INDEX(WSM,CK164,4)&gt;=$AB155,INDEX(WSM,CK164,5)&gt;=$S155,INDEX(WSM,CK164,6)&gt;=$R155),1,0)</f>
        <v>#N/A</v>
      </c>
      <c r="CM164" s="4" t="e">
        <f t="shared" ref="CM164" ca="1" si="2399">MATCH(1,OFFSET(CL155:CL166,CN163,0,COUNT(CL155:CL166)-CN163),0)</f>
        <v>#REF!</v>
      </c>
      <c r="CN164" s="4" t="e">
        <f t="shared" ca="1" si="2254"/>
        <v>#REF!</v>
      </c>
      <c r="CO164" s="692" t="str">
        <f ca="1">IFERROR(VLOOKUP(INDEX(CK155:CK166,CN164),WSM,2,FALSE),"----")</f>
        <v>----</v>
      </c>
      <c r="CP164" s="691" t="e">
        <f t="shared" ca="1" si="2255"/>
        <v>#N/A</v>
      </c>
      <c r="CQ164" s="4" t="e">
        <f ca="1">IF(AND(INDEX(STM,CP164,4)&gt;=$AB155,INDEX(STM,CP164,5)&gt;=$S155,INDEX(STM,CP164,6)&gt;=$R155),1,0)</f>
        <v>#N/A</v>
      </c>
      <c r="CR164" s="4" t="e">
        <f t="shared" ref="CR164" ca="1" si="2400">MATCH(1,OFFSET(CQ155:CQ166,CS163,0,COUNT(CQ155:CQ166)-CS163),0)</f>
        <v>#REF!</v>
      </c>
      <c r="CS164" s="4" t="e">
        <f t="shared" ca="1" si="2257"/>
        <v>#REF!</v>
      </c>
      <c r="CT164" s="692" t="str">
        <f ca="1">IFERROR(VLOOKUP(INDEX(CP155:CP166,CS164),STM,2,FALSE),"----")</f>
        <v>----</v>
      </c>
      <c r="CU164" s="691" t="e">
        <f t="shared" ca="1" si="2258"/>
        <v>#N/A</v>
      </c>
      <c r="CV164" s="4" t="e">
        <f ca="1">IF(AND(INDEX(ELM,CU164,4)&gt;=$AB155,INDEX(ELM,CU164,5)&gt;=$S155,INDEX(ELM,CU164,6)&gt;=$R155),1,0)</f>
        <v>#N/A</v>
      </c>
      <c r="CW164" s="4" t="e">
        <f t="shared" ref="CW164" ca="1" si="2401">MATCH(1,OFFSET(CV155:CV166,CX163,0,COUNT(CV155:CV166)-CX163),0)</f>
        <v>#REF!</v>
      </c>
      <c r="CX164" s="4" t="e">
        <f t="shared" ca="1" si="2260"/>
        <v>#REF!</v>
      </c>
      <c r="CY164" s="692" t="str">
        <f ca="1">IFERROR(VLOOKUP(INDEX(CU155:CU166,CX164),ELM,2,FALSE),"----")</f>
        <v>----</v>
      </c>
      <c r="CZ164" s="691" t="e">
        <f t="shared" ca="1" si="2261"/>
        <v>#N/A</v>
      </c>
      <c r="DA164" s="4" t="e">
        <f ca="1">IF(LEFT($J155,7)="Clad Wo",IF(AND(INDEX(SPPWS,CZ164,4)&gt;=$AB155,INDEX(SPPWS,CZ164,5)&gt;=$S155,INDEX(SPPWS,CZ164,6)&gt;=$R155),1,0),IF(AND(INDEX(SPM,CZ164,4)&gt;=$AB155,INDEX(SPM,CZ164,5)&gt;=$S155,INDEX(SPM,CZ164,6)&gt;=$R155),1,0))</f>
        <v>#N/A</v>
      </c>
      <c r="DB164" s="4" t="e">
        <f t="shared" ref="DB164" ca="1" si="2402">MATCH(1,OFFSET(DA155:DA166,DC163,0,COUNT(DA155:DA166)-DC163),0)</f>
        <v>#REF!</v>
      </c>
      <c r="DC164" s="4" t="e">
        <f t="shared" ca="1" si="2263"/>
        <v>#REF!</v>
      </c>
      <c r="DD164" s="693" t="str">
        <f ca="1">IF(LEFT($J155,7)="Clad Wo",IFERROR(VLOOKUP(INDEX(CZ155:CZ166,DC164),SPPWS,2,FALSE),"----"),IFERROR(VLOOKUP(INDEX(CZ155:CZ166,DC164),SPM,2,FALSE),"----"))</f>
        <v>----</v>
      </c>
      <c r="DE164" s="691" t="e">
        <f t="shared" ca="1" si="2264"/>
        <v>#REF!</v>
      </c>
      <c r="DF164" s="4" t="e" cm="1">
        <f t="array" aca="1" ref="DF164" ca="1">IF(AND(INDEX(INDIRECT(BY155),DE164,4)&gt;=$AB161,INDEX(INDIRECT(BY155),DE164,5)&gt;=$S155,INDEX(INDIRECT(BY155),DE164,6)&gt;=$R155),1,0)</f>
        <v>#REF!</v>
      </c>
      <c r="DG164" s="4" t="e">
        <f t="shared" ref="DG164" ca="1" si="2403">MATCH(1,OFFSET(DF155:DF166,DH163,0,COUNT(DF155:DF166)-DH163),0)</f>
        <v>#REF!</v>
      </c>
      <c r="DH164" s="4" t="e">
        <f t="shared" ca="1" si="2266"/>
        <v>#REF!</v>
      </c>
      <c r="DI164" s="692" t="str" cm="1">
        <f t="array" aca="1" ref="DI164" ca="1">IFERROR(VLOOKUP(INDEX(DE155:DE166,DH164),INDIRECT(BY155),2,FALSE),"----")</f>
        <v>----</v>
      </c>
      <c r="DJ164" s="691" t="e">
        <f t="shared" ca="1" si="2267"/>
        <v>#N/A</v>
      </c>
      <c r="DK164" s="4" t="e">
        <f ca="1">IF(AND(INDEX(SSM,DJ164,4)&gt;=$AB161,INDEX(SSM,DJ164,5)&gt;=$S155,INDEX(SSM,DJ164,6)&gt;=$R155),1,0)</f>
        <v>#N/A</v>
      </c>
      <c r="DL164" s="4" t="e">
        <f t="shared" ref="DL164" ca="1" si="2404">MATCH(1,OFFSET(DK155:DK166,DM163,0,COUNT(DK155:DK166)-DM163),0)</f>
        <v>#REF!</v>
      </c>
      <c r="DM164" s="4" t="e">
        <f t="shared" ca="1" si="2269"/>
        <v>#REF!</v>
      </c>
      <c r="DN164" s="692" t="str">
        <f ca="1">IFERROR(IF(AD162="Nested Steel Stud (wood infill)",VLOOKUP(INDEX(DJ155:DJ166,DM164),SSW,2,FALSE),VLOOKUP(INDEX(DJ155:DJ166,DM164),SSM,2,FALSE)),"----")</f>
        <v>----</v>
      </c>
      <c r="DO164" s="691" t="e">
        <f t="shared" ca="1" si="2270"/>
        <v>#N/A</v>
      </c>
      <c r="DP164" s="4" t="e">
        <f ca="1">IF(AND(INDEX(WSM,DO164,4)&gt;=$AB161,INDEX(WSM,DO164,5)&gt;=$S155,INDEX(WSM,DO164,6)&gt;=$R155),1,0)</f>
        <v>#N/A</v>
      </c>
      <c r="DQ164" s="4" t="e">
        <f t="shared" ref="DQ164" ca="1" si="2405">MATCH(1,OFFSET(DP155:DP166,DR163,0,COUNT(DP155:DP166)-DR163),0)</f>
        <v>#REF!</v>
      </c>
      <c r="DR164" s="4" t="e">
        <f t="shared" ca="1" si="2272"/>
        <v>#REF!</v>
      </c>
      <c r="DS164" s="692" t="str">
        <f ca="1">IFERROR(VLOOKUP(INDEX(DO155:DO166,DR164),WSM,2,FALSE),"----")</f>
        <v>----</v>
      </c>
      <c r="DT164" s="691" t="e">
        <f t="shared" ca="1" si="2273"/>
        <v>#N/A</v>
      </c>
      <c r="DU164" s="4" t="e">
        <f ca="1">IF(AND(INDEX(STM,DT164,4)&gt;=$AB161,INDEX(STM,DT164,5)&gt;=$S155,INDEX(STM,DT164,6)&gt;=$R155),1,0)</f>
        <v>#N/A</v>
      </c>
      <c r="DV164" s="4" t="e">
        <f t="shared" ref="DV164" ca="1" si="2406">MATCH(1,OFFSET(DU155:DU166,DW163,0,COUNT(DU155:DU166)-DW163),0)</f>
        <v>#REF!</v>
      </c>
      <c r="DW164" s="4" t="e">
        <f t="shared" ca="1" si="2275"/>
        <v>#REF!</v>
      </c>
      <c r="DX164" s="692" t="str">
        <f ca="1">IFERROR(VLOOKUP(INDEX(DT155:DT166,DW164),STM,2,FALSE),"----")</f>
        <v>----</v>
      </c>
      <c r="DY164" s="691" t="e">
        <f t="shared" ca="1" si="2276"/>
        <v>#N/A</v>
      </c>
      <c r="DZ164" s="4" t="e">
        <f ca="1">IF(AND(INDEX(ELM,DY164,4)&gt;=$AB161,INDEX(ELM,DY164,5)&gt;=$S155,INDEX(ELM,DY164,6)&gt;=$R155),1,0)</f>
        <v>#N/A</v>
      </c>
      <c r="EA164" s="4" t="e">
        <f t="shared" ref="EA164" ca="1" si="2407">MATCH(1,OFFSET(DZ155:DZ166,EB163,0,COUNT(DZ155:DZ166)-EB163),0)</f>
        <v>#REF!</v>
      </c>
      <c r="EB164" s="4" t="e">
        <f t="shared" ca="1" si="2278"/>
        <v>#REF!</v>
      </c>
      <c r="EC164" s="692" t="str">
        <f ca="1">IFERROR(VLOOKUP(INDEX(DY155:DY166,EB164),ELM,2,FALSE),"----")</f>
        <v>----</v>
      </c>
      <c r="ED164" s="691" t="e">
        <f t="shared" ca="1" si="2279"/>
        <v>#N/A</v>
      </c>
      <c r="EE164" s="4" t="e">
        <f ca="1">IF(LEFT($J155,7)="Clad Wo",IF(AND(INDEX(SPPWS,ED164,4)&gt;=$AB161,INDEX(SPPWS,ED164,5)&gt;=$S155,INDEX(SPPWS,ED164,6)&gt;=$R155),1,0),IF(AND(INDEX(SPM,ED164,4)&gt;=$AB161,INDEX(SPM,ED164,5)&gt;=$S155,INDEX(SPM,ED164,6)&gt;=$R155),1,0))</f>
        <v>#N/A</v>
      </c>
      <c r="EF164" s="4" t="e">
        <f t="shared" ref="EF164" ca="1" si="2408">MATCH(1,OFFSET(EE155:EE166,EG163,0,COUNT(EE155:EE166)-EG163),0)</f>
        <v>#REF!</v>
      </c>
      <c r="EG164" s="4" t="e">
        <f t="shared" ca="1" si="2281"/>
        <v>#REF!</v>
      </c>
      <c r="EH164" s="692" t="str">
        <f ca="1">IF(LEFT($J155,7)="Clad Wo",IFERROR(VLOOKUP(INDEX(ED155:ED166,EG164),SPPWS,2,FALSE),"----"),IFERROR(VLOOKUP(INDEX(ED155:ED166,EG164),SPM,2,FALSE),"----"))</f>
        <v>----</v>
      </c>
    </row>
    <row r="165" spans="1:138" ht="15" customHeight="1" x14ac:dyDescent="0.25">
      <c r="A165" s="1085"/>
      <c r="B165" s="925"/>
      <c r="C165" s="926"/>
      <c r="D165" s="927"/>
      <c r="E165" s="995"/>
      <c r="F165" s="996"/>
      <c r="G165" s="997"/>
      <c r="H165" s="1062"/>
      <c r="I165" s="990"/>
      <c r="J165" s="902"/>
      <c r="K165" s="903"/>
      <c r="L165" s="1002"/>
      <c r="M165" s="923"/>
      <c r="N165" s="1042"/>
      <c r="O165" s="1018"/>
      <c r="P165" s="987"/>
      <c r="Q165" s="1015"/>
      <c r="R165" s="1012"/>
      <c r="S165" s="1006"/>
      <c r="T165" s="1007"/>
      <c r="U165" s="878"/>
      <c r="V165" s="881"/>
      <c r="W165" s="884"/>
      <c r="X165" s="884"/>
      <c r="Y165" s="887"/>
      <c r="Z165" s="887"/>
      <c r="AA165" s="887"/>
      <c r="AB165" s="1081"/>
      <c r="AC165" s="1078"/>
      <c r="AD165" s="1070" t="str">
        <f t="shared" si="1666"/>
        <v>Engineered Lumber</v>
      </c>
      <c r="AE165" s="1071"/>
      <c r="AF165" s="1052"/>
      <c r="AG165" s="1053"/>
      <c r="AH165" s="1053"/>
      <c r="AI165" s="1068"/>
      <c r="AJ165" s="1069"/>
      <c r="AK165" s="154" t="str">
        <f t="shared" ca="1" si="2393"/>
        <v/>
      </c>
      <c r="AL165" s="1059"/>
      <c r="AM165" s="344" t="str">
        <f ca="1">IFERROR(Q155/12*ROUND(VLOOKUP(AF165,OFFSET(ELM,0,1),6,FALSE),2),"")</f>
        <v/>
      </c>
      <c r="AN165" t="str">
        <f t="shared" ref="AN165:AN228" ca="1" si="2409">IF(BW165&gt;1,"Lighter Reinforcement Options Available","")</f>
        <v/>
      </c>
      <c r="AP165" s="122" t="str">
        <f t="shared" ref="AP165" si="2410">_xlfn.CONCAT(AR165,AS166)</f>
        <v/>
      </c>
      <c r="AQ165" s="683" t="str">
        <f t="shared" si="1353"/>
        <v/>
      </c>
      <c r="AR165" s="4" t="str">
        <f t="shared" si="2378"/>
        <v/>
      </c>
      <c r="AS165" s="4"/>
      <c r="AT165" s="697" t="str">
        <f>AL161</f>
        <v/>
      </c>
      <c r="AU165" s="694" t="e">
        <f t="shared" ca="1" si="1370"/>
        <v>#REF!</v>
      </c>
      <c r="AV165" s="698" t="str">
        <f ca="1">IFERROR(VLOOKUP(AU165,INDIRECT(AQ155),2,FALSE),"----")</f>
        <v>----</v>
      </c>
      <c r="AW165" s="694" t="e">
        <f t="shared" ca="1" si="1371"/>
        <v>#REF!</v>
      </c>
      <c r="AX165" s="698" t="str">
        <f ca="1">IFERROR(VLOOKUP(AW165,INDIRECT(AQ156),2,FALSE),"----")</f>
        <v>----</v>
      </c>
      <c r="AY165" s="694" t="e">
        <f t="shared" ca="1" si="1919"/>
        <v>#REF!</v>
      </c>
      <c r="AZ165" s="698" t="str">
        <f ca="1">IFERROR(VLOOKUP(AY165,INDIRECT(AQ157),2,FALSE),"----")</f>
        <v>----</v>
      </c>
      <c r="BA165" s="694" t="e">
        <f t="shared" ca="1" si="1920"/>
        <v>#REF!</v>
      </c>
      <c r="BB165" s="698" t="str">
        <f ca="1">IFERROR(VLOOKUP(BA165,INDIRECT(AQ158),2,FALSE),"----")</f>
        <v>----</v>
      </c>
      <c r="BC165" s="694" t="e">
        <f t="shared" ca="1" si="1374"/>
        <v>#REF!</v>
      </c>
      <c r="BD165" s="698" t="str">
        <f ca="1">IFERROR(VLOOKUP(BC165,INDIRECT(AQ159),2,FALSE),"----")</f>
        <v>----</v>
      </c>
      <c r="BE165" s="694" t="e">
        <f t="shared" ca="1" si="1375"/>
        <v>#REF!</v>
      </c>
      <c r="BF165" s="698" t="str">
        <f ca="1">IFERROR(VLOOKUP(BE165,INDIRECT(AQ160),2,FALSE),"----")</f>
        <v>----</v>
      </c>
      <c r="BG165" s="702" t="e">
        <f t="shared" ca="1" si="1376"/>
        <v>#REF!</v>
      </c>
      <c r="BH165" s="686" t="str">
        <f ca="1">IFERROR(VLOOKUP(BG165,INDIRECT(AQ161),2,FALSE),"----")</f>
        <v>----</v>
      </c>
      <c r="BI165" s="702" t="e">
        <f t="shared" ca="1" si="1377"/>
        <v>#REF!</v>
      </c>
      <c r="BJ165" s="686" t="str">
        <f ca="1">IFERROR(VLOOKUP(BI165,INDIRECT(AQ162),2,FALSE),"----")</f>
        <v>----</v>
      </c>
      <c r="BK165" s="702" t="e">
        <f t="shared" ca="1" si="1378"/>
        <v>#REF!</v>
      </c>
      <c r="BL165" s="686" t="str">
        <f ca="1">IFERROR(VLOOKUP(BK165,INDIRECT(AQ163),2,FALSE),"----")</f>
        <v>----</v>
      </c>
      <c r="BM165" s="702" t="e">
        <f t="shared" ca="1" si="1379"/>
        <v>#REF!</v>
      </c>
      <c r="BN165" s="686" t="str">
        <f ca="1">IFERROR(VLOOKUP(BM165,INDIRECT(AQ164),2,FALSE),"----")</f>
        <v>----</v>
      </c>
      <c r="BO165" s="702" t="e">
        <f t="shared" ca="1" si="1380"/>
        <v>#REF!</v>
      </c>
      <c r="BP165" s="686" t="str">
        <f ca="1">IFERROR(VLOOKUP(BO165,INDIRECT(AQ165),2,FALSE),"----")</f>
        <v>----</v>
      </c>
      <c r="BQ165" s="702" t="e">
        <f t="shared" ca="1" si="1381"/>
        <v>#REF!</v>
      </c>
      <c r="BR165" s="686" t="str">
        <f ca="1">IFERROR(VLOOKUP(BQ165,INDIRECT(AQ166),2,FALSE),"----")</f>
        <v>----</v>
      </c>
      <c r="BS165" s="695">
        <f>IF(AI165="",1,IF(COUNTIF(BP155:BP166,AI165)=0,2,1))</f>
        <v>1</v>
      </c>
      <c r="BT165" s="696">
        <f>IF(AF165="",1,IF(BP155=".",2,1))</f>
        <v>1</v>
      </c>
      <c r="BU165" s="706"/>
      <c r="BV165" s="155">
        <f ca="1">IF(COUNTIF(EC155:EC166,AF165)=0,IF(AF165&lt;&gt;"",0,1),1)</f>
        <v>1</v>
      </c>
      <c r="BW165" s="157">
        <f ca="1">IFERROR(MATCH(AF165,EC155:EC166,0),1)</f>
        <v>1</v>
      </c>
      <c r="BX165" s="769"/>
      <c r="BY165" s="769"/>
      <c r="BZ165" s="1110"/>
      <c r="CA165" s="691" t="e">
        <f t="shared" ca="1" si="2246"/>
        <v>#REF!</v>
      </c>
      <c r="CB165" s="4" t="e" cm="1">
        <f t="array" aca="1" ref="CB165" ca="1">IF(AND(INDEX(INDIRECT(BY155),CA165,4)&gt;=$AB155,INDEX(INDIRECT(BY155),CA165,5)&gt;=$S155,INDEX(INDIRECT(BY155),CA165,6)&gt;=$R155),1,0)</f>
        <v>#REF!</v>
      </c>
      <c r="CC165" s="4" t="e">
        <f t="shared" ref="CC165" ca="1" si="2411">MATCH(1,OFFSET(CB155:CB166,CD164,0,COUNT(CB155:CB166)-CD164),0)</f>
        <v>#REF!</v>
      </c>
      <c r="CD165" s="4" t="e">
        <f t="shared" ca="1" si="2248"/>
        <v>#REF!</v>
      </c>
      <c r="CE165" s="692" t="str" cm="1">
        <f t="array" aca="1" ref="CE165" ca="1">IFERROR(VLOOKUP(INDEX(CA155:CA166,CD165),INDIRECT(BY155),2,FALSE),"----")</f>
        <v>----</v>
      </c>
      <c r="CF165" s="691" t="e">
        <f t="shared" ca="1" si="2249"/>
        <v>#N/A</v>
      </c>
      <c r="CG165" s="4" t="e">
        <f ca="1">IF(AND(INDEX(SSM,CF165,4)&gt;=$AB155,INDEX(SSM,CF165,5)&gt;=$S155,INDEX(SSM,CF165,6)&gt;=$R155),1,0)</f>
        <v>#N/A</v>
      </c>
      <c r="CH165" s="4" t="e">
        <f t="shared" ref="CH165" ca="1" si="2412">MATCH(1,OFFSET(CG155:CG166,CI164,0,COUNT(CG155:CG166)-CI164),0)</f>
        <v>#REF!</v>
      </c>
      <c r="CI165" s="4" t="e">
        <f t="shared" ca="1" si="2251"/>
        <v>#REF!</v>
      </c>
      <c r="CJ165" s="692" t="str">
        <f ca="1">IFERROR(IF(AD156="Nested Steel Stud (wood infill)",VLOOKUP(INDEX(CF155:CF166,CI165),SSW,2,FALSE),VLOOKUP(INDEX(CF155:CF166,CI165),SSM,2,FALSE)),"----")</f>
        <v>----</v>
      </c>
      <c r="CK165" s="691" t="e">
        <f t="shared" ca="1" si="2252"/>
        <v>#N/A</v>
      </c>
      <c r="CL165" s="4" t="e">
        <f ca="1">IF(AND(INDEX(WSM,CK165,4)&gt;=$AB155,INDEX(WSM,CK165,5)&gt;=$S155,INDEX(WSM,CK165,6)&gt;=$R155),1,0)</f>
        <v>#N/A</v>
      </c>
      <c r="CM165" s="4" t="e">
        <f t="shared" ref="CM165" ca="1" si="2413">MATCH(1,OFFSET(CL155:CL166,CN164,0,COUNT(CL155:CL166)-CN164),0)</f>
        <v>#REF!</v>
      </c>
      <c r="CN165" s="4" t="e">
        <f t="shared" ca="1" si="2254"/>
        <v>#REF!</v>
      </c>
      <c r="CO165" s="692" t="str">
        <f ca="1">IFERROR(VLOOKUP(INDEX(CK155:CK166,CN165),WSM,2,FALSE),"----")</f>
        <v>----</v>
      </c>
      <c r="CP165" s="691" t="e">
        <f t="shared" ca="1" si="2255"/>
        <v>#N/A</v>
      </c>
      <c r="CQ165" s="4" t="e">
        <f ca="1">IF(AND(INDEX(STM,CP165,4)&gt;=$AB155,INDEX(STM,CP165,5)&gt;=$S155,INDEX(STM,CP165,6)&gt;=$R155),1,0)</f>
        <v>#N/A</v>
      </c>
      <c r="CR165" s="4" t="e">
        <f t="shared" ref="CR165" ca="1" si="2414">MATCH(1,OFFSET(CQ155:CQ166,CS164,0,COUNT(CQ155:CQ166)-CS164),0)</f>
        <v>#REF!</v>
      </c>
      <c r="CS165" s="4" t="e">
        <f t="shared" ca="1" si="2257"/>
        <v>#REF!</v>
      </c>
      <c r="CT165" s="692" t="str">
        <f ca="1">IFERROR(VLOOKUP(INDEX(CP155:CP166,CS165),STM,2,FALSE),"----")</f>
        <v>----</v>
      </c>
      <c r="CU165" s="691" t="e">
        <f t="shared" ca="1" si="2258"/>
        <v>#N/A</v>
      </c>
      <c r="CV165" s="4" t="e">
        <f ca="1">IF(AND(INDEX(ELM,CU165,4)&gt;=$AB155,INDEX(ELM,CU165,5)&gt;=$S155,INDEX(ELM,CU165,6)&gt;=$R155),1,0)</f>
        <v>#N/A</v>
      </c>
      <c r="CW165" s="4" t="e">
        <f t="shared" ref="CW165" ca="1" si="2415">MATCH(1,OFFSET(CV155:CV166,CX164,0,COUNT(CV155:CV166)-CX164),0)</f>
        <v>#REF!</v>
      </c>
      <c r="CX165" s="4" t="e">
        <f t="shared" ca="1" si="2260"/>
        <v>#REF!</v>
      </c>
      <c r="CY165" s="692" t="str">
        <f ca="1">IFERROR(VLOOKUP(INDEX(CU155:CU166,CX165),ELM,2,FALSE),"----")</f>
        <v>----</v>
      </c>
      <c r="CZ165" s="691" t="e">
        <f t="shared" ca="1" si="2261"/>
        <v>#N/A</v>
      </c>
      <c r="DA165" s="4" t="e">
        <f ca="1">IF(LEFT($J155,7)="Clad Wo",IF(AND(INDEX(SPPWS,CZ165,4)&gt;=$AB155,INDEX(SPPWS,CZ165,5)&gt;=$S155,INDEX(SPPWS,CZ165,6)&gt;=$R155),1,0),IF(AND(INDEX(SPM,CZ165,4)&gt;=$AB155,INDEX(SPM,CZ165,5)&gt;=$S155,INDEX(SPM,CZ165,6)&gt;=$R155),1,0))</f>
        <v>#N/A</v>
      </c>
      <c r="DB165" s="4" t="e">
        <f t="shared" ref="DB165" ca="1" si="2416">MATCH(1,OFFSET(DA155:DA166,DC164,0,COUNT(DA155:DA166)-DC164),0)</f>
        <v>#REF!</v>
      </c>
      <c r="DC165" s="4" t="e">
        <f t="shared" ca="1" si="2263"/>
        <v>#REF!</v>
      </c>
      <c r="DD165" s="693" t="str">
        <f ca="1">IF(LEFT($J155,7)="Clad Wo",IFERROR(VLOOKUP(INDEX(CZ155:CZ166,DC165),SPPWS,2,FALSE),"----"),IFERROR(VLOOKUP(INDEX(CZ155:CZ166,DC165),SPM,2,FALSE),"----"))</f>
        <v>----</v>
      </c>
      <c r="DE165" s="691" t="e">
        <f t="shared" ca="1" si="2264"/>
        <v>#REF!</v>
      </c>
      <c r="DF165" s="4" t="e" cm="1">
        <f t="array" aca="1" ref="DF165" ca="1">IF(AND(INDEX(INDIRECT(BY155),DE165,4)&gt;=$AB161,INDEX(INDIRECT(BY155),DE165,5)&gt;=$S155,INDEX(INDIRECT(BY155),DE165,6)&gt;=$R155),1,0)</f>
        <v>#REF!</v>
      </c>
      <c r="DG165" s="4" t="e">
        <f t="shared" ref="DG165" ca="1" si="2417">MATCH(1,OFFSET(DF155:DF166,DH164,0,COUNT(DF155:DF166)-DH164),0)</f>
        <v>#REF!</v>
      </c>
      <c r="DH165" s="4" t="e">
        <f t="shared" ca="1" si="2266"/>
        <v>#REF!</v>
      </c>
      <c r="DI165" s="692" t="str" cm="1">
        <f t="array" aca="1" ref="DI165" ca="1">IFERROR(VLOOKUP(INDEX(DE155:DE166,DH165),INDIRECT(BY155),2,FALSE),"----")</f>
        <v>----</v>
      </c>
      <c r="DJ165" s="691" t="e">
        <f t="shared" ca="1" si="2267"/>
        <v>#N/A</v>
      </c>
      <c r="DK165" s="4" t="e">
        <f ca="1">IF(AND(INDEX(SSM,DJ165,4)&gt;=$AB161,INDEX(SSM,DJ165,5)&gt;=$S155,INDEX(SSM,DJ165,6)&gt;=$R155),1,0)</f>
        <v>#N/A</v>
      </c>
      <c r="DL165" s="4" t="e">
        <f t="shared" ref="DL165" ca="1" si="2418">MATCH(1,OFFSET(DK155:DK166,DM164,0,COUNT(DK155:DK166)-DM164),0)</f>
        <v>#REF!</v>
      </c>
      <c r="DM165" s="4" t="e">
        <f t="shared" ca="1" si="2269"/>
        <v>#REF!</v>
      </c>
      <c r="DN165" s="692" t="str">
        <f ca="1">IFERROR(IF(AD162="Nested Steel Stud (wood infill)",VLOOKUP(INDEX(DJ155:DJ166,DM165),SSW,2,FALSE),VLOOKUP(INDEX(DJ155:DJ166,DM165),SSM,2,FALSE)),"----")</f>
        <v>----</v>
      </c>
      <c r="DO165" s="691" t="e">
        <f t="shared" ca="1" si="2270"/>
        <v>#N/A</v>
      </c>
      <c r="DP165" s="4" t="e">
        <f ca="1">IF(AND(INDEX(WSM,DO165,4)&gt;=$AB161,INDEX(WSM,DO165,5)&gt;=$S155,INDEX(WSM,DO165,6)&gt;=$R155),1,0)</f>
        <v>#N/A</v>
      </c>
      <c r="DQ165" s="4" t="e">
        <f t="shared" ref="DQ165" ca="1" si="2419">MATCH(1,OFFSET(DP155:DP166,DR164,0,COUNT(DP155:DP166)-DR164),0)</f>
        <v>#REF!</v>
      </c>
      <c r="DR165" s="4" t="e">
        <f t="shared" ca="1" si="2272"/>
        <v>#REF!</v>
      </c>
      <c r="DS165" s="692" t="str">
        <f ca="1">IFERROR(VLOOKUP(INDEX(DO155:DO166,DR165),WSM,2,FALSE),"----")</f>
        <v>----</v>
      </c>
      <c r="DT165" s="691" t="e">
        <f t="shared" ca="1" si="2273"/>
        <v>#N/A</v>
      </c>
      <c r="DU165" s="4" t="e">
        <f ca="1">IF(AND(INDEX(STM,DT165,4)&gt;=$AB161,INDEX(STM,DT165,5)&gt;=$S155,INDEX(STM,DT165,6)&gt;=$R155),1,0)</f>
        <v>#N/A</v>
      </c>
      <c r="DV165" s="4" t="e">
        <f t="shared" ref="DV165" ca="1" si="2420">MATCH(1,OFFSET(DU155:DU166,DW164,0,COUNT(DU155:DU166)-DW164),0)</f>
        <v>#REF!</v>
      </c>
      <c r="DW165" s="4" t="e">
        <f t="shared" ca="1" si="2275"/>
        <v>#REF!</v>
      </c>
      <c r="DX165" s="692" t="str">
        <f ca="1">IFERROR(VLOOKUP(INDEX(DT155:DT166,DW165),STM,2,FALSE),"----")</f>
        <v>----</v>
      </c>
      <c r="DY165" s="691" t="e">
        <f t="shared" ca="1" si="2276"/>
        <v>#N/A</v>
      </c>
      <c r="DZ165" s="4" t="e">
        <f ca="1">IF(AND(INDEX(ELM,DY165,4)&gt;=$AB161,INDEX(ELM,DY165,5)&gt;=$S155,INDEX(ELM,DY165,6)&gt;=$R155),1,0)</f>
        <v>#N/A</v>
      </c>
      <c r="EA165" s="4" t="e">
        <f t="shared" ref="EA165" ca="1" si="2421">MATCH(1,OFFSET(DZ155:DZ166,EB164,0,COUNT(DZ155:DZ166)-EB164),0)</f>
        <v>#REF!</v>
      </c>
      <c r="EB165" s="4" t="e">
        <f t="shared" ca="1" si="2278"/>
        <v>#REF!</v>
      </c>
      <c r="EC165" s="692" t="str">
        <f ca="1">IFERROR(VLOOKUP(INDEX(DY155:DY166,EB165),ELM,2,FALSE),"----")</f>
        <v>----</v>
      </c>
      <c r="ED165" s="691" t="e">
        <f t="shared" ca="1" si="2279"/>
        <v>#N/A</v>
      </c>
      <c r="EE165" s="4" t="e">
        <f ca="1">IF(LEFT($J155,7)="Clad Wo",IF(AND(INDEX(SPPWS,ED165,4)&gt;=$AB161,INDEX(SPPWS,ED165,5)&gt;=$S155,INDEX(SPPWS,ED165,6)&gt;=$R155),1,0),IF(AND(INDEX(SPM,ED165,4)&gt;=$AB161,INDEX(SPM,ED165,5)&gt;=$S155,INDEX(SPM,ED165,6)&gt;=$R155),1,0))</f>
        <v>#N/A</v>
      </c>
      <c r="EF165" s="4" t="e">
        <f t="shared" ref="EF165" ca="1" si="2422">MATCH(1,OFFSET(EE155:EE166,EG164,0,COUNT(EE155:EE166)-EG164),0)</f>
        <v>#REF!</v>
      </c>
      <c r="EG165" s="4" t="e">
        <f t="shared" ca="1" si="2281"/>
        <v>#REF!</v>
      </c>
      <c r="EH165" s="692" t="str">
        <f ca="1">IF(LEFT($J155,7)="Clad Wo",IFERROR(VLOOKUP(INDEX(ED155:ED166,EG165),SPPWS,2,FALSE),"----"),IFERROR(VLOOKUP(INDEX(ED155:ED166,EG165),SPM,2,FALSE),"----"))</f>
        <v>----</v>
      </c>
    </row>
    <row r="166" spans="1:138" ht="15" customHeight="1" thickBot="1" x14ac:dyDescent="0.3">
      <c r="A166" s="1085"/>
      <c r="B166" s="928"/>
      <c r="C166" s="929"/>
      <c r="D166" s="930"/>
      <c r="E166" s="998"/>
      <c r="F166" s="999"/>
      <c r="G166" s="1000"/>
      <c r="H166" s="1063"/>
      <c r="I166" s="991"/>
      <c r="J166" s="904"/>
      <c r="K166" s="905"/>
      <c r="L166" s="1003"/>
      <c r="M166" s="1065"/>
      <c r="N166" s="1043"/>
      <c r="O166" s="1019"/>
      <c r="P166" s="988"/>
      <c r="Q166" s="1016"/>
      <c r="R166" s="1013"/>
      <c r="S166" s="1008"/>
      <c r="T166" s="1009"/>
      <c r="U166" s="879"/>
      <c r="V166" s="882"/>
      <c r="W166" s="885"/>
      <c r="X166" s="885"/>
      <c r="Y166" s="888"/>
      <c r="Z166" s="888"/>
      <c r="AA166" s="888"/>
      <c r="AB166" s="1082"/>
      <c r="AC166" s="1087"/>
      <c r="AD166" s="1098" t="str">
        <f t="shared" ref="AD166" si="2423">IF(LEFT(J155,7)="Clad Wo","Pella Wood Spr / Steel Pte","Steel Plate")</f>
        <v>Steel Plate</v>
      </c>
      <c r="AE166" s="1099"/>
      <c r="AF166" s="1096"/>
      <c r="AG166" s="1097"/>
      <c r="AH166" s="1097"/>
      <c r="AI166" s="1094"/>
      <c r="AJ166" s="1095"/>
      <c r="AK166" s="163" t="str">
        <f t="shared" ca="1" si="2393"/>
        <v/>
      </c>
      <c r="AL166" s="1060"/>
      <c r="AM166" s="345" t="str">
        <f ca="1">IFERROR(Q155/12*ROUND(VLOOKUP(AF166,OFFSET(SPM,0,1),6,FALSE),2),"")</f>
        <v/>
      </c>
      <c r="AN166" t="str">
        <f t="shared" ca="1" si="2409"/>
        <v/>
      </c>
      <c r="AP166" s="699" t="str">
        <f t="shared" ref="AP166" si="2424">_xlfn.CONCAT(AR166,AS166)</f>
        <v/>
      </c>
      <c r="AQ166" s="700" t="str">
        <f t="shared" si="1353"/>
        <v/>
      </c>
      <c r="AR166" s="160" t="str">
        <f t="shared" si="2378"/>
        <v/>
      </c>
      <c r="AS166" s="160" t="str">
        <f>IFERROR(VLOOKUP(J163, WallType,2,FALSE),"")</f>
        <v/>
      </c>
      <c r="AT166" s="707" t="str">
        <f>AL161</f>
        <v/>
      </c>
      <c r="AU166" s="708" t="e">
        <f t="shared" ca="1" si="1370"/>
        <v>#REF!</v>
      </c>
      <c r="AV166" s="709" t="str">
        <f ca="1">IFERROR(VLOOKUP(AU166,INDIRECT(AQ155),2,FALSE),"----")</f>
        <v>----</v>
      </c>
      <c r="AW166" s="710" t="e">
        <f t="shared" ca="1" si="1371"/>
        <v>#REF!</v>
      </c>
      <c r="AX166" s="709" t="str">
        <f ca="1">IFERROR(VLOOKUP(AW166,INDIRECT(AQ156),2,FALSE),"----")</f>
        <v>----</v>
      </c>
      <c r="AY166" s="710" t="e">
        <f t="shared" ca="1" si="1919"/>
        <v>#REF!</v>
      </c>
      <c r="AZ166" s="709" t="str">
        <f ca="1">IFERROR(VLOOKUP(AY166,INDIRECT(AQ157),2,FALSE),"----")</f>
        <v>----</v>
      </c>
      <c r="BA166" s="710" t="e">
        <f t="shared" ca="1" si="1920"/>
        <v>#REF!</v>
      </c>
      <c r="BB166" s="709" t="str">
        <f ca="1">IFERROR(VLOOKUP(BA166,INDIRECT(AQ158),2,FALSE),"----")</f>
        <v>----</v>
      </c>
      <c r="BC166" s="710" t="e">
        <f t="shared" ca="1" si="1374"/>
        <v>#REF!</v>
      </c>
      <c r="BD166" s="709" t="str">
        <f ca="1">IFERROR(VLOOKUP(BC166,INDIRECT(AQ159),2,FALSE),"----")</f>
        <v>----</v>
      </c>
      <c r="BE166" s="710" t="e">
        <f t="shared" ca="1" si="1375"/>
        <v>#REF!</v>
      </c>
      <c r="BF166" s="709" t="str">
        <f ca="1">IFERROR(VLOOKUP(BE166,INDIRECT(AQ160),2,FALSE),"----")</f>
        <v>----</v>
      </c>
      <c r="BG166" s="710" t="e">
        <f t="shared" ca="1" si="1376"/>
        <v>#REF!</v>
      </c>
      <c r="BH166" s="711" t="str">
        <f ca="1">IFERROR(VLOOKUP(BG166,INDIRECT(AQ161),2,FALSE),"----")</f>
        <v>----</v>
      </c>
      <c r="BI166" s="710" t="e">
        <f t="shared" ca="1" si="1377"/>
        <v>#REF!</v>
      </c>
      <c r="BJ166" s="711" t="str">
        <f ca="1">IFERROR(VLOOKUP(BI166,INDIRECT(AQ162),2,FALSE),"----")</f>
        <v>----</v>
      </c>
      <c r="BK166" s="710" t="e">
        <f t="shared" ca="1" si="1378"/>
        <v>#REF!</v>
      </c>
      <c r="BL166" s="711" t="str">
        <f ca="1">IFERROR(VLOOKUP(BK166,INDIRECT(AQ163),2,FALSE),"----")</f>
        <v>----</v>
      </c>
      <c r="BM166" s="710" t="e">
        <f t="shared" ca="1" si="1379"/>
        <v>#REF!</v>
      </c>
      <c r="BN166" s="711" t="str">
        <f ca="1">IFERROR(VLOOKUP(BM166,INDIRECT(AQ164),2,FALSE),"----")</f>
        <v>----</v>
      </c>
      <c r="BO166" s="710" t="e">
        <f t="shared" ca="1" si="1380"/>
        <v>#REF!</v>
      </c>
      <c r="BP166" s="711" t="str">
        <f ca="1">IFERROR(VLOOKUP(BO166,INDIRECT(AQ165),2,FALSE),"----")</f>
        <v>----</v>
      </c>
      <c r="BQ166" s="710" t="e">
        <f t="shared" ca="1" si="1381"/>
        <v>#REF!</v>
      </c>
      <c r="BR166" s="712" t="str">
        <f ca="1">IFERROR(VLOOKUP(BQ166,INDIRECT(AQ166),2,FALSE),"----")</f>
        <v>----</v>
      </c>
      <c r="BS166" s="695">
        <f>IF(AI166="",1,IF(COUNTIF(BR155:BR166,AI166)=0,2,1))</f>
        <v>1</v>
      </c>
      <c r="BT166" s="713">
        <f>IF(AF166="",1,IF(BR155=".",2,1))</f>
        <v>1</v>
      </c>
      <c r="BV166" s="155">
        <f ca="1">IF(COUNTIF(EH155:EH166,AF166)=0,IF(AF166&lt;&gt;"",0,1),1)</f>
        <v>1</v>
      </c>
      <c r="BW166" s="157">
        <f ca="1">IFERROR(MATCH(AF166,EH155:EH166,0),1)</f>
        <v>1</v>
      </c>
      <c r="BX166" s="718"/>
      <c r="BY166" s="777"/>
      <c r="BZ166" s="1110"/>
      <c r="CA166" s="714" t="e">
        <f t="shared" ca="1" si="2246"/>
        <v>#REF!</v>
      </c>
      <c r="CB166" s="715" t="e" cm="1">
        <f t="array" aca="1" ref="CB166" ca="1">IF(AND(INDEX(INDIRECT(BY155),CA166,4)&gt;=$AB155,INDEX(INDIRECT(BY155),CA166,5)&gt;=$S155,INDEX(INDIRECT(BY155),CA166,6)&gt;=$R155),1,0)</f>
        <v>#REF!</v>
      </c>
      <c r="CC166" s="715" t="e">
        <f t="shared" ref="CC166" ca="1" si="2425">MATCH(1,OFFSET(CB155:CB166,CD165,0,COUNT(CB155:CB166)-CD165),0)</f>
        <v>#REF!</v>
      </c>
      <c r="CD166" s="715" t="e">
        <f t="shared" ca="1" si="2248"/>
        <v>#REF!</v>
      </c>
      <c r="CE166" s="716" t="str" cm="1">
        <f t="array" aca="1" ref="CE166" ca="1">IFERROR(VLOOKUP(INDEX(CA155:CA166,CD166),INDIRECT(BY155),2,FALSE),"----")</f>
        <v>----</v>
      </c>
      <c r="CF166" s="714" t="e">
        <f t="shared" ca="1" si="2249"/>
        <v>#N/A</v>
      </c>
      <c r="CG166" s="715" t="e">
        <f ca="1">IF(AND(INDEX(SSM,CF166,4)&gt;=$AB155,INDEX(SSM,CF166,5)&gt;=$S155,INDEX(SSM,CF166,6)&gt;=$R155),1,0)</f>
        <v>#N/A</v>
      </c>
      <c r="CH166" s="715" t="e">
        <f t="shared" ref="CH166" ca="1" si="2426">MATCH(1,OFFSET(CG155:CG166,CI165,0,COUNT(CG155:CG166)-CI165),0)</f>
        <v>#REF!</v>
      </c>
      <c r="CI166" s="715" t="e">
        <f t="shared" ca="1" si="2251"/>
        <v>#REF!</v>
      </c>
      <c r="CJ166" s="716" t="str">
        <f ca="1">IFERROR(IF(AD156="Nested Steel Stud (wood infill)",VLOOKUP(INDEX(CF155:CF166,CI166),SSW,2,FALSE),VLOOKUP(INDEX(CF155:CF166,CI166),SSM,2,FALSE)),"----")</f>
        <v>----</v>
      </c>
      <c r="CK166" s="714" t="e">
        <f t="shared" ca="1" si="2252"/>
        <v>#N/A</v>
      </c>
      <c r="CL166" s="715" t="e">
        <f ca="1">IF(AND(INDEX(WSM,CK166,4)&gt;=$AB155,INDEX(WSM,CK166,5)&gt;=$S155,INDEX(WSM,CK166,6)&gt;=$R155),1,0)</f>
        <v>#N/A</v>
      </c>
      <c r="CM166" s="715" t="e">
        <f t="shared" ref="CM166" ca="1" si="2427">MATCH(1,OFFSET(CL155:CL166,CN165,0,COUNT(CL155:CL166)-CN165),0)</f>
        <v>#REF!</v>
      </c>
      <c r="CN166" s="715" t="e">
        <f t="shared" ca="1" si="2254"/>
        <v>#REF!</v>
      </c>
      <c r="CO166" s="716" t="str">
        <f ca="1">IFERROR(VLOOKUP(INDEX(CK155:CK166,CN166),WSM,2,FALSE),"----")</f>
        <v>----</v>
      </c>
      <c r="CP166" s="714" t="e">
        <f t="shared" ca="1" si="2255"/>
        <v>#N/A</v>
      </c>
      <c r="CQ166" s="715" t="e">
        <f ca="1">IF(AND(INDEX(STM,CP166,4)&gt;=$AB155,INDEX(STM,CP166,5)&gt;=$S155,INDEX(STM,CP166,6)&gt;=$R155),1,0)</f>
        <v>#N/A</v>
      </c>
      <c r="CR166" s="715" t="e">
        <f t="shared" ref="CR166" ca="1" si="2428">MATCH(1,OFFSET(CQ155:CQ166,CS165,0,COUNT(CQ155:CQ166)-CS165),0)</f>
        <v>#REF!</v>
      </c>
      <c r="CS166" s="715" t="e">
        <f t="shared" ca="1" si="2257"/>
        <v>#REF!</v>
      </c>
      <c r="CT166" s="716" t="str">
        <f ca="1">IFERROR(VLOOKUP(INDEX(CP155:CP166,CS166),STM,2,FALSE),"----")</f>
        <v>----</v>
      </c>
      <c r="CU166" s="714" t="e">
        <f t="shared" ca="1" si="2258"/>
        <v>#N/A</v>
      </c>
      <c r="CV166" s="715" t="e">
        <f ca="1">IF(AND(INDEX(ELM,CU166,4)&gt;=$AB155,INDEX(ELM,CU166,5)&gt;=$S155,INDEX(ELM,CU166,6)&gt;=$R155),1,0)</f>
        <v>#N/A</v>
      </c>
      <c r="CW166" s="715" t="e">
        <f t="shared" ref="CW166" ca="1" si="2429">MATCH(1,OFFSET(CV155:CV166,CX165,0,COUNT(CV155:CV166)-CX165),0)</f>
        <v>#REF!</v>
      </c>
      <c r="CX166" s="715" t="e">
        <f t="shared" ca="1" si="2260"/>
        <v>#REF!</v>
      </c>
      <c r="CY166" s="716" t="str">
        <f ca="1">IFERROR(VLOOKUP(INDEX(CU155:CU166,CX166),ELM,2,FALSE),"----")</f>
        <v>----</v>
      </c>
      <c r="CZ166" s="714" t="e">
        <f t="shared" ca="1" si="2261"/>
        <v>#N/A</v>
      </c>
      <c r="DA166" s="715" t="e">
        <f ca="1">IF(LEFT($J155,7)="Clad Wo",IF(AND(INDEX(SPPWS,CZ166,4)&gt;=$AB155,INDEX(SPPWS,CZ166,5)&gt;=$S155,INDEX(SPPWS,CZ166,6)&gt;=$R155),1,0),IF(AND(INDEX(SPM,CZ166,4)&gt;=$AB155,INDEX(SPM,CZ166,5)&gt;=$S155,INDEX(SPM,CZ166,6)&gt;=$R155),1,0))</f>
        <v>#N/A</v>
      </c>
      <c r="DB166" s="715" t="e">
        <f t="shared" ref="DB166" ca="1" si="2430">MATCH(1,OFFSET(DA155:DA166,DC165,0,COUNT(DA155:DA166)-DC165),0)</f>
        <v>#REF!</v>
      </c>
      <c r="DC166" s="715" t="e">
        <f t="shared" ca="1" si="2263"/>
        <v>#REF!</v>
      </c>
      <c r="DD166" s="717" t="str">
        <f ca="1">IF(LEFT($J155,7)="Clad Wo",IFERROR(VLOOKUP(INDEX(CZ155:CZ166,DC166),SPPWS,2,FALSE),"----"),IFERROR(VLOOKUP(INDEX(CZ155:CZ166,DC166),SPM,2,FALSE),"----"))</f>
        <v>----</v>
      </c>
      <c r="DE166" s="714" t="e">
        <f t="shared" ca="1" si="2264"/>
        <v>#REF!</v>
      </c>
      <c r="DF166" s="715" t="e" cm="1">
        <f t="array" aca="1" ref="DF166" ca="1">IF(AND(INDEX(INDIRECT(BY155),DE166,4)&gt;=$AB161,INDEX(INDIRECT(BY155),DE166,5)&gt;=$S155,INDEX(INDIRECT(BY155),DE166,6)&gt;=$R155),1,0)</f>
        <v>#REF!</v>
      </c>
      <c r="DG166" s="715" t="e">
        <f t="shared" ref="DG166" ca="1" si="2431">MATCH(1,OFFSET(DF155:DF166,DH165,0,COUNT(DF155:DF166)-DH165),0)</f>
        <v>#REF!</v>
      </c>
      <c r="DH166" s="715" t="e">
        <f t="shared" ca="1" si="2266"/>
        <v>#REF!</v>
      </c>
      <c r="DI166" s="716" t="str" cm="1">
        <f t="array" aca="1" ref="DI166" ca="1">IFERROR(VLOOKUP(INDEX(DE155:DE166,DH166),INDIRECT(BY155),2,FALSE),"----")</f>
        <v>----</v>
      </c>
      <c r="DJ166" s="714" t="e">
        <f t="shared" ca="1" si="2267"/>
        <v>#N/A</v>
      </c>
      <c r="DK166" s="715" t="e">
        <f ca="1">IF(AND(INDEX(SSM,DJ166,4)&gt;=$AB161,INDEX(SSM,DJ166,5)&gt;=$S155,INDEX(SSM,DJ166,6)&gt;=$R155),1,0)</f>
        <v>#N/A</v>
      </c>
      <c r="DL166" s="715" t="e">
        <f t="shared" ref="DL166" ca="1" si="2432">MATCH(1,OFFSET(DK155:DK166,DM165,0,COUNT(DK155:DK166)-DM165),0)</f>
        <v>#REF!</v>
      </c>
      <c r="DM166" s="715" t="e">
        <f t="shared" ca="1" si="2269"/>
        <v>#REF!</v>
      </c>
      <c r="DN166" s="716" t="str">
        <f ca="1">IFERROR(IF(AD162="Nested Steel Stud (wood infill)",VLOOKUP(INDEX(DJ155:DJ166,DM166),SSW,2,FALSE),VLOOKUP(INDEX(DJ155:DJ166,DM166),SSM,2,FALSE)),"----")</f>
        <v>----</v>
      </c>
      <c r="DO166" s="714" t="e">
        <f t="shared" ca="1" si="2270"/>
        <v>#N/A</v>
      </c>
      <c r="DP166" s="715" t="e">
        <f ca="1">IF(AND(INDEX(WSM,DO166,4)&gt;=$AB161,INDEX(WSM,DO166,5)&gt;=$S155,INDEX(WSM,DO166,6)&gt;=$R155),1,0)</f>
        <v>#N/A</v>
      </c>
      <c r="DQ166" s="715" t="e">
        <f t="shared" ref="DQ166" ca="1" si="2433">MATCH(1,OFFSET(DP155:DP166,DR165,0,COUNT(DP155:DP166)-DR165),0)</f>
        <v>#REF!</v>
      </c>
      <c r="DR166" s="715" t="e">
        <f t="shared" ca="1" si="2272"/>
        <v>#REF!</v>
      </c>
      <c r="DS166" s="716" t="str">
        <f ca="1">IFERROR(VLOOKUP(INDEX(DO155:DO166,DR166),WSM,2,FALSE),"----")</f>
        <v>----</v>
      </c>
      <c r="DT166" s="714" t="e">
        <f t="shared" ca="1" si="2273"/>
        <v>#N/A</v>
      </c>
      <c r="DU166" s="715" t="e">
        <f ca="1">IF(AND(INDEX(STM,DT166,4)&gt;=$AB161,INDEX(STM,DT166,5)&gt;=$S155,INDEX(STM,DT166,6)&gt;=$R155),1,0)</f>
        <v>#N/A</v>
      </c>
      <c r="DV166" s="715" t="e">
        <f t="shared" ref="DV166" ca="1" si="2434">MATCH(1,OFFSET(DU155:DU166,DW165,0,COUNT(DU155:DU166)-DW165),0)</f>
        <v>#REF!</v>
      </c>
      <c r="DW166" s="715" t="e">
        <f t="shared" ca="1" si="2275"/>
        <v>#REF!</v>
      </c>
      <c r="DX166" s="716" t="str">
        <f ca="1">IFERROR(VLOOKUP(INDEX(DT155:DT166,DW166),STM,2,FALSE),"----")</f>
        <v>----</v>
      </c>
      <c r="DY166" s="714" t="e">
        <f t="shared" ca="1" si="2276"/>
        <v>#N/A</v>
      </c>
      <c r="DZ166" s="715" t="e">
        <f ca="1">IF(AND(INDEX(ELM,DY166,4)&gt;=$AB161,INDEX(ELM,DY166,5)&gt;=$S155,INDEX(ELM,DY166,6)&gt;=$R155),1,0)</f>
        <v>#N/A</v>
      </c>
      <c r="EA166" s="715" t="e">
        <f t="shared" ref="EA166" ca="1" si="2435">MATCH(1,OFFSET(DZ155:DZ166,EB165,0,COUNT(DZ155:DZ166)-EB165),0)</f>
        <v>#REF!</v>
      </c>
      <c r="EB166" s="715" t="e">
        <f t="shared" ca="1" si="2278"/>
        <v>#REF!</v>
      </c>
      <c r="EC166" s="716" t="str">
        <f ca="1">IFERROR(VLOOKUP(INDEX(DY155:DY166,EB166),ELM,2,FALSE),"----")</f>
        <v>----</v>
      </c>
      <c r="ED166" s="714" t="e">
        <f t="shared" ca="1" si="2279"/>
        <v>#N/A</v>
      </c>
      <c r="EE166" s="715" t="e">
        <f ca="1">IF(LEFT($J155,7)="Clad Wo",IF(AND(INDEX(SPPWS,ED166,4)&gt;=$AB161,INDEX(SPPWS,ED166,5)&gt;=$S155,INDEX(SPPWS,ED166,6)&gt;=$R155),1,0),IF(AND(INDEX(SPM,ED166,4)&gt;=$AB161,INDEX(SPM,ED166,5)&gt;=$S155,INDEX(SPM,ED166,6)&gt;=$R155),1,0))</f>
        <v>#N/A</v>
      </c>
      <c r="EF166" s="715" t="e">
        <f t="shared" ref="EF166" ca="1" si="2436">MATCH(1,OFFSET(EE155:EE166,EG165,0,COUNT(EE155:EE166)-EG165),0)</f>
        <v>#REF!</v>
      </c>
      <c r="EG166" s="715" t="e">
        <f t="shared" ca="1" si="2281"/>
        <v>#REF!</v>
      </c>
      <c r="EH166" s="716" t="str">
        <f ca="1">IF(LEFT($J155,7)="Clad Wo",IFERROR(VLOOKUP(INDEX(ED155:ED166,EG166),SPPWS,2,FALSE),"----"),IFERROR(VLOOKUP(INDEX(ED155:ED166,EG166),SPM,2,FALSE),"----"))</f>
        <v>----</v>
      </c>
    </row>
    <row r="167" spans="1:138" ht="15" customHeight="1" thickTop="1" x14ac:dyDescent="0.25">
      <c r="A167" s="1085"/>
      <c r="B167" s="931" t="s">
        <v>92</v>
      </c>
      <c r="C167" s="932"/>
      <c r="D167" s="933"/>
      <c r="E167" s="992"/>
      <c r="F167" s="993"/>
      <c r="G167" s="994"/>
      <c r="H167" s="1061"/>
      <c r="I167" s="989"/>
      <c r="J167" s="906"/>
      <c r="K167" s="907"/>
      <c r="L167" s="1001">
        <f>$W$3</f>
        <v>4</v>
      </c>
      <c r="M167" s="923" t="str">
        <f t="shared" ref="M167" si="2437">IFERROR(IF($AE$13="",IF($AG$19="Wind Loading",MIN($V$31,IF(E$11="ASCE 7-05",$U$26,$V$7)*$V$9*(IF($E$12&lt;60,0.0771*LN(MAX(MIN(500,O167),10)) -1.2737,IF($E$11="ASCE 7-22",0.0524*LN(MAX(MIN(500,O167),50))-1.0278,0.0614*LN(MAX(MIN(500,O167),20)) -1.0829))-$V$8)),$V$7*IF(E$12&lt;60,$V$13*($V$15*0.0771*LN(MAX(MIN(500,O167),10))-1.2737-$V$16),$V$13*$V$15*((0.0524*LN(MAX(MIN(500,O167),20))-1.0278)-$V$16))),-ABS($AE$13)),"")</f>
        <v/>
      </c>
      <c r="N167" s="1042" t="str">
        <f t="shared" ref="N167" si="2438">IFERROR(IF($AE$15="",IF($AG$19="Wind Loading",MAX($U$31,IF(E$11="ASCE 7-05",$U$26,$V$7)*$V$9*((IF($E$12&lt;60,-0.077*LN(MAX(MIN(500,O167),10))+1.1737,IF($E$11="ASCE 7-22",-0.077*LN(MAX(MIN(500,O167),20))+1.0798,-0.093*LN(MAX(MIN(500,O167),20))+1.1776)))+$V$8)),$V$7*IF(E$12&lt;60,$V$13*($V$15*(-0.077*LN(MAX(MIN(500,O167),10))+1.1737)-$V$17),$V$13*$V$15*((-0.077*LN(MAX(MIN(500,O167),20))+1.0798)-$V$17))),ABS($AE$15)),"")</f>
        <v/>
      </c>
      <c r="O167" s="1017" t="str">
        <f>IF(BX174=0,"",IF(AG$14="Trapezoidal",BY174,BX174))</f>
        <v/>
      </c>
      <c r="P167" s="986"/>
      <c r="Q167" s="1014"/>
      <c r="R167" s="1011">
        <f>P167*Q167/8</f>
        <v>0</v>
      </c>
      <c r="S167" s="1004">
        <f t="shared" ref="S167" si="2439">IF(5*(P167*Q167^3/(384*0.125))=0,0,5*(P167*Q167^3/(384*0.125)))</f>
        <v>0</v>
      </c>
      <c r="T167" s="1005"/>
      <c r="U167" s="877" t="e">
        <f ca="1">VLOOKUP(J171,INDIRECT(VLOOKUP(J167,FrameStrength,2,FALSE)),3,FALSE)</f>
        <v>#N/A</v>
      </c>
      <c r="V167" s="880">
        <f t="shared" ref="V167" si="2440">(H167+I167)/2</f>
        <v>0</v>
      </c>
      <c r="W167" s="883" t="e">
        <f t="shared" ref="W167" si="2441">MAX(-M167,N167)*O167</f>
        <v>#VALUE!</v>
      </c>
      <c r="X167" s="883">
        <f t="shared" ref="X167" si="2442">IF(E167&gt;162,(E167/240+0.25),IF(AND(E167&lt;162,E167/175&lt;0.75),E167/175,0.75))</f>
        <v>0</v>
      </c>
      <c r="Y167" s="886">
        <f>IFERROR(IF(AG$14="Trapezoidal",BY175,BX175)+IF($E$17="4",(400*E167^3)/(48*X167),0),0)</f>
        <v>0</v>
      </c>
      <c r="Z167" s="886" t="e">
        <f t="shared" ref="Z167" si="2443">+($V167*MAX(-$M167,$N167)*$E167^2)/(144*8)+IF($E$17=4,(400*$E167)/4,0)</f>
        <v>#VALUE!</v>
      </c>
      <c r="AA167" s="886" t="e">
        <f ca="1">VLOOKUP(J171,INDIRECT(VLOOKUP(J167,FrameStrength,2,FALSE)),2,FALSE)</f>
        <v>#N/A</v>
      </c>
      <c r="AB167" s="1083" t="str">
        <f t="shared" ref="AB167" ca="1" si="2444">IFERROR(Z167-AA167,"")</f>
        <v/>
      </c>
      <c r="AC167" s="1077" t="str">
        <f t="shared" ref="AC167" ca="1" si="2445">IFERROR(Y167-U167,"")</f>
        <v/>
      </c>
      <c r="AD167" s="1100" t="str">
        <f>IFERROR(IF(LEFT(J171,2)="As",VLOOKUP(J171,EIMM,4,FALSE),VLOOKUP(J167,EIMM,4,FALSE)),IF(AND(ISNUMBER(SEARCH("Impervia",J167)),ISNUMBER(SEARCH("door",J171))),'New Lookup Cells'!AF$10,IF(ISNUMBER(SEARCH("Impervia",J167)),'New Lookup Cells'!AF$7,IF(AND(ISNUMBER(SEARCH("250",J167)),ISNUMBER(SEARCH("door",J171))),'New Lookup Cells'!AF$14,IF(ISNUMBER(SEARCH("250",J167)),'New Lookup Cells'!AF$13,"")))))</f>
        <v/>
      </c>
      <c r="AE167" s="1101"/>
      <c r="AF167" s="1050"/>
      <c r="AG167" s="1051"/>
      <c r="AH167" s="1051"/>
      <c r="AI167" s="1088"/>
      <c r="AJ167" s="1089"/>
      <c r="AK167" s="154" t="str">
        <f t="shared" ca="1" si="2393"/>
        <v/>
      </c>
      <c r="AL167" s="1038" t="str">
        <f t="shared" ref="AL167" si="2446">IFERROR(ROUND(SQRT(P167^2+(W167/2+IF($E$17=4,200,0))^2),0),"")</f>
        <v/>
      </c>
      <c r="AM167" s="342" t="s">
        <v>669</v>
      </c>
      <c r="AN167" t="str">
        <f t="shared" ca="1" si="2409"/>
        <v/>
      </c>
      <c r="AP167" s="122" t="str">
        <f t="shared" ref="AP167" si="2447">_xlfn.CONCAT(AR167,AS172)</f>
        <v/>
      </c>
      <c r="AQ167" s="683" t="str">
        <f t="shared" si="1353"/>
        <v/>
      </c>
      <c r="AR167" s="96" t="str">
        <f t="shared" si="2378"/>
        <v/>
      </c>
      <c r="AS167" s="96" t="str">
        <f>IF(COUNTIF(imp_1,AF167)=1,"imp_1",IF(COUNTIF(imp_2,AF167)=1,"imp_2",IF(COUNTIF(imp_3,AF167)=1,"imp_3",IF(COUNTIF(impdoor,AF167)=1,"impdoor",""))))</f>
        <v/>
      </c>
      <c r="AT167" s="684" t="str">
        <f>AL167</f>
        <v/>
      </c>
      <c r="AU167" s="685" t="e">
        <f ca="1">MATCH(AL167,INDIRECT(AP167),-1)</f>
        <v>#REF!</v>
      </c>
      <c r="AV167" s="686" t="str">
        <f ca="1">IFERROR(VLOOKUP(AU167,INDIRECT(AQ167),2,FALSE),"----")</f>
        <v>----</v>
      </c>
      <c r="AW167" s="685" t="e">
        <f ca="1">MATCH(AL167,INDIRECT(AP168),-1)</f>
        <v>#REF!</v>
      </c>
      <c r="AX167" s="686" t="str">
        <f ca="1">IFERROR(VLOOKUP(AW167,INDIRECT(AQ168),2,FALSE),"----")</f>
        <v>----</v>
      </c>
      <c r="AY167" s="685" t="e">
        <f ca="1">MATCH(AL167,INDIRECT(AP169),-1)</f>
        <v>#REF!</v>
      </c>
      <c r="AZ167" s="686" t="str">
        <f ca="1">IFERROR(VLOOKUP(AY167,INDIRECT(AQ169),2,FALSE),"----")</f>
        <v>----</v>
      </c>
      <c r="BA167" s="685" t="e">
        <f ca="1">MATCH(AL167,INDIRECT(AP170),-1)</f>
        <v>#REF!</v>
      </c>
      <c r="BB167" s="686" t="str">
        <f ca="1">IFERROR(VLOOKUP(BA167,INDIRECT(AQ170),2,FALSE),"----")</f>
        <v>----</v>
      </c>
      <c r="BC167" s="685" t="e">
        <f ca="1">MATCH(AL167,INDIRECT(AP171),-1)</f>
        <v>#REF!</v>
      </c>
      <c r="BD167" s="686" t="str">
        <f ca="1">IFERROR(VLOOKUP(BC167,INDIRECT(AQ171),2,FALSE),"----")</f>
        <v>----</v>
      </c>
      <c r="BE167" s="685" t="e">
        <f ca="1">MATCH(AL167,INDIRECT(AP172),-1)</f>
        <v>#REF!</v>
      </c>
      <c r="BF167" s="686" t="str">
        <f ca="1">IFERROR(VLOOKUP(BE167,INDIRECT(AQ172),2,FALSE),"----")</f>
        <v>----</v>
      </c>
      <c r="BG167" s="685" t="e">
        <f ca="1">MATCH(AL173,INDIRECT(AP173),-1)</f>
        <v>#REF!</v>
      </c>
      <c r="BH167" s="686" t="str">
        <f ca="1">IFERROR(VLOOKUP(BG167,INDIRECT(AQ173),2,FALSE),"----")</f>
        <v>----</v>
      </c>
      <c r="BI167" s="685" t="e">
        <f ca="1">MATCH(AL173,INDIRECT(AP174),-1)</f>
        <v>#REF!</v>
      </c>
      <c r="BJ167" s="686" t="str">
        <f ca="1">IFERROR(VLOOKUP(BI167,INDIRECT(AQ174),2,FALSE),"----")</f>
        <v>----</v>
      </c>
      <c r="BK167" s="685" t="e">
        <f ca="1">MATCH(AL173,INDIRECT(AP175),-1)</f>
        <v>#REF!</v>
      </c>
      <c r="BL167" s="686" t="str">
        <f ca="1">IFERROR(VLOOKUP(BK167,INDIRECT(AQ175),2,FALSE),"----")</f>
        <v>----</v>
      </c>
      <c r="BM167" s="685" t="e">
        <f ca="1">MATCH(AL173,INDIRECT(AP176),-1)</f>
        <v>#REF!</v>
      </c>
      <c r="BN167" s="686" t="str">
        <f ca="1">IFERROR(VLOOKUP(BM167,INDIRECT(AQ176),2,FALSE),"----")</f>
        <v>----</v>
      </c>
      <c r="BO167" s="685" t="e">
        <f ca="1">MATCH(AL173,INDIRECT(AP177),-1)</f>
        <v>#REF!</v>
      </c>
      <c r="BP167" s="686" t="str">
        <f ca="1">IFERROR(VLOOKUP(BO167,INDIRECT(AQ177),2,FALSE),"----")</f>
        <v>----</v>
      </c>
      <c r="BQ167" s="685" t="e">
        <f ca="1">MATCH(AL173,INDIRECT(AP178),-1)</f>
        <v>#REF!</v>
      </c>
      <c r="BR167" s="686" t="str">
        <f ca="1">IFERROR(VLOOKUP(BQ167,INDIRECT(AQ178),2,FALSE),"----")</f>
        <v>----</v>
      </c>
      <c r="BS167" s="687">
        <f>IF(AI167="",1,IF(COUNTIF(AV167:AV178,AI167)=0,2,1))</f>
        <v>1</v>
      </c>
      <c r="BT167" s="688">
        <f>IF(AP167="1",1,IF(AF167="",1,IF(AV167=".",2,1)))</f>
        <v>1</v>
      </c>
      <c r="BU167" s="706"/>
      <c r="BV167" s="155">
        <f ca="1">IF(COUNTIF(CE167:CE178,AF167)=0,IF(AF167&lt;&gt;"",0,1),1)</f>
        <v>1</v>
      </c>
      <c r="BW167" s="157">
        <f ca="1">IFERROR(MATCH(AF167,CE167:CE178,0),1)</f>
        <v>1</v>
      </c>
      <c r="BX167" s="769" t="str">
        <f>IFERROR(IF(LEFT(J171,2)="As",VLOOKUP(J171,EIMM,2,FALSE),IF(AND(ISNUMBER(SEARCH("Impervia",J167)),ISNUMBER(SEARCH("door",J171))),VLOOKUP("Impervia Door",EIMM,2,FALSE),IF(AND(ISNUMBER(SEARCH("250",J167)),ISNUMBER(SEARCH("door",J171))),VLOOKUP("250 Series Door",EIMM,2,FALSE),VLOOKUP(J167,EIMM,2,FALSE)))),"")</f>
        <v/>
      </c>
      <c r="BY167" s="769" t="str">
        <f ca="1">IFERROR(VLOOKUP(BX167,OFFSET(EIMM,0,1),2,FALSE),"")</f>
        <v/>
      </c>
      <c r="BZ167" s="1110" t="e">
        <f ca="1">IF((COUNTIF(INDIRECT(SUBSTITUTE(J167," ","_")),J171))=0,IF(J171="",1,0),1)</f>
        <v>#REF!</v>
      </c>
      <c r="CA167" s="691" t="e">
        <f ca="1">MATCH(AC167,INDIRECT(BX167),-1)</f>
        <v>#REF!</v>
      </c>
      <c r="CB167" s="4" t="e" cm="1">
        <f t="array" aca="1" ref="CB167" ca="1">IF(AND(INDEX(INDIRECT(BY167),CA167,4)&gt;=$AB167,INDEX(INDIRECT(BY167),CA167,5)&gt;=$S167,INDEX(INDIRECT(BY167),CA167,6)&gt;=$R167),1,0)</f>
        <v>#REF!</v>
      </c>
      <c r="CC167" s="4" t="e">
        <f t="shared" ref="CC167" ca="1" si="2448">MATCH(1,OFFSET(CB167:CB178,$W$2,0,COUNT(CB167:CB178)-$W$2),0)</f>
        <v>#REF!</v>
      </c>
      <c r="CD167" s="4" t="e">
        <f t="shared" ref="CD167" ca="1" si="2449">$W$2+CC167</f>
        <v>#REF!</v>
      </c>
      <c r="CE167" s="692" t="str" cm="1">
        <f t="array" aca="1" ref="CE167" ca="1">IFERROR(VLOOKUP(INDEX(CA167:CA178,CD167),INDIRECT(BY167),2,FALSE),"----")</f>
        <v>----</v>
      </c>
      <c r="CF167" s="691" t="e">
        <f ca="1">MATCH($AC167,SSEI,-1)</f>
        <v>#N/A</v>
      </c>
      <c r="CG167" s="4" t="e">
        <f ca="1">IF(AND(INDEX(SSM,CF167,4)&gt;=$AB167,INDEX(SSM,CF167,5)&gt;=$S167,INDEX(SSM,CF167,6)&gt;=$R167),1,0)</f>
        <v>#N/A</v>
      </c>
      <c r="CH167" s="4" t="e">
        <f t="shared" ref="CH167" ca="1" si="2450">MATCH(1,OFFSET(CG167:CG178,$W$2,0,COUNT(CG167:CG178)-$W$2),0)</f>
        <v>#REF!</v>
      </c>
      <c r="CI167" s="4" t="e">
        <f t="shared" ref="CI167" ca="1" si="2451">$W$2+CH167</f>
        <v>#REF!</v>
      </c>
      <c r="CJ167" s="692" t="str">
        <f ca="1">IFERROR(IF(AD168="Nested Steel Stud (wood infill)",VLOOKUP(INDEX(CF167:CF178,CI167),SSW,2,FALSE),VLOOKUP(INDEX(CF167:CF178,CI167),SSM,2,FALSE)),"----")</f>
        <v>----</v>
      </c>
      <c r="CK167" s="691" t="e">
        <f ca="1">MATCH($AC167,WSEI,-1)</f>
        <v>#N/A</v>
      </c>
      <c r="CL167" s="4" t="e">
        <f ca="1">IF(AND(INDEX(WSM,CK167,4)&gt;=$AB167,INDEX(WSM,CK167,5)&gt;=$S167,INDEX(WSM,CK167,6)&gt;=$R167),1,0)</f>
        <v>#N/A</v>
      </c>
      <c r="CM167" s="4" t="e">
        <f t="shared" ref="CM167" ca="1" si="2452">MATCH(1,OFFSET(CL167:CL178,$W$2,0,COUNT(CL167:CL178)-$W$2),0)</f>
        <v>#REF!</v>
      </c>
      <c r="CN167" s="4" t="e">
        <f t="shared" ref="CN167" ca="1" si="2453">$W$2+CM167</f>
        <v>#REF!</v>
      </c>
      <c r="CO167" s="692" t="str">
        <f ca="1">IFERROR(VLOOKUP(INDEX(CK167:CK178,CN167),WSM,2,FALSE),"----")</f>
        <v>----</v>
      </c>
      <c r="CP167" s="691" t="e">
        <f ca="1">MATCH($AC167,STEI,-1)</f>
        <v>#N/A</v>
      </c>
      <c r="CQ167" s="4" t="e">
        <f ca="1">IF(AND(INDEX(STM,CP167,4)&gt;=$AB167,INDEX(STM,CP167,5)&gt;=$S167,INDEX(STM,CP167,6)&gt;=$R167),1,0)</f>
        <v>#N/A</v>
      </c>
      <c r="CR167" s="4" t="e">
        <f t="shared" ref="CR167" ca="1" si="2454">MATCH(1,OFFSET(CQ167:CQ178,$W$2,0,COUNT(CQ167:CQ178)-$W$2),0)</f>
        <v>#REF!</v>
      </c>
      <c r="CS167" s="4" t="e">
        <f t="shared" ref="CS167" ca="1" si="2455">$W$2+CR167</f>
        <v>#REF!</v>
      </c>
      <c r="CT167" s="692" t="str">
        <f ca="1">IFERROR(VLOOKUP(INDEX(CP167:CP178,CS167),STM,2,FALSE),"----")</f>
        <v>----</v>
      </c>
      <c r="CU167" s="691" t="e">
        <f ca="1">MATCH($AC167,ELEI,-1)</f>
        <v>#N/A</v>
      </c>
      <c r="CV167" s="4" t="e">
        <f ca="1">IF(AND(INDEX(ELM,CU167,4)&gt;=$AB167,INDEX(ELM,CU167,5)&gt;=$S167,INDEX(ELM,CU167,6)&gt;=$R167),1,0)</f>
        <v>#N/A</v>
      </c>
      <c r="CW167" s="4" t="e">
        <f t="shared" ref="CW167" ca="1" si="2456">MATCH(1,OFFSET(CV167:CV178,$W$2,0,COUNT(CV167:CV178)-$W$2),0)</f>
        <v>#REF!</v>
      </c>
      <c r="CX167" s="4" t="e">
        <f t="shared" ref="CX167" ca="1" si="2457">$W$2+CW167</f>
        <v>#REF!</v>
      </c>
      <c r="CY167" s="692" t="str">
        <f ca="1">IFERROR(VLOOKUP(INDEX(CU167:CU178,CX167),ELM,2,FALSE),"----")</f>
        <v>----</v>
      </c>
      <c r="CZ167" s="691" t="e">
        <f ca="1">IF(LEFT($J167,7)="Clad Wo",MATCH($AC167,SPEIW,-1),MATCH($AC167,SPEI,-1))</f>
        <v>#N/A</v>
      </c>
      <c r="DA167" s="4" t="e">
        <f ca="1">IF(LEFT($J167,7)="Clad Wo",IF(AND(INDEX(SPPWS,CZ167,4)&gt;=$AB167,INDEX(SPPWS,CZ167,5)&gt;=$S167,INDEX(SPPWS,CZ167,6)&gt;=$R167),1,0),IF(AND(INDEX(SPM,CZ167,4)&gt;=$AB167,INDEX(SPM,CZ167,5)&gt;=$S167,INDEX(SPM,CZ167,6)&gt;=$R167),1,0))</f>
        <v>#N/A</v>
      </c>
      <c r="DB167" s="4" t="e">
        <f t="shared" ref="DB167" ca="1" si="2458">MATCH(1,OFFSET(DA167:DA178,$W$2,0,COUNT(DA167:DA178)-$W$2),0)</f>
        <v>#REF!</v>
      </c>
      <c r="DC167" s="4" t="e">
        <f t="shared" ref="DC167" ca="1" si="2459">$W$2+DB167</f>
        <v>#REF!</v>
      </c>
      <c r="DD167" s="693" t="str">
        <f ca="1">IF(LEFT($J167,7)="Clad Wo",IFERROR(VLOOKUP(INDEX(CZ167:CZ178,DC167),SPPWS,2,FALSE),"----"),IFERROR(VLOOKUP(INDEX(CZ167:CZ178,DC167),SPM,2,FALSE),"----"))</f>
        <v>----</v>
      </c>
      <c r="DE167" s="691" t="e">
        <f ca="1">MATCH(AC173,INDIRECT(BX167),-1)</f>
        <v>#REF!</v>
      </c>
      <c r="DF167" s="4" t="e" cm="1">
        <f t="array" aca="1" ref="DF167" ca="1">IF(AND(INDEX(INDIRECT(BY167),DE167,4)&gt;=$AB173,INDEX(INDIRECT(BY167),DE167,5)&gt;=$S167,INDEX(INDIRECT(BY167),DE167,6)&gt;=$R167),1,0)</f>
        <v>#REF!</v>
      </c>
      <c r="DG167" s="4" t="e">
        <f t="shared" ref="DG167" ca="1" si="2460">MATCH(1,OFFSET(DF167:DF178,$W$2,0,COUNT(DF167:DF178)-$W$2),0)</f>
        <v>#REF!</v>
      </c>
      <c r="DH167" s="4" t="e">
        <f t="shared" ref="DH167" ca="1" si="2461">$W$2+DG167</f>
        <v>#REF!</v>
      </c>
      <c r="DI167" s="692" t="str" cm="1">
        <f t="array" aca="1" ref="DI167" ca="1">IFERROR(VLOOKUP(INDEX(DE167:DE178,DH167),INDIRECT(BY167),2,FALSE),"----")</f>
        <v>----</v>
      </c>
      <c r="DJ167" s="691" t="e">
        <f ca="1">MATCH($AC173,SSEI,-1)</f>
        <v>#N/A</v>
      </c>
      <c r="DK167" s="4" t="e">
        <f ca="1">IF(AND(INDEX(SSM,DJ167,4)&gt;=$AB173,INDEX(SSM,DJ167,5)&gt;=$S167,INDEX(SSM,DJ167,6)&gt;=$R167),1,0)</f>
        <v>#N/A</v>
      </c>
      <c r="DL167" s="4" t="e">
        <f t="shared" ref="DL167" ca="1" si="2462">MATCH(1,OFFSET(DK167:DK178,$W$2,0,COUNT(DK167:DK178)-$W$2),0)</f>
        <v>#REF!</v>
      </c>
      <c r="DM167" s="4" t="e">
        <f t="shared" ref="DM167" ca="1" si="2463">$W$2+DL167</f>
        <v>#REF!</v>
      </c>
      <c r="DN167" s="692" t="str">
        <f ca="1">IFERROR(IF(AD174="Nested Steel Stud (wood infill)",VLOOKUP(INDEX(DJ167:DJ178,DM167),SSW,2,FALSE),VLOOKUP(INDEX(DJ167:DJ178,DM167),SSM,2,FALSE)),"----")</f>
        <v>----</v>
      </c>
      <c r="DO167" s="691" t="e">
        <f ca="1">MATCH($AC173,WSEI,-1)</f>
        <v>#N/A</v>
      </c>
      <c r="DP167" s="4" t="e">
        <f ca="1">IF(AND(INDEX(WSM,DO167,4)&gt;=$AB173,INDEX(WSM,DO167,5)&gt;=$S167,INDEX(WSM,DO167,6)&gt;=$R167),1,0)</f>
        <v>#N/A</v>
      </c>
      <c r="DQ167" s="4" t="e">
        <f t="shared" ref="DQ167" ca="1" si="2464">MATCH(1,OFFSET(DP167:DP178,$W$2,0,COUNT(DP167:DP178)-$W$2),0)</f>
        <v>#REF!</v>
      </c>
      <c r="DR167" s="4" t="e">
        <f t="shared" ref="DR167" ca="1" si="2465">$W$2+DQ167</f>
        <v>#REF!</v>
      </c>
      <c r="DS167" s="692" t="str">
        <f ca="1">IFERROR(VLOOKUP(INDEX(DO167:DO178,DR167),WSM,2,FALSE),"----")</f>
        <v>----</v>
      </c>
      <c r="DT167" s="691" t="e">
        <f ca="1">MATCH($AC173,STEI,-1)</f>
        <v>#N/A</v>
      </c>
      <c r="DU167" s="4" t="e">
        <f ca="1">IF(AND(INDEX(STM,DT167,4)&gt;=$AB173,INDEX(STM,DT167,5)&gt;=$S167,INDEX(STM,DT167,6)&gt;=$R167),1,0)</f>
        <v>#N/A</v>
      </c>
      <c r="DV167" s="4" t="e">
        <f t="shared" ref="DV167" ca="1" si="2466">MATCH(1,OFFSET(DU167:DU178,$W$2,0,COUNT(DU167:DU178)-$W$2),0)</f>
        <v>#REF!</v>
      </c>
      <c r="DW167" s="4" t="e">
        <f t="shared" ref="DW167" ca="1" si="2467">$W$2+DV167</f>
        <v>#REF!</v>
      </c>
      <c r="DX167" s="692" t="str">
        <f ca="1">IFERROR(VLOOKUP(INDEX(DT167:DT178,DW167),STM,2,FALSE),"----")</f>
        <v>----</v>
      </c>
      <c r="DY167" s="691" t="e">
        <f ca="1">MATCH($AC173,ELEI,-1)</f>
        <v>#N/A</v>
      </c>
      <c r="DZ167" s="4" t="e">
        <f ca="1">IF(AND(INDEX(ELM,DY167,4)&gt;=$AB173,INDEX(ELM,DY167,5)&gt;=$S167,INDEX(ELM,DY167,6)&gt;=$R167),1,0)</f>
        <v>#N/A</v>
      </c>
      <c r="EA167" s="4" t="e">
        <f t="shared" ref="EA167" ca="1" si="2468">MATCH(1,OFFSET(DZ167:DZ178,$W$2,0,COUNT(DZ167:DZ178)-$W$2),0)</f>
        <v>#REF!</v>
      </c>
      <c r="EB167" s="4" t="e">
        <f t="shared" ref="EB167" ca="1" si="2469">EA167+$W$2</f>
        <v>#REF!</v>
      </c>
      <c r="EC167" s="692" t="str">
        <f ca="1">IFERROR(VLOOKUP(INDEX(DY167:DY178,EB167),ELM,2,FALSE),"----")</f>
        <v>----</v>
      </c>
      <c r="ED167" s="691" t="e">
        <f ca="1">IF(LEFT($J167,7)="Clad Wo",MATCH($AC173,SPEIW,-1),MATCH($AC173,SPEI,-1))</f>
        <v>#N/A</v>
      </c>
      <c r="EE167" s="4" t="e">
        <f ca="1">IF(LEFT($J167,7)="Clad Wo",IF(AND(INDEX(SPPWS,ED167,4)&gt;=$AB173,INDEX(SPPWS,ED167,5)&gt;=$S167,INDEX(SPPWS,ED167,6)&gt;=$R167),1,0),IF(AND(INDEX(SPM,ED167,4)&gt;=$AB173,INDEX(SPM,ED167,5)&gt;=$S167,INDEX(SPM,ED167,6)&gt;=$R167),1,0))</f>
        <v>#N/A</v>
      </c>
      <c r="EF167" s="4" t="e">
        <f t="shared" ref="EF167" ca="1" si="2470">MATCH(1,OFFSET(EE167:EE178,$W$2,0,COUNT(EE167:EE178)-$W$2),0)</f>
        <v>#REF!</v>
      </c>
      <c r="EG167" s="4" t="e">
        <f t="shared" ref="EG167" ca="1" si="2471">$W$2+EF167</f>
        <v>#REF!</v>
      </c>
      <c r="EH167" s="692" t="str">
        <f ca="1">IF(LEFT($J167,7)="Clad Wo",IFERROR(VLOOKUP(INDEX(ED167:ED178,EG167),SPPWS,2,FALSE),"----"),IFERROR(VLOOKUP(INDEX(ED167:ED178,EG167),SPM,2,FALSE),"----"))</f>
        <v>----</v>
      </c>
    </row>
    <row r="168" spans="1:138" ht="15" customHeight="1" x14ac:dyDescent="0.25">
      <c r="A168" s="1085"/>
      <c r="B168" s="925"/>
      <c r="C168" s="926"/>
      <c r="D168" s="927"/>
      <c r="E168" s="995"/>
      <c r="F168" s="996"/>
      <c r="G168" s="997"/>
      <c r="H168" s="1062"/>
      <c r="I168" s="990"/>
      <c r="J168" s="908"/>
      <c r="K168" s="909"/>
      <c r="L168" s="1002"/>
      <c r="M168" s="923"/>
      <c r="N168" s="1042"/>
      <c r="O168" s="1018"/>
      <c r="P168" s="987"/>
      <c r="Q168" s="1015"/>
      <c r="R168" s="1012"/>
      <c r="S168" s="1006"/>
      <c r="T168" s="1007"/>
      <c r="U168" s="878"/>
      <c r="V168" s="881"/>
      <c r="W168" s="884"/>
      <c r="X168" s="884"/>
      <c r="Y168" s="887"/>
      <c r="Z168" s="887"/>
      <c r="AA168" s="887"/>
      <c r="AB168" s="1081"/>
      <c r="AC168" s="1078"/>
      <c r="AD168" s="1102" t="s">
        <v>38</v>
      </c>
      <c r="AE168" s="1103"/>
      <c r="AF168" s="1052"/>
      <c r="AG168" s="1053"/>
      <c r="AH168" s="1053"/>
      <c r="AI168" s="1066"/>
      <c r="AJ168" s="1067"/>
      <c r="AK168" s="156" t="str">
        <f t="shared" ca="1" si="2393"/>
        <v/>
      </c>
      <c r="AL168" s="1039"/>
      <c r="AM168" s="343" t="str">
        <f ca="1">IFERROR(Q167/12*ROUND(VLOOKUP(AF168,OFFSET(SSM,0,1),6,FALSE),2),"")</f>
        <v/>
      </c>
      <c r="AN168" t="str">
        <f t="shared" ca="1" si="2409"/>
        <v/>
      </c>
      <c r="AP168" s="122" t="str">
        <f t="shared" ref="AP168" si="2472">_xlfn.CONCAT(AR168,AS172)</f>
        <v/>
      </c>
      <c r="AQ168" s="683" t="str">
        <f t="shared" si="1353"/>
        <v/>
      </c>
      <c r="AR168" s="96" t="str">
        <f t="shared" si="2378"/>
        <v/>
      </c>
      <c r="AS168" s="96" t="str">
        <f>IF(COUNTIF(Vista_1,AF167)=1,"Vista_1",IF(COUNTIF(Vista_2,AF167)=1,"Vista_2",""))</f>
        <v/>
      </c>
      <c r="AT168" s="684" t="str">
        <f>AL167</f>
        <v/>
      </c>
      <c r="AU168" s="694" t="e">
        <f t="shared" ref="AU168" ca="1" si="2473">AU167-1</f>
        <v>#REF!</v>
      </c>
      <c r="AV168" s="686" t="str">
        <f ca="1">IFERROR(VLOOKUP(AU168,INDIRECT(AQ167),2,FALSE),"----")</f>
        <v>----</v>
      </c>
      <c r="AW168" s="694" t="e">
        <f t="shared" ref="AW168:AW169" ca="1" si="2474">AW167-1</f>
        <v>#REF!</v>
      </c>
      <c r="AX168" s="686" t="str">
        <f ca="1">IFERROR(VLOOKUP(AW168,INDIRECT(AQ168),2,FALSE),"----")</f>
        <v>----</v>
      </c>
      <c r="AY168" s="694" t="e">
        <f t="shared" ref="AY168:AY169" ca="1" si="2475">AY167-1</f>
        <v>#REF!</v>
      </c>
      <c r="AZ168" s="686" t="str">
        <f ca="1">IFERROR(VLOOKUP(AY168,INDIRECT(AQ169),2,FALSE),"----")</f>
        <v>----</v>
      </c>
      <c r="BA168" s="694" t="e">
        <f t="shared" ref="BA168:BA169" ca="1" si="2476">BA167-1</f>
        <v>#REF!</v>
      </c>
      <c r="BB168" s="686" t="str">
        <f ca="1">IFERROR(VLOOKUP(BA168,INDIRECT(AQ170),2,FALSE),"----")</f>
        <v>----</v>
      </c>
      <c r="BC168" s="694" t="e">
        <f t="shared" ref="BC168:BC169" ca="1" si="2477">BC167-1</f>
        <v>#REF!</v>
      </c>
      <c r="BD168" s="686" t="str">
        <f ca="1">IFERROR(VLOOKUP(BC168,INDIRECT(AQ171),2,FALSE),"----")</f>
        <v>----</v>
      </c>
      <c r="BE168" s="694" t="e">
        <f t="shared" ref="BE168" ca="1" si="2478">BE167-1</f>
        <v>#REF!</v>
      </c>
      <c r="BF168" s="686" t="str">
        <f ca="1">IFERROR(VLOOKUP(BE168,INDIRECT(AQ172),2,FALSE),"----")</f>
        <v>----</v>
      </c>
      <c r="BG168" s="694" t="e">
        <f t="shared" ref="BG168" ca="1" si="2479">BG167-1</f>
        <v>#REF!</v>
      </c>
      <c r="BH168" s="686" t="str">
        <f ca="1">IFERROR(VLOOKUP(BG168,INDIRECT(AQ173),2,FALSE),"----")</f>
        <v>----</v>
      </c>
      <c r="BI168" s="694" t="e">
        <f t="shared" ref="BI168:BI169" ca="1" si="2480">BI167-1</f>
        <v>#REF!</v>
      </c>
      <c r="BJ168" s="686" t="str">
        <f ca="1">IFERROR(VLOOKUP(BI168,INDIRECT(AQ174),2,FALSE),"----")</f>
        <v>----</v>
      </c>
      <c r="BK168" s="694" t="e">
        <f t="shared" ref="BK168:BK169" ca="1" si="2481">BK167-1</f>
        <v>#REF!</v>
      </c>
      <c r="BL168" s="686" t="str">
        <f ca="1">IFERROR(VLOOKUP(BK168,INDIRECT(AQ175),2,FALSE),"----")</f>
        <v>----</v>
      </c>
      <c r="BM168" s="694" t="e">
        <f t="shared" ref="BM168:BM169" ca="1" si="2482">BM167-1</f>
        <v>#REF!</v>
      </c>
      <c r="BN168" s="686" t="str">
        <f ca="1">IFERROR(VLOOKUP(BM168,INDIRECT(AQ176),2,FALSE),"----")</f>
        <v>----</v>
      </c>
      <c r="BO168" s="694" t="e">
        <f t="shared" ref="BO168:BO169" ca="1" si="2483">BO167-1</f>
        <v>#REF!</v>
      </c>
      <c r="BP168" s="686" t="str">
        <f ca="1">IFERROR(VLOOKUP(BO168,INDIRECT(AQ177),2,FALSE),"----")</f>
        <v>----</v>
      </c>
      <c r="BQ168" s="694" t="e">
        <f t="shared" ref="BQ168" ca="1" si="2484">BQ167-1</f>
        <v>#REF!</v>
      </c>
      <c r="BR168" s="686" t="str">
        <f ca="1">IFERROR(VLOOKUP(BQ168,INDIRECT(AQ178),2,FALSE),"----")</f>
        <v>----</v>
      </c>
      <c r="BS168" s="695">
        <f>IF(AI168="",1,IF(COUNTIF(AX167:AX178,AI168)=0,2,1))</f>
        <v>1</v>
      </c>
      <c r="BT168" s="696">
        <f>IF(AF168="",1,IF(AX167=".",2,1))</f>
        <v>1</v>
      </c>
      <c r="BU168" s="706"/>
      <c r="BV168" s="155">
        <f ca="1">IF(COUNTIF(CJ167:CJ178,AF168)=0,IF(AF168&lt;&gt;"",0,1),1)</f>
        <v>1</v>
      </c>
      <c r="BW168" s="157">
        <f ca="1">IFERROR(MATCH(AF168,CJ167:CJ178,0),1)</f>
        <v>1</v>
      </c>
      <c r="BX168" s="769"/>
      <c r="BY168" s="769"/>
      <c r="BZ168" s="1110"/>
      <c r="CA168" s="691" t="e">
        <f t="shared" ref="CA168:CA178" ca="1" si="2485">CA167-1</f>
        <v>#REF!</v>
      </c>
      <c r="CB168" s="4" t="e" cm="1">
        <f t="array" aca="1" ref="CB168" ca="1">IF(AND(INDEX(INDIRECT(BY167),CA168,4)&gt;=$AB167,INDEX(INDIRECT(BY167),CA168,5)&gt;=$S167,INDEX(INDIRECT(BY167),CA168,6)&gt;=$R167),1,0)</f>
        <v>#REF!</v>
      </c>
      <c r="CC168" s="4" t="e">
        <f t="shared" ref="CC168" ca="1" si="2486">MATCH(1,OFFSET(CB167:CB178,CD167,0,COUNT(CB167:CB178)-CD167),0)</f>
        <v>#REF!</v>
      </c>
      <c r="CD168" s="4" t="e">
        <f t="shared" ref="CD168:CD178" ca="1" si="2487">CD167+CC168</f>
        <v>#REF!</v>
      </c>
      <c r="CE168" s="692" t="str" cm="1">
        <f t="array" aca="1" ref="CE168" ca="1">IFERROR(VLOOKUP(INDEX(CA167:CA178,CD168),INDIRECT(BY167),2,FALSE),"----")</f>
        <v>----</v>
      </c>
      <c r="CF168" s="691" t="e">
        <f t="shared" ref="CF168:CF178" ca="1" si="2488">CF167-1</f>
        <v>#N/A</v>
      </c>
      <c r="CG168" s="4" t="e">
        <f ca="1">IF(AND(INDEX(SSM,CF168,4)&gt;=$AB167,INDEX(SSM,CF168,5)&gt;=$S167,INDEX(SSM,CF168,6)&gt;=$R167),1,0)</f>
        <v>#N/A</v>
      </c>
      <c r="CH168" s="4" t="e">
        <f t="shared" ref="CH168" ca="1" si="2489">MATCH(1,OFFSET(CG167:CG178,CI167,0,COUNT(CG167:CG178)-CI167),0)</f>
        <v>#REF!</v>
      </c>
      <c r="CI168" s="4" t="e">
        <f t="shared" ref="CI168:CI178" ca="1" si="2490">CI167+CH168</f>
        <v>#REF!</v>
      </c>
      <c r="CJ168" s="692" t="str">
        <f ca="1">IFERROR(IF(AD168="Nested Steel Stud (wood infill)",VLOOKUP(INDEX(CF167:CF178,CI168),SSW,2,FALSE),VLOOKUP(INDEX(CF167:CF178,CI168),SSM,2,FALSE)),"----")</f>
        <v>----</v>
      </c>
      <c r="CK168" s="691" t="e">
        <f t="shared" ref="CK168:CK178" ca="1" si="2491">CK167-1</f>
        <v>#N/A</v>
      </c>
      <c r="CL168" s="4" t="e">
        <f ca="1">IF(AND(INDEX(WSM,CK168,4)&gt;=$AB167,INDEX(WSM,CK168,5)&gt;=$S167,INDEX(WSM,CK168,6)&gt;=$R167),1,0)</f>
        <v>#N/A</v>
      </c>
      <c r="CM168" s="4" t="e">
        <f t="shared" ref="CM168" ca="1" si="2492">MATCH(1,OFFSET(CL167:CL178,CN167,0,COUNT(CL167:CL178)-CN167),0)</f>
        <v>#REF!</v>
      </c>
      <c r="CN168" s="4" t="e">
        <f t="shared" ref="CN168:CN178" ca="1" si="2493">CM168+CN167</f>
        <v>#REF!</v>
      </c>
      <c r="CO168" s="692" t="str">
        <f ca="1">IFERROR(VLOOKUP(INDEX(CK167:CK178,CN168),WSM,2,FALSE),"----")</f>
        <v>----</v>
      </c>
      <c r="CP168" s="691" t="e">
        <f t="shared" ref="CP168:CP178" ca="1" si="2494">CP167-1</f>
        <v>#N/A</v>
      </c>
      <c r="CQ168" s="4" t="e">
        <f ca="1">IF(AND(INDEX(STM,CP168,4)&gt;=$AB167,INDEX(STM,CP168,5)&gt;=$S167,INDEX(STM,CP168,6)&gt;=$R167),1,0)</f>
        <v>#N/A</v>
      </c>
      <c r="CR168" s="4" t="e">
        <f t="shared" ref="CR168" ca="1" si="2495">MATCH(1,OFFSET(CQ167:CQ178,CS167,0,COUNT(CQ167:CQ178)-CS167),0)</f>
        <v>#REF!</v>
      </c>
      <c r="CS168" s="4" t="e">
        <f t="shared" ref="CS168:CS178" ca="1" si="2496">CR168+CS167</f>
        <v>#REF!</v>
      </c>
      <c r="CT168" s="692" t="str">
        <f ca="1">IFERROR(VLOOKUP(INDEX(CP167:CP178,CS168),STM,2,FALSE),"----")</f>
        <v>----</v>
      </c>
      <c r="CU168" s="691" t="e">
        <f t="shared" ref="CU168:CU178" ca="1" si="2497">CU167-1</f>
        <v>#N/A</v>
      </c>
      <c r="CV168" s="4" t="e">
        <f ca="1">IF(AND(INDEX(ELM,CU168,4)&gt;=$AB167,INDEX(ELM,CU168,5)&gt;=$S167,INDEX(ELM,CU168,6)&gt;=$R167),1,0)</f>
        <v>#N/A</v>
      </c>
      <c r="CW168" s="4" t="e">
        <f t="shared" ref="CW168" ca="1" si="2498">MATCH(1,OFFSET(CV167:CV178,CX167,0,COUNT(CV167:CV178)-CX167),0)</f>
        <v>#REF!</v>
      </c>
      <c r="CX168" s="4" t="e">
        <f t="shared" ref="CX168:CX178" ca="1" si="2499">CW168+CX167</f>
        <v>#REF!</v>
      </c>
      <c r="CY168" s="692" t="str">
        <f ca="1">IFERROR(VLOOKUP(INDEX(CU167:CU178,CX168),ELM,2,FALSE),"----")</f>
        <v>----</v>
      </c>
      <c r="CZ168" s="691" t="e">
        <f t="shared" ref="CZ168:CZ178" ca="1" si="2500">CZ167-1</f>
        <v>#N/A</v>
      </c>
      <c r="DA168" s="4" t="e">
        <f ca="1">IF(LEFT($J167,7)="Clad Wo",IF(AND(INDEX(SPPWS,CZ168,4)&gt;=$AB167,INDEX(SPPWS,CZ168,5)&gt;=$S167,INDEX(SPPWS,CZ168,6)&gt;=$R167),1,0),IF(AND(INDEX(SPM,CZ168,4)&gt;=$AB167,INDEX(SPM,CZ168,5)&gt;=$S167,INDEX(SPM,CZ168,6)&gt;=$R167),1,0))</f>
        <v>#N/A</v>
      </c>
      <c r="DB168" s="4" t="e">
        <f t="shared" ref="DB168" ca="1" si="2501">MATCH(1,OFFSET(DA167:DA178,DC167,0,COUNT(DA167:DA178)-DC167),0)</f>
        <v>#REF!</v>
      </c>
      <c r="DC168" s="4" t="e">
        <f t="shared" ref="DC168:DC178" ca="1" si="2502">DC167+DB168</f>
        <v>#REF!</v>
      </c>
      <c r="DD168" s="693" t="str">
        <f ca="1">IF(LEFT($J167,7)="Clad Wo",IFERROR(VLOOKUP(INDEX(CZ167:CZ178,DC168),SPPWS,2,FALSE),"----"),IFERROR(VLOOKUP(INDEX(CZ167:CZ178,DC168),SPM,2,FALSE),"----"))</f>
        <v>----</v>
      </c>
      <c r="DE168" s="691" t="e">
        <f t="shared" ref="DE168:DE178" ca="1" si="2503">DE167-1</f>
        <v>#REF!</v>
      </c>
      <c r="DF168" s="4" t="e" cm="1">
        <f t="array" aca="1" ref="DF168" ca="1">IF(AND(INDEX(INDIRECT(BY167),DE168,4)&gt;=$AB173,INDEX(INDIRECT(BY167),DE168,5)&gt;=$S167,INDEX(INDIRECT(BY167),DE168,6)&gt;=$R167),1,0)</f>
        <v>#REF!</v>
      </c>
      <c r="DG168" s="4" t="e">
        <f t="shared" ref="DG168" ca="1" si="2504">MATCH(1,OFFSET(DF167:DF178,DH167,0,COUNT(DF167:DF178)-DH167),0)</f>
        <v>#REF!</v>
      </c>
      <c r="DH168" s="4" t="e">
        <f t="shared" ref="DH168:DH178" ca="1" si="2505">DH167+DG168</f>
        <v>#REF!</v>
      </c>
      <c r="DI168" s="692" t="str" cm="1">
        <f t="array" aca="1" ref="DI168" ca="1">IFERROR(VLOOKUP(INDEX(DE167:DE178,DH168),INDIRECT(BY167),2,FALSE),"----")</f>
        <v>----</v>
      </c>
      <c r="DJ168" s="691" t="e">
        <f t="shared" ref="DJ168:DJ178" ca="1" si="2506">DJ167-1</f>
        <v>#N/A</v>
      </c>
      <c r="DK168" s="4" t="e">
        <f ca="1">IF(AND(INDEX(SSM,DJ168,4)&gt;=$AB173,INDEX(SSM,DJ168,5)&gt;=$S167,INDEX(SSM,DJ168,6)&gt;=$R167),1,0)</f>
        <v>#N/A</v>
      </c>
      <c r="DL168" s="4" t="e">
        <f t="shared" ref="DL168" ca="1" si="2507">MATCH(1,OFFSET(DK167:DK178,DM167,0,COUNT(DK167:DK178)-DM167),0)</f>
        <v>#REF!</v>
      </c>
      <c r="DM168" s="4" t="e">
        <f t="shared" ref="DM168:DM178" ca="1" si="2508">DL168+DM167</f>
        <v>#REF!</v>
      </c>
      <c r="DN168" s="692" t="str">
        <f ca="1">IFERROR(IF(AD174="Nested Steel Stud (wood infill)",VLOOKUP(INDEX(DJ167:DJ178,DM168),SSW,2,FALSE),VLOOKUP(INDEX(DJ167:DJ178,DM168),SSM,2,FALSE)),"----")</f>
        <v>----</v>
      </c>
      <c r="DO168" s="691" t="e">
        <f t="shared" ref="DO168:DO178" ca="1" si="2509">DO167-1</f>
        <v>#N/A</v>
      </c>
      <c r="DP168" s="4" t="e">
        <f ca="1">IF(AND(INDEX(WSM,DO168,4)&gt;=$AB173,INDEX(WSM,DO168,5)&gt;=$S167,INDEX(WSM,DO168,6)&gt;=$R167),1,0)</f>
        <v>#N/A</v>
      </c>
      <c r="DQ168" s="4" t="e">
        <f t="shared" ref="DQ168" ca="1" si="2510">MATCH(1,OFFSET(DP167:DP178,DR167,0,COUNT(DP167:DP178)-DR167),0)</f>
        <v>#REF!</v>
      </c>
      <c r="DR168" s="4" t="e">
        <f t="shared" ref="DR168:DR178" ca="1" si="2511">DQ168+DR167</f>
        <v>#REF!</v>
      </c>
      <c r="DS168" s="692" t="str">
        <f ca="1">IFERROR(VLOOKUP(INDEX(DO167:DO178,DR168),WSM,2,FALSE),"----")</f>
        <v>----</v>
      </c>
      <c r="DT168" s="691" t="e">
        <f t="shared" ref="DT168:DT178" ca="1" si="2512">DT167-1</f>
        <v>#N/A</v>
      </c>
      <c r="DU168" s="4" t="e">
        <f ca="1">IF(AND(INDEX(STM,DT168,4)&gt;=$AB173,INDEX(STM,DT168,5)&gt;=$S167,INDEX(STM,DT168,6)&gt;=$R167),1,0)</f>
        <v>#N/A</v>
      </c>
      <c r="DV168" s="4" t="e">
        <f t="shared" ref="DV168" ca="1" si="2513">MATCH(1,OFFSET(DU167:DU178,DW167,0,COUNT(DU167:DU178)-DW167),0)</f>
        <v>#REF!</v>
      </c>
      <c r="DW168" s="4" t="e">
        <f t="shared" ref="DW168:DW178" ca="1" si="2514">DV168+DW167</f>
        <v>#REF!</v>
      </c>
      <c r="DX168" s="692" t="str">
        <f ca="1">IFERROR(VLOOKUP(INDEX(DT167:DT178,DW168),STM,2,FALSE),"----")</f>
        <v>----</v>
      </c>
      <c r="DY168" s="691" t="e">
        <f t="shared" ref="DY168:DY178" ca="1" si="2515">DY167-1</f>
        <v>#N/A</v>
      </c>
      <c r="DZ168" s="4" t="e">
        <f ca="1">IF(AND(INDEX(ELM,DY168,4)&gt;=$AB173,INDEX(ELM,DY168,5)&gt;=$S167,INDEX(ELM,DY168,6)&gt;=$R167),1,0)</f>
        <v>#N/A</v>
      </c>
      <c r="EA168" s="4" t="e">
        <f t="shared" ref="EA168" ca="1" si="2516">MATCH(1,OFFSET(DZ167:DZ178,EB167,0,COUNT(DZ167:DZ178)-EB167),0)</f>
        <v>#REF!</v>
      </c>
      <c r="EB168" s="4" t="e">
        <f t="shared" ref="EB168:EB178" ca="1" si="2517">EA168+EB167</f>
        <v>#REF!</v>
      </c>
      <c r="EC168" s="692" t="str">
        <f ca="1">IFERROR(VLOOKUP(INDEX(DY167:DY178,EB168),ELM,2,FALSE),"----")</f>
        <v>----</v>
      </c>
      <c r="ED168" s="691" t="e">
        <f t="shared" ref="ED168:ED178" ca="1" si="2518">ED167-1</f>
        <v>#N/A</v>
      </c>
      <c r="EE168" s="4" t="e">
        <f ca="1">IF(LEFT($J167,7)="Clad Wo",IF(AND(INDEX(SPPWS,ED168,4)&gt;=$AB173,INDEX(SPPWS,ED168,5)&gt;=$S167,INDEX(SPPWS,ED168,6)&gt;=$R167),1,0),IF(AND(INDEX(SPM,ED168,4)&gt;=$AB173,INDEX(SPM,ED168,5)&gt;=$S167,INDEX(SPM,ED168,6)&gt;=$R167),1,0))</f>
        <v>#N/A</v>
      </c>
      <c r="EF168" s="4" t="e">
        <f t="shared" ref="EF168" ca="1" si="2519">MATCH(1,OFFSET(EE167:EE178,EG167,0,COUNT(EE167:EE178)-EG167),0)</f>
        <v>#REF!</v>
      </c>
      <c r="EG168" s="4" t="e">
        <f t="shared" ref="EG168:EG178" ca="1" si="2520">EG167+EF168</f>
        <v>#REF!</v>
      </c>
      <c r="EH168" s="692" t="str">
        <f ca="1">IF(LEFT($J167,7)="Clad Wo",IFERROR(VLOOKUP(INDEX(ED167:ED178,EG168),SPPWS,2,FALSE),"----"),IFERROR(VLOOKUP(INDEX(ED167:ED178,EG168),SPM,2,FALSE),"----"))</f>
        <v>----</v>
      </c>
    </row>
    <row r="169" spans="1:138" ht="15" customHeight="1" x14ac:dyDescent="0.25">
      <c r="A169" s="1085"/>
      <c r="B169" s="925"/>
      <c r="C169" s="926"/>
      <c r="D169" s="927"/>
      <c r="E169" s="995"/>
      <c r="F169" s="996"/>
      <c r="G169" s="997"/>
      <c r="H169" s="1062"/>
      <c r="I169" s="990"/>
      <c r="J169" s="908"/>
      <c r="K169" s="909"/>
      <c r="L169" s="1002"/>
      <c r="M169" s="923"/>
      <c r="N169" s="1042"/>
      <c r="O169" s="1018"/>
      <c r="P169" s="987"/>
      <c r="Q169" s="1015"/>
      <c r="R169" s="1012"/>
      <c r="S169" s="1006"/>
      <c r="T169" s="1007"/>
      <c r="U169" s="878"/>
      <c r="V169" s="881"/>
      <c r="W169" s="884"/>
      <c r="X169" s="884"/>
      <c r="Y169" s="887"/>
      <c r="Z169" s="887"/>
      <c r="AA169" s="887"/>
      <c r="AB169" s="1081"/>
      <c r="AC169" s="1078"/>
      <c r="AD169" s="1070" t="s">
        <v>333</v>
      </c>
      <c r="AE169" s="1071"/>
      <c r="AF169" s="1052"/>
      <c r="AG169" s="1053"/>
      <c r="AH169" s="1053"/>
      <c r="AI169" s="1066"/>
      <c r="AJ169" s="1067"/>
      <c r="AK169" s="154" t="str">
        <f t="shared" ca="1" si="2393"/>
        <v/>
      </c>
      <c r="AL169" s="1039"/>
      <c r="AM169" s="344" t="str">
        <f ca="1">IFERROR(Q167/12*ROUND(VLOOKUP(AF169,OFFSET(WSM,0,1),6,FALSE),2),"")</f>
        <v/>
      </c>
      <c r="AN169" t="str">
        <f t="shared" ca="1" si="2409"/>
        <v/>
      </c>
      <c r="AP169" s="122" t="str">
        <f t="shared" ref="AP169" si="2521">_xlfn.CONCAT(AR169,AS172)</f>
        <v/>
      </c>
      <c r="AQ169" s="683" t="str">
        <f t="shared" si="1353"/>
        <v/>
      </c>
      <c r="AR169" s="4" t="str">
        <f t="shared" si="2378"/>
        <v/>
      </c>
      <c r="AS169" s="4"/>
      <c r="AT169" s="697" t="str">
        <f>AL167</f>
        <v/>
      </c>
      <c r="AU169" s="694" t="e">
        <f t="shared" ca="1" si="1370"/>
        <v>#REF!</v>
      </c>
      <c r="AV169" s="686" t="str">
        <f ca="1">IFERROR(VLOOKUP(AU169,INDIRECT(AQ167),2,FALSE),"----")</f>
        <v>----</v>
      </c>
      <c r="AW169" s="694" t="e">
        <f t="shared" ca="1" si="2474"/>
        <v>#REF!</v>
      </c>
      <c r="AX169" s="686" t="str">
        <f ca="1">IFERROR(VLOOKUP(AW169,INDIRECT(AQ168),2,FALSE),"----")</f>
        <v>----</v>
      </c>
      <c r="AY169" s="694" t="e">
        <f t="shared" ca="1" si="2475"/>
        <v>#REF!</v>
      </c>
      <c r="AZ169" s="686" t="str">
        <f ca="1">IFERROR(VLOOKUP(AY169,INDIRECT(AQ169),2,FALSE),"----")</f>
        <v>----</v>
      </c>
      <c r="BA169" s="694" t="e">
        <f t="shared" ca="1" si="2476"/>
        <v>#REF!</v>
      </c>
      <c r="BB169" s="686" t="str">
        <f ca="1">IFERROR(VLOOKUP(BA169,INDIRECT(AQ170),2,FALSE),"----")</f>
        <v>----</v>
      </c>
      <c r="BC169" s="694" t="e">
        <f t="shared" ca="1" si="2477"/>
        <v>#REF!</v>
      </c>
      <c r="BD169" s="686" t="str">
        <f ca="1">IFERROR(VLOOKUP(BC169,INDIRECT(AQ171),2,FALSE),"----")</f>
        <v>----</v>
      </c>
      <c r="BE169" s="694" t="e">
        <f t="shared" ca="1" si="1375"/>
        <v>#REF!</v>
      </c>
      <c r="BF169" s="686" t="str">
        <f ca="1">IFERROR(VLOOKUP(BE169,INDIRECT(AQ172),2,FALSE),"----")</f>
        <v>----</v>
      </c>
      <c r="BG169" s="694" t="e">
        <f t="shared" ca="1" si="1376"/>
        <v>#REF!</v>
      </c>
      <c r="BH169" s="686" t="str">
        <f ca="1">IFERROR(VLOOKUP(BG169,INDIRECT(AQ173),2,FALSE),"----")</f>
        <v>----</v>
      </c>
      <c r="BI169" s="694" t="e">
        <f t="shared" ca="1" si="2480"/>
        <v>#REF!</v>
      </c>
      <c r="BJ169" s="686" t="str">
        <f ca="1">IFERROR(VLOOKUP(BI169,INDIRECT(AQ174),2,FALSE),"----")</f>
        <v>----</v>
      </c>
      <c r="BK169" s="694" t="e">
        <f t="shared" ca="1" si="2481"/>
        <v>#REF!</v>
      </c>
      <c r="BL169" s="686" t="str">
        <f ca="1">IFERROR(VLOOKUP(BK169,INDIRECT(AQ175),2,FALSE),"----")</f>
        <v>----</v>
      </c>
      <c r="BM169" s="694" t="e">
        <f t="shared" ca="1" si="2482"/>
        <v>#REF!</v>
      </c>
      <c r="BN169" s="686" t="str">
        <f ca="1">IFERROR(VLOOKUP(BM169,INDIRECT(AQ176),2,FALSE),"----")</f>
        <v>----</v>
      </c>
      <c r="BO169" s="694" t="e">
        <f t="shared" ca="1" si="2483"/>
        <v>#REF!</v>
      </c>
      <c r="BP169" s="686" t="str">
        <f ca="1">IFERROR(VLOOKUP(BO169,INDIRECT(AQ177),2,FALSE),"----")</f>
        <v>----</v>
      </c>
      <c r="BQ169" s="694" t="e">
        <f t="shared" ca="1" si="1381"/>
        <v>#REF!</v>
      </c>
      <c r="BR169" s="686" t="str">
        <f ca="1">IFERROR(VLOOKUP(BQ169,INDIRECT(AQ178),2,FALSE),"----")</f>
        <v>----</v>
      </c>
      <c r="BS169" s="695">
        <f>IF(AI169="",1,IF(COUNTIF(AZ167:AZ178,AI169)=0,2,1))</f>
        <v>1</v>
      </c>
      <c r="BT169" s="696">
        <f>IF(AF169="",1,IF(AZ167=".",2,1))</f>
        <v>1</v>
      </c>
      <c r="BU169" s="706"/>
      <c r="BV169" s="155">
        <f ca="1">IF(COUNTIF(CO167:CO178,AF169)=0,IF(AF169&lt;&gt;"",0,1),1)</f>
        <v>1</v>
      </c>
      <c r="BW169" s="157">
        <f ca="1">IFERROR(MATCH(AF169,CO167:CO178,0),1)</f>
        <v>1</v>
      </c>
      <c r="BX169" s="769"/>
      <c r="BY169" s="769"/>
      <c r="BZ169" s="1110"/>
      <c r="CA169" s="691" t="e">
        <f t="shared" ca="1" si="2485"/>
        <v>#REF!</v>
      </c>
      <c r="CB169" s="4" t="e" cm="1">
        <f t="array" aca="1" ref="CB169" ca="1">IF(AND(INDEX(INDIRECT(BY167),CA169,4)&gt;=$AB167,INDEX(INDIRECT(BY167),CA169,5)&gt;=$S167,INDEX(INDIRECT(BY167),CA169,6)&gt;=$R167),1,0)</f>
        <v>#REF!</v>
      </c>
      <c r="CC169" s="4" t="e">
        <f t="shared" ref="CC169" ca="1" si="2522">MATCH(1,OFFSET(CB167:CB178,CD168,0,COUNT(CB167:CB178)-CD168),0)</f>
        <v>#REF!</v>
      </c>
      <c r="CD169" s="4" t="e">
        <f t="shared" ca="1" si="2487"/>
        <v>#REF!</v>
      </c>
      <c r="CE169" s="692" t="str" cm="1">
        <f t="array" aca="1" ref="CE169" ca="1">IFERROR(VLOOKUP(INDEX(CA167:CA178,CD169),INDIRECT(BY167),2,FALSE),"----")</f>
        <v>----</v>
      </c>
      <c r="CF169" s="691" t="e">
        <f t="shared" ca="1" si="2488"/>
        <v>#N/A</v>
      </c>
      <c r="CG169" s="4" t="e">
        <f ca="1">IF(AND(INDEX(SSM,CF169,4)&gt;=$AB167,INDEX(SSM,CF169,5)&gt;=$S167,INDEX(SSM,CF169,6)&gt;=$R167),1,0)</f>
        <v>#N/A</v>
      </c>
      <c r="CH169" s="4" t="e">
        <f t="shared" ref="CH169" ca="1" si="2523">MATCH(1,OFFSET(CG167:CG178,CI168,0,COUNT(CG167:CG178)-CI168),0)</f>
        <v>#REF!</v>
      </c>
      <c r="CI169" s="4" t="e">
        <f t="shared" ca="1" si="2490"/>
        <v>#REF!</v>
      </c>
      <c r="CJ169" s="692" t="str">
        <f ca="1">IFERROR(IF(AD168="Nested Steel Stud (wood infill)",VLOOKUP(INDEX(CF167:CF178,CI169),SSW,2,FALSE),VLOOKUP(INDEX(CF167:CF178,CI169),SSM,2,FALSE)),"----")</f>
        <v>----</v>
      </c>
      <c r="CK169" s="691" t="e">
        <f t="shared" ca="1" si="2491"/>
        <v>#N/A</v>
      </c>
      <c r="CL169" s="4" t="e">
        <f ca="1">IF(AND(INDEX(WSM,CK169,4)&gt;=$AB167,INDEX(WSM,CK169,5)&gt;=$S167,INDEX(WSM,CK169,6)&gt;=$R167),1,0)</f>
        <v>#N/A</v>
      </c>
      <c r="CM169" s="4" t="e">
        <f t="shared" ref="CM169" ca="1" si="2524">MATCH(1,OFFSET(CL167:CL178,CN168,0,COUNT(CL167:CL178)-CN168),0)</f>
        <v>#REF!</v>
      </c>
      <c r="CN169" s="4" t="e">
        <f t="shared" ca="1" si="2493"/>
        <v>#REF!</v>
      </c>
      <c r="CO169" s="692" t="str">
        <f ca="1">IFERROR(VLOOKUP(INDEX(CK167:CK178,CN169),WSM,2,FALSE),"----")</f>
        <v>----</v>
      </c>
      <c r="CP169" s="691" t="e">
        <f t="shared" ca="1" si="2494"/>
        <v>#N/A</v>
      </c>
      <c r="CQ169" s="4" t="e">
        <f ca="1">IF(AND(INDEX(STM,CP169,4)&gt;=$AB167,INDEX(STM,CP169,5)&gt;=$S167,INDEX(STM,CP169,6)&gt;=$R167),1,0)</f>
        <v>#N/A</v>
      </c>
      <c r="CR169" s="4" t="e">
        <f t="shared" ref="CR169" ca="1" si="2525">MATCH(1,OFFSET(CQ167:CQ178,CS168,0,COUNT(CQ167:CQ178)-CS168),0)</f>
        <v>#REF!</v>
      </c>
      <c r="CS169" s="4" t="e">
        <f t="shared" ca="1" si="2496"/>
        <v>#REF!</v>
      </c>
      <c r="CT169" s="692" t="str">
        <f ca="1">IFERROR(VLOOKUP(INDEX(CP167:CP178,CS169),STM,2,FALSE),"----")</f>
        <v>----</v>
      </c>
      <c r="CU169" s="691" t="e">
        <f t="shared" ca="1" si="2497"/>
        <v>#N/A</v>
      </c>
      <c r="CV169" s="4" t="e">
        <f ca="1">IF(AND(INDEX(ELM,CU169,4)&gt;=$AB167,INDEX(ELM,CU169,5)&gt;=$S167,INDEX(ELM,CU169,6)&gt;=$R167),1,0)</f>
        <v>#N/A</v>
      </c>
      <c r="CW169" s="4" t="e">
        <f t="shared" ref="CW169" ca="1" si="2526">MATCH(1,OFFSET(CV167:CV178,CX168,0,COUNT(CV167:CV178)-CX168),0)</f>
        <v>#REF!</v>
      </c>
      <c r="CX169" s="4" t="e">
        <f t="shared" ca="1" si="2499"/>
        <v>#REF!</v>
      </c>
      <c r="CY169" s="692" t="str">
        <f ca="1">IFERROR(VLOOKUP(INDEX(CU167:CU178,CX169),ELM,2,FALSE),"----")</f>
        <v>----</v>
      </c>
      <c r="CZ169" s="691" t="e">
        <f t="shared" ca="1" si="2500"/>
        <v>#N/A</v>
      </c>
      <c r="DA169" s="4" t="e">
        <f ca="1">IF(LEFT($J167,7)="Clad Wo",IF(AND(INDEX(SPPWS,CZ169,4)&gt;=$AB167,INDEX(SPPWS,CZ169,5)&gt;=$S167,INDEX(SPPWS,CZ169,6)&gt;=$R167),1,0),IF(AND(INDEX(SPM,CZ169,4)&gt;=$AB167,INDEX(SPM,CZ169,5)&gt;=$S167,INDEX(SPM,CZ169,6)&gt;=$R167),1,0))</f>
        <v>#N/A</v>
      </c>
      <c r="DB169" s="4" t="e">
        <f t="shared" ref="DB169" ca="1" si="2527">MATCH(1,OFFSET(DA167:DA178,DC168,0,COUNT(DA167:DA178)-DC168),0)</f>
        <v>#REF!</v>
      </c>
      <c r="DC169" s="4" t="e">
        <f t="shared" ca="1" si="2502"/>
        <v>#REF!</v>
      </c>
      <c r="DD169" s="693" t="str">
        <f ca="1">IF(LEFT($J167,7)="Clad Wo",IFERROR(VLOOKUP(INDEX(CZ167:CZ178,DC169),SPPWS,2,FALSE),"----"),IFERROR(VLOOKUP(INDEX(CZ167:CZ178,DC169),SPM,2,FALSE),"----"))</f>
        <v>----</v>
      </c>
      <c r="DE169" s="691" t="e">
        <f t="shared" ca="1" si="2503"/>
        <v>#REF!</v>
      </c>
      <c r="DF169" s="4" t="e" cm="1">
        <f t="array" aca="1" ref="DF169" ca="1">IF(AND(INDEX(INDIRECT(BY167),DE169,4)&gt;=$AB173,INDEX(INDIRECT(BY167),DE169,5)&gt;=$S167,INDEX(INDIRECT(BY167),DE169,6)&gt;=$R167),1,0)</f>
        <v>#REF!</v>
      </c>
      <c r="DG169" s="4" t="e">
        <f t="shared" ref="DG169" ca="1" si="2528">MATCH(1,OFFSET(DF167:DF178,DH168,0,COUNT(DF167:DF178)-DH168),0)</f>
        <v>#REF!</v>
      </c>
      <c r="DH169" s="4" t="e">
        <f t="shared" ca="1" si="2505"/>
        <v>#REF!</v>
      </c>
      <c r="DI169" s="692" t="str" cm="1">
        <f t="array" aca="1" ref="DI169" ca="1">IFERROR(VLOOKUP(INDEX(DE167:DE178,DH169),INDIRECT(BY167),2,FALSE),"----")</f>
        <v>----</v>
      </c>
      <c r="DJ169" s="691" t="e">
        <f t="shared" ca="1" si="2506"/>
        <v>#N/A</v>
      </c>
      <c r="DK169" s="4" t="e">
        <f ca="1">IF(AND(INDEX(SSM,DJ169,4)&gt;=$AB173,INDEX(SSM,DJ169,5)&gt;=$S167,INDEX(SSM,DJ169,6)&gt;=$R167),1,0)</f>
        <v>#N/A</v>
      </c>
      <c r="DL169" s="4" t="e">
        <f t="shared" ref="DL169" ca="1" si="2529">MATCH(1,OFFSET(DK167:DK178,DM168,0,COUNT(DK167:DK178)-DM168),0)</f>
        <v>#REF!</v>
      </c>
      <c r="DM169" s="4" t="e">
        <f t="shared" ca="1" si="2508"/>
        <v>#REF!</v>
      </c>
      <c r="DN169" s="692" t="str">
        <f ca="1">IFERROR(IF(AD174="Nested Steel Stud (wood infill)",VLOOKUP(INDEX(DJ167:DJ178,DM169),SSW,2,FALSE),VLOOKUP(INDEX(DJ167:DJ178,DM169),SSM,2,FALSE)),"----")</f>
        <v>----</v>
      </c>
      <c r="DO169" s="691" t="e">
        <f t="shared" ca="1" si="2509"/>
        <v>#N/A</v>
      </c>
      <c r="DP169" s="4" t="e">
        <f ca="1">IF(AND(INDEX(WSM,DO169,4)&gt;=$AB173,INDEX(WSM,DO169,5)&gt;=$S167,INDEX(WSM,DO169,6)&gt;=$R167),1,0)</f>
        <v>#N/A</v>
      </c>
      <c r="DQ169" s="4" t="e">
        <f t="shared" ref="DQ169" ca="1" si="2530">MATCH(1,OFFSET(DP167:DP178,DR168,0,COUNT(DP167:DP178)-DR168),0)</f>
        <v>#REF!</v>
      </c>
      <c r="DR169" s="4" t="e">
        <f t="shared" ca="1" si="2511"/>
        <v>#REF!</v>
      </c>
      <c r="DS169" s="692" t="str">
        <f ca="1">IFERROR(VLOOKUP(INDEX(DO167:DO178,DR169),WSM,2,FALSE),"----")</f>
        <v>----</v>
      </c>
      <c r="DT169" s="691" t="e">
        <f t="shared" ca="1" si="2512"/>
        <v>#N/A</v>
      </c>
      <c r="DU169" s="4" t="e">
        <f ca="1">IF(AND(INDEX(STM,DT169,4)&gt;=$AB173,INDEX(STM,DT169,5)&gt;=$S167,INDEX(STM,DT169,6)&gt;=$R167),1,0)</f>
        <v>#N/A</v>
      </c>
      <c r="DV169" s="4" t="e">
        <f t="shared" ref="DV169" ca="1" si="2531">MATCH(1,OFFSET(DU167:DU178,DW168,0,COUNT(DU167:DU178)-DW168),0)</f>
        <v>#REF!</v>
      </c>
      <c r="DW169" s="4" t="e">
        <f t="shared" ca="1" si="2514"/>
        <v>#REF!</v>
      </c>
      <c r="DX169" s="692" t="str">
        <f ca="1">IFERROR(VLOOKUP(INDEX(DT167:DT178,DW169),STM,2,FALSE),"----")</f>
        <v>----</v>
      </c>
      <c r="DY169" s="691" t="e">
        <f t="shared" ca="1" si="2515"/>
        <v>#N/A</v>
      </c>
      <c r="DZ169" s="4" t="e">
        <f ca="1">IF(AND(INDEX(ELM,DY169,4)&gt;=$AB173,INDEX(ELM,DY169,5)&gt;=$S167,INDEX(ELM,DY169,6)&gt;=$R167),1,0)</f>
        <v>#N/A</v>
      </c>
      <c r="EA169" s="4" t="e">
        <f t="shared" ref="EA169" ca="1" si="2532">MATCH(1,OFFSET(DZ167:DZ178,EB168,0,COUNT(DZ167:DZ178)-EB168),0)</f>
        <v>#REF!</v>
      </c>
      <c r="EB169" s="4" t="e">
        <f t="shared" ca="1" si="2517"/>
        <v>#REF!</v>
      </c>
      <c r="EC169" s="692" t="str">
        <f ca="1">IFERROR(VLOOKUP(INDEX(DY167:DY178,EB169),ELM,2,FALSE),"----")</f>
        <v>----</v>
      </c>
      <c r="ED169" s="691" t="e">
        <f t="shared" ca="1" si="2518"/>
        <v>#N/A</v>
      </c>
      <c r="EE169" s="4" t="e">
        <f ca="1">IF(LEFT($J167,7)="Clad Wo",IF(AND(INDEX(SPPWS,ED169,4)&gt;=$AB173,INDEX(SPPWS,ED169,5)&gt;=$S167,INDEX(SPPWS,ED169,6)&gt;=$R167),1,0),IF(AND(INDEX(SPM,ED169,4)&gt;=$AB173,INDEX(SPM,ED169,5)&gt;=$S167,INDEX(SPM,ED169,6)&gt;=$R167),1,0))</f>
        <v>#N/A</v>
      </c>
      <c r="EF169" s="4" t="e">
        <f t="shared" ref="EF169" ca="1" si="2533">MATCH(1,OFFSET(EE167:EE178,EG168,0,COUNT(EE167:EE178)-EG168),0)</f>
        <v>#REF!</v>
      </c>
      <c r="EG169" s="4" t="e">
        <f t="shared" ca="1" si="2520"/>
        <v>#REF!</v>
      </c>
      <c r="EH169" s="692" t="str">
        <f ca="1">IF(LEFT($J167,7)="Clad Wo",IFERROR(VLOOKUP(INDEX(ED167:ED178,EG169),SPPWS,2,FALSE),"----"),IFERROR(VLOOKUP(INDEX(ED167:ED178,EG169),SPM,2,FALSE),"----"))</f>
        <v>----</v>
      </c>
    </row>
    <row r="170" spans="1:138" ht="15" customHeight="1" x14ac:dyDescent="0.25">
      <c r="A170" s="1085"/>
      <c r="B170" s="925"/>
      <c r="C170" s="926"/>
      <c r="D170" s="927"/>
      <c r="E170" s="995"/>
      <c r="F170" s="996"/>
      <c r="G170" s="997"/>
      <c r="H170" s="1062"/>
      <c r="I170" s="990"/>
      <c r="J170" s="908"/>
      <c r="K170" s="909"/>
      <c r="L170" s="1002"/>
      <c r="M170" s="923"/>
      <c r="N170" s="1042"/>
      <c r="O170" s="1018"/>
      <c r="P170" s="987"/>
      <c r="Q170" s="1015"/>
      <c r="R170" s="1012"/>
      <c r="S170" s="1006"/>
      <c r="T170" s="1007"/>
      <c r="U170" s="878"/>
      <c r="V170" s="881"/>
      <c r="W170" s="884"/>
      <c r="X170" s="884"/>
      <c r="Y170" s="887"/>
      <c r="Z170" s="887"/>
      <c r="AA170" s="887"/>
      <c r="AB170" s="1081"/>
      <c r="AC170" s="1078"/>
      <c r="AD170" s="1070" t="s">
        <v>37</v>
      </c>
      <c r="AE170" s="1071"/>
      <c r="AF170" s="1052"/>
      <c r="AG170" s="1053"/>
      <c r="AH170" s="1053"/>
      <c r="AI170" s="1066"/>
      <c r="AJ170" s="1067"/>
      <c r="AK170" s="156" t="str">
        <f t="shared" ca="1" si="2393"/>
        <v/>
      </c>
      <c r="AL170" s="1039"/>
      <c r="AM170" s="343" t="str">
        <f ca="1">IFERROR(Q167/12*ROUND(VLOOKUP(AF170,OFFSET(STM,0,1),6,FALSE),2),"")</f>
        <v/>
      </c>
      <c r="AN170" t="str">
        <f t="shared" ca="1" si="2409"/>
        <v/>
      </c>
      <c r="AP170" s="122" t="str">
        <f t="shared" ref="AP170" si="2534">_xlfn.CONCAT(AR170,AS172)</f>
        <v/>
      </c>
      <c r="AQ170" s="683" t="str">
        <f t="shared" si="1353"/>
        <v/>
      </c>
      <c r="AR170" s="4" t="str">
        <f t="shared" si="2378"/>
        <v/>
      </c>
      <c r="AS170" s="4"/>
      <c r="AT170" s="697" t="str">
        <f>AL167</f>
        <v/>
      </c>
      <c r="AU170" s="694" t="e">
        <f t="shared" ca="1" si="1370"/>
        <v>#REF!</v>
      </c>
      <c r="AV170" s="686" t="str">
        <f ca="1">IFERROR(VLOOKUP(AU170,INDIRECT(AQ167),2,FALSE),"----")</f>
        <v>----</v>
      </c>
      <c r="AW170" s="694" t="e">
        <f t="shared" ca="1" si="1371"/>
        <v>#REF!</v>
      </c>
      <c r="AX170" s="686" t="str">
        <f ca="1">IFERROR(VLOOKUP(AW170,INDIRECT(AQ168),2,FALSE),"----")</f>
        <v>----</v>
      </c>
      <c r="AY170" s="694" t="e">
        <f t="shared" ref="AY170" ca="1" si="2535">AY169-1</f>
        <v>#REF!</v>
      </c>
      <c r="AZ170" s="686" t="str">
        <f ca="1">IFERROR(VLOOKUP(AY170,INDIRECT(AQ169),2,FALSE),"----")</f>
        <v>----</v>
      </c>
      <c r="BA170" s="694" t="e">
        <f t="shared" ref="BA170" ca="1" si="2536">BA169-1</f>
        <v>#REF!</v>
      </c>
      <c r="BB170" s="686" t="str">
        <f ca="1">IFERROR(VLOOKUP(BA170,INDIRECT(AQ170),2,FALSE),"----")</f>
        <v>----</v>
      </c>
      <c r="BC170" s="694" t="e">
        <f t="shared" ca="1" si="1374"/>
        <v>#REF!</v>
      </c>
      <c r="BD170" s="686" t="str">
        <f ca="1">IFERROR(VLOOKUP(BC170,INDIRECT(AQ171),2,FALSE),"----")</f>
        <v>----</v>
      </c>
      <c r="BE170" s="694" t="e">
        <f t="shared" ca="1" si="1375"/>
        <v>#REF!</v>
      </c>
      <c r="BF170" s="686" t="str">
        <f ca="1">IFERROR(VLOOKUP(BE170,INDIRECT(AQ172),2,FALSE),"----")</f>
        <v>----</v>
      </c>
      <c r="BG170" s="694" t="e">
        <f t="shared" ca="1" si="1376"/>
        <v>#REF!</v>
      </c>
      <c r="BH170" s="686" t="str">
        <f ca="1">IFERROR(VLOOKUP(BG170,INDIRECT(AQ173),2,FALSE),"----")</f>
        <v>----</v>
      </c>
      <c r="BI170" s="694" t="e">
        <f t="shared" ca="1" si="1377"/>
        <v>#REF!</v>
      </c>
      <c r="BJ170" s="686" t="str">
        <f ca="1">IFERROR(VLOOKUP(BI170,INDIRECT(AQ174),2,FALSE),"----")</f>
        <v>----</v>
      </c>
      <c r="BK170" s="694" t="e">
        <f t="shared" ca="1" si="1378"/>
        <v>#REF!</v>
      </c>
      <c r="BL170" s="686" t="str">
        <f ca="1">IFERROR(VLOOKUP(BK170,INDIRECT(AQ175),2,FALSE),"----")</f>
        <v>----</v>
      </c>
      <c r="BM170" s="694" t="e">
        <f t="shared" ca="1" si="1379"/>
        <v>#REF!</v>
      </c>
      <c r="BN170" s="686" t="str">
        <f ca="1">IFERROR(VLOOKUP(BM170,INDIRECT(AQ176),2,FALSE),"----")</f>
        <v>----</v>
      </c>
      <c r="BO170" s="694" t="e">
        <f t="shared" ca="1" si="1380"/>
        <v>#REF!</v>
      </c>
      <c r="BP170" s="686" t="str">
        <f ca="1">IFERROR(VLOOKUP(BO170,INDIRECT(AQ177),2,FALSE),"----")</f>
        <v>----</v>
      </c>
      <c r="BQ170" s="694" t="e">
        <f t="shared" ca="1" si="1381"/>
        <v>#REF!</v>
      </c>
      <c r="BR170" s="686" t="str">
        <f ca="1">IFERROR(VLOOKUP(BQ170,INDIRECT(AQ178),2,FALSE),"----")</f>
        <v>----</v>
      </c>
      <c r="BS170" s="695">
        <f>IF(AI170="",1,IF(COUNTIF(BB167:BB178,AI170)=0,2,1))</f>
        <v>1</v>
      </c>
      <c r="BT170" s="696">
        <f>IF(AF170="",1,IF(BB167=".",2,1))</f>
        <v>1</v>
      </c>
      <c r="BU170" s="706"/>
      <c r="BV170" s="155">
        <f ca="1">IF(COUNTIF(CT167:CT178,AF170)=0,IF(AF170&lt;&gt;"",0,1),1)</f>
        <v>1</v>
      </c>
      <c r="BW170" s="157">
        <f ca="1">IFERROR(MATCH(AF170,CT167:CT178,0),1)</f>
        <v>1</v>
      </c>
      <c r="BX170" s="769"/>
      <c r="BY170" s="769"/>
      <c r="BZ170" s="1110"/>
      <c r="CA170" s="691" t="e">
        <f t="shared" ca="1" si="2485"/>
        <v>#REF!</v>
      </c>
      <c r="CB170" s="4" t="e" cm="1">
        <f t="array" aca="1" ref="CB170" ca="1">IF(AND(INDEX(INDIRECT(BY167),CA170,4)&gt;=$AB167,INDEX(INDIRECT(BY167),CA170,5)&gt;=$S167,INDEX(INDIRECT(BY167),CA170,6)&gt;=$R167),1,0)</f>
        <v>#REF!</v>
      </c>
      <c r="CC170" s="4" t="e">
        <f t="shared" ref="CC170" ca="1" si="2537">MATCH(1,OFFSET(CB167:CB178,CD169,0,COUNT(CB167:CB178)-CD169),0)</f>
        <v>#REF!</v>
      </c>
      <c r="CD170" s="4" t="e">
        <f t="shared" ca="1" si="2487"/>
        <v>#REF!</v>
      </c>
      <c r="CE170" s="692" t="str" cm="1">
        <f t="array" aca="1" ref="CE170" ca="1">IFERROR(VLOOKUP(INDEX(CA167:CA178,CD170),INDIRECT(BY167),2,FALSE),"----")</f>
        <v>----</v>
      </c>
      <c r="CF170" s="691" t="e">
        <f t="shared" ca="1" si="2488"/>
        <v>#N/A</v>
      </c>
      <c r="CG170" s="4" t="e">
        <f ca="1">IF(AND(INDEX(SSM,CF170,4)&gt;=$AB167,INDEX(SSM,CF170,5)&gt;=$S167,INDEX(SSM,CF170,6)&gt;=$R167),1,0)</f>
        <v>#N/A</v>
      </c>
      <c r="CH170" s="4" t="e">
        <f t="shared" ref="CH170" ca="1" si="2538">MATCH(1,OFFSET(CG167:CG178,CI169,0,COUNT(CG167:CG178)-CI169),0)</f>
        <v>#REF!</v>
      </c>
      <c r="CI170" s="4" t="e">
        <f t="shared" ca="1" si="2490"/>
        <v>#REF!</v>
      </c>
      <c r="CJ170" s="692" t="str">
        <f ca="1">IFERROR(IF(AD168="Nested Steel Stud (wood infill)",VLOOKUP(INDEX(CF167:CF178,CI170),SSW,2,FALSE),VLOOKUP(INDEX(CF167:CF178,CI170),SSM,2,FALSE)),"----")</f>
        <v>----</v>
      </c>
      <c r="CK170" s="691" t="e">
        <f t="shared" ca="1" si="2491"/>
        <v>#N/A</v>
      </c>
      <c r="CL170" s="4" t="e">
        <f ca="1">IF(AND(INDEX(WSM,CK170,4)&gt;=$AB167,INDEX(WSM,CK170,5)&gt;=$S167,INDEX(WSM,CK170,6)&gt;=$R167),1,0)</f>
        <v>#N/A</v>
      </c>
      <c r="CM170" s="4" t="e">
        <f t="shared" ref="CM170" ca="1" si="2539">MATCH(1,OFFSET(CL167:CL178,CN169,0,COUNT(CL167:CL178)-CN169),0)</f>
        <v>#REF!</v>
      </c>
      <c r="CN170" s="4" t="e">
        <f t="shared" ca="1" si="2493"/>
        <v>#REF!</v>
      </c>
      <c r="CO170" s="692" t="str">
        <f ca="1">IFERROR(VLOOKUP(INDEX(CK167:CK178,CN170),WSM,2,FALSE),"----")</f>
        <v>----</v>
      </c>
      <c r="CP170" s="691" t="e">
        <f t="shared" ca="1" si="2494"/>
        <v>#N/A</v>
      </c>
      <c r="CQ170" s="4" t="e">
        <f ca="1">IF(AND(INDEX(STM,CP170,4)&gt;=$AB167,INDEX(STM,CP170,5)&gt;=$S167,INDEX(STM,CP170,6)&gt;=$R167),1,0)</f>
        <v>#N/A</v>
      </c>
      <c r="CR170" s="4" t="e">
        <f t="shared" ref="CR170" ca="1" si="2540">MATCH(1,OFFSET(CQ167:CQ178,CS169,0,COUNT(CQ167:CQ178)-CS169),0)</f>
        <v>#REF!</v>
      </c>
      <c r="CS170" s="4" t="e">
        <f t="shared" ca="1" si="2496"/>
        <v>#REF!</v>
      </c>
      <c r="CT170" s="692" t="str">
        <f ca="1">IFERROR(VLOOKUP(INDEX(CP167:CP178,CS170),STM,2,FALSE),"----")</f>
        <v>----</v>
      </c>
      <c r="CU170" s="691" t="e">
        <f t="shared" ca="1" si="2497"/>
        <v>#N/A</v>
      </c>
      <c r="CV170" s="4" t="e">
        <f ca="1">IF(AND(INDEX(ELM,CU170,4)&gt;=$AB167,INDEX(ELM,CU170,5)&gt;=$S167,INDEX(ELM,CU170,6)&gt;=$R167),1,0)</f>
        <v>#N/A</v>
      </c>
      <c r="CW170" s="4" t="e">
        <f t="shared" ref="CW170" ca="1" si="2541">MATCH(1,OFFSET(CV167:CV178,CX169,0,COUNT(CV167:CV178)-CX169),0)</f>
        <v>#REF!</v>
      </c>
      <c r="CX170" s="4" t="e">
        <f t="shared" ca="1" si="2499"/>
        <v>#REF!</v>
      </c>
      <c r="CY170" s="692" t="str">
        <f ca="1">IFERROR(VLOOKUP(INDEX(CU167:CU178,CX170),ELM,2,FALSE),"----")</f>
        <v>----</v>
      </c>
      <c r="CZ170" s="691" t="e">
        <f t="shared" ca="1" si="2500"/>
        <v>#N/A</v>
      </c>
      <c r="DA170" s="4" t="e">
        <f ca="1">IF(LEFT($J167,7)="Clad Wo",IF(AND(INDEX(SPPWS,CZ170,4)&gt;=$AB167,INDEX(SPPWS,CZ170,5)&gt;=$S167,INDEX(SPPWS,CZ170,6)&gt;=$R167),1,0),IF(AND(INDEX(SPM,CZ170,4)&gt;=$AB167,INDEX(SPM,CZ170,5)&gt;=$S167,INDEX(SPM,CZ170,6)&gt;=$R167),1,0))</f>
        <v>#N/A</v>
      </c>
      <c r="DB170" s="4" t="e">
        <f t="shared" ref="DB170" ca="1" si="2542">MATCH(1,OFFSET(DA167:DA178,DC169,0,COUNT(DA167:DA178)-DC169),0)</f>
        <v>#REF!</v>
      </c>
      <c r="DC170" s="4" t="e">
        <f t="shared" ca="1" si="2502"/>
        <v>#REF!</v>
      </c>
      <c r="DD170" s="693" t="str">
        <f ca="1">IF(LEFT($J167,7)="Clad Wo",IFERROR(VLOOKUP(INDEX(CZ167:CZ178,DC170),SPPWS,2,FALSE),"----"),IFERROR(VLOOKUP(INDEX(CZ167:CZ178,DC170),SPM,2,FALSE),"----"))</f>
        <v>----</v>
      </c>
      <c r="DE170" s="691" t="e">
        <f t="shared" ca="1" si="2503"/>
        <v>#REF!</v>
      </c>
      <c r="DF170" s="4" t="e" cm="1">
        <f t="array" aca="1" ref="DF170" ca="1">IF(AND(INDEX(INDIRECT(BY167),DE170,4)&gt;=$AB173,INDEX(INDIRECT(BY167),DE170,5)&gt;=$S167,INDEX(INDIRECT(BY167),DE170,6)&gt;=$R167),1,0)</f>
        <v>#REF!</v>
      </c>
      <c r="DG170" s="4" t="e">
        <f t="shared" ref="DG170" ca="1" si="2543">MATCH(1,OFFSET(DF167:DF178,DH169,0,COUNT(DF167:DF178)-DH169),0)</f>
        <v>#REF!</v>
      </c>
      <c r="DH170" s="4" t="e">
        <f t="shared" ca="1" si="2505"/>
        <v>#REF!</v>
      </c>
      <c r="DI170" s="692" t="str" cm="1">
        <f t="array" aca="1" ref="DI170" ca="1">IFERROR(VLOOKUP(INDEX(DE167:DE178,DH170),INDIRECT(BY167),2,FALSE),"----")</f>
        <v>----</v>
      </c>
      <c r="DJ170" s="691" t="e">
        <f t="shared" ca="1" si="2506"/>
        <v>#N/A</v>
      </c>
      <c r="DK170" s="4" t="e">
        <f ca="1">IF(AND(INDEX(SSM,DJ170,4)&gt;=$AB173,INDEX(SSM,DJ170,5)&gt;=$S167,INDEX(SSM,DJ170,6)&gt;=$R167),1,0)</f>
        <v>#N/A</v>
      </c>
      <c r="DL170" s="4" t="e">
        <f t="shared" ref="DL170" ca="1" si="2544">MATCH(1,OFFSET(DK167:DK178,DM169,0,COUNT(DK167:DK178)-DM169),0)</f>
        <v>#REF!</v>
      </c>
      <c r="DM170" s="4" t="e">
        <f t="shared" ca="1" si="2508"/>
        <v>#REF!</v>
      </c>
      <c r="DN170" s="692" t="str">
        <f ca="1">IFERROR(IF(AD174="Nested Steel Stud (wood infill)",VLOOKUP(INDEX(DJ167:DJ178,DM170),SSW,2,FALSE),VLOOKUP(INDEX(DJ167:DJ178,DM170),SSM,2,FALSE)),"----")</f>
        <v>----</v>
      </c>
      <c r="DO170" s="691" t="e">
        <f t="shared" ca="1" si="2509"/>
        <v>#N/A</v>
      </c>
      <c r="DP170" s="4" t="e">
        <f ca="1">IF(AND(INDEX(WSM,DO170,4)&gt;=$AB173,INDEX(WSM,DO170,5)&gt;=$S167,INDEX(WSM,DO170,6)&gt;=$R167),1,0)</f>
        <v>#N/A</v>
      </c>
      <c r="DQ170" s="4" t="e">
        <f t="shared" ref="DQ170" ca="1" si="2545">MATCH(1,OFFSET(DP167:DP178,DR169,0,COUNT(DP167:DP178)-DR169),0)</f>
        <v>#REF!</v>
      </c>
      <c r="DR170" s="4" t="e">
        <f t="shared" ca="1" si="2511"/>
        <v>#REF!</v>
      </c>
      <c r="DS170" s="692" t="str">
        <f ca="1">IFERROR(VLOOKUP(INDEX(DO167:DO178,DR170),WSM,2,FALSE),"----")</f>
        <v>----</v>
      </c>
      <c r="DT170" s="691" t="e">
        <f t="shared" ca="1" si="2512"/>
        <v>#N/A</v>
      </c>
      <c r="DU170" s="4" t="e">
        <f ca="1">IF(AND(INDEX(STM,DT170,4)&gt;=$AB173,INDEX(STM,DT170,5)&gt;=$S167,INDEX(STM,DT170,6)&gt;=$R167),1,0)</f>
        <v>#N/A</v>
      </c>
      <c r="DV170" s="4" t="e">
        <f t="shared" ref="DV170" ca="1" si="2546">MATCH(1,OFFSET(DU167:DU178,DW169,0,COUNT(DU167:DU178)-DW169),0)</f>
        <v>#REF!</v>
      </c>
      <c r="DW170" s="4" t="e">
        <f t="shared" ca="1" si="2514"/>
        <v>#REF!</v>
      </c>
      <c r="DX170" s="692" t="str">
        <f ca="1">IFERROR(VLOOKUP(INDEX(DT167:DT178,DW170),STM,2,FALSE),"----")</f>
        <v>----</v>
      </c>
      <c r="DY170" s="691" t="e">
        <f t="shared" ca="1" si="2515"/>
        <v>#N/A</v>
      </c>
      <c r="DZ170" s="4" t="e">
        <f ca="1">IF(AND(INDEX(ELM,DY170,4)&gt;=$AB173,INDEX(ELM,DY170,5)&gt;=$S167,INDEX(ELM,DY170,6)&gt;=$R167),1,0)</f>
        <v>#N/A</v>
      </c>
      <c r="EA170" s="4" t="e">
        <f t="shared" ref="EA170" ca="1" si="2547">MATCH(1,OFFSET(DZ167:DZ178,EB169,0,COUNT(DZ167:DZ178)-EB169),0)</f>
        <v>#REF!</v>
      </c>
      <c r="EB170" s="4" t="e">
        <f t="shared" ca="1" si="2517"/>
        <v>#REF!</v>
      </c>
      <c r="EC170" s="692" t="str">
        <f ca="1">IFERROR(VLOOKUP(INDEX(DY167:DY178,EB170),ELM,2,FALSE),"----")</f>
        <v>----</v>
      </c>
      <c r="ED170" s="691" t="e">
        <f t="shared" ca="1" si="2518"/>
        <v>#N/A</v>
      </c>
      <c r="EE170" s="4" t="e">
        <f ca="1">IF(LEFT($J167,7)="Clad Wo",IF(AND(INDEX(SPPWS,ED170,4)&gt;=$AB173,INDEX(SPPWS,ED170,5)&gt;=$S167,INDEX(SPPWS,ED170,6)&gt;=$R167),1,0),IF(AND(INDEX(SPM,ED170,4)&gt;=$AB173,INDEX(SPM,ED170,5)&gt;=$S167,INDEX(SPM,ED170,6)&gt;=$R167),1,0))</f>
        <v>#N/A</v>
      </c>
      <c r="EF170" s="4" t="e">
        <f t="shared" ref="EF170" ca="1" si="2548">MATCH(1,OFFSET(EE167:EE178,EG169,0,COUNT(EE167:EE178)-EG169),0)</f>
        <v>#REF!</v>
      </c>
      <c r="EG170" s="4" t="e">
        <f t="shared" ca="1" si="2520"/>
        <v>#REF!</v>
      </c>
      <c r="EH170" s="692" t="str">
        <f ca="1">IF(LEFT($J167,7)="Clad Wo",IFERROR(VLOOKUP(INDEX(ED167:ED178,EG170),SPPWS,2,FALSE),"----"),IFERROR(VLOOKUP(INDEX(ED167:ED178,EG170),SPM,2,FALSE),"----"))</f>
        <v>----</v>
      </c>
    </row>
    <row r="171" spans="1:138" ht="15" customHeight="1" x14ac:dyDescent="0.25">
      <c r="A171" s="1085"/>
      <c r="B171" s="925"/>
      <c r="C171" s="926"/>
      <c r="D171" s="927"/>
      <c r="E171" s="995"/>
      <c r="F171" s="996"/>
      <c r="G171" s="997"/>
      <c r="H171" s="1062"/>
      <c r="I171" s="990"/>
      <c r="J171" s="910"/>
      <c r="K171" s="911"/>
      <c r="L171" s="1002"/>
      <c r="M171" s="923"/>
      <c r="N171" s="1042"/>
      <c r="O171" s="1018"/>
      <c r="P171" s="987"/>
      <c r="Q171" s="1015"/>
      <c r="R171" s="1012"/>
      <c r="S171" s="1006"/>
      <c r="T171" s="1007"/>
      <c r="U171" s="878"/>
      <c r="V171" s="881"/>
      <c r="W171" s="884"/>
      <c r="X171" s="884"/>
      <c r="Y171" s="887"/>
      <c r="Z171" s="887"/>
      <c r="AA171" s="887"/>
      <c r="AB171" s="1081"/>
      <c r="AC171" s="1078"/>
      <c r="AD171" s="1070" t="s">
        <v>39</v>
      </c>
      <c r="AE171" s="1071"/>
      <c r="AF171" s="1052"/>
      <c r="AG171" s="1053"/>
      <c r="AH171" s="1053"/>
      <c r="AI171" s="1068"/>
      <c r="AJ171" s="1069"/>
      <c r="AK171" s="154" t="str">
        <f t="shared" ca="1" si="2393"/>
        <v/>
      </c>
      <c r="AL171" s="1039"/>
      <c r="AM171" s="344" t="str">
        <f ca="1">IFERROR(Q167/12*ROUND(VLOOKUP(AF171,OFFSET(ELM,0,1),6,FALSE),2),"")</f>
        <v/>
      </c>
      <c r="AN171" t="str">
        <f t="shared" ca="1" si="2409"/>
        <v/>
      </c>
      <c r="AP171" s="122" t="str">
        <f t="shared" ref="AP171" si="2549">_xlfn.CONCAT(AR171,AS172)</f>
        <v/>
      </c>
      <c r="AQ171" s="683" t="str">
        <f t="shared" si="1353"/>
        <v/>
      </c>
      <c r="AR171" s="4" t="str">
        <f t="shared" si="2378"/>
        <v/>
      </c>
      <c r="AS171" s="4"/>
      <c r="AT171" s="697" t="str">
        <f>AL167</f>
        <v/>
      </c>
      <c r="AU171" s="694" t="e">
        <f t="shared" ca="1" si="1370"/>
        <v>#REF!</v>
      </c>
      <c r="AV171" s="698" t="str">
        <f ca="1">IFERROR(VLOOKUP(AU171,INDIRECT(AQ167),2,FALSE),"----")</f>
        <v>----</v>
      </c>
      <c r="AW171" s="694" t="e">
        <f t="shared" ca="1" si="1371"/>
        <v>#REF!</v>
      </c>
      <c r="AX171" s="698" t="str">
        <f ca="1">IFERROR(VLOOKUP(AW171,INDIRECT(AQ168),2,FALSE),"----")</f>
        <v>----</v>
      </c>
      <c r="AY171" s="694" t="e">
        <f t="shared" ref="AY171" ca="1" si="2550">AY170-1</f>
        <v>#REF!</v>
      </c>
      <c r="AZ171" s="698" t="str">
        <f ca="1">IFERROR(VLOOKUP(AY171,INDIRECT(AQ169),2,FALSE),"----")</f>
        <v>----</v>
      </c>
      <c r="BA171" s="694" t="e">
        <f t="shared" ref="BA171" ca="1" si="2551">BA170-1</f>
        <v>#REF!</v>
      </c>
      <c r="BB171" s="698" t="str">
        <f ca="1">IFERROR(VLOOKUP(BA171,INDIRECT(AQ170),2,FALSE),"----")</f>
        <v>----</v>
      </c>
      <c r="BC171" s="694" t="e">
        <f t="shared" ca="1" si="1374"/>
        <v>#REF!</v>
      </c>
      <c r="BD171" s="698" t="str">
        <f ca="1">IFERROR(VLOOKUP(BC171,INDIRECT(AQ171),2,FALSE),"----")</f>
        <v>----</v>
      </c>
      <c r="BE171" s="694" t="e">
        <f t="shared" ca="1" si="1375"/>
        <v>#REF!</v>
      </c>
      <c r="BF171" s="698" t="str">
        <f ca="1">IFERROR(VLOOKUP(BE171,INDIRECT(AQ172),2,FALSE),"----")</f>
        <v>----</v>
      </c>
      <c r="BG171" s="694" t="e">
        <f t="shared" ca="1" si="1376"/>
        <v>#REF!</v>
      </c>
      <c r="BH171" s="686" t="str">
        <f ca="1">IFERROR(VLOOKUP(BG171,INDIRECT(AQ173),2,FALSE),"----")</f>
        <v>----</v>
      </c>
      <c r="BI171" s="694" t="e">
        <f t="shared" ca="1" si="1377"/>
        <v>#REF!</v>
      </c>
      <c r="BJ171" s="686" t="str">
        <f ca="1">IFERROR(VLOOKUP(BI171,INDIRECT(AQ174),2,FALSE),"----")</f>
        <v>----</v>
      </c>
      <c r="BK171" s="694" t="e">
        <f t="shared" ca="1" si="1378"/>
        <v>#REF!</v>
      </c>
      <c r="BL171" s="686" t="str">
        <f ca="1">IFERROR(VLOOKUP(BK171,INDIRECT(AQ175),2,FALSE),"----")</f>
        <v>----</v>
      </c>
      <c r="BM171" s="694" t="e">
        <f t="shared" ca="1" si="1379"/>
        <v>#REF!</v>
      </c>
      <c r="BN171" s="686" t="str">
        <f ca="1">IFERROR(VLOOKUP(BM171,INDIRECT(AQ176),2,FALSE),"----")</f>
        <v>----</v>
      </c>
      <c r="BO171" s="694" t="e">
        <f t="shared" ca="1" si="1380"/>
        <v>#REF!</v>
      </c>
      <c r="BP171" s="686" t="str">
        <f ca="1">IFERROR(VLOOKUP(BO171,INDIRECT(AQ177),2,FALSE),"----")</f>
        <v>----</v>
      </c>
      <c r="BQ171" s="694" t="e">
        <f t="shared" ca="1" si="1381"/>
        <v>#REF!</v>
      </c>
      <c r="BR171" s="686" t="str">
        <f ca="1">IFERROR(VLOOKUP(BQ171,INDIRECT(AQ178),2,FALSE),"----")</f>
        <v>----</v>
      </c>
      <c r="BS171" s="695">
        <f>IF(AI171="",1,IF(COUNTIF(BD167:BD178,AI171)=0,2,1))</f>
        <v>1</v>
      </c>
      <c r="BT171" s="696">
        <f>IF(AF171="",1,IF(BD167=".",2,1))</f>
        <v>1</v>
      </c>
      <c r="BU171" s="706"/>
      <c r="BV171" s="155">
        <f ca="1">IF(COUNTIF(CY167:CY178,AF171)=0,IF(AF171&lt;&gt;"",0,1),1)</f>
        <v>1</v>
      </c>
      <c r="BW171" s="157">
        <f ca="1">IFERROR(MATCH(AF171,CY167:CY178,0),1)</f>
        <v>1</v>
      </c>
      <c r="BX171" s="769"/>
      <c r="BY171" s="769"/>
      <c r="BZ171" s="1110"/>
      <c r="CA171" s="691" t="e">
        <f t="shared" ca="1" si="2485"/>
        <v>#REF!</v>
      </c>
      <c r="CB171" s="4" t="e" cm="1">
        <f t="array" aca="1" ref="CB171" ca="1">IF(AND(INDEX(INDIRECT(BY167),CA171,4)&gt;=$AB167,INDEX(INDIRECT(BY167),CA171,5)&gt;=$S167,INDEX(INDIRECT(BY167),CA171,6)&gt;=$R167),1,0)</f>
        <v>#REF!</v>
      </c>
      <c r="CC171" s="4" t="e">
        <f t="shared" ref="CC171" ca="1" si="2552">MATCH(1,OFFSET(CB167:CB178,CD170,0,COUNT(CB167:CB178)-CD170),0)</f>
        <v>#REF!</v>
      </c>
      <c r="CD171" s="4" t="e">
        <f t="shared" ca="1" si="2487"/>
        <v>#REF!</v>
      </c>
      <c r="CE171" s="692" t="str" cm="1">
        <f t="array" aca="1" ref="CE171" ca="1">IFERROR(VLOOKUP(INDEX(CA167:CA178,CD171),INDIRECT(BY167),2,FALSE),"----")</f>
        <v>----</v>
      </c>
      <c r="CF171" s="691" t="e">
        <f t="shared" ca="1" si="2488"/>
        <v>#N/A</v>
      </c>
      <c r="CG171" s="4" t="e">
        <f ca="1">IF(AND(INDEX(SSM,CF171,4)&gt;=$AB167,INDEX(SSM,CF171,5)&gt;=$S167,INDEX(SSM,CF171,6)&gt;=$R167),1,0)</f>
        <v>#N/A</v>
      </c>
      <c r="CH171" s="4" t="e">
        <f t="shared" ref="CH171" ca="1" si="2553">MATCH(1,OFFSET(CG167:CG178,CI170,0,COUNT(CG167:CG178)-CI170),0)</f>
        <v>#REF!</v>
      </c>
      <c r="CI171" s="4" t="e">
        <f t="shared" ca="1" si="2490"/>
        <v>#REF!</v>
      </c>
      <c r="CJ171" s="692" t="str">
        <f ca="1">IFERROR(IF(AD168="Nested Steel Stud (wood infill)",VLOOKUP(INDEX(CF167:CF178,CI171),SSW,2,FALSE),VLOOKUP(INDEX(CF167:CF178,CI171),SSM,2,FALSE)),"----")</f>
        <v>----</v>
      </c>
      <c r="CK171" s="691" t="e">
        <f t="shared" ca="1" si="2491"/>
        <v>#N/A</v>
      </c>
      <c r="CL171" s="4" t="e">
        <f ca="1">IF(AND(INDEX(WSM,CK171,4)&gt;=$AB167,INDEX(WSM,CK171,5)&gt;=$S167,INDEX(WSM,CK171,6)&gt;=$R167),1,0)</f>
        <v>#N/A</v>
      </c>
      <c r="CM171" s="4" t="e">
        <f t="shared" ref="CM171" ca="1" si="2554">MATCH(1,OFFSET(CL167:CL178,CN170,0,COUNT(CL167:CL178)-CN170),0)</f>
        <v>#REF!</v>
      </c>
      <c r="CN171" s="4" t="e">
        <f t="shared" ca="1" si="2493"/>
        <v>#REF!</v>
      </c>
      <c r="CO171" s="692" t="str">
        <f ca="1">IFERROR(VLOOKUP(INDEX(CK167:CK178,CN171),WSM,2,FALSE),"----")</f>
        <v>----</v>
      </c>
      <c r="CP171" s="691" t="e">
        <f t="shared" ca="1" si="2494"/>
        <v>#N/A</v>
      </c>
      <c r="CQ171" s="4" t="e">
        <f ca="1">IF(AND(INDEX(STM,CP171,4)&gt;=$AB167,INDEX(STM,CP171,5)&gt;=$S167,INDEX(STM,CP171,6)&gt;=$R167),1,0)</f>
        <v>#N/A</v>
      </c>
      <c r="CR171" s="4" t="e">
        <f t="shared" ref="CR171" ca="1" si="2555">MATCH(1,OFFSET(CQ167:CQ178,CS170,0,COUNT(CQ167:CQ178)-CS170),0)</f>
        <v>#REF!</v>
      </c>
      <c r="CS171" s="4" t="e">
        <f t="shared" ca="1" si="2496"/>
        <v>#REF!</v>
      </c>
      <c r="CT171" s="692" t="str">
        <f ca="1">IFERROR(VLOOKUP(INDEX(CP167:CP178,CS171),STM,2,FALSE),"----")</f>
        <v>----</v>
      </c>
      <c r="CU171" s="691" t="e">
        <f t="shared" ca="1" si="2497"/>
        <v>#N/A</v>
      </c>
      <c r="CV171" s="4" t="e">
        <f ca="1">IF(AND(INDEX(ELM,CU171,4)&gt;=$AB167,INDEX(ELM,CU171,5)&gt;=$S167,INDEX(ELM,CU171,6)&gt;=$R167),1,0)</f>
        <v>#N/A</v>
      </c>
      <c r="CW171" s="4" t="e">
        <f t="shared" ref="CW171" ca="1" si="2556">MATCH(1,OFFSET(CV167:CV178,CX170,0,COUNT(CV167:CV178)-CX170),0)</f>
        <v>#REF!</v>
      </c>
      <c r="CX171" s="4" t="e">
        <f t="shared" ca="1" si="2499"/>
        <v>#REF!</v>
      </c>
      <c r="CY171" s="692" t="str">
        <f ca="1">IFERROR(VLOOKUP(INDEX(CU167:CU178,CX171),ELM,2,FALSE),"----")</f>
        <v>----</v>
      </c>
      <c r="CZ171" s="691" t="e">
        <f t="shared" ca="1" si="2500"/>
        <v>#N/A</v>
      </c>
      <c r="DA171" s="4" t="e">
        <f ca="1">IF(LEFT($J167,7)="Clad Wo",IF(AND(INDEX(SPPWS,CZ171,4)&gt;=$AB167,INDEX(SPPWS,CZ171,5)&gt;=$S167,INDEX(SPPWS,CZ171,6)&gt;=$R167),1,0),IF(AND(INDEX(SPM,CZ171,4)&gt;=$AB167,INDEX(SPM,CZ171,5)&gt;=$S167,INDEX(SPM,CZ171,6)&gt;=$R167),1,0))</f>
        <v>#N/A</v>
      </c>
      <c r="DB171" s="4" t="e">
        <f t="shared" ref="DB171" ca="1" si="2557">MATCH(1,OFFSET(DA167:DA178,DC170,0,COUNT(DA167:DA178)-DC170),0)</f>
        <v>#REF!</v>
      </c>
      <c r="DC171" s="4" t="e">
        <f t="shared" ca="1" si="2502"/>
        <v>#REF!</v>
      </c>
      <c r="DD171" s="693" t="str">
        <f ca="1">IF(LEFT($J167,7)="Clad Wo",IFERROR(VLOOKUP(INDEX(CZ167:CZ178,DC171),SPPWS,2,FALSE),"----"),IFERROR(VLOOKUP(INDEX(CZ167:CZ178,DC171),SPM,2,FALSE),"----"))</f>
        <v>----</v>
      </c>
      <c r="DE171" s="691" t="e">
        <f t="shared" ca="1" si="2503"/>
        <v>#REF!</v>
      </c>
      <c r="DF171" s="4" t="e" cm="1">
        <f t="array" aca="1" ref="DF171" ca="1">IF(AND(INDEX(INDIRECT(BY167),DE171,4)&gt;=$AB173,INDEX(INDIRECT(BY167),DE171,5)&gt;=$S167,INDEX(INDIRECT(BY167),DE171,6)&gt;=$R167),1,0)</f>
        <v>#REF!</v>
      </c>
      <c r="DG171" s="4" t="e">
        <f t="shared" ref="DG171" ca="1" si="2558">MATCH(1,OFFSET(DF167:DF178,DH170,0,COUNT(DF167:DF178)-DH170),0)</f>
        <v>#REF!</v>
      </c>
      <c r="DH171" s="4" t="e">
        <f t="shared" ca="1" si="2505"/>
        <v>#REF!</v>
      </c>
      <c r="DI171" s="692" t="str" cm="1">
        <f t="array" aca="1" ref="DI171" ca="1">IFERROR(VLOOKUP(INDEX(DE167:DE178,DH171),INDIRECT(BY167),2,FALSE),"----")</f>
        <v>----</v>
      </c>
      <c r="DJ171" s="691" t="e">
        <f t="shared" ca="1" si="2506"/>
        <v>#N/A</v>
      </c>
      <c r="DK171" s="4" t="e">
        <f ca="1">IF(AND(INDEX(SSM,DJ171,4)&gt;=$AB173,INDEX(SSM,DJ171,5)&gt;=$S167,INDEX(SSM,DJ171,6)&gt;=$R167),1,0)</f>
        <v>#N/A</v>
      </c>
      <c r="DL171" s="4" t="e">
        <f t="shared" ref="DL171" ca="1" si="2559">MATCH(1,OFFSET(DK167:DK178,DM170,0,COUNT(DK167:DK178)-DM170),0)</f>
        <v>#REF!</v>
      </c>
      <c r="DM171" s="4" t="e">
        <f t="shared" ca="1" si="2508"/>
        <v>#REF!</v>
      </c>
      <c r="DN171" s="692" t="str">
        <f ca="1">IFERROR(IF(AD174="Nested Steel Stud (wood infill)",VLOOKUP(INDEX(DJ167:DJ178,DM171),SSW,2,FALSE),VLOOKUP(INDEX(DJ167:DJ178,DM171),SSM,2,FALSE)),"----")</f>
        <v>----</v>
      </c>
      <c r="DO171" s="691" t="e">
        <f t="shared" ca="1" si="2509"/>
        <v>#N/A</v>
      </c>
      <c r="DP171" s="4" t="e">
        <f ca="1">IF(AND(INDEX(WSM,DO171,4)&gt;=$AB173,INDEX(WSM,DO171,5)&gt;=$S167,INDEX(WSM,DO171,6)&gt;=$R167),1,0)</f>
        <v>#N/A</v>
      </c>
      <c r="DQ171" s="4" t="e">
        <f t="shared" ref="DQ171" ca="1" si="2560">MATCH(1,OFFSET(DP167:DP178,DR170,0,COUNT(DP167:DP178)-DR170),0)</f>
        <v>#REF!</v>
      </c>
      <c r="DR171" s="4" t="e">
        <f t="shared" ca="1" si="2511"/>
        <v>#REF!</v>
      </c>
      <c r="DS171" s="692" t="str">
        <f ca="1">IFERROR(VLOOKUP(INDEX(DO167:DO178,DR171),WSM,2,FALSE),"----")</f>
        <v>----</v>
      </c>
      <c r="DT171" s="691" t="e">
        <f t="shared" ca="1" si="2512"/>
        <v>#N/A</v>
      </c>
      <c r="DU171" s="4" t="e">
        <f ca="1">IF(AND(INDEX(STM,DT171,4)&gt;=$AB173,INDEX(STM,DT171,5)&gt;=$S167,INDEX(STM,DT171,6)&gt;=$R167),1,0)</f>
        <v>#N/A</v>
      </c>
      <c r="DV171" s="4" t="e">
        <f t="shared" ref="DV171" ca="1" si="2561">MATCH(1,OFFSET(DU167:DU178,DW170,0,COUNT(DU167:DU178)-DW170),0)</f>
        <v>#REF!</v>
      </c>
      <c r="DW171" s="4" t="e">
        <f t="shared" ca="1" si="2514"/>
        <v>#REF!</v>
      </c>
      <c r="DX171" s="692" t="str">
        <f ca="1">IFERROR(VLOOKUP(INDEX(DT167:DT178,DW171),STM,2,FALSE),"----")</f>
        <v>----</v>
      </c>
      <c r="DY171" s="691" t="e">
        <f t="shared" ca="1" si="2515"/>
        <v>#N/A</v>
      </c>
      <c r="DZ171" s="4" t="e">
        <f ca="1">IF(AND(INDEX(ELM,DY171,4)&gt;=$AB173,INDEX(ELM,DY171,5)&gt;=$S167,INDEX(ELM,DY171,6)&gt;=$R167),1,0)</f>
        <v>#N/A</v>
      </c>
      <c r="EA171" s="4" t="e">
        <f t="shared" ref="EA171" ca="1" si="2562">MATCH(1,OFFSET(DZ167:DZ178,EB170,0,COUNT(DZ167:DZ178)-EB170),0)</f>
        <v>#REF!</v>
      </c>
      <c r="EB171" s="4" t="e">
        <f t="shared" ca="1" si="2517"/>
        <v>#REF!</v>
      </c>
      <c r="EC171" s="692" t="str">
        <f ca="1">IFERROR(VLOOKUP(INDEX(DY167:DY178,EB171),ELM,2,FALSE),"----")</f>
        <v>----</v>
      </c>
      <c r="ED171" s="691" t="e">
        <f t="shared" ca="1" si="2518"/>
        <v>#N/A</v>
      </c>
      <c r="EE171" s="4" t="e">
        <f ca="1">IF(LEFT($J167,7)="Clad Wo",IF(AND(INDEX(SPPWS,ED171,4)&gt;=$AB173,INDEX(SPPWS,ED171,5)&gt;=$S167,INDEX(SPPWS,ED171,6)&gt;=$R167),1,0),IF(AND(INDEX(SPM,ED171,4)&gt;=$AB173,INDEX(SPM,ED171,5)&gt;=$S167,INDEX(SPM,ED171,6)&gt;=$R167),1,0))</f>
        <v>#N/A</v>
      </c>
      <c r="EF171" s="4" t="e">
        <f t="shared" ref="EF171" ca="1" si="2563">MATCH(1,OFFSET(EE167:EE178,EG170,0,COUNT(EE167:EE178)-EG170),0)</f>
        <v>#REF!</v>
      </c>
      <c r="EG171" s="4" t="e">
        <f t="shared" ca="1" si="2520"/>
        <v>#REF!</v>
      </c>
      <c r="EH171" s="692" t="str">
        <f ca="1">IF(LEFT($J167,7)="Clad Wo",IFERROR(VLOOKUP(INDEX(ED167:ED178,EG171),SPPWS,2,FALSE),"----"),IFERROR(VLOOKUP(INDEX(ED167:ED178,EG171),SPM,2,FALSE),"----"))</f>
        <v>----</v>
      </c>
    </row>
    <row r="172" spans="1:138" ht="15" customHeight="1" thickBot="1" x14ac:dyDescent="0.3">
      <c r="A172" s="1085"/>
      <c r="B172" s="934"/>
      <c r="C172" s="935"/>
      <c r="D172" s="936"/>
      <c r="E172" s="995"/>
      <c r="F172" s="996"/>
      <c r="G172" s="997"/>
      <c r="H172" s="1062"/>
      <c r="I172" s="990"/>
      <c r="J172" s="908"/>
      <c r="K172" s="909"/>
      <c r="L172" s="1010"/>
      <c r="M172" s="924"/>
      <c r="N172" s="1044"/>
      <c r="O172" s="1018"/>
      <c r="P172" s="987"/>
      <c r="Q172" s="1015"/>
      <c r="R172" s="1012"/>
      <c r="S172" s="1006"/>
      <c r="T172" s="1007"/>
      <c r="U172" s="878"/>
      <c r="V172" s="881"/>
      <c r="W172" s="889"/>
      <c r="X172" s="884"/>
      <c r="Y172" s="890"/>
      <c r="Z172" s="890"/>
      <c r="AA172" s="887"/>
      <c r="AB172" s="1084"/>
      <c r="AC172" s="1079"/>
      <c r="AD172" s="1072" t="str">
        <f t="shared" ref="AD172" si="2564">IF(LEFT(J167,7)="Clad Wo","Pella Wood Spr / Steel Pte","Steel Plate")</f>
        <v>Steel Plate</v>
      </c>
      <c r="AE172" s="1073"/>
      <c r="AF172" s="1054"/>
      <c r="AG172" s="1055"/>
      <c r="AH172" s="1055"/>
      <c r="AI172" s="1092"/>
      <c r="AJ172" s="1093"/>
      <c r="AK172" s="159" t="str">
        <f t="shared" ca="1" si="2393"/>
        <v/>
      </c>
      <c r="AL172" s="1040"/>
      <c r="AM172" s="345" t="str">
        <f ca="1">IFERROR(Q167/12*ROUND(VLOOKUP(AF172,OFFSET(SPM,0,1),6,FALSE),2),"")</f>
        <v/>
      </c>
      <c r="AN172" t="str">
        <f t="shared" ca="1" si="2409"/>
        <v/>
      </c>
      <c r="AP172" s="699" t="str">
        <f t="shared" ref="AP172" si="2565">_xlfn.CONCAT(AR172,AS172)</f>
        <v/>
      </c>
      <c r="AQ172" s="700" t="str">
        <f t="shared" si="1353"/>
        <v/>
      </c>
      <c r="AR172" s="160" t="str">
        <f t="shared" si="2378"/>
        <v/>
      </c>
      <c r="AS172" s="160" t="str">
        <f>IFERROR(VLOOKUP(J175, WallType,2,FALSE),"")</f>
        <v/>
      </c>
      <c r="AT172" s="701" t="str">
        <f>AL167</f>
        <v/>
      </c>
      <c r="AU172" s="694" t="e">
        <f t="shared" ca="1" si="1370"/>
        <v>#REF!</v>
      </c>
      <c r="AV172" s="698" t="str">
        <f ca="1">IFERROR(VLOOKUP(AU172,INDIRECT(AQ167),2,FALSE),"----")</f>
        <v>----</v>
      </c>
      <c r="AW172" s="702" t="e">
        <f t="shared" ca="1" si="1371"/>
        <v>#REF!</v>
      </c>
      <c r="AX172" s="698" t="str">
        <f ca="1">IFERROR(VLOOKUP(AW172,INDIRECT(AQ168),2,FALSE),"----")</f>
        <v>----</v>
      </c>
      <c r="AY172" s="702" t="e">
        <f t="shared" ref="AY172:AY187" ca="1" si="2566">AY171-1</f>
        <v>#REF!</v>
      </c>
      <c r="AZ172" s="698" t="str">
        <f ca="1">IFERROR(VLOOKUP(AY172,INDIRECT(AQ169),2,FALSE),"----")</f>
        <v>----</v>
      </c>
      <c r="BA172" s="702" t="e">
        <f t="shared" ref="BA172:BA187" ca="1" si="2567">BA171-1</f>
        <v>#REF!</v>
      </c>
      <c r="BB172" s="698" t="str">
        <f ca="1">IFERROR(VLOOKUP(BA172,INDIRECT(AQ170),2,FALSE),"----")</f>
        <v>----</v>
      </c>
      <c r="BC172" s="702" t="e">
        <f t="shared" ca="1" si="1374"/>
        <v>#REF!</v>
      </c>
      <c r="BD172" s="698" t="str">
        <f ca="1">IFERROR(VLOOKUP(BC172,INDIRECT(AQ171),2,FALSE),"----")</f>
        <v>----</v>
      </c>
      <c r="BE172" s="702" t="e">
        <f t="shared" ca="1" si="1375"/>
        <v>#REF!</v>
      </c>
      <c r="BF172" s="698" t="str">
        <f ca="1">IFERROR(VLOOKUP(BE172,INDIRECT(AQ172),2,FALSE),"----")</f>
        <v>----</v>
      </c>
      <c r="BG172" s="702" t="e">
        <f t="shared" ca="1" si="1376"/>
        <v>#REF!</v>
      </c>
      <c r="BH172" s="686" t="str">
        <f ca="1">IFERROR(VLOOKUP(BG172,INDIRECT(AQ173),2,FALSE),"----")</f>
        <v>----</v>
      </c>
      <c r="BI172" s="702" t="e">
        <f t="shared" ca="1" si="1377"/>
        <v>#REF!</v>
      </c>
      <c r="BJ172" s="686" t="str">
        <f ca="1">IFERROR(VLOOKUP(BI172,INDIRECT(AQ174),2,FALSE),"----")</f>
        <v>----</v>
      </c>
      <c r="BK172" s="702" t="e">
        <f t="shared" ca="1" si="1378"/>
        <v>#REF!</v>
      </c>
      <c r="BL172" s="686" t="str">
        <f ca="1">IFERROR(VLOOKUP(BK172,INDIRECT(AQ175),2,FALSE),"----")</f>
        <v>----</v>
      </c>
      <c r="BM172" s="702" t="e">
        <f t="shared" ca="1" si="1379"/>
        <v>#REF!</v>
      </c>
      <c r="BN172" s="686" t="str">
        <f ca="1">IFERROR(VLOOKUP(BM172,INDIRECT(AQ176),2,FALSE),"----")</f>
        <v>----</v>
      </c>
      <c r="BO172" s="702" t="e">
        <f t="shared" ca="1" si="1380"/>
        <v>#REF!</v>
      </c>
      <c r="BP172" s="686" t="str">
        <f ca="1">IFERROR(VLOOKUP(BO172,INDIRECT(AQ177),2,FALSE),"----")</f>
        <v>----</v>
      </c>
      <c r="BQ172" s="702" t="e">
        <f t="shared" ca="1" si="1381"/>
        <v>#REF!</v>
      </c>
      <c r="BR172" s="686" t="str">
        <f ca="1">IFERROR(VLOOKUP(BQ172,INDIRECT(AQ178),2,FALSE),"----")</f>
        <v>----</v>
      </c>
      <c r="BS172" s="703">
        <f>IF(AI172="",1,IF(COUNTIF(BF167:BF178,AI172)=0,2,1))</f>
        <v>1</v>
      </c>
      <c r="BT172" s="704">
        <f>IF(AF172="",1,IF(BF167=".",2,1))</f>
        <v>1</v>
      </c>
      <c r="BV172" s="155">
        <f ca="1">IF(COUNTIF(DD167:DD178,AF172)=0,IF(AF172&lt;&gt;"",0,1),1)</f>
        <v>1</v>
      </c>
      <c r="BW172" s="157">
        <f ca="1">IFERROR(MATCH(AF172,DD167:DD178,0),1)</f>
        <v>1</v>
      </c>
      <c r="BX172" s="875" t="s">
        <v>1594</v>
      </c>
      <c r="BY172" s="876"/>
      <c r="BZ172" s="1110"/>
      <c r="CA172" s="691" t="e">
        <f t="shared" ca="1" si="2485"/>
        <v>#REF!</v>
      </c>
      <c r="CB172" s="4" t="e" cm="1">
        <f t="array" aca="1" ref="CB172" ca="1">IF(AND(INDEX(INDIRECT(BY167),CA172,4)&gt;=$AB167,INDEX(INDIRECT(BY167),CA172,5)&gt;=$S167,INDEX(INDIRECT(BY167),CA172,6)&gt;=$R167),1,0)</f>
        <v>#REF!</v>
      </c>
      <c r="CC172" s="4" t="e">
        <f t="shared" ref="CC172" ca="1" si="2568">MATCH(1,OFFSET(CB167:CB178,CD171,0,COUNT(CB167:CB178)-CD171),0)</f>
        <v>#REF!</v>
      </c>
      <c r="CD172" s="4" t="e">
        <f t="shared" ca="1" si="2487"/>
        <v>#REF!</v>
      </c>
      <c r="CE172" s="692" t="str" cm="1">
        <f t="array" aca="1" ref="CE172" ca="1">IFERROR(VLOOKUP(INDEX(CA167:CA178,CD172),INDIRECT(BY167),2,FALSE),"----")</f>
        <v>----</v>
      </c>
      <c r="CF172" s="691" t="e">
        <f t="shared" ca="1" si="2488"/>
        <v>#N/A</v>
      </c>
      <c r="CG172" s="4" t="e">
        <f ca="1">IF(AND(INDEX(SSM,CF172,4)&gt;=$AB167,INDEX(SSM,CF172,5)&gt;=$S167,INDEX(SSM,CF172,6)&gt;=$R167),1,0)</f>
        <v>#N/A</v>
      </c>
      <c r="CH172" s="4" t="e">
        <f t="shared" ref="CH172" ca="1" si="2569">MATCH(1,OFFSET(CG167:CG178,CI171,0,COUNT(CG167:CG178)-CI171),0)</f>
        <v>#REF!</v>
      </c>
      <c r="CI172" s="4" t="e">
        <f t="shared" ca="1" si="2490"/>
        <v>#REF!</v>
      </c>
      <c r="CJ172" s="692" t="str">
        <f ca="1">IFERROR(IF(AD168="Nested Steel Stud (wood infill)",VLOOKUP(INDEX(CF167:CF178,CI172),SSW,2,FALSE),VLOOKUP(INDEX(CF167:CF178,CI172),SSM,2,FALSE)),"----")</f>
        <v>----</v>
      </c>
      <c r="CK172" s="691" t="e">
        <f t="shared" ca="1" si="2491"/>
        <v>#N/A</v>
      </c>
      <c r="CL172" s="4" t="e">
        <f ca="1">IF(AND(INDEX(WSM,CK172,4)&gt;=$AB167,INDEX(WSM,CK172,5)&gt;=$S167,INDEX(WSM,CK172,6)&gt;=$R167),1,0)</f>
        <v>#N/A</v>
      </c>
      <c r="CM172" s="4" t="e">
        <f t="shared" ref="CM172" ca="1" si="2570">MATCH(1,OFFSET(CL167:CL178,CN171,0,COUNT(CL167:CL178)-CN171),0)</f>
        <v>#REF!</v>
      </c>
      <c r="CN172" s="4" t="e">
        <f t="shared" ca="1" si="2493"/>
        <v>#REF!</v>
      </c>
      <c r="CO172" s="692" t="str">
        <f ca="1">IFERROR(VLOOKUP(INDEX(CK167:CK178,CN172),WSM,2,FALSE),"----")</f>
        <v>----</v>
      </c>
      <c r="CP172" s="691" t="e">
        <f t="shared" ca="1" si="2494"/>
        <v>#N/A</v>
      </c>
      <c r="CQ172" s="4" t="e">
        <f ca="1">IF(AND(INDEX(STM,CP172,4)&gt;=$AB167,INDEX(STM,CP172,5)&gt;=$S167,INDEX(STM,CP172,6)&gt;=$R167),1,0)</f>
        <v>#N/A</v>
      </c>
      <c r="CR172" s="4" t="e">
        <f t="shared" ref="CR172" ca="1" si="2571">MATCH(1,OFFSET(CQ167:CQ178,CS171,0,COUNT(CQ167:CQ178)-CS171),0)</f>
        <v>#REF!</v>
      </c>
      <c r="CS172" s="4" t="e">
        <f t="shared" ca="1" si="2496"/>
        <v>#REF!</v>
      </c>
      <c r="CT172" s="692" t="str">
        <f ca="1">IFERROR(VLOOKUP(INDEX(CP167:CP178,CS172),STM,2,FALSE),"----")</f>
        <v>----</v>
      </c>
      <c r="CU172" s="691" t="e">
        <f t="shared" ca="1" si="2497"/>
        <v>#N/A</v>
      </c>
      <c r="CV172" s="4" t="e">
        <f ca="1">IF(AND(INDEX(ELM,CU172,4)&gt;=$AB167,INDEX(ELM,CU172,5)&gt;=$S167,INDEX(ELM,CU172,6)&gt;=$R167),1,0)</f>
        <v>#N/A</v>
      </c>
      <c r="CW172" s="4" t="e">
        <f t="shared" ref="CW172" ca="1" si="2572">MATCH(1,OFFSET(CV167:CV178,CX171,0,COUNT(CV167:CV178)-CX171),0)</f>
        <v>#REF!</v>
      </c>
      <c r="CX172" s="4" t="e">
        <f t="shared" ca="1" si="2499"/>
        <v>#REF!</v>
      </c>
      <c r="CY172" s="692" t="str">
        <f ca="1">IFERROR(VLOOKUP(INDEX(CU167:CU178,CX172),ELM,2,FALSE),"----")</f>
        <v>----</v>
      </c>
      <c r="CZ172" s="691" t="e">
        <f t="shared" ca="1" si="2500"/>
        <v>#N/A</v>
      </c>
      <c r="DA172" s="4" t="e">
        <f ca="1">IF(LEFT($J167,7)="Clad Wo",IF(AND(INDEX(SPPWS,CZ172,4)&gt;=$AB167,INDEX(SPPWS,CZ172,5)&gt;=$S167,INDEX(SPPWS,CZ172,6)&gt;=$R167),1,0),IF(AND(INDEX(SPM,CZ172,4)&gt;=$AB167,INDEX(SPM,CZ172,5)&gt;=$S167,INDEX(SPM,CZ172,6)&gt;=$R167),1,0))</f>
        <v>#N/A</v>
      </c>
      <c r="DB172" s="4" t="e">
        <f t="shared" ref="DB172" ca="1" si="2573">MATCH(1,OFFSET(DA167:DA178,DC171,0,COUNT(DA167:DA178)-DC171),0)</f>
        <v>#REF!</v>
      </c>
      <c r="DC172" s="4" t="e">
        <f t="shared" ca="1" si="2502"/>
        <v>#REF!</v>
      </c>
      <c r="DD172" s="693" t="str">
        <f ca="1">IF(LEFT($J167,7)="Clad Wo",IFERROR(VLOOKUP(INDEX(CZ167:CZ178,DC172),SPPWS,2,FALSE),"----"),IFERROR(VLOOKUP(INDEX(CZ167:CZ178,DC172),SPM,2,FALSE),"----"))</f>
        <v>----</v>
      </c>
      <c r="DE172" s="691" t="e">
        <f t="shared" ca="1" si="2503"/>
        <v>#REF!</v>
      </c>
      <c r="DF172" s="4" t="e" cm="1">
        <f t="array" aca="1" ref="DF172" ca="1">IF(AND(INDEX(INDIRECT(BY167),DE172,4)&gt;=$AB173,INDEX(INDIRECT(BY167),DE172,5)&gt;=$S167,INDEX(INDIRECT(BY167),DE172,6)&gt;=$R167),1,0)</f>
        <v>#REF!</v>
      </c>
      <c r="DG172" s="4" t="e">
        <f t="shared" ref="DG172" ca="1" si="2574">MATCH(1,OFFSET(DF167:DF178,DH171,0,COUNT(DF167:DF178)-DH171),0)</f>
        <v>#REF!</v>
      </c>
      <c r="DH172" s="4" t="e">
        <f t="shared" ca="1" si="2505"/>
        <v>#REF!</v>
      </c>
      <c r="DI172" s="692" t="str" cm="1">
        <f t="array" aca="1" ref="DI172" ca="1">IFERROR(VLOOKUP(INDEX(DE167:DE178,DH172),INDIRECT(BY167),2,FALSE),"----")</f>
        <v>----</v>
      </c>
      <c r="DJ172" s="691" t="e">
        <f t="shared" ca="1" si="2506"/>
        <v>#N/A</v>
      </c>
      <c r="DK172" s="4" t="e">
        <f ca="1">IF(AND(INDEX(SSM,DJ172,4)&gt;=$AB173,INDEX(SSM,DJ172,5)&gt;=$S167,INDEX(SSM,DJ172,6)&gt;=$R167),1,0)</f>
        <v>#N/A</v>
      </c>
      <c r="DL172" s="4" t="e">
        <f t="shared" ref="DL172" ca="1" si="2575">MATCH(1,OFFSET(DK167:DK178,DM171,0,COUNT(DK167:DK178)-DM171),0)</f>
        <v>#REF!</v>
      </c>
      <c r="DM172" s="4" t="e">
        <f t="shared" ca="1" si="2508"/>
        <v>#REF!</v>
      </c>
      <c r="DN172" s="692" t="str">
        <f ca="1">IFERROR(IF(AD174="Nested Steel Stud (wood infill)",VLOOKUP(INDEX(DJ167:DJ178,DM172),SSW,2,FALSE),VLOOKUP(INDEX(DJ167:DJ178,DM172),SSM,2,FALSE)),"----")</f>
        <v>----</v>
      </c>
      <c r="DO172" s="691" t="e">
        <f t="shared" ca="1" si="2509"/>
        <v>#N/A</v>
      </c>
      <c r="DP172" s="4" t="e">
        <f ca="1">IF(AND(INDEX(WSM,DO172,4)&gt;=$AB173,INDEX(WSM,DO172,5)&gt;=$S167,INDEX(WSM,DO172,6)&gt;=$R167),1,0)</f>
        <v>#N/A</v>
      </c>
      <c r="DQ172" s="4" t="e">
        <f t="shared" ref="DQ172" ca="1" si="2576">MATCH(1,OFFSET(DP167:DP178,DR171,0,COUNT(DP167:DP178)-DR171),0)</f>
        <v>#REF!</v>
      </c>
      <c r="DR172" s="4" t="e">
        <f t="shared" ca="1" si="2511"/>
        <v>#REF!</v>
      </c>
      <c r="DS172" s="692" t="str">
        <f ca="1">IFERROR(VLOOKUP(INDEX(DO167:DO178,DR172),WSM,2,FALSE),"----")</f>
        <v>----</v>
      </c>
      <c r="DT172" s="691" t="e">
        <f t="shared" ca="1" si="2512"/>
        <v>#N/A</v>
      </c>
      <c r="DU172" s="4" t="e">
        <f ca="1">IF(AND(INDEX(STM,DT172,4)&gt;=$AB173,INDEX(STM,DT172,5)&gt;=$S167,INDEX(STM,DT172,6)&gt;=$R167),1,0)</f>
        <v>#N/A</v>
      </c>
      <c r="DV172" s="4" t="e">
        <f t="shared" ref="DV172" ca="1" si="2577">MATCH(1,OFFSET(DU167:DU178,DW171,0,COUNT(DU167:DU178)-DW171),0)</f>
        <v>#REF!</v>
      </c>
      <c r="DW172" s="4" t="e">
        <f t="shared" ca="1" si="2514"/>
        <v>#REF!</v>
      </c>
      <c r="DX172" s="692" t="str">
        <f ca="1">IFERROR(VLOOKUP(INDEX(DT167:DT178,DW172),STM,2,FALSE),"----")</f>
        <v>----</v>
      </c>
      <c r="DY172" s="691" t="e">
        <f t="shared" ca="1" si="2515"/>
        <v>#N/A</v>
      </c>
      <c r="DZ172" s="4" t="e">
        <f ca="1">IF(AND(INDEX(ELM,DY172,4)&gt;=$AB173,INDEX(ELM,DY172,5)&gt;=$S167,INDEX(ELM,DY172,6)&gt;=$R167),1,0)</f>
        <v>#N/A</v>
      </c>
      <c r="EA172" s="4" t="e">
        <f t="shared" ref="EA172" ca="1" si="2578">MATCH(1,OFFSET(DZ167:DZ178,EB171,0,COUNT(DZ167:DZ178)-EB171),0)</f>
        <v>#REF!</v>
      </c>
      <c r="EB172" s="4" t="e">
        <f t="shared" ca="1" si="2517"/>
        <v>#REF!</v>
      </c>
      <c r="EC172" s="692" t="str">
        <f ca="1">IFERROR(VLOOKUP(INDEX(DY167:DY178,EB172),ELM,2,FALSE),"----")</f>
        <v>----</v>
      </c>
      <c r="ED172" s="691" t="e">
        <f t="shared" ca="1" si="2518"/>
        <v>#N/A</v>
      </c>
      <c r="EE172" s="4" t="e">
        <f ca="1">IF(LEFT($J167,7)="Clad Wo",IF(AND(INDEX(SPPWS,ED172,4)&gt;=$AB173,INDEX(SPPWS,ED172,5)&gt;=$S167,INDEX(SPPWS,ED172,6)&gt;=$R167),1,0),IF(AND(INDEX(SPM,ED172,4)&gt;=$AB173,INDEX(SPM,ED172,5)&gt;=$S167,INDEX(SPM,ED172,6)&gt;=$R167),1,0))</f>
        <v>#N/A</v>
      </c>
      <c r="EF172" s="4" t="e">
        <f t="shared" ref="EF172" ca="1" si="2579">MATCH(1,OFFSET(EE167:EE178,EG171,0,COUNT(EE167:EE178)-EG171),0)</f>
        <v>#REF!</v>
      </c>
      <c r="EG172" s="4" t="e">
        <f t="shared" ca="1" si="2520"/>
        <v>#REF!</v>
      </c>
      <c r="EH172" s="692" t="str">
        <f ca="1">IF(LEFT($J167,7)="Clad Wo",IFERROR(VLOOKUP(INDEX(ED167:ED178,EG172),SPPWS,2,FALSE),"----"),IFERROR(VLOOKUP(INDEX(ED167:ED178,EG172),SPM,2,FALSE),"----"))</f>
        <v>----</v>
      </c>
    </row>
    <row r="173" spans="1:138" ht="15" customHeight="1" x14ac:dyDescent="0.25">
      <c r="A173" s="1085"/>
      <c r="B173" s="925" t="s">
        <v>409</v>
      </c>
      <c r="C173" s="926"/>
      <c r="D173" s="927"/>
      <c r="E173" s="995"/>
      <c r="F173" s="996"/>
      <c r="G173" s="997"/>
      <c r="H173" s="1062"/>
      <c r="I173" s="990"/>
      <c r="J173" s="908"/>
      <c r="K173" s="909"/>
      <c r="L173" s="1001">
        <f>L167+1</f>
        <v>5</v>
      </c>
      <c r="M173" s="1064" t="str">
        <f t="shared" ref="M173" si="2580">IFERROR(IF($AE$17="",IF($AG$19="Wind Loading",MIN($V$31,IF(E$11="ASCE 7-05",$U$26,$V$7)*$V$9*(IF($E$12&lt;60,0.156*LN(MAX(MIN(500,O167),10)) -1.7618,IF($E$11="ASCE 7-22", 0.2026*LN(MAX(MIN(500,O167),20))-2.2638,0.2503*LN(MAX(MIN(500,O167),20)) -2.5526))-$V$8)),$V$7*IF(E$12&lt;60,$V$13*($V$15*(0.156*LN(MAX(MIN(500,O167),10)) -1.7618)-$V$16),$V$13*$V$15*((0.2026*LN(MAX(MIN(500,O167),20))-2.2638)-$V$16))),-ABS($AE$17)),"")</f>
        <v/>
      </c>
      <c r="N173" s="1041" t="str">
        <f t="shared" ref="N173" si="2581">IFERROR(IF($AE$19="",IF($AG$19="Wind Loading",MAX($U$31,IF(E$11="ASCE 7-05",$U$26,$V$7)*$V$9*((IF($E$12&lt;60,-0.077*LN(MAX(MIN(500,O167),10))+1.1737,IF($E$11="ASCE 7-22",-0.077*LN(MAX(MIN(500,O167),20))+1.0798,-0.093*LN(MAX(MIN(500,O167),20))+1.1776)))+$V$8)),$V$7*IF(E$12&lt;60,$V$13*($V$15*(-0.077*LN(MAX(MIN(500,O167),10))+1.1737)-$V$17),$V$13*$V$15*((-0.077*LN(MAX(MIN(500,O167),20))+1.0798)-$V$17))),ABS($AE$19)),"")</f>
        <v/>
      </c>
      <c r="O173" s="1018"/>
      <c r="P173" s="987"/>
      <c r="Q173" s="1015"/>
      <c r="R173" s="1012">
        <f>P173*Q173/8</f>
        <v>0</v>
      </c>
      <c r="S173" s="1006"/>
      <c r="T173" s="1007"/>
      <c r="U173" s="878"/>
      <c r="V173" s="881"/>
      <c r="W173" s="883" t="e">
        <f t="shared" ref="W173" si="2582">MAX(-M173,N173)*O167</f>
        <v>#VALUE!</v>
      </c>
      <c r="X173" s="884"/>
      <c r="Y173" s="886">
        <f>IFERROR(IF(AG$14="Trapezoidal",BY176,BX176)+IF($E$17="4",(400*E167^3)/(48*X167),0),0)</f>
        <v>0</v>
      </c>
      <c r="Z173" s="886" t="e">
        <f t="shared" ref="Z173" si="2583">+($V167*MAX(-$M173,$N173)*$E167^2)/(144*8)+IF($E$17=4,(400*$E167)/4,0)</f>
        <v>#VALUE!</v>
      </c>
      <c r="AA173" s="887"/>
      <c r="AB173" s="1080" t="str">
        <f t="shared" ref="AB173" ca="1" si="2584">IFERROR(Z173-AA167,"")</f>
        <v/>
      </c>
      <c r="AC173" s="1086" t="str">
        <f t="shared" ref="AC173" ca="1" si="2585">IFERROR(Y173-U167,"")</f>
        <v/>
      </c>
      <c r="AD173" s="1074" t="str">
        <f t="shared" ref="AD173" si="2586">AD167</f>
        <v/>
      </c>
      <c r="AE173" s="1075"/>
      <c r="AF173" s="1056"/>
      <c r="AG173" s="1057"/>
      <c r="AH173" s="1057"/>
      <c r="AI173" s="1088"/>
      <c r="AJ173" s="1089"/>
      <c r="AK173" s="162" t="str">
        <f t="shared" ca="1" si="2393"/>
        <v/>
      </c>
      <c r="AL173" s="1058" t="str">
        <f t="shared" ref="AL173" si="2587">IFERROR(ROUND(SQRT(P167^2+(W173/2+IF($E$17=4,200,0))^2),0),"")</f>
        <v/>
      </c>
      <c r="AM173" s="342" t="s">
        <v>669</v>
      </c>
      <c r="AN173" t="str">
        <f t="shared" ca="1" si="2409"/>
        <v/>
      </c>
      <c r="AP173" s="122" t="str">
        <f t="shared" ref="AP173" si="2588">_xlfn.CONCAT(AR173,AS178)</f>
        <v/>
      </c>
      <c r="AQ173" s="683" t="str">
        <f t="shared" si="1353"/>
        <v/>
      </c>
      <c r="AR173" s="96" t="str">
        <f t="shared" si="2378"/>
        <v/>
      </c>
      <c r="AS173" s="96" t="str">
        <f>IF(COUNTIF(imp_1,AF173)=1,"imp_1",IF(COUNTIF(imp_2,AF173)=1,"imp_2",IF(COUNTIF(imp_3,AF173)=1,"imp_3",IF(COUNTIF(impdoor,AF173)=1,"impdoor",""))))</f>
        <v/>
      </c>
      <c r="AT173" s="684" t="str">
        <f>AL173</f>
        <v/>
      </c>
      <c r="AU173" s="685" t="e">
        <f t="shared" ca="1" si="1370"/>
        <v>#REF!</v>
      </c>
      <c r="AV173" s="686" t="str">
        <f ca="1">IFERROR(VLOOKUP(AU173,INDIRECT(AQ167),2,FALSE),"----")</f>
        <v>----</v>
      </c>
      <c r="AW173" s="685" t="e">
        <f t="shared" ca="1" si="1371"/>
        <v>#REF!</v>
      </c>
      <c r="AX173" s="686" t="str">
        <f ca="1">IFERROR(VLOOKUP(AW173,INDIRECT(AQ168),2,FALSE),"----")</f>
        <v>----</v>
      </c>
      <c r="AY173" s="685" t="e">
        <f t="shared" ca="1" si="2566"/>
        <v>#REF!</v>
      </c>
      <c r="AZ173" s="686" t="str">
        <f ca="1">IFERROR(VLOOKUP(AY173,INDIRECT(AQ169),2,FALSE),"----")</f>
        <v>----</v>
      </c>
      <c r="BA173" s="685" t="e">
        <f t="shared" ca="1" si="2567"/>
        <v>#REF!</v>
      </c>
      <c r="BB173" s="686" t="str">
        <f ca="1">IFERROR(VLOOKUP(BA173,INDIRECT(AQ170),2,FALSE),"----")</f>
        <v>----</v>
      </c>
      <c r="BC173" s="685" t="e">
        <f t="shared" ca="1" si="1374"/>
        <v>#REF!</v>
      </c>
      <c r="BD173" s="686" t="str">
        <f ca="1">IFERROR(VLOOKUP(BC173,INDIRECT(AQ171),2,FALSE),"----")</f>
        <v>----</v>
      </c>
      <c r="BE173" s="685" t="e">
        <f t="shared" ca="1" si="1375"/>
        <v>#REF!</v>
      </c>
      <c r="BF173" s="686" t="str">
        <f ca="1">IFERROR(VLOOKUP(BE173,INDIRECT(AQ172),2,FALSE),"----")</f>
        <v>----</v>
      </c>
      <c r="BG173" s="702" t="e">
        <f t="shared" ca="1" si="1376"/>
        <v>#REF!</v>
      </c>
      <c r="BH173" s="686" t="str">
        <f ca="1">IFERROR(VLOOKUP(BG173,INDIRECT(AQ173),2,FALSE),"----")</f>
        <v>----</v>
      </c>
      <c r="BI173" s="702" t="e">
        <f t="shared" ca="1" si="1377"/>
        <v>#REF!</v>
      </c>
      <c r="BJ173" s="686" t="str">
        <f ca="1">IFERROR(VLOOKUP(BI173,INDIRECT(AQ174),2,FALSE),"----")</f>
        <v>----</v>
      </c>
      <c r="BK173" s="702" t="e">
        <f t="shared" ca="1" si="1378"/>
        <v>#REF!</v>
      </c>
      <c r="BL173" s="686" t="str">
        <f ca="1">IFERROR(VLOOKUP(BK173,INDIRECT(AQ175),2,FALSE),"----")</f>
        <v>----</v>
      </c>
      <c r="BM173" s="702" t="e">
        <f t="shared" ca="1" si="1379"/>
        <v>#REF!</v>
      </c>
      <c r="BN173" s="686" t="str">
        <f ca="1">IFERROR(VLOOKUP(BM173,INDIRECT(AQ176),2,FALSE),"----")</f>
        <v>----</v>
      </c>
      <c r="BO173" s="702" t="e">
        <f t="shared" ca="1" si="1380"/>
        <v>#REF!</v>
      </c>
      <c r="BP173" s="686" t="str">
        <f ca="1">IFERROR(VLOOKUP(BO173,INDIRECT(AQ177),2,FALSE),"----")</f>
        <v>----</v>
      </c>
      <c r="BQ173" s="702" t="e">
        <f t="shared" ca="1" si="1381"/>
        <v>#REF!</v>
      </c>
      <c r="BR173" s="686" t="str">
        <f ca="1">IFERROR(VLOOKUP(BQ173,INDIRECT(AQ178),2,FALSE),"----")</f>
        <v>----</v>
      </c>
      <c r="BS173" s="695">
        <f>IF(AI173="",1,IF(COUNTIF(BH167:BH178,AI173)=0,2,1))</f>
        <v>1</v>
      </c>
      <c r="BT173" s="696">
        <f>IF(AP173="1",1,IF(AF173="",1,IF(BH167=".",2,1)))</f>
        <v>1</v>
      </c>
      <c r="BU173" s="706"/>
      <c r="BV173" s="155">
        <f ca="1">IF(COUNTIF(DI167:DI178,AF173)=0,IF(AF173&lt;&gt;"",0,1),1)</f>
        <v>1</v>
      </c>
      <c r="BW173" s="157">
        <f ca="1">IFERROR(MATCH(AF173,DI167:DI178,0),1)</f>
        <v>1</v>
      </c>
      <c r="BX173" s="769" t="s">
        <v>1593</v>
      </c>
      <c r="BY173" s="769" t="s">
        <v>1629</v>
      </c>
      <c r="BZ173" s="1110"/>
      <c r="CA173" s="691" t="e">
        <f t="shared" ca="1" si="2485"/>
        <v>#REF!</v>
      </c>
      <c r="CB173" s="4" t="e" cm="1">
        <f t="array" aca="1" ref="CB173" ca="1">IF(AND(INDEX(INDIRECT(BY167),CA173,4)&gt;=$AB167,INDEX(INDIRECT(BY167),CA173,5)&gt;=$S167,INDEX(INDIRECT(BY167),CA173,6)&gt;=$R167),1,0)</f>
        <v>#REF!</v>
      </c>
      <c r="CC173" s="4" t="e">
        <f t="shared" ref="CC173" ca="1" si="2589">MATCH(1,OFFSET(CB167:CB178,CD172,0,COUNT(CB167:CB178)-CD172),0)</f>
        <v>#REF!</v>
      </c>
      <c r="CD173" s="4" t="e">
        <f t="shared" ca="1" si="2487"/>
        <v>#REF!</v>
      </c>
      <c r="CE173" s="692" t="str" cm="1">
        <f t="array" aca="1" ref="CE173" ca="1">IFERROR(VLOOKUP(INDEX(CA167:CA178,CD173),INDIRECT(BY167),2,FALSE),"----")</f>
        <v>----</v>
      </c>
      <c r="CF173" s="691" t="e">
        <f t="shared" ca="1" si="2488"/>
        <v>#N/A</v>
      </c>
      <c r="CG173" s="4" t="e">
        <f ca="1">IF(AND(INDEX(SSM,CF173,4)&gt;=$AB167,INDEX(SSM,CF173,5)&gt;=$S167,INDEX(SSM,CF173,6)&gt;=$R167),1,0)</f>
        <v>#N/A</v>
      </c>
      <c r="CH173" s="4" t="e">
        <f t="shared" ref="CH173" ca="1" si="2590">MATCH(1,OFFSET(CG167:CG178,CI172,0,COUNT(CG167:CG178)-CI172),0)</f>
        <v>#REF!</v>
      </c>
      <c r="CI173" s="4" t="e">
        <f t="shared" ca="1" si="2490"/>
        <v>#REF!</v>
      </c>
      <c r="CJ173" s="692" t="str">
        <f ca="1">IFERROR(IF(AD168="Nested Steel Stud (wood infill)",VLOOKUP(INDEX(CF167:CF178,CI173),SSW,2,FALSE),VLOOKUP(INDEX(CF167:CF178,CI173),SSM,2,FALSE)),"----")</f>
        <v>----</v>
      </c>
      <c r="CK173" s="691" t="e">
        <f t="shared" ca="1" si="2491"/>
        <v>#N/A</v>
      </c>
      <c r="CL173" s="4" t="e">
        <f ca="1">IF(AND(INDEX(WSM,CK173,4)&gt;=$AB167,INDEX(WSM,CK173,5)&gt;=$S167,INDEX(WSM,CK173,6)&gt;=$R167),1,0)</f>
        <v>#N/A</v>
      </c>
      <c r="CM173" s="4" t="e">
        <f t="shared" ref="CM173" ca="1" si="2591">MATCH(1,OFFSET(CL167:CL178,CN172,0,COUNT(CL167:CL178)-CN172),0)</f>
        <v>#REF!</v>
      </c>
      <c r="CN173" s="4" t="e">
        <f t="shared" ca="1" si="2493"/>
        <v>#REF!</v>
      </c>
      <c r="CO173" s="692" t="str">
        <f ca="1">IFERROR(VLOOKUP(INDEX(CK167:CK178,CN173),WSM,2,FALSE),"----")</f>
        <v>----</v>
      </c>
      <c r="CP173" s="691" t="e">
        <f t="shared" ca="1" si="2494"/>
        <v>#N/A</v>
      </c>
      <c r="CQ173" s="4" t="e">
        <f ca="1">IF(AND(INDEX(STM,CP173,4)&gt;=$AB167,INDEX(STM,CP173,5)&gt;=$S167,INDEX(STM,CP173,6)&gt;=$R167),1,0)</f>
        <v>#N/A</v>
      </c>
      <c r="CR173" s="4" t="e">
        <f t="shared" ref="CR173" ca="1" si="2592">MATCH(1,OFFSET(CQ167:CQ178,CS172,0,COUNT(CQ167:CQ178)-CS172),0)</f>
        <v>#REF!</v>
      </c>
      <c r="CS173" s="4" t="e">
        <f t="shared" ca="1" si="2496"/>
        <v>#REF!</v>
      </c>
      <c r="CT173" s="692" t="str">
        <f ca="1">IFERROR(VLOOKUP(INDEX(CP167:CP178,CS173),STM,2,FALSE),"----")</f>
        <v>----</v>
      </c>
      <c r="CU173" s="691" t="e">
        <f t="shared" ca="1" si="2497"/>
        <v>#N/A</v>
      </c>
      <c r="CV173" s="4" t="e">
        <f ca="1">IF(AND(INDEX(ELM,CU173,4)&gt;=$AB167,INDEX(ELM,CU173,5)&gt;=$S167,INDEX(ELM,CU173,6)&gt;=$R167),1,0)</f>
        <v>#N/A</v>
      </c>
      <c r="CW173" s="4" t="e">
        <f t="shared" ref="CW173" ca="1" si="2593">MATCH(1,OFFSET(CV167:CV178,CX172,0,COUNT(CV167:CV178)-CX172),0)</f>
        <v>#REF!</v>
      </c>
      <c r="CX173" s="4" t="e">
        <f t="shared" ca="1" si="2499"/>
        <v>#REF!</v>
      </c>
      <c r="CY173" s="692" t="str">
        <f ca="1">IFERROR(VLOOKUP(INDEX(CU167:CU178,CX173),ELM,2,FALSE),"----")</f>
        <v>----</v>
      </c>
      <c r="CZ173" s="691" t="e">
        <f t="shared" ca="1" si="2500"/>
        <v>#N/A</v>
      </c>
      <c r="DA173" s="4" t="e">
        <f ca="1">IF(LEFT($J167,7)="Clad Wo",IF(AND(INDEX(SPPWS,CZ173,4)&gt;=$AB167,INDEX(SPPWS,CZ173,5)&gt;=$S167,INDEX(SPPWS,CZ173,6)&gt;=$R167),1,0),IF(AND(INDEX(SPM,CZ173,4)&gt;=$AB167,INDEX(SPM,CZ173,5)&gt;=$S167,INDEX(SPM,CZ173,6)&gt;=$R167),1,0))</f>
        <v>#N/A</v>
      </c>
      <c r="DB173" s="4" t="e">
        <f t="shared" ref="DB173" ca="1" si="2594">MATCH(1,OFFSET(DA167:DA178,DC172,0,COUNT(DA167:DA178)-DC172),0)</f>
        <v>#REF!</v>
      </c>
      <c r="DC173" s="4" t="e">
        <f t="shared" ca="1" si="2502"/>
        <v>#REF!</v>
      </c>
      <c r="DD173" s="693" t="str">
        <f ca="1">IF(LEFT($J167,7)="Clad Wo",IFERROR(VLOOKUP(INDEX(CZ167:CZ178,DC173),SPPWS,2,FALSE),"----"),IFERROR(VLOOKUP(INDEX(CZ167:CZ178,DC173),SPM,2,FALSE),"----"))</f>
        <v>----</v>
      </c>
      <c r="DE173" s="691" t="e">
        <f t="shared" ca="1" si="2503"/>
        <v>#REF!</v>
      </c>
      <c r="DF173" s="4" t="e" cm="1">
        <f t="array" aca="1" ref="DF173" ca="1">IF(AND(INDEX(INDIRECT(BY167),DE173,4)&gt;=$AB173,INDEX(INDIRECT(BY167),DE173,5)&gt;=$S167,INDEX(INDIRECT(BY167),DE173,6)&gt;=$R167),1,0)</f>
        <v>#REF!</v>
      </c>
      <c r="DG173" s="4" t="e">
        <f t="shared" ref="DG173" ca="1" si="2595">MATCH(1,OFFSET(DF167:DF178,DH172,0,COUNT(DF167:DF178)-DH172),0)</f>
        <v>#REF!</v>
      </c>
      <c r="DH173" s="4" t="e">
        <f t="shared" ca="1" si="2505"/>
        <v>#REF!</v>
      </c>
      <c r="DI173" s="692" t="str" cm="1">
        <f t="array" aca="1" ref="DI173" ca="1">IFERROR(VLOOKUP(INDEX(DE167:DE178,DH173),INDIRECT(BY167),2,FALSE),"----")</f>
        <v>----</v>
      </c>
      <c r="DJ173" s="691" t="e">
        <f t="shared" ca="1" si="2506"/>
        <v>#N/A</v>
      </c>
      <c r="DK173" s="4" t="e">
        <f ca="1">IF(AND(INDEX(SSM,DJ173,4)&gt;=$AB173,INDEX(SSM,DJ173,5)&gt;=$S167,INDEX(SSM,DJ173,6)&gt;=$R167),1,0)</f>
        <v>#N/A</v>
      </c>
      <c r="DL173" s="4" t="e">
        <f t="shared" ref="DL173" ca="1" si="2596">MATCH(1,OFFSET(DK167:DK178,DM172,0,COUNT(DK167:DK178)-DM172),0)</f>
        <v>#REF!</v>
      </c>
      <c r="DM173" s="4" t="e">
        <f t="shared" ca="1" si="2508"/>
        <v>#REF!</v>
      </c>
      <c r="DN173" s="692" t="str">
        <f ca="1">IFERROR(IF(AD174="Nested Steel Stud (wood infill)",VLOOKUP(INDEX(DJ167:DJ178,DM173),SSW,2,FALSE),VLOOKUP(INDEX(DJ167:DJ178,DM173),SSM,2,FALSE)),"----")</f>
        <v>----</v>
      </c>
      <c r="DO173" s="691" t="e">
        <f t="shared" ca="1" si="2509"/>
        <v>#N/A</v>
      </c>
      <c r="DP173" s="4" t="e">
        <f ca="1">IF(AND(INDEX(WSM,DO173,4)&gt;=$AB173,INDEX(WSM,DO173,5)&gt;=$S167,INDEX(WSM,DO173,6)&gt;=$R167),1,0)</f>
        <v>#N/A</v>
      </c>
      <c r="DQ173" s="4" t="e">
        <f t="shared" ref="DQ173" ca="1" si="2597">MATCH(1,OFFSET(DP167:DP178,DR172,0,COUNT(DP167:DP178)-DR172),0)</f>
        <v>#REF!</v>
      </c>
      <c r="DR173" s="4" t="e">
        <f t="shared" ca="1" si="2511"/>
        <v>#REF!</v>
      </c>
      <c r="DS173" s="692" t="str">
        <f ca="1">IFERROR(VLOOKUP(INDEX(DO167:DO178,DR173),WSM,2,FALSE),"----")</f>
        <v>----</v>
      </c>
      <c r="DT173" s="691" t="e">
        <f t="shared" ca="1" si="2512"/>
        <v>#N/A</v>
      </c>
      <c r="DU173" s="4" t="e">
        <f ca="1">IF(AND(INDEX(STM,DT173,4)&gt;=$AB173,INDEX(STM,DT173,5)&gt;=$S167,INDEX(STM,DT173,6)&gt;=$R167),1,0)</f>
        <v>#N/A</v>
      </c>
      <c r="DV173" s="4" t="e">
        <f t="shared" ref="DV173" ca="1" si="2598">MATCH(1,OFFSET(DU167:DU178,DW172,0,COUNT(DU167:DU178)-DW172),0)</f>
        <v>#REF!</v>
      </c>
      <c r="DW173" s="4" t="e">
        <f t="shared" ca="1" si="2514"/>
        <v>#REF!</v>
      </c>
      <c r="DX173" s="692" t="str">
        <f ca="1">IFERROR(VLOOKUP(INDEX(DT167:DT178,DW173),STM,2,FALSE),"----")</f>
        <v>----</v>
      </c>
      <c r="DY173" s="691" t="e">
        <f t="shared" ca="1" si="2515"/>
        <v>#N/A</v>
      </c>
      <c r="DZ173" s="4" t="e">
        <f ca="1">IF(AND(INDEX(ELM,DY173,4)&gt;=$AB173,INDEX(ELM,DY173,5)&gt;=$S167,INDEX(ELM,DY173,6)&gt;=$R167),1,0)</f>
        <v>#N/A</v>
      </c>
      <c r="EA173" s="4" t="e">
        <f t="shared" ref="EA173" ca="1" si="2599">MATCH(1,OFFSET(DZ167:DZ178,EB172,0,COUNT(DZ167:DZ178)-EB172),0)</f>
        <v>#REF!</v>
      </c>
      <c r="EB173" s="4" t="e">
        <f t="shared" ca="1" si="2517"/>
        <v>#REF!</v>
      </c>
      <c r="EC173" s="692" t="str">
        <f ca="1">IFERROR(VLOOKUP(INDEX(DY167:DY178,EB173),ELM,2,FALSE),"----")</f>
        <v>----</v>
      </c>
      <c r="ED173" s="691" t="e">
        <f t="shared" ca="1" si="2518"/>
        <v>#N/A</v>
      </c>
      <c r="EE173" s="4" t="e">
        <f ca="1">IF(LEFT($J167,7)="Clad Wo",IF(AND(INDEX(SPPWS,ED173,4)&gt;=$AB173,INDEX(SPPWS,ED173,5)&gt;=$S167,INDEX(SPPWS,ED173,6)&gt;=$R167),1,0),IF(AND(INDEX(SPM,ED173,4)&gt;=$AB173,INDEX(SPM,ED173,5)&gt;=$S167,INDEX(SPM,ED173,6)&gt;=$R167),1,0))</f>
        <v>#N/A</v>
      </c>
      <c r="EF173" s="4" t="e">
        <f t="shared" ref="EF173" ca="1" si="2600">MATCH(1,OFFSET(EE167:EE178,EG172,0,COUNT(EE167:EE178)-EG172),0)</f>
        <v>#REF!</v>
      </c>
      <c r="EG173" s="4" t="e">
        <f t="shared" ca="1" si="2520"/>
        <v>#REF!</v>
      </c>
      <c r="EH173" s="692" t="str">
        <f ca="1">IF(LEFT($J167,7)="Clad Wo",IFERROR(VLOOKUP(INDEX(ED167:ED178,EG173),SPPWS,2,FALSE),"----"),IFERROR(VLOOKUP(INDEX(ED167:ED178,EG173),SPM,2,FALSE),"----"))</f>
        <v>----</v>
      </c>
    </row>
    <row r="174" spans="1:138" ht="15" customHeight="1" x14ac:dyDescent="0.25">
      <c r="A174" s="1085"/>
      <c r="B174" s="925"/>
      <c r="C174" s="926"/>
      <c r="D174" s="927"/>
      <c r="E174" s="995"/>
      <c r="F174" s="996"/>
      <c r="G174" s="997"/>
      <c r="H174" s="1062"/>
      <c r="I174" s="990"/>
      <c r="J174" s="912"/>
      <c r="K174" s="913"/>
      <c r="L174" s="1002"/>
      <c r="M174" s="923"/>
      <c r="N174" s="1042"/>
      <c r="O174" s="1018"/>
      <c r="P174" s="987"/>
      <c r="Q174" s="1015"/>
      <c r="R174" s="1012"/>
      <c r="S174" s="1006"/>
      <c r="T174" s="1007"/>
      <c r="U174" s="878"/>
      <c r="V174" s="881"/>
      <c r="W174" s="884"/>
      <c r="X174" s="884"/>
      <c r="Y174" s="887"/>
      <c r="Z174" s="887"/>
      <c r="AA174" s="887"/>
      <c r="AB174" s="1081"/>
      <c r="AC174" s="1078"/>
      <c r="AD174" s="1070" t="str">
        <f t="shared" ref="AD174" si="2601">IF(ISBLANK(AD168)=TRUE,"",AD168)</f>
        <v>Nested Steel Stud</v>
      </c>
      <c r="AE174" s="1071"/>
      <c r="AF174" s="1052"/>
      <c r="AG174" s="1053"/>
      <c r="AH174" s="1053"/>
      <c r="AI174" s="1066"/>
      <c r="AJ174" s="1067"/>
      <c r="AK174" s="156" t="str">
        <f t="shared" ca="1" si="2393"/>
        <v/>
      </c>
      <c r="AL174" s="1059"/>
      <c r="AM174" s="343" t="str">
        <f ca="1">IFERROR(Q167/12*ROUND(VLOOKUP(AF174,OFFSET(SSM,0,1),6,FALSE),2),"")</f>
        <v/>
      </c>
      <c r="AN174" t="str">
        <f t="shared" ca="1" si="2409"/>
        <v/>
      </c>
      <c r="AP174" s="122" t="str">
        <f t="shared" ref="AP174" si="2602">_xlfn.CONCAT(AR174,AS178)</f>
        <v/>
      </c>
      <c r="AQ174" s="683" t="str">
        <f t="shared" si="1353"/>
        <v/>
      </c>
      <c r="AR174" s="96" t="str">
        <f t="shared" si="2378"/>
        <v/>
      </c>
      <c r="AS174" s="96" t="str">
        <f>IF(COUNTIF(Vista_1,AF173)=1,"Vista_1",IF(COUNTIF(Vista_2,AF173)=1,"Vista_2",""))</f>
        <v/>
      </c>
      <c r="AT174" s="684" t="str">
        <f>AL173</f>
        <v/>
      </c>
      <c r="AU174" s="694" t="e">
        <f t="shared" ca="1" si="1370"/>
        <v>#REF!</v>
      </c>
      <c r="AV174" s="686" t="str">
        <f ca="1">IFERROR(VLOOKUP(AU174,INDIRECT(AQ167),2,FALSE),"----")</f>
        <v>----</v>
      </c>
      <c r="AW174" s="694" t="e">
        <f t="shared" ca="1" si="1371"/>
        <v>#REF!</v>
      </c>
      <c r="AX174" s="686" t="str">
        <f ca="1">IFERROR(VLOOKUP(AW174,INDIRECT(AQ168),2,FALSE),"----")</f>
        <v>----</v>
      </c>
      <c r="AY174" s="694" t="e">
        <f t="shared" ca="1" si="2566"/>
        <v>#REF!</v>
      </c>
      <c r="AZ174" s="686" t="str">
        <f ca="1">IFERROR(VLOOKUP(AY174,INDIRECT(AQ169),2,FALSE),"----")</f>
        <v>----</v>
      </c>
      <c r="BA174" s="694" t="e">
        <f t="shared" ca="1" si="2567"/>
        <v>#REF!</v>
      </c>
      <c r="BB174" s="686" t="str">
        <f ca="1">IFERROR(VLOOKUP(BA174,INDIRECT(AQ170),2,FALSE),"----")</f>
        <v>----</v>
      </c>
      <c r="BC174" s="694" t="e">
        <f t="shared" ca="1" si="1374"/>
        <v>#REF!</v>
      </c>
      <c r="BD174" s="686" t="str">
        <f ca="1">IFERROR(VLOOKUP(BC174,INDIRECT(AQ171),2,FALSE),"----")</f>
        <v>----</v>
      </c>
      <c r="BE174" s="694" t="e">
        <f t="shared" ca="1" si="1375"/>
        <v>#REF!</v>
      </c>
      <c r="BF174" s="686" t="str">
        <f ca="1">IFERROR(VLOOKUP(BE174,INDIRECT(AQ172),2,FALSE),"----")</f>
        <v>----</v>
      </c>
      <c r="BG174" s="702" t="e">
        <f t="shared" ca="1" si="1376"/>
        <v>#REF!</v>
      </c>
      <c r="BH174" s="686" t="str">
        <f ca="1">IFERROR(VLOOKUP(BG174,INDIRECT(AQ173),2,FALSE),"----")</f>
        <v>----</v>
      </c>
      <c r="BI174" s="702" t="e">
        <f t="shared" ca="1" si="1377"/>
        <v>#REF!</v>
      </c>
      <c r="BJ174" s="686" t="str">
        <f ca="1">IFERROR(VLOOKUP(BI174,INDIRECT(AQ174),2,FALSE),"----")</f>
        <v>----</v>
      </c>
      <c r="BK174" s="702" t="e">
        <f t="shared" ca="1" si="1378"/>
        <v>#REF!</v>
      </c>
      <c r="BL174" s="686" t="str">
        <f ca="1">IFERROR(VLOOKUP(BK174,INDIRECT(AQ175),2,FALSE),"----")</f>
        <v>----</v>
      </c>
      <c r="BM174" s="702" t="e">
        <f t="shared" ca="1" si="1379"/>
        <v>#REF!</v>
      </c>
      <c r="BN174" s="686" t="str">
        <f ca="1">IFERROR(VLOOKUP(BM174,INDIRECT(AQ176),2,FALSE),"----")</f>
        <v>----</v>
      </c>
      <c r="BO174" s="702" t="e">
        <f t="shared" ca="1" si="1380"/>
        <v>#REF!</v>
      </c>
      <c r="BP174" s="686" t="str">
        <f ca="1">IFERROR(VLOOKUP(BO174,INDIRECT(AQ177),2,FALSE),"----")</f>
        <v>----</v>
      </c>
      <c r="BQ174" s="702" t="e">
        <f t="shared" ca="1" si="1381"/>
        <v>#REF!</v>
      </c>
      <c r="BR174" s="686" t="str">
        <f ca="1">IFERROR(VLOOKUP(BQ174,INDIRECT(AQ178),2,FALSE),"----")</f>
        <v>----</v>
      </c>
      <c r="BS174" s="695">
        <f>IF(AI174="",1,IF(COUNTIF(BJ167:BJ178,AI174)=0,2,1))</f>
        <v>1</v>
      </c>
      <c r="BT174" s="696">
        <f>IF(AF174="",1,IF(BJ167=".",2,1))</f>
        <v>1</v>
      </c>
      <c r="BU174" s="706"/>
      <c r="BV174" s="155">
        <f ca="1">IF(COUNTIF(DN167:DN178,AF174)=0,IF(AF174&lt;&gt;"",0,1),1)</f>
        <v>1</v>
      </c>
      <c r="BW174" s="157">
        <f ca="1">IFERROR(MATCH(AF174,DN167:DN178,0),1)</f>
        <v>1</v>
      </c>
      <c r="BX174" s="769">
        <f t="shared" ref="BX174" si="2603">E167*(H167+I167)/144/2</f>
        <v>0</v>
      </c>
      <c r="BY174" s="769">
        <f>SUM(IF(H167&gt;E167,E167^2/4,(H167*E167/2)-(H167^2/4))/144,IF(I167&gt;E167,E167^2/4,(I167*E167/2)-(I167^2/4))/144)</f>
        <v>0</v>
      </c>
      <c r="BZ174" s="1110"/>
      <c r="CA174" s="691" t="e">
        <f t="shared" ca="1" si="2485"/>
        <v>#REF!</v>
      </c>
      <c r="CB174" s="4" t="e" cm="1">
        <f t="array" aca="1" ref="CB174" ca="1">IF(AND(INDEX(INDIRECT(BY167),CA174,4)&gt;=$AB167,INDEX(INDIRECT(BY167),CA174,5)&gt;=$S167,INDEX(INDIRECT(BY167),CA174,6)&gt;=$R167),1,0)</f>
        <v>#REF!</v>
      </c>
      <c r="CC174" s="4" t="e">
        <f t="shared" ref="CC174" ca="1" si="2604">MATCH(1,OFFSET(CB167:CB178,CD173,0,COUNT(CB167:CB178)-CD173),0)</f>
        <v>#REF!</v>
      </c>
      <c r="CD174" s="4" t="e">
        <f t="shared" ca="1" si="2487"/>
        <v>#REF!</v>
      </c>
      <c r="CE174" s="692" t="str" cm="1">
        <f t="array" aca="1" ref="CE174" ca="1">IFERROR(VLOOKUP(INDEX(CA167:CA178,CD174),INDIRECT(BY167),2,FALSE),"----")</f>
        <v>----</v>
      </c>
      <c r="CF174" s="691" t="e">
        <f t="shared" ca="1" si="2488"/>
        <v>#N/A</v>
      </c>
      <c r="CG174" s="4" t="e">
        <f ca="1">IF(AND(INDEX(SSM,CF174,4)&gt;=$AB167,INDEX(SSM,CF174,5)&gt;=$S167,INDEX(SSM,CF174,6)&gt;=$R167),1,0)</f>
        <v>#N/A</v>
      </c>
      <c r="CH174" s="4" t="e">
        <f t="shared" ref="CH174" ca="1" si="2605">MATCH(1,OFFSET(CG167:CG178,CI173,0,COUNT(CG167:CG178)-CI173),0)</f>
        <v>#REF!</v>
      </c>
      <c r="CI174" s="4" t="e">
        <f t="shared" ca="1" si="2490"/>
        <v>#REF!</v>
      </c>
      <c r="CJ174" s="692" t="str">
        <f ca="1">IFERROR(IF(AD168="Nested Steel Stud (wood infill)",VLOOKUP(INDEX(CF167:CF178,CI174),SSW,2,FALSE),VLOOKUP(INDEX(CF167:CF178,CI174),SSM,2,FALSE)),"----")</f>
        <v>----</v>
      </c>
      <c r="CK174" s="691" t="e">
        <f t="shared" ca="1" si="2491"/>
        <v>#N/A</v>
      </c>
      <c r="CL174" s="4" t="e">
        <f ca="1">IF(AND(INDEX(WSM,CK174,4)&gt;=$AB167,INDEX(WSM,CK174,5)&gt;=$S167,INDEX(WSM,CK174,6)&gt;=$R167),1,0)</f>
        <v>#N/A</v>
      </c>
      <c r="CM174" s="4" t="e">
        <f t="shared" ref="CM174" ca="1" si="2606">MATCH(1,OFFSET(CL167:CL178,CN173,0,COUNT(CL167:CL178)-CN173),0)</f>
        <v>#REF!</v>
      </c>
      <c r="CN174" s="4" t="e">
        <f t="shared" ca="1" si="2493"/>
        <v>#REF!</v>
      </c>
      <c r="CO174" s="692" t="str">
        <f ca="1">IFERROR(VLOOKUP(INDEX(CK167:CK178,CN174),WSM,2,FALSE),"----")</f>
        <v>----</v>
      </c>
      <c r="CP174" s="691" t="e">
        <f t="shared" ca="1" si="2494"/>
        <v>#N/A</v>
      </c>
      <c r="CQ174" s="4" t="e">
        <f ca="1">IF(AND(INDEX(STM,CP174,4)&gt;=$AB167,INDEX(STM,CP174,5)&gt;=$S167,INDEX(STM,CP174,6)&gt;=$R167),1,0)</f>
        <v>#N/A</v>
      </c>
      <c r="CR174" s="4" t="e">
        <f t="shared" ref="CR174" ca="1" si="2607">MATCH(1,OFFSET(CQ167:CQ178,CS173,0,COUNT(CQ167:CQ178)-CS173),0)</f>
        <v>#REF!</v>
      </c>
      <c r="CS174" s="4" t="e">
        <f t="shared" ca="1" si="2496"/>
        <v>#REF!</v>
      </c>
      <c r="CT174" s="692" t="str">
        <f ca="1">IFERROR(VLOOKUP(INDEX(CP167:CP178,CS174),STM,2,FALSE),"----")</f>
        <v>----</v>
      </c>
      <c r="CU174" s="691" t="e">
        <f t="shared" ca="1" si="2497"/>
        <v>#N/A</v>
      </c>
      <c r="CV174" s="4" t="e">
        <f ca="1">IF(AND(INDEX(ELM,CU174,4)&gt;=$AB167,INDEX(ELM,CU174,5)&gt;=$S167,INDEX(ELM,CU174,6)&gt;=$R167),1,0)</f>
        <v>#N/A</v>
      </c>
      <c r="CW174" s="4" t="e">
        <f t="shared" ref="CW174" ca="1" si="2608">MATCH(1,OFFSET(CV167:CV178,CX173,0,COUNT(CV167:CV178)-CX173),0)</f>
        <v>#REF!</v>
      </c>
      <c r="CX174" s="4" t="e">
        <f t="shared" ca="1" si="2499"/>
        <v>#REF!</v>
      </c>
      <c r="CY174" s="692" t="str">
        <f ca="1">IFERROR(VLOOKUP(INDEX(CU167:CU178,CX174),ELM,2,FALSE),"----")</f>
        <v>----</v>
      </c>
      <c r="CZ174" s="691" t="e">
        <f t="shared" ca="1" si="2500"/>
        <v>#N/A</v>
      </c>
      <c r="DA174" s="4" t="e">
        <f ca="1">IF(LEFT($J167,7)="Clad Wo",IF(AND(INDEX(SPPWS,CZ174,4)&gt;=$AB167,INDEX(SPPWS,CZ174,5)&gt;=$S167,INDEX(SPPWS,CZ174,6)&gt;=$R167),1,0),IF(AND(INDEX(SPM,CZ174,4)&gt;=$AB167,INDEX(SPM,CZ174,5)&gt;=$S167,INDEX(SPM,CZ174,6)&gt;=$R167),1,0))</f>
        <v>#N/A</v>
      </c>
      <c r="DB174" s="4" t="e">
        <f t="shared" ref="DB174" ca="1" si="2609">MATCH(1,OFFSET(DA167:DA178,DC173,0,COUNT(DA167:DA178)-DC173),0)</f>
        <v>#REF!</v>
      </c>
      <c r="DC174" s="4" t="e">
        <f t="shared" ca="1" si="2502"/>
        <v>#REF!</v>
      </c>
      <c r="DD174" s="693" t="str">
        <f ca="1">IF(LEFT($J167,7)="Clad Wo",IFERROR(VLOOKUP(INDEX(CZ167:CZ178,DC174),SPPWS,2,FALSE),"----"),IFERROR(VLOOKUP(INDEX(CZ167:CZ178,DC174),SPM,2,FALSE),"----"))</f>
        <v>----</v>
      </c>
      <c r="DE174" s="691" t="e">
        <f t="shared" ca="1" si="2503"/>
        <v>#REF!</v>
      </c>
      <c r="DF174" s="4" t="e" cm="1">
        <f t="array" aca="1" ref="DF174" ca="1">IF(AND(INDEX(INDIRECT(BY167),DE174,4)&gt;=$AB173,INDEX(INDIRECT(BY167),DE174,5)&gt;=$S167,INDEX(INDIRECT(BY167),DE174,6)&gt;=$R167),1,0)</f>
        <v>#REF!</v>
      </c>
      <c r="DG174" s="4" t="e">
        <f t="shared" ref="DG174" ca="1" si="2610">MATCH(1,OFFSET(DF167:DF178,DH173,0,COUNT(DF167:DF178)-DH173),0)</f>
        <v>#REF!</v>
      </c>
      <c r="DH174" s="4" t="e">
        <f t="shared" ca="1" si="2505"/>
        <v>#REF!</v>
      </c>
      <c r="DI174" s="692" t="str" cm="1">
        <f t="array" aca="1" ref="DI174" ca="1">IFERROR(VLOOKUP(INDEX(DE167:DE178,DH174),INDIRECT(BY167),2,FALSE),"----")</f>
        <v>----</v>
      </c>
      <c r="DJ174" s="691" t="e">
        <f t="shared" ca="1" si="2506"/>
        <v>#N/A</v>
      </c>
      <c r="DK174" s="4" t="e">
        <f ca="1">IF(AND(INDEX(SSM,DJ174,4)&gt;=$AB173,INDEX(SSM,DJ174,5)&gt;=$S167,INDEX(SSM,DJ174,6)&gt;=$R167),1,0)</f>
        <v>#N/A</v>
      </c>
      <c r="DL174" s="4" t="e">
        <f t="shared" ref="DL174" ca="1" si="2611">MATCH(1,OFFSET(DK167:DK178,DM173,0,COUNT(DK167:DK178)-DM173),0)</f>
        <v>#REF!</v>
      </c>
      <c r="DM174" s="4" t="e">
        <f t="shared" ca="1" si="2508"/>
        <v>#REF!</v>
      </c>
      <c r="DN174" s="692" t="str">
        <f ca="1">IFERROR(IF(AD174="Nested Steel Stud (wood infill)",VLOOKUP(INDEX(DJ167:DJ178,DM174),SSW,2,FALSE),VLOOKUP(INDEX(DJ167:DJ178,DM174),SSM,2,FALSE)),"----")</f>
        <v>----</v>
      </c>
      <c r="DO174" s="691" t="e">
        <f t="shared" ca="1" si="2509"/>
        <v>#N/A</v>
      </c>
      <c r="DP174" s="4" t="e">
        <f ca="1">IF(AND(INDEX(WSM,DO174,4)&gt;=$AB173,INDEX(WSM,DO174,5)&gt;=$S167,INDEX(WSM,DO174,6)&gt;=$R167),1,0)</f>
        <v>#N/A</v>
      </c>
      <c r="DQ174" s="4" t="e">
        <f t="shared" ref="DQ174" ca="1" si="2612">MATCH(1,OFFSET(DP167:DP178,DR173,0,COUNT(DP167:DP178)-DR173),0)</f>
        <v>#REF!</v>
      </c>
      <c r="DR174" s="4" t="e">
        <f t="shared" ca="1" si="2511"/>
        <v>#REF!</v>
      </c>
      <c r="DS174" s="692" t="str">
        <f ca="1">IFERROR(VLOOKUP(INDEX(DO167:DO178,DR174),WSM,2,FALSE),"----")</f>
        <v>----</v>
      </c>
      <c r="DT174" s="691" t="e">
        <f t="shared" ca="1" si="2512"/>
        <v>#N/A</v>
      </c>
      <c r="DU174" s="4" t="e">
        <f ca="1">IF(AND(INDEX(STM,DT174,4)&gt;=$AB173,INDEX(STM,DT174,5)&gt;=$S167,INDEX(STM,DT174,6)&gt;=$R167),1,0)</f>
        <v>#N/A</v>
      </c>
      <c r="DV174" s="4" t="e">
        <f t="shared" ref="DV174" ca="1" si="2613">MATCH(1,OFFSET(DU167:DU178,DW173,0,COUNT(DU167:DU178)-DW173),0)</f>
        <v>#REF!</v>
      </c>
      <c r="DW174" s="4" t="e">
        <f t="shared" ca="1" si="2514"/>
        <v>#REF!</v>
      </c>
      <c r="DX174" s="692" t="str">
        <f ca="1">IFERROR(VLOOKUP(INDEX(DT167:DT178,DW174),STM,2,FALSE),"----")</f>
        <v>----</v>
      </c>
      <c r="DY174" s="691" t="e">
        <f t="shared" ca="1" si="2515"/>
        <v>#N/A</v>
      </c>
      <c r="DZ174" s="4" t="e">
        <f ca="1">IF(AND(INDEX(ELM,DY174,4)&gt;=$AB173,INDEX(ELM,DY174,5)&gt;=$S167,INDEX(ELM,DY174,6)&gt;=$R167),1,0)</f>
        <v>#N/A</v>
      </c>
      <c r="EA174" s="4" t="e">
        <f t="shared" ref="EA174" ca="1" si="2614">MATCH(1,OFFSET(DZ167:DZ178,EB173,0,COUNT(DZ167:DZ178)-EB173),0)</f>
        <v>#REF!</v>
      </c>
      <c r="EB174" s="4" t="e">
        <f t="shared" ca="1" si="2517"/>
        <v>#REF!</v>
      </c>
      <c r="EC174" s="692" t="str">
        <f ca="1">IFERROR(VLOOKUP(INDEX(DY167:DY178,EB174),ELM,2,FALSE),"----")</f>
        <v>----</v>
      </c>
      <c r="ED174" s="691" t="e">
        <f t="shared" ca="1" si="2518"/>
        <v>#N/A</v>
      </c>
      <c r="EE174" s="4" t="e">
        <f ca="1">IF(LEFT($J167,7)="Clad Wo",IF(AND(INDEX(SPPWS,ED174,4)&gt;=$AB173,INDEX(SPPWS,ED174,5)&gt;=$S167,INDEX(SPPWS,ED174,6)&gt;=$R167),1,0),IF(AND(INDEX(SPM,ED174,4)&gt;=$AB173,INDEX(SPM,ED174,5)&gt;=$S167,INDEX(SPM,ED174,6)&gt;=$R167),1,0))</f>
        <v>#N/A</v>
      </c>
      <c r="EF174" s="4" t="e">
        <f t="shared" ref="EF174" ca="1" si="2615">MATCH(1,OFFSET(EE167:EE178,EG173,0,COUNT(EE167:EE178)-EG173),0)</f>
        <v>#REF!</v>
      </c>
      <c r="EG174" s="4" t="e">
        <f t="shared" ca="1" si="2520"/>
        <v>#REF!</v>
      </c>
      <c r="EH174" s="692" t="str">
        <f ca="1">IF(LEFT($J167,7)="Clad Wo",IFERROR(VLOOKUP(INDEX(ED167:ED178,EG174),SPPWS,2,FALSE),"----"),IFERROR(VLOOKUP(INDEX(ED167:ED178,EG174),SPM,2,FALSE),"----"))</f>
        <v>----</v>
      </c>
    </row>
    <row r="175" spans="1:138" ht="15" customHeight="1" x14ac:dyDescent="0.25">
      <c r="A175" s="1085"/>
      <c r="B175" s="925"/>
      <c r="C175" s="926"/>
      <c r="D175" s="927"/>
      <c r="E175" s="995"/>
      <c r="F175" s="996"/>
      <c r="G175" s="997"/>
      <c r="H175" s="1062"/>
      <c r="I175" s="990"/>
      <c r="J175" s="902"/>
      <c r="K175" s="903"/>
      <c r="L175" s="1002"/>
      <c r="M175" s="923"/>
      <c r="N175" s="1042"/>
      <c r="O175" s="1018"/>
      <c r="P175" s="987"/>
      <c r="Q175" s="1015"/>
      <c r="R175" s="1012"/>
      <c r="S175" s="1006"/>
      <c r="T175" s="1007"/>
      <c r="U175" s="878"/>
      <c r="V175" s="881"/>
      <c r="W175" s="884"/>
      <c r="X175" s="884"/>
      <c r="Y175" s="887"/>
      <c r="Z175" s="887"/>
      <c r="AA175" s="887"/>
      <c r="AB175" s="1081"/>
      <c r="AC175" s="1078"/>
      <c r="AD175" s="1070" t="str">
        <f t="shared" si="1666"/>
        <v>Wood Stud Framing</v>
      </c>
      <c r="AE175" s="1071"/>
      <c r="AF175" s="1052"/>
      <c r="AG175" s="1053"/>
      <c r="AH175" s="1053"/>
      <c r="AI175" s="1066"/>
      <c r="AJ175" s="1067"/>
      <c r="AK175" s="156" t="str">
        <f t="shared" ca="1" si="2393"/>
        <v/>
      </c>
      <c r="AL175" s="1059"/>
      <c r="AM175" s="344" t="str">
        <f ca="1">IFERROR(Q167/12*ROUND(VLOOKUP(AF175,OFFSET(WSM,0,1),6,FALSE),2),"")</f>
        <v/>
      </c>
      <c r="AN175" t="str">
        <f t="shared" ca="1" si="2409"/>
        <v/>
      </c>
      <c r="AP175" s="122" t="str">
        <f t="shared" ref="AP175" si="2616">_xlfn.CONCAT(AR175,AS178)</f>
        <v/>
      </c>
      <c r="AQ175" s="683" t="str">
        <f t="shared" ref="AQ175:AQ238" si="2617">IFERROR(LEFT(AP175,LEN(AP175)-1),"")</f>
        <v/>
      </c>
      <c r="AR175" s="4" t="str">
        <f t="shared" si="2378"/>
        <v/>
      </c>
      <c r="AS175" s="4"/>
      <c r="AT175" s="697" t="str">
        <f>AL173</f>
        <v/>
      </c>
      <c r="AU175" s="694" t="e">
        <f t="shared" ca="1" si="1370"/>
        <v>#REF!</v>
      </c>
      <c r="AV175" s="686" t="str">
        <f ca="1">IFERROR(VLOOKUP(AU175,INDIRECT(AQ167),2,FALSE),"----")</f>
        <v>----</v>
      </c>
      <c r="AW175" s="694" t="e">
        <f t="shared" ca="1" si="1371"/>
        <v>#REF!</v>
      </c>
      <c r="AX175" s="686" t="str">
        <f ca="1">IFERROR(VLOOKUP(AW175,INDIRECT(AQ168),2,FALSE),"----")</f>
        <v>----</v>
      </c>
      <c r="AY175" s="694" t="e">
        <f t="shared" ca="1" si="2566"/>
        <v>#REF!</v>
      </c>
      <c r="AZ175" s="686" t="str">
        <f ca="1">IFERROR(VLOOKUP(AY175,INDIRECT(AQ169),2,FALSE),"----")</f>
        <v>----</v>
      </c>
      <c r="BA175" s="694" t="e">
        <f t="shared" ca="1" si="2567"/>
        <v>#REF!</v>
      </c>
      <c r="BB175" s="686" t="str">
        <f ca="1">IFERROR(VLOOKUP(BA175,INDIRECT(AQ170),2,FALSE),"----")</f>
        <v>----</v>
      </c>
      <c r="BC175" s="694" t="e">
        <f t="shared" ca="1" si="1374"/>
        <v>#REF!</v>
      </c>
      <c r="BD175" s="686" t="str">
        <f ca="1">IFERROR(VLOOKUP(BC175,INDIRECT(AQ171),2,FALSE),"----")</f>
        <v>----</v>
      </c>
      <c r="BE175" s="694" t="e">
        <f t="shared" ca="1" si="1375"/>
        <v>#REF!</v>
      </c>
      <c r="BF175" s="686" t="str">
        <f ca="1">IFERROR(VLOOKUP(BE175,INDIRECT(AQ172),2,FALSE),"----")</f>
        <v>----</v>
      </c>
      <c r="BG175" s="702" t="e">
        <f t="shared" ca="1" si="1376"/>
        <v>#REF!</v>
      </c>
      <c r="BH175" s="686" t="str">
        <f ca="1">IFERROR(VLOOKUP(BG175,INDIRECT(AQ173),2,FALSE),"----")</f>
        <v>----</v>
      </c>
      <c r="BI175" s="702" t="e">
        <f t="shared" ca="1" si="1377"/>
        <v>#REF!</v>
      </c>
      <c r="BJ175" s="686" t="str">
        <f ca="1">IFERROR(VLOOKUP(BI175,INDIRECT(AQ174),2,FALSE),"----")</f>
        <v>----</v>
      </c>
      <c r="BK175" s="702" t="e">
        <f t="shared" ca="1" si="1378"/>
        <v>#REF!</v>
      </c>
      <c r="BL175" s="686" t="str">
        <f ca="1">IFERROR(VLOOKUP(BK175,INDIRECT(AQ175),2,FALSE),"----")</f>
        <v>----</v>
      </c>
      <c r="BM175" s="702" t="e">
        <f t="shared" ca="1" si="1379"/>
        <v>#REF!</v>
      </c>
      <c r="BN175" s="686" t="str">
        <f ca="1">IFERROR(VLOOKUP(BM175,INDIRECT(AQ176),2,FALSE),"----")</f>
        <v>----</v>
      </c>
      <c r="BO175" s="702" t="e">
        <f t="shared" ca="1" si="1380"/>
        <v>#REF!</v>
      </c>
      <c r="BP175" s="686" t="str">
        <f ca="1">IFERROR(VLOOKUP(BO175,INDIRECT(AQ177),2,FALSE),"----")</f>
        <v>----</v>
      </c>
      <c r="BQ175" s="702" t="e">
        <f t="shared" ca="1" si="1381"/>
        <v>#REF!</v>
      </c>
      <c r="BR175" s="686" t="str">
        <f ca="1">IFERROR(VLOOKUP(BQ175,INDIRECT(AQ178),2,FALSE),"----")</f>
        <v>----</v>
      </c>
      <c r="BS175" s="695">
        <f>IF(AI175="",1,IF(COUNTIF(BL167:BL178,AI175)=0,2,1))</f>
        <v>1</v>
      </c>
      <c r="BT175" s="696">
        <f>IF(AF175="",1,IF(BL167=".",2,1))</f>
        <v>1</v>
      </c>
      <c r="BU175" s="706"/>
      <c r="BV175" s="155">
        <f ca="1">IF(COUNTIF(DS167:DS178,AF175)=0,IF(AF175&lt;&gt;"",0,1),1)</f>
        <v>1</v>
      </c>
      <c r="BW175" s="157">
        <f ca="1">IFERROR(MATCH(AF175,DS167:DS178,0),1)</f>
        <v>1</v>
      </c>
      <c r="BX175" s="769" t="e">
        <f t="shared" ref="BX175" si="2618">5*E167^3*W167/(384*X167)</f>
        <v>#VALUE!</v>
      </c>
      <c r="BY175" s="769" t="e">
        <f t="shared" ref="BY175" si="2619">W167*E167^3/(60*X167)</f>
        <v>#VALUE!</v>
      </c>
      <c r="BZ175" s="1110"/>
      <c r="CA175" s="691" t="e">
        <f t="shared" ca="1" si="2485"/>
        <v>#REF!</v>
      </c>
      <c r="CB175" s="4" t="e" cm="1">
        <f t="array" aca="1" ref="CB175" ca="1">IF(AND(INDEX(INDIRECT(BY167),CA175,4)&gt;=$AB167,INDEX(INDIRECT(BY167),CA175,5)&gt;=$S167,INDEX(INDIRECT(BY167),CA175,6)&gt;=$R167),1,0)</f>
        <v>#REF!</v>
      </c>
      <c r="CC175" s="4" t="e">
        <f t="shared" ref="CC175" ca="1" si="2620">MATCH(1,OFFSET(CB167:CB178,CD174,0,COUNT(CB167:CB178)-CD174),0)</f>
        <v>#REF!</v>
      </c>
      <c r="CD175" s="4" t="e">
        <f t="shared" ca="1" si="2487"/>
        <v>#REF!</v>
      </c>
      <c r="CE175" s="692" t="str" cm="1">
        <f t="array" aca="1" ref="CE175" ca="1">IFERROR(VLOOKUP(INDEX(CA167:CA178,CD175),INDIRECT(BY167),2,FALSE),"----")</f>
        <v>----</v>
      </c>
      <c r="CF175" s="691" t="e">
        <f t="shared" ca="1" si="2488"/>
        <v>#N/A</v>
      </c>
      <c r="CG175" s="4" t="e">
        <f ca="1">IF(AND(INDEX(SSM,CF175,4)&gt;=$AB167,INDEX(SSM,CF175,5)&gt;=$S167,INDEX(SSM,CF175,6)&gt;=$R167),1,0)</f>
        <v>#N/A</v>
      </c>
      <c r="CH175" s="4" t="e">
        <f t="shared" ref="CH175" ca="1" si="2621">MATCH(1,OFFSET(CG167:CG178,CI174,0,COUNT(CG167:CG178)-CI174),0)</f>
        <v>#REF!</v>
      </c>
      <c r="CI175" s="4" t="e">
        <f t="shared" ca="1" si="2490"/>
        <v>#REF!</v>
      </c>
      <c r="CJ175" s="692" t="str">
        <f ca="1">IFERROR(IF(AD168="Nested Steel Stud (wood infill)",VLOOKUP(INDEX(CF167:CF178,CI175),SSW,2,FALSE),VLOOKUP(INDEX(CF167:CF178,CI175),SSM,2,FALSE)),"----")</f>
        <v>----</v>
      </c>
      <c r="CK175" s="691" t="e">
        <f t="shared" ca="1" si="2491"/>
        <v>#N/A</v>
      </c>
      <c r="CL175" s="4" t="e">
        <f ca="1">IF(AND(INDEX(WSM,CK175,4)&gt;=$AB167,INDEX(WSM,CK175,5)&gt;=$S167,INDEX(WSM,CK175,6)&gt;=$R167),1,0)</f>
        <v>#N/A</v>
      </c>
      <c r="CM175" s="4" t="e">
        <f t="shared" ref="CM175" ca="1" si="2622">MATCH(1,OFFSET(CL167:CL178,CN174,0,COUNT(CL167:CL178)-CN174),0)</f>
        <v>#REF!</v>
      </c>
      <c r="CN175" s="4" t="e">
        <f t="shared" ca="1" si="2493"/>
        <v>#REF!</v>
      </c>
      <c r="CO175" s="692" t="str">
        <f ca="1">IFERROR(VLOOKUP(INDEX(CK167:CK178,CN175),WSM,2,FALSE),"----")</f>
        <v>----</v>
      </c>
      <c r="CP175" s="691" t="e">
        <f t="shared" ca="1" si="2494"/>
        <v>#N/A</v>
      </c>
      <c r="CQ175" s="4" t="e">
        <f ca="1">IF(AND(INDEX(STM,CP175,4)&gt;=$AB167,INDEX(STM,CP175,5)&gt;=$S167,INDEX(STM,CP175,6)&gt;=$R167),1,0)</f>
        <v>#N/A</v>
      </c>
      <c r="CR175" s="4" t="e">
        <f t="shared" ref="CR175" ca="1" si="2623">MATCH(1,OFFSET(CQ167:CQ178,CS174,0,COUNT(CQ167:CQ178)-CS174),0)</f>
        <v>#REF!</v>
      </c>
      <c r="CS175" s="4" t="e">
        <f t="shared" ca="1" si="2496"/>
        <v>#REF!</v>
      </c>
      <c r="CT175" s="692" t="str">
        <f ca="1">IFERROR(VLOOKUP(INDEX(CP167:CP178,CS175),STM,2,FALSE),"----")</f>
        <v>----</v>
      </c>
      <c r="CU175" s="691" t="e">
        <f t="shared" ca="1" si="2497"/>
        <v>#N/A</v>
      </c>
      <c r="CV175" s="4" t="e">
        <f ca="1">IF(AND(INDEX(ELM,CU175,4)&gt;=$AB167,INDEX(ELM,CU175,5)&gt;=$S167,INDEX(ELM,CU175,6)&gt;=$R167),1,0)</f>
        <v>#N/A</v>
      </c>
      <c r="CW175" s="4" t="e">
        <f t="shared" ref="CW175" ca="1" si="2624">MATCH(1,OFFSET(CV167:CV178,CX174,0,COUNT(CV167:CV178)-CX174),0)</f>
        <v>#REF!</v>
      </c>
      <c r="CX175" s="4" t="e">
        <f t="shared" ca="1" si="2499"/>
        <v>#REF!</v>
      </c>
      <c r="CY175" s="692" t="str">
        <f ca="1">IFERROR(VLOOKUP(INDEX(CU167:CU178,CX175),ELM,2,FALSE),"----")</f>
        <v>----</v>
      </c>
      <c r="CZ175" s="691" t="e">
        <f t="shared" ca="1" si="2500"/>
        <v>#N/A</v>
      </c>
      <c r="DA175" s="4" t="e">
        <f ca="1">IF(LEFT($J167,7)="Clad Wo",IF(AND(INDEX(SPPWS,CZ175,4)&gt;=$AB167,INDEX(SPPWS,CZ175,5)&gt;=$S167,INDEX(SPPWS,CZ175,6)&gt;=$R167),1,0),IF(AND(INDEX(SPM,CZ175,4)&gt;=$AB167,INDEX(SPM,CZ175,5)&gt;=$S167,INDEX(SPM,CZ175,6)&gt;=$R167),1,0))</f>
        <v>#N/A</v>
      </c>
      <c r="DB175" s="4" t="e">
        <f t="shared" ref="DB175" ca="1" si="2625">MATCH(1,OFFSET(DA167:DA178,DC174,0,COUNT(DA167:DA178)-DC174),0)</f>
        <v>#REF!</v>
      </c>
      <c r="DC175" s="4" t="e">
        <f t="shared" ca="1" si="2502"/>
        <v>#REF!</v>
      </c>
      <c r="DD175" s="693" t="str">
        <f ca="1">IF(LEFT($J167,7)="Clad Wo",IFERROR(VLOOKUP(INDEX(CZ167:CZ178,DC175),SPPWS,2,FALSE),"----"),IFERROR(VLOOKUP(INDEX(CZ167:CZ178,DC175),SPM,2,FALSE),"----"))</f>
        <v>----</v>
      </c>
      <c r="DE175" s="691" t="e">
        <f t="shared" ca="1" si="2503"/>
        <v>#REF!</v>
      </c>
      <c r="DF175" s="4" t="e" cm="1">
        <f t="array" aca="1" ref="DF175" ca="1">IF(AND(INDEX(INDIRECT(BY167),DE175,4)&gt;=$AB173,INDEX(INDIRECT(BY167),DE175,5)&gt;=$S167,INDEX(INDIRECT(BY167),DE175,6)&gt;=$R167),1,0)</f>
        <v>#REF!</v>
      </c>
      <c r="DG175" s="4" t="e">
        <f t="shared" ref="DG175" ca="1" si="2626">MATCH(1,OFFSET(DF167:DF178,DH174,0,COUNT(DF167:DF178)-DH174),0)</f>
        <v>#REF!</v>
      </c>
      <c r="DH175" s="4" t="e">
        <f t="shared" ca="1" si="2505"/>
        <v>#REF!</v>
      </c>
      <c r="DI175" s="692" t="str" cm="1">
        <f t="array" aca="1" ref="DI175" ca="1">IFERROR(VLOOKUP(INDEX(DE167:DE178,DH175),INDIRECT(BY167),2,FALSE),"----")</f>
        <v>----</v>
      </c>
      <c r="DJ175" s="691" t="e">
        <f t="shared" ca="1" si="2506"/>
        <v>#N/A</v>
      </c>
      <c r="DK175" s="4" t="e">
        <f ca="1">IF(AND(INDEX(SSM,DJ175,4)&gt;=$AB173,INDEX(SSM,DJ175,5)&gt;=$S167,INDEX(SSM,DJ175,6)&gt;=$R167),1,0)</f>
        <v>#N/A</v>
      </c>
      <c r="DL175" s="4" t="e">
        <f t="shared" ref="DL175" ca="1" si="2627">MATCH(1,OFFSET(DK167:DK178,DM174,0,COUNT(DK167:DK178)-DM174),0)</f>
        <v>#REF!</v>
      </c>
      <c r="DM175" s="4" t="e">
        <f t="shared" ca="1" si="2508"/>
        <v>#REF!</v>
      </c>
      <c r="DN175" s="692" t="str">
        <f ca="1">IFERROR(IF(AD174="Nested Steel Stud (wood infill)",VLOOKUP(INDEX(DJ167:DJ178,DM175),SSW,2,FALSE),VLOOKUP(INDEX(DJ167:DJ178,DM175),SSM,2,FALSE)),"----")</f>
        <v>----</v>
      </c>
      <c r="DO175" s="691" t="e">
        <f t="shared" ca="1" si="2509"/>
        <v>#N/A</v>
      </c>
      <c r="DP175" s="4" t="e">
        <f ca="1">IF(AND(INDEX(WSM,DO175,4)&gt;=$AB173,INDEX(WSM,DO175,5)&gt;=$S167,INDEX(WSM,DO175,6)&gt;=$R167),1,0)</f>
        <v>#N/A</v>
      </c>
      <c r="DQ175" s="4" t="e">
        <f t="shared" ref="DQ175" ca="1" si="2628">MATCH(1,OFFSET(DP167:DP178,DR174,0,COUNT(DP167:DP178)-DR174),0)</f>
        <v>#REF!</v>
      </c>
      <c r="DR175" s="4" t="e">
        <f t="shared" ca="1" si="2511"/>
        <v>#REF!</v>
      </c>
      <c r="DS175" s="692" t="str">
        <f ca="1">IFERROR(VLOOKUP(INDEX(DO167:DO178,DR175),WSM,2,FALSE),"----")</f>
        <v>----</v>
      </c>
      <c r="DT175" s="691" t="e">
        <f t="shared" ca="1" si="2512"/>
        <v>#N/A</v>
      </c>
      <c r="DU175" s="4" t="e">
        <f ca="1">IF(AND(INDEX(STM,DT175,4)&gt;=$AB173,INDEX(STM,DT175,5)&gt;=$S167,INDEX(STM,DT175,6)&gt;=$R167),1,0)</f>
        <v>#N/A</v>
      </c>
      <c r="DV175" s="4" t="e">
        <f t="shared" ref="DV175" ca="1" si="2629">MATCH(1,OFFSET(DU167:DU178,DW174,0,COUNT(DU167:DU178)-DW174),0)</f>
        <v>#REF!</v>
      </c>
      <c r="DW175" s="4" t="e">
        <f t="shared" ca="1" si="2514"/>
        <v>#REF!</v>
      </c>
      <c r="DX175" s="692" t="str">
        <f ca="1">IFERROR(VLOOKUP(INDEX(DT167:DT178,DW175),STM,2,FALSE),"----")</f>
        <v>----</v>
      </c>
      <c r="DY175" s="691" t="e">
        <f t="shared" ca="1" si="2515"/>
        <v>#N/A</v>
      </c>
      <c r="DZ175" s="4" t="e">
        <f ca="1">IF(AND(INDEX(ELM,DY175,4)&gt;=$AB173,INDEX(ELM,DY175,5)&gt;=$S167,INDEX(ELM,DY175,6)&gt;=$R167),1,0)</f>
        <v>#N/A</v>
      </c>
      <c r="EA175" s="4" t="e">
        <f t="shared" ref="EA175" ca="1" si="2630">MATCH(1,OFFSET(DZ167:DZ178,EB174,0,COUNT(DZ167:DZ178)-EB174),0)</f>
        <v>#REF!</v>
      </c>
      <c r="EB175" s="4" t="e">
        <f t="shared" ca="1" si="2517"/>
        <v>#REF!</v>
      </c>
      <c r="EC175" s="692" t="str">
        <f ca="1">IFERROR(VLOOKUP(INDEX(DY167:DY178,EB175),ELM,2,FALSE),"----")</f>
        <v>----</v>
      </c>
      <c r="ED175" s="691" t="e">
        <f t="shared" ca="1" si="2518"/>
        <v>#N/A</v>
      </c>
      <c r="EE175" s="4" t="e">
        <f ca="1">IF(LEFT($J167,7)="Clad Wo",IF(AND(INDEX(SPPWS,ED175,4)&gt;=$AB173,INDEX(SPPWS,ED175,5)&gt;=$S167,INDEX(SPPWS,ED175,6)&gt;=$R167),1,0),IF(AND(INDEX(SPM,ED175,4)&gt;=$AB173,INDEX(SPM,ED175,5)&gt;=$S167,INDEX(SPM,ED175,6)&gt;=$R167),1,0))</f>
        <v>#N/A</v>
      </c>
      <c r="EF175" s="4" t="e">
        <f t="shared" ref="EF175" ca="1" si="2631">MATCH(1,OFFSET(EE167:EE178,EG174,0,COUNT(EE167:EE178)-EG174),0)</f>
        <v>#REF!</v>
      </c>
      <c r="EG175" s="4" t="e">
        <f t="shared" ca="1" si="2520"/>
        <v>#REF!</v>
      </c>
      <c r="EH175" s="692" t="str">
        <f ca="1">IF(LEFT($J167,7)="Clad Wo",IFERROR(VLOOKUP(INDEX(ED167:ED178,EG175),SPPWS,2,FALSE),"----"),IFERROR(VLOOKUP(INDEX(ED167:ED178,EG175),SPM,2,FALSE),"----"))</f>
        <v>----</v>
      </c>
    </row>
    <row r="176" spans="1:138" ht="15" customHeight="1" x14ac:dyDescent="0.25">
      <c r="A176" s="1085"/>
      <c r="B176" s="925"/>
      <c r="C176" s="926"/>
      <c r="D176" s="927"/>
      <c r="E176" s="995"/>
      <c r="F176" s="996"/>
      <c r="G176" s="997"/>
      <c r="H176" s="1062"/>
      <c r="I176" s="990"/>
      <c r="J176" s="902"/>
      <c r="K176" s="903"/>
      <c r="L176" s="1002"/>
      <c r="M176" s="923"/>
      <c r="N176" s="1042"/>
      <c r="O176" s="1018"/>
      <c r="P176" s="987"/>
      <c r="Q176" s="1015"/>
      <c r="R176" s="1012"/>
      <c r="S176" s="1006"/>
      <c r="T176" s="1007"/>
      <c r="U176" s="878"/>
      <c r="V176" s="881"/>
      <c r="W176" s="884"/>
      <c r="X176" s="884"/>
      <c r="Y176" s="887"/>
      <c r="Z176" s="887"/>
      <c r="AA176" s="887"/>
      <c r="AB176" s="1081"/>
      <c r="AC176" s="1078"/>
      <c r="AD176" s="1070" t="str">
        <f t="shared" si="1666"/>
        <v>Steel Tube</v>
      </c>
      <c r="AE176" s="1071"/>
      <c r="AF176" s="1052"/>
      <c r="AG176" s="1053"/>
      <c r="AH176" s="1053"/>
      <c r="AI176" s="1066"/>
      <c r="AJ176" s="1067"/>
      <c r="AK176" s="156" t="str">
        <f t="shared" ca="1" si="2393"/>
        <v/>
      </c>
      <c r="AL176" s="1059"/>
      <c r="AM176" s="343" t="str">
        <f ca="1">IFERROR(Q167/12*ROUND(VLOOKUP(AF176,OFFSET(STM,0,1),6,FALSE),2),"")</f>
        <v/>
      </c>
      <c r="AN176" t="str">
        <f t="shared" ca="1" si="2409"/>
        <v/>
      </c>
      <c r="AP176" s="122" t="str">
        <f t="shared" ref="AP176" si="2632">_xlfn.CONCAT(AR176,AS178)</f>
        <v/>
      </c>
      <c r="AQ176" s="683" t="str">
        <f t="shared" si="2617"/>
        <v/>
      </c>
      <c r="AR176" s="4" t="str">
        <f t="shared" si="2378"/>
        <v/>
      </c>
      <c r="AS176" s="4"/>
      <c r="AT176" s="697" t="str">
        <f>AL173</f>
        <v/>
      </c>
      <c r="AU176" s="694" t="e">
        <f t="shared" ref="AU176:AU238" ca="1" si="2633">AU175-1</f>
        <v>#REF!</v>
      </c>
      <c r="AV176" s="686" t="str">
        <f ca="1">IFERROR(VLOOKUP(AU176,INDIRECT(AQ167),2,FALSE),"----")</f>
        <v>----</v>
      </c>
      <c r="AW176" s="694" t="e">
        <f t="shared" ref="AW176:AW238" ca="1" si="2634">AW175-1</f>
        <v>#REF!</v>
      </c>
      <c r="AX176" s="686" t="str">
        <f ca="1">IFERROR(VLOOKUP(AW176,INDIRECT(AQ168),2,FALSE),"----")</f>
        <v>----</v>
      </c>
      <c r="AY176" s="694" t="e">
        <f t="shared" ca="1" si="1919"/>
        <v>#REF!</v>
      </c>
      <c r="AZ176" s="686" t="str">
        <f ca="1">IFERROR(VLOOKUP(AY176,INDIRECT(AQ169),2,FALSE),"----")</f>
        <v>----</v>
      </c>
      <c r="BA176" s="694" t="e">
        <f t="shared" ca="1" si="1920"/>
        <v>#REF!</v>
      </c>
      <c r="BB176" s="686" t="str">
        <f ca="1">IFERROR(VLOOKUP(BA176,INDIRECT(AQ170),2,FALSE),"----")</f>
        <v>----</v>
      </c>
      <c r="BC176" s="694" t="e">
        <f t="shared" ref="BC176:BC238" ca="1" si="2635">BC175-1</f>
        <v>#REF!</v>
      </c>
      <c r="BD176" s="686" t="str">
        <f ca="1">IFERROR(VLOOKUP(BC176,INDIRECT(AQ171),2,FALSE),"----")</f>
        <v>----</v>
      </c>
      <c r="BE176" s="694" t="e">
        <f t="shared" ref="BE176:BE238" ca="1" si="2636">BE175-1</f>
        <v>#REF!</v>
      </c>
      <c r="BF176" s="686" t="str">
        <f ca="1">IFERROR(VLOOKUP(BE176,INDIRECT(AQ172),2,FALSE),"----")</f>
        <v>----</v>
      </c>
      <c r="BG176" s="702" t="e">
        <f t="shared" ref="BG176:BG238" ca="1" si="2637">BG175-1</f>
        <v>#REF!</v>
      </c>
      <c r="BH176" s="686" t="str">
        <f ca="1">IFERROR(VLOOKUP(BG176,INDIRECT(AQ173),2,FALSE),"----")</f>
        <v>----</v>
      </c>
      <c r="BI176" s="702" t="e">
        <f t="shared" ref="BI176:BI238" ca="1" si="2638">BI175-1</f>
        <v>#REF!</v>
      </c>
      <c r="BJ176" s="686" t="str">
        <f ca="1">IFERROR(VLOOKUP(BI176,INDIRECT(AQ174),2,FALSE),"----")</f>
        <v>----</v>
      </c>
      <c r="BK176" s="702" t="e">
        <f t="shared" ref="BK176:BK238" ca="1" si="2639">BK175-1</f>
        <v>#REF!</v>
      </c>
      <c r="BL176" s="686" t="str">
        <f ca="1">IFERROR(VLOOKUP(BK176,INDIRECT(AQ175),2,FALSE),"----")</f>
        <v>----</v>
      </c>
      <c r="BM176" s="702" t="e">
        <f t="shared" ref="BM176:BM238" ca="1" si="2640">BM175-1</f>
        <v>#REF!</v>
      </c>
      <c r="BN176" s="686" t="str">
        <f ca="1">IFERROR(VLOOKUP(BM176,INDIRECT(AQ176),2,FALSE),"----")</f>
        <v>----</v>
      </c>
      <c r="BO176" s="702" t="e">
        <f t="shared" ref="BO176:BO238" ca="1" si="2641">BO175-1</f>
        <v>#REF!</v>
      </c>
      <c r="BP176" s="686" t="str">
        <f ca="1">IFERROR(VLOOKUP(BO176,INDIRECT(AQ177),2,FALSE),"----")</f>
        <v>----</v>
      </c>
      <c r="BQ176" s="702" t="e">
        <f t="shared" ref="BQ176:BQ238" ca="1" si="2642">BQ175-1</f>
        <v>#REF!</v>
      </c>
      <c r="BR176" s="686" t="str">
        <f ca="1">IFERROR(VLOOKUP(BQ176,INDIRECT(AQ178),2,FALSE),"----")</f>
        <v>----</v>
      </c>
      <c r="BS176" s="695">
        <f>IF(AI176="",1,IF(COUNTIF(BN167:BN178,AI176)=0,2,1))</f>
        <v>1</v>
      </c>
      <c r="BT176" s="696">
        <f>IF(AF176="",1,IF(BN167=".",2,1))</f>
        <v>1</v>
      </c>
      <c r="BU176" s="706"/>
      <c r="BV176" s="155">
        <f ca="1">IF(COUNTIF(DX167:DX178,AF176)=0,IF(AF176&lt;&gt;"",0,1),1)</f>
        <v>1</v>
      </c>
      <c r="BW176" s="157">
        <f ca="1">IFERROR(MATCH(AF176,DX167:DX178,0),1)</f>
        <v>1</v>
      </c>
      <c r="BX176" s="769" t="e">
        <f t="shared" ref="BX176" si="2643">5*E167^3*W173/(384*X167)</f>
        <v>#VALUE!</v>
      </c>
      <c r="BY176" s="769" t="e">
        <f t="shared" ref="BY176" si="2644">E167^3*W173/(60*X167)</f>
        <v>#VALUE!</v>
      </c>
      <c r="BZ176" s="1110"/>
      <c r="CA176" s="691" t="e">
        <f t="shared" ca="1" si="2485"/>
        <v>#REF!</v>
      </c>
      <c r="CB176" s="4" t="e" cm="1">
        <f t="array" aca="1" ref="CB176" ca="1">IF(AND(INDEX(INDIRECT(BY167),CA176,4)&gt;=$AB167,INDEX(INDIRECT(BY167),CA176,5)&gt;=$S167,INDEX(INDIRECT(BY167),CA176,6)&gt;=$R167),1,0)</f>
        <v>#REF!</v>
      </c>
      <c r="CC176" s="4" t="e">
        <f t="shared" ref="CC176" ca="1" si="2645">MATCH(1,OFFSET(CB167:CB178,CD175,0,COUNT(CB167:CB178)-CD175),0)</f>
        <v>#REF!</v>
      </c>
      <c r="CD176" s="4" t="e">
        <f t="shared" ca="1" si="2487"/>
        <v>#REF!</v>
      </c>
      <c r="CE176" s="692" t="str" cm="1">
        <f t="array" aca="1" ref="CE176" ca="1">IFERROR(VLOOKUP(INDEX(CA167:CA178,CD176),INDIRECT(BY167),2,FALSE),"----")</f>
        <v>----</v>
      </c>
      <c r="CF176" s="691" t="e">
        <f t="shared" ca="1" si="2488"/>
        <v>#N/A</v>
      </c>
      <c r="CG176" s="4" t="e">
        <f ca="1">IF(AND(INDEX(SSM,CF176,4)&gt;=$AB167,INDEX(SSM,CF176,5)&gt;=$S167,INDEX(SSM,CF176,6)&gt;=$R167),1,0)</f>
        <v>#N/A</v>
      </c>
      <c r="CH176" s="4" t="e">
        <f t="shared" ref="CH176" ca="1" si="2646">MATCH(1,OFFSET(CG167:CG178,CI175,0,COUNT(CG167:CG178)-CI175),0)</f>
        <v>#REF!</v>
      </c>
      <c r="CI176" s="4" t="e">
        <f t="shared" ca="1" si="2490"/>
        <v>#REF!</v>
      </c>
      <c r="CJ176" s="692" t="str">
        <f ca="1">IFERROR(IF(AD168="Nested Steel Stud (wood infill)",VLOOKUP(INDEX(CF167:CF178,CI176),SSW,2,FALSE),VLOOKUP(INDEX(CF167:CF178,CI176),SSM,2,FALSE)),"----")</f>
        <v>----</v>
      </c>
      <c r="CK176" s="691" t="e">
        <f t="shared" ca="1" si="2491"/>
        <v>#N/A</v>
      </c>
      <c r="CL176" s="4" t="e">
        <f ca="1">IF(AND(INDEX(WSM,CK176,4)&gt;=$AB167,INDEX(WSM,CK176,5)&gt;=$S167,INDEX(WSM,CK176,6)&gt;=$R167),1,0)</f>
        <v>#N/A</v>
      </c>
      <c r="CM176" s="4" t="e">
        <f t="shared" ref="CM176" ca="1" si="2647">MATCH(1,OFFSET(CL167:CL178,CN175,0,COUNT(CL167:CL178)-CN175),0)</f>
        <v>#REF!</v>
      </c>
      <c r="CN176" s="4" t="e">
        <f t="shared" ca="1" si="2493"/>
        <v>#REF!</v>
      </c>
      <c r="CO176" s="692" t="str">
        <f ca="1">IFERROR(VLOOKUP(INDEX(CK167:CK178,CN176),WSM,2,FALSE),"----")</f>
        <v>----</v>
      </c>
      <c r="CP176" s="691" t="e">
        <f t="shared" ca="1" si="2494"/>
        <v>#N/A</v>
      </c>
      <c r="CQ176" s="4" t="e">
        <f ca="1">IF(AND(INDEX(STM,CP176,4)&gt;=$AB167,INDEX(STM,CP176,5)&gt;=$S167,INDEX(STM,CP176,6)&gt;=$R167),1,0)</f>
        <v>#N/A</v>
      </c>
      <c r="CR176" s="4" t="e">
        <f t="shared" ref="CR176" ca="1" si="2648">MATCH(1,OFFSET(CQ167:CQ178,CS175,0,COUNT(CQ167:CQ178)-CS175),0)</f>
        <v>#REF!</v>
      </c>
      <c r="CS176" s="4" t="e">
        <f t="shared" ca="1" si="2496"/>
        <v>#REF!</v>
      </c>
      <c r="CT176" s="692" t="str">
        <f ca="1">IFERROR(VLOOKUP(INDEX(CP167:CP178,CS176),STM,2,FALSE),"----")</f>
        <v>----</v>
      </c>
      <c r="CU176" s="691" t="e">
        <f t="shared" ca="1" si="2497"/>
        <v>#N/A</v>
      </c>
      <c r="CV176" s="4" t="e">
        <f ca="1">IF(AND(INDEX(ELM,CU176,4)&gt;=$AB167,INDEX(ELM,CU176,5)&gt;=$S167,INDEX(ELM,CU176,6)&gt;=$R167),1,0)</f>
        <v>#N/A</v>
      </c>
      <c r="CW176" s="4" t="e">
        <f t="shared" ref="CW176" ca="1" si="2649">MATCH(1,OFFSET(CV167:CV178,CX175,0,COUNT(CV167:CV178)-CX175),0)</f>
        <v>#REF!</v>
      </c>
      <c r="CX176" s="4" t="e">
        <f t="shared" ca="1" si="2499"/>
        <v>#REF!</v>
      </c>
      <c r="CY176" s="692" t="str">
        <f ca="1">IFERROR(VLOOKUP(INDEX(CU167:CU178,CX176),ELM,2,FALSE),"----")</f>
        <v>----</v>
      </c>
      <c r="CZ176" s="691" t="e">
        <f t="shared" ca="1" si="2500"/>
        <v>#N/A</v>
      </c>
      <c r="DA176" s="4" t="e">
        <f ca="1">IF(LEFT($J167,7)="Clad Wo",IF(AND(INDEX(SPPWS,CZ176,4)&gt;=$AB167,INDEX(SPPWS,CZ176,5)&gt;=$S167,INDEX(SPPWS,CZ176,6)&gt;=$R167),1,0),IF(AND(INDEX(SPM,CZ176,4)&gt;=$AB167,INDEX(SPM,CZ176,5)&gt;=$S167,INDEX(SPM,CZ176,6)&gt;=$R167),1,0))</f>
        <v>#N/A</v>
      </c>
      <c r="DB176" s="4" t="e">
        <f t="shared" ref="DB176" ca="1" si="2650">MATCH(1,OFFSET(DA167:DA178,DC175,0,COUNT(DA167:DA178)-DC175),0)</f>
        <v>#REF!</v>
      </c>
      <c r="DC176" s="4" t="e">
        <f t="shared" ca="1" si="2502"/>
        <v>#REF!</v>
      </c>
      <c r="DD176" s="693" t="str">
        <f ca="1">IF(LEFT($J167,7)="Clad Wo",IFERROR(VLOOKUP(INDEX(CZ167:CZ178,DC176),SPPWS,2,FALSE),"----"),IFERROR(VLOOKUP(INDEX(CZ167:CZ178,DC176),SPM,2,FALSE),"----"))</f>
        <v>----</v>
      </c>
      <c r="DE176" s="691" t="e">
        <f t="shared" ca="1" si="2503"/>
        <v>#REF!</v>
      </c>
      <c r="DF176" s="4" t="e" cm="1">
        <f t="array" aca="1" ref="DF176" ca="1">IF(AND(INDEX(INDIRECT(BY167),DE176,4)&gt;=$AB173,INDEX(INDIRECT(BY167),DE176,5)&gt;=$S167,INDEX(INDIRECT(BY167),DE176,6)&gt;=$R167),1,0)</f>
        <v>#REF!</v>
      </c>
      <c r="DG176" s="4" t="e">
        <f t="shared" ref="DG176" ca="1" si="2651">MATCH(1,OFFSET(DF167:DF178,DH175,0,COUNT(DF167:DF178)-DH175),0)</f>
        <v>#REF!</v>
      </c>
      <c r="DH176" s="4" t="e">
        <f t="shared" ca="1" si="2505"/>
        <v>#REF!</v>
      </c>
      <c r="DI176" s="692" t="str" cm="1">
        <f t="array" aca="1" ref="DI176" ca="1">IFERROR(VLOOKUP(INDEX(DE167:DE178,DH176),INDIRECT(BY167),2,FALSE),"----")</f>
        <v>----</v>
      </c>
      <c r="DJ176" s="691" t="e">
        <f t="shared" ca="1" si="2506"/>
        <v>#N/A</v>
      </c>
      <c r="DK176" s="4" t="e">
        <f ca="1">IF(AND(INDEX(SSM,DJ176,4)&gt;=$AB173,INDEX(SSM,DJ176,5)&gt;=$S167,INDEX(SSM,DJ176,6)&gt;=$R167),1,0)</f>
        <v>#N/A</v>
      </c>
      <c r="DL176" s="4" t="e">
        <f t="shared" ref="DL176" ca="1" si="2652">MATCH(1,OFFSET(DK167:DK178,DM175,0,COUNT(DK167:DK178)-DM175),0)</f>
        <v>#REF!</v>
      </c>
      <c r="DM176" s="4" t="e">
        <f t="shared" ca="1" si="2508"/>
        <v>#REF!</v>
      </c>
      <c r="DN176" s="692" t="str">
        <f ca="1">IFERROR(IF(AD174="Nested Steel Stud (wood infill)",VLOOKUP(INDEX(DJ167:DJ178,DM176),SSW,2,FALSE),VLOOKUP(INDEX(DJ167:DJ178,DM176),SSM,2,FALSE)),"----")</f>
        <v>----</v>
      </c>
      <c r="DO176" s="691" t="e">
        <f t="shared" ca="1" si="2509"/>
        <v>#N/A</v>
      </c>
      <c r="DP176" s="4" t="e">
        <f ca="1">IF(AND(INDEX(WSM,DO176,4)&gt;=$AB173,INDEX(WSM,DO176,5)&gt;=$S167,INDEX(WSM,DO176,6)&gt;=$R167),1,0)</f>
        <v>#N/A</v>
      </c>
      <c r="DQ176" s="4" t="e">
        <f t="shared" ref="DQ176" ca="1" si="2653">MATCH(1,OFFSET(DP167:DP178,DR175,0,COUNT(DP167:DP178)-DR175),0)</f>
        <v>#REF!</v>
      </c>
      <c r="DR176" s="4" t="e">
        <f t="shared" ca="1" si="2511"/>
        <v>#REF!</v>
      </c>
      <c r="DS176" s="692" t="str">
        <f ca="1">IFERROR(VLOOKUP(INDEX(DO167:DO178,DR176),WSM,2,FALSE),"----")</f>
        <v>----</v>
      </c>
      <c r="DT176" s="691" t="e">
        <f t="shared" ca="1" si="2512"/>
        <v>#N/A</v>
      </c>
      <c r="DU176" s="4" t="e">
        <f ca="1">IF(AND(INDEX(STM,DT176,4)&gt;=$AB173,INDEX(STM,DT176,5)&gt;=$S167,INDEX(STM,DT176,6)&gt;=$R167),1,0)</f>
        <v>#N/A</v>
      </c>
      <c r="DV176" s="4" t="e">
        <f t="shared" ref="DV176" ca="1" si="2654">MATCH(1,OFFSET(DU167:DU178,DW175,0,COUNT(DU167:DU178)-DW175),0)</f>
        <v>#REF!</v>
      </c>
      <c r="DW176" s="4" t="e">
        <f t="shared" ca="1" si="2514"/>
        <v>#REF!</v>
      </c>
      <c r="DX176" s="692" t="str">
        <f ca="1">IFERROR(VLOOKUP(INDEX(DT167:DT178,DW176),STM,2,FALSE),"----")</f>
        <v>----</v>
      </c>
      <c r="DY176" s="691" t="e">
        <f t="shared" ca="1" si="2515"/>
        <v>#N/A</v>
      </c>
      <c r="DZ176" s="4" t="e">
        <f ca="1">IF(AND(INDEX(ELM,DY176,4)&gt;=$AB173,INDEX(ELM,DY176,5)&gt;=$S167,INDEX(ELM,DY176,6)&gt;=$R167),1,0)</f>
        <v>#N/A</v>
      </c>
      <c r="EA176" s="4" t="e">
        <f t="shared" ref="EA176" ca="1" si="2655">MATCH(1,OFFSET(DZ167:DZ178,EB175,0,COUNT(DZ167:DZ178)-EB175),0)</f>
        <v>#REF!</v>
      </c>
      <c r="EB176" s="4" t="e">
        <f t="shared" ca="1" si="2517"/>
        <v>#REF!</v>
      </c>
      <c r="EC176" s="692" t="str">
        <f ca="1">IFERROR(VLOOKUP(INDEX(DY167:DY178,EB176),ELM,2,FALSE),"----")</f>
        <v>----</v>
      </c>
      <c r="ED176" s="691" t="e">
        <f t="shared" ca="1" si="2518"/>
        <v>#N/A</v>
      </c>
      <c r="EE176" s="4" t="e">
        <f ca="1">IF(LEFT($J167,7)="Clad Wo",IF(AND(INDEX(SPPWS,ED176,4)&gt;=$AB173,INDEX(SPPWS,ED176,5)&gt;=$S167,INDEX(SPPWS,ED176,6)&gt;=$R167),1,0),IF(AND(INDEX(SPM,ED176,4)&gt;=$AB173,INDEX(SPM,ED176,5)&gt;=$S167,INDEX(SPM,ED176,6)&gt;=$R167),1,0))</f>
        <v>#N/A</v>
      </c>
      <c r="EF176" s="4" t="e">
        <f t="shared" ref="EF176" ca="1" si="2656">MATCH(1,OFFSET(EE167:EE178,EG175,0,COUNT(EE167:EE178)-EG175),0)</f>
        <v>#REF!</v>
      </c>
      <c r="EG176" s="4" t="e">
        <f t="shared" ca="1" si="2520"/>
        <v>#REF!</v>
      </c>
      <c r="EH176" s="692" t="str">
        <f ca="1">IF(LEFT($J167,7)="Clad Wo",IFERROR(VLOOKUP(INDEX(ED167:ED178,EG176),SPPWS,2,FALSE),"----"),IFERROR(VLOOKUP(INDEX(ED167:ED178,EG176),SPM,2,FALSE),"----"))</f>
        <v>----</v>
      </c>
    </row>
    <row r="177" spans="1:138" ht="15" customHeight="1" x14ac:dyDescent="0.25">
      <c r="A177" s="1085"/>
      <c r="B177" s="925"/>
      <c r="C177" s="926"/>
      <c r="D177" s="927"/>
      <c r="E177" s="995"/>
      <c r="F177" s="996"/>
      <c r="G177" s="997"/>
      <c r="H177" s="1062"/>
      <c r="I177" s="990"/>
      <c r="J177" s="902"/>
      <c r="K177" s="903"/>
      <c r="L177" s="1002"/>
      <c r="M177" s="923"/>
      <c r="N177" s="1042"/>
      <c r="O177" s="1018"/>
      <c r="P177" s="987"/>
      <c r="Q177" s="1015"/>
      <c r="R177" s="1012"/>
      <c r="S177" s="1006"/>
      <c r="T177" s="1007"/>
      <c r="U177" s="878"/>
      <c r="V177" s="881"/>
      <c r="W177" s="884"/>
      <c r="X177" s="884"/>
      <c r="Y177" s="887"/>
      <c r="Z177" s="887"/>
      <c r="AA177" s="887"/>
      <c r="AB177" s="1081"/>
      <c r="AC177" s="1078"/>
      <c r="AD177" s="1070" t="str">
        <f t="shared" si="1666"/>
        <v>Engineered Lumber</v>
      </c>
      <c r="AE177" s="1071"/>
      <c r="AF177" s="1052"/>
      <c r="AG177" s="1053"/>
      <c r="AH177" s="1053"/>
      <c r="AI177" s="1068"/>
      <c r="AJ177" s="1069"/>
      <c r="AK177" s="154" t="str">
        <f t="shared" ca="1" si="2393"/>
        <v/>
      </c>
      <c r="AL177" s="1059"/>
      <c r="AM177" s="344" t="str">
        <f ca="1">IFERROR(Q167/12*ROUND(VLOOKUP(AF177,OFFSET(ELM,0,1),6,FALSE),2),"")</f>
        <v/>
      </c>
      <c r="AN177" t="str">
        <f t="shared" ca="1" si="2409"/>
        <v/>
      </c>
      <c r="AP177" s="122" t="str">
        <f t="shared" ref="AP177" si="2657">_xlfn.CONCAT(AR177,AS178)</f>
        <v/>
      </c>
      <c r="AQ177" s="683" t="str">
        <f t="shared" si="2617"/>
        <v/>
      </c>
      <c r="AR177" s="4" t="str">
        <f t="shared" si="2378"/>
        <v/>
      </c>
      <c r="AS177" s="4"/>
      <c r="AT177" s="697" t="str">
        <f>AL173</f>
        <v/>
      </c>
      <c r="AU177" s="694" t="e">
        <f t="shared" ca="1" si="2633"/>
        <v>#REF!</v>
      </c>
      <c r="AV177" s="698" t="str">
        <f ca="1">IFERROR(VLOOKUP(AU177,INDIRECT(AQ167),2,FALSE),"----")</f>
        <v>----</v>
      </c>
      <c r="AW177" s="694" t="e">
        <f t="shared" ca="1" si="2634"/>
        <v>#REF!</v>
      </c>
      <c r="AX177" s="698" t="str">
        <f ca="1">IFERROR(VLOOKUP(AW177,INDIRECT(AQ168),2,FALSE),"----")</f>
        <v>----</v>
      </c>
      <c r="AY177" s="694" t="e">
        <f t="shared" ca="1" si="1919"/>
        <v>#REF!</v>
      </c>
      <c r="AZ177" s="698" t="str">
        <f ca="1">IFERROR(VLOOKUP(AY177,INDIRECT(AQ169),2,FALSE),"----")</f>
        <v>----</v>
      </c>
      <c r="BA177" s="694" t="e">
        <f t="shared" ca="1" si="1920"/>
        <v>#REF!</v>
      </c>
      <c r="BB177" s="698" t="str">
        <f ca="1">IFERROR(VLOOKUP(BA177,INDIRECT(AQ170),2,FALSE),"----")</f>
        <v>----</v>
      </c>
      <c r="BC177" s="694" t="e">
        <f t="shared" ca="1" si="2635"/>
        <v>#REF!</v>
      </c>
      <c r="BD177" s="698" t="str">
        <f ca="1">IFERROR(VLOOKUP(BC177,INDIRECT(AQ171),2,FALSE),"----")</f>
        <v>----</v>
      </c>
      <c r="BE177" s="694" t="e">
        <f t="shared" ca="1" si="2636"/>
        <v>#REF!</v>
      </c>
      <c r="BF177" s="698" t="str">
        <f ca="1">IFERROR(VLOOKUP(BE177,INDIRECT(AQ172),2,FALSE),"----")</f>
        <v>----</v>
      </c>
      <c r="BG177" s="702" t="e">
        <f t="shared" ca="1" si="2637"/>
        <v>#REF!</v>
      </c>
      <c r="BH177" s="686" t="str">
        <f ca="1">IFERROR(VLOOKUP(BG177,INDIRECT(AQ173),2,FALSE),"----")</f>
        <v>----</v>
      </c>
      <c r="BI177" s="702" t="e">
        <f t="shared" ca="1" si="2638"/>
        <v>#REF!</v>
      </c>
      <c r="BJ177" s="686" t="str">
        <f ca="1">IFERROR(VLOOKUP(BI177,INDIRECT(AQ174),2,FALSE),"----")</f>
        <v>----</v>
      </c>
      <c r="BK177" s="702" t="e">
        <f t="shared" ca="1" si="2639"/>
        <v>#REF!</v>
      </c>
      <c r="BL177" s="686" t="str">
        <f ca="1">IFERROR(VLOOKUP(BK177,INDIRECT(AQ175),2,FALSE),"----")</f>
        <v>----</v>
      </c>
      <c r="BM177" s="702" t="e">
        <f t="shared" ca="1" si="2640"/>
        <v>#REF!</v>
      </c>
      <c r="BN177" s="686" t="str">
        <f ca="1">IFERROR(VLOOKUP(BM177,INDIRECT(AQ176),2,FALSE),"----")</f>
        <v>----</v>
      </c>
      <c r="BO177" s="702" t="e">
        <f t="shared" ca="1" si="2641"/>
        <v>#REF!</v>
      </c>
      <c r="BP177" s="686" t="str">
        <f ca="1">IFERROR(VLOOKUP(BO177,INDIRECT(AQ177),2,FALSE),"----")</f>
        <v>----</v>
      </c>
      <c r="BQ177" s="702" t="e">
        <f t="shared" ca="1" si="2642"/>
        <v>#REF!</v>
      </c>
      <c r="BR177" s="686" t="str">
        <f ca="1">IFERROR(VLOOKUP(BQ177,INDIRECT(AQ178),2,FALSE),"----")</f>
        <v>----</v>
      </c>
      <c r="BS177" s="695">
        <f>IF(AI177="",1,IF(COUNTIF(BP167:BP178,AI177)=0,2,1))</f>
        <v>1</v>
      </c>
      <c r="BT177" s="696">
        <f>IF(AF177="",1,IF(BP167=".",2,1))</f>
        <v>1</v>
      </c>
      <c r="BU177" s="706"/>
      <c r="BV177" s="155">
        <f ca="1">IF(COUNTIF(EC167:EC178,AF177)=0,IF(AF177&lt;&gt;"",0,1),1)</f>
        <v>1</v>
      </c>
      <c r="BW177" s="157">
        <f ca="1">IFERROR(MATCH(AF177,EC167:EC178,0),1)</f>
        <v>1</v>
      </c>
      <c r="BX177" s="769"/>
      <c r="BY177" s="769"/>
      <c r="BZ177" s="1110"/>
      <c r="CA177" s="691" t="e">
        <f t="shared" ca="1" si="2485"/>
        <v>#REF!</v>
      </c>
      <c r="CB177" s="4" t="e" cm="1">
        <f t="array" aca="1" ref="CB177" ca="1">IF(AND(INDEX(INDIRECT(BY167),CA177,4)&gt;=$AB167,INDEX(INDIRECT(BY167),CA177,5)&gt;=$S167,INDEX(INDIRECT(BY167),CA177,6)&gt;=$R167),1,0)</f>
        <v>#REF!</v>
      </c>
      <c r="CC177" s="4" t="e">
        <f t="shared" ref="CC177" ca="1" si="2658">MATCH(1,OFFSET(CB167:CB178,CD176,0,COUNT(CB167:CB178)-CD176),0)</f>
        <v>#REF!</v>
      </c>
      <c r="CD177" s="4" t="e">
        <f t="shared" ca="1" si="2487"/>
        <v>#REF!</v>
      </c>
      <c r="CE177" s="692" t="str" cm="1">
        <f t="array" aca="1" ref="CE177" ca="1">IFERROR(VLOOKUP(INDEX(CA167:CA178,CD177),INDIRECT(BY167),2,FALSE),"----")</f>
        <v>----</v>
      </c>
      <c r="CF177" s="691" t="e">
        <f t="shared" ca="1" si="2488"/>
        <v>#N/A</v>
      </c>
      <c r="CG177" s="4" t="e">
        <f ca="1">IF(AND(INDEX(SSM,CF177,4)&gt;=$AB167,INDEX(SSM,CF177,5)&gt;=$S167,INDEX(SSM,CF177,6)&gt;=$R167),1,0)</f>
        <v>#N/A</v>
      </c>
      <c r="CH177" s="4" t="e">
        <f t="shared" ref="CH177" ca="1" si="2659">MATCH(1,OFFSET(CG167:CG178,CI176,0,COUNT(CG167:CG178)-CI176),0)</f>
        <v>#REF!</v>
      </c>
      <c r="CI177" s="4" t="e">
        <f t="shared" ca="1" si="2490"/>
        <v>#REF!</v>
      </c>
      <c r="CJ177" s="692" t="str">
        <f ca="1">IFERROR(IF(AD168="Nested Steel Stud (wood infill)",VLOOKUP(INDEX(CF167:CF178,CI177),SSW,2,FALSE),VLOOKUP(INDEX(CF167:CF178,CI177),SSM,2,FALSE)),"----")</f>
        <v>----</v>
      </c>
      <c r="CK177" s="691" t="e">
        <f t="shared" ca="1" si="2491"/>
        <v>#N/A</v>
      </c>
      <c r="CL177" s="4" t="e">
        <f ca="1">IF(AND(INDEX(WSM,CK177,4)&gt;=$AB167,INDEX(WSM,CK177,5)&gt;=$S167,INDEX(WSM,CK177,6)&gt;=$R167),1,0)</f>
        <v>#N/A</v>
      </c>
      <c r="CM177" s="4" t="e">
        <f t="shared" ref="CM177" ca="1" si="2660">MATCH(1,OFFSET(CL167:CL178,CN176,0,COUNT(CL167:CL178)-CN176),0)</f>
        <v>#REF!</v>
      </c>
      <c r="CN177" s="4" t="e">
        <f t="shared" ca="1" si="2493"/>
        <v>#REF!</v>
      </c>
      <c r="CO177" s="692" t="str">
        <f ca="1">IFERROR(VLOOKUP(INDEX(CK167:CK178,CN177),WSM,2,FALSE),"----")</f>
        <v>----</v>
      </c>
      <c r="CP177" s="691" t="e">
        <f t="shared" ca="1" si="2494"/>
        <v>#N/A</v>
      </c>
      <c r="CQ177" s="4" t="e">
        <f ca="1">IF(AND(INDEX(STM,CP177,4)&gt;=$AB167,INDEX(STM,CP177,5)&gt;=$S167,INDEX(STM,CP177,6)&gt;=$R167),1,0)</f>
        <v>#N/A</v>
      </c>
      <c r="CR177" s="4" t="e">
        <f t="shared" ref="CR177" ca="1" si="2661">MATCH(1,OFFSET(CQ167:CQ178,CS176,0,COUNT(CQ167:CQ178)-CS176),0)</f>
        <v>#REF!</v>
      </c>
      <c r="CS177" s="4" t="e">
        <f t="shared" ca="1" si="2496"/>
        <v>#REF!</v>
      </c>
      <c r="CT177" s="692" t="str">
        <f ca="1">IFERROR(VLOOKUP(INDEX(CP167:CP178,CS177),STM,2,FALSE),"----")</f>
        <v>----</v>
      </c>
      <c r="CU177" s="691" t="e">
        <f t="shared" ca="1" si="2497"/>
        <v>#N/A</v>
      </c>
      <c r="CV177" s="4" t="e">
        <f ca="1">IF(AND(INDEX(ELM,CU177,4)&gt;=$AB167,INDEX(ELM,CU177,5)&gt;=$S167,INDEX(ELM,CU177,6)&gt;=$R167),1,0)</f>
        <v>#N/A</v>
      </c>
      <c r="CW177" s="4" t="e">
        <f t="shared" ref="CW177" ca="1" si="2662">MATCH(1,OFFSET(CV167:CV178,CX176,0,COUNT(CV167:CV178)-CX176),0)</f>
        <v>#REF!</v>
      </c>
      <c r="CX177" s="4" t="e">
        <f t="shared" ca="1" si="2499"/>
        <v>#REF!</v>
      </c>
      <c r="CY177" s="692" t="str">
        <f ca="1">IFERROR(VLOOKUP(INDEX(CU167:CU178,CX177),ELM,2,FALSE),"----")</f>
        <v>----</v>
      </c>
      <c r="CZ177" s="691" t="e">
        <f t="shared" ca="1" si="2500"/>
        <v>#N/A</v>
      </c>
      <c r="DA177" s="4" t="e">
        <f ca="1">IF(LEFT($J167,7)="Clad Wo",IF(AND(INDEX(SPPWS,CZ177,4)&gt;=$AB167,INDEX(SPPWS,CZ177,5)&gt;=$S167,INDEX(SPPWS,CZ177,6)&gt;=$R167),1,0),IF(AND(INDEX(SPM,CZ177,4)&gt;=$AB167,INDEX(SPM,CZ177,5)&gt;=$S167,INDEX(SPM,CZ177,6)&gt;=$R167),1,0))</f>
        <v>#N/A</v>
      </c>
      <c r="DB177" s="4" t="e">
        <f t="shared" ref="DB177" ca="1" si="2663">MATCH(1,OFFSET(DA167:DA178,DC176,0,COUNT(DA167:DA178)-DC176),0)</f>
        <v>#REF!</v>
      </c>
      <c r="DC177" s="4" t="e">
        <f t="shared" ca="1" si="2502"/>
        <v>#REF!</v>
      </c>
      <c r="DD177" s="693" t="str">
        <f ca="1">IF(LEFT($J167,7)="Clad Wo",IFERROR(VLOOKUP(INDEX(CZ167:CZ178,DC177),SPPWS,2,FALSE),"----"),IFERROR(VLOOKUP(INDEX(CZ167:CZ178,DC177),SPM,2,FALSE),"----"))</f>
        <v>----</v>
      </c>
      <c r="DE177" s="691" t="e">
        <f t="shared" ca="1" si="2503"/>
        <v>#REF!</v>
      </c>
      <c r="DF177" s="4" t="e" cm="1">
        <f t="array" aca="1" ref="DF177" ca="1">IF(AND(INDEX(INDIRECT(BY167),DE177,4)&gt;=$AB173,INDEX(INDIRECT(BY167),DE177,5)&gt;=$S167,INDEX(INDIRECT(BY167),DE177,6)&gt;=$R167),1,0)</f>
        <v>#REF!</v>
      </c>
      <c r="DG177" s="4" t="e">
        <f t="shared" ref="DG177" ca="1" si="2664">MATCH(1,OFFSET(DF167:DF178,DH176,0,COUNT(DF167:DF178)-DH176),0)</f>
        <v>#REF!</v>
      </c>
      <c r="DH177" s="4" t="e">
        <f t="shared" ca="1" si="2505"/>
        <v>#REF!</v>
      </c>
      <c r="DI177" s="692" t="str" cm="1">
        <f t="array" aca="1" ref="DI177" ca="1">IFERROR(VLOOKUP(INDEX(DE167:DE178,DH177),INDIRECT(BY167),2,FALSE),"----")</f>
        <v>----</v>
      </c>
      <c r="DJ177" s="691" t="e">
        <f t="shared" ca="1" si="2506"/>
        <v>#N/A</v>
      </c>
      <c r="DK177" s="4" t="e">
        <f ca="1">IF(AND(INDEX(SSM,DJ177,4)&gt;=$AB173,INDEX(SSM,DJ177,5)&gt;=$S167,INDEX(SSM,DJ177,6)&gt;=$R167),1,0)</f>
        <v>#N/A</v>
      </c>
      <c r="DL177" s="4" t="e">
        <f t="shared" ref="DL177" ca="1" si="2665">MATCH(1,OFFSET(DK167:DK178,DM176,0,COUNT(DK167:DK178)-DM176),0)</f>
        <v>#REF!</v>
      </c>
      <c r="DM177" s="4" t="e">
        <f t="shared" ca="1" si="2508"/>
        <v>#REF!</v>
      </c>
      <c r="DN177" s="692" t="str">
        <f ca="1">IFERROR(IF(AD174="Nested Steel Stud (wood infill)",VLOOKUP(INDEX(DJ167:DJ178,DM177),SSW,2,FALSE),VLOOKUP(INDEX(DJ167:DJ178,DM177),SSM,2,FALSE)),"----")</f>
        <v>----</v>
      </c>
      <c r="DO177" s="691" t="e">
        <f t="shared" ca="1" si="2509"/>
        <v>#N/A</v>
      </c>
      <c r="DP177" s="4" t="e">
        <f ca="1">IF(AND(INDEX(WSM,DO177,4)&gt;=$AB173,INDEX(WSM,DO177,5)&gt;=$S167,INDEX(WSM,DO177,6)&gt;=$R167),1,0)</f>
        <v>#N/A</v>
      </c>
      <c r="DQ177" s="4" t="e">
        <f t="shared" ref="DQ177" ca="1" si="2666">MATCH(1,OFFSET(DP167:DP178,DR176,0,COUNT(DP167:DP178)-DR176),0)</f>
        <v>#REF!</v>
      </c>
      <c r="DR177" s="4" t="e">
        <f t="shared" ca="1" si="2511"/>
        <v>#REF!</v>
      </c>
      <c r="DS177" s="692" t="str">
        <f ca="1">IFERROR(VLOOKUP(INDEX(DO167:DO178,DR177),WSM,2,FALSE),"----")</f>
        <v>----</v>
      </c>
      <c r="DT177" s="691" t="e">
        <f t="shared" ca="1" si="2512"/>
        <v>#N/A</v>
      </c>
      <c r="DU177" s="4" t="e">
        <f ca="1">IF(AND(INDEX(STM,DT177,4)&gt;=$AB173,INDEX(STM,DT177,5)&gt;=$S167,INDEX(STM,DT177,6)&gt;=$R167),1,0)</f>
        <v>#N/A</v>
      </c>
      <c r="DV177" s="4" t="e">
        <f t="shared" ref="DV177" ca="1" si="2667">MATCH(1,OFFSET(DU167:DU178,DW176,0,COUNT(DU167:DU178)-DW176),0)</f>
        <v>#REF!</v>
      </c>
      <c r="DW177" s="4" t="e">
        <f t="shared" ca="1" si="2514"/>
        <v>#REF!</v>
      </c>
      <c r="DX177" s="692" t="str">
        <f ca="1">IFERROR(VLOOKUP(INDEX(DT167:DT178,DW177),STM,2,FALSE),"----")</f>
        <v>----</v>
      </c>
      <c r="DY177" s="691" t="e">
        <f t="shared" ca="1" si="2515"/>
        <v>#N/A</v>
      </c>
      <c r="DZ177" s="4" t="e">
        <f ca="1">IF(AND(INDEX(ELM,DY177,4)&gt;=$AB173,INDEX(ELM,DY177,5)&gt;=$S167,INDEX(ELM,DY177,6)&gt;=$R167),1,0)</f>
        <v>#N/A</v>
      </c>
      <c r="EA177" s="4" t="e">
        <f t="shared" ref="EA177" ca="1" si="2668">MATCH(1,OFFSET(DZ167:DZ178,EB176,0,COUNT(DZ167:DZ178)-EB176),0)</f>
        <v>#REF!</v>
      </c>
      <c r="EB177" s="4" t="e">
        <f t="shared" ca="1" si="2517"/>
        <v>#REF!</v>
      </c>
      <c r="EC177" s="692" t="str">
        <f ca="1">IFERROR(VLOOKUP(INDEX(DY167:DY178,EB177),ELM,2,FALSE),"----")</f>
        <v>----</v>
      </c>
      <c r="ED177" s="691" t="e">
        <f t="shared" ca="1" si="2518"/>
        <v>#N/A</v>
      </c>
      <c r="EE177" s="4" t="e">
        <f ca="1">IF(LEFT($J167,7)="Clad Wo",IF(AND(INDEX(SPPWS,ED177,4)&gt;=$AB173,INDEX(SPPWS,ED177,5)&gt;=$S167,INDEX(SPPWS,ED177,6)&gt;=$R167),1,0),IF(AND(INDEX(SPM,ED177,4)&gt;=$AB173,INDEX(SPM,ED177,5)&gt;=$S167,INDEX(SPM,ED177,6)&gt;=$R167),1,0))</f>
        <v>#N/A</v>
      </c>
      <c r="EF177" s="4" t="e">
        <f t="shared" ref="EF177" ca="1" si="2669">MATCH(1,OFFSET(EE167:EE178,EG176,0,COUNT(EE167:EE178)-EG176),0)</f>
        <v>#REF!</v>
      </c>
      <c r="EG177" s="4" t="e">
        <f t="shared" ca="1" si="2520"/>
        <v>#REF!</v>
      </c>
      <c r="EH177" s="692" t="str">
        <f ca="1">IF(LEFT($J167,7)="Clad Wo",IFERROR(VLOOKUP(INDEX(ED167:ED178,EG177),SPPWS,2,FALSE),"----"),IFERROR(VLOOKUP(INDEX(ED167:ED178,EG177),SPM,2,FALSE),"----"))</f>
        <v>----</v>
      </c>
    </row>
    <row r="178" spans="1:138" ht="15" customHeight="1" thickBot="1" x14ac:dyDescent="0.3">
      <c r="A178" s="1085"/>
      <c r="B178" s="928"/>
      <c r="C178" s="929"/>
      <c r="D178" s="930"/>
      <c r="E178" s="998"/>
      <c r="F178" s="999"/>
      <c r="G178" s="1000"/>
      <c r="H178" s="1063"/>
      <c r="I178" s="991"/>
      <c r="J178" s="904"/>
      <c r="K178" s="905"/>
      <c r="L178" s="1003"/>
      <c r="M178" s="1065"/>
      <c r="N178" s="1043"/>
      <c r="O178" s="1019"/>
      <c r="P178" s="988"/>
      <c r="Q178" s="1016"/>
      <c r="R178" s="1013"/>
      <c r="S178" s="1008"/>
      <c r="T178" s="1009"/>
      <c r="U178" s="879"/>
      <c r="V178" s="882"/>
      <c r="W178" s="885"/>
      <c r="X178" s="885"/>
      <c r="Y178" s="888"/>
      <c r="Z178" s="888"/>
      <c r="AA178" s="888"/>
      <c r="AB178" s="1082"/>
      <c r="AC178" s="1087"/>
      <c r="AD178" s="1098" t="str">
        <f t="shared" ref="AD178" si="2670">IF(LEFT(J167,7)="Clad Wo","Pella Wood Spr / Steel Pte","Steel Plate")</f>
        <v>Steel Plate</v>
      </c>
      <c r="AE178" s="1099"/>
      <c r="AF178" s="1096"/>
      <c r="AG178" s="1097"/>
      <c r="AH178" s="1097"/>
      <c r="AI178" s="1094"/>
      <c r="AJ178" s="1095"/>
      <c r="AK178" s="163" t="str">
        <f t="shared" ca="1" si="2393"/>
        <v/>
      </c>
      <c r="AL178" s="1060"/>
      <c r="AM178" s="345" t="str">
        <f ca="1">IFERROR(Q167/12*ROUND(VLOOKUP(AF178,OFFSET(SPM,0,1),6,FALSE),2),"")</f>
        <v/>
      </c>
      <c r="AN178" t="str">
        <f t="shared" ca="1" si="2409"/>
        <v/>
      </c>
      <c r="AP178" s="699" t="str">
        <f t="shared" ref="AP178" si="2671">_xlfn.CONCAT(AR178,AS178)</f>
        <v/>
      </c>
      <c r="AQ178" s="700" t="str">
        <f t="shared" si="2617"/>
        <v/>
      </c>
      <c r="AR178" s="160" t="str">
        <f t="shared" si="2378"/>
        <v/>
      </c>
      <c r="AS178" s="160" t="str">
        <f>IFERROR(VLOOKUP(J175, WallType,2,FALSE),"")</f>
        <v/>
      </c>
      <c r="AT178" s="707" t="str">
        <f>AL173</f>
        <v/>
      </c>
      <c r="AU178" s="708" t="e">
        <f t="shared" ca="1" si="2633"/>
        <v>#REF!</v>
      </c>
      <c r="AV178" s="709" t="str">
        <f ca="1">IFERROR(VLOOKUP(AU178,INDIRECT(AQ167),2,FALSE),"----")</f>
        <v>----</v>
      </c>
      <c r="AW178" s="710" t="e">
        <f t="shared" ca="1" si="2634"/>
        <v>#REF!</v>
      </c>
      <c r="AX178" s="709" t="str">
        <f ca="1">IFERROR(VLOOKUP(AW178,INDIRECT(AQ168),2,FALSE),"----")</f>
        <v>----</v>
      </c>
      <c r="AY178" s="710" t="e">
        <f t="shared" ca="1" si="1919"/>
        <v>#REF!</v>
      </c>
      <c r="AZ178" s="709" t="str">
        <f ca="1">IFERROR(VLOOKUP(AY178,INDIRECT(AQ169),2,FALSE),"----")</f>
        <v>----</v>
      </c>
      <c r="BA178" s="710" t="e">
        <f t="shared" ca="1" si="1920"/>
        <v>#REF!</v>
      </c>
      <c r="BB178" s="709" t="str">
        <f ca="1">IFERROR(VLOOKUP(BA178,INDIRECT(AQ170),2,FALSE),"----")</f>
        <v>----</v>
      </c>
      <c r="BC178" s="710" t="e">
        <f t="shared" ca="1" si="2635"/>
        <v>#REF!</v>
      </c>
      <c r="BD178" s="709" t="str">
        <f ca="1">IFERROR(VLOOKUP(BC178,INDIRECT(AQ171),2,FALSE),"----")</f>
        <v>----</v>
      </c>
      <c r="BE178" s="710" t="e">
        <f t="shared" ca="1" si="2636"/>
        <v>#REF!</v>
      </c>
      <c r="BF178" s="709" t="str">
        <f ca="1">IFERROR(VLOOKUP(BE178,INDIRECT(AQ172),2,FALSE),"----")</f>
        <v>----</v>
      </c>
      <c r="BG178" s="710" t="e">
        <f t="shared" ca="1" si="2637"/>
        <v>#REF!</v>
      </c>
      <c r="BH178" s="711" t="str">
        <f ca="1">IFERROR(VLOOKUP(BG178,INDIRECT(AQ173),2,FALSE),"----")</f>
        <v>----</v>
      </c>
      <c r="BI178" s="710" t="e">
        <f t="shared" ca="1" si="2638"/>
        <v>#REF!</v>
      </c>
      <c r="BJ178" s="711" t="str">
        <f ca="1">IFERROR(VLOOKUP(BI178,INDIRECT(AQ174),2,FALSE),"----")</f>
        <v>----</v>
      </c>
      <c r="BK178" s="710" t="e">
        <f t="shared" ca="1" si="2639"/>
        <v>#REF!</v>
      </c>
      <c r="BL178" s="711" t="str">
        <f ca="1">IFERROR(VLOOKUP(BK178,INDIRECT(AQ175),2,FALSE),"----")</f>
        <v>----</v>
      </c>
      <c r="BM178" s="710" t="e">
        <f t="shared" ca="1" si="2640"/>
        <v>#REF!</v>
      </c>
      <c r="BN178" s="711" t="str">
        <f ca="1">IFERROR(VLOOKUP(BM178,INDIRECT(AQ176),2,FALSE),"----")</f>
        <v>----</v>
      </c>
      <c r="BO178" s="710" t="e">
        <f t="shared" ca="1" si="2641"/>
        <v>#REF!</v>
      </c>
      <c r="BP178" s="711" t="str">
        <f ca="1">IFERROR(VLOOKUP(BO178,INDIRECT(AQ177),2,FALSE),"----")</f>
        <v>----</v>
      </c>
      <c r="BQ178" s="710" t="e">
        <f t="shared" ca="1" si="2642"/>
        <v>#REF!</v>
      </c>
      <c r="BR178" s="712" t="str">
        <f ca="1">IFERROR(VLOOKUP(BQ178,INDIRECT(AQ178),2,FALSE),"----")</f>
        <v>----</v>
      </c>
      <c r="BS178" s="695">
        <f>IF(AI178="",1,IF(COUNTIF(BR167:BR178,AI178)=0,2,1))</f>
        <v>1</v>
      </c>
      <c r="BT178" s="713">
        <f>IF(AF178="",1,IF(BR167=".",2,1))</f>
        <v>1</v>
      </c>
      <c r="BV178" s="155">
        <f ca="1">IF(COUNTIF(EH167:EH178,AF178)=0,IF(AF178&lt;&gt;"",0,1),1)</f>
        <v>1</v>
      </c>
      <c r="BW178" s="157">
        <f ca="1">IFERROR(MATCH(AF178,EH167:EH178,0),1)</f>
        <v>1</v>
      </c>
      <c r="BX178" s="718"/>
      <c r="BY178" s="777"/>
      <c r="BZ178" s="1110"/>
      <c r="CA178" s="714" t="e">
        <f t="shared" ca="1" si="2485"/>
        <v>#REF!</v>
      </c>
      <c r="CB178" s="715" t="e" cm="1">
        <f t="array" aca="1" ref="CB178" ca="1">IF(AND(INDEX(INDIRECT(BY167),CA178,4)&gt;=$AB167,INDEX(INDIRECT(BY167),CA178,5)&gt;=$S167,INDEX(INDIRECT(BY167),CA178,6)&gt;=$R167),1,0)</f>
        <v>#REF!</v>
      </c>
      <c r="CC178" s="715" t="e">
        <f t="shared" ref="CC178" ca="1" si="2672">MATCH(1,OFFSET(CB167:CB178,CD177,0,COUNT(CB167:CB178)-CD177),0)</f>
        <v>#REF!</v>
      </c>
      <c r="CD178" s="715" t="e">
        <f t="shared" ca="1" si="2487"/>
        <v>#REF!</v>
      </c>
      <c r="CE178" s="716" t="str" cm="1">
        <f t="array" aca="1" ref="CE178" ca="1">IFERROR(VLOOKUP(INDEX(CA167:CA178,CD178),INDIRECT(BY167),2,FALSE),"----")</f>
        <v>----</v>
      </c>
      <c r="CF178" s="714" t="e">
        <f t="shared" ca="1" si="2488"/>
        <v>#N/A</v>
      </c>
      <c r="CG178" s="715" t="e">
        <f ca="1">IF(AND(INDEX(SSM,CF178,4)&gt;=$AB167,INDEX(SSM,CF178,5)&gt;=$S167,INDEX(SSM,CF178,6)&gt;=$R167),1,0)</f>
        <v>#N/A</v>
      </c>
      <c r="CH178" s="715" t="e">
        <f t="shared" ref="CH178" ca="1" si="2673">MATCH(1,OFFSET(CG167:CG178,CI177,0,COUNT(CG167:CG178)-CI177),0)</f>
        <v>#REF!</v>
      </c>
      <c r="CI178" s="715" t="e">
        <f t="shared" ca="1" si="2490"/>
        <v>#REF!</v>
      </c>
      <c r="CJ178" s="716" t="str">
        <f ca="1">IFERROR(IF(AD168="Nested Steel Stud (wood infill)",VLOOKUP(INDEX(CF167:CF178,CI178),SSW,2,FALSE),VLOOKUP(INDEX(CF167:CF178,CI178),SSM,2,FALSE)),"----")</f>
        <v>----</v>
      </c>
      <c r="CK178" s="714" t="e">
        <f t="shared" ca="1" si="2491"/>
        <v>#N/A</v>
      </c>
      <c r="CL178" s="715" t="e">
        <f ca="1">IF(AND(INDEX(WSM,CK178,4)&gt;=$AB167,INDEX(WSM,CK178,5)&gt;=$S167,INDEX(WSM,CK178,6)&gt;=$R167),1,0)</f>
        <v>#N/A</v>
      </c>
      <c r="CM178" s="715" t="e">
        <f t="shared" ref="CM178" ca="1" si="2674">MATCH(1,OFFSET(CL167:CL178,CN177,0,COUNT(CL167:CL178)-CN177),0)</f>
        <v>#REF!</v>
      </c>
      <c r="CN178" s="715" t="e">
        <f t="shared" ca="1" si="2493"/>
        <v>#REF!</v>
      </c>
      <c r="CO178" s="716" t="str">
        <f ca="1">IFERROR(VLOOKUP(INDEX(CK167:CK178,CN178),WSM,2,FALSE),"----")</f>
        <v>----</v>
      </c>
      <c r="CP178" s="714" t="e">
        <f t="shared" ca="1" si="2494"/>
        <v>#N/A</v>
      </c>
      <c r="CQ178" s="715" t="e">
        <f ca="1">IF(AND(INDEX(STM,CP178,4)&gt;=$AB167,INDEX(STM,CP178,5)&gt;=$S167,INDEX(STM,CP178,6)&gt;=$R167),1,0)</f>
        <v>#N/A</v>
      </c>
      <c r="CR178" s="715" t="e">
        <f t="shared" ref="CR178" ca="1" si="2675">MATCH(1,OFFSET(CQ167:CQ178,CS177,0,COUNT(CQ167:CQ178)-CS177),0)</f>
        <v>#REF!</v>
      </c>
      <c r="CS178" s="715" t="e">
        <f t="shared" ca="1" si="2496"/>
        <v>#REF!</v>
      </c>
      <c r="CT178" s="716" t="str">
        <f ca="1">IFERROR(VLOOKUP(INDEX(CP167:CP178,CS178),STM,2,FALSE),"----")</f>
        <v>----</v>
      </c>
      <c r="CU178" s="714" t="e">
        <f t="shared" ca="1" si="2497"/>
        <v>#N/A</v>
      </c>
      <c r="CV178" s="715" t="e">
        <f ca="1">IF(AND(INDEX(ELM,CU178,4)&gt;=$AB167,INDEX(ELM,CU178,5)&gt;=$S167,INDEX(ELM,CU178,6)&gt;=$R167),1,0)</f>
        <v>#N/A</v>
      </c>
      <c r="CW178" s="715" t="e">
        <f t="shared" ref="CW178" ca="1" si="2676">MATCH(1,OFFSET(CV167:CV178,CX177,0,COUNT(CV167:CV178)-CX177),0)</f>
        <v>#REF!</v>
      </c>
      <c r="CX178" s="715" t="e">
        <f t="shared" ca="1" si="2499"/>
        <v>#REF!</v>
      </c>
      <c r="CY178" s="716" t="str">
        <f ca="1">IFERROR(VLOOKUP(INDEX(CU167:CU178,CX178),ELM,2,FALSE),"----")</f>
        <v>----</v>
      </c>
      <c r="CZ178" s="714" t="e">
        <f t="shared" ca="1" si="2500"/>
        <v>#N/A</v>
      </c>
      <c r="DA178" s="715" t="e">
        <f ca="1">IF(LEFT($J167,7)="Clad Wo",IF(AND(INDEX(SPPWS,CZ178,4)&gt;=$AB167,INDEX(SPPWS,CZ178,5)&gt;=$S167,INDEX(SPPWS,CZ178,6)&gt;=$R167),1,0),IF(AND(INDEX(SPM,CZ178,4)&gt;=$AB167,INDEX(SPM,CZ178,5)&gt;=$S167,INDEX(SPM,CZ178,6)&gt;=$R167),1,0))</f>
        <v>#N/A</v>
      </c>
      <c r="DB178" s="715" t="e">
        <f t="shared" ref="DB178" ca="1" si="2677">MATCH(1,OFFSET(DA167:DA178,DC177,0,COUNT(DA167:DA178)-DC177),0)</f>
        <v>#REF!</v>
      </c>
      <c r="DC178" s="715" t="e">
        <f t="shared" ca="1" si="2502"/>
        <v>#REF!</v>
      </c>
      <c r="DD178" s="717" t="str">
        <f ca="1">IF(LEFT($J167,7)="Clad Wo",IFERROR(VLOOKUP(INDEX(CZ167:CZ178,DC178),SPPWS,2,FALSE),"----"),IFERROR(VLOOKUP(INDEX(CZ167:CZ178,DC178),SPM,2,FALSE),"----"))</f>
        <v>----</v>
      </c>
      <c r="DE178" s="714" t="e">
        <f t="shared" ca="1" si="2503"/>
        <v>#REF!</v>
      </c>
      <c r="DF178" s="715" t="e" cm="1">
        <f t="array" aca="1" ref="DF178" ca="1">IF(AND(INDEX(INDIRECT(BY167),DE178,4)&gt;=$AB173,INDEX(INDIRECT(BY167),DE178,5)&gt;=$S167,INDEX(INDIRECT(BY167),DE178,6)&gt;=$R167),1,0)</f>
        <v>#REF!</v>
      </c>
      <c r="DG178" s="715" t="e">
        <f t="shared" ref="DG178" ca="1" si="2678">MATCH(1,OFFSET(DF167:DF178,DH177,0,COUNT(DF167:DF178)-DH177),0)</f>
        <v>#REF!</v>
      </c>
      <c r="DH178" s="715" t="e">
        <f t="shared" ca="1" si="2505"/>
        <v>#REF!</v>
      </c>
      <c r="DI178" s="716" t="str" cm="1">
        <f t="array" aca="1" ref="DI178" ca="1">IFERROR(VLOOKUP(INDEX(DE167:DE178,DH178),INDIRECT(BY167),2,FALSE),"----")</f>
        <v>----</v>
      </c>
      <c r="DJ178" s="714" t="e">
        <f t="shared" ca="1" si="2506"/>
        <v>#N/A</v>
      </c>
      <c r="DK178" s="715" t="e">
        <f ca="1">IF(AND(INDEX(SSM,DJ178,4)&gt;=$AB173,INDEX(SSM,DJ178,5)&gt;=$S167,INDEX(SSM,DJ178,6)&gt;=$R167),1,0)</f>
        <v>#N/A</v>
      </c>
      <c r="DL178" s="715" t="e">
        <f t="shared" ref="DL178" ca="1" si="2679">MATCH(1,OFFSET(DK167:DK178,DM177,0,COUNT(DK167:DK178)-DM177),0)</f>
        <v>#REF!</v>
      </c>
      <c r="DM178" s="715" t="e">
        <f t="shared" ca="1" si="2508"/>
        <v>#REF!</v>
      </c>
      <c r="DN178" s="716" t="str">
        <f ca="1">IFERROR(IF(AD174="Nested Steel Stud (wood infill)",VLOOKUP(INDEX(DJ167:DJ178,DM178),SSW,2,FALSE),VLOOKUP(INDEX(DJ167:DJ178,DM178),SSM,2,FALSE)),"----")</f>
        <v>----</v>
      </c>
      <c r="DO178" s="714" t="e">
        <f t="shared" ca="1" si="2509"/>
        <v>#N/A</v>
      </c>
      <c r="DP178" s="715" t="e">
        <f ca="1">IF(AND(INDEX(WSM,DO178,4)&gt;=$AB173,INDEX(WSM,DO178,5)&gt;=$S167,INDEX(WSM,DO178,6)&gt;=$R167),1,0)</f>
        <v>#N/A</v>
      </c>
      <c r="DQ178" s="715" t="e">
        <f t="shared" ref="DQ178" ca="1" si="2680">MATCH(1,OFFSET(DP167:DP178,DR177,0,COUNT(DP167:DP178)-DR177),0)</f>
        <v>#REF!</v>
      </c>
      <c r="DR178" s="715" t="e">
        <f t="shared" ca="1" si="2511"/>
        <v>#REF!</v>
      </c>
      <c r="DS178" s="716" t="str">
        <f ca="1">IFERROR(VLOOKUP(INDEX(DO167:DO178,DR178),WSM,2,FALSE),"----")</f>
        <v>----</v>
      </c>
      <c r="DT178" s="714" t="e">
        <f t="shared" ca="1" si="2512"/>
        <v>#N/A</v>
      </c>
      <c r="DU178" s="715" t="e">
        <f ca="1">IF(AND(INDEX(STM,DT178,4)&gt;=$AB173,INDEX(STM,DT178,5)&gt;=$S167,INDEX(STM,DT178,6)&gt;=$R167),1,0)</f>
        <v>#N/A</v>
      </c>
      <c r="DV178" s="715" t="e">
        <f t="shared" ref="DV178" ca="1" si="2681">MATCH(1,OFFSET(DU167:DU178,DW177,0,COUNT(DU167:DU178)-DW177),0)</f>
        <v>#REF!</v>
      </c>
      <c r="DW178" s="715" t="e">
        <f t="shared" ca="1" si="2514"/>
        <v>#REF!</v>
      </c>
      <c r="DX178" s="716" t="str">
        <f ca="1">IFERROR(VLOOKUP(INDEX(DT167:DT178,DW178),STM,2,FALSE),"----")</f>
        <v>----</v>
      </c>
      <c r="DY178" s="714" t="e">
        <f t="shared" ca="1" si="2515"/>
        <v>#N/A</v>
      </c>
      <c r="DZ178" s="715" t="e">
        <f ca="1">IF(AND(INDEX(ELM,DY178,4)&gt;=$AB173,INDEX(ELM,DY178,5)&gt;=$S167,INDEX(ELM,DY178,6)&gt;=$R167),1,0)</f>
        <v>#N/A</v>
      </c>
      <c r="EA178" s="715" t="e">
        <f t="shared" ref="EA178" ca="1" si="2682">MATCH(1,OFFSET(DZ167:DZ178,EB177,0,COUNT(DZ167:DZ178)-EB177),0)</f>
        <v>#REF!</v>
      </c>
      <c r="EB178" s="715" t="e">
        <f t="shared" ca="1" si="2517"/>
        <v>#REF!</v>
      </c>
      <c r="EC178" s="716" t="str">
        <f ca="1">IFERROR(VLOOKUP(INDEX(DY167:DY178,EB178),ELM,2,FALSE),"----")</f>
        <v>----</v>
      </c>
      <c r="ED178" s="714" t="e">
        <f t="shared" ca="1" si="2518"/>
        <v>#N/A</v>
      </c>
      <c r="EE178" s="715" t="e">
        <f ca="1">IF(LEFT($J167,7)="Clad Wo",IF(AND(INDEX(SPPWS,ED178,4)&gt;=$AB173,INDEX(SPPWS,ED178,5)&gt;=$S167,INDEX(SPPWS,ED178,6)&gt;=$R167),1,0),IF(AND(INDEX(SPM,ED178,4)&gt;=$AB173,INDEX(SPM,ED178,5)&gt;=$S167,INDEX(SPM,ED178,6)&gt;=$R167),1,0))</f>
        <v>#N/A</v>
      </c>
      <c r="EF178" s="715" t="e">
        <f t="shared" ref="EF178" ca="1" si="2683">MATCH(1,OFFSET(EE167:EE178,EG177,0,COUNT(EE167:EE178)-EG177),0)</f>
        <v>#REF!</v>
      </c>
      <c r="EG178" s="715" t="e">
        <f t="shared" ca="1" si="2520"/>
        <v>#REF!</v>
      </c>
      <c r="EH178" s="716" t="str">
        <f ca="1">IF(LEFT($J167,7)="Clad Wo",IFERROR(VLOOKUP(INDEX(ED167:ED178,EG178),SPPWS,2,FALSE),"----"),IFERROR(VLOOKUP(INDEX(ED167:ED178,EG178),SPM,2,FALSE),"----"))</f>
        <v>----</v>
      </c>
    </row>
    <row r="179" spans="1:138" ht="15" customHeight="1" thickTop="1" x14ac:dyDescent="0.25">
      <c r="A179" s="1085"/>
      <c r="B179" s="931" t="s">
        <v>92</v>
      </c>
      <c r="C179" s="932"/>
      <c r="D179" s="933"/>
      <c r="E179" s="992"/>
      <c r="F179" s="993"/>
      <c r="G179" s="994"/>
      <c r="H179" s="1061"/>
      <c r="I179" s="989"/>
      <c r="J179" s="906"/>
      <c r="K179" s="907"/>
      <c r="L179" s="1001">
        <f>$W$3</f>
        <v>4</v>
      </c>
      <c r="M179" s="923" t="str">
        <f t="shared" ref="M179" si="2684">IFERROR(IF($AE$13="",IF($AG$19="Wind Loading",MIN($V$31,IF(E$11="ASCE 7-05",$U$26,$V$7)*$V$9*(IF($E$12&lt;60,0.0771*LN(MAX(MIN(500,O179),10)) -1.2737,IF($E$11="ASCE 7-22",0.0524*LN(MAX(MIN(500,O179),50))-1.0278,0.0614*LN(MAX(MIN(500,O179),20)) -1.0829))-$V$8)),$V$7*IF(E$12&lt;60,$V$13*($V$15*0.0771*LN(MAX(MIN(500,O179),10))-1.2737-$V$16),$V$13*$V$15*((0.0524*LN(MAX(MIN(500,O179),20))-1.0278)-$V$16))),-ABS($AE$13)),"")</f>
        <v/>
      </c>
      <c r="N179" s="1042" t="str">
        <f t="shared" ref="N179" si="2685">IFERROR(IF($AE$15="",IF($AG$19="Wind Loading",MAX($U$31,IF(E$11="ASCE 7-05",$U$26,$V$7)*$V$9*((IF($E$12&lt;60,-0.077*LN(MAX(MIN(500,O179),10))+1.1737,IF($E$11="ASCE 7-22",-0.077*LN(MAX(MIN(500,O179),20))+1.0798,-0.093*LN(MAX(MIN(500,O179),20))+1.1776)))+$V$8)),$V$7*IF(E$12&lt;60,$V$13*($V$15*(-0.077*LN(MAX(MIN(500,O179),10))+1.1737)-$V$17),$V$13*$V$15*((-0.077*LN(MAX(MIN(500,O179),20))+1.0798)-$V$17))),ABS($AE$15)),"")</f>
        <v/>
      </c>
      <c r="O179" s="1017" t="str">
        <f>IF(BX186=0,"",IF(AG$14="Trapezoidal",BY186,BX186))</f>
        <v/>
      </c>
      <c r="P179" s="986"/>
      <c r="Q179" s="1014"/>
      <c r="R179" s="1011">
        <f>P179*Q179/8</f>
        <v>0</v>
      </c>
      <c r="S179" s="1004">
        <f t="shared" ref="S179" si="2686">IF(5*(P179*Q179^3/(384*0.125))=0,0,5*(P179*Q179^3/(384*0.125)))</f>
        <v>0</v>
      </c>
      <c r="T179" s="1005"/>
      <c r="U179" s="877" t="e">
        <f ca="1">VLOOKUP(J183,INDIRECT(VLOOKUP(J179,FrameStrength,2,FALSE)),3,FALSE)</f>
        <v>#N/A</v>
      </c>
      <c r="V179" s="880">
        <f t="shared" ref="V179" si="2687">(H179+I179)/2</f>
        <v>0</v>
      </c>
      <c r="W179" s="883" t="e">
        <f t="shared" ref="W179" si="2688">MAX(-M179,N179)*O179</f>
        <v>#VALUE!</v>
      </c>
      <c r="X179" s="883">
        <f t="shared" ref="X179" si="2689">IF(E179&gt;162,(E179/240+0.25),IF(AND(E179&lt;162,E179/175&lt;0.75),E179/175,0.75))</f>
        <v>0</v>
      </c>
      <c r="Y179" s="886">
        <f>IFERROR(IF(AG$14="Trapezoidal",BY187,BX187)+IF($E$17="4",(400*E179^3)/(48*X179),0),0)</f>
        <v>0</v>
      </c>
      <c r="Z179" s="886" t="e">
        <f t="shared" ref="Z179" si="2690">+($V179*MAX(-$M179,$N179)*$E179^2)/(144*8)+IF($E$17=4,(400*$E179)/4,0)</f>
        <v>#VALUE!</v>
      </c>
      <c r="AA179" s="886" t="e">
        <f ca="1">VLOOKUP(J183,INDIRECT(VLOOKUP(J179,FrameStrength,2,FALSE)),2,FALSE)</f>
        <v>#N/A</v>
      </c>
      <c r="AB179" s="1083" t="str">
        <f t="shared" ref="AB179" ca="1" si="2691">IFERROR(Z179-AA179,"")</f>
        <v/>
      </c>
      <c r="AC179" s="1077" t="str">
        <f t="shared" ref="AC179" ca="1" si="2692">IFERROR(Y179-U179,"")</f>
        <v/>
      </c>
      <c r="AD179" s="1100" t="str">
        <f>IFERROR(IF(LEFT(J183,2)="As",VLOOKUP(J183,EIMM,4,FALSE),VLOOKUP(J179,EIMM,4,FALSE)),IF(AND(ISNUMBER(SEARCH("Impervia",J179)),ISNUMBER(SEARCH("door",J183))),'New Lookup Cells'!AF$10,IF(ISNUMBER(SEARCH("Impervia",J179)),'New Lookup Cells'!AF$7,IF(AND(ISNUMBER(SEARCH("250",J179)),ISNUMBER(SEARCH("door",J183))),'New Lookup Cells'!AF$14,IF(ISNUMBER(SEARCH("250",J179)),'New Lookup Cells'!AF$13,"")))))</f>
        <v/>
      </c>
      <c r="AE179" s="1101"/>
      <c r="AF179" s="1050"/>
      <c r="AG179" s="1051"/>
      <c r="AH179" s="1051"/>
      <c r="AI179" s="1088"/>
      <c r="AJ179" s="1089"/>
      <c r="AK179" s="154" t="str">
        <f t="shared" ca="1" si="2393"/>
        <v/>
      </c>
      <c r="AL179" s="1038" t="str">
        <f t="shared" ref="AL179" si="2693">IFERROR(ROUND(SQRT(P179^2+(W179/2+IF($E$17=4,200,0))^2),0),"")</f>
        <v/>
      </c>
      <c r="AM179" s="342" t="s">
        <v>669</v>
      </c>
      <c r="AN179" t="str">
        <f t="shared" ca="1" si="2409"/>
        <v/>
      </c>
      <c r="AP179" s="122" t="str">
        <f t="shared" ref="AP179" si="2694">_xlfn.CONCAT(AR179,AS184)</f>
        <v/>
      </c>
      <c r="AQ179" s="683" t="str">
        <f t="shared" si="2617"/>
        <v/>
      </c>
      <c r="AR179" s="96" t="str">
        <f t="shared" si="2378"/>
        <v/>
      </c>
      <c r="AS179" s="96" t="str">
        <f>IF(COUNTIF(imp_1,AF179)=1,"imp_1",IF(COUNTIF(imp_2,AF179)=1,"imp_2",IF(COUNTIF(imp_3,AF179)=1,"imp_3",IF(COUNTIF(impdoor,AF179)=1,"impdoor",""))))</f>
        <v/>
      </c>
      <c r="AT179" s="684" t="str">
        <f>AL179</f>
        <v/>
      </c>
      <c r="AU179" s="685" t="e">
        <f ca="1">MATCH(AL179,INDIRECT(AP179),-1)</f>
        <v>#REF!</v>
      </c>
      <c r="AV179" s="686" t="str">
        <f ca="1">IFERROR(VLOOKUP(AU179,INDIRECT(AQ179),2,FALSE),"----")</f>
        <v>----</v>
      </c>
      <c r="AW179" s="685" t="e">
        <f ca="1">MATCH(AL179,INDIRECT(AP180),-1)</f>
        <v>#REF!</v>
      </c>
      <c r="AX179" s="686" t="str">
        <f ca="1">IFERROR(VLOOKUP(AW179,INDIRECT(AQ180),2,FALSE),"----")</f>
        <v>----</v>
      </c>
      <c r="AY179" s="685" t="e">
        <f ca="1">MATCH(AL179,INDIRECT(AP181),-1)</f>
        <v>#REF!</v>
      </c>
      <c r="AZ179" s="686" t="str">
        <f ca="1">IFERROR(VLOOKUP(AY179,INDIRECT(AQ181),2,FALSE),"----")</f>
        <v>----</v>
      </c>
      <c r="BA179" s="685" t="e">
        <f ca="1">MATCH(AL179,INDIRECT(AP182),-1)</f>
        <v>#REF!</v>
      </c>
      <c r="BB179" s="686" t="str">
        <f ca="1">IFERROR(VLOOKUP(BA179,INDIRECT(AQ182),2,FALSE),"----")</f>
        <v>----</v>
      </c>
      <c r="BC179" s="685" t="e">
        <f ca="1">MATCH(AL179,INDIRECT(AP183),-1)</f>
        <v>#REF!</v>
      </c>
      <c r="BD179" s="686" t="str">
        <f ca="1">IFERROR(VLOOKUP(BC179,INDIRECT(AQ183),2,FALSE),"----")</f>
        <v>----</v>
      </c>
      <c r="BE179" s="685" t="e">
        <f ca="1">MATCH(AL179,INDIRECT(AP184),-1)</f>
        <v>#REF!</v>
      </c>
      <c r="BF179" s="686" t="str">
        <f ca="1">IFERROR(VLOOKUP(BE179,INDIRECT(AQ184),2,FALSE),"----")</f>
        <v>----</v>
      </c>
      <c r="BG179" s="685" t="e">
        <f ca="1">MATCH(AL185,INDIRECT(AP185),-1)</f>
        <v>#REF!</v>
      </c>
      <c r="BH179" s="686" t="str">
        <f ca="1">IFERROR(VLOOKUP(BG179,INDIRECT(AQ185),2,FALSE),"----")</f>
        <v>----</v>
      </c>
      <c r="BI179" s="685" t="e">
        <f ca="1">MATCH(AL185,INDIRECT(AP186),-1)</f>
        <v>#REF!</v>
      </c>
      <c r="BJ179" s="686" t="str">
        <f ca="1">IFERROR(VLOOKUP(BI179,INDIRECT(AQ186),2,FALSE),"----")</f>
        <v>----</v>
      </c>
      <c r="BK179" s="685" t="e">
        <f ca="1">MATCH(AL185,INDIRECT(AP187),-1)</f>
        <v>#REF!</v>
      </c>
      <c r="BL179" s="686" t="str">
        <f ca="1">IFERROR(VLOOKUP(BK179,INDIRECT(AQ187),2,FALSE),"----")</f>
        <v>----</v>
      </c>
      <c r="BM179" s="685" t="e">
        <f ca="1">MATCH(AL185,INDIRECT(AP188),-1)</f>
        <v>#REF!</v>
      </c>
      <c r="BN179" s="686" t="str">
        <f ca="1">IFERROR(VLOOKUP(BM179,INDIRECT(AQ188),2,FALSE),"----")</f>
        <v>----</v>
      </c>
      <c r="BO179" s="685" t="e">
        <f ca="1">MATCH(AL185,INDIRECT(AP189),-1)</f>
        <v>#REF!</v>
      </c>
      <c r="BP179" s="686" t="str">
        <f ca="1">IFERROR(VLOOKUP(BO179,INDIRECT(AQ189),2,FALSE),"----")</f>
        <v>----</v>
      </c>
      <c r="BQ179" s="685" t="e">
        <f ca="1">MATCH(AL185,INDIRECT(AP190),-1)</f>
        <v>#REF!</v>
      </c>
      <c r="BR179" s="686" t="str">
        <f ca="1">IFERROR(VLOOKUP(BQ179,INDIRECT(AQ190),2,FALSE),"----")</f>
        <v>----</v>
      </c>
      <c r="BS179" s="687">
        <f>IF(AI179="",1,IF(COUNTIF(AV179:AV190,AI179)=0,2,1))</f>
        <v>1</v>
      </c>
      <c r="BT179" s="688">
        <f>IF(AP179="1",1,IF(AF179="",1,IF(AV179=".",2,1)))</f>
        <v>1</v>
      </c>
      <c r="BU179" s="706"/>
      <c r="BV179" s="155">
        <f ca="1">IF(COUNTIF(CE179:CE190,AF179)=0,IF(AF179&lt;&gt;"",0,1),1)</f>
        <v>1</v>
      </c>
      <c r="BW179" s="157">
        <f ca="1">IFERROR(MATCH(AF179,CE179:CE190,0),1)</f>
        <v>1</v>
      </c>
      <c r="BX179" s="769" t="str">
        <f>IFERROR(IF(LEFT(J183,2)="As",VLOOKUP(J183,EIMM,2,FALSE),IF(AND(ISNUMBER(SEARCH("Impervia",J179)),ISNUMBER(SEARCH("door",J183))),VLOOKUP("Impervia Door",EIMM,2,FALSE),IF(AND(ISNUMBER(SEARCH("250",J179)),ISNUMBER(SEARCH("door",J183))),VLOOKUP("250 Series Door",EIMM,2,FALSE),VLOOKUP(J179,EIMM,2,FALSE)))),"")</f>
        <v/>
      </c>
      <c r="BY179" s="769" t="str">
        <f ca="1">IFERROR(VLOOKUP(BX179,OFFSET(EIMM,0,1),2,FALSE),"")</f>
        <v/>
      </c>
      <c r="BZ179" s="1110" t="e">
        <f ca="1">IF((COUNTIF(INDIRECT(SUBSTITUTE(J179," ","_")),J183))=0,IF(J183="",1,0),1)</f>
        <v>#REF!</v>
      </c>
      <c r="CA179" s="691" t="e">
        <f ca="1">MATCH(AC179,INDIRECT(BX179),-1)</f>
        <v>#REF!</v>
      </c>
      <c r="CB179" s="4" t="e" cm="1">
        <f t="array" aca="1" ref="CB179" ca="1">IF(AND(INDEX(INDIRECT(BY179),CA179,4)&gt;=$AB179,INDEX(INDIRECT(BY179),CA179,5)&gt;=$S179,INDEX(INDIRECT(BY179),CA179,6)&gt;=$R179),1,0)</f>
        <v>#REF!</v>
      </c>
      <c r="CC179" s="4" t="e">
        <f t="shared" ref="CC179" ca="1" si="2695">MATCH(1,OFFSET(CB179:CB190,$W$2,0,COUNT(CB179:CB190)-$W$2),0)</f>
        <v>#REF!</v>
      </c>
      <c r="CD179" s="4" t="e">
        <f t="shared" ref="CD179" ca="1" si="2696">$W$2+CC179</f>
        <v>#REF!</v>
      </c>
      <c r="CE179" s="692" t="str" cm="1">
        <f t="array" aca="1" ref="CE179" ca="1">IFERROR(VLOOKUP(INDEX(CA179:CA190,CD179),INDIRECT(BY179),2,FALSE),"----")</f>
        <v>----</v>
      </c>
      <c r="CF179" s="691" t="e">
        <f ca="1">MATCH($AC179,SSEI,-1)</f>
        <v>#N/A</v>
      </c>
      <c r="CG179" s="4" t="e">
        <f ca="1">IF(AND(INDEX(SSM,CF179,4)&gt;=$AB179,INDEX(SSM,CF179,5)&gt;=$S179,INDEX(SSM,CF179,6)&gt;=$R179),1,0)</f>
        <v>#N/A</v>
      </c>
      <c r="CH179" s="4" t="e">
        <f t="shared" ref="CH179" ca="1" si="2697">MATCH(1,OFFSET(CG179:CG190,$W$2,0,COUNT(CG179:CG190)-$W$2),0)</f>
        <v>#REF!</v>
      </c>
      <c r="CI179" s="4" t="e">
        <f t="shared" ref="CI179" ca="1" si="2698">$W$2+CH179</f>
        <v>#REF!</v>
      </c>
      <c r="CJ179" s="692" t="str">
        <f ca="1">IFERROR(IF(AD180="Nested Steel Stud (wood infill)",VLOOKUP(INDEX(CF179:CF190,CI179),SSW,2,FALSE),VLOOKUP(INDEX(CF179:CF190,CI179),SSM,2,FALSE)),"----")</f>
        <v>----</v>
      </c>
      <c r="CK179" s="691" t="e">
        <f ca="1">MATCH($AC179,WSEI,-1)</f>
        <v>#N/A</v>
      </c>
      <c r="CL179" s="4" t="e">
        <f ca="1">IF(AND(INDEX(WSM,CK179,4)&gt;=$AB179,INDEX(WSM,CK179,5)&gt;=$S179,INDEX(WSM,CK179,6)&gt;=$R179),1,0)</f>
        <v>#N/A</v>
      </c>
      <c r="CM179" s="4" t="e">
        <f t="shared" ref="CM179" ca="1" si="2699">MATCH(1,OFFSET(CL179:CL190,$W$2,0,COUNT(CL179:CL190)-$W$2),0)</f>
        <v>#REF!</v>
      </c>
      <c r="CN179" s="4" t="e">
        <f t="shared" ref="CN179" ca="1" si="2700">$W$2+CM179</f>
        <v>#REF!</v>
      </c>
      <c r="CO179" s="692" t="str">
        <f ca="1">IFERROR(VLOOKUP(INDEX(CK179:CK190,CN179),WSM,2,FALSE),"----")</f>
        <v>----</v>
      </c>
      <c r="CP179" s="691" t="e">
        <f ca="1">MATCH($AC179,STEI,-1)</f>
        <v>#N/A</v>
      </c>
      <c r="CQ179" s="4" t="e">
        <f ca="1">IF(AND(INDEX(STM,CP179,4)&gt;=$AB179,INDEX(STM,CP179,5)&gt;=$S179,INDEX(STM,CP179,6)&gt;=$R179),1,0)</f>
        <v>#N/A</v>
      </c>
      <c r="CR179" s="4" t="e">
        <f t="shared" ref="CR179" ca="1" si="2701">MATCH(1,OFFSET(CQ179:CQ190,$W$2,0,COUNT(CQ179:CQ190)-$W$2),0)</f>
        <v>#REF!</v>
      </c>
      <c r="CS179" s="4" t="e">
        <f t="shared" ref="CS179" ca="1" si="2702">$W$2+CR179</f>
        <v>#REF!</v>
      </c>
      <c r="CT179" s="692" t="str">
        <f ca="1">IFERROR(VLOOKUP(INDEX(CP179:CP190,CS179),STM,2,FALSE),"----")</f>
        <v>----</v>
      </c>
      <c r="CU179" s="691" t="e">
        <f ca="1">MATCH($AC179,ELEI,-1)</f>
        <v>#N/A</v>
      </c>
      <c r="CV179" s="4" t="e">
        <f ca="1">IF(AND(INDEX(ELM,CU179,4)&gt;=$AB179,INDEX(ELM,CU179,5)&gt;=$S179,INDEX(ELM,CU179,6)&gt;=$R179),1,0)</f>
        <v>#N/A</v>
      </c>
      <c r="CW179" s="4" t="e">
        <f t="shared" ref="CW179" ca="1" si="2703">MATCH(1,OFFSET(CV179:CV190,$W$2,0,COUNT(CV179:CV190)-$W$2),0)</f>
        <v>#REF!</v>
      </c>
      <c r="CX179" s="4" t="e">
        <f t="shared" ref="CX179" ca="1" si="2704">$W$2+CW179</f>
        <v>#REF!</v>
      </c>
      <c r="CY179" s="692" t="str">
        <f ca="1">IFERROR(VLOOKUP(INDEX(CU179:CU190,CX179),ELM,2,FALSE),"----")</f>
        <v>----</v>
      </c>
      <c r="CZ179" s="691" t="e">
        <f ca="1">IF(LEFT($J179,7)="Clad Wo",MATCH($AC179,SPEIW,-1),MATCH($AC179,SPEI,-1))</f>
        <v>#N/A</v>
      </c>
      <c r="DA179" s="4" t="e">
        <f ca="1">IF(LEFT($J179,7)="Clad Wo",IF(AND(INDEX(SPPWS,CZ179,4)&gt;=$AB179,INDEX(SPPWS,CZ179,5)&gt;=$S179,INDEX(SPPWS,CZ179,6)&gt;=$R179),1,0),IF(AND(INDEX(SPM,CZ179,4)&gt;=$AB179,INDEX(SPM,CZ179,5)&gt;=$S179,INDEX(SPM,CZ179,6)&gt;=$R179),1,0))</f>
        <v>#N/A</v>
      </c>
      <c r="DB179" s="4" t="e">
        <f t="shared" ref="DB179" ca="1" si="2705">MATCH(1,OFFSET(DA179:DA190,$W$2,0,COUNT(DA179:DA190)-$W$2),0)</f>
        <v>#REF!</v>
      </c>
      <c r="DC179" s="4" t="e">
        <f t="shared" ref="DC179" ca="1" si="2706">$W$2+DB179</f>
        <v>#REF!</v>
      </c>
      <c r="DD179" s="693" t="str">
        <f ca="1">IF(LEFT($J179,7)="Clad Wo",IFERROR(VLOOKUP(INDEX(CZ179:CZ190,DC179),SPPWS,2,FALSE),"----"),IFERROR(VLOOKUP(INDEX(CZ179:CZ190,DC179),SPM,2,FALSE),"----"))</f>
        <v>----</v>
      </c>
      <c r="DE179" s="691" t="e">
        <f ca="1">MATCH(AC185,INDIRECT(BX179),-1)</f>
        <v>#REF!</v>
      </c>
      <c r="DF179" s="4" t="e" cm="1">
        <f t="array" aca="1" ref="DF179" ca="1">IF(AND(INDEX(INDIRECT(BY179),DE179,4)&gt;=$AB185,INDEX(INDIRECT(BY179),DE179,5)&gt;=$S179,INDEX(INDIRECT(BY179),DE179,6)&gt;=$R179),1,0)</f>
        <v>#REF!</v>
      </c>
      <c r="DG179" s="4" t="e">
        <f t="shared" ref="DG179" ca="1" si="2707">MATCH(1,OFFSET(DF179:DF190,$W$2,0,COUNT(DF179:DF190)-$W$2),0)</f>
        <v>#REF!</v>
      </c>
      <c r="DH179" s="4" t="e">
        <f t="shared" ref="DH179" ca="1" si="2708">$W$2+DG179</f>
        <v>#REF!</v>
      </c>
      <c r="DI179" s="692" t="str" cm="1">
        <f t="array" aca="1" ref="DI179" ca="1">IFERROR(VLOOKUP(INDEX(DE179:DE190,DH179),INDIRECT(BY179),2,FALSE),"----")</f>
        <v>----</v>
      </c>
      <c r="DJ179" s="691" t="e">
        <f ca="1">MATCH($AC185,SSEI,-1)</f>
        <v>#N/A</v>
      </c>
      <c r="DK179" s="4" t="e">
        <f ca="1">IF(AND(INDEX(SSM,DJ179,4)&gt;=$AB185,INDEX(SSM,DJ179,5)&gt;=$S179,INDEX(SSM,DJ179,6)&gt;=$R179),1,0)</f>
        <v>#N/A</v>
      </c>
      <c r="DL179" s="4" t="e">
        <f t="shared" ref="DL179" ca="1" si="2709">MATCH(1,OFFSET(DK179:DK190,$W$2,0,COUNT(DK179:DK190)-$W$2),0)</f>
        <v>#REF!</v>
      </c>
      <c r="DM179" s="4" t="e">
        <f t="shared" ref="DM179" ca="1" si="2710">$W$2+DL179</f>
        <v>#REF!</v>
      </c>
      <c r="DN179" s="692" t="str">
        <f ca="1">IFERROR(IF(AD186="Nested Steel Stud (wood infill)",VLOOKUP(INDEX(DJ179:DJ190,DM179),SSW,2,FALSE),VLOOKUP(INDEX(DJ179:DJ190,DM179),SSM,2,FALSE)),"----")</f>
        <v>----</v>
      </c>
      <c r="DO179" s="691" t="e">
        <f ca="1">MATCH($AC185,WSEI,-1)</f>
        <v>#N/A</v>
      </c>
      <c r="DP179" s="4" t="e">
        <f ca="1">IF(AND(INDEX(WSM,DO179,4)&gt;=$AB185,INDEX(WSM,DO179,5)&gt;=$S179,INDEX(WSM,DO179,6)&gt;=$R179),1,0)</f>
        <v>#N/A</v>
      </c>
      <c r="DQ179" s="4" t="e">
        <f t="shared" ref="DQ179" ca="1" si="2711">MATCH(1,OFFSET(DP179:DP190,$W$2,0,COUNT(DP179:DP190)-$W$2),0)</f>
        <v>#REF!</v>
      </c>
      <c r="DR179" s="4" t="e">
        <f t="shared" ref="DR179" ca="1" si="2712">$W$2+DQ179</f>
        <v>#REF!</v>
      </c>
      <c r="DS179" s="692" t="str">
        <f ca="1">IFERROR(VLOOKUP(INDEX(DO179:DO190,DR179),WSM,2,FALSE),"----")</f>
        <v>----</v>
      </c>
      <c r="DT179" s="691" t="e">
        <f ca="1">MATCH($AC185,STEI,-1)</f>
        <v>#N/A</v>
      </c>
      <c r="DU179" s="4" t="e">
        <f ca="1">IF(AND(INDEX(STM,DT179,4)&gt;=$AB185,INDEX(STM,DT179,5)&gt;=$S179,INDEX(STM,DT179,6)&gt;=$R179),1,0)</f>
        <v>#N/A</v>
      </c>
      <c r="DV179" s="4" t="e">
        <f t="shared" ref="DV179" ca="1" si="2713">MATCH(1,OFFSET(DU179:DU190,$W$2,0,COUNT(DU179:DU190)-$W$2),0)</f>
        <v>#REF!</v>
      </c>
      <c r="DW179" s="4" t="e">
        <f t="shared" ref="DW179" ca="1" si="2714">$W$2+DV179</f>
        <v>#REF!</v>
      </c>
      <c r="DX179" s="692" t="str">
        <f ca="1">IFERROR(VLOOKUP(INDEX(DT179:DT190,DW179),STM,2,FALSE),"----")</f>
        <v>----</v>
      </c>
      <c r="DY179" s="691" t="e">
        <f ca="1">MATCH($AC185,ELEI,-1)</f>
        <v>#N/A</v>
      </c>
      <c r="DZ179" s="4" t="e">
        <f ca="1">IF(AND(INDEX(ELM,DY179,4)&gt;=$AB185,INDEX(ELM,DY179,5)&gt;=$S179,INDEX(ELM,DY179,6)&gt;=$R179),1,0)</f>
        <v>#N/A</v>
      </c>
      <c r="EA179" s="4" t="e">
        <f t="shared" ref="EA179" ca="1" si="2715">MATCH(1,OFFSET(DZ179:DZ190,$W$2,0,COUNT(DZ179:DZ190)-$W$2),0)</f>
        <v>#REF!</v>
      </c>
      <c r="EB179" s="4" t="e">
        <f t="shared" ref="EB179" ca="1" si="2716">EA179+$W$2</f>
        <v>#REF!</v>
      </c>
      <c r="EC179" s="692" t="str">
        <f ca="1">IFERROR(VLOOKUP(INDEX(DY179:DY190,EB179),ELM,2,FALSE),"----")</f>
        <v>----</v>
      </c>
      <c r="ED179" s="691" t="e">
        <f ca="1">IF(LEFT($J179,7)="Clad Wo",MATCH($AC185,SPEIW,-1),MATCH($AC185,SPEI,-1))</f>
        <v>#N/A</v>
      </c>
      <c r="EE179" s="4" t="e">
        <f ca="1">IF(LEFT($J179,7)="Clad Wo",IF(AND(INDEX(SPPWS,ED179,4)&gt;=$AB185,INDEX(SPPWS,ED179,5)&gt;=$S179,INDEX(SPPWS,ED179,6)&gt;=$R179),1,0),IF(AND(INDEX(SPM,ED179,4)&gt;=$AB185,INDEX(SPM,ED179,5)&gt;=$S179,INDEX(SPM,ED179,6)&gt;=$R179),1,0))</f>
        <v>#N/A</v>
      </c>
      <c r="EF179" s="4" t="e">
        <f t="shared" ref="EF179" ca="1" si="2717">MATCH(1,OFFSET(EE179:EE190,$W$2,0,COUNT(EE179:EE190)-$W$2),0)</f>
        <v>#REF!</v>
      </c>
      <c r="EG179" s="4" t="e">
        <f t="shared" ref="EG179" ca="1" si="2718">$W$2+EF179</f>
        <v>#REF!</v>
      </c>
      <c r="EH179" s="692" t="str">
        <f ca="1">IF(LEFT($J179,7)="Clad Wo",IFERROR(VLOOKUP(INDEX(ED179:ED190,EG179),SPPWS,2,FALSE),"----"),IFERROR(VLOOKUP(INDEX(ED179:ED190,EG179),SPM,2,FALSE),"----"))</f>
        <v>----</v>
      </c>
    </row>
    <row r="180" spans="1:138" ht="15" customHeight="1" x14ac:dyDescent="0.25">
      <c r="A180" s="1085"/>
      <c r="B180" s="925"/>
      <c r="C180" s="926"/>
      <c r="D180" s="927"/>
      <c r="E180" s="995"/>
      <c r="F180" s="996"/>
      <c r="G180" s="997"/>
      <c r="H180" s="1062"/>
      <c r="I180" s="990"/>
      <c r="J180" s="908"/>
      <c r="K180" s="909"/>
      <c r="L180" s="1002"/>
      <c r="M180" s="923"/>
      <c r="N180" s="1042"/>
      <c r="O180" s="1018"/>
      <c r="P180" s="987"/>
      <c r="Q180" s="1015"/>
      <c r="R180" s="1012"/>
      <c r="S180" s="1006"/>
      <c r="T180" s="1007"/>
      <c r="U180" s="878"/>
      <c r="V180" s="881"/>
      <c r="W180" s="884"/>
      <c r="X180" s="884"/>
      <c r="Y180" s="887"/>
      <c r="Z180" s="887"/>
      <c r="AA180" s="887"/>
      <c r="AB180" s="1081"/>
      <c r="AC180" s="1078"/>
      <c r="AD180" s="1102" t="s">
        <v>38</v>
      </c>
      <c r="AE180" s="1103"/>
      <c r="AF180" s="1052"/>
      <c r="AG180" s="1053"/>
      <c r="AH180" s="1053"/>
      <c r="AI180" s="1066"/>
      <c r="AJ180" s="1067"/>
      <c r="AK180" s="156" t="str">
        <f t="shared" ca="1" si="2393"/>
        <v/>
      </c>
      <c r="AL180" s="1039"/>
      <c r="AM180" s="343" t="str">
        <f ca="1">IFERROR(Q179/12*ROUND(VLOOKUP(AF180,OFFSET(SSM,0,1),6,FALSE),2),"")</f>
        <v/>
      </c>
      <c r="AN180" t="str">
        <f t="shared" ca="1" si="2409"/>
        <v/>
      </c>
      <c r="AP180" s="122" t="str">
        <f t="shared" ref="AP180" si="2719">_xlfn.CONCAT(AR180,AS184)</f>
        <v/>
      </c>
      <c r="AQ180" s="683" t="str">
        <f t="shared" si="2617"/>
        <v/>
      </c>
      <c r="AR180" s="96" t="str">
        <f t="shared" si="2378"/>
        <v/>
      </c>
      <c r="AS180" s="96" t="str">
        <f>IF(COUNTIF(Vista_1,AF179)=1,"Vista_1",IF(COUNTIF(Vista_2,AF179)=1,"Vista_2",""))</f>
        <v/>
      </c>
      <c r="AT180" s="684" t="str">
        <f>AL179</f>
        <v/>
      </c>
      <c r="AU180" s="694" t="e">
        <f t="shared" ref="AU180" ca="1" si="2720">AU179-1</f>
        <v>#REF!</v>
      </c>
      <c r="AV180" s="686" t="str">
        <f ca="1">IFERROR(VLOOKUP(AU180,INDIRECT(AQ179),2,FALSE),"----")</f>
        <v>----</v>
      </c>
      <c r="AW180" s="694" t="e">
        <f t="shared" ref="AW180:AW181" ca="1" si="2721">AW179-1</f>
        <v>#REF!</v>
      </c>
      <c r="AX180" s="686" t="str">
        <f ca="1">IFERROR(VLOOKUP(AW180,INDIRECT(AQ180),2,FALSE),"----")</f>
        <v>----</v>
      </c>
      <c r="AY180" s="694" t="e">
        <f t="shared" ref="AY180:AY181" ca="1" si="2722">AY179-1</f>
        <v>#REF!</v>
      </c>
      <c r="AZ180" s="686" t="str">
        <f ca="1">IFERROR(VLOOKUP(AY180,INDIRECT(AQ181),2,FALSE),"----")</f>
        <v>----</v>
      </c>
      <c r="BA180" s="694" t="e">
        <f t="shared" ref="BA180:BA181" ca="1" si="2723">BA179-1</f>
        <v>#REF!</v>
      </c>
      <c r="BB180" s="686" t="str">
        <f ca="1">IFERROR(VLOOKUP(BA180,INDIRECT(AQ182),2,FALSE),"----")</f>
        <v>----</v>
      </c>
      <c r="BC180" s="694" t="e">
        <f t="shared" ref="BC180:BC181" ca="1" si="2724">BC179-1</f>
        <v>#REF!</v>
      </c>
      <c r="BD180" s="686" t="str">
        <f ca="1">IFERROR(VLOOKUP(BC180,INDIRECT(AQ183),2,FALSE),"----")</f>
        <v>----</v>
      </c>
      <c r="BE180" s="694" t="e">
        <f t="shared" ref="BE180" ca="1" si="2725">BE179-1</f>
        <v>#REF!</v>
      </c>
      <c r="BF180" s="686" t="str">
        <f ca="1">IFERROR(VLOOKUP(BE180,INDIRECT(AQ184),2,FALSE),"----")</f>
        <v>----</v>
      </c>
      <c r="BG180" s="694" t="e">
        <f t="shared" ref="BG180" ca="1" si="2726">BG179-1</f>
        <v>#REF!</v>
      </c>
      <c r="BH180" s="686" t="str">
        <f ca="1">IFERROR(VLOOKUP(BG180,INDIRECT(AQ185),2,FALSE),"----")</f>
        <v>----</v>
      </c>
      <c r="BI180" s="694" t="e">
        <f t="shared" ref="BI180:BI181" ca="1" si="2727">BI179-1</f>
        <v>#REF!</v>
      </c>
      <c r="BJ180" s="686" t="str">
        <f ca="1">IFERROR(VLOOKUP(BI180,INDIRECT(AQ186),2,FALSE),"----")</f>
        <v>----</v>
      </c>
      <c r="BK180" s="694" t="e">
        <f t="shared" ref="BK180:BK181" ca="1" si="2728">BK179-1</f>
        <v>#REF!</v>
      </c>
      <c r="BL180" s="686" t="str">
        <f ca="1">IFERROR(VLOOKUP(BK180,INDIRECT(AQ187),2,FALSE),"----")</f>
        <v>----</v>
      </c>
      <c r="BM180" s="694" t="e">
        <f t="shared" ref="BM180:BM181" ca="1" si="2729">BM179-1</f>
        <v>#REF!</v>
      </c>
      <c r="BN180" s="686" t="str">
        <f ca="1">IFERROR(VLOOKUP(BM180,INDIRECT(AQ188),2,FALSE),"----")</f>
        <v>----</v>
      </c>
      <c r="BO180" s="694" t="e">
        <f t="shared" ref="BO180:BO181" ca="1" si="2730">BO179-1</f>
        <v>#REF!</v>
      </c>
      <c r="BP180" s="686" t="str">
        <f ca="1">IFERROR(VLOOKUP(BO180,INDIRECT(AQ189),2,FALSE),"----")</f>
        <v>----</v>
      </c>
      <c r="BQ180" s="694" t="e">
        <f t="shared" ref="BQ180" ca="1" si="2731">BQ179-1</f>
        <v>#REF!</v>
      </c>
      <c r="BR180" s="686" t="str">
        <f ca="1">IFERROR(VLOOKUP(BQ180,INDIRECT(AQ190),2,FALSE),"----")</f>
        <v>----</v>
      </c>
      <c r="BS180" s="695">
        <f>IF(AI180="",1,IF(COUNTIF(AX179:AX190,AI180)=0,2,1))</f>
        <v>1</v>
      </c>
      <c r="BT180" s="696">
        <f>IF(AF180="",1,IF(AX179=".",2,1))</f>
        <v>1</v>
      </c>
      <c r="BU180" s="706"/>
      <c r="BV180" s="155">
        <f ca="1">IF(COUNTIF(CJ179:CJ190,AF180)=0,IF(AF180&lt;&gt;"",0,1),1)</f>
        <v>1</v>
      </c>
      <c r="BW180" s="157">
        <f ca="1">IFERROR(MATCH(AF180,CJ179:CJ190,0),1)</f>
        <v>1</v>
      </c>
      <c r="BX180" s="769"/>
      <c r="BY180" s="769"/>
      <c r="BZ180" s="1110"/>
      <c r="CA180" s="691" t="e">
        <f t="shared" ref="CA180:CA190" ca="1" si="2732">CA179-1</f>
        <v>#REF!</v>
      </c>
      <c r="CB180" s="4" t="e" cm="1">
        <f t="array" aca="1" ref="CB180" ca="1">IF(AND(INDEX(INDIRECT(BY179),CA180,4)&gt;=$AB179,INDEX(INDIRECT(BY179),CA180,5)&gt;=$S179,INDEX(INDIRECT(BY179),CA180,6)&gt;=$R179),1,0)</f>
        <v>#REF!</v>
      </c>
      <c r="CC180" s="4" t="e">
        <f t="shared" ref="CC180" ca="1" si="2733">MATCH(1,OFFSET(CB179:CB190,CD179,0,COUNT(CB179:CB190)-CD179),0)</f>
        <v>#REF!</v>
      </c>
      <c r="CD180" s="4" t="e">
        <f t="shared" ref="CD180:CD190" ca="1" si="2734">CD179+CC180</f>
        <v>#REF!</v>
      </c>
      <c r="CE180" s="692" t="str" cm="1">
        <f t="array" aca="1" ref="CE180" ca="1">IFERROR(VLOOKUP(INDEX(CA179:CA190,CD180),INDIRECT(BY179),2,FALSE),"----")</f>
        <v>----</v>
      </c>
      <c r="CF180" s="691" t="e">
        <f t="shared" ref="CF180:CF190" ca="1" si="2735">CF179-1</f>
        <v>#N/A</v>
      </c>
      <c r="CG180" s="4" t="e">
        <f ca="1">IF(AND(INDEX(SSM,CF180,4)&gt;=$AB179,INDEX(SSM,CF180,5)&gt;=$S179,INDEX(SSM,CF180,6)&gt;=$R179),1,0)</f>
        <v>#N/A</v>
      </c>
      <c r="CH180" s="4" t="e">
        <f t="shared" ref="CH180" ca="1" si="2736">MATCH(1,OFFSET(CG179:CG190,CI179,0,COUNT(CG179:CG190)-CI179),0)</f>
        <v>#REF!</v>
      </c>
      <c r="CI180" s="4" t="e">
        <f t="shared" ref="CI180:CI190" ca="1" si="2737">CI179+CH180</f>
        <v>#REF!</v>
      </c>
      <c r="CJ180" s="692" t="str">
        <f ca="1">IFERROR(IF(AD180="Nested Steel Stud (wood infill)",VLOOKUP(INDEX(CF179:CF190,CI180),SSW,2,FALSE),VLOOKUP(INDEX(CF179:CF190,CI180),SSM,2,FALSE)),"----")</f>
        <v>----</v>
      </c>
      <c r="CK180" s="691" t="e">
        <f t="shared" ref="CK180:CK190" ca="1" si="2738">CK179-1</f>
        <v>#N/A</v>
      </c>
      <c r="CL180" s="4" t="e">
        <f ca="1">IF(AND(INDEX(WSM,CK180,4)&gt;=$AB179,INDEX(WSM,CK180,5)&gt;=$S179,INDEX(WSM,CK180,6)&gt;=$R179),1,0)</f>
        <v>#N/A</v>
      </c>
      <c r="CM180" s="4" t="e">
        <f t="shared" ref="CM180" ca="1" si="2739">MATCH(1,OFFSET(CL179:CL190,CN179,0,COUNT(CL179:CL190)-CN179),0)</f>
        <v>#REF!</v>
      </c>
      <c r="CN180" s="4" t="e">
        <f t="shared" ref="CN180:CN190" ca="1" si="2740">CM180+CN179</f>
        <v>#REF!</v>
      </c>
      <c r="CO180" s="692" t="str">
        <f ca="1">IFERROR(VLOOKUP(INDEX(CK179:CK190,CN180),WSM,2,FALSE),"----")</f>
        <v>----</v>
      </c>
      <c r="CP180" s="691" t="e">
        <f t="shared" ref="CP180:CP190" ca="1" si="2741">CP179-1</f>
        <v>#N/A</v>
      </c>
      <c r="CQ180" s="4" t="e">
        <f ca="1">IF(AND(INDEX(STM,CP180,4)&gt;=$AB179,INDEX(STM,CP180,5)&gt;=$S179,INDEX(STM,CP180,6)&gt;=$R179),1,0)</f>
        <v>#N/A</v>
      </c>
      <c r="CR180" s="4" t="e">
        <f t="shared" ref="CR180" ca="1" si="2742">MATCH(1,OFFSET(CQ179:CQ190,CS179,0,COUNT(CQ179:CQ190)-CS179),0)</f>
        <v>#REF!</v>
      </c>
      <c r="CS180" s="4" t="e">
        <f t="shared" ref="CS180:CS190" ca="1" si="2743">CR180+CS179</f>
        <v>#REF!</v>
      </c>
      <c r="CT180" s="692" t="str">
        <f ca="1">IFERROR(VLOOKUP(INDEX(CP179:CP190,CS180),STM,2,FALSE),"----")</f>
        <v>----</v>
      </c>
      <c r="CU180" s="691" t="e">
        <f t="shared" ref="CU180:CU190" ca="1" si="2744">CU179-1</f>
        <v>#N/A</v>
      </c>
      <c r="CV180" s="4" t="e">
        <f ca="1">IF(AND(INDEX(ELM,CU180,4)&gt;=$AB179,INDEX(ELM,CU180,5)&gt;=$S179,INDEX(ELM,CU180,6)&gt;=$R179),1,0)</f>
        <v>#N/A</v>
      </c>
      <c r="CW180" s="4" t="e">
        <f t="shared" ref="CW180" ca="1" si="2745">MATCH(1,OFFSET(CV179:CV190,CX179,0,COUNT(CV179:CV190)-CX179),0)</f>
        <v>#REF!</v>
      </c>
      <c r="CX180" s="4" t="e">
        <f t="shared" ref="CX180:CX190" ca="1" si="2746">CW180+CX179</f>
        <v>#REF!</v>
      </c>
      <c r="CY180" s="692" t="str">
        <f ca="1">IFERROR(VLOOKUP(INDEX(CU179:CU190,CX180),ELM,2,FALSE),"----")</f>
        <v>----</v>
      </c>
      <c r="CZ180" s="691" t="e">
        <f t="shared" ref="CZ180:CZ190" ca="1" si="2747">CZ179-1</f>
        <v>#N/A</v>
      </c>
      <c r="DA180" s="4" t="e">
        <f ca="1">IF(LEFT($J179,7)="Clad Wo",IF(AND(INDEX(SPPWS,CZ180,4)&gt;=$AB179,INDEX(SPPWS,CZ180,5)&gt;=$S179,INDEX(SPPWS,CZ180,6)&gt;=$R179),1,0),IF(AND(INDEX(SPM,CZ180,4)&gt;=$AB179,INDEX(SPM,CZ180,5)&gt;=$S179,INDEX(SPM,CZ180,6)&gt;=$R179),1,0))</f>
        <v>#N/A</v>
      </c>
      <c r="DB180" s="4" t="e">
        <f t="shared" ref="DB180" ca="1" si="2748">MATCH(1,OFFSET(DA179:DA190,DC179,0,COUNT(DA179:DA190)-DC179),0)</f>
        <v>#REF!</v>
      </c>
      <c r="DC180" s="4" t="e">
        <f t="shared" ref="DC180:DC190" ca="1" si="2749">DC179+DB180</f>
        <v>#REF!</v>
      </c>
      <c r="DD180" s="693" t="str">
        <f ca="1">IF(LEFT($J179,7)="Clad Wo",IFERROR(VLOOKUP(INDEX(CZ179:CZ190,DC180),SPPWS,2,FALSE),"----"),IFERROR(VLOOKUP(INDEX(CZ179:CZ190,DC180),SPM,2,FALSE),"----"))</f>
        <v>----</v>
      </c>
      <c r="DE180" s="691" t="e">
        <f t="shared" ref="DE180:DE190" ca="1" si="2750">DE179-1</f>
        <v>#REF!</v>
      </c>
      <c r="DF180" s="4" t="e" cm="1">
        <f t="array" aca="1" ref="DF180" ca="1">IF(AND(INDEX(INDIRECT(BY179),DE180,4)&gt;=$AB185,INDEX(INDIRECT(BY179),DE180,5)&gt;=$S179,INDEX(INDIRECT(BY179),DE180,6)&gt;=$R179),1,0)</f>
        <v>#REF!</v>
      </c>
      <c r="DG180" s="4" t="e">
        <f t="shared" ref="DG180" ca="1" si="2751">MATCH(1,OFFSET(DF179:DF190,DH179,0,COUNT(DF179:DF190)-DH179),0)</f>
        <v>#REF!</v>
      </c>
      <c r="DH180" s="4" t="e">
        <f t="shared" ref="DH180:DH190" ca="1" si="2752">DH179+DG180</f>
        <v>#REF!</v>
      </c>
      <c r="DI180" s="692" t="str" cm="1">
        <f t="array" aca="1" ref="DI180" ca="1">IFERROR(VLOOKUP(INDEX(DE179:DE190,DH180),INDIRECT(BY179),2,FALSE),"----")</f>
        <v>----</v>
      </c>
      <c r="DJ180" s="691" t="e">
        <f t="shared" ref="DJ180:DJ190" ca="1" si="2753">DJ179-1</f>
        <v>#N/A</v>
      </c>
      <c r="DK180" s="4" t="e">
        <f ca="1">IF(AND(INDEX(SSM,DJ180,4)&gt;=$AB185,INDEX(SSM,DJ180,5)&gt;=$S179,INDEX(SSM,DJ180,6)&gt;=$R179),1,0)</f>
        <v>#N/A</v>
      </c>
      <c r="DL180" s="4" t="e">
        <f t="shared" ref="DL180" ca="1" si="2754">MATCH(1,OFFSET(DK179:DK190,DM179,0,COUNT(DK179:DK190)-DM179),0)</f>
        <v>#REF!</v>
      </c>
      <c r="DM180" s="4" t="e">
        <f t="shared" ref="DM180:DM190" ca="1" si="2755">DL180+DM179</f>
        <v>#REF!</v>
      </c>
      <c r="DN180" s="692" t="str">
        <f ca="1">IFERROR(IF(AD186="Nested Steel Stud (wood infill)",VLOOKUP(INDEX(DJ179:DJ190,DM180),SSW,2,FALSE),VLOOKUP(INDEX(DJ179:DJ190,DM180),SSM,2,FALSE)),"----")</f>
        <v>----</v>
      </c>
      <c r="DO180" s="691" t="e">
        <f t="shared" ref="DO180:DO190" ca="1" si="2756">DO179-1</f>
        <v>#N/A</v>
      </c>
      <c r="DP180" s="4" t="e">
        <f ca="1">IF(AND(INDEX(WSM,DO180,4)&gt;=$AB185,INDEX(WSM,DO180,5)&gt;=$S179,INDEX(WSM,DO180,6)&gt;=$R179),1,0)</f>
        <v>#N/A</v>
      </c>
      <c r="DQ180" s="4" t="e">
        <f t="shared" ref="DQ180" ca="1" si="2757">MATCH(1,OFFSET(DP179:DP190,DR179,0,COUNT(DP179:DP190)-DR179),0)</f>
        <v>#REF!</v>
      </c>
      <c r="DR180" s="4" t="e">
        <f t="shared" ref="DR180:DR190" ca="1" si="2758">DQ180+DR179</f>
        <v>#REF!</v>
      </c>
      <c r="DS180" s="692" t="str">
        <f ca="1">IFERROR(VLOOKUP(INDEX(DO179:DO190,DR180),WSM,2,FALSE),"----")</f>
        <v>----</v>
      </c>
      <c r="DT180" s="691" t="e">
        <f t="shared" ref="DT180:DT190" ca="1" si="2759">DT179-1</f>
        <v>#N/A</v>
      </c>
      <c r="DU180" s="4" t="e">
        <f ca="1">IF(AND(INDEX(STM,DT180,4)&gt;=$AB185,INDEX(STM,DT180,5)&gt;=$S179,INDEX(STM,DT180,6)&gt;=$R179),1,0)</f>
        <v>#N/A</v>
      </c>
      <c r="DV180" s="4" t="e">
        <f t="shared" ref="DV180" ca="1" si="2760">MATCH(1,OFFSET(DU179:DU190,DW179,0,COUNT(DU179:DU190)-DW179),0)</f>
        <v>#REF!</v>
      </c>
      <c r="DW180" s="4" t="e">
        <f t="shared" ref="DW180:DW190" ca="1" si="2761">DV180+DW179</f>
        <v>#REF!</v>
      </c>
      <c r="DX180" s="692" t="str">
        <f ca="1">IFERROR(VLOOKUP(INDEX(DT179:DT190,DW180),STM,2,FALSE),"----")</f>
        <v>----</v>
      </c>
      <c r="DY180" s="691" t="e">
        <f t="shared" ref="DY180:DY190" ca="1" si="2762">DY179-1</f>
        <v>#N/A</v>
      </c>
      <c r="DZ180" s="4" t="e">
        <f ca="1">IF(AND(INDEX(ELM,DY180,4)&gt;=$AB185,INDEX(ELM,DY180,5)&gt;=$S179,INDEX(ELM,DY180,6)&gt;=$R179),1,0)</f>
        <v>#N/A</v>
      </c>
      <c r="EA180" s="4" t="e">
        <f t="shared" ref="EA180" ca="1" si="2763">MATCH(1,OFFSET(DZ179:DZ190,EB179,0,COUNT(DZ179:DZ190)-EB179),0)</f>
        <v>#REF!</v>
      </c>
      <c r="EB180" s="4" t="e">
        <f t="shared" ref="EB180:EB190" ca="1" si="2764">EA180+EB179</f>
        <v>#REF!</v>
      </c>
      <c r="EC180" s="692" t="str">
        <f ca="1">IFERROR(VLOOKUP(INDEX(DY179:DY190,EB180),ELM,2,FALSE),"----")</f>
        <v>----</v>
      </c>
      <c r="ED180" s="691" t="e">
        <f t="shared" ref="ED180:ED190" ca="1" si="2765">ED179-1</f>
        <v>#N/A</v>
      </c>
      <c r="EE180" s="4" t="e">
        <f ca="1">IF(LEFT($J179,7)="Clad Wo",IF(AND(INDEX(SPPWS,ED180,4)&gt;=$AB185,INDEX(SPPWS,ED180,5)&gt;=$S179,INDEX(SPPWS,ED180,6)&gt;=$R179),1,0),IF(AND(INDEX(SPM,ED180,4)&gt;=$AB185,INDEX(SPM,ED180,5)&gt;=$S179,INDEX(SPM,ED180,6)&gt;=$R179),1,0))</f>
        <v>#N/A</v>
      </c>
      <c r="EF180" s="4" t="e">
        <f t="shared" ref="EF180" ca="1" si="2766">MATCH(1,OFFSET(EE179:EE190,EG179,0,COUNT(EE179:EE190)-EG179),0)</f>
        <v>#REF!</v>
      </c>
      <c r="EG180" s="4" t="e">
        <f t="shared" ref="EG180:EG190" ca="1" si="2767">EG179+EF180</f>
        <v>#REF!</v>
      </c>
      <c r="EH180" s="692" t="str">
        <f ca="1">IF(LEFT($J179,7)="Clad Wo",IFERROR(VLOOKUP(INDEX(ED179:ED190,EG180),SPPWS,2,FALSE),"----"),IFERROR(VLOOKUP(INDEX(ED179:ED190,EG180),SPM,2,FALSE),"----"))</f>
        <v>----</v>
      </c>
    </row>
    <row r="181" spans="1:138" ht="15" customHeight="1" x14ac:dyDescent="0.25">
      <c r="A181" s="1085"/>
      <c r="B181" s="925"/>
      <c r="C181" s="926"/>
      <c r="D181" s="927"/>
      <c r="E181" s="995"/>
      <c r="F181" s="996"/>
      <c r="G181" s="997"/>
      <c r="H181" s="1062"/>
      <c r="I181" s="990"/>
      <c r="J181" s="908"/>
      <c r="K181" s="909"/>
      <c r="L181" s="1002"/>
      <c r="M181" s="923"/>
      <c r="N181" s="1042"/>
      <c r="O181" s="1018"/>
      <c r="P181" s="987"/>
      <c r="Q181" s="1015"/>
      <c r="R181" s="1012"/>
      <c r="S181" s="1006"/>
      <c r="T181" s="1007"/>
      <c r="U181" s="878"/>
      <c r="V181" s="881"/>
      <c r="W181" s="884"/>
      <c r="X181" s="884"/>
      <c r="Y181" s="887"/>
      <c r="Z181" s="887"/>
      <c r="AA181" s="887"/>
      <c r="AB181" s="1081"/>
      <c r="AC181" s="1078"/>
      <c r="AD181" s="1070" t="s">
        <v>333</v>
      </c>
      <c r="AE181" s="1071"/>
      <c r="AF181" s="1052"/>
      <c r="AG181" s="1053"/>
      <c r="AH181" s="1053"/>
      <c r="AI181" s="1066"/>
      <c r="AJ181" s="1067"/>
      <c r="AK181" s="154" t="str">
        <f t="shared" ca="1" si="2393"/>
        <v/>
      </c>
      <c r="AL181" s="1039"/>
      <c r="AM181" s="344" t="str">
        <f ca="1">IFERROR(Q179/12*ROUND(VLOOKUP(AF181,OFFSET(WSM,0,1),6,FALSE),2),"")</f>
        <v/>
      </c>
      <c r="AN181" t="str">
        <f t="shared" ca="1" si="2409"/>
        <v/>
      </c>
      <c r="AP181" s="122" t="str">
        <f t="shared" ref="AP181" si="2768">_xlfn.CONCAT(AR181,AS184)</f>
        <v/>
      </c>
      <c r="AQ181" s="683" t="str">
        <f t="shared" si="2617"/>
        <v/>
      </c>
      <c r="AR181" s="4" t="str">
        <f t="shared" si="2378"/>
        <v/>
      </c>
      <c r="AS181" s="4"/>
      <c r="AT181" s="697" t="str">
        <f>AL179</f>
        <v/>
      </c>
      <c r="AU181" s="694" t="e">
        <f t="shared" ca="1" si="2633"/>
        <v>#REF!</v>
      </c>
      <c r="AV181" s="686" t="str">
        <f ca="1">IFERROR(VLOOKUP(AU181,INDIRECT(AQ179),2,FALSE),"----")</f>
        <v>----</v>
      </c>
      <c r="AW181" s="694" t="e">
        <f t="shared" ca="1" si="2721"/>
        <v>#REF!</v>
      </c>
      <c r="AX181" s="686" t="str">
        <f ca="1">IFERROR(VLOOKUP(AW181,INDIRECT(AQ180),2,FALSE),"----")</f>
        <v>----</v>
      </c>
      <c r="AY181" s="694" t="e">
        <f t="shared" ca="1" si="2722"/>
        <v>#REF!</v>
      </c>
      <c r="AZ181" s="686" t="str">
        <f ca="1">IFERROR(VLOOKUP(AY181,INDIRECT(AQ181),2,FALSE),"----")</f>
        <v>----</v>
      </c>
      <c r="BA181" s="694" t="e">
        <f t="shared" ca="1" si="2723"/>
        <v>#REF!</v>
      </c>
      <c r="BB181" s="686" t="str">
        <f ca="1">IFERROR(VLOOKUP(BA181,INDIRECT(AQ182),2,FALSE),"----")</f>
        <v>----</v>
      </c>
      <c r="BC181" s="694" t="e">
        <f t="shared" ca="1" si="2724"/>
        <v>#REF!</v>
      </c>
      <c r="BD181" s="686" t="str">
        <f ca="1">IFERROR(VLOOKUP(BC181,INDIRECT(AQ183),2,FALSE),"----")</f>
        <v>----</v>
      </c>
      <c r="BE181" s="694" t="e">
        <f t="shared" ca="1" si="2636"/>
        <v>#REF!</v>
      </c>
      <c r="BF181" s="686" t="str">
        <f ca="1">IFERROR(VLOOKUP(BE181,INDIRECT(AQ184),2,FALSE),"----")</f>
        <v>----</v>
      </c>
      <c r="BG181" s="694" t="e">
        <f t="shared" ca="1" si="2637"/>
        <v>#REF!</v>
      </c>
      <c r="BH181" s="686" t="str">
        <f ca="1">IFERROR(VLOOKUP(BG181,INDIRECT(AQ185),2,FALSE),"----")</f>
        <v>----</v>
      </c>
      <c r="BI181" s="694" t="e">
        <f t="shared" ca="1" si="2727"/>
        <v>#REF!</v>
      </c>
      <c r="BJ181" s="686" t="str">
        <f ca="1">IFERROR(VLOOKUP(BI181,INDIRECT(AQ186),2,FALSE),"----")</f>
        <v>----</v>
      </c>
      <c r="BK181" s="694" t="e">
        <f t="shared" ca="1" si="2728"/>
        <v>#REF!</v>
      </c>
      <c r="BL181" s="686" t="str">
        <f ca="1">IFERROR(VLOOKUP(BK181,INDIRECT(AQ187),2,FALSE),"----")</f>
        <v>----</v>
      </c>
      <c r="BM181" s="694" t="e">
        <f t="shared" ca="1" si="2729"/>
        <v>#REF!</v>
      </c>
      <c r="BN181" s="686" t="str">
        <f ca="1">IFERROR(VLOOKUP(BM181,INDIRECT(AQ188),2,FALSE),"----")</f>
        <v>----</v>
      </c>
      <c r="BO181" s="694" t="e">
        <f t="shared" ca="1" si="2730"/>
        <v>#REF!</v>
      </c>
      <c r="BP181" s="686" t="str">
        <f ca="1">IFERROR(VLOOKUP(BO181,INDIRECT(AQ189),2,FALSE),"----")</f>
        <v>----</v>
      </c>
      <c r="BQ181" s="694" t="e">
        <f t="shared" ca="1" si="2642"/>
        <v>#REF!</v>
      </c>
      <c r="BR181" s="686" t="str">
        <f ca="1">IFERROR(VLOOKUP(BQ181,INDIRECT(AQ190),2,FALSE),"----")</f>
        <v>----</v>
      </c>
      <c r="BS181" s="695">
        <f>IF(AI181="",1,IF(COUNTIF(AZ179:AZ190,AI181)=0,2,1))</f>
        <v>1</v>
      </c>
      <c r="BT181" s="696">
        <f>IF(AF181="",1,IF(AZ179=".",2,1))</f>
        <v>1</v>
      </c>
      <c r="BU181" s="706"/>
      <c r="BV181" s="155">
        <f ca="1">IF(COUNTIF(CO179:CO190,AF181)=0,IF(AF181&lt;&gt;"",0,1),1)</f>
        <v>1</v>
      </c>
      <c r="BW181" s="157">
        <f ca="1">IFERROR(MATCH(AF181,CO179:CO190,0),1)</f>
        <v>1</v>
      </c>
      <c r="BX181" s="769"/>
      <c r="BY181" s="769"/>
      <c r="BZ181" s="1110"/>
      <c r="CA181" s="691" t="e">
        <f t="shared" ca="1" si="2732"/>
        <v>#REF!</v>
      </c>
      <c r="CB181" s="4" t="e" cm="1">
        <f t="array" aca="1" ref="CB181" ca="1">IF(AND(INDEX(INDIRECT(BY179),CA181,4)&gt;=$AB179,INDEX(INDIRECT(BY179),CA181,5)&gt;=$S179,INDEX(INDIRECT(BY179),CA181,6)&gt;=$R179),1,0)</f>
        <v>#REF!</v>
      </c>
      <c r="CC181" s="4" t="e">
        <f t="shared" ref="CC181" ca="1" si="2769">MATCH(1,OFFSET(CB179:CB190,CD180,0,COUNT(CB179:CB190)-CD180),0)</f>
        <v>#REF!</v>
      </c>
      <c r="CD181" s="4" t="e">
        <f t="shared" ca="1" si="2734"/>
        <v>#REF!</v>
      </c>
      <c r="CE181" s="692" t="str" cm="1">
        <f t="array" aca="1" ref="CE181" ca="1">IFERROR(VLOOKUP(INDEX(CA179:CA190,CD181),INDIRECT(BY179),2,FALSE),"----")</f>
        <v>----</v>
      </c>
      <c r="CF181" s="691" t="e">
        <f t="shared" ca="1" si="2735"/>
        <v>#N/A</v>
      </c>
      <c r="CG181" s="4" t="e">
        <f ca="1">IF(AND(INDEX(SSM,CF181,4)&gt;=$AB179,INDEX(SSM,CF181,5)&gt;=$S179,INDEX(SSM,CF181,6)&gt;=$R179),1,0)</f>
        <v>#N/A</v>
      </c>
      <c r="CH181" s="4" t="e">
        <f t="shared" ref="CH181" ca="1" si="2770">MATCH(1,OFFSET(CG179:CG190,CI180,0,COUNT(CG179:CG190)-CI180),0)</f>
        <v>#REF!</v>
      </c>
      <c r="CI181" s="4" t="e">
        <f t="shared" ca="1" si="2737"/>
        <v>#REF!</v>
      </c>
      <c r="CJ181" s="692" t="str">
        <f ca="1">IFERROR(IF(AD180="Nested Steel Stud (wood infill)",VLOOKUP(INDEX(CF179:CF190,CI181),SSW,2,FALSE),VLOOKUP(INDEX(CF179:CF190,CI181),SSM,2,FALSE)),"----")</f>
        <v>----</v>
      </c>
      <c r="CK181" s="691" t="e">
        <f t="shared" ca="1" si="2738"/>
        <v>#N/A</v>
      </c>
      <c r="CL181" s="4" t="e">
        <f ca="1">IF(AND(INDEX(WSM,CK181,4)&gt;=$AB179,INDEX(WSM,CK181,5)&gt;=$S179,INDEX(WSM,CK181,6)&gt;=$R179),1,0)</f>
        <v>#N/A</v>
      </c>
      <c r="CM181" s="4" t="e">
        <f t="shared" ref="CM181" ca="1" si="2771">MATCH(1,OFFSET(CL179:CL190,CN180,0,COUNT(CL179:CL190)-CN180),0)</f>
        <v>#REF!</v>
      </c>
      <c r="CN181" s="4" t="e">
        <f t="shared" ca="1" si="2740"/>
        <v>#REF!</v>
      </c>
      <c r="CO181" s="692" t="str">
        <f ca="1">IFERROR(VLOOKUP(INDEX(CK179:CK190,CN181),WSM,2,FALSE),"----")</f>
        <v>----</v>
      </c>
      <c r="CP181" s="691" t="e">
        <f t="shared" ca="1" si="2741"/>
        <v>#N/A</v>
      </c>
      <c r="CQ181" s="4" t="e">
        <f ca="1">IF(AND(INDEX(STM,CP181,4)&gt;=$AB179,INDEX(STM,CP181,5)&gt;=$S179,INDEX(STM,CP181,6)&gt;=$R179),1,0)</f>
        <v>#N/A</v>
      </c>
      <c r="CR181" s="4" t="e">
        <f t="shared" ref="CR181" ca="1" si="2772">MATCH(1,OFFSET(CQ179:CQ190,CS180,0,COUNT(CQ179:CQ190)-CS180),0)</f>
        <v>#REF!</v>
      </c>
      <c r="CS181" s="4" t="e">
        <f t="shared" ca="1" si="2743"/>
        <v>#REF!</v>
      </c>
      <c r="CT181" s="692" t="str">
        <f ca="1">IFERROR(VLOOKUP(INDEX(CP179:CP190,CS181),STM,2,FALSE),"----")</f>
        <v>----</v>
      </c>
      <c r="CU181" s="691" t="e">
        <f t="shared" ca="1" si="2744"/>
        <v>#N/A</v>
      </c>
      <c r="CV181" s="4" t="e">
        <f ca="1">IF(AND(INDEX(ELM,CU181,4)&gt;=$AB179,INDEX(ELM,CU181,5)&gt;=$S179,INDEX(ELM,CU181,6)&gt;=$R179),1,0)</f>
        <v>#N/A</v>
      </c>
      <c r="CW181" s="4" t="e">
        <f t="shared" ref="CW181" ca="1" si="2773">MATCH(1,OFFSET(CV179:CV190,CX180,0,COUNT(CV179:CV190)-CX180),0)</f>
        <v>#REF!</v>
      </c>
      <c r="CX181" s="4" t="e">
        <f t="shared" ca="1" si="2746"/>
        <v>#REF!</v>
      </c>
      <c r="CY181" s="692" t="str">
        <f ca="1">IFERROR(VLOOKUP(INDEX(CU179:CU190,CX181),ELM,2,FALSE),"----")</f>
        <v>----</v>
      </c>
      <c r="CZ181" s="691" t="e">
        <f t="shared" ca="1" si="2747"/>
        <v>#N/A</v>
      </c>
      <c r="DA181" s="4" t="e">
        <f ca="1">IF(LEFT($J179,7)="Clad Wo",IF(AND(INDEX(SPPWS,CZ181,4)&gt;=$AB179,INDEX(SPPWS,CZ181,5)&gt;=$S179,INDEX(SPPWS,CZ181,6)&gt;=$R179),1,0),IF(AND(INDEX(SPM,CZ181,4)&gt;=$AB179,INDEX(SPM,CZ181,5)&gt;=$S179,INDEX(SPM,CZ181,6)&gt;=$R179),1,0))</f>
        <v>#N/A</v>
      </c>
      <c r="DB181" s="4" t="e">
        <f t="shared" ref="DB181" ca="1" si="2774">MATCH(1,OFFSET(DA179:DA190,DC180,0,COUNT(DA179:DA190)-DC180),0)</f>
        <v>#REF!</v>
      </c>
      <c r="DC181" s="4" t="e">
        <f t="shared" ca="1" si="2749"/>
        <v>#REF!</v>
      </c>
      <c r="DD181" s="693" t="str">
        <f ca="1">IF(LEFT($J179,7)="Clad Wo",IFERROR(VLOOKUP(INDEX(CZ179:CZ190,DC181),SPPWS,2,FALSE),"----"),IFERROR(VLOOKUP(INDEX(CZ179:CZ190,DC181),SPM,2,FALSE),"----"))</f>
        <v>----</v>
      </c>
      <c r="DE181" s="691" t="e">
        <f t="shared" ca="1" si="2750"/>
        <v>#REF!</v>
      </c>
      <c r="DF181" s="4" t="e" cm="1">
        <f t="array" aca="1" ref="DF181" ca="1">IF(AND(INDEX(INDIRECT(BY179),DE181,4)&gt;=$AB185,INDEX(INDIRECT(BY179),DE181,5)&gt;=$S179,INDEX(INDIRECT(BY179),DE181,6)&gt;=$R179),1,0)</f>
        <v>#REF!</v>
      </c>
      <c r="DG181" s="4" t="e">
        <f t="shared" ref="DG181" ca="1" si="2775">MATCH(1,OFFSET(DF179:DF190,DH180,0,COUNT(DF179:DF190)-DH180),0)</f>
        <v>#REF!</v>
      </c>
      <c r="DH181" s="4" t="e">
        <f t="shared" ca="1" si="2752"/>
        <v>#REF!</v>
      </c>
      <c r="DI181" s="692" t="str" cm="1">
        <f t="array" aca="1" ref="DI181" ca="1">IFERROR(VLOOKUP(INDEX(DE179:DE190,DH181),INDIRECT(BY179),2,FALSE),"----")</f>
        <v>----</v>
      </c>
      <c r="DJ181" s="691" t="e">
        <f t="shared" ca="1" si="2753"/>
        <v>#N/A</v>
      </c>
      <c r="DK181" s="4" t="e">
        <f ca="1">IF(AND(INDEX(SSM,DJ181,4)&gt;=$AB185,INDEX(SSM,DJ181,5)&gt;=$S179,INDEX(SSM,DJ181,6)&gt;=$R179),1,0)</f>
        <v>#N/A</v>
      </c>
      <c r="DL181" s="4" t="e">
        <f t="shared" ref="DL181" ca="1" si="2776">MATCH(1,OFFSET(DK179:DK190,DM180,0,COUNT(DK179:DK190)-DM180),0)</f>
        <v>#REF!</v>
      </c>
      <c r="DM181" s="4" t="e">
        <f t="shared" ca="1" si="2755"/>
        <v>#REF!</v>
      </c>
      <c r="DN181" s="692" t="str">
        <f ca="1">IFERROR(IF(AD186="Nested Steel Stud (wood infill)",VLOOKUP(INDEX(DJ179:DJ190,DM181),SSW,2,FALSE),VLOOKUP(INDEX(DJ179:DJ190,DM181),SSM,2,FALSE)),"----")</f>
        <v>----</v>
      </c>
      <c r="DO181" s="691" t="e">
        <f t="shared" ca="1" si="2756"/>
        <v>#N/A</v>
      </c>
      <c r="DP181" s="4" t="e">
        <f ca="1">IF(AND(INDEX(WSM,DO181,4)&gt;=$AB185,INDEX(WSM,DO181,5)&gt;=$S179,INDEX(WSM,DO181,6)&gt;=$R179),1,0)</f>
        <v>#N/A</v>
      </c>
      <c r="DQ181" s="4" t="e">
        <f t="shared" ref="DQ181" ca="1" si="2777">MATCH(1,OFFSET(DP179:DP190,DR180,0,COUNT(DP179:DP190)-DR180),0)</f>
        <v>#REF!</v>
      </c>
      <c r="DR181" s="4" t="e">
        <f t="shared" ca="1" si="2758"/>
        <v>#REF!</v>
      </c>
      <c r="DS181" s="692" t="str">
        <f ca="1">IFERROR(VLOOKUP(INDEX(DO179:DO190,DR181),WSM,2,FALSE),"----")</f>
        <v>----</v>
      </c>
      <c r="DT181" s="691" t="e">
        <f t="shared" ca="1" si="2759"/>
        <v>#N/A</v>
      </c>
      <c r="DU181" s="4" t="e">
        <f ca="1">IF(AND(INDEX(STM,DT181,4)&gt;=$AB185,INDEX(STM,DT181,5)&gt;=$S179,INDEX(STM,DT181,6)&gt;=$R179),1,0)</f>
        <v>#N/A</v>
      </c>
      <c r="DV181" s="4" t="e">
        <f t="shared" ref="DV181" ca="1" si="2778">MATCH(1,OFFSET(DU179:DU190,DW180,0,COUNT(DU179:DU190)-DW180),0)</f>
        <v>#REF!</v>
      </c>
      <c r="DW181" s="4" t="e">
        <f t="shared" ca="1" si="2761"/>
        <v>#REF!</v>
      </c>
      <c r="DX181" s="692" t="str">
        <f ca="1">IFERROR(VLOOKUP(INDEX(DT179:DT190,DW181),STM,2,FALSE),"----")</f>
        <v>----</v>
      </c>
      <c r="DY181" s="691" t="e">
        <f t="shared" ca="1" si="2762"/>
        <v>#N/A</v>
      </c>
      <c r="DZ181" s="4" t="e">
        <f ca="1">IF(AND(INDEX(ELM,DY181,4)&gt;=$AB185,INDEX(ELM,DY181,5)&gt;=$S179,INDEX(ELM,DY181,6)&gt;=$R179),1,0)</f>
        <v>#N/A</v>
      </c>
      <c r="EA181" s="4" t="e">
        <f t="shared" ref="EA181" ca="1" si="2779">MATCH(1,OFFSET(DZ179:DZ190,EB180,0,COUNT(DZ179:DZ190)-EB180),0)</f>
        <v>#REF!</v>
      </c>
      <c r="EB181" s="4" t="e">
        <f t="shared" ca="1" si="2764"/>
        <v>#REF!</v>
      </c>
      <c r="EC181" s="692" t="str">
        <f ca="1">IFERROR(VLOOKUP(INDEX(DY179:DY190,EB181),ELM,2,FALSE),"----")</f>
        <v>----</v>
      </c>
      <c r="ED181" s="691" t="e">
        <f t="shared" ca="1" si="2765"/>
        <v>#N/A</v>
      </c>
      <c r="EE181" s="4" t="e">
        <f ca="1">IF(LEFT($J179,7)="Clad Wo",IF(AND(INDEX(SPPWS,ED181,4)&gt;=$AB185,INDEX(SPPWS,ED181,5)&gt;=$S179,INDEX(SPPWS,ED181,6)&gt;=$R179),1,0),IF(AND(INDEX(SPM,ED181,4)&gt;=$AB185,INDEX(SPM,ED181,5)&gt;=$S179,INDEX(SPM,ED181,6)&gt;=$R179),1,0))</f>
        <v>#N/A</v>
      </c>
      <c r="EF181" s="4" t="e">
        <f t="shared" ref="EF181" ca="1" si="2780">MATCH(1,OFFSET(EE179:EE190,EG180,0,COUNT(EE179:EE190)-EG180),0)</f>
        <v>#REF!</v>
      </c>
      <c r="EG181" s="4" t="e">
        <f t="shared" ca="1" si="2767"/>
        <v>#REF!</v>
      </c>
      <c r="EH181" s="692" t="str">
        <f ca="1">IF(LEFT($J179,7)="Clad Wo",IFERROR(VLOOKUP(INDEX(ED179:ED190,EG181),SPPWS,2,FALSE),"----"),IFERROR(VLOOKUP(INDEX(ED179:ED190,EG181),SPM,2,FALSE),"----"))</f>
        <v>----</v>
      </c>
    </row>
    <row r="182" spans="1:138" ht="15" customHeight="1" x14ac:dyDescent="0.25">
      <c r="A182" s="1085"/>
      <c r="B182" s="925"/>
      <c r="C182" s="926"/>
      <c r="D182" s="927"/>
      <c r="E182" s="995"/>
      <c r="F182" s="996"/>
      <c r="G182" s="997"/>
      <c r="H182" s="1062"/>
      <c r="I182" s="990"/>
      <c r="J182" s="908"/>
      <c r="K182" s="909"/>
      <c r="L182" s="1002"/>
      <c r="M182" s="923"/>
      <c r="N182" s="1042"/>
      <c r="O182" s="1018"/>
      <c r="P182" s="987"/>
      <c r="Q182" s="1015"/>
      <c r="R182" s="1012"/>
      <c r="S182" s="1006"/>
      <c r="T182" s="1007"/>
      <c r="U182" s="878"/>
      <c r="V182" s="881"/>
      <c r="W182" s="884"/>
      <c r="X182" s="884"/>
      <c r="Y182" s="887"/>
      <c r="Z182" s="887"/>
      <c r="AA182" s="887"/>
      <c r="AB182" s="1081"/>
      <c r="AC182" s="1078"/>
      <c r="AD182" s="1070" t="s">
        <v>37</v>
      </c>
      <c r="AE182" s="1071"/>
      <c r="AF182" s="1052"/>
      <c r="AG182" s="1053"/>
      <c r="AH182" s="1053"/>
      <c r="AI182" s="1066"/>
      <c r="AJ182" s="1067"/>
      <c r="AK182" s="156" t="str">
        <f t="shared" ca="1" si="2393"/>
        <v/>
      </c>
      <c r="AL182" s="1039"/>
      <c r="AM182" s="343" t="str">
        <f ca="1">IFERROR(Q179/12*ROUND(VLOOKUP(AF182,OFFSET(STM,0,1),6,FALSE),2),"")</f>
        <v/>
      </c>
      <c r="AN182" t="str">
        <f t="shared" ca="1" si="2409"/>
        <v/>
      </c>
      <c r="AP182" s="122" t="str">
        <f t="shared" ref="AP182" si="2781">_xlfn.CONCAT(AR182,AS184)</f>
        <v/>
      </c>
      <c r="AQ182" s="683" t="str">
        <f t="shared" si="2617"/>
        <v/>
      </c>
      <c r="AR182" s="4" t="str">
        <f t="shared" si="2378"/>
        <v/>
      </c>
      <c r="AS182" s="4"/>
      <c r="AT182" s="697" t="str">
        <f>AL179</f>
        <v/>
      </c>
      <c r="AU182" s="694" t="e">
        <f t="shared" ca="1" si="2633"/>
        <v>#REF!</v>
      </c>
      <c r="AV182" s="686" t="str">
        <f ca="1">IFERROR(VLOOKUP(AU182,INDIRECT(AQ179),2,FALSE),"----")</f>
        <v>----</v>
      </c>
      <c r="AW182" s="694" t="e">
        <f t="shared" ca="1" si="2634"/>
        <v>#REF!</v>
      </c>
      <c r="AX182" s="686" t="str">
        <f ca="1">IFERROR(VLOOKUP(AW182,INDIRECT(AQ180),2,FALSE),"----")</f>
        <v>----</v>
      </c>
      <c r="AY182" s="694" t="e">
        <f t="shared" ref="AY182" ca="1" si="2782">AY181-1</f>
        <v>#REF!</v>
      </c>
      <c r="AZ182" s="686" t="str">
        <f ca="1">IFERROR(VLOOKUP(AY182,INDIRECT(AQ181),2,FALSE),"----")</f>
        <v>----</v>
      </c>
      <c r="BA182" s="694" t="e">
        <f t="shared" ref="BA182" ca="1" si="2783">BA181-1</f>
        <v>#REF!</v>
      </c>
      <c r="BB182" s="686" t="str">
        <f ca="1">IFERROR(VLOOKUP(BA182,INDIRECT(AQ182),2,FALSE),"----")</f>
        <v>----</v>
      </c>
      <c r="BC182" s="694" t="e">
        <f t="shared" ca="1" si="2635"/>
        <v>#REF!</v>
      </c>
      <c r="BD182" s="686" t="str">
        <f ca="1">IFERROR(VLOOKUP(BC182,INDIRECT(AQ183),2,FALSE),"----")</f>
        <v>----</v>
      </c>
      <c r="BE182" s="694" t="e">
        <f t="shared" ca="1" si="2636"/>
        <v>#REF!</v>
      </c>
      <c r="BF182" s="686" t="str">
        <f ca="1">IFERROR(VLOOKUP(BE182,INDIRECT(AQ184),2,FALSE),"----")</f>
        <v>----</v>
      </c>
      <c r="BG182" s="694" t="e">
        <f t="shared" ca="1" si="2637"/>
        <v>#REF!</v>
      </c>
      <c r="BH182" s="686" t="str">
        <f ca="1">IFERROR(VLOOKUP(BG182,INDIRECT(AQ185),2,FALSE),"----")</f>
        <v>----</v>
      </c>
      <c r="BI182" s="694" t="e">
        <f t="shared" ca="1" si="2638"/>
        <v>#REF!</v>
      </c>
      <c r="BJ182" s="686" t="str">
        <f ca="1">IFERROR(VLOOKUP(BI182,INDIRECT(AQ186),2,FALSE),"----")</f>
        <v>----</v>
      </c>
      <c r="BK182" s="694" t="e">
        <f t="shared" ca="1" si="2639"/>
        <v>#REF!</v>
      </c>
      <c r="BL182" s="686" t="str">
        <f ca="1">IFERROR(VLOOKUP(BK182,INDIRECT(AQ187),2,FALSE),"----")</f>
        <v>----</v>
      </c>
      <c r="BM182" s="694" t="e">
        <f t="shared" ca="1" si="2640"/>
        <v>#REF!</v>
      </c>
      <c r="BN182" s="686" t="str">
        <f ca="1">IFERROR(VLOOKUP(BM182,INDIRECT(AQ188),2,FALSE),"----")</f>
        <v>----</v>
      </c>
      <c r="BO182" s="694" t="e">
        <f t="shared" ca="1" si="2641"/>
        <v>#REF!</v>
      </c>
      <c r="BP182" s="686" t="str">
        <f ca="1">IFERROR(VLOOKUP(BO182,INDIRECT(AQ189),2,FALSE),"----")</f>
        <v>----</v>
      </c>
      <c r="BQ182" s="694" t="e">
        <f t="shared" ca="1" si="2642"/>
        <v>#REF!</v>
      </c>
      <c r="BR182" s="686" t="str">
        <f ca="1">IFERROR(VLOOKUP(BQ182,INDIRECT(AQ190),2,FALSE),"----")</f>
        <v>----</v>
      </c>
      <c r="BS182" s="695">
        <f>IF(AI182="",1,IF(COUNTIF(BB179:BB190,AI182)=0,2,1))</f>
        <v>1</v>
      </c>
      <c r="BT182" s="696">
        <f>IF(AF182="",1,IF(BB179=".",2,1))</f>
        <v>1</v>
      </c>
      <c r="BU182" s="706"/>
      <c r="BV182" s="155">
        <f ca="1">IF(COUNTIF(CT179:CT190,AF182)=0,IF(AF182&lt;&gt;"",0,1),1)</f>
        <v>1</v>
      </c>
      <c r="BW182" s="157">
        <f ca="1">IFERROR(MATCH(AF182,CT179:CT190,0),1)</f>
        <v>1</v>
      </c>
      <c r="BX182" s="769"/>
      <c r="BY182" s="769"/>
      <c r="BZ182" s="1110"/>
      <c r="CA182" s="691" t="e">
        <f t="shared" ca="1" si="2732"/>
        <v>#REF!</v>
      </c>
      <c r="CB182" s="4" t="e" cm="1">
        <f t="array" aca="1" ref="CB182" ca="1">IF(AND(INDEX(INDIRECT(BY179),CA182,4)&gt;=$AB179,INDEX(INDIRECT(BY179),CA182,5)&gt;=$S179,INDEX(INDIRECT(BY179),CA182,6)&gt;=$R179),1,0)</f>
        <v>#REF!</v>
      </c>
      <c r="CC182" s="4" t="e">
        <f t="shared" ref="CC182" ca="1" si="2784">MATCH(1,OFFSET(CB179:CB190,CD181,0,COUNT(CB179:CB190)-CD181),0)</f>
        <v>#REF!</v>
      </c>
      <c r="CD182" s="4" t="e">
        <f t="shared" ca="1" si="2734"/>
        <v>#REF!</v>
      </c>
      <c r="CE182" s="692" t="str" cm="1">
        <f t="array" aca="1" ref="CE182" ca="1">IFERROR(VLOOKUP(INDEX(CA179:CA190,CD182),INDIRECT(BY179),2,FALSE),"----")</f>
        <v>----</v>
      </c>
      <c r="CF182" s="691" t="e">
        <f t="shared" ca="1" si="2735"/>
        <v>#N/A</v>
      </c>
      <c r="CG182" s="4" t="e">
        <f ca="1">IF(AND(INDEX(SSM,CF182,4)&gt;=$AB179,INDEX(SSM,CF182,5)&gt;=$S179,INDEX(SSM,CF182,6)&gt;=$R179),1,0)</f>
        <v>#N/A</v>
      </c>
      <c r="CH182" s="4" t="e">
        <f t="shared" ref="CH182" ca="1" si="2785">MATCH(1,OFFSET(CG179:CG190,CI181,0,COUNT(CG179:CG190)-CI181),0)</f>
        <v>#REF!</v>
      </c>
      <c r="CI182" s="4" t="e">
        <f t="shared" ca="1" si="2737"/>
        <v>#REF!</v>
      </c>
      <c r="CJ182" s="692" t="str">
        <f ca="1">IFERROR(IF(AD180="Nested Steel Stud (wood infill)",VLOOKUP(INDEX(CF179:CF190,CI182),SSW,2,FALSE),VLOOKUP(INDEX(CF179:CF190,CI182),SSM,2,FALSE)),"----")</f>
        <v>----</v>
      </c>
      <c r="CK182" s="691" t="e">
        <f t="shared" ca="1" si="2738"/>
        <v>#N/A</v>
      </c>
      <c r="CL182" s="4" t="e">
        <f ca="1">IF(AND(INDEX(WSM,CK182,4)&gt;=$AB179,INDEX(WSM,CK182,5)&gt;=$S179,INDEX(WSM,CK182,6)&gt;=$R179),1,0)</f>
        <v>#N/A</v>
      </c>
      <c r="CM182" s="4" t="e">
        <f t="shared" ref="CM182" ca="1" si="2786">MATCH(1,OFFSET(CL179:CL190,CN181,0,COUNT(CL179:CL190)-CN181),0)</f>
        <v>#REF!</v>
      </c>
      <c r="CN182" s="4" t="e">
        <f t="shared" ca="1" si="2740"/>
        <v>#REF!</v>
      </c>
      <c r="CO182" s="692" t="str">
        <f ca="1">IFERROR(VLOOKUP(INDEX(CK179:CK190,CN182),WSM,2,FALSE),"----")</f>
        <v>----</v>
      </c>
      <c r="CP182" s="691" t="e">
        <f t="shared" ca="1" si="2741"/>
        <v>#N/A</v>
      </c>
      <c r="CQ182" s="4" t="e">
        <f ca="1">IF(AND(INDEX(STM,CP182,4)&gt;=$AB179,INDEX(STM,CP182,5)&gt;=$S179,INDEX(STM,CP182,6)&gt;=$R179),1,0)</f>
        <v>#N/A</v>
      </c>
      <c r="CR182" s="4" t="e">
        <f t="shared" ref="CR182" ca="1" si="2787">MATCH(1,OFFSET(CQ179:CQ190,CS181,0,COUNT(CQ179:CQ190)-CS181),0)</f>
        <v>#REF!</v>
      </c>
      <c r="CS182" s="4" t="e">
        <f t="shared" ca="1" si="2743"/>
        <v>#REF!</v>
      </c>
      <c r="CT182" s="692" t="str">
        <f ca="1">IFERROR(VLOOKUP(INDEX(CP179:CP190,CS182),STM,2,FALSE),"----")</f>
        <v>----</v>
      </c>
      <c r="CU182" s="691" t="e">
        <f t="shared" ca="1" si="2744"/>
        <v>#N/A</v>
      </c>
      <c r="CV182" s="4" t="e">
        <f ca="1">IF(AND(INDEX(ELM,CU182,4)&gt;=$AB179,INDEX(ELM,CU182,5)&gt;=$S179,INDEX(ELM,CU182,6)&gt;=$R179),1,0)</f>
        <v>#N/A</v>
      </c>
      <c r="CW182" s="4" t="e">
        <f t="shared" ref="CW182" ca="1" si="2788">MATCH(1,OFFSET(CV179:CV190,CX181,0,COUNT(CV179:CV190)-CX181),0)</f>
        <v>#REF!</v>
      </c>
      <c r="CX182" s="4" t="e">
        <f t="shared" ca="1" si="2746"/>
        <v>#REF!</v>
      </c>
      <c r="CY182" s="692" t="str">
        <f ca="1">IFERROR(VLOOKUP(INDEX(CU179:CU190,CX182),ELM,2,FALSE),"----")</f>
        <v>----</v>
      </c>
      <c r="CZ182" s="691" t="e">
        <f t="shared" ca="1" si="2747"/>
        <v>#N/A</v>
      </c>
      <c r="DA182" s="4" t="e">
        <f ca="1">IF(LEFT($J179,7)="Clad Wo",IF(AND(INDEX(SPPWS,CZ182,4)&gt;=$AB179,INDEX(SPPWS,CZ182,5)&gt;=$S179,INDEX(SPPWS,CZ182,6)&gt;=$R179),1,0),IF(AND(INDEX(SPM,CZ182,4)&gt;=$AB179,INDEX(SPM,CZ182,5)&gt;=$S179,INDEX(SPM,CZ182,6)&gt;=$R179),1,0))</f>
        <v>#N/A</v>
      </c>
      <c r="DB182" s="4" t="e">
        <f t="shared" ref="DB182" ca="1" si="2789">MATCH(1,OFFSET(DA179:DA190,DC181,0,COUNT(DA179:DA190)-DC181),0)</f>
        <v>#REF!</v>
      </c>
      <c r="DC182" s="4" t="e">
        <f t="shared" ca="1" si="2749"/>
        <v>#REF!</v>
      </c>
      <c r="DD182" s="693" t="str">
        <f ca="1">IF(LEFT($J179,7)="Clad Wo",IFERROR(VLOOKUP(INDEX(CZ179:CZ190,DC182),SPPWS,2,FALSE),"----"),IFERROR(VLOOKUP(INDEX(CZ179:CZ190,DC182),SPM,2,FALSE),"----"))</f>
        <v>----</v>
      </c>
      <c r="DE182" s="691" t="e">
        <f t="shared" ca="1" si="2750"/>
        <v>#REF!</v>
      </c>
      <c r="DF182" s="4" t="e" cm="1">
        <f t="array" aca="1" ref="DF182" ca="1">IF(AND(INDEX(INDIRECT(BY179),DE182,4)&gt;=$AB185,INDEX(INDIRECT(BY179),DE182,5)&gt;=$S179,INDEX(INDIRECT(BY179),DE182,6)&gt;=$R179),1,0)</f>
        <v>#REF!</v>
      </c>
      <c r="DG182" s="4" t="e">
        <f t="shared" ref="DG182" ca="1" si="2790">MATCH(1,OFFSET(DF179:DF190,DH181,0,COUNT(DF179:DF190)-DH181),0)</f>
        <v>#REF!</v>
      </c>
      <c r="DH182" s="4" t="e">
        <f t="shared" ca="1" si="2752"/>
        <v>#REF!</v>
      </c>
      <c r="DI182" s="692" t="str" cm="1">
        <f t="array" aca="1" ref="DI182" ca="1">IFERROR(VLOOKUP(INDEX(DE179:DE190,DH182),INDIRECT(BY179),2,FALSE),"----")</f>
        <v>----</v>
      </c>
      <c r="DJ182" s="691" t="e">
        <f t="shared" ca="1" si="2753"/>
        <v>#N/A</v>
      </c>
      <c r="DK182" s="4" t="e">
        <f ca="1">IF(AND(INDEX(SSM,DJ182,4)&gt;=$AB185,INDEX(SSM,DJ182,5)&gt;=$S179,INDEX(SSM,DJ182,6)&gt;=$R179),1,0)</f>
        <v>#N/A</v>
      </c>
      <c r="DL182" s="4" t="e">
        <f t="shared" ref="DL182" ca="1" si="2791">MATCH(1,OFFSET(DK179:DK190,DM181,0,COUNT(DK179:DK190)-DM181),0)</f>
        <v>#REF!</v>
      </c>
      <c r="DM182" s="4" t="e">
        <f t="shared" ca="1" si="2755"/>
        <v>#REF!</v>
      </c>
      <c r="DN182" s="692" t="str">
        <f ca="1">IFERROR(IF(AD186="Nested Steel Stud (wood infill)",VLOOKUP(INDEX(DJ179:DJ190,DM182),SSW,2,FALSE),VLOOKUP(INDEX(DJ179:DJ190,DM182),SSM,2,FALSE)),"----")</f>
        <v>----</v>
      </c>
      <c r="DO182" s="691" t="e">
        <f t="shared" ca="1" si="2756"/>
        <v>#N/A</v>
      </c>
      <c r="DP182" s="4" t="e">
        <f ca="1">IF(AND(INDEX(WSM,DO182,4)&gt;=$AB185,INDEX(WSM,DO182,5)&gt;=$S179,INDEX(WSM,DO182,6)&gt;=$R179),1,0)</f>
        <v>#N/A</v>
      </c>
      <c r="DQ182" s="4" t="e">
        <f t="shared" ref="DQ182" ca="1" si="2792">MATCH(1,OFFSET(DP179:DP190,DR181,0,COUNT(DP179:DP190)-DR181),0)</f>
        <v>#REF!</v>
      </c>
      <c r="DR182" s="4" t="e">
        <f t="shared" ca="1" si="2758"/>
        <v>#REF!</v>
      </c>
      <c r="DS182" s="692" t="str">
        <f ca="1">IFERROR(VLOOKUP(INDEX(DO179:DO190,DR182),WSM,2,FALSE),"----")</f>
        <v>----</v>
      </c>
      <c r="DT182" s="691" t="e">
        <f t="shared" ca="1" si="2759"/>
        <v>#N/A</v>
      </c>
      <c r="DU182" s="4" t="e">
        <f ca="1">IF(AND(INDEX(STM,DT182,4)&gt;=$AB185,INDEX(STM,DT182,5)&gt;=$S179,INDEX(STM,DT182,6)&gt;=$R179),1,0)</f>
        <v>#N/A</v>
      </c>
      <c r="DV182" s="4" t="e">
        <f t="shared" ref="DV182" ca="1" si="2793">MATCH(1,OFFSET(DU179:DU190,DW181,0,COUNT(DU179:DU190)-DW181),0)</f>
        <v>#REF!</v>
      </c>
      <c r="DW182" s="4" t="e">
        <f t="shared" ca="1" si="2761"/>
        <v>#REF!</v>
      </c>
      <c r="DX182" s="692" t="str">
        <f ca="1">IFERROR(VLOOKUP(INDEX(DT179:DT190,DW182),STM,2,FALSE),"----")</f>
        <v>----</v>
      </c>
      <c r="DY182" s="691" t="e">
        <f t="shared" ca="1" si="2762"/>
        <v>#N/A</v>
      </c>
      <c r="DZ182" s="4" t="e">
        <f ca="1">IF(AND(INDEX(ELM,DY182,4)&gt;=$AB185,INDEX(ELM,DY182,5)&gt;=$S179,INDEX(ELM,DY182,6)&gt;=$R179),1,0)</f>
        <v>#N/A</v>
      </c>
      <c r="EA182" s="4" t="e">
        <f t="shared" ref="EA182" ca="1" si="2794">MATCH(1,OFFSET(DZ179:DZ190,EB181,0,COUNT(DZ179:DZ190)-EB181),0)</f>
        <v>#REF!</v>
      </c>
      <c r="EB182" s="4" t="e">
        <f t="shared" ca="1" si="2764"/>
        <v>#REF!</v>
      </c>
      <c r="EC182" s="692" t="str">
        <f ca="1">IFERROR(VLOOKUP(INDEX(DY179:DY190,EB182),ELM,2,FALSE),"----")</f>
        <v>----</v>
      </c>
      <c r="ED182" s="691" t="e">
        <f t="shared" ca="1" si="2765"/>
        <v>#N/A</v>
      </c>
      <c r="EE182" s="4" t="e">
        <f ca="1">IF(LEFT($J179,7)="Clad Wo",IF(AND(INDEX(SPPWS,ED182,4)&gt;=$AB185,INDEX(SPPWS,ED182,5)&gt;=$S179,INDEX(SPPWS,ED182,6)&gt;=$R179),1,0),IF(AND(INDEX(SPM,ED182,4)&gt;=$AB185,INDEX(SPM,ED182,5)&gt;=$S179,INDEX(SPM,ED182,6)&gt;=$R179),1,0))</f>
        <v>#N/A</v>
      </c>
      <c r="EF182" s="4" t="e">
        <f t="shared" ref="EF182" ca="1" si="2795">MATCH(1,OFFSET(EE179:EE190,EG181,0,COUNT(EE179:EE190)-EG181),0)</f>
        <v>#REF!</v>
      </c>
      <c r="EG182" s="4" t="e">
        <f t="shared" ca="1" si="2767"/>
        <v>#REF!</v>
      </c>
      <c r="EH182" s="692" t="str">
        <f ca="1">IF(LEFT($J179,7)="Clad Wo",IFERROR(VLOOKUP(INDEX(ED179:ED190,EG182),SPPWS,2,FALSE),"----"),IFERROR(VLOOKUP(INDEX(ED179:ED190,EG182),SPM,2,FALSE),"----"))</f>
        <v>----</v>
      </c>
    </row>
    <row r="183" spans="1:138" ht="15" customHeight="1" x14ac:dyDescent="0.25">
      <c r="A183" s="1085"/>
      <c r="B183" s="925"/>
      <c r="C183" s="926"/>
      <c r="D183" s="927"/>
      <c r="E183" s="995"/>
      <c r="F183" s="996"/>
      <c r="G183" s="997"/>
      <c r="H183" s="1062"/>
      <c r="I183" s="990"/>
      <c r="J183" s="910"/>
      <c r="K183" s="911"/>
      <c r="L183" s="1002"/>
      <c r="M183" s="923"/>
      <c r="N183" s="1042"/>
      <c r="O183" s="1018"/>
      <c r="P183" s="987"/>
      <c r="Q183" s="1015"/>
      <c r="R183" s="1012"/>
      <c r="S183" s="1006"/>
      <c r="T183" s="1007"/>
      <c r="U183" s="878"/>
      <c r="V183" s="881"/>
      <c r="W183" s="884"/>
      <c r="X183" s="884"/>
      <c r="Y183" s="887"/>
      <c r="Z183" s="887"/>
      <c r="AA183" s="887"/>
      <c r="AB183" s="1081"/>
      <c r="AC183" s="1078"/>
      <c r="AD183" s="1070" t="s">
        <v>39</v>
      </c>
      <c r="AE183" s="1071"/>
      <c r="AF183" s="1052"/>
      <c r="AG183" s="1053"/>
      <c r="AH183" s="1053"/>
      <c r="AI183" s="1068"/>
      <c r="AJ183" s="1069"/>
      <c r="AK183" s="154" t="str">
        <f t="shared" ca="1" si="2393"/>
        <v/>
      </c>
      <c r="AL183" s="1039"/>
      <c r="AM183" s="344" t="str">
        <f ca="1">IFERROR(Q179/12*ROUND(VLOOKUP(AF183,OFFSET(ELM,0,1),6,FALSE),2),"")</f>
        <v/>
      </c>
      <c r="AN183" t="str">
        <f t="shared" ca="1" si="2409"/>
        <v/>
      </c>
      <c r="AP183" s="122" t="str">
        <f t="shared" ref="AP183" si="2796">_xlfn.CONCAT(AR183,AS184)</f>
        <v/>
      </c>
      <c r="AQ183" s="683" t="str">
        <f t="shared" si="2617"/>
        <v/>
      </c>
      <c r="AR183" s="4" t="str">
        <f t="shared" si="2378"/>
        <v/>
      </c>
      <c r="AS183" s="4"/>
      <c r="AT183" s="697" t="str">
        <f>AL179</f>
        <v/>
      </c>
      <c r="AU183" s="694" t="e">
        <f t="shared" ca="1" si="2633"/>
        <v>#REF!</v>
      </c>
      <c r="AV183" s="698" t="str">
        <f ca="1">IFERROR(VLOOKUP(AU183,INDIRECT(AQ179),2,FALSE),"----")</f>
        <v>----</v>
      </c>
      <c r="AW183" s="694" t="e">
        <f t="shared" ca="1" si="2634"/>
        <v>#REF!</v>
      </c>
      <c r="AX183" s="698" t="str">
        <f ca="1">IFERROR(VLOOKUP(AW183,INDIRECT(AQ180),2,FALSE),"----")</f>
        <v>----</v>
      </c>
      <c r="AY183" s="694" t="e">
        <f t="shared" ref="AY183" ca="1" si="2797">AY182-1</f>
        <v>#REF!</v>
      </c>
      <c r="AZ183" s="698" t="str">
        <f ca="1">IFERROR(VLOOKUP(AY183,INDIRECT(AQ181),2,FALSE),"----")</f>
        <v>----</v>
      </c>
      <c r="BA183" s="694" t="e">
        <f t="shared" ref="BA183" ca="1" si="2798">BA182-1</f>
        <v>#REF!</v>
      </c>
      <c r="BB183" s="698" t="str">
        <f ca="1">IFERROR(VLOOKUP(BA183,INDIRECT(AQ182),2,FALSE),"----")</f>
        <v>----</v>
      </c>
      <c r="BC183" s="694" t="e">
        <f t="shared" ca="1" si="2635"/>
        <v>#REF!</v>
      </c>
      <c r="BD183" s="698" t="str">
        <f ca="1">IFERROR(VLOOKUP(BC183,INDIRECT(AQ183),2,FALSE),"----")</f>
        <v>----</v>
      </c>
      <c r="BE183" s="694" t="e">
        <f t="shared" ca="1" si="2636"/>
        <v>#REF!</v>
      </c>
      <c r="BF183" s="698" t="str">
        <f ca="1">IFERROR(VLOOKUP(BE183,INDIRECT(AQ184),2,FALSE),"----")</f>
        <v>----</v>
      </c>
      <c r="BG183" s="694" t="e">
        <f t="shared" ca="1" si="2637"/>
        <v>#REF!</v>
      </c>
      <c r="BH183" s="686" t="str">
        <f ca="1">IFERROR(VLOOKUP(BG183,INDIRECT(AQ185),2,FALSE),"----")</f>
        <v>----</v>
      </c>
      <c r="BI183" s="694" t="e">
        <f t="shared" ca="1" si="2638"/>
        <v>#REF!</v>
      </c>
      <c r="BJ183" s="686" t="str">
        <f ca="1">IFERROR(VLOOKUP(BI183,INDIRECT(AQ186),2,FALSE),"----")</f>
        <v>----</v>
      </c>
      <c r="BK183" s="694" t="e">
        <f t="shared" ca="1" si="2639"/>
        <v>#REF!</v>
      </c>
      <c r="BL183" s="686" t="str">
        <f ca="1">IFERROR(VLOOKUP(BK183,INDIRECT(AQ187),2,FALSE),"----")</f>
        <v>----</v>
      </c>
      <c r="BM183" s="694" t="e">
        <f t="shared" ca="1" si="2640"/>
        <v>#REF!</v>
      </c>
      <c r="BN183" s="686" t="str">
        <f ca="1">IFERROR(VLOOKUP(BM183,INDIRECT(AQ188),2,FALSE),"----")</f>
        <v>----</v>
      </c>
      <c r="BO183" s="694" t="e">
        <f t="shared" ca="1" si="2641"/>
        <v>#REF!</v>
      </c>
      <c r="BP183" s="686" t="str">
        <f ca="1">IFERROR(VLOOKUP(BO183,INDIRECT(AQ189),2,FALSE),"----")</f>
        <v>----</v>
      </c>
      <c r="BQ183" s="694" t="e">
        <f t="shared" ca="1" si="2642"/>
        <v>#REF!</v>
      </c>
      <c r="BR183" s="686" t="str">
        <f ca="1">IFERROR(VLOOKUP(BQ183,INDIRECT(AQ190),2,FALSE),"----")</f>
        <v>----</v>
      </c>
      <c r="BS183" s="695">
        <f>IF(AI183="",1,IF(COUNTIF(BD179:BD190,AI183)=0,2,1))</f>
        <v>1</v>
      </c>
      <c r="BT183" s="696">
        <f>IF(AF183="",1,IF(BD179=".",2,1))</f>
        <v>1</v>
      </c>
      <c r="BU183" s="706"/>
      <c r="BV183" s="155">
        <f ca="1">IF(COUNTIF(CY179:CY190,AF183)=0,IF(AF183&lt;&gt;"",0,1),1)</f>
        <v>1</v>
      </c>
      <c r="BW183" s="157">
        <f ca="1">IFERROR(MATCH(AF183,CY179:CY190,0),1)</f>
        <v>1</v>
      </c>
      <c r="BX183" s="769"/>
      <c r="BY183" s="769"/>
      <c r="BZ183" s="1110"/>
      <c r="CA183" s="691" t="e">
        <f t="shared" ca="1" si="2732"/>
        <v>#REF!</v>
      </c>
      <c r="CB183" s="4" t="e" cm="1">
        <f t="array" aca="1" ref="CB183" ca="1">IF(AND(INDEX(INDIRECT(BY179),CA183,4)&gt;=$AB179,INDEX(INDIRECT(BY179),CA183,5)&gt;=$S179,INDEX(INDIRECT(BY179),CA183,6)&gt;=$R179),1,0)</f>
        <v>#REF!</v>
      </c>
      <c r="CC183" s="4" t="e">
        <f t="shared" ref="CC183" ca="1" si="2799">MATCH(1,OFFSET(CB179:CB190,CD182,0,COUNT(CB179:CB190)-CD182),0)</f>
        <v>#REF!</v>
      </c>
      <c r="CD183" s="4" t="e">
        <f t="shared" ca="1" si="2734"/>
        <v>#REF!</v>
      </c>
      <c r="CE183" s="692" t="str" cm="1">
        <f t="array" aca="1" ref="CE183" ca="1">IFERROR(VLOOKUP(INDEX(CA179:CA190,CD183),INDIRECT(BY179),2,FALSE),"----")</f>
        <v>----</v>
      </c>
      <c r="CF183" s="691" t="e">
        <f t="shared" ca="1" si="2735"/>
        <v>#N/A</v>
      </c>
      <c r="CG183" s="4" t="e">
        <f ca="1">IF(AND(INDEX(SSM,CF183,4)&gt;=$AB179,INDEX(SSM,CF183,5)&gt;=$S179,INDEX(SSM,CF183,6)&gt;=$R179),1,0)</f>
        <v>#N/A</v>
      </c>
      <c r="CH183" s="4" t="e">
        <f t="shared" ref="CH183" ca="1" si="2800">MATCH(1,OFFSET(CG179:CG190,CI182,0,COUNT(CG179:CG190)-CI182),0)</f>
        <v>#REF!</v>
      </c>
      <c r="CI183" s="4" t="e">
        <f t="shared" ca="1" si="2737"/>
        <v>#REF!</v>
      </c>
      <c r="CJ183" s="692" t="str">
        <f ca="1">IFERROR(IF(AD180="Nested Steel Stud (wood infill)",VLOOKUP(INDEX(CF179:CF190,CI183),SSW,2,FALSE),VLOOKUP(INDEX(CF179:CF190,CI183),SSM,2,FALSE)),"----")</f>
        <v>----</v>
      </c>
      <c r="CK183" s="691" t="e">
        <f t="shared" ca="1" si="2738"/>
        <v>#N/A</v>
      </c>
      <c r="CL183" s="4" t="e">
        <f ca="1">IF(AND(INDEX(WSM,CK183,4)&gt;=$AB179,INDEX(WSM,CK183,5)&gt;=$S179,INDEX(WSM,CK183,6)&gt;=$R179),1,0)</f>
        <v>#N/A</v>
      </c>
      <c r="CM183" s="4" t="e">
        <f t="shared" ref="CM183" ca="1" si="2801">MATCH(1,OFFSET(CL179:CL190,CN182,0,COUNT(CL179:CL190)-CN182),0)</f>
        <v>#REF!</v>
      </c>
      <c r="CN183" s="4" t="e">
        <f t="shared" ca="1" si="2740"/>
        <v>#REF!</v>
      </c>
      <c r="CO183" s="692" t="str">
        <f ca="1">IFERROR(VLOOKUP(INDEX(CK179:CK190,CN183),WSM,2,FALSE),"----")</f>
        <v>----</v>
      </c>
      <c r="CP183" s="691" t="e">
        <f t="shared" ca="1" si="2741"/>
        <v>#N/A</v>
      </c>
      <c r="CQ183" s="4" t="e">
        <f ca="1">IF(AND(INDEX(STM,CP183,4)&gt;=$AB179,INDEX(STM,CP183,5)&gt;=$S179,INDEX(STM,CP183,6)&gt;=$R179),1,0)</f>
        <v>#N/A</v>
      </c>
      <c r="CR183" s="4" t="e">
        <f t="shared" ref="CR183" ca="1" si="2802">MATCH(1,OFFSET(CQ179:CQ190,CS182,0,COUNT(CQ179:CQ190)-CS182),0)</f>
        <v>#REF!</v>
      </c>
      <c r="CS183" s="4" t="e">
        <f t="shared" ca="1" si="2743"/>
        <v>#REF!</v>
      </c>
      <c r="CT183" s="692" t="str">
        <f ca="1">IFERROR(VLOOKUP(INDEX(CP179:CP190,CS183),STM,2,FALSE),"----")</f>
        <v>----</v>
      </c>
      <c r="CU183" s="691" t="e">
        <f t="shared" ca="1" si="2744"/>
        <v>#N/A</v>
      </c>
      <c r="CV183" s="4" t="e">
        <f ca="1">IF(AND(INDEX(ELM,CU183,4)&gt;=$AB179,INDEX(ELM,CU183,5)&gt;=$S179,INDEX(ELM,CU183,6)&gt;=$R179),1,0)</f>
        <v>#N/A</v>
      </c>
      <c r="CW183" s="4" t="e">
        <f t="shared" ref="CW183" ca="1" si="2803">MATCH(1,OFFSET(CV179:CV190,CX182,0,COUNT(CV179:CV190)-CX182),0)</f>
        <v>#REF!</v>
      </c>
      <c r="CX183" s="4" t="e">
        <f t="shared" ca="1" si="2746"/>
        <v>#REF!</v>
      </c>
      <c r="CY183" s="692" t="str">
        <f ca="1">IFERROR(VLOOKUP(INDEX(CU179:CU190,CX183),ELM,2,FALSE),"----")</f>
        <v>----</v>
      </c>
      <c r="CZ183" s="691" t="e">
        <f t="shared" ca="1" si="2747"/>
        <v>#N/A</v>
      </c>
      <c r="DA183" s="4" t="e">
        <f ca="1">IF(LEFT($J179,7)="Clad Wo",IF(AND(INDEX(SPPWS,CZ183,4)&gt;=$AB179,INDEX(SPPWS,CZ183,5)&gt;=$S179,INDEX(SPPWS,CZ183,6)&gt;=$R179),1,0),IF(AND(INDEX(SPM,CZ183,4)&gt;=$AB179,INDEX(SPM,CZ183,5)&gt;=$S179,INDEX(SPM,CZ183,6)&gt;=$R179),1,0))</f>
        <v>#N/A</v>
      </c>
      <c r="DB183" s="4" t="e">
        <f t="shared" ref="DB183" ca="1" si="2804">MATCH(1,OFFSET(DA179:DA190,DC182,0,COUNT(DA179:DA190)-DC182),0)</f>
        <v>#REF!</v>
      </c>
      <c r="DC183" s="4" t="e">
        <f t="shared" ca="1" si="2749"/>
        <v>#REF!</v>
      </c>
      <c r="DD183" s="693" t="str">
        <f ca="1">IF(LEFT($J179,7)="Clad Wo",IFERROR(VLOOKUP(INDEX(CZ179:CZ190,DC183),SPPWS,2,FALSE),"----"),IFERROR(VLOOKUP(INDEX(CZ179:CZ190,DC183),SPM,2,FALSE),"----"))</f>
        <v>----</v>
      </c>
      <c r="DE183" s="691" t="e">
        <f t="shared" ca="1" si="2750"/>
        <v>#REF!</v>
      </c>
      <c r="DF183" s="4" t="e" cm="1">
        <f t="array" aca="1" ref="DF183" ca="1">IF(AND(INDEX(INDIRECT(BY179),DE183,4)&gt;=$AB185,INDEX(INDIRECT(BY179),DE183,5)&gt;=$S179,INDEX(INDIRECT(BY179),DE183,6)&gt;=$R179),1,0)</f>
        <v>#REF!</v>
      </c>
      <c r="DG183" s="4" t="e">
        <f t="shared" ref="DG183" ca="1" si="2805">MATCH(1,OFFSET(DF179:DF190,DH182,0,COUNT(DF179:DF190)-DH182),0)</f>
        <v>#REF!</v>
      </c>
      <c r="DH183" s="4" t="e">
        <f t="shared" ca="1" si="2752"/>
        <v>#REF!</v>
      </c>
      <c r="DI183" s="692" t="str" cm="1">
        <f t="array" aca="1" ref="DI183" ca="1">IFERROR(VLOOKUP(INDEX(DE179:DE190,DH183),INDIRECT(BY179),2,FALSE),"----")</f>
        <v>----</v>
      </c>
      <c r="DJ183" s="691" t="e">
        <f t="shared" ca="1" si="2753"/>
        <v>#N/A</v>
      </c>
      <c r="DK183" s="4" t="e">
        <f ca="1">IF(AND(INDEX(SSM,DJ183,4)&gt;=$AB185,INDEX(SSM,DJ183,5)&gt;=$S179,INDEX(SSM,DJ183,6)&gt;=$R179),1,0)</f>
        <v>#N/A</v>
      </c>
      <c r="DL183" s="4" t="e">
        <f t="shared" ref="DL183" ca="1" si="2806">MATCH(1,OFFSET(DK179:DK190,DM182,0,COUNT(DK179:DK190)-DM182),0)</f>
        <v>#REF!</v>
      </c>
      <c r="DM183" s="4" t="e">
        <f t="shared" ca="1" si="2755"/>
        <v>#REF!</v>
      </c>
      <c r="DN183" s="692" t="str">
        <f ca="1">IFERROR(IF(AD186="Nested Steel Stud (wood infill)",VLOOKUP(INDEX(DJ179:DJ190,DM183),SSW,2,FALSE),VLOOKUP(INDEX(DJ179:DJ190,DM183),SSM,2,FALSE)),"----")</f>
        <v>----</v>
      </c>
      <c r="DO183" s="691" t="e">
        <f t="shared" ca="1" si="2756"/>
        <v>#N/A</v>
      </c>
      <c r="DP183" s="4" t="e">
        <f ca="1">IF(AND(INDEX(WSM,DO183,4)&gt;=$AB185,INDEX(WSM,DO183,5)&gt;=$S179,INDEX(WSM,DO183,6)&gt;=$R179),1,0)</f>
        <v>#N/A</v>
      </c>
      <c r="DQ183" s="4" t="e">
        <f t="shared" ref="DQ183" ca="1" si="2807">MATCH(1,OFFSET(DP179:DP190,DR182,0,COUNT(DP179:DP190)-DR182),0)</f>
        <v>#REF!</v>
      </c>
      <c r="DR183" s="4" t="e">
        <f t="shared" ca="1" si="2758"/>
        <v>#REF!</v>
      </c>
      <c r="DS183" s="692" t="str">
        <f ca="1">IFERROR(VLOOKUP(INDEX(DO179:DO190,DR183),WSM,2,FALSE),"----")</f>
        <v>----</v>
      </c>
      <c r="DT183" s="691" t="e">
        <f t="shared" ca="1" si="2759"/>
        <v>#N/A</v>
      </c>
      <c r="DU183" s="4" t="e">
        <f ca="1">IF(AND(INDEX(STM,DT183,4)&gt;=$AB185,INDEX(STM,DT183,5)&gt;=$S179,INDEX(STM,DT183,6)&gt;=$R179),1,0)</f>
        <v>#N/A</v>
      </c>
      <c r="DV183" s="4" t="e">
        <f t="shared" ref="DV183" ca="1" si="2808">MATCH(1,OFFSET(DU179:DU190,DW182,0,COUNT(DU179:DU190)-DW182),0)</f>
        <v>#REF!</v>
      </c>
      <c r="DW183" s="4" t="e">
        <f t="shared" ca="1" si="2761"/>
        <v>#REF!</v>
      </c>
      <c r="DX183" s="692" t="str">
        <f ca="1">IFERROR(VLOOKUP(INDEX(DT179:DT190,DW183),STM,2,FALSE),"----")</f>
        <v>----</v>
      </c>
      <c r="DY183" s="691" t="e">
        <f t="shared" ca="1" si="2762"/>
        <v>#N/A</v>
      </c>
      <c r="DZ183" s="4" t="e">
        <f ca="1">IF(AND(INDEX(ELM,DY183,4)&gt;=$AB185,INDEX(ELM,DY183,5)&gt;=$S179,INDEX(ELM,DY183,6)&gt;=$R179),1,0)</f>
        <v>#N/A</v>
      </c>
      <c r="EA183" s="4" t="e">
        <f t="shared" ref="EA183" ca="1" si="2809">MATCH(1,OFFSET(DZ179:DZ190,EB182,0,COUNT(DZ179:DZ190)-EB182),0)</f>
        <v>#REF!</v>
      </c>
      <c r="EB183" s="4" t="e">
        <f t="shared" ca="1" si="2764"/>
        <v>#REF!</v>
      </c>
      <c r="EC183" s="692" t="str">
        <f ca="1">IFERROR(VLOOKUP(INDEX(DY179:DY190,EB183),ELM,2,FALSE),"----")</f>
        <v>----</v>
      </c>
      <c r="ED183" s="691" t="e">
        <f t="shared" ca="1" si="2765"/>
        <v>#N/A</v>
      </c>
      <c r="EE183" s="4" t="e">
        <f ca="1">IF(LEFT($J179,7)="Clad Wo",IF(AND(INDEX(SPPWS,ED183,4)&gt;=$AB185,INDEX(SPPWS,ED183,5)&gt;=$S179,INDEX(SPPWS,ED183,6)&gt;=$R179),1,0),IF(AND(INDEX(SPM,ED183,4)&gt;=$AB185,INDEX(SPM,ED183,5)&gt;=$S179,INDEX(SPM,ED183,6)&gt;=$R179),1,0))</f>
        <v>#N/A</v>
      </c>
      <c r="EF183" s="4" t="e">
        <f t="shared" ref="EF183" ca="1" si="2810">MATCH(1,OFFSET(EE179:EE190,EG182,0,COUNT(EE179:EE190)-EG182),0)</f>
        <v>#REF!</v>
      </c>
      <c r="EG183" s="4" t="e">
        <f t="shared" ca="1" si="2767"/>
        <v>#REF!</v>
      </c>
      <c r="EH183" s="692" t="str">
        <f ca="1">IF(LEFT($J179,7)="Clad Wo",IFERROR(VLOOKUP(INDEX(ED179:ED190,EG183),SPPWS,2,FALSE),"----"),IFERROR(VLOOKUP(INDEX(ED179:ED190,EG183),SPM,2,FALSE),"----"))</f>
        <v>----</v>
      </c>
    </row>
    <row r="184" spans="1:138" ht="15" customHeight="1" thickBot="1" x14ac:dyDescent="0.3">
      <c r="A184" s="1085"/>
      <c r="B184" s="934"/>
      <c r="C184" s="935"/>
      <c r="D184" s="936"/>
      <c r="E184" s="995"/>
      <c r="F184" s="996"/>
      <c r="G184" s="997"/>
      <c r="H184" s="1062"/>
      <c r="I184" s="990"/>
      <c r="J184" s="908"/>
      <c r="K184" s="909"/>
      <c r="L184" s="1010"/>
      <c r="M184" s="924"/>
      <c r="N184" s="1044"/>
      <c r="O184" s="1018"/>
      <c r="P184" s="987"/>
      <c r="Q184" s="1015"/>
      <c r="R184" s="1012"/>
      <c r="S184" s="1006"/>
      <c r="T184" s="1007"/>
      <c r="U184" s="878"/>
      <c r="V184" s="881"/>
      <c r="W184" s="889"/>
      <c r="X184" s="884"/>
      <c r="Y184" s="890"/>
      <c r="Z184" s="890"/>
      <c r="AA184" s="887"/>
      <c r="AB184" s="1084"/>
      <c r="AC184" s="1079"/>
      <c r="AD184" s="1072" t="str">
        <f t="shared" ref="AD184" si="2811">IF(LEFT(J179,7)="Clad Wo","Pella Wood Spr / Steel Pte","Steel Plate")</f>
        <v>Steel Plate</v>
      </c>
      <c r="AE184" s="1073"/>
      <c r="AF184" s="1054"/>
      <c r="AG184" s="1055"/>
      <c r="AH184" s="1055"/>
      <c r="AI184" s="1092"/>
      <c r="AJ184" s="1093"/>
      <c r="AK184" s="159" t="str">
        <f t="shared" ca="1" si="2393"/>
        <v/>
      </c>
      <c r="AL184" s="1040"/>
      <c r="AM184" s="345" t="str">
        <f ca="1">IFERROR(Q179/12*ROUND(VLOOKUP(AF184,OFFSET(SPM,0,1),6,FALSE),2),"")</f>
        <v/>
      </c>
      <c r="AN184" t="str">
        <f t="shared" ca="1" si="2409"/>
        <v/>
      </c>
      <c r="AP184" s="699" t="str">
        <f t="shared" ref="AP184" si="2812">_xlfn.CONCAT(AR184,AS184)</f>
        <v/>
      </c>
      <c r="AQ184" s="700" t="str">
        <f t="shared" si="2617"/>
        <v/>
      </c>
      <c r="AR184" s="160" t="str">
        <f t="shared" si="2378"/>
        <v/>
      </c>
      <c r="AS184" s="160" t="str">
        <f>IFERROR(VLOOKUP(J187, WallType,2,FALSE),"")</f>
        <v/>
      </c>
      <c r="AT184" s="701" t="str">
        <f>AL179</f>
        <v/>
      </c>
      <c r="AU184" s="694" t="e">
        <f t="shared" ca="1" si="2633"/>
        <v>#REF!</v>
      </c>
      <c r="AV184" s="698" t="str">
        <f ca="1">IFERROR(VLOOKUP(AU184,INDIRECT(AQ179),2,FALSE),"----")</f>
        <v>----</v>
      </c>
      <c r="AW184" s="702" t="e">
        <f t="shared" ca="1" si="2634"/>
        <v>#REF!</v>
      </c>
      <c r="AX184" s="698" t="str">
        <f ca="1">IFERROR(VLOOKUP(AW184,INDIRECT(AQ180),2,FALSE),"----")</f>
        <v>----</v>
      </c>
      <c r="AY184" s="702" t="e">
        <f t="shared" ref="AY184" ca="1" si="2813">AY183-1</f>
        <v>#REF!</v>
      </c>
      <c r="AZ184" s="698" t="str">
        <f ca="1">IFERROR(VLOOKUP(AY184,INDIRECT(AQ181),2,FALSE),"----")</f>
        <v>----</v>
      </c>
      <c r="BA184" s="702" t="e">
        <f t="shared" ref="BA184" ca="1" si="2814">BA183-1</f>
        <v>#REF!</v>
      </c>
      <c r="BB184" s="698" t="str">
        <f ca="1">IFERROR(VLOOKUP(BA184,INDIRECT(AQ182),2,FALSE),"----")</f>
        <v>----</v>
      </c>
      <c r="BC184" s="702" t="e">
        <f t="shared" ca="1" si="2635"/>
        <v>#REF!</v>
      </c>
      <c r="BD184" s="698" t="str">
        <f ca="1">IFERROR(VLOOKUP(BC184,INDIRECT(AQ183),2,FALSE),"----")</f>
        <v>----</v>
      </c>
      <c r="BE184" s="702" t="e">
        <f t="shared" ca="1" si="2636"/>
        <v>#REF!</v>
      </c>
      <c r="BF184" s="698" t="str">
        <f ca="1">IFERROR(VLOOKUP(BE184,INDIRECT(AQ184),2,FALSE),"----")</f>
        <v>----</v>
      </c>
      <c r="BG184" s="702" t="e">
        <f t="shared" ca="1" si="2637"/>
        <v>#REF!</v>
      </c>
      <c r="BH184" s="686" t="str">
        <f ca="1">IFERROR(VLOOKUP(BG184,INDIRECT(AQ185),2,FALSE),"----")</f>
        <v>----</v>
      </c>
      <c r="BI184" s="702" t="e">
        <f t="shared" ca="1" si="2638"/>
        <v>#REF!</v>
      </c>
      <c r="BJ184" s="686" t="str">
        <f ca="1">IFERROR(VLOOKUP(BI184,INDIRECT(AQ186),2,FALSE),"----")</f>
        <v>----</v>
      </c>
      <c r="BK184" s="702" t="e">
        <f t="shared" ca="1" si="2639"/>
        <v>#REF!</v>
      </c>
      <c r="BL184" s="686" t="str">
        <f ca="1">IFERROR(VLOOKUP(BK184,INDIRECT(AQ187),2,FALSE),"----")</f>
        <v>----</v>
      </c>
      <c r="BM184" s="702" t="e">
        <f t="shared" ca="1" si="2640"/>
        <v>#REF!</v>
      </c>
      <c r="BN184" s="686" t="str">
        <f ca="1">IFERROR(VLOOKUP(BM184,INDIRECT(AQ188),2,FALSE),"----")</f>
        <v>----</v>
      </c>
      <c r="BO184" s="702" t="e">
        <f t="shared" ca="1" si="2641"/>
        <v>#REF!</v>
      </c>
      <c r="BP184" s="686" t="str">
        <f ca="1">IFERROR(VLOOKUP(BO184,INDIRECT(AQ189),2,FALSE),"----")</f>
        <v>----</v>
      </c>
      <c r="BQ184" s="702" t="e">
        <f t="shared" ca="1" si="2642"/>
        <v>#REF!</v>
      </c>
      <c r="BR184" s="686" t="str">
        <f ca="1">IFERROR(VLOOKUP(BQ184,INDIRECT(AQ190),2,FALSE),"----")</f>
        <v>----</v>
      </c>
      <c r="BS184" s="703">
        <f>IF(AI184="",1,IF(COUNTIF(BF179:BF190,AI184)=0,2,1))</f>
        <v>1</v>
      </c>
      <c r="BT184" s="704">
        <f>IF(AF184="",1,IF(BF179=".",2,1))</f>
        <v>1</v>
      </c>
      <c r="BV184" s="155">
        <f ca="1">IF(COUNTIF(DD179:DD190,AF184)=0,IF(AF184&lt;&gt;"",0,1),1)</f>
        <v>1</v>
      </c>
      <c r="BW184" s="157">
        <f ca="1">IFERROR(MATCH(AF184,DD179:DD190,0),1)</f>
        <v>1</v>
      </c>
      <c r="BX184" s="875" t="s">
        <v>1594</v>
      </c>
      <c r="BY184" s="876"/>
      <c r="BZ184" s="1110"/>
      <c r="CA184" s="691" t="e">
        <f t="shared" ca="1" si="2732"/>
        <v>#REF!</v>
      </c>
      <c r="CB184" s="4" t="e" cm="1">
        <f t="array" aca="1" ref="CB184" ca="1">IF(AND(INDEX(INDIRECT(BY179),CA184,4)&gt;=$AB179,INDEX(INDIRECT(BY179),CA184,5)&gt;=$S179,INDEX(INDIRECT(BY179),CA184,6)&gt;=$R179),1,0)</f>
        <v>#REF!</v>
      </c>
      <c r="CC184" s="4" t="e">
        <f t="shared" ref="CC184" ca="1" si="2815">MATCH(1,OFFSET(CB179:CB190,CD183,0,COUNT(CB179:CB190)-CD183),0)</f>
        <v>#REF!</v>
      </c>
      <c r="CD184" s="4" t="e">
        <f t="shared" ca="1" si="2734"/>
        <v>#REF!</v>
      </c>
      <c r="CE184" s="692" t="str" cm="1">
        <f t="array" aca="1" ref="CE184" ca="1">IFERROR(VLOOKUP(INDEX(CA179:CA190,CD184),INDIRECT(BY179),2,FALSE),"----")</f>
        <v>----</v>
      </c>
      <c r="CF184" s="691" t="e">
        <f t="shared" ca="1" si="2735"/>
        <v>#N/A</v>
      </c>
      <c r="CG184" s="4" t="e">
        <f ca="1">IF(AND(INDEX(SSM,CF184,4)&gt;=$AB179,INDEX(SSM,CF184,5)&gt;=$S179,INDEX(SSM,CF184,6)&gt;=$R179),1,0)</f>
        <v>#N/A</v>
      </c>
      <c r="CH184" s="4" t="e">
        <f t="shared" ref="CH184" ca="1" si="2816">MATCH(1,OFFSET(CG179:CG190,CI183,0,COUNT(CG179:CG190)-CI183),0)</f>
        <v>#REF!</v>
      </c>
      <c r="CI184" s="4" t="e">
        <f t="shared" ca="1" si="2737"/>
        <v>#REF!</v>
      </c>
      <c r="CJ184" s="692" t="str">
        <f ca="1">IFERROR(IF(AD180="Nested Steel Stud (wood infill)",VLOOKUP(INDEX(CF179:CF190,CI184),SSW,2,FALSE),VLOOKUP(INDEX(CF179:CF190,CI184),SSM,2,FALSE)),"----")</f>
        <v>----</v>
      </c>
      <c r="CK184" s="691" t="e">
        <f t="shared" ca="1" si="2738"/>
        <v>#N/A</v>
      </c>
      <c r="CL184" s="4" t="e">
        <f ca="1">IF(AND(INDEX(WSM,CK184,4)&gt;=$AB179,INDEX(WSM,CK184,5)&gt;=$S179,INDEX(WSM,CK184,6)&gt;=$R179),1,0)</f>
        <v>#N/A</v>
      </c>
      <c r="CM184" s="4" t="e">
        <f t="shared" ref="CM184" ca="1" si="2817">MATCH(1,OFFSET(CL179:CL190,CN183,0,COUNT(CL179:CL190)-CN183),0)</f>
        <v>#REF!</v>
      </c>
      <c r="CN184" s="4" t="e">
        <f t="shared" ca="1" si="2740"/>
        <v>#REF!</v>
      </c>
      <c r="CO184" s="692" t="str">
        <f ca="1">IFERROR(VLOOKUP(INDEX(CK179:CK190,CN184),WSM,2,FALSE),"----")</f>
        <v>----</v>
      </c>
      <c r="CP184" s="691" t="e">
        <f t="shared" ca="1" si="2741"/>
        <v>#N/A</v>
      </c>
      <c r="CQ184" s="4" t="e">
        <f ca="1">IF(AND(INDEX(STM,CP184,4)&gt;=$AB179,INDEX(STM,CP184,5)&gt;=$S179,INDEX(STM,CP184,6)&gt;=$R179),1,0)</f>
        <v>#N/A</v>
      </c>
      <c r="CR184" s="4" t="e">
        <f t="shared" ref="CR184" ca="1" si="2818">MATCH(1,OFFSET(CQ179:CQ190,CS183,0,COUNT(CQ179:CQ190)-CS183),0)</f>
        <v>#REF!</v>
      </c>
      <c r="CS184" s="4" t="e">
        <f t="shared" ca="1" si="2743"/>
        <v>#REF!</v>
      </c>
      <c r="CT184" s="692" t="str">
        <f ca="1">IFERROR(VLOOKUP(INDEX(CP179:CP190,CS184),STM,2,FALSE),"----")</f>
        <v>----</v>
      </c>
      <c r="CU184" s="691" t="e">
        <f t="shared" ca="1" si="2744"/>
        <v>#N/A</v>
      </c>
      <c r="CV184" s="4" t="e">
        <f ca="1">IF(AND(INDEX(ELM,CU184,4)&gt;=$AB179,INDEX(ELM,CU184,5)&gt;=$S179,INDEX(ELM,CU184,6)&gt;=$R179),1,0)</f>
        <v>#N/A</v>
      </c>
      <c r="CW184" s="4" t="e">
        <f t="shared" ref="CW184" ca="1" si="2819">MATCH(1,OFFSET(CV179:CV190,CX183,0,COUNT(CV179:CV190)-CX183),0)</f>
        <v>#REF!</v>
      </c>
      <c r="CX184" s="4" t="e">
        <f t="shared" ca="1" si="2746"/>
        <v>#REF!</v>
      </c>
      <c r="CY184" s="692" t="str">
        <f ca="1">IFERROR(VLOOKUP(INDEX(CU179:CU190,CX184),ELM,2,FALSE),"----")</f>
        <v>----</v>
      </c>
      <c r="CZ184" s="691" t="e">
        <f t="shared" ca="1" si="2747"/>
        <v>#N/A</v>
      </c>
      <c r="DA184" s="4" t="e">
        <f ca="1">IF(LEFT($J179,7)="Clad Wo",IF(AND(INDEX(SPPWS,CZ184,4)&gt;=$AB179,INDEX(SPPWS,CZ184,5)&gt;=$S179,INDEX(SPPWS,CZ184,6)&gt;=$R179),1,0),IF(AND(INDEX(SPM,CZ184,4)&gt;=$AB179,INDEX(SPM,CZ184,5)&gt;=$S179,INDEX(SPM,CZ184,6)&gt;=$R179),1,0))</f>
        <v>#N/A</v>
      </c>
      <c r="DB184" s="4" t="e">
        <f t="shared" ref="DB184" ca="1" si="2820">MATCH(1,OFFSET(DA179:DA190,DC183,0,COUNT(DA179:DA190)-DC183),0)</f>
        <v>#REF!</v>
      </c>
      <c r="DC184" s="4" t="e">
        <f t="shared" ca="1" si="2749"/>
        <v>#REF!</v>
      </c>
      <c r="DD184" s="693" t="str">
        <f ca="1">IF(LEFT($J179,7)="Clad Wo",IFERROR(VLOOKUP(INDEX(CZ179:CZ190,DC184),SPPWS,2,FALSE),"----"),IFERROR(VLOOKUP(INDEX(CZ179:CZ190,DC184),SPM,2,FALSE),"----"))</f>
        <v>----</v>
      </c>
      <c r="DE184" s="691" t="e">
        <f t="shared" ca="1" si="2750"/>
        <v>#REF!</v>
      </c>
      <c r="DF184" s="4" t="e" cm="1">
        <f t="array" aca="1" ref="DF184" ca="1">IF(AND(INDEX(INDIRECT(BY179),DE184,4)&gt;=$AB185,INDEX(INDIRECT(BY179),DE184,5)&gt;=$S179,INDEX(INDIRECT(BY179),DE184,6)&gt;=$R179),1,0)</f>
        <v>#REF!</v>
      </c>
      <c r="DG184" s="4" t="e">
        <f t="shared" ref="DG184" ca="1" si="2821">MATCH(1,OFFSET(DF179:DF190,DH183,0,COUNT(DF179:DF190)-DH183),0)</f>
        <v>#REF!</v>
      </c>
      <c r="DH184" s="4" t="e">
        <f t="shared" ca="1" si="2752"/>
        <v>#REF!</v>
      </c>
      <c r="DI184" s="692" t="str" cm="1">
        <f t="array" aca="1" ref="DI184" ca="1">IFERROR(VLOOKUP(INDEX(DE179:DE190,DH184),INDIRECT(BY179),2,FALSE),"----")</f>
        <v>----</v>
      </c>
      <c r="DJ184" s="691" t="e">
        <f t="shared" ca="1" si="2753"/>
        <v>#N/A</v>
      </c>
      <c r="DK184" s="4" t="e">
        <f ca="1">IF(AND(INDEX(SSM,DJ184,4)&gt;=$AB185,INDEX(SSM,DJ184,5)&gt;=$S179,INDEX(SSM,DJ184,6)&gt;=$R179),1,0)</f>
        <v>#N/A</v>
      </c>
      <c r="DL184" s="4" t="e">
        <f t="shared" ref="DL184" ca="1" si="2822">MATCH(1,OFFSET(DK179:DK190,DM183,0,COUNT(DK179:DK190)-DM183),0)</f>
        <v>#REF!</v>
      </c>
      <c r="DM184" s="4" t="e">
        <f t="shared" ca="1" si="2755"/>
        <v>#REF!</v>
      </c>
      <c r="DN184" s="692" t="str">
        <f ca="1">IFERROR(IF(AD186="Nested Steel Stud (wood infill)",VLOOKUP(INDEX(DJ179:DJ190,DM184),SSW,2,FALSE),VLOOKUP(INDEX(DJ179:DJ190,DM184),SSM,2,FALSE)),"----")</f>
        <v>----</v>
      </c>
      <c r="DO184" s="691" t="e">
        <f t="shared" ca="1" si="2756"/>
        <v>#N/A</v>
      </c>
      <c r="DP184" s="4" t="e">
        <f ca="1">IF(AND(INDEX(WSM,DO184,4)&gt;=$AB185,INDEX(WSM,DO184,5)&gt;=$S179,INDEX(WSM,DO184,6)&gt;=$R179),1,0)</f>
        <v>#N/A</v>
      </c>
      <c r="DQ184" s="4" t="e">
        <f t="shared" ref="DQ184" ca="1" si="2823">MATCH(1,OFFSET(DP179:DP190,DR183,0,COUNT(DP179:DP190)-DR183),0)</f>
        <v>#REF!</v>
      </c>
      <c r="DR184" s="4" t="e">
        <f t="shared" ca="1" si="2758"/>
        <v>#REF!</v>
      </c>
      <c r="DS184" s="692" t="str">
        <f ca="1">IFERROR(VLOOKUP(INDEX(DO179:DO190,DR184),WSM,2,FALSE),"----")</f>
        <v>----</v>
      </c>
      <c r="DT184" s="691" t="e">
        <f t="shared" ca="1" si="2759"/>
        <v>#N/A</v>
      </c>
      <c r="DU184" s="4" t="e">
        <f ca="1">IF(AND(INDEX(STM,DT184,4)&gt;=$AB185,INDEX(STM,DT184,5)&gt;=$S179,INDEX(STM,DT184,6)&gt;=$R179),1,0)</f>
        <v>#N/A</v>
      </c>
      <c r="DV184" s="4" t="e">
        <f t="shared" ref="DV184" ca="1" si="2824">MATCH(1,OFFSET(DU179:DU190,DW183,0,COUNT(DU179:DU190)-DW183),0)</f>
        <v>#REF!</v>
      </c>
      <c r="DW184" s="4" t="e">
        <f t="shared" ca="1" si="2761"/>
        <v>#REF!</v>
      </c>
      <c r="DX184" s="692" t="str">
        <f ca="1">IFERROR(VLOOKUP(INDEX(DT179:DT190,DW184),STM,2,FALSE),"----")</f>
        <v>----</v>
      </c>
      <c r="DY184" s="691" t="e">
        <f t="shared" ca="1" si="2762"/>
        <v>#N/A</v>
      </c>
      <c r="DZ184" s="4" t="e">
        <f ca="1">IF(AND(INDEX(ELM,DY184,4)&gt;=$AB185,INDEX(ELM,DY184,5)&gt;=$S179,INDEX(ELM,DY184,6)&gt;=$R179),1,0)</f>
        <v>#N/A</v>
      </c>
      <c r="EA184" s="4" t="e">
        <f t="shared" ref="EA184" ca="1" si="2825">MATCH(1,OFFSET(DZ179:DZ190,EB183,0,COUNT(DZ179:DZ190)-EB183),0)</f>
        <v>#REF!</v>
      </c>
      <c r="EB184" s="4" t="e">
        <f t="shared" ca="1" si="2764"/>
        <v>#REF!</v>
      </c>
      <c r="EC184" s="692" t="str">
        <f ca="1">IFERROR(VLOOKUP(INDEX(DY179:DY190,EB184),ELM,2,FALSE),"----")</f>
        <v>----</v>
      </c>
      <c r="ED184" s="691" t="e">
        <f t="shared" ca="1" si="2765"/>
        <v>#N/A</v>
      </c>
      <c r="EE184" s="4" t="e">
        <f ca="1">IF(LEFT($J179,7)="Clad Wo",IF(AND(INDEX(SPPWS,ED184,4)&gt;=$AB185,INDEX(SPPWS,ED184,5)&gt;=$S179,INDEX(SPPWS,ED184,6)&gt;=$R179),1,0),IF(AND(INDEX(SPM,ED184,4)&gt;=$AB185,INDEX(SPM,ED184,5)&gt;=$S179,INDEX(SPM,ED184,6)&gt;=$R179),1,0))</f>
        <v>#N/A</v>
      </c>
      <c r="EF184" s="4" t="e">
        <f t="shared" ref="EF184" ca="1" si="2826">MATCH(1,OFFSET(EE179:EE190,EG183,0,COUNT(EE179:EE190)-EG183),0)</f>
        <v>#REF!</v>
      </c>
      <c r="EG184" s="4" t="e">
        <f t="shared" ca="1" si="2767"/>
        <v>#REF!</v>
      </c>
      <c r="EH184" s="692" t="str">
        <f ca="1">IF(LEFT($J179,7)="Clad Wo",IFERROR(VLOOKUP(INDEX(ED179:ED190,EG184),SPPWS,2,FALSE),"----"),IFERROR(VLOOKUP(INDEX(ED179:ED190,EG184),SPM,2,FALSE),"----"))</f>
        <v>----</v>
      </c>
    </row>
    <row r="185" spans="1:138" ht="15" customHeight="1" x14ac:dyDescent="0.25">
      <c r="A185" s="1085"/>
      <c r="B185" s="925" t="s">
        <v>409</v>
      </c>
      <c r="C185" s="926"/>
      <c r="D185" s="927"/>
      <c r="E185" s="995"/>
      <c r="F185" s="996"/>
      <c r="G185" s="997"/>
      <c r="H185" s="1062"/>
      <c r="I185" s="990"/>
      <c r="J185" s="908"/>
      <c r="K185" s="909"/>
      <c r="L185" s="1001">
        <f>L179+1</f>
        <v>5</v>
      </c>
      <c r="M185" s="1064" t="str">
        <f t="shared" ref="M185" si="2827">IFERROR(IF($AE$17="",IF($AG$19="Wind Loading",MIN($V$31,IF(E$11="ASCE 7-05",$U$26,$V$7)*$V$9*(IF($E$12&lt;60,0.156*LN(MAX(MIN(500,O179),10)) -1.7618,IF($E$11="ASCE 7-22", 0.2026*LN(MAX(MIN(500,O179),20))-2.2638,0.2503*LN(MAX(MIN(500,O179),20)) -2.5526))-$V$8)),$V$7*IF(E$12&lt;60,$V$13*($V$15*(0.156*LN(MAX(MIN(500,O179),10)) -1.7618)-$V$16),$V$13*$V$15*((0.2026*LN(MAX(MIN(500,O179),20))-2.2638)-$V$16))),-ABS($AE$17)),"")</f>
        <v/>
      </c>
      <c r="N185" s="1041" t="str">
        <f t="shared" ref="N185" si="2828">IFERROR(IF($AE$19="",IF($AG$19="Wind Loading",MAX($U$31,IF(E$11="ASCE 7-05",$U$26,$V$7)*$V$9*((IF($E$12&lt;60,-0.077*LN(MAX(MIN(500,O179),10))+1.1737,IF($E$11="ASCE 7-22",-0.077*LN(MAX(MIN(500,O179),20))+1.0798,-0.093*LN(MAX(MIN(500,O179),20))+1.1776)))+$V$8)),$V$7*IF(E$12&lt;60,$V$13*($V$15*(-0.077*LN(MAX(MIN(500,O179),10))+1.1737)-$V$17),$V$13*$V$15*((-0.077*LN(MAX(MIN(500,O179),20))+1.0798)-$V$17))),ABS($AE$19)),"")</f>
        <v/>
      </c>
      <c r="O185" s="1018"/>
      <c r="P185" s="987"/>
      <c r="Q185" s="1015"/>
      <c r="R185" s="1012">
        <f>P185*Q185/8</f>
        <v>0</v>
      </c>
      <c r="S185" s="1006"/>
      <c r="T185" s="1007"/>
      <c r="U185" s="878"/>
      <c r="V185" s="881"/>
      <c r="W185" s="883" t="e">
        <f t="shared" ref="W185" si="2829">MAX(-M185,N185)*O179</f>
        <v>#VALUE!</v>
      </c>
      <c r="X185" s="884"/>
      <c r="Y185" s="886">
        <f>IFERROR(IF(AG$14="Trapezoidal",BY188,BX188)+IF($E$17="4",(400*E179^3)/(48*X179),0),0)</f>
        <v>0</v>
      </c>
      <c r="Z185" s="886" t="e">
        <f t="shared" ref="Z185" si="2830">+($V179*MAX(-$M185,$N185)*$E179^2)/(144*8)+IF($E$17=4,(400*$E179)/4,0)</f>
        <v>#VALUE!</v>
      </c>
      <c r="AA185" s="887"/>
      <c r="AB185" s="1080" t="str">
        <f t="shared" ref="AB185" ca="1" si="2831">IFERROR(Z185-AA179,"")</f>
        <v/>
      </c>
      <c r="AC185" s="1086" t="str">
        <f t="shared" ref="AC185" ca="1" si="2832">IFERROR(Y185-U179,"")</f>
        <v/>
      </c>
      <c r="AD185" s="1074" t="str">
        <f t="shared" ref="AD185" si="2833">AD179</f>
        <v/>
      </c>
      <c r="AE185" s="1075"/>
      <c r="AF185" s="1056"/>
      <c r="AG185" s="1057"/>
      <c r="AH185" s="1057"/>
      <c r="AI185" s="1088"/>
      <c r="AJ185" s="1089"/>
      <c r="AK185" s="162" t="str">
        <f t="shared" ca="1" si="2393"/>
        <v/>
      </c>
      <c r="AL185" s="1058" t="str">
        <f t="shared" ref="AL185" si="2834">IFERROR(ROUND(SQRT(P179^2+(W185/2+IF($E$17=4,200,0))^2),0),"")</f>
        <v/>
      </c>
      <c r="AM185" s="342" t="s">
        <v>669</v>
      </c>
      <c r="AN185" t="str">
        <f t="shared" ca="1" si="2409"/>
        <v/>
      </c>
      <c r="AP185" s="122" t="str">
        <f t="shared" ref="AP185" si="2835">_xlfn.CONCAT(AR185,AS190)</f>
        <v/>
      </c>
      <c r="AQ185" s="683" t="str">
        <f t="shared" si="2617"/>
        <v/>
      </c>
      <c r="AR185" s="96" t="str">
        <f t="shared" si="2378"/>
        <v/>
      </c>
      <c r="AS185" s="96" t="str">
        <f>IF(COUNTIF(imp_1,AF185)=1,"imp_1",IF(COUNTIF(imp_2,AF185)=1,"imp_2",IF(COUNTIF(imp_3,AF185)=1,"imp_3",IF(COUNTIF(impdoor,AF185)=1,"impdoor",""))))</f>
        <v/>
      </c>
      <c r="AT185" s="684" t="str">
        <f>AL185</f>
        <v/>
      </c>
      <c r="AU185" s="685" t="e">
        <f t="shared" ca="1" si="2633"/>
        <v>#REF!</v>
      </c>
      <c r="AV185" s="686" t="str">
        <f ca="1">IFERROR(VLOOKUP(AU185,INDIRECT(AQ179),2,FALSE),"----")</f>
        <v>----</v>
      </c>
      <c r="AW185" s="685" t="e">
        <f t="shared" ca="1" si="2634"/>
        <v>#REF!</v>
      </c>
      <c r="AX185" s="686" t="str">
        <f ca="1">IFERROR(VLOOKUP(AW185,INDIRECT(AQ180),2,FALSE),"----")</f>
        <v>----</v>
      </c>
      <c r="AY185" s="685" t="e">
        <f t="shared" ca="1" si="2566"/>
        <v>#REF!</v>
      </c>
      <c r="AZ185" s="686" t="str">
        <f ca="1">IFERROR(VLOOKUP(AY185,INDIRECT(AQ181),2,FALSE),"----")</f>
        <v>----</v>
      </c>
      <c r="BA185" s="685" t="e">
        <f t="shared" ca="1" si="2567"/>
        <v>#REF!</v>
      </c>
      <c r="BB185" s="686" t="str">
        <f ca="1">IFERROR(VLOOKUP(BA185,INDIRECT(AQ182),2,FALSE),"----")</f>
        <v>----</v>
      </c>
      <c r="BC185" s="685" t="e">
        <f t="shared" ca="1" si="2635"/>
        <v>#REF!</v>
      </c>
      <c r="BD185" s="686" t="str">
        <f ca="1">IFERROR(VLOOKUP(BC185,INDIRECT(AQ183),2,FALSE),"----")</f>
        <v>----</v>
      </c>
      <c r="BE185" s="685" t="e">
        <f t="shared" ca="1" si="2636"/>
        <v>#REF!</v>
      </c>
      <c r="BF185" s="686" t="str">
        <f ca="1">IFERROR(VLOOKUP(BE185,INDIRECT(AQ184),2,FALSE),"----")</f>
        <v>----</v>
      </c>
      <c r="BG185" s="702" t="e">
        <f t="shared" ca="1" si="2637"/>
        <v>#REF!</v>
      </c>
      <c r="BH185" s="686" t="str">
        <f ca="1">IFERROR(VLOOKUP(BG185,INDIRECT(AQ185),2,FALSE),"----")</f>
        <v>----</v>
      </c>
      <c r="BI185" s="702" t="e">
        <f t="shared" ca="1" si="2638"/>
        <v>#REF!</v>
      </c>
      <c r="BJ185" s="686" t="str">
        <f ca="1">IFERROR(VLOOKUP(BI185,INDIRECT(AQ186),2,FALSE),"----")</f>
        <v>----</v>
      </c>
      <c r="BK185" s="702" t="e">
        <f t="shared" ca="1" si="2639"/>
        <v>#REF!</v>
      </c>
      <c r="BL185" s="686" t="str">
        <f ca="1">IFERROR(VLOOKUP(BK185,INDIRECT(AQ187),2,FALSE),"----")</f>
        <v>----</v>
      </c>
      <c r="BM185" s="702" t="e">
        <f t="shared" ca="1" si="2640"/>
        <v>#REF!</v>
      </c>
      <c r="BN185" s="686" t="str">
        <f ca="1">IFERROR(VLOOKUP(BM185,INDIRECT(AQ188),2,FALSE),"----")</f>
        <v>----</v>
      </c>
      <c r="BO185" s="702" t="e">
        <f t="shared" ca="1" si="2641"/>
        <v>#REF!</v>
      </c>
      <c r="BP185" s="686" t="str">
        <f ca="1">IFERROR(VLOOKUP(BO185,INDIRECT(AQ189),2,FALSE),"----")</f>
        <v>----</v>
      </c>
      <c r="BQ185" s="702" t="e">
        <f t="shared" ca="1" si="2642"/>
        <v>#REF!</v>
      </c>
      <c r="BR185" s="686" t="str">
        <f ca="1">IFERROR(VLOOKUP(BQ185,INDIRECT(AQ190),2,FALSE),"----")</f>
        <v>----</v>
      </c>
      <c r="BS185" s="695">
        <f>IF(AI185="",1,IF(COUNTIF(BH179:BH190,AI185)=0,2,1))</f>
        <v>1</v>
      </c>
      <c r="BT185" s="696">
        <f>IF(AP185="1",1,IF(AF185="",1,IF(BH179=".",2,1)))</f>
        <v>1</v>
      </c>
      <c r="BU185" s="706"/>
      <c r="BV185" s="155">
        <f ca="1">IF(COUNTIF(DI179:DI190,AF185)=0,IF(AF185&lt;&gt;"",0,1),1)</f>
        <v>1</v>
      </c>
      <c r="BW185" s="157">
        <f ca="1">IFERROR(MATCH(AF185,DI179:DI190,0),1)</f>
        <v>1</v>
      </c>
      <c r="BX185" s="769" t="s">
        <v>1593</v>
      </c>
      <c r="BY185" s="769" t="s">
        <v>1629</v>
      </c>
      <c r="BZ185" s="1110"/>
      <c r="CA185" s="691" t="e">
        <f t="shared" ca="1" si="2732"/>
        <v>#REF!</v>
      </c>
      <c r="CB185" s="4" t="e" cm="1">
        <f t="array" aca="1" ref="CB185" ca="1">IF(AND(INDEX(INDIRECT(BY179),CA185,4)&gt;=$AB179,INDEX(INDIRECT(BY179),CA185,5)&gt;=$S179,INDEX(INDIRECT(BY179),CA185,6)&gt;=$R179),1,0)</f>
        <v>#REF!</v>
      </c>
      <c r="CC185" s="4" t="e">
        <f t="shared" ref="CC185" ca="1" si="2836">MATCH(1,OFFSET(CB179:CB190,CD184,0,COUNT(CB179:CB190)-CD184),0)</f>
        <v>#REF!</v>
      </c>
      <c r="CD185" s="4" t="e">
        <f t="shared" ca="1" si="2734"/>
        <v>#REF!</v>
      </c>
      <c r="CE185" s="692" t="str" cm="1">
        <f t="array" aca="1" ref="CE185" ca="1">IFERROR(VLOOKUP(INDEX(CA179:CA190,CD185),INDIRECT(BY179),2,FALSE),"----")</f>
        <v>----</v>
      </c>
      <c r="CF185" s="691" t="e">
        <f t="shared" ca="1" si="2735"/>
        <v>#N/A</v>
      </c>
      <c r="CG185" s="4" t="e">
        <f ca="1">IF(AND(INDEX(SSM,CF185,4)&gt;=$AB179,INDEX(SSM,CF185,5)&gt;=$S179,INDEX(SSM,CF185,6)&gt;=$R179),1,0)</f>
        <v>#N/A</v>
      </c>
      <c r="CH185" s="4" t="e">
        <f t="shared" ref="CH185" ca="1" si="2837">MATCH(1,OFFSET(CG179:CG190,CI184,0,COUNT(CG179:CG190)-CI184),0)</f>
        <v>#REF!</v>
      </c>
      <c r="CI185" s="4" t="e">
        <f t="shared" ca="1" si="2737"/>
        <v>#REF!</v>
      </c>
      <c r="CJ185" s="692" t="str">
        <f ca="1">IFERROR(IF(AD180="Nested Steel Stud (wood infill)",VLOOKUP(INDEX(CF179:CF190,CI185),SSW,2,FALSE),VLOOKUP(INDEX(CF179:CF190,CI185),SSM,2,FALSE)),"----")</f>
        <v>----</v>
      </c>
      <c r="CK185" s="691" t="e">
        <f t="shared" ca="1" si="2738"/>
        <v>#N/A</v>
      </c>
      <c r="CL185" s="4" t="e">
        <f ca="1">IF(AND(INDEX(WSM,CK185,4)&gt;=$AB179,INDEX(WSM,CK185,5)&gt;=$S179,INDEX(WSM,CK185,6)&gt;=$R179),1,0)</f>
        <v>#N/A</v>
      </c>
      <c r="CM185" s="4" t="e">
        <f t="shared" ref="CM185" ca="1" si="2838">MATCH(1,OFFSET(CL179:CL190,CN184,0,COUNT(CL179:CL190)-CN184),0)</f>
        <v>#REF!</v>
      </c>
      <c r="CN185" s="4" t="e">
        <f t="shared" ca="1" si="2740"/>
        <v>#REF!</v>
      </c>
      <c r="CO185" s="692" t="str">
        <f ca="1">IFERROR(VLOOKUP(INDEX(CK179:CK190,CN185),WSM,2,FALSE),"----")</f>
        <v>----</v>
      </c>
      <c r="CP185" s="691" t="e">
        <f t="shared" ca="1" si="2741"/>
        <v>#N/A</v>
      </c>
      <c r="CQ185" s="4" t="e">
        <f ca="1">IF(AND(INDEX(STM,CP185,4)&gt;=$AB179,INDEX(STM,CP185,5)&gt;=$S179,INDEX(STM,CP185,6)&gt;=$R179),1,0)</f>
        <v>#N/A</v>
      </c>
      <c r="CR185" s="4" t="e">
        <f t="shared" ref="CR185" ca="1" si="2839">MATCH(1,OFFSET(CQ179:CQ190,CS184,0,COUNT(CQ179:CQ190)-CS184),0)</f>
        <v>#REF!</v>
      </c>
      <c r="CS185" s="4" t="e">
        <f t="shared" ca="1" si="2743"/>
        <v>#REF!</v>
      </c>
      <c r="CT185" s="692" t="str">
        <f ca="1">IFERROR(VLOOKUP(INDEX(CP179:CP190,CS185),STM,2,FALSE),"----")</f>
        <v>----</v>
      </c>
      <c r="CU185" s="691" t="e">
        <f t="shared" ca="1" si="2744"/>
        <v>#N/A</v>
      </c>
      <c r="CV185" s="4" t="e">
        <f ca="1">IF(AND(INDEX(ELM,CU185,4)&gt;=$AB179,INDEX(ELM,CU185,5)&gt;=$S179,INDEX(ELM,CU185,6)&gt;=$R179),1,0)</f>
        <v>#N/A</v>
      </c>
      <c r="CW185" s="4" t="e">
        <f t="shared" ref="CW185" ca="1" si="2840">MATCH(1,OFFSET(CV179:CV190,CX184,0,COUNT(CV179:CV190)-CX184),0)</f>
        <v>#REF!</v>
      </c>
      <c r="CX185" s="4" t="e">
        <f t="shared" ca="1" si="2746"/>
        <v>#REF!</v>
      </c>
      <c r="CY185" s="692" t="str">
        <f ca="1">IFERROR(VLOOKUP(INDEX(CU179:CU190,CX185),ELM,2,FALSE),"----")</f>
        <v>----</v>
      </c>
      <c r="CZ185" s="691" t="e">
        <f t="shared" ca="1" si="2747"/>
        <v>#N/A</v>
      </c>
      <c r="DA185" s="4" t="e">
        <f ca="1">IF(LEFT($J179,7)="Clad Wo",IF(AND(INDEX(SPPWS,CZ185,4)&gt;=$AB179,INDEX(SPPWS,CZ185,5)&gt;=$S179,INDEX(SPPWS,CZ185,6)&gt;=$R179),1,0),IF(AND(INDEX(SPM,CZ185,4)&gt;=$AB179,INDEX(SPM,CZ185,5)&gt;=$S179,INDEX(SPM,CZ185,6)&gt;=$R179),1,0))</f>
        <v>#N/A</v>
      </c>
      <c r="DB185" s="4" t="e">
        <f t="shared" ref="DB185" ca="1" si="2841">MATCH(1,OFFSET(DA179:DA190,DC184,0,COUNT(DA179:DA190)-DC184),0)</f>
        <v>#REF!</v>
      </c>
      <c r="DC185" s="4" t="e">
        <f t="shared" ca="1" si="2749"/>
        <v>#REF!</v>
      </c>
      <c r="DD185" s="693" t="str">
        <f ca="1">IF(LEFT($J179,7)="Clad Wo",IFERROR(VLOOKUP(INDEX(CZ179:CZ190,DC185),SPPWS,2,FALSE),"----"),IFERROR(VLOOKUP(INDEX(CZ179:CZ190,DC185),SPM,2,FALSE),"----"))</f>
        <v>----</v>
      </c>
      <c r="DE185" s="691" t="e">
        <f t="shared" ca="1" si="2750"/>
        <v>#REF!</v>
      </c>
      <c r="DF185" s="4" t="e" cm="1">
        <f t="array" aca="1" ref="DF185" ca="1">IF(AND(INDEX(INDIRECT(BY179),DE185,4)&gt;=$AB185,INDEX(INDIRECT(BY179),DE185,5)&gt;=$S179,INDEX(INDIRECT(BY179),DE185,6)&gt;=$R179),1,0)</f>
        <v>#REF!</v>
      </c>
      <c r="DG185" s="4" t="e">
        <f t="shared" ref="DG185" ca="1" si="2842">MATCH(1,OFFSET(DF179:DF190,DH184,0,COUNT(DF179:DF190)-DH184),0)</f>
        <v>#REF!</v>
      </c>
      <c r="DH185" s="4" t="e">
        <f t="shared" ca="1" si="2752"/>
        <v>#REF!</v>
      </c>
      <c r="DI185" s="692" t="str" cm="1">
        <f t="array" aca="1" ref="DI185" ca="1">IFERROR(VLOOKUP(INDEX(DE179:DE190,DH185),INDIRECT(BY179),2,FALSE),"----")</f>
        <v>----</v>
      </c>
      <c r="DJ185" s="691" t="e">
        <f t="shared" ca="1" si="2753"/>
        <v>#N/A</v>
      </c>
      <c r="DK185" s="4" t="e">
        <f ca="1">IF(AND(INDEX(SSM,DJ185,4)&gt;=$AB185,INDEX(SSM,DJ185,5)&gt;=$S179,INDEX(SSM,DJ185,6)&gt;=$R179),1,0)</f>
        <v>#N/A</v>
      </c>
      <c r="DL185" s="4" t="e">
        <f t="shared" ref="DL185" ca="1" si="2843">MATCH(1,OFFSET(DK179:DK190,DM184,0,COUNT(DK179:DK190)-DM184),0)</f>
        <v>#REF!</v>
      </c>
      <c r="DM185" s="4" t="e">
        <f t="shared" ca="1" si="2755"/>
        <v>#REF!</v>
      </c>
      <c r="DN185" s="692" t="str">
        <f ca="1">IFERROR(IF(AD186="Nested Steel Stud (wood infill)",VLOOKUP(INDEX(DJ179:DJ190,DM185),SSW,2,FALSE),VLOOKUP(INDEX(DJ179:DJ190,DM185),SSM,2,FALSE)),"----")</f>
        <v>----</v>
      </c>
      <c r="DO185" s="691" t="e">
        <f t="shared" ca="1" si="2756"/>
        <v>#N/A</v>
      </c>
      <c r="DP185" s="4" t="e">
        <f ca="1">IF(AND(INDEX(WSM,DO185,4)&gt;=$AB185,INDEX(WSM,DO185,5)&gt;=$S179,INDEX(WSM,DO185,6)&gt;=$R179),1,0)</f>
        <v>#N/A</v>
      </c>
      <c r="DQ185" s="4" t="e">
        <f t="shared" ref="DQ185" ca="1" si="2844">MATCH(1,OFFSET(DP179:DP190,DR184,0,COUNT(DP179:DP190)-DR184),0)</f>
        <v>#REF!</v>
      </c>
      <c r="DR185" s="4" t="e">
        <f t="shared" ca="1" si="2758"/>
        <v>#REF!</v>
      </c>
      <c r="DS185" s="692" t="str">
        <f ca="1">IFERROR(VLOOKUP(INDEX(DO179:DO190,DR185),WSM,2,FALSE),"----")</f>
        <v>----</v>
      </c>
      <c r="DT185" s="691" t="e">
        <f t="shared" ca="1" si="2759"/>
        <v>#N/A</v>
      </c>
      <c r="DU185" s="4" t="e">
        <f ca="1">IF(AND(INDEX(STM,DT185,4)&gt;=$AB185,INDEX(STM,DT185,5)&gt;=$S179,INDEX(STM,DT185,6)&gt;=$R179),1,0)</f>
        <v>#N/A</v>
      </c>
      <c r="DV185" s="4" t="e">
        <f t="shared" ref="DV185" ca="1" si="2845">MATCH(1,OFFSET(DU179:DU190,DW184,0,COUNT(DU179:DU190)-DW184),0)</f>
        <v>#REF!</v>
      </c>
      <c r="DW185" s="4" t="e">
        <f t="shared" ca="1" si="2761"/>
        <v>#REF!</v>
      </c>
      <c r="DX185" s="692" t="str">
        <f ca="1">IFERROR(VLOOKUP(INDEX(DT179:DT190,DW185),STM,2,FALSE),"----")</f>
        <v>----</v>
      </c>
      <c r="DY185" s="691" t="e">
        <f t="shared" ca="1" si="2762"/>
        <v>#N/A</v>
      </c>
      <c r="DZ185" s="4" t="e">
        <f ca="1">IF(AND(INDEX(ELM,DY185,4)&gt;=$AB185,INDEX(ELM,DY185,5)&gt;=$S179,INDEX(ELM,DY185,6)&gt;=$R179),1,0)</f>
        <v>#N/A</v>
      </c>
      <c r="EA185" s="4" t="e">
        <f t="shared" ref="EA185" ca="1" si="2846">MATCH(1,OFFSET(DZ179:DZ190,EB184,0,COUNT(DZ179:DZ190)-EB184),0)</f>
        <v>#REF!</v>
      </c>
      <c r="EB185" s="4" t="e">
        <f t="shared" ca="1" si="2764"/>
        <v>#REF!</v>
      </c>
      <c r="EC185" s="692" t="str">
        <f ca="1">IFERROR(VLOOKUP(INDEX(DY179:DY190,EB185),ELM,2,FALSE),"----")</f>
        <v>----</v>
      </c>
      <c r="ED185" s="691" t="e">
        <f t="shared" ca="1" si="2765"/>
        <v>#N/A</v>
      </c>
      <c r="EE185" s="4" t="e">
        <f ca="1">IF(LEFT($J179,7)="Clad Wo",IF(AND(INDEX(SPPWS,ED185,4)&gt;=$AB185,INDEX(SPPWS,ED185,5)&gt;=$S179,INDEX(SPPWS,ED185,6)&gt;=$R179),1,0),IF(AND(INDEX(SPM,ED185,4)&gt;=$AB185,INDEX(SPM,ED185,5)&gt;=$S179,INDEX(SPM,ED185,6)&gt;=$R179),1,0))</f>
        <v>#N/A</v>
      </c>
      <c r="EF185" s="4" t="e">
        <f t="shared" ref="EF185" ca="1" si="2847">MATCH(1,OFFSET(EE179:EE190,EG184,0,COUNT(EE179:EE190)-EG184),0)</f>
        <v>#REF!</v>
      </c>
      <c r="EG185" s="4" t="e">
        <f t="shared" ca="1" si="2767"/>
        <v>#REF!</v>
      </c>
      <c r="EH185" s="692" t="str">
        <f ca="1">IF(LEFT($J179,7)="Clad Wo",IFERROR(VLOOKUP(INDEX(ED179:ED190,EG185),SPPWS,2,FALSE),"----"),IFERROR(VLOOKUP(INDEX(ED179:ED190,EG185),SPM,2,FALSE),"----"))</f>
        <v>----</v>
      </c>
    </row>
    <row r="186" spans="1:138" ht="15" customHeight="1" x14ac:dyDescent="0.25">
      <c r="A186" s="1085"/>
      <c r="B186" s="925"/>
      <c r="C186" s="926"/>
      <c r="D186" s="927"/>
      <c r="E186" s="995"/>
      <c r="F186" s="996"/>
      <c r="G186" s="997"/>
      <c r="H186" s="1062"/>
      <c r="I186" s="990"/>
      <c r="J186" s="912"/>
      <c r="K186" s="913"/>
      <c r="L186" s="1002"/>
      <c r="M186" s="923"/>
      <c r="N186" s="1042"/>
      <c r="O186" s="1018"/>
      <c r="P186" s="987"/>
      <c r="Q186" s="1015"/>
      <c r="R186" s="1012"/>
      <c r="S186" s="1006"/>
      <c r="T186" s="1007"/>
      <c r="U186" s="878"/>
      <c r="V186" s="881"/>
      <c r="W186" s="884"/>
      <c r="X186" s="884"/>
      <c r="Y186" s="887"/>
      <c r="Z186" s="887"/>
      <c r="AA186" s="887"/>
      <c r="AB186" s="1081"/>
      <c r="AC186" s="1078"/>
      <c r="AD186" s="1070" t="str">
        <f t="shared" ref="AD186" si="2848">IF(ISBLANK(AD180)=TRUE,"",AD180)</f>
        <v>Nested Steel Stud</v>
      </c>
      <c r="AE186" s="1071"/>
      <c r="AF186" s="1052"/>
      <c r="AG186" s="1053"/>
      <c r="AH186" s="1053"/>
      <c r="AI186" s="1066"/>
      <c r="AJ186" s="1067"/>
      <c r="AK186" s="156" t="str">
        <f t="shared" ca="1" si="2393"/>
        <v/>
      </c>
      <c r="AL186" s="1059"/>
      <c r="AM186" s="343" t="str">
        <f ca="1">IFERROR(Q179/12*ROUND(VLOOKUP(AF186,OFFSET(SSM,0,1),6,FALSE),2),"")</f>
        <v/>
      </c>
      <c r="AN186" t="str">
        <f t="shared" ca="1" si="2409"/>
        <v/>
      </c>
      <c r="AP186" s="122" t="str">
        <f t="shared" ref="AP186" si="2849">_xlfn.CONCAT(AR186,AS190)</f>
        <v/>
      </c>
      <c r="AQ186" s="683" t="str">
        <f t="shared" si="2617"/>
        <v/>
      </c>
      <c r="AR186" s="96" t="str">
        <f t="shared" si="2378"/>
        <v/>
      </c>
      <c r="AS186" s="96" t="str">
        <f>IF(COUNTIF(Vista_1,AF185)=1,"Vista_1",IF(COUNTIF(Vista_2,AF185)=1,"Vista_2",""))</f>
        <v/>
      </c>
      <c r="AT186" s="684" t="str">
        <f>AL185</f>
        <v/>
      </c>
      <c r="AU186" s="694" t="e">
        <f t="shared" ca="1" si="2633"/>
        <v>#REF!</v>
      </c>
      <c r="AV186" s="686" t="str">
        <f ca="1">IFERROR(VLOOKUP(AU186,INDIRECT(AQ179),2,FALSE),"----")</f>
        <v>----</v>
      </c>
      <c r="AW186" s="694" t="e">
        <f t="shared" ca="1" si="2634"/>
        <v>#REF!</v>
      </c>
      <c r="AX186" s="686" t="str">
        <f ca="1">IFERROR(VLOOKUP(AW186,INDIRECT(AQ180),2,FALSE),"----")</f>
        <v>----</v>
      </c>
      <c r="AY186" s="694" t="e">
        <f t="shared" ca="1" si="2566"/>
        <v>#REF!</v>
      </c>
      <c r="AZ186" s="686" t="str">
        <f ca="1">IFERROR(VLOOKUP(AY186,INDIRECT(AQ181),2,FALSE),"----")</f>
        <v>----</v>
      </c>
      <c r="BA186" s="694" t="e">
        <f t="shared" ca="1" si="2567"/>
        <v>#REF!</v>
      </c>
      <c r="BB186" s="686" t="str">
        <f ca="1">IFERROR(VLOOKUP(BA186,INDIRECT(AQ182),2,FALSE),"----")</f>
        <v>----</v>
      </c>
      <c r="BC186" s="694" t="e">
        <f t="shared" ca="1" si="2635"/>
        <v>#REF!</v>
      </c>
      <c r="BD186" s="686" t="str">
        <f ca="1">IFERROR(VLOOKUP(BC186,INDIRECT(AQ183),2,FALSE),"----")</f>
        <v>----</v>
      </c>
      <c r="BE186" s="694" t="e">
        <f t="shared" ca="1" si="2636"/>
        <v>#REF!</v>
      </c>
      <c r="BF186" s="686" t="str">
        <f ca="1">IFERROR(VLOOKUP(BE186,INDIRECT(AQ184),2,FALSE),"----")</f>
        <v>----</v>
      </c>
      <c r="BG186" s="702" t="e">
        <f t="shared" ca="1" si="2637"/>
        <v>#REF!</v>
      </c>
      <c r="BH186" s="686" t="str">
        <f ca="1">IFERROR(VLOOKUP(BG186,INDIRECT(AQ185),2,FALSE),"----")</f>
        <v>----</v>
      </c>
      <c r="BI186" s="702" t="e">
        <f t="shared" ca="1" si="2638"/>
        <v>#REF!</v>
      </c>
      <c r="BJ186" s="686" t="str">
        <f ca="1">IFERROR(VLOOKUP(BI186,INDIRECT(AQ186),2,FALSE),"----")</f>
        <v>----</v>
      </c>
      <c r="BK186" s="702" t="e">
        <f t="shared" ca="1" si="2639"/>
        <v>#REF!</v>
      </c>
      <c r="BL186" s="686" t="str">
        <f ca="1">IFERROR(VLOOKUP(BK186,INDIRECT(AQ187),2,FALSE),"----")</f>
        <v>----</v>
      </c>
      <c r="BM186" s="702" t="e">
        <f t="shared" ca="1" si="2640"/>
        <v>#REF!</v>
      </c>
      <c r="BN186" s="686" t="str">
        <f ca="1">IFERROR(VLOOKUP(BM186,INDIRECT(AQ188),2,FALSE),"----")</f>
        <v>----</v>
      </c>
      <c r="BO186" s="702" t="e">
        <f t="shared" ca="1" si="2641"/>
        <v>#REF!</v>
      </c>
      <c r="BP186" s="686" t="str">
        <f ca="1">IFERROR(VLOOKUP(BO186,INDIRECT(AQ189),2,FALSE),"----")</f>
        <v>----</v>
      </c>
      <c r="BQ186" s="702" t="e">
        <f t="shared" ca="1" si="2642"/>
        <v>#REF!</v>
      </c>
      <c r="BR186" s="686" t="str">
        <f ca="1">IFERROR(VLOOKUP(BQ186,INDIRECT(AQ190),2,FALSE),"----")</f>
        <v>----</v>
      </c>
      <c r="BS186" s="695">
        <f>IF(AI186="",1,IF(COUNTIF(BJ179:BJ190,AI186)=0,2,1))</f>
        <v>1</v>
      </c>
      <c r="BT186" s="696">
        <f>IF(AF186="",1,IF(BJ179=".",2,1))</f>
        <v>1</v>
      </c>
      <c r="BU186" s="706"/>
      <c r="BV186" s="155">
        <f ca="1">IF(COUNTIF(DN179:DN190,AF186)=0,IF(AF186&lt;&gt;"",0,1),1)</f>
        <v>1</v>
      </c>
      <c r="BW186" s="157">
        <f ca="1">IFERROR(MATCH(AF186,DN179:DN190,0),1)</f>
        <v>1</v>
      </c>
      <c r="BX186" s="769">
        <f t="shared" ref="BX186" si="2850">E179*(H179+I179)/144/2</f>
        <v>0</v>
      </c>
      <c r="BY186" s="769">
        <f>SUM(IF(H179&gt;E179,E179^2/4,(H179*E179/2)-(H179^2/4))/144,IF(I179&gt;E179,E179^2/4,(I179*E179/2)-(I179^2/4))/144)</f>
        <v>0</v>
      </c>
      <c r="BZ186" s="1110"/>
      <c r="CA186" s="691" t="e">
        <f t="shared" ca="1" si="2732"/>
        <v>#REF!</v>
      </c>
      <c r="CB186" s="4" t="e" cm="1">
        <f t="array" aca="1" ref="CB186" ca="1">IF(AND(INDEX(INDIRECT(BY179),CA186,4)&gt;=$AB179,INDEX(INDIRECT(BY179),CA186,5)&gt;=$S179,INDEX(INDIRECT(BY179),CA186,6)&gt;=$R179),1,0)</f>
        <v>#REF!</v>
      </c>
      <c r="CC186" s="4" t="e">
        <f t="shared" ref="CC186" ca="1" si="2851">MATCH(1,OFFSET(CB179:CB190,CD185,0,COUNT(CB179:CB190)-CD185),0)</f>
        <v>#REF!</v>
      </c>
      <c r="CD186" s="4" t="e">
        <f t="shared" ca="1" si="2734"/>
        <v>#REF!</v>
      </c>
      <c r="CE186" s="692" t="str" cm="1">
        <f t="array" aca="1" ref="CE186" ca="1">IFERROR(VLOOKUP(INDEX(CA179:CA190,CD186),INDIRECT(BY179),2,FALSE),"----")</f>
        <v>----</v>
      </c>
      <c r="CF186" s="691" t="e">
        <f t="shared" ca="1" si="2735"/>
        <v>#N/A</v>
      </c>
      <c r="CG186" s="4" t="e">
        <f ca="1">IF(AND(INDEX(SSM,CF186,4)&gt;=$AB179,INDEX(SSM,CF186,5)&gt;=$S179,INDEX(SSM,CF186,6)&gt;=$R179),1,0)</f>
        <v>#N/A</v>
      </c>
      <c r="CH186" s="4" t="e">
        <f t="shared" ref="CH186" ca="1" si="2852">MATCH(1,OFFSET(CG179:CG190,CI185,0,COUNT(CG179:CG190)-CI185),0)</f>
        <v>#REF!</v>
      </c>
      <c r="CI186" s="4" t="e">
        <f t="shared" ca="1" si="2737"/>
        <v>#REF!</v>
      </c>
      <c r="CJ186" s="692" t="str">
        <f ca="1">IFERROR(IF(AD180="Nested Steel Stud (wood infill)",VLOOKUP(INDEX(CF179:CF190,CI186),SSW,2,FALSE),VLOOKUP(INDEX(CF179:CF190,CI186),SSM,2,FALSE)),"----")</f>
        <v>----</v>
      </c>
      <c r="CK186" s="691" t="e">
        <f t="shared" ca="1" si="2738"/>
        <v>#N/A</v>
      </c>
      <c r="CL186" s="4" t="e">
        <f ca="1">IF(AND(INDEX(WSM,CK186,4)&gt;=$AB179,INDEX(WSM,CK186,5)&gt;=$S179,INDEX(WSM,CK186,6)&gt;=$R179),1,0)</f>
        <v>#N/A</v>
      </c>
      <c r="CM186" s="4" t="e">
        <f t="shared" ref="CM186" ca="1" si="2853">MATCH(1,OFFSET(CL179:CL190,CN185,0,COUNT(CL179:CL190)-CN185),0)</f>
        <v>#REF!</v>
      </c>
      <c r="CN186" s="4" t="e">
        <f t="shared" ca="1" si="2740"/>
        <v>#REF!</v>
      </c>
      <c r="CO186" s="692" t="str">
        <f ca="1">IFERROR(VLOOKUP(INDEX(CK179:CK190,CN186),WSM,2,FALSE),"----")</f>
        <v>----</v>
      </c>
      <c r="CP186" s="691" t="e">
        <f t="shared" ca="1" si="2741"/>
        <v>#N/A</v>
      </c>
      <c r="CQ186" s="4" t="e">
        <f ca="1">IF(AND(INDEX(STM,CP186,4)&gt;=$AB179,INDEX(STM,CP186,5)&gt;=$S179,INDEX(STM,CP186,6)&gt;=$R179),1,0)</f>
        <v>#N/A</v>
      </c>
      <c r="CR186" s="4" t="e">
        <f t="shared" ref="CR186" ca="1" si="2854">MATCH(1,OFFSET(CQ179:CQ190,CS185,0,COUNT(CQ179:CQ190)-CS185),0)</f>
        <v>#REF!</v>
      </c>
      <c r="CS186" s="4" t="e">
        <f t="shared" ca="1" si="2743"/>
        <v>#REF!</v>
      </c>
      <c r="CT186" s="692" t="str">
        <f ca="1">IFERROR(VLOOKUP(INDEX(CP179:CP190,CS186),STM,2,FALSE),"----")</f>
        <v>----</v>
      </c>
      <c r="CU186" s="691" t="e">
        <f t="shared" ca="1" si="2744"/>
        <v>#N/A</v>
      </c>
      <c r="CV186" s="4" t="e">
        <f ca="1">IF(AND(INDEX(ELM,CU186,4)&gt;=$AB179,INDEX(ELM,CU186,5)&gt;=$S179,INDEX(ELM,CU186,6)&gt;=$R179),1,0)</f>
        <v>#N/A</v>
      </c>
      <c r="CW186" s="4" t="e">
        <f t="shared" ref="CW186" ca="1" si="2855">MATCH(1,OFFSET(CV179:CV190,CX185,0,COUNT(CV179:CV190)-CX185),0)</f>
        <v>#REF!</v>
      </c>
      <c r="CX186" s="4" t="e">
        <f t="shared" ca="1" si="2746"/>
        <v>#REF!</v>
      </c>
      <c r="CY186" s="692" t="str">
        <f ca="1">IFERROR(VLOOKUP(INDEX(CU179:CU190,CX186),ELM,2,FALSE),"----")</f>
        <v>----</v>
      </c>
      <c r="CZ186" s="691" t="e">
        <f t="shared" ca="1" si="2747"/>
        <v>#N/A</v>
      </c>
      <c r="DA186" s="4" t="e">
        <f ca="1">IF(LEFT($J179,7)="Clad Wo",IF(AND(INDEX(SPPWS,CZ186,4)&gt;=$AB179,INDEX(SPPWS,CZ186,5)&gt;=$S179,INDEX(SPPWS,CZ186,6)&gt;=$R179),1,0),IF(AND(INDEX(SPM,CZ186,4)&gt;=$AB179,INDEX(SPM,CZ186,5)&gt;=$S179,INDEX(SPM,CZ186,6)&gt;=$R179),1,0))</f>
        <v>#N/A</v>
      </c>
      <c r="DB186" s="4" t="e">
        <f t="shared" ref="DB186" ca="1" si="2856">MATCH(1,OFFSET(DA179:DA190,DC185,0,COUNT(DA179:DA190)-DC185),0)</f>
        <v>#REF!</v>
      </c>
      <c r="DC186" s="4" t="e">
        <f t="shared" ca="1" si="2749"/>
        <v>#REF!</v>
      </c>
      <c r="DD186" s="693" t="str">
        <f ca="1">IF(LEFT($J179,7)="Clad Wo",IFERROR(VLOOKUP(INDEX(CZ179:CZ190,DC186),SPPWS,2,FALSE),"----"),IFERROR(VLOOKUP(INDEX(CZ179:CZ190,DC186),SPM,2,FALSE),"----"))</f>
        <v>----</v>
      </c>
      <c r="DE186" s="691" t="e">
        <f t="shared" ca="1" si="2750"/>
        <v>#REF!</v>
      </c>
      <c r="DF186" s="4" t="e" cm="1">
        <f t="array" aca="1" ref="DF186" ca="1">IF(AND(INDEX(INDIRECT(BY179),DE186,4)&gt;=$AB185,INDEX(INDIRECT(BY179),DE186,5)&gt;=$S179,INDEX(INDIRECT(BY179),DE186,6)&gt;=$R179),1,0)</f>
        <v>#REF!</v>
      </c>
      <c r="DG186" s="4" t="e">
        <f t="shared" ref="DG186" ca="1" si="2857">MATCH(1,OFFSET(DF179:DF190,DH185,0,COUNT(DF179:DF190)-DH185),0)</f>
        <v>#REF!</v>
      </c>
      <c r="DH186" s="4" t="e">
        <f t="shared" ca="1" si="2752"/>
        <v>#REF!</v>
      </c>
      <c r="DI186" s="692" t="str" cm="1">
        <f t="array" aca="1" ref="DI186" ca="1">IFERROR(VLOOKUP(INDEX(DE179:DE190,DH186),INDIRECT(BY179),2,FALSE),"----")</f>
        <v>----</v>
      </c>
      <c r="DJ186" s="691" t="e">
        <f t="shared" ca="1" si="2753"/>
        <v>#N/A</v>
      </c>
      <c r="DK186" s="4" t="e">
        <f ca="1">IF(AND(INDEX(SSM,DJ186,4)&gt;=$AB185,INDEX(SSM,DJ186,5)&gt;=$S179,INDEX(SSM,DJ186,6)&gt;=$R179),1,0)</f>
        <v>#N/A</v>
      </c>
      <c r="DL186" s="4" t="e">
        <f t="shared" ref="DL186" ca="1" si="2858">MATCH(1,OFFSET(DK179:DK190,DM185,0,COUNT(DK179:DK190)-DM185),0)</f>
        <v>#REF!</v>
      </c>
      <c r="DM186" s="4" t="e">
        <f t="shared" ca="1" si="2755"/>
        <v>#REF!</v>
      </c>
      <c r="DN186" s="692" t="str">
        <f ca="1">IFERROR(IF(AD186="Nested Steel Stud (wood infill)",VLOOKUP(INDEX(DJ179:DJ190,DM186),SSW,2,FALSE),VLOOKUP(INDEX(DJ179:DJ190,DM186),SSM,2,FALSE)),"----")</f>
        <v>----</v>
      </c>
      <c r="DO186" s="691" t="e">
        <f t="shared" ca="1" si="2756"/>
        <v>#N/A</v>
      </c>
      <c r="DP186" s="4" t="e">
        <f ca="1">IF(AND(INDEX(WSM,DO186,4)&gt;=$AB185,INDEX(WSM,DO186,5)&gt;=$S179,INDEX(WSM,DO186,6)&gt;=$R179),1,0)</f>
        <v>#N/A</v>
      </c>
      <c r="DQ186" s="4" t="e">
        <f t="shared" ref="DQ186" ca="1" si="2859">MATCH(1,OFFSET(DP179:DP190,DR185,0,COUNT(DP179:DP190)-DR185),0)</f>
        <v>#REF!</v>
      </c>
      <c r="DR186" s="4" t="e">
        <f t="shared" ca="1" si="2758"/>
        <v>#REF!</v>
      </c>
      <c r="DS186" s="692" t="str">
        <f ca="1">IFERROR(VLOOKUP(INDEX(DO179:DO190,DR186),WSM,2,FALSE),"----")</f>
        <v>----</v>
      </c>
      <c r="DT186" s="691" t="e">
        <f t="shared" ca="1" si="2759"/>
        <v>#N/A</v>
      </c>
      <c r="DU186" s="4" t="e">
        <f ca="1">IF(AND(INDEX(STM,DT186,4)&gt;=$AB185,INDEX(STM,DT186,5)&gt;=$S179,INDEX(STM,DT186,6)&gt;=$R179),1,0)</f>
        <v>#N/A</v>
      </c>
      <c r="DV186" s="4" t="e">
        <f t="shared" ref="DV186" ca="1" si="2860">MATCH(1,OFFSET(DU179:DU190,DW185,0,COUNT(DU179:DU190)-DW185),0)</f>
        <v>#REF!</v>
      </c>
      <c r="DW186" s="4" t="e">
        <f t="shared" ca="1" si="2761"/>
        <v>#REF!</v>
      </c>
      <c r="DX186" s="692" t="str">
        <f ca="1">IFERROR(VLOOKUP(INDEX(DT179:DT190,DW186),STM,2,FALSE),"----")</f>
        <v>----</v>
      </c>
      <c r="DY186" s="691" t="e">
        <f t="shared" ca="1" si="2762"/>
        <v>#N/A</v>
      </c>
      <c r="DZ186" s="4" t="e">
        <f ca="1">IF(AND(INDEX(ELM,DY186,4)&gt;=$AB185,INDEX(ELM,DY186,5)&gt;=$S179,INDEX(ELM,DY186,6)&gt;=$R179),1,0)</f>
        <v>#N/A</v>
      </c>
      <c r="EA186" s="4" t="e">
        <f t="shared" ref="EA186" ca="1" si="2861">MATCH(1,OFFSET(DZ179:DZ190,EB185,0,COUNT(DZ179:DZ190)-EB185),0)</f>
        <v>#REF!</v>
      </c>
      <c r="EB186" s="4" t="e">
        <f t="shared" ca="1" si="2764"/>
        <v>#REF!</v>
      </c>
      <c r="EC186" s="692" t="str">
        <f ca="1">IFERROR(VLOOKUP(INDEX(DY179:DY190,EB186),ELM,2,FALSE),"----")</f>
        <v>----</v>
      </c>
      <c r="ED186" s="691" t="e">
        <f t="shared" ca="1" si="2765"/>
        <v>#N/A</v>
      </c>
      <c r="EE186" s="4" t="e">
        <f ca="1">IF(LEFT($J179,7)="Clad Wo",IF(AND(INDEX(SPPWS,ED186,4)&gt;=$AB185,INDEX(SPPWS,ED186,5)&gt;=$S179,INDEX(SPPWS,ED186,6)&gt;=$R179),1,0),IF(AND(INDEX(SPM,ED186,4)&gt;=$AB185,INDEX(SPM,ED186,5)&gt;=$S179,INDEX(SPM,ED186,6)&gt;=$R179),1,0))</f>
        <v>#N/A</v>
      </c>
      <c r="EF186" s="4" t="e">
        <f t="shared" ref="EF186" ca="1" si="2862">MATCH(1,OFFSET(EE179:EE190,EG185,0,COUNT(EE179:EE190)-EG185),0)</f>
        <v>#REF!</v>
      </c>
      <c r="EG186" s="4" t="e">
        <f t="shared" ca="1" si="2767"/>
        <v>#REF!</v>
      </c>
      <c r="EH186" s="692" t="str">
        <f ca="1">IF(LEFT($J179,7)="Clad Wo",IFERROR(VLOOKUP(INDEX(ED179:ED190,EG186),SPPWS,2,FALSE),"----"),IFERROR(VLOOKUP(INDEX(ED179:ED190,EG186),SPM,2,FALSE),"----"))</f>
        <v>----</v>
      </c>
    </row>
    <row r="187" spans="1:138" ht="15" customHeight="1" x14ac:dyDescent="0.25">
      <c r="A187" s="1085"/>
      <c r="B187" s="925"/>
      <c r="C187" s="926"/>
      <c r="D187" s="927"/>
      <c r="E187" s="995"/>
      <c r="F187" s="996"/>
      <c r="G187" s="997"/>
      <c r="H187" s="1062"/>
      <c r="I187" s="990"/>
      <c r="J187" s="902"/>
      <c r="K187" s="903"/>
      <c r="L187" s="1002"/>
      <c r="M187" s="923"/>
      <c r="N187" s="1042"/>
      <c r="O187" s="1018"/>
      <c r="P187" s="987"/>
      <c r="Q187" s="1015"/>
      <c r="R187" s="1012"/>
      <c r="S187" s="1006"/>
      <c r="T187" s="1007"/>
      <c r="U187" s="878"/>
      <c r="V187" s="881"/>
      <c r="W187" s="884"/>
      <c r="X187" s="884"/>
      <c r="Y187" s="887"/>
      <c r="Z187" s="887"/>
      <c r="AA187" s="887"/>
      <c r="AB187" s="1081"/>
      <c r="AC187" s="1078"/>
      <c r="AD187" s="1070" t="str">
        <f t="shared" si="1666"/>
        <v>Wood Stud Framing</v>
      </c>
      <c r="AE187" s="1071"/>
      <c r="AF187" s="1052"/>
      <c r="AG187" s="1053"/>
      <c r="AH187" s="1053"/>
      <c r="AI187" s="1066"/>
      <c r="AJ187" s="1067"/>
      <c r="AK187" s="156" t="str">
        <f t="shared" ca="1" si="2393"/>
        <v/>
      </c>
      <c r="AL187" s="1059"/>
      <c r="AM187" s="344" t="str">
        <f ca="1">IFERROR(Q179/12*ROUND(VLOOKUP(AF187,OFFSET(WSM,0,1),6,FALSE),2),"")</f>
        <v/>
      </c>
      <c r="AN187" t="str">
        <f t="shared" ca="1" si="2409"/>
        <v/>
      </c>
      <c r="AP187" s="122" t="str">
        <f t="shared" ref="AP187" si="2863">_xlfn.CONCAT(AR187,AS190)</f>
        <v/>
      </c>
      <c r="AQ187" s="683" t="str">
        <f t="shared" si="2617"/>
        <v/>
      </c>
      <c r="AR187" s="4" t="str">
        <f t="shared" si="2378"/>
        <v/>
      </c>
      <c r="AS187" s="4"/>
      <c r="AT187" s="697" t="str">
        <f>AL185</f>
        <v/>
      </c>
      <c r="AU187" s="694" t="e">
        <f t="shared" ca="1" si="2633"/>
        <v>#REF!</v>
      </c>
      <c r="AV187" s="686" t="str">
        <f ca="1">IFERROR(VLOOKUP(AU187,INDIRECT(AQ179),2,FALSE),"----")</f>
        <v>----</v>
      </c>
      <c r="AW187" s="694" t="e">
        <f t="shared" ca="1" si="2634"/>
        <v>#REF!</v>
      </c>
      <c r="AX187" s="686" t="str">
        <f ca="1">IFERROR(VLOOKUP(AW187,INDIRECT(AQ180),2,FALSE),"----")</f>
        <v>----</v>
      </c>
      <c r="AY187" s="694" t="e">
        <f t="shared" ca="1" si="2566"/>
        <v>#REF!</v>
      </c>
      <c r="AZ187" s="686" t="str">
        <f ca="1">IFERROR(VLOOKUP(AY187,INDIRECT(AQ181),2,FALSE),"----")</f>
        <v>----</v>
      </c>
      <c r="BA187" s="694" t="e">
        <f t="shared" ca="1" si="2567"/>
        <v>#REF!</v>
      </c>
      <c r="BB187" s="686" t="str">
        <f ca="1">IFERROR(VLOOKUP(BA187,INDIRECT(AQ182),2,FALSE),"----")</f>
        <v>----</v>
      </c>
      <c r="BC187" s="694" t="e">
        <f t="shared" ca="1" si="2635"/>
        <v>#REF!</v>
      </c>
      <c r="BD187" s="686" t="str">
        <f ca="1">IFERROR(VLOOKUP(BC187,INDIRECT(AQ183),2,FALSE),"----")</f>
        <v>----</v>
      </c>
      <c r="BE187" s="694" t="e">
        <f t="shared" ca="1" si="2636"/>
        <v>#REF!</v>
      </c>
      <c r="BF187" s="686" t="str">
        <f ca="1">IFERROR(VLOOKUP(BE187,INDIRECT(AQ184),2,FALSE),"----")</f>
        <v>----</v>
      </c>
      <c r="BG187" s="702" t="e">
        <f t="shared" ca="1" si="2637"/>
        <v>#REF!</v>
      </c>
      <c r="BH187" s="686" t="str">
        <f ca="1">IFERROR(VLOOKUP(BG187,INDIRECT(AQ185),2,FALSE),"----")</f>
        <v>----</v>
      </c>
      <c r="BI187" s="702" t="e">
        <f t="shared" ca="1" si="2638"/>
        <v>#REF!</v>
      </c>
      <c r="BJ187" s="686" t="str">
        <f ca="1">IFERROR(VLOOKUP(BI187,INDIRECT(AQ186),2,FALSE),"----")</f>
        <v>----</v>
      </c>
      <c r="BK187" s="702" t="e">
        <f t="shared" ca="1" si="2639"/>
        <v>#REF!</v>
      </c>
      <c r="BL187" s="686" t="str">
        <f ca="1">IFERROR(VLOOKUP(BK187,INDIRECT(AQ187),2,FALSE),"----")</f>
        <v>----</v>
      </c>
      <c r="BM187" s="702" t="e">
        <f t="shared" ca="1" si="2640"/>
        <v>#REF!</v>
      </c>
      <c r="BN187" s="686" t="str">
        <f ca="1">IFERROR(VLOOKUP(BM187,INDIRECT(AQ188),2,FALSE),"----")</f>
        <v>----</v>
      </c>
      <c r="BO187" s="702" t="e">
        <f t="shared" ca="1" si="2641"/>
        <v>#REF!</v>
      </c>
      <c r="BP187" s="686" t="str">
        <f ca="1">IFERROR(VLOOKUP(BO187,INDIRECT(AQ189),2,FALSE),"----")</f>
        <v>----</v>
      </c>
      <c r="BQ187" s="702" t="e">
        <f t="shared" ca="1" si="2642"/>
        <v>#REF!</v>
      </c>
      <c r="BR187" s="686" t="str">
        <f ca="1">IFERROR(VLOOKUP(BQ187,INDIRECT(AQ190),2,FALSE),"----")</f>
        <v>----</v>
      </c>
      <c r="BS187" s="695">
        <f>IF(AI187="",1,IF(COUNTIF(BL179:BL190,AI187)=0,2,1))</f>
        <v>1</v>
      </c>
      <c r="BT187" s="696">
        <f>IF(AF187="",1,IF(BL179=".",2,1))</f>
        <v>1</v>
      </c>
      <c r="BU187" s="706"/>
      <c r="BV187" s="155">
        <f ca="1">IF(COUNTIF(DS179:DS190,AF187)=0,IF(AF187&lt;&gt;"",0,1),1)</f>
        <v>1</v>
      </c>
      <c r="BW187" s="157">
        <f ca="1">IFERROR(MATCH(AF187,DS179:DS190,0),1)</f>
        <v>1</v>
      </c>
      <c r="BX187" s="769" t="e">
        <f t="shared" ref="BX187" si="2864">5*E179^3*W179/(384*X179)</f>
        <v>#VALUE!</v>
      </c>
      <c r="BY187" s="769" t="e">
        <f t="shared" ref="BY187" si="2865">W179*E179^3/(60*X179)</f>
        <v>#VALUE!</v>
      </c>
      <c r="BZ187" s="1110"/>
      <c r="CA187" s="691" t="e">
        <f t="shared" ca="1" si="2732"/>
        <v>#REF!</v>
      </c>
      <c r="CB187" s="4" t="e" cm="1">
        <f t="array" aca="1" ref="CB187" ca="1">IF(AND(INDEX(INDIRECT(BY179),CA187,4)&gt;=$AB179,INDEX(INDIRECT(BY179),CA187,5)&gt;=$S179,INDEX(INDIRECT(BY179),CA187,6)&gt;=$R179),1,0)</f>
        <v>#REF!</v>
      </c>
      <c r="CC187" s="4" t="e">
        <f t="shared" ref="CC187" ca="1" si="2866">MATCH(1,OFFSET(CB179:CB190,CD186,0,COUNT(CB179:CB190)-CD186),0)</f>
        <v>#REF!</v>
      </c>
      <c r="CD187" s="4" t="e">
        <f t="shared" ca="1" si="2734"/>
        <v>#REF!</v>
      </c>
      <c r="CE187" s="692" t="str" cm="1">
        <f t="array" aca="1" ref="CE187" ca="1">IFERROR(VLOOKUP(INDEX(CA179:CA190,CD187),INDIRECT(BY179),2,FALSE),"----")</f>
        <v>----</v>
      </c>
      <c r="CF187" s="691" t="e">
        <f t="shared" ca="1" si="2735"/>
        <v>#N/A</v>
      </c>
      <c r="CG187" s="4" t="e">
        <f ca="1">IF(AND(INDEX(SSM,CF187,4)&gt;=$AB179,INDEX(SSM,CF187,5)&gt;=$S179,INDEX(SSM,CF187,6)&gt;=$R179),1,0)</f>
        <v>#N/A</v>
      </c>
      <c r="CH187" s="4" t="e">
        <f t="shared" ref="CH187" ca="1" si="2867">MATCH(1,OFFSET(CG179:CG190,CI186,0,COUNT(CG179:CG190)-CI186),0)</f>
        <v>#REF!</v>
      </c>
      <c r="CI187" s="4" t="e">
        <f t="shared" ca="1" si="2737"/>
        <v>#REF!</v>
      </c>
      <c r="CJ187" s="692" t="str">
        <f ca="1">IFERROR(IF(AD180="Nested Steel Stud (wood infill)",VLOOKUP(INDEX(CF179:CF190,CI187),SSW,2,FALSE),VLOOKUP(INDEX(CF179:CF190,CI187),SSM,2,FALSE)),"----")</f>
        <v>----</v>
      </c>
      <c r="CK187" s="691" t="e">
        <f t="shared" ca="1" si="2738"/>
        <v>#N/A</v>
      </c>
      <c r="CL187" s="4" t="e">
        <f ca="1">IF(AND(INDEX(WSM,CK187,4)&gt;=$AB179,INDEX(WSM,CK187,5)&gt;=$S179,INDEX(WSM,CK187,6)&gt;=$R179),1,0)</f>
        <v>#N/A</v>
      </c>
      <c r="CM187" s="4" t="e">
        <f t="shared" ref="CM187" ca="1" si="2868">MATCH(1,OFFSET(CL179:CL190,CN186,0,COUNT(CL179:CL190)-CN186),0)</f>
        <v>#REF!</v>
      </c>
      <c r="CN187" s="4" t="e">
        <f t="shared" ca="1" si="2740"/>
        <v>#REF!</v>
      </c>
      <c r="CO187" s="692" t="str">
        <f ca="1">IFERROR(VLOOKUP(INDEX(CK179:CK190,CN187),WSM,2,FALSE),"----")</f>
        <v>----</v>
      </c>
      <c r="CP187" s="691" t="e">
        <f t="shared" ca="1" si="2741"/>
        <v>#N/A</v>
      </c>
      <c r="CQ187" s="4" t="e">
        <f ca="1">IF(AND(INDEX(STM,CP187,4)&gt;=$AB179,INDEX(STM,CP187,5)&gt;=$S179,INDEX(STM,CP187,6)&gt;=$R179),1,0)</f>
        <v>#N/A</v>
      </c>
      <c r="CR187" s="4" t="e">
        <f t="shared" ref="CR187" ca="1" si="2869">MATCH(1,OFFSET(CQ179:CQ190,CS186,0,COUNT(CQ179:CQ190)-CS186),0)</f>
        <v>#REF!</v>
      </c>
      <c r="CS187" s="4" t="e">
        <f t="shared" ca="1" si="2743"/>
        <v>#REF!</v>
      </c>
      <c r="CT187" s="692" t="str">
        <f ca="1">IFERROR(VLOOKUP(INDEX(CP179:CP190,CS187),STM,2,FALSE),"----")</f>
        <v>----</v>
      </c>
      <c r="CU187" s="691" t="e">
        <f t="shared" ca="1" si="2744"/>
        <v>#N/A</v>
      </c>
      <c r="CV187" s="4" t="e">
        <f ca="1">IF(AND(INDEX(ELM,CU187,4)&gt;=$AB179,INDEX(ELM,CU187,5)&gt;=$S179,INDEX(ELM,CU187,6)&gt;=$R179),1,0)</f>
        <v>#N/A</v>
      </c>
      <c r="CW187" s="4" t="e">
        <f t="shared" ref="CW187" ca="1" si="2870">MATCH(1,OFFSET(CV179:CV190,CX186,0,COUNT(CV179:CV190)-CX186),0)</f>
        <v>#REF!</v>
      </c>
      <c r="CX187" s="4" t="e">
        <f t="shared" ca="1" si="2746"/>
        <v>#REF!</v>
      </c>
      <c r="CY187" s="692" t="str">
        <f ca="1">IFERROR(VLOOKUP(INDEX(CU179:CU190,CX187),ELM,2,FALSE),"----")</f>
        <v>----</v>
      </c>
      <c r="CZ187" s="691" t="e">
        <f t="shared" ca="1" si="2747"/>
        <v>#N/A</v>
      </c>
      <c r="DA187" s="4" t="e">
        <f ca="1">IF(LEFT($J179,7)="Clad Wo",IF(AND(INDEX(SPPWS,CZ187,4)&gt;=$AB179,INDEX(SPPWS,CZ187,5)&gt;=$S179,INDEX(SPPWS,CZ187,6)&gt;=$R179),1,0),IF(AND(INDEX(SPM,CZ187,4)&gt;=$AB179,INDEX(SPM,CZ187,5)&gt;=$S179,INDEX(SPM,CZ187,6)&gt;=$R179),1,0))</f>
        <v>#N/A</v>
      </c>
      <c r="DB187" s="4" t="e">
        <f t="shared" ref="DB187" ca="1" si="2871">MATCH(1,OFFSET(DA179:DA190,DC186,0,COUNT(DA179:DA190)-DC186),0)</f>
        <v>#REF!</v>
      </c>
      <c r="DC187" s="4" t="e">
        <f t="shared" ca="1" si="2749"/>
        <v>#REF!</v>
      </c>
      <c r="DD187" s="693" t="str">
        <f ca="1">IF(LEFT($J179,7)="Clad Wo",IFERROR(VLOOKUP(INDEX(CZ179:CZ190,DC187),SPPWS,2,FALSE),"----"),IFERROR(VLOOKUP(INDEX(CZ179:CZ190,DC187),SPM,2,FALSE),"----"))</f>
        <v>----</v>
      </c>
      <c r="DE187" s="691" t="e">
        <f t="shared" ca="1" si="2750"/>
        <v>#REF!</v>
      </c>
      <c r="DF187" s="4" t="e" cm="1">
        <f t="array" aca="1" ref="DF187" ca="1">IF(AND(INDEX(INDIRECT(BY179),DE187,4)&gt;=$AB185,INDEX(INDIRECT(BY179),DE187,5)&gt;=$S179,INDEX(INDIRECT(BY179),DE187,6)&gt;=$R179),1,0)</f>
        <v>#REF!</v>
      </c>
      <c r="DG187" s="4" t="e">
        <f t="shared" ref="DG187" ca="1" si="2872">MATCH(1,OFFSET(DF179:DF190,DH186,0,COUNT(DF179:DF190)-DH186),0)</f>
        <v>#REF!</v>
      </c>
      <c r="DH187" s="4" t="e">
        <f t="shared" ca="1" si="2752"/>
        <v>#REF!</v>
      </c>
      <c r="DI187" s="692" t="str" cm="1">
        <f t="array" aca="1" ref="DI187" ca="1">IFERROR(VLOOKUP(INDEX(DE179:DE190,DH187),INDIRECT(BY179),2,FALSE),"----")</f>
        <v>----</v>
      </c>
      <c r="DJ187" s="691" t="e">
        <f t="shared" ca="1" si="2753"/>
        <v>#N/A</v>
      </c>
      <c r="DK187" s="4" t="e">
        <f ca="1">IF(AND(INDEX(SSM,DJ187,4)&gt;=$AB185,INDEX(SSM,DJ187,5)&gt;=$S179,INDEX(SSM,DJ187,6)&gt;=$R179),1,0)</f>
        <v>#N/A</v>
      </c>
      <c r="DL187" s="4" t="e">
        <f t="shared" ref="DL187" ca="1" si="2873">MATCH(1,OFFSET(DK179:DK190,DM186,0,COUNT(DK179:DK190)-DM186),0)</f>
        <v>#REF!</v>
      </c>
      <c r="DM187" s="4" t="e">
        <f t="shared" ca="1" si="2755"/>
        <v>#REF!</v>
      </c>
      <c r="DN187" s="692" t="str">
        <f ca="1">IFERROR(IF(AD186="Nested Steel Stud (wood infill)",VLOOKUP(INDEX(DJ179:DJ190,DM187),SSW,2,FALSE),VLOOKUP(INDEX(DJ179:DJ190,DM187),SSM,2,FALSE)),"----")</f>
        <v>----</v>
      </c>
      <c r="DO187" s="691" t="e">
        <f t="shared" ca="1" si="2756"/>
        <v>#N/A</v>
      </c>
      <c r="DP187" s="4" t="e">
        <f ca="1">IF(AND(INDEX(WSM,DO187,4)&gt;=$AB185,INDEX(WSM,DO187,5)&gt;=$S179,INDEX(WSM,DO187,6)&gt;=$R179),1,0)</f>
        <v>#N/A</v>
      </c>
      <c r="DQ187" s="4" t="e">
        <f t="shared" ref="DQ187" ca="1" si="2874">MATCH(1,OFFSET(DP179:DP190,DR186,0,COUNT(DP179:DP190)-DR186),0)</f>
        <v>#REF!</v>
      </c>
      <c r="DR187" s="4" t="e">
        <f t="shared" ca="1" si="2758"/>
        <v>#REF!</v>
      </c>
      <c r="DS187" s="692" t="str">
        <f ca="1">IFERROR(VLOOKUP(INDEX(DO179:DO190,DR187),WSM,2,FALSE),"----")</f>
        <v>----</v>
      </c>
      <c r="DT187" s="691" t="e">
        <f t="shared" ca="1" si="2759"/>
        <v>#N/A</v>
      </c>
      <c r="DU187" s="4" t="e">
        <f ca="1">IF(AND(INDEX(STM,DT187,4)&gt;=$AB185,INDEX(STM,DT187,5)&gt;=$S179,INDEX(STM,DT187,6)&gt;=$R179),1,0)</f>
        <v>#N/A</v>
      </c>
      <c r="DV187" s="4" t="e">
        <f t="shared" ref="DV187" ca="1" si="2875">MATCH(1,OFFSET(DU179:DU190,DW186,0,COUNT(DU179:DU190)-DW186),0)</f>
        <v>#REF!</v>
      </c>
      <c r="DW187" s="4" t="e">
        <f t="shared" ca="1" si="2761"/>
        <v>#REF!</v>
      </c>
      <c r="DX187" s="692" t="str">
        <f ca="1">IFERROR(VLOOKUP(INDEX(DT179:DT190,DW187),STM,2,FALSE),"----")</f>
        <v>----</v>
      </c>
      <c r="DY187" s="691" t="e">
        <f t="shared" ca="1" si="2762"/>
        <v>#N/A</v>
      </c>
      <c r="DZ187" s="4" t="e">
        <f ca="1">IF(AND(INDEX(ELM,DY187,4)&gt;=$AB185,INDEX(ELM,DY187,5)&gt;=$S179,INDEX(ELM,DY187,6)&gt;=$R179),1,0)</f>
        <v>#N/A</v>
      </c>
      <c r="EA187" s="4" t="e">
        <f t="shared" ref="EA187" ca="1" si="2876">MATCH(1,OFFSET(DZ179:DZ190,EB186,0,COUNT(DZ179:DZ190)-EB186),0)</f>
        <v>#REF!</v>
      </c>
      <c r="EB187" s="4" t="e">
        <f t="shared" ca="1" si="2764"/>
        <v>#REF!</v>
      </c>
      <c r="EC187" s="692" t="str">
        <f ca="1">IFERROR(VLOOKUP(INDEX(DY179:DY190,EB187),ELM,2,FALSE),"----")</f>
        <v>----</v>
      </c>
      <c r="ED187" s="691" t="e">
        <f t="shared" ca="1" si="2765"/>
        <v>#N/A</v>
      </c>
      <c r="EE187" s="4" t="e">
        <f ca="1">IF(LEFT($J179,7)="Clad Wo",IF(AND(INDEX(SPPWS,ED187,4)&gt;=$AB185,INDEX(SPPWS,ED187,5)&gt;=$S179,INDEX(SPPWS,ED187,6)&gt;=$R179),1,0),IF(AND(INDEX(SPM,ED187,4)&gt;=$AB185,INDEX(SPM,ED187,5)&gt;=$S179,INDEX(SPM,ED187,6)&gt;=$R179),1,0))</f>
        <v>#N/A</v>
      </c>
      <c r="EF187" s="4" t="e">
        <f t="shared" ref="EF187" ca="1" si="2877">MATCH(1,OFFSET(EE179:EE190,EG186,0,COUNT(EE179:EE190)-EG186),0)</f>
        <v>#REF!</v>
      </c>
      <c r="EG187" s="4" t="e">
        <f t="shared" ca="1" si="2767"/>
        <v>#REF!</v>
      </c>
      <c r="EH187" s="692" t="str">
        <f ca="1">IF(LEFT($J179,7)="Clad Wo",IFERROR(VLOOKUP(INDEX(ED179:ED190,EG187),SPPWS,2,FALSE),"----"),IFERROR(VLOOKUP(INDEX(ED179:ED190,EG187),SPM,2,FALSE),"----"))</f>
        <v>----</v>
      </c>
    </row>
    <row r="188" spans="1:138" ht="15" customHeight="1" x14ac:dyDescent="0.25">
      <c r="A188" s="1085"/>
      <c r="B188" s="925"/>
      <c r="C188" s="926"/>
      <c r="D188" s="927"/>
      <c r="E188" s="995"/>
      <c r="F188" s="996"/>
      <c r="G188" s="997"/>
      <c r="H188" s="1062"/>
      <c r="I188" s="990"/>
      <c r="J188" s="902"/>
      <c r="K188" s="903"/>
      <c r="L188" s="1002"/>
      <c r="M188" s="923"/>
      <c r="N188" s="1042"/>
      <c r="O188" s="1018"/>
      <c r="P188" s="987"/>
      <c r="Q188" s="1015"/>
      <c r="R188" s="1012"/>
      <c r="S188" s="1006"/>
      <c r="T188" s="1007"/>
      <c r="U188" s="878"/>
      <c r="V188" s="881"/>
      <c r="W188" s="884"/>
      <c r="X188" s="884"/>
      <c r="Y188" s="887"/>
      <c r="Z188" s="887"/>
      <c r="AA188" s="887"/>
      <c r="AB188" s="1081"/>
      <c r="AC188" s="1078"/>
      <c r="AD188" s="1070" t="str">
        <f t="shared" si="1666"/>
        <v>Steel Tube</v>
      </c>
      <c r="AE188" s="1071"/>
      <c r="AF188" s="1052"/>
      <c r="AG188" s="1053"/>
      <c r="AH188" s="1053"/>
      <c r="AI188" s="1066"/>
      <c r="AJ188" s="1067"/>
      <c r="AK188" s="156" t="str">
        <f t="shared" ca="1" si="2393"/>
        <v/>
      </c>
      <c r="AL188" s="1059"/>
      <c r="AM188" s="343" t="str">
        <f ca="1">IFERROR(Q179/12*ROUND(VLOOKUP(AF188,OFFSET(STM,0,1),6,FALSE),2),"")</f>
        <v/>
      </c>
      <c r="AN188" t="str">
        <f t="shared" ca="1" si="2409"/>
        <v/>
      </c>
      <c r="AP188" s="122" t="str">
        <f t="shared" ref="AP188" si="2878">_xlfn.CONCAT(AR188,AS190)</f>
        <v/>
      </c>
      <c r="AQ188" s="683" t="str">
        <f t="shared" si="2617"/>
        <v/>
      </c>
      <c r="AR188" s="4" t="str">
        <f t="shared" si="2378"/>
        <v/>
      </c>
      <c r="AS188" s="4"/>
      <c r="AT188" s="697" t="str">
        <f>AL185</f>
        <v/>
      </c>
      <c r="AU188" s="694" t="e">
        <f t="shared" ca="1" si="2633"/>
        <v>#REF!</v>
      </c>
      <c r="AV188" s="686" t="str">
        <f ca="1">IFERROR(VLOOKUP(AU188,INDIRECT(AQ179),2,FALSE),"----")</f>
        <v>----</v>
      </c>
      <c r="AW188" s="694" t="e">
        <f t="shared" ca="1" si="2634"/>
        <v>#REF!</v>
      </c>
      <c r="AX188" s="686" t="str">
        <f ca="1">IFERROR(VLOOKUP(AW188,INDIRECT(AQ180),2,FALSE),"----")</f>
        <v>----</v>
      </c>
      <c r="AY188" s="694" t="e">
        <f t="shared" ca="1" si="1919"/>
        <v>#REF!</v>
      </c>
      <c r="AZ188" s="686" t="str">
        <f ca="1">IFERROR(VLOOKUP(AY188,INDIRECT(AQ181),2,FALSE),"----")</f>
        <v>----</v>
      </c>
      <c r="BA188" s="694" t="e">
        <f t="shared" ca="1" si="1920"/>
        <v>#REF!</v>
      </c>
      <c r="BB188" s="686" t="str">
        <f ca="1">IFERROR(VLOOKUP(BA188,INDIRECT(AQ182),2,FALSE),"----")</f>
        <v>----</v>
      </c>
      <c r="BC188" s="694" t="e">
        <f t="shared" ca="1" si="2635"/>
        <v>#REF!</v>
      </c>
      <c r="BD188" s="686" t="str">
        <f ca="1">IFERROR(VLOOKUP(BC188,INDIRECT(AQ183),2,FALSE),"----")</f>
        <v>----</v>
      </c>
      <c r="BE188" s="694" t="e">
        <f t="shared" ca="1" si="2636"/>
        <v>#REF!</v>
      </c>
      <c r="BF188" s="686" t="str">
        <f ca="1">IFERROR(VLOOKUP(BE188,INDIRECT(AQ184),2,FALSE),"----")</f>
        <v>----</v>
      </c>
      <c r="BG188" s="702" t="e">
        <f t="shared" ca="1" si="2637"/>
        <v>#REF!</v>
      </c>
      <c r="BH188" s="686" t="str">
        <f ca="1">IFERROR(VLOOKUP(BG188,INDIRECT(AQ185),2,FALSE),"----")</f>
        <v>----</v>
      </c>
      <c r="BI188" s="702" t="e">
        <f t="shared" ca="1" si="2638"/>
        <v>#REF!</v>
      </c>
      <c r="BJ188" s="686" t="str">
        <f ca="1">IFERROR(VLOOKUP(BI188,INDIRECT(AQ186),2,FALSE),"----")</f>
        <v>----</v>
      </c>
      <c r="BK188" s="702" t="e">
        <f t="shared" ca="1" si="2639"/>
        <v>#REF!</v>
      </c>
      <c r="BL188" s="686" t="str">
        <f ca="1">IFERROR(VLOOKUP(BK188,INDIRECT(AQ187),2,FALSE),"----")</f>
        <v>----</v>
      </c>
      <c r="BM188" s="702" t="e">
        <f t="shared" ca="1" si="2640"/>
        <v>#REF!</v>
      </c>
      <c r="BN188" s="686" t="str">
        <f ca="1">IFERROR(VLOOKUP(BM188,INDIRECT(AQ188),2,FALSE),"----")</f>
        <v>----</v>
      </c>
      <c r="BO188" s="702" t="e">
        <f t="shared" ca="1" si="2641"/>
        <v>#REF!</v>
      </c>
      <c r="BP188" s="686" t="str">
        <f ca="1">IFERROR(VLOOKUP(BO188,INDIRECT(AQ189),2,FALSE),"----")</f>
        <v>----</v>
      </c>
      <c r="BQ188" s="702" t="e">
        <f t="shared" ca="1" si="2642"/>
        <v>#REF!</v>
      </c>
      <c r="BR188" s="686" t="str">
        <f ca="1">IFERROR(VLOOKUP(BQ188,INDIRECT(AQ190),2,FALSE),"----")</f>
        <v>----</v>
      </c>
      <c r="BS188" s="695">
        <f>IF(AI188="",1,IF(COUNTIF(BN179:BN190,AI188)=0,2,1))</f>
        <v>1</v>
      </c>
      <c r="BT188" s="696">
        <f>IF(AF188="",1,IF(BN179=".",2,1))</f>
        <v>1</v>
      </c>
      <c r="BU188" s="706"/>
      <c r="BV188" s="155">
        <f ca="1">IF(COUNTIF(DX179:DX190,AF188)=0,IF(AF188&lt;&gt;"",0,1),1)</f>
        <v>1</v>
      </c>
      <c r="BW188" s="157">
        <f ca="1">IFERROR(MATCH(AF188,DX179:DX190,0),1)</f>
        <v>1</v>
      </c>
      <c r="BX188" s="769" t="e">
        <f t="shared" ref="BX188" si="2879">5*E179^3*W185/(384*X179)</f>
        <v>#VALUE!</v>
      </c>
      <c r="BY188" s="769" t="e">
        <f t="shared" ref="BY188" si="2880">E179^3*W185/(60*X179)</f>
        <v>#VALUE!</v>
      </c>
      <c r="BZ188" s="1110"/>
      <c r="CA188" s="691" t="e">
        <f t="shared" ca="1" si="2732"/>
        <v>#REF!</v>
      </c>
      <c r="CB188" s="4" t="e" cm="1">
        <f t="array" aca="1" ref="CB188" ca="1">IF(AND(INDEX(INDIRECT(BY179),CA188,4)&gt;=$AB179,INDEX(INDIRECT(BY179),CA188,5)&gt;=$S179,INDEX(INDIRECT(BY179),CA188,6)&gt;=$R179),1,0)</f>
        <v>#REF!</v>
      </c>
      <c r="CC188" s="4" t="e">
        <f t="shared" ref="CC188" ca="1" si="2881">MATCH(1,OFFSET(CB179:CB190,CD187,0,COUNT(CB179:CB190)-CD187),0)</f>
        <v>#REF!</v>
      </c>
      <c r="CD188" s="4" t="e">
        <f t="shared" ca="1" si="2734"/>
        <v>#REF!</v>
      </c>
      <c r="CE188" s="692" t="str" cm="1">
        <f t="array" aca="1" ref="CE188" ca="1">IFERROR(VLOOKUP(INDEX(CA179:CA190,CD188),INDIRECT(BY179),2,FALSE),"----")</f>
        <v>----</v>
      </c>
      <c r="CF188" s="691" t="e">
        <f t="shared" ca="1" si="2735"/>
        <v>#N/A</v>
      </c>
      <c r="CG188" s="4" t="e">
        <f ca="1">IF(AND(INDEX(SSM,CF188,4)&gt;=$AB179,INDEX(SSM,CF188,5)&gt;=$S179,INDEX(SSM,CF188,6)&gt;=$R179),1,0)</f>
        <v>#N/A</v>
      </c>
      <c r="CH188" s="4" t="e">
        <f t="shared" ref="CH188" ca="1" si="2882">MATCH(1,OFFSET(CG179:CG190,CI187,0,COUNT(CG179:CG190)-CI187),0)</f>
        <v>#REF!</v>
      </c>
      <c r="CI188" s="4" t="e">
        <f t="shared" ca="1" si="2737"/>
        <v>#REF!</v>
      </c>
      <c r="CJ188" s="692" t="str">
        <f ca="1">IFERROR(IF(AD180="Nested Steel Stud (wood infill)",VLOOKUP(INDEX(CF179:CF190,CI188),SSW,2,FALSE),VLOOKUP(INDEX(CF179:CF190,CI188),SSM,2,FALSE)),"----")</f>
        <v>----</v>
      </c>
      <c r="CK188" s="691" t="e">
        <f t="shared" ca="1" si="2738"/>
        <v>#N/A</v>
      </c>
      <c r="CL188" s="4" t="e">
        <f ca="1">IF(AND(INDEX(WSM,CK188,4)&gt;=$AB179,INDEX(WSM,CK188,5)&gt;=$S179,INDEX(WSM,CK188,6)&gt;=$R179),1,0)</f>
        <v>#N/A</v>
      </c>
      <c r="CM188" s="4" t="e">
        <f t="shared" ref="CM188" ca="1" si="2883">MATCH(1,OFFSET(CL179:CL190,CN187,0,COUNT(CL179:CL190)-CN187),0)</f>
        <v>#REF!</v>
      </c>
      <c r="CN188" s="4" t="e">
        <f t="shared" ca="1" si="2740"/>
        <v>#REF!</v>
      </c>
      <c r="CO188" s="692" t="str">
        <f ca="1">IFERROR(VLOOKUP(INDEX(CK179:CK190,CN188),WSM,2,FALSE),"----")</f>
        <v>----</v>
      </c>
      <c r="CP188" s="691" t="e">
        <f t="shared" ca="1" si="2741"/>
        <v>#N/A</v>
      </c>
      <c r="CQ188" s="4" t="e">
        <f ca="1">IF(AND(INDEX(STM,CP188,4)&gt;=$AB179,INDEX(STM,CP188,5)&gt;=$S179,INDEX(STM,CP188,6)&gt;=$R179),1,0)</f>
        <v>#N/A</v>
      </c>
      <c r="CR188" s="4" t="e">
        <f t="shared" ref="CR188" ca="1" si="2884">MATCH(1,OFFSET(CQ179:CQ190,CS187,0,COUNT(CQ179:CQ190)-CS187),0)</f>
        <v>#REF!</v>
      </c>
      <c r="CS188" s="4" t="e">
        <f t="shared" ca="1" si="2743"/>
        <v>#REF!</v>
      </c>
      <c r="CT188" s="692" t="str">
        <f ca="1">IFERROR(VLOOKUP(INDEX(CP179:CP190,CS188),STM,2,FALSE),"----")</f>
        <v>----</v>
      </c>
      <c r="CU188" s="691" t="e">
        <f t="shared" ca="1" si="2744"/>
        <v>#N/A</v>
      </c>
      <c r="CV188" s="4" t="e">
        <f ca="1">IF(AND(INDEX(ELM,CU188,4)&gt;=$AB179,INDEX(ELM,CU188,5)&gt;=$S179,INDEX(ELM,CU188,6)&gt;=$R179),1,0)</f>
        <v>#N/A</v>
      </c>
      <c r="CW188" s="4" t="e">
        <f t="shared" ref="CW188" ca="1" si="2885">MATCH(1,OFFSET(CV179:CV190,CX187,0,COUNT(CV179:CV190)-CX187),0)</f>
        <v>#REF!</v>
      </c>
      <c r="CX188" s="4" t="e">
        <f t="shared" ca="1" si="2746"/>
        <v>#REF!</v>
      </c>
      <c r="CY188" s="692" t="str">
        <f ca="1">IFERROR(VLOOKUP(INDEX(CU179:CU190,CX188),ELM,2,FALSE),"----")</f>
        <v>----</v>
      </c>
      <c r="CZ188" s="691" t="e">
        <f t="shared" ca="1" si="2747"/>
        <v>#N/A</v>
      </c>
      <c r="DA188" s="4" t="e">
        <f ca="1">IF(LEFT($J179,7)="Clad Wo",IF(AND(INDEX(SPPWS,CZ188,4)&gt;=$AB179,INDEX(SPPWS,CZ188,5)&gt;=$S179,INDEX(SPPWS,CZ188,6)&gt;=$R179),1,0),IF(AND(INDEX(SPM,CZ188,4)&gt;=$AB179,INDEX(SPM,CZ188,5)&gt;=$S179,INDEX(SPM,CZ188,6)&gt;=$R179),1,0))</f>
        <v>#N/A</v>
      </c>
      <c r="DB188" s="4" t="e">
        <f t="shared" ref="DB188" ca="1" si="2886">MATCH(1,OFFSET(DA179:DA190,DC187,0,COUNT(DA179:DA190)-DC187),0)</f>
        <v>#REF!</v>
      </c>
      <c r="DC188" s="4" t="e">
        <f t="shared" ca="1" si="2749"/>
        <v>#REF!</v>
      </c>
      <c r="DD188" s="693" t="str">
        <f ca="1">IF(LEFT($J179,7)="Clad Wo",IFERROR(VLOOKUP(INDEX(CZ179:CZ190,DC188),SPPWS,2,FALSE),"----"),IFERROR(VLOOKUP(INDEX(CZ179:CZ190,DC188),SPM,2,FALSE),"----"))</f>
        <v>----</v>
      </c>
      <c r="DE188" s="691" t="e">
        <f t="shared" ca="1" si="2750"/>
        <v>#REF!</v>
      </c>
      <c r="DF188" s="4" t="e" cm="1">
        <f t="array" aca="1" ref="DF188" ca="1">IF(AND(INDEX(INDIRECT(BY179),DE188,4)&gt;=$AB185,INDEX(INDIRECT(BY179),DE188,5)&gt;=$S179,INDEX(INDIRECT(BY179),DE188,6)&gt;=$R179),1,0)</f>
        <v>#REF!</v>
      </c>
      <c r="DG188" s="4" t="e">
        <f t="shared" ref="DG188" ca="1" si="2887">MATCH(1,OFFSET(DF179:DF190,DH187,0,COUNT(DF179:DF190)-DH187),0)</f>
        <v>#REF!</v>
      </c>
      <c r="DH188" s="4" t="e">
        <f t="shared" ca="1" si="2752"/>
        <v>#REF!</v>
      </c>
      <c r="DI188" s="692" t="str" cm="1">
        <f t="array" aca="1" ref="DI188" ca="1">IFERROR(VLOOKUP(INDEX(DE179:DE190,DH188),INDIRECT(BY179),2,FALSE),"----")</f>
        <v>----</v>
      </c>
      <c r="DJ188" s="691" t="e">
        <f t="shared" ca="1" si="2753"/>
        <v>#N/A</v>
      </c>
      <c r="DK188" s="4" t="e">
        <f ca="1">IF(AND(INDEX(SSM,DJ188,4)&gt;=$AB185,INDEX(SSM,DJ188,5)&gt;=$S179,INDEX(SSM,DJ188,6)&gt;=$R179),1,0)</f>
        <v>#N/A</v>
      </c>
      <c r="DL188" s="4" t="e">
        <f t="shared" ref="DL188" ca="1" si="2888">MATCH(1,OFFSET(DK179:DK190,DM187,0,COUNT(DK179:DK190)-DM187),0)</f>
        <v>#REF!</v>
      </c>
      <c r="DM188" s="4" t="e">
        <f t="shared" ca="1" si="2755"/>
        <v>#REF!</v>
      </c>
      <c r="DN188" s="692" t="str">
        <f ca="1">IFERROR(IF(AD186="Nested Steel Stud (wood infill)",VLOOKUP(INDEX(DJ179:DJ190,DM188),SSW,2,FALSE),VLOOKUP(INDEX(DJ179:DJ190,DM188),SSM,2,FALSE)),"----")</f>
        <v>----</v>
      </c>
      <c r="DO188" s="691" t="e">
        <f t="shared" ca="1" si="2756"/>
        <v>#N/A</v>
      </c>
      <c r="DP188" s="4" t="e">
        <f ca="1">IF(AND(INDEX(WSM,DO188,4)&gt;=$AB185,INDEX(WSM,DO188,5)&gt;=$S179,INDEX(WSM,DO188,6)&gt;=$R179),1,0)</f>
        <v>#N/A</v>
      </c>
      <c r="DQ188" s="4" t="e">
        <f t="shared" ref="DQ188" ca="1" si="2889">MATCH(1,OFFSET(DP179:DP190,DR187,0,COUNT(DP179:DP190)-DR187),0)</f>
        <v>#REF!</v>
      </c>
      <c r="DR188" s="4" t="e">
        <f t="shared" ca="1" si="2758"/>
        <v>#REF!</v>
      </c>
      <c r="DS188" s="692" t="str">
        <f ca="1">IFERROR(VLOOKUP(INDEX(DO179:DO190,DR188),WSM,2,FALSE),"----")</f>
        <v>----</v>
      </c>
      <c r="DT188" s="691" t="e">
        <f t="shared" ca="1" si="2759"/>
        <v>#N/A</v>
      </c>
      <c r="DU188" s="4" t="e">
        <f ca="1">IF(AND(INDEX(STM,DT188,4)&gt;=$AB185,INDEX(STM,DT188,5)&gt;=$S179,INDEX(STM,DT188,6)&gt;=$R179),1,0)</f>
        <v>#N/A</v>
      </c>
      <c r="DV188" s="4" t="e">
        <f t="shared" ref="DV188" ca="1" si="2890">MATCH(1,OFFSET(DU179:DU190,DW187,0,COUNT(DU179:DU190)-DW187),0)</f>
        <v>#REF!</v>
      </c>
      <c r="DW188" s="4" t="e">
        <f t="shared" ca="1" si="2761"/>
        <v>#REF!</v>
      </c>
      <c r="DX188" s="692" t="str">
        <f ca="1">IFERROR(VLOOKUP(INDEX(DT179:DT190,DW188),STM,2,FALSE),"----")</f>
        <v>----</v>
      </c>
      <c r="DY188" s="691" t="e">
        <f t="shared" ca="1" si="2762"/>
        <v>#N/A</v>
      </c>
      <c r="DZ188" s="4" t="e">
        <f ca="1">IF(AND(INDEX(ELM,DY188,4)&gt;=$AB185,INDEX(ELM,DY188,5)&gt;=$S179,INDEX(ELM,DY188,6)&gt;=$R179),1,0)</f>
        <v>#N/A</v>
      </c>
      <c r="EA188" s="4" t="e">
        <f t="shared" ref="EA188" ca="1" si="2891">MATCH(1,OFFSET(DZ179:DZ190,EB187,0,COUNT(DZ179:DZ190)-EB187),0)</f>
        <v>#REF!</v>
      </c>
      <c r="EB188" s="4" t="e">
        <f t="shared" ca="1" si="2764"/>
        <v>#REF!</v>
      </c>
      <c r="EC188" s="692" t="str">
        <f ca="1">IFERROR(VLOOKUP(INDEX(DY179:DY190,EB188),ELM,2,FALSE),"----")</f>
        <v>----</v>
      </c>
      <c r="ED188" s="691" t="e">
        <f t="shared" ca="1" si="2765"/>
        <v>#N/A</v>
      </c>
      <c r="EE188" s="4" t="e">
        <f ca="1">IF(LEFT($J179,7)="Clad Wo",IF(AND(INDEX(SPPWS,ED188,4)&gt;=$AB185,INDEX(SPPWS,ED188,5)&gt;=$S179,INDEX(SPPWS,ED188,6)&gt;=$R179),1,0),IF(AND(INDEX(SPM,ED188,4)&gt;=$AB185,INDEX(SPM,ED188,5)&gt;=$S179,INDEX(SPM,ED188,6)&gt;=$R179),1,0))</f>
        <v>#N/A</v>
      </c>
      <c r="EF188" s="4" t="e">
        <f t="shared" ref="EF188" ca="1" si="2892">MATCH(1,OFFSET(EE179:EE190,EG187,0,COUNT(EE179:EE190)-EG187),0)</f>
        <v>#REF!</v>
      </c>
      <c r="EG188" s="4" t="e">
        <f t="shared" ca="1" si="2767"/>
        <v>#REF!</v>
      </c>
      <c r="EH188" s="692" t="str">
        <f ca="1">IF(LEFT($J179,7)="Clad Wo",IFERROR(VLOOKUP(INDEX(ED179:ED190,EG188),SPPWS,2,FALSE),"----"),IFERROR(VLOOKUP(INDEX(ED179:ED190,EG188),SPM,2,FALSE),"----"))</f>
        <v>----</v>
      </c>
    </row>
    <row r="189" spans="1:138" ht="15" customHeight="1" x14ac:dyDescent="0.25">
      <c r="A189" s="1085"/>
      <c r="B189" s="925"/>
      <c r="C189" s="926"/>
      <c r="D189" s="927"/>
      <c r="E189" s="995"/>
      <c r="F189" s="996"/>
      <c r="G189" s="997"/>
      <c r="H189" s="1062"/>
      <c r="I189" s="990"/>
      <c r="J189" s="902"/>
      <c r="K189" s="903"/>
      <c r="L189" s="1002"/>
      <c r="M189" s="923"/>
      <c r="N189" s="1042"/>
      <c r="O189" s="1018"/>
      <c r="P189" s="987"/>
      <c r="Q189" s="1015"/>
      <c r="R189" s="1012"/>
      <c r="S189" s="1006"/>
      <c r="T189" s="1007"/>
      <c r="U189" s="878"/>
      <c r="V189" s="881"/>
      <c r="W189" s="884"/>
      <c r="X189" s="884"/>
      <c r="Y189" s="887"/>
      <c r="Z189" s="887"/>
      <c r="AA189" s="887"/>
      <c r="AB189" s="1081"/>
      <c r="AC189" s="1078"/>
      <c r="AD189" s="1070" t="str">
        <f t="shared" si="1666"/>
        <v>Engineered Lumber</v>
      </c>
      <c r="AE189" s="1071"/>
      <c r="AF189" s="1052"/>
      <c r="AG189" s="1053"/>
      <c r="AH189" s="1053"/>
      <c r="AI189" s="1068"/>
      <c r="AJ189" s="1069"/>
      <c r="AK189" s="154" t="str">
        <f t="shared" ca="1" si="2393"/>
        <v/>
      </c>
      <c r="AL189" s="1059"/>
      <c r="AM189" s="344" t="str">
        <f ca="1">IFERROR(Q179/12*ROUND(VLOOKUP(AF189,OFFSET(ELM,0,1),6,FALSE),2),"")</f>
        <v/>
      </c>
      <c r="AN189" t="str">
        <f t="shared" ca="1" si="2409"/>
        <v/>
      </c>
      <c r="AP189" s="122" t="str">
        <f t="shared" ref="AP189" si="2893">_xlfn.CONCAT(AR189,AS190)</f>
        <v/>
      </c>
      <c r="AQ189" s="683" t="str">
        <f t="shared" si="2617"/>
        <v/>
      </c>
      <c r="AR189" s="4" t="str">
        <f t="shared" si="2378"/>
        <v/>
      </c>
      <c r="AS189" s="4"/>
      <c r="AT189" s="697" t="str">
        <f>AL185</f>
        <v/>
      </c>
      <c r="AU189" s="694" t="e">
        <f t="shared" ca="1" si="2633"/>
        <v>#REF!</v>
      </c>
      <c r="AV189" s="698" t="str">
        <f ca="1">IFERROR(VLOOKUP(AU189,INDIRECT(AQ179),2,FALSE),"----")</f>
        <v>----</v>
      </c>
      <c r="AW189" s="694" t="e">
        <f t="shared" ca="1" si="2634"/>
        <v>#REF!</v>
      </c>
      <c r="AX189" s="698" t="str">
        <f ca="1">IFERROR(VLOOKUP(AW189,INDIRECT(AQ180),2,FALSE),"----")</f>
        <v>----</v>
      </c>
      <c r="AY189" s="694" t="e">
        <f t="shared" ca="1" si="1919"/>
        <v>#REF!</v>
      </c>
      <c r="AZ189" s="698" t="str">
        <f ca="1">IFERROR(VLOOKUP(AY189,INDIRECT(AQ181),2,FALSE),"----")</f>
        <v>----</v>
      </c>
      <c r="BA189" s="694" t="e">
        <f t="shared" ca="1" si="1920"/>
        <v>#REF!</v>
      </c>
      <c r="BB189" s="698" t="str">
        <f ca="1">IFERROR(VLOOKUP(BA189,INDIRECT(AQ182),2,FALSE),"----")</f>
        <v>----</v>
      </c>
      <c r="BC189" s="694" t="e">
        <f t="shared" ca="1" si="2635"/>
        <v>#REF!</v>
      </c>
      <c r="BD189" s="698" t="str">
        <f ca="1">IFERROR(VLOOKUP(BC189,INDIRECT(AQ183),2,FALSE),"----")</f>
        <v>----</v>
      </c>
      <c r="BE189" s="694" t="e">
        <f t="shared" ca="1" si="2636"/>
        <v>#REF!</v>
      </c>
      <c r="BF189" s="698" t="str">
        <f ca="1">IFERROR(VLOOKUP(BE189,INDIRECT(AQ184),2,FALSE),"----")</f>
        <v>----</v>
      </c>
      <c r="BG189" s="702" t="e">
        <f t="shared" ca="1" si="2637"/>
        <v>#REF!</v>
      </c>
      <c r="BH189" s="686" t="str">
        <f ca="1">IFERROR(VLOOKUP(BG189,INDIRECT(AQ185),2,FALSE),"----")</f>
        <v>----</v>
      </c>
      <c r="BI189" s="702" t="e">
        <f t="shared" ca="1" si="2638"/>
        <v>#REF!</v>
      </c>
      <c r="BJ189" s="686" t="str">
        <f ca="1">IFERROR(VLOOKUP(BI189,INDIRECT(AQ186),2,FALSE),"----")</f>
        <v>----</v>
      </c>
      <c r="BK189" s="702" t="e">
        <f t="shared" ca="1" si="2639"/>
        <v>#REF!</v>
      </c>
      <c r="BL189" s="686" t="str">
        <f ca="1">IFERROR(VLOOKUP(BK189,INDIRECT(AQ187),2,FALSE),"----")</f>
        <v>----</v>
      </c>
      <c r="BM189" s="702" t="e">
        <f t="shared" ca="1" si="2640"/>
        <v>#REF!</v>
      </c>
      <c r="BN189" s="686" t="str">
        <f ca="1">IFERROR(VLOOKUP(BM189,INDIRECT(AQ188),2,FALSE),"----")</f>
        <v>----</v>
      </c>
      <c r="BO189" s="702" t="e">
        <f t="shared" ca="1" si="2641"/>
        <v>#REF!</v>
      </c>
      <c r="BP189" s="686" t="str">
        <f ca="1">IFERROR(VLOOKUP(BO189,INDIRECT(AQ189),2,FALSE),"----")</f>
        <v>----</v>
      </c>
      <c r="BQ189" s="702" t="e">
        <f t="shared" ca="1" si="2642"/>
        <v>#REF!</v>
      </c>
      <c r="BR189" s="686" t="str">
        <f ca="1">IFERROR(VLOOKUP(BQ189,INDIRECT(AQ190),2,FALSE),"----")</f>
        <v>----</v>
      </c>
      <c r="BS189" s="695">
        <f>IF(AI189="",1,IF(COUNTIF(BP179:BP190,AI189)=0,2,1))</f>
        <v>1</v>
      </c>
      <c r="BT189" s="696">
        <f>IF(AF189="",1,IF(BP179=".",2,1))</f>
        <v>1</v>
      </c>
      <c r="BU189" s="706"/>
      <c r="BV189" s="155">
        <f ca="1">IF(COUNTIF(EC179:EC190,AF189)=0,IF(AF189&lt;&gt;"",0,1),1)</f>
        <v>1</v>
      </c>
      <c r="BW189" s="157">
        <f ca="1">IFERROR(MATCH(AF189,EC179:EC190,0),1)</f>
        <v>1</v>
      </c>
      <c r="BX189" s="769"/>
      <c r="BY189" s="769"/>
      <c r="BZ189" s="1110"/>
      <c r="CA189" s="691" t="e">
        <f t="shared" ca="1" si="2732"/>
        <v>#REF!</v>
      </c>
      <c r="CB189" s="4" t="e" cm="1">
        <f t="array" aca="1" ref="CB189" ca="1">IF(AND(INDEX(INDIRECT(BY179),CA189,4)&gt;=$AB179,INDEX(INDIRECT(BY179),CA189,5)&gt;=$S179,INDEX(INDIRECT(BY179),CA189,6)&gt;=$R179),1,0)</f>
        <v>#REF!</v>
      </c>
      <c r="CC189" s="4" t="e">
        <f t="shared" ref="CC189" ca="1" si="2894">MATCH(1,OFFSET(CB179:CB190,CD188,0,COUNT(CB179:CB190)-CD188),0)</f>
        <v>#REF!</v>
      </c>
      <c r="CD189" s="4" t="e">
        <f t="shared" ca="1" si="2734"/>
        <v>#REF!</v>
      </c>
      <c r="CE189" s="692" t="str" cm="1">
        <f t="array" aca="1" ref="CE189" ca="1">IFERROR(VLOOKUP(INDEX(CA179:CA190,CD189),INDIRECT(BY179),2,FALSE),"----")</f>
        <v>----</v>
      </c>
      <c r="CF189" s="691" t="e">
        <f t="shared" ca="1" si="2735"/>
        <v>#N/A</v>
      </c>
      <c r="CG189" s="4" t="e">
        <f ca="1">IF(AND(INDEX(SSM,CF189,4)&gt;=$AB179,INDEX(SSM,CF189,5)&gt;=$S179,INDEX(SSM,CF189,6)&gt;=$R179),1,0)</f>
        <v>#N/A</v>
      </c>
      <c r="CH189" s="4" t="e">
        <f t="shared" ref="CH189" ca="1" si="2895">MATCH(1,OFFSET(CG179:CG190,CI188,0,COUNT(CG179:CG190)-CI188),0)</f>
        <v>#REF!</v>
      </c>
      <c r="CI189" s="4" t="e">
        <f t="shared" ca="1" si="2737"/>
        <v>#REF!</v>
      </c>
      <c r="CJ189" s="692" t="str">
        <f ca="1">IFERROR(IF(AD180="Nested Steel Stud (wood infill)",VLOOKUP(INDEX(CF179:CF190,CI189),SSW,2,FALSE),VLOOKUP(INDEX(CF179:CF190,CI189),SSM,2,FALSE)),"----")</f>
        <v>----</v>
      </c>
      <c r="CK189" s="691" t="e">
        <f t="shared" ca="1" si="2738"/>
        <v>#N/A</v>
      </c>
      <c r="CL189" s="4" t="e">
        <f ca="1">IF(AND(INDEX(WSM,CK189,4)&gt;=$AB179,INDEX(WSM,CK189,5)&gt;=$S179,INDEX(WSM,CK189,6)&gt;=$R179),1,0)</f>
        <v>#N/A</v>
      </c>
      <c r="CM189" s="4" t="e">
        <f t="shared" ref="CM189" ca="1" si="2896">MATCH(1,OFFSET(CL179:CL190,CN188,0,COUNT(CL179:CL190)-CN188),0)</f>
        <v>#REF!</v>
      </c>
      <c r="CN189" s="4" t="e">
        <f t="shared" ca="1" si="2740"/>
        <v>#REF!</v>
      </c>
      <c r="CO189" s="692" t="str">
        <f ca="1">IFERROR(VLOOKUP(INDEX(CK179:CK190,CN189),WSM,2,FALSE),"----")</f>
        <v>----</v>
      </c>
      <c r="CP189" s="691" t="e">
        <f t="shared" ca="1" si="2741"/>
        <v>#N/A</v>
      </c>
      <c r="CQ189" s="4" t="e">
        <f ca="1">IF(AND(INDEX(STM,CP189,4)&gt;=$AB179,INDEX(STM,CP189,5)&gt;=$S179,INDEX(STM,CP189,6)&gt;=$R179),1,0)</f>
        <v>#N/A</v>
      </c>
      <c r="CR189" s="4" t="e">
        <f t="shared" ref="CR189" ca="1" si="2897">MATCH(1,OFFSET(CQ179:CQ190,CS188,0,COUNT(CQ179:CQ190)-CS188),0)</f>
        <v>#REF!</v>
      </c>
      <c r="CS189" s="4" t="e">
        <f t="shared" ca="1" si="2743"/>
        <v>#REF!</v>
      </c>
      <c r="CT189" s="692" t="str">
        <f ca="1">IFERROR(VLOOKUP(INDEX(CP179:CP190,CS189),STM,2,FALSE),"----")</f>
        <v>----</v>
      </c>
      <c r="CU189" s="691" t="e">
        <f t="shared" ca="1" si="2744"/>
        <v>#N/A</v>
      </c>
      <c r="CV189" s="4" t="e">
        <f ca="1">IF(AND(INDEX(ELM,CU189,4)&gt;=$AB179,INDEX(ELM,CU189,5)&gt;=$S179,INDEX(ELM,CU189,6)&gt;=$R179),1,0)</f>
        <v>#N/A</v>
      </c>
      <c r="CW189" s="4" t="e">
        <f t="shared" ref="CW189" ca="1" si="2898">MATCH(1,OFFSET(CV179:CV190,CX188,0,COUNT(CV179:CV190)-CX188),0)</f>
        <v>#REF!</v>
      </c>
      <c r="CX189" s="4" t="e">
        <f t="shared" ca="1" si="2746"/>
        <v>#REF!</v>
      </c>
      <c r="CY189" s="692" t="str">
        <f ca="1">IFERROR(VLOOKUP(INDEX(CU179:CU190,CX189),ELM,2,FALSE),"----")</f>
        <v>----</v>
      </c>
      <c r="CZ189" s="691" t="e">
        <f t="shared" ca="1" si="2747"/>
        <v>#N/A</v>
      </c>
      <c r="DA189" s="4" t="e">
        <f ca="1">IF(LEFT($J179,7)="Clad Wo",IF(AND(INDEX(SPPWS,CZ189,4)&gt;=$AB179,INDEX(SPPWS,CZ189,5)&gt;=$S179,INDEX(SPPWS,CZ189,6)&gt;=$R179),1,0),IF(AND(INDEX(SPM,CZ189,4)&gt;=$AB179,INDEX(SPM,CZ189,5)&gt;=$S179,INDEX(SPM,CZ189,6)&gt;=$R179),1,0))</f>
        <v>#N/A</v>
      </c>
      <c r="DB189" s="4" t="e">
        <f t="shared" ref="DB189" ca="1" si="2899">MATCH(1,OFFSET(DA179:DA190,DC188,0,COUNT(DA179:DA190)-DC188),0)</f>
        <v>#REF!</v>
      </c>
      <c r="DC189" s="4" t="e">
        <f t="shared" ca="1" si="2749"/>
        <v>#REF!</v>
      </c>
      <c r="DD189" s="693" t="str">
        <f ca="1">IF(LEFT($J179,7)="Clad Wo",IFERROR(VLOOKUP(INDEX(CZ179:CZ190,DC189),SPPWS,2,FALSE),"----"),IFERROR(VLOOKUP(INDEX(CZ179:CZ190,DC189),SPM,2,FALSE),"----"))</f>
        <v>----</v>
      </c>
      <c r="DE189" s="691" t="e">
        <f t="shared" ca="1" si="2750"/>
        <v>#REF!</v>
      </c>
      <c r="DF189" s="4" t="e" cm="1">
        <f t="array" aca="1" ref="DF189" ca="1">IF(AND(INDEX(INDIRECT(BY179),DE189,4)&gt;=$AB185,INDEX(INDIRECT(BY179),DE189,5)&gt;=$S179,INDEX(INDIRECT(BY179),DE189,6)&gt;=$R179),1,0)</f>
        <v>#REF!</v>
      </c>
      <c r="DG189" s="4" t="e">
        <f t="shared" ref="DG189" ca="1" si="2900">MATCH(1,OFFSET(DF179:DF190,DH188,0,COUNT(DF179:DF190)-DH188),0)</f>
        <v>#REF!</v>
      </c>
      <c r="DH189" s="4" t="e">
        <f t="shared" ca="1" si="2752"/>
        <v>#REF!</v>
      </c>
      <c r="DI189" s="692" t="str" cm="1">
        <f t="array" aca="1" ref="DI189" ca="1">IFERROR(VLOOKUP(INDEX(DE179:DE190,DH189),INDIRECT(BY179),2,FALSE),"----")</f>
        <v>----</v>
      </c>
      <c r="DJ189" s="691" t="e">
        <f t="shared" ca="1" si="2753"/>
        <v>#N/A</v>
      </c>
      <c r="DK189" s="4" t="e">
        <f ca="1">IF(AND(INDEX(SSM,DJ189,4)&gt;=$AB185,INDEX(SSM,DJ189,5)&gt;=$S179,INDEX(SSM,DJ189,6)&gt;=$R179),1,0)</f>
        <v>#N/A</v>
      </c>
      <c r="DL189" s="4" t="e">
        <f t="shared" ref="DL189" ca="1" si="2901">MATCH(1,OFFSET(DK179:DK190,DM188,0,COUNT(DK179:DK190)-DM188),0)</f>
        <v>#REF!</v>
      </c>
      <c r="DM189" s="4" t="e">
        <f t="shared" ca="1" si="2755"/>
        <v>#REF!</v>
      </c>
      <c r="DN189" s="692" t="str">
        <f ca="1">IFERROR(IF(AD186="Nested Steel Stud (wood infill)",VLOOKUP(INDEX(DJ179:DJ190,DM189),SSW,2,FALSE),VLOOKUP(INDEX(DJ179:DJ190,DM189),SSM,2,FALSE)),"----")</f>
        <v>----</v>
      </c>
      <c r="DO189" s="691" t="e">
        <f t="shared" ca="1" si="2756"/>
        <v>#N/A</v>
      </c>
      <c r="DP189" s="4" t="e">
        <f ca="1">IF(AND(INDEX(WSM,DO189,4)&gt;=$AB185,INDEX(WSM,DO189,5)&gt;=$S179,INDEX(WSM,DO189,6)&gt;=$R179),1,0)</f>
        <v>#N/A</v>
      </c>
      <c r="DQ189" s="4" t="e">
        <f t="shared" ref="DQ189" ca="1" si="2902">MATCH(1,OFFSET(DP179:DP190,DR188,0,COUNT(DP179:DP190)-DR188),0)</f>
        <v>#REF!</v>
      </c>
      <c r="DR189" s="4" t="e">
        <f t="shared" ca="1" si="2758"/>
        <v>#REF!</v>
      </c>
      <c r="DS189" s="692" t="str">
        <f ca="1">IFERROR(VLOOKUP(INDEX(DO179:DO190,DR189),WSM,2,FALSE),"----")</f>
        <v>----</v>
      </c>
      <c r="DT189" s="691" t="e">
        <f t="shared" ca="1" si="2759"/>
        <v>#N/A</v>
      </c>
      <c r="DU189" s="4" t="e">
        <f ca="1">IF(AND(INDEX(STM,DT189,4)&gt;=$AB185,INDEX(STM,DT189,5)&gt;=$S179,INDEX(STM,DT189,6)&gt;=$R179),1,0)</f>
        <v>#N/A</v>
      </c>
      <c r="DV189" s="4" t="e">
        <f t="shared" ref="DV189" ca="1" si="2903">MATCH(1,OFFSET(DU179:DU190,DW188,0,COUNT(DU179:DU190)-DW188),0)</f>
        <v>#REF!</v>
      </c>
      <c r="DW189" s="4" t="e">
        <f t="shared" ca="1" si="2761"/>
        <v>#REF!</v>
      </c>
      <c r="DX189" s="692" t="str">
        <f ca="1">IFERROR(VLOOKUP(INDEX(DT179:DT190,DW189),STM,2,FALSE),"----")</f>
        <v>----</v>
      </c>
      <c r="DY189" s="691" t="e">
        <f t="shared" ca="1" si="2762"/>
        <v>#N/A</v>
      </c>
      <c r="DZ189" s="4" t="e">
        <f ca="1">IF(AND(INDEX(ELM,DY189,4)&gt;=$AB185,INDEX(ELM,DY189,5)&gt;=$S179,INDEX(ELM,DY189,6)&gt;=$R179),1,0)</f>
        <v>#N/A</v>
      </c>
      <c r="EA189" s="4" t="e">
        <f t="shared" ref="EA189" ca="1" si="2904">MATCH(1,OFFSET(DZ179:DZ190,EB188,0,COUNT(DZ179:DZ190)-EB188),0)</f>
        <v>#REF!</v>
      </c>
      <c r="EB189" s="4" t="e">
        <f t="shared" ca="1" si="2764"/>
        <v>#REF!</v>
      </c>
      <c r="EC189" s="692" t="str">
        <f ca="1">IFERROR(VLOOKUP(INDEX(DY179:DY190,EB189),ELM,2,FALSE),"----")</f>
        <v>----</v>
      </c>
      <c r="ED189" s="691" t="e">
        <f t="shared" ca="1" si="2765"/>
        <v>#N/A</v>
      </c>
      <c r="EE189" s="4" t="e">
        <f ca="1">IF(LEFT($J179,7)="Clad Wo",IF(AND(INDEX(SPPWS,ED189,4)&gt;=$AB185,INDEX(SPPWS,ED189,5)&gt;=$S179,INDEX(SPPWS,ED189,6)&gt;=$R179),1,0),IF(AND(INDEX(SPM,ED189,4)&gt;=$AB185,INDEX(SPM,ED189,5)&gt;=$S179,INDEX(SPM,ED189,6)&gt;=$R179),1,0))</f>
        <v>#N/A</v>
      </c>
      <c r="EF189" s="4" t="e">
        <f t="shared" ref="EF189" ca="1" si="2905">MATCH(1,OFFSET(EE179:EE190,EG188,0,COUNT(EE179:EE190)-EG188),0)</f>
        <v>#REF!</v>
      </c>
      <c r="EG189" s="4" t="e">
        <f t="shared" ca="1" si="2767"/>
        <v>#REF!</v>
      </c>
      <c r="EH189" s="692" t="str">
        <f ca="1">IF(LEFT($J179,7)="Clad Wo",IFERROR(VLOOKUP(INDEX(ED179:ED190,EG189),SPPWS,2,FALSE),"----"),IFERROR(VLOOKUP(INDEX(ED179:ED190,EG189),SPM,2,FALSE),"----"))</f>
        <v>----</v>
      </c>
    </row>
    <row r="190" spans="1:138" ht="15" customHeight="1" thickBot="1" x14ac:dyDescent="0.3">
      <c r="A190" s="1085"/>
      <c r="B190" s="928"/>
      <c r="C190" s="929"/>
      <c r="D190" s="930"/>
      <c r="E190" s="998"/>
      <c r="F190" s="999"/>
      <c r="G190" s="1000"/>
      <c r="H190" s="1063"/>
      <c r="I190" s="991"/>
      <c r="J190" s="904"/>
      <c r="K190" s="905"/>
      <c r="L190" s="1003"/>
      <c r="M190" s="1065"/>
      <c r="N190" s="1043"/>
      <c r="O190" s="1019"/>
      <c r="P190" s="988"/>
      <c r="Q190" s="1016"/>
      <c r="R190" s="1013"/>
      <c r="S190" s="1008"/>
      <c r="T190" s="1009"/>
      <c r="U190" s="879"/>
      <c r="V190" s="882"/>
      <c r="W190" s="885"/>
      <c r="X190" s="885"/>
      <c r="Y190" s="888"/>
      <c r="Z190" s="888"/>
      <c r="AA190" s="888"/>
      <c r="AB190" s="1082"/>
      <c r="AC190" s="1087"/>
      <c r="AD190" s="1098" t="str">
        <f t="shared" ref="AD190" si="2906">IF(LEFT(J179,7)="Clad Wo","Pella Wood Spr / Steel Pte","Steel Plate")</f>
        <v>Steel Plate</v>
      </c>
      <c r="AE190" s="1099"/>
      <c r="AF190" s="1096"/>
      <c r="AG190" s="1097"/>
      <c r="AH190" s="1097"/>
      <c r="AI190" s="1094"/>
      <c r="AJ190" s="1095"/>
      <c r="AK190" s="163" t="str">
        <f t="shared" ca="1" si="2393"/>
        <v/>
      </c>
      <c r="AL190" s="1060"/>
      <c r="AM190" s="345" t="str">
        <f ca="1">IFERROR(Q179/12*ROUND(VLOOKUP(AF190,OFFSET(SPM,0,1),6,FALSE),2),"")</f>
        <v/>
      </c>
      <c r="AN190" t="str">
        <f t="shared" ca="1" si="2409"/>
        <v/>
      </c>
      <c r="AP190" s="699" t="str">
        <f t="shared" ref="AP190" si="2907">_xlfn.CONCAT(AR190,AS190)</f>
        <v/>
      </c>
      <c r="AQ190" s="700" t="str">
        <f t="shared" si="2617"/>
        <v/>
      </c>
      <c r="AR190" s="160" t="str">
        <f t="shared" si="2378"/>
        <v/>
      </c>
      <c r="AS190" s="160" t="str">
        <f>IFERROR(VLOOKUP(J187, WallType,2,FALSE),"")</f>
        <v/>
      </c>
      <c r="AT190" s="707" t="str">
        <f>AL185</f>
        <v/>
      </c>
      <c r="AU190" s="708" t="e">
        <f t="shared" ca="1" si="2633"/>
        <v>#REF!</v>
      </c>
      <c r="AV190" s="709" t="str">
        <f ca="1">IFERROR(VLOOKUP(AU190,INDIRECT(AQ179),2,FALSE),"----")</f>
        <v>----</v>
      </c>
      <c r="AW190" s="710" t="e">
        <f t="shared" ca="1" si="2634"/>
        <v>#REF!</v>
      </c>
      <c r="AX190" s="709" t="str">
        <f ca="1">IFERROR(VLOOKUP(AW190,INDIRECT(AQ180),2,FALSE),"----")</f>
        <v>----</v>
      </c>
      <c r="AY190" s="710" t="e">
        <f t="shared" ca="1" si="1919"/>
        <v>#REF!</v>
      </c>
      <c r="AZ190" s="709" t="str">
        <f ca="1">IFERROR(VLOOKUP(AY190,INDIRECT(AQ181),2,FALSE),"----")</f>
        <v>----</v>
      </c>
      <c r="BA190" s="710" t="e">
        <f t="shared" ca="1" si="1920"/>
        <v>#REF!</v>
      </c>
      <c r="BB190" s="709" t="str">
        <f ca="1">IFERROR(VLOOKUP(BA190,INDIRECT(AQ182),2,FALSE),"----")</f>
        <v>----</v>
      </c>
      <c r="BC190" s="710" t="e">
        <f t="shared" ca="1" si="2635"/>
        <v>#REF!</v>
      </c>
      <c r="BD190" s="709" t="str">
        <f ca="1">IFERROR(VLOOKUP(BC190,INDIRECT(AQ183),2,FALSE),"----")</f>
        <v>----</v>
      </c>
      <c r="BE190" s="710" t="e">
        <f t="shared" ca="1" si="2636"/>
        <v>#REF!</v>
      </c>
      <c r="BF190" s="709" t="str">
        <f ca="1">IFERROR(VLOOKUP(BE190,INDIRECT(AQ184),2,FALSE),"----")</f>
        <v>----</v>
      </c>
      <c r="BG190" s="710" t="e">
        <f t="shared" ca="1" si="2637"/>
        <v>#REF!</v>
      </c>
      <c r="BH190" s="711" t="str">
        <f ca="1">IFERROR(VLOOKUP(BG190,INDIRECT(AQ185),2,FALSE),"----")</f>
        <v>----</v>
      </c>
      <c r="BI190" s="710" t="e">
        <f t="shared" ca="1" si="2638"/>
        <v>#REF!</v>
      </c>
      <c r="BJ190" s="711" t="str">
        <f ca="1">IFERROR(VLOOKUP(BI190,INDIRECT(AQ186),2,FALSE),"----")</f>
        <v>----</v>
      </c>
      <c r="BK190" s="710" t="e">
        <f t="shared" ca="1" si="2639"/>
        <v>#REF!</v>
      </c>
      <c r="BL190" s="711" t="str">
        <f ca="1">IFERROR(VLOOKUP(BK190,INDIRECT(AQ187),2,FALSE),"----")</f>
        <v>----</v>
      </c>
      <c r="BM190" s="710" t="e">
        <f t="shared" ca="1" si="2640"/>
        <v>#REF!</v>
      </c>
      <c r="BN190" s="711" t="str">
        <f ca="1">IFERROR(VLOOKUP(BM190,INDIRECT(AQ188),2,FALSE),"----")</f>
        <v>----</v>
      </c>
      <c r="BO190" s="710" t="e">
        <f t="shared" ca="1" si="2641"/>
        <v>#REF!</v>
      </c>
      <c r="BP190" s="711" t="str">
        <f ca="1">IFERROR(VLOOKUP(BO190,INDIRECT(AQ189),2,FALSE),"----")</f>
        <v>----</v>
      </c>
      <c r="BQ190" s="710" t="e">
        <f t="shared" ca="1" si="2642"/>
        <v>#REF!</v>
      </c>
      <c r="BR190" s="712" t="str">
        <f ca="1">IFERROR(VLOOKUP(BQ190,INDIRECT(AQ190),2,FALSE),"----")</f>
        <v>----</v>
      </c>
      <c r="BS190" s="695">
        <f>IF(AI190="",1,IF(COUNTIF(BR179:BR190,AI190)=0,2,1))</f>
        <v>1</v>
      </c>
      <c r="BT190" s="713">
        <f>IF(AF190="",1,IF(BR179=".",2,1))</f>
        <v>1</v>
      </c>
      <c r="BV190" s="155">
        <f ca="1">IF(COUNTIF(EH179:EH190,AF190)=0,IF(AF190&lt;&gt;"",0,1),1)</f>
        <v>1</v>
      </c>
      <c r="BW190" s="157">
        <f ca="1">IFERROR(MATCH(AF190,EH179:EH190,0),1)</f>
        <v>1</v>
      </c>
      <c r="BX190" s="718"/>
      <c r="BY190" s="777"/>
      <c r="BZ190" s="1110"/>
      <c r="CA190" s="714" t="e">
        <f t="shared" ca="1" si="2732"/>
        <v>#REF!</v>
      </c>
      <c r="CB190" s="715" t="e" cm="1">
        <f t="array" aca="1" ref="CB190" ca="1">IF(AND(INDEX(INDIRECT(BY179),CA190,4)&gt;=$AB179,INDEX(INDIRECT(BY179),CA190,5)&gt;=$S179,INDEX(INDIRECT(BY179),CA190,6)&gt;=$R179),1,0)</f>
        <v>#REF!</v>
      </c>
      <c r="CC190" s="715" t="e">
        <f t="shared" ref="CC190" ca="1" si="2908">MATCH(1,OFFSET(CB179:CB190,CD189,0,COUNT(CB179:CB190)-CD189),0)</f>
        <v>#REF!</v>
      </c>
      <c r="CD190" s="715" t="e">
        <f t="shared" ca="1" si="2734"/>
        <v>#REF!</v>
      </c>
      <c r="CE190" s="716" t="str" cm="1">
        <f t="array" aca="1" ref="CE190" ca="1">IFERROR(VLOOKUP(INDEX(CA179:CA190,CD190),INDIRECT(BY179),2,FALSE),"----")</f>
        <v>----</v>
      </c>
      <c r="CF190" s="714" t="e">
        <f t="shared" ca="1" si="2735"/>
        <v>#N/A</v>
      </c>
      <c r="CG190" s="715" t="e">
        <f ca="1">IF(AND(INDEX(SSM,CF190,4)&gt;=$AB179,INDEX(SSM,CF190,5)&gt;=$S179,INDEX(SSM,CF190,6)&gt;=$R179),1,0)</f>
        <v>#N/A</v>
      </c>
      <c r="CH190" s="715" t="e">
        <f t="shared" ref="CH190" ca="1" si="2909">MATCH(1,OFFSET(CG179:CG190,CI189,0,COUNT(CG179:CG190)-CI189),0)</f>
        <v>#REF!</v>
      </c>
      <c r="CI190" s="715" t="e">
        <f t="shared" ca="1" si="2737"/>
        <v>#REF!</v>
      </c>
      <c r="CJ190" s="716" t="str">
        <f ca="1">IFERROR(IF(AD180="Nested Steel Stud (wood infill)",VLOOKUP(INDEX(CF179:CF190,CI190),SSW,2,FALSE),VLOOKUP(INDEX(CF179:CF190,CI190),SSM,2,FALSE)),"----")</f>
        <v>----</v>
      </c>
      <c r="CK190" s="714" t="e">
        <f t="shared" ca="1" si="2738"/>
        <v>#N/A</v>
      </c>
      <c r="CL190" s="715" t="e">
        <f ca="1">IF(AND(INDEX(WSM,CK190,4)&gt;=$AB179,INDEX(WSM,CK190,5)&gt;=$S179,INDEX(WSM,CK190,6)&gt;=$R179),1,0)</f>
        <v>#N/A</v>
      </c>
      <c r="CM190" s="715" t="e">
        <f t="shared" ref="CM190" ca="1" si="2910">MATCH(1,OFFSET(CL179:CL190,CN189,0,COUNT(CL179:CL190)-CN189),0)</f>
        <v>#REF!</v>
      </c>
      <c r="CN190" s="715" t="e">
        <f t="shared" ca="1" si="2740"/>
        <v>#REF!</v>
      </c>
      <c r="CO190" s="716" t="str">
        <f ca="1">IFERROR(VLOOKUP(INDEX(CK179:CK190,CN190),WSM,2,FALSE),"----")</f>
        <v>----</v>
      </c>
      <c r="CP190" s="714" t="e">
        <f t="shared" ca="1" si="2741"/>
        <v>#N/A</v>
      </c>
      <c r="CQ190" s="715" t="e">
        <f ca="1">IF(AND(INDEX(STM,CP190,4)&gt;=$AB179,INDEX(STM,CP190,5)&gt;=$S179,INDEX(STM,CP190,6)&gt;=$R179),1,0)</f>
        <v>#N/A</v>
      </c>
      <c r="CR190" s="715" t="e">
        <f t="shared" ref="CR190" ca="1" si="2911">MATCH(1,OFFSET(CQ179:CQ190,CS189,0,COUNT(CQ179:CQ190)-CS189),0)</f>
        <v>#REF!</v>
      </c>
      <c r="CS190" s="715" t="e">
        <f t="shared" ca="1" si="2743"/>
        <v>#REF!</v>
      </c>
      <c r="CT190" s="716" t="str">
        <f ca="1">IFERROR(VLOOKUP(INDEX(CP179:CP190,CS190),STM,2,FALSE),"----")</f>
        <v>----</v>
      </c>
      <c r="CU190" s="714" t="e">
        <f t="shared" ca="1" si="2744"/>
        <v>#N/A</v>
      </c>
      <c r="CV190" s="715" t="e">
        <f ca="1">IF(AND(INDEX(ELM,CU190,4)&gt;=$AB179,INDEX(ELM,CU190,5)&gt;=$S179,INDEX(ELM,CU190,6)&gt;=$R179),1,0)</f>
        <v>#N/A</v>
      </c>
      <c r="CW190" s="715" t="e">
        <f t="shared" ref="CW190" ca="1" si="2912">MATCH(1,OFFSET(CV179:CV190,CX189,0,COUNT(CV179:CV190)-CX189),0)</f>
        <v>#REF!</v>
      </c>
      <c r="CX190" s="715" t="e">
        <f t="shared" ca="1" si="2746"/>
        <v>#REF!</v>
      </c>
      <c r="CY190" s="716" t="str">
        <f ca="1">IFERROR(VLOOKUP(INDEX(CU179:CU190,CX190),ELM,2,FALSE),"----")</f>
        <v>----</v>
      </c>
      <c r="CZ190" s="714" t="e">
        <f t="shared" ca="1" si="2747"/>
        <v>#N/A</v>
      </c>
      <c r="DA190" s="715" t="e">
        <f ca="1">IF(LEFT($J179,7)="Clad Wo",IF(AND(INDEX(SPPWS,CZ190,4)&gt;=$AB179,INDEX(SPPWS,CZ190,5)&gt;=$S179,INDEX(SPPWS,CZ190,6)&gt;=$R179),1,0),IF(AND(INDEX(SPM,CZ190,4)&gt;=$AB179,INDEX(SPM,CZ190,5)&gt;=$S179,INDEX(SPM,CZ190,6)&gt;=$R179),1,0))</f>
        <v>#N/A</v>
      </c>
      <c r="DB190" s="715" t="e">
        <f t="shared" ref="DB190" ca="1" si="2913">MATCH(1,OFFSET(DA179:DA190,DC189,0,COUNT(DA179:DA190)-DC189),0)</f>
        <v>#REF!</v>
      </c>
      <c r="DC190" s="715" t="e">
        <f t="shared" ca="1" si="2749"/>
        <v>#REF!</v>
      </c>
      <c r="DD190" s="717" t="str">
        <f ca="1">IF(LEFT($J179,7)="Clad Wo",IFERROR(VLOOKUP(INDEX(CZ179:CZ190,DC190),SPPWS,2,FALSE),"----"),IFERROR(VLOOKUP(INDEX(CZ179:CZ190,DC190),SPM,2,FALSE),"----"))</f>
        <v>----</v>
      </c>
      <c r="DE190" s="714" t="e">
        <f t="shared" ca="1" si="2750"/>
        <v>#REF!</v>
      </c>
      <c r="DF190" s="715" t="e" cm="1">
        <f t="array" aca="1" ref="DF190" ca="1">IF(AND(INDEX(INDIRECT(BY179),DE190,4)&gt;=$AB185,INDEX(INDIRECT(BY179),DE190,5)&gt;=$S179,INDEX(INDIRECT(BY179),DE190,6)&gt;=$R179),1,0)</f>
        <v>#REF!</v>
      </c>
      <c r="DG190" s="715" t="e">
        <f t="shared" ref="DG190" ca="1" si="2914">MATCH(1,OFFSET(DF179:DF190,DH189,0,COUNT(DF179:DF190)-DH189),0)</f>
        <v>#REF!</v>
      </c>
      <c r="DH190" s="715" t="e">
        <f t="shared" ca="1" si="2752"/>
        <v>#REF!</v>
      </c>
      <c r="DI190" s="716" t="str" cm="1">
        <f t="array" aca="1" ref="DI190" ca="1">IFERROR(VLOOKUP(INDEX(DE179:DE190,DH190),INDIRECT(BY179),2,FALSE),"----")</f>
        <v>----</v>
      </c>
      <c r="DJ190" s="714" t="e">
        <f t="shared" ca="1" si="2753"/>
        <v>#N/A</v>
      </c>
      <c r="DK190" s="715" t="e">
        <f ca="1">IF(AND(INDEX(SSM,DJ190,4)&gt;=$AB185,INDEX(SSM,DJ190,5)&gt;=$S179,INDEX(SSM,DJ190,6)&gt;=$R179),1,0)</f>
        <v>#N/A</v>
      </c>
      <c r="DL190" s="715" t="e">
        <f t="shared" ref="DL190" ca="1" si="2915">MATCH(1,OFFSET(DK179:DK190,DM189,0,COUNT(DK179:DK190)-DM189),0)</f>
        <v>#REF!</v>
      </c>
      <c r="DM190" s="715" t="e">
        <f t="shared" ca="1" si="2755"/>
        <v>#REF!</v>
      </c>
      <c r="DN190" s="716" t="str">
        <f ca="1">IFERROR(IF(AD186="Nested Steel Stud (wood infill)",VLOOKUP(INDEX(DJ179:DJ190,DM190),SSW,2,FALSE),VLOOKUP(INDEX(DJ179:DJ190,DM190),SSM,2,FALSE)),"----")</f>
        <v>----</v>
      </c>
      <c r="DO190" s="714" t="e">
        <f t="shared" ca="1" si="2756"/>
        <v>#N/A</v>
      </c>
      <c r="DP190" s="715" t="e">
        <f ca="1">IF(AND(INDEX(WSM,DO190,4)&gt;=$AB185,INDEX(WSM,DO190,5)&gt;=$S179,INDEX(WSM,DO190,6)&gt;=$R179),1,0)</f>
        <v>#N/A</v>
      </c>
      <c r="DQ190" s="715" t="e">
        <f t="shared" ref="DQ190" ca="1" si="2916">MATCH(1,OFFSET(DP179:DP190,DR189,0,COUNT(DP179:DP190)-DR189),0)</f>
        <v>#REF!</v>
      </c>
      <c r="DR190" s="715" t="e">
        <f t="shared" ca="1" si="2758"/>
        <v>#REF!</v>
      </c>
      <c r="DS190" s="716" t="str">
        <f ca="1">IFERROR(VLOOKUP(INDEX(DO179:DO190,DR190),WSM,2,FALSE),"----")</f>
        <v>----</v>
      </c>
      <c r="DT190" s="714" t="e">
        <f t="shared" ca="1" si="2759"/>
        <v>#N/A</v>
      </c>
      <c r="DU190" s="715" t="e">
        <f ca="1">IF(AND(INDEX(STM,DT190,4)&gt;=$AB185,INDEX(STM,DT190,5)&gt;=$S179,INDEX(STM,DT190,6)&gt;=$R179),1,0)</f>
        <v>#N/A</v>
      </c>
      <c r="DV190" s="715" t="e">
        <f t="shared" ref="DV190" ca="1" si="2917">MATCH(1,OFFSET(DU179:DU190,DW189,0,COUNT(DU179:DU190)-DW189),0)</f>
        <v>#REF!</v>
      </c>
      <c r="DW190" s="715" t="e">
        <f t="shared" ca="1" si="2761"/>
        <v>#REF!</v>
      </c>
      <c r="DX190" s="716" t="str">
        <f ca="1">IFERROR(VLOOKUP(INDEX(DT179:DT190,DW190),STM,2,FALSE),"----")</f>
        <v>----</v>
      </c>
      <c r="DY190" s="714" t="e">
        <f t="shared" ca="1" si="2762"/>
        <v>#N/A</v>
      </c>
      <c r="DZ190" s="715" t="e">
        <f ca="1">IF(AND(INDEX(ELM,DY190,4)&gt;=$AB185,INDEX(ELM,DY190,5)&gt;=$S179,INDEX(ELM,DY190,6)&gt;=$R179),1,0)</f>
        <v>#N/A</v>
      </c>
      <c r="EA190" s="715" t="e">
        <f t="shared" ref="EA190" ca="1" si="2918">MATCH(1,OFFSET(DZ179:DZ190,EB189,0,COUNT(DZ179:DZ190)-EB189),0)</f>
        <v>#REF!</v>
      </c>
      <c r="EB190" s="715" t="e">
        <f t="shared" ca="1" si="2764"/>
        <v>#REF!</v>
      </c>
      <c r="EC190" s="716" t="str">
        <f ca="1">IFERROR(VLOOKUP(INDEX(DY179:DY190,EB190),ELM,2,FALSE),"----")</f>
        <v>----</v>
      </c>
      <c r="ED190" s="714" t="e">
        <f t="shared" ca="1" si="2765"/>
        <v>#N/A</v>
      </c>
      <c r="EE190" s="715" t="e">
        <f ca="1">IF(LEFT($J179,7)="Clad Wo",IF(AND(INDEX(SPPWS,ED190,4)&gt;=$AB185,INDEX(SPPWS,ED190,5)&gt;=$S179,INDEX(SPPWS,ED190,6)&gt;=$R179),1,0),IF(AND(INDEX(SPM,ED190,4)&gt;=$AB185,INDEX(SPM,ED190,5)&gt;=$S179,INDEX(SPM,ED190,6)&gt;=$R179),1,0))</f>
        <v>#N/A</v>
      </c>
      <c r="EF190" s="715" t="e">
        <f t="shared" ref="EF190" ca="1" si="2919">MATCH(1,OFFSET(EE179:EE190,EG189,0,COUNT(EE179:EE190)-EG189),0)</f>
        <v>#REF!</v>
      </c>
      <c r="EG190" s="715" t="e">
        <f t="shared" ca="1" si="2767"/>
        <v>#REF!</v>
      </c>
      <c r="EH190" s="716" t="str">
        <f ca="1">IF(LEFT($J179,7)="Clad Wo",IFERROR(VLOOKUP(INDEX(ED179:ED190,EG190),SPPWS,2,FALSE),"----"),IFERROR(VLOOKUP(INDEX(ED179:ED190,EG190),SPM,2,FALSE),"----"))</f>
        <v>----</v>
      </c>
    </row>
    <row r="191" spans="1:138" ht="15" customHeight="1" thickTop="1" x14ac:dyDescent="0.25">
      <c r="A191" s="1085"/>
      <c r="B191" s="931" t="s">
        <v>92</v>
      </c>
      <c r="C191" s="932"/>
      <c r="D191" s="933"/>
      <c r="E191" s="992"/>
      <c r="F191" s="993"/>
      <c r="G191" s="994"/>
      <c r="H191" s="1061"/>
      <c r="I191" s="989"/>
      <c r="J191" s="906"/>
      <c r="K191" s="907"/>
      <c r="L191" s="1001">
        <f>$W$3</f>
        <v>4</v>
      </c>
      <c r="M191" s="923" t="str">
        <f t="shared" ref="M191" si="2920">IFERROR(IF($AE$13="",IF($AG$19="Wind Loading",MIN($V$31,IF(E$11="ASCE 7-05",$U$26,$V$7)*$V$9*(IF($E$12&lt;60,0.0771*LN(MAX(MIN(500,O191),10)) -1.2737,IF($E$11="ASCE 7-22",0.0524*LN(MAX(MIN(500,O191),50))-1.0278,0.0614*LN(MAX(MIN(500,O191),20)) -1.0829))-$V$8)),$V$7*IF(E$12&lt;60,$V$13*($V$15*0.0771*LN(MAX(MIN(500,O191),10))-1.2737-$V$16),$V$13*$V$15*((0.0524*LN(MAX(MIN(500,O191),20))-1.0278)-$V$16))),-ABS($AE$13)),"")</f>
        <v/>
      </c>
      <c r="N191" s="1042" t="str">
        <f t="shared" ref="N191" si="2921">IFERROR(IF($AE$15="",IF($AG$19="Wind Loading",MAX($U$31,IF(E$11="ASCE 7-05",$U$26,$V$7)*$V$9*((IF($E$12&lt;60,-0.077*LN(MAX(MIN(500,O191),10))+1.1737,IF($E$11="ASCE 7-22",-0.077*LN(MAX(MIN(500,O191),20))+1.0798,-0.093*LN(MAX(MIN(500,O191),20))+1.1776)))+$V$8)),$V$7*IF(E$12&lt;60,$V$13*($V$15*(-0.077*LN(MAX(MIN(500,O191),10))+1.1737)-$V$17),$V$13*$V$15*((-0.077*LN(MAX(MIN(500,O191),20))+1.0798)-$V$17))),ABS($AE$15)),"")</f>
        <v/>
      </c>
      <c r="O191" s="1017" t="str">
        <f>IF(BX198=0,"",IF(AG$14="Trapezoidal",BY198,BX198))</f>
        <v/>
      </c>
      <c r="P191" s="986"/>
      <c r="Q191" s="1014"/>
      <c r="R191" s="1011">
        <f>P191*Q191/8</f>
        <v>0</v>
      </c>
      <c r="S191" s="1004">
        <f t="shared" ref="S191" si="2922">IF(5*(P191*Q191^3/(384*0.125))=0,0,5*(P191*Q191^3/(384*0.125)))</f>
        <v>0</v>
      </c>
      <c r="T191" s="1005"/>
      <c r="U191" s="877" t="e">
        <f ca="1">VLOOKUP(J195,INDIRECT(VLOOKUP(J191,FrameStrength,2,FALSE)),3,FALSE)</f>
        <v>#N/A</v>
      </c>
      <c r="V191" s="880">
        <f t="shared" ref="V191" si="2923">(H191+I191)/2</f>
        <v>0</v>
      </c>
      <c r="W191" s="883" t="e">
        <f t="shared" ref="W191" si="2924">MAX(-M191,N191)*O191</f>
        <v>#VALUE!</v>
      </c>
      <c r="X191" s="883">
        <f t="shared" ref="X191" si="2925">IF(E191&gt;162,(E191/240+0.25),IF(AND(E191&lt;162,E191/175&lt;0.75),E191/175,0.75))</f>
        <v>0</v>
      </c>
      <c r="Y191" s="886">
        <f>IFERROR(IF(AG$14="Trapezoidal",BY199,BX199)+IF($E$17="4",(400*E191^3)/(48*X191),0),0)</f>
        <v>0</v>
      </c>
      <c r="Z191" s="886" t="e">
        <f t="shared" ref="Z191" si="2926">+($V191*MAX(-$M191,$N191)*$E191^2)/(144*8)+IF($E$17=4,(400*$E191)/4,0)</f>
        <v>#VALUE!</v>
      </c>
      <c r="AA191" s="886" t="e">
        <f ca="1">VLOOKUP(J195,INDIRECT(VLOOKUP(J191,FrameStrength,2,FALSE)),2,FALSE)</f>
        <v>#N/A</v>
      </c>
      <c r="AB191" s="1083" t="str">
        <f t="shared" ref="AB191" ca="1" si="2927">IFERROR(Z191-AA191,"")</f>
        <v/>
      </c>
      <c r="AC191" s="1077" t="str">
        <f t="shared" ref="AC191" ca="1" si="2928">IFERROR(Y191-U191,"")</f>
        <v/>
      </c>
      <c r="AD191" s="1100" t="str">
        <f>IFERROR(IF(LEFT(J195,2)="As",VLOOKUP(J195,EIMM,4,FALSE),VLOOKUP(J191,EIMM,4,FALSE)),IF(AND(ISNUMBER(SEARCH("Impervia",J191)),ISNUMBER(SEARCH("door",J195))),'New Lookup Cells'!AF$10,IF(ISNUMBER(SEARCH("Impervia",J191)),'New Lookup Cells'!AF$7,IF(AND(ISNUMBER(SEARCH("250",J191)),ISNUMBER(SEARCH("door",J195))),'New Lookup Cells'!AF$14,IF(ISNUMBER(SEARCH("250",J191)),'New Lookup Cells'!AF$13,"")))))</f>
        <v/>
      </c>
      <c r="AE191" s="1101"/>
      <c r="AF191" s="1050"/>
      <c r="AG191" s="1051"/>
      <c r="AH191" s="1051"/>
      <c r="AI191" s="1088"/>
      <c r="AJ191" s="1089"/>
      <c r="AK191" s="154" t="str">
        <f t="shared" ca="1" si="2393"/>
        <v/>
      </c>
      <c r="AL191" s="1038" t="str">
        <f t="shared" ref="AL191" si="2929">IFERROR(ROUND(SQRT(P191^2+(W191/2+IF($E$17=4,200,0))^2),0),"")</f>
        <v/>
      </c>
      <c r="AM191" s="342" t="s">
        <v>669</v>
      </c>
      <c r="AN191" t="str">
        <f t="shared" ca="1" si="2409"/>
        <v/>
      </c>
      <c r="AP191" s="122" t="str">
        <f t="shared" ref="AP191" si="2930">_xlfn.CONCAT(AR191,AS196)</f>
        <v/>
      </c>
      <c r="AQ191" s="683" t="str">
        <f t="shared" si="2617"/>
        <v/>
      </c>
      <c r="AR191" s="96" t="str">
        <f t="shared" si="2378"/>
        <v/>
      </c>
      <c r="AS191" s="96" t="str">
        <f>IF(COUNTIF(imp_1,AF191)=1,"imp_1",IF(COUNTIF(imp_2,AF191)=1,"imp_2",IF(COUNTIF(imp_3,AF191)=1,"imp_3",IF(COUNTIF(impdoor,AF191)=1,"impdoor",""))))</f>
        <v/>
      </c>
      <c r="AT191" s="684" t="str">
        <f>AL191</f>
        <v/>
      </c>
      <c r="AU191" s="685" t="e">
        <f ca="1">MATCH(AL191,INDIRECT(AP191),-1)</f>
        <v>#REF!</v>
      </c>
      <c r="AV191" s="686" t="str">
        <f ca="1">IFERROR(VLOOKUP(AU191,INDIRECT(AQ191),2,FALSE),"----")</f>
        <v>----</v>
      </c>
      <c r="AW191" s="685" t="e">
        <f ca="1">MATCH(AL191,INDIRECT(AP192),-1)</f>
        <v>#REF!</v>
      </c>
      <c r="AX191" s="686" t="str">
        <f ca="1">IFERROR(VLOOKUP(AW191,INDIRECT(AQ192),2,FALSE),"----")</f>
        <v>----</v>
      </c>
      <c r="AY191" s="685" t="e">
        <f ca="1">MATCH(AL191,INDIRECT(AP193),-1)</f>
        <v>#REF!</v>
      </c>
      <c r="AZ191" s="686" t="str">
        <f ca="1">IFERROR(VLOOKUP(AY191,INDIRECT(AQ193),2,FALSE),"----")</f>
        <v>----</v>
      </c>
      <c r="BA191" s="685" t="e">
        <f ca="1">MATCH(AL191,INDIRECT(AP194),-1)</f>
        <v>#REF!</v>
      </c>
      <c r="BB191" s="686" t="str">
        <f ca="1">IFERROR(VLOOKUP(BA191,INDIRECT(AQ194),2,FALSE),"----")</f>
        <v>----</v>
      </c>
      <c r="BC191" s="685" t="e">
        <f ca="1">MATCH(AL191,INDIRECT(AP195),-1)</f>
        <v>#REF!</v>
      </c>
      <c r="BD191" s="686" t="str">
        <f ca="1">IFERROR(VLOOKUP(BC191,INDIRECT(AQ195),2,FALSE),"----")</f>
        <v>----</v>
      </c>
      <c r="BE191" s="685" t="e">
        <f ca="1">MATCH(AL191,INDIRECT(AP196),-1)</f>
        <v>#REF!</v>
      </c>
      <c r="BF191" s="686" t="str">
        <f ca="1">IFERROR(VLOOKUP(BE191,INDIRECT(AQ196),2,FALSE),"----")</f>
        <v>----</v>
      </c>
      <c r="BG191" s="685" t="e">
        <f ca="1">MATCH(AL197,INDIRECT(AP197),-1)</f>
        <v>#REF!</v>
      </c>
      <c r="BH191" s="686" t="str">
        <f ca="1">IFERROR(VLOOKUP(BG191,INDIRECT(AQ197),2,FALSE),"----")</f>
        <v>----</v>
      </c>
      <c r="BI191" s="685" t="e">
        <f ca="1">MATCH(AL197,INDIRECT(AP198),-1)</f>
        <v>#REF!</v>
      </c>
      <c r="BJ191" s="686" t="str">
        <f ca="1">IFERROR(VLOOKUP(BI191,INDIRECT(AQ198),2,FALSE),"----")</f>
        <v>----</v>
      </c>
      <c r="BK191" s="685" t="e">
        <f ca="1">MATCH(AL197,INDIRECT(AP199),-1)</f>
        <v>#REF!</v>
      </c>
      <c r="BL191" s="686" t="str">
        <f ca="1">IFERROR(VLOOKUP(BK191,INDIRECT(AQ199),2,FALSE),"----")</f>
        <v>----</v>
      </c>
      <c r="BM191" s="685" t="e">
        <f ca="1">MATCH(AL197,INDIRECT(AP200),-1)</f>
        <v>#REF!</v>
      </c>
      <c r="BN191" s="686" t="str">
        <f ca="1">IFERROR(VLOOKUP(BM191,INDIRECT(AQ200),2,FALSE),"----")</f>
        <v>----</v>
      </c>
      <c r="BO191" s="685" t="e">
        <f ca="1">MATCH(AL197,INDIRECT(AP201),-1)</f>
        <v>#REF!</v>
      </c>
      <c r="BP191" s="686" t="str">
        <f ca="1">IFERROR(VLOOKUP(BO191,INDIRECT(AQ201),2,FALSE),"----")</f>
        <v>----</v>
      </c>
      <c r="BQ191" s="685" t="e">
        <f ca="1">MATCH(AL197,INDIRECT(AP202),-1)</f>
        <v>#REF!</v>
      </c>
      <c r="BR191" s="686" t="str">
        <f ca="1">IFERROR(VLOOKUP(BQ191,INDIRECT(AQ202),2,FALSE),"----")</f>
        <v>----</v>
      </c>
      <c r="BS191" s="687">
        <f>IF(AI191="",1,IF(COUNTIF(AV191:AV202,AI191)=0,2,1))</f>
        <v>1</v>
      </c>
      <c r="BT191" s="688">
        <f>IF(AP191="1",1,IF(AF191="",1,IF(AV191=".",2,1)))</f>
        <v>1</v>
      </c>
      <c r="BU191" s="706"/>
      <c r="BV191" s="155">
        <f ca="1">IF(COUNTIF(CE191:CE202,AF191)=0,IF(AF191&lt;&gt;"",0,1),1)</f>
        <v>1</v>
      </c>
      <c r="BW191" s="157">
        <f ca="1">IFERROR(MATCH(AF191,CE191:CE202,0),1)</f>
        <v>1</v>
      </c>
      <c r="BX191" s="769" t="str">
        <f>IFERROR(IF(LEFT(J195,2)="As",VLOOKUP(J195,EIMM,2,FALSE),IF(AND(ISNUMBER(SEARCH("Impervia",J191)),ISNUMBER(SEARCH("door",J195))),VLOOKUP("Impervia Door",EIMM,2,FALSE),IF(AND(ISNUMBER(SEARCH("250",J191)),ISNUMBER(SEARCH("door",J195))),VLOOKUP("250 Series Door",EIMM,2,FALSE),VLOOKUP(J191,EIMM,2,FALSE)))),"")</f>
        <v/>
      </c>
      <c r="BY191" s="769" t="str">
        <f ca="1">IFERROR(VLOOKUP(BX191,OFFSET(EIMM,0,1),2,FALSE),"")</f>
        <v/>
      </c>
      <c r="BZ191" s="1110" t="e">
        <f ca="1">IF((COUNTIF(INDIRECT(SUBSTITUTE(J191," ","_")),J195))=0,IF(J195="",1,0),1)</f>
        <v>#REF!</v>
      </c>
      <c r="CA191" s="691" t="e">
        <f ca="1">MATCH(AC191,INDIRECT(BX191),-1)</f>
        <v>#REF!</v>
      </c>
      <c r="CB191" s="4" t="e" cm="1">
        <f t="array" aca="1" ref="CB191" ca="1">IF(AND(INDEX(INDIRECT(BY191),CA191,4)&gt;=$AB191,INDEX(INDIRECT(BY191),CA191,5)&gt;=$S191,INDEX(INDIRECT(BY191),CA191,6)&gt;=$R191),1,0)</f>
        <v>#REF!</v>
      </c>
      <c r="CC191" s="4" t="e">
        <f t="shared" ref="CC191" ca="1" si="2931">MATCH(1,OFFSET(CB191:CB202,$W$2,0,COUNT(CB191:CB202)-$W$2),0)</f>
        <v>#REF!</v>
      </c>
      <c r="CD191" s="4" t="e">
        <f t="shared" ref="CD191" ca="1" si="2932">$W$2+CC191</f>
        <v>#REF!</v>
      </c>
      <c r="CE191" s="692" t="str" cm="1">
        <f t="array" aca="1" ref="CE191" ca="1">IFERROR(VLOOKUP(INDEX(CA191:CA202,CD191),INDIRECT(BY191),2,FALSE),"----")</f>
        <v>----</v>
      </c>
      <c r="CF191" s="691" t="e">
        <f ca="1">MATCH($AC191,SSEI,-1)</f>
        <v>#N/A</v>
      </c>
      <c r="CG191" s="4" t="e">
        <f ca="1">IF(AND(INDEX(SSM,CF191,4)&gt;=$AB191,INDEX(SSM,CF191,5)&gt;=$S191,INDEX(SSM,CF191,6)&gt;=$R191),1,0)</f>
        <v>#N/A</v>
      </c>
      <c r="CH191" s="4" t="e">
        <f t="shared" ref="CH191" ca="1" si="2933">MATCH(1,OFFSET(CG191:CG202,$W$2,0,COUNT(CG191:CG202)-$W$2),0)</f>
        <v>#REF!</v>
      </c>
      <c r="CI191" s="4" t="e">
        <f t="shared" ref="CI191" ca="1" si="2934">$W$2+CH191</f>
        <v>#REF!</v>
      </c>
      <c r="CJ191" s="692" t="str">
        <f ca="1">IFERROR(IF(AD192="Nested Steel Stud (wood infill)",VLOOKUP(INDEX(CF191:CF202,CI191),SSW,2,FALSE),VLOOKUP(INDEX(CF191:CF202,CI191),SSM,2,FALSE)),"----")</f>
        <v>----</v>
      </c>
      <c r="CK191" s="691" t="e">
        <f ca="1">MATCH($AC191,WSEI,-1)</f>
        <v>#N/A</v>
      </c>
      <c r="CL191" s="4" t="e">
        <f ca="1">IF(AND(INDEX(WSM,CK191,4)&gt;=$AB191,INDEX(WSM,CK191,5)&gt;=$S191,INDEX(WSM,CK191,6)&gt;=$R191),1,0)</f>
        <v>#N/A</v>
      </c>
      <c r="CM191" s="4" t="e">
        <f t="shared" ref="CM191" ca="1" si="2935">MATCH(1,OFFSET(CL191:CL202,$W$2,0,COUNT(CL191:CL202)-$W$2),0)</f>
        <v>#REF!</v>
      </c>
      <c r="CN191" s="4" t="e">
        <f t="shared" ref="CN191" ca="1" si="2936">$W$2+CM191</f>
        <v>#REF!</v>
      </c>
      <c r="CO191" s="692" t="str">
        <f ca="1">IFERROR(VLOOKUP(INDEX(CK191:CK202,CN191),WSM,2,FALSE),"----")</f>
        <v>----</v>
      </c>
      <c r="CP191" s="691" t="e">
        <f ca="1">MATCH($AC191,STEI,-1)</f>
        <v>#N/A</v>
      </c>
      <c r="CQ191" s="4" t="e">
        <f ca="1">IF(AND(INDEX(STM,CP191,4)&gt;=$AB191,INDEX(STM,CP191,5)&gt;=$S191,INDEX(STM,CP191,6)&gt;=$R191),1,0)</f>
        <v>#N/A</v>
      </c>
      <c r="CR191" s="4" t="e">
        <f t="shared" ref="CR191" ca="1" si="2937">MATCH(1,OFFSET(CQ191:CQ202,$W$2,0,COUNT(CQ191:CQ202)-$W$2),0)</f>
        <v>#REF!</v>
      </c>
      <c r="CS191" s="4" t="e">
        <f t="shared" ref="CS191" ca="1" si="2938">$W$2+CR191</f>
        <v>#REF!</v>
      </c>
      <c r="CT191" s="692" t="str">
        <f ca="1">IFERROR(VLOOKUP(INDEX(CP191:CP202,CS191),STM,2,FALSE),"----")</f>
        <v>----</v>
      </c>
      <c r="CU191" s="691" t="e">
        <f ca="1">MATCH($AC191,ELEI,-1)</f>
        <v>#N/A</v>
      </c>
      <c r="CV191" s="4" t="e">
        <f ca="1">IF(AND(INDEX(ELM,CU191,4)&gt;=$AB191,INDEX(ELM,CU191,5)&gt;=$S191,INDEX(ELM,CU191,6)&gt;=$R191),1,0)</f>
        <v>#N/A</v>
      </c>
      <c r="CW191" s="4" t="e">
        <f t="shared" ref="CW191" ca="1" si="2939">MATCH(1,OFFSET(CV191:CV202,$W$2,0,COUNT(CV191:CV202)-$W$2),0)</f>
        <v>#REF!</v>
      </c>
      <c r="CX191" s="4" t="e">
        <f t="shared" ref="CX191" ca="1" si="2940">$W$2+CW191</f>
        <v>#REF!</v>
      </c>
      <c r="CY191" s="692" t="str">
        <f ca="1">IFERROR(VLOOKUP(INDEX(CU191:CU202,CX191),ELM,2,FALSE),"----")</f>
        <v>----</v>
      </c>
      <c r="CZ191" s="691" t="e">
        <f ca="1">IF(LEFT($J191,7)="Clad Wo",MATCH($AC191,SPEIW,-1),MATCH($AC191,SPEI,-1))</f>
        <v>#N/A</v>
      </c>
      <c r="DA191" s="4" t="e">
        <f ca="1">IF(LEFT($J191,7)="Clad Wo",IF(AND(INDEX(SPPWS,CZ191,4)&gt;=$AB191,INDEX(SPPWS,CZ191,5)&gt;=$S191,INDEX(SPPWS,CZ191,6)&gt;=$R191),1,0),IF(AND(INDEX(SPM,CZ191,4)&gt;=$AB191,INDEX(SPM,CZ191,5)&gt;=$S191,INDEX(SPM,CZ191,6)&gt;=$R191),1,0))</f>
        <v>#N/A</v>
      </c>
      <c r="DB191" s="4" t="e">
        <f t="shared" ref="DB191" ca="1" si="2941">MATCH(1,OFFSET(DA191:DA202,$W$2,0,COUNT(DA191:DA202)-$W$2),0)</f>
        <v>#REF!</v>
      </c>
      <c r="DC191" s="4" t="e">
        <f t="shared" ref="DC191" ca="1" si="2942">$W$2+DB191</f>
        <v>#REF!</v>
      </c>
      <c r="DD191" s="693" t="str">
        <f ca="1">IF(LEFT($J191,7)="Clad Wo",IFERROR(VLOOKUP(INDEX(CZ191:CZ202,DC191),SPPWS,2,FALSE),"----"),IFERROR(VLOOKUP(INDEX(CZ191:CZ202,DC191),SPM,2,FALSE),"----"))</f>
        <v>----</v>
      </c>
      <c r="DE191" s="691" t="e">
        <f ca="1">MATCH(AC197,INDIRECT(BX191),-1)</f>
        <v>#REF!</v>
      </c>
      <c r="DF191" s="4" t="e" cm="1">
        <f t="array" aca="1" ref="DF191" ca="1">IF(AND(INDEX(INDIRECT(BY191),DE191,4)&gt;=$AB197,INDEX(INDIRECT(BY191),DE191,5)&gt;=$S191,INDEX(INDIRECT(BY191),DE191,6)&gt;=$R191),1,0)</f>
        <v>#REF!</v>
      </c>
      <c r="DG191" s="4" t="e">
        <f t="shared" ref="DG191" ca="1" si="2943">MATCH(1,OFFSET(DF191:DF202,$W$2,0,COUNT(DF191:DF202)-$W$2),0)</f>
        <v>#REF!</v>
      </c>
      <c r="DH191" s="4" t="e">
        <f t="shared" ref="DH191" ca="1" si="2944">$W$2+DG191</f>
        <v>#REF!</v>
      </c>
      <c r="DI191" s="692" t="str" cm="1">
        <f t="array" aca="1" ref="DI191" ca="1">IFERROR(VLOOKUP(INDEX(DE191:DE202,DH191),INDIRECT(BY191),2,FALSE),"----")</f>
        <v>----</v>
      </c>
      <c r="DJ191" s="691" t="e">
        <f ca="1">MATCH($AC197,SSEI,-1)</f>
        <v>#N/A</v>
      </c>
      <c r="DK191" s="4" t="e">
        <f ca="1">IF(AND(INDEX(SSM,DJ191,4)&gt;=$AB197,INDEX(SSM,DJ191,5)&gt;=$S191,INDEX(SSM,DJ191,6)&gt;=$R191),1,0)</f>
        <v>#N/A</v>
      </c>
      <c r="DL191" s="4" t="e">
        <f t="shared" ref="DL191" ca="1" si="2945">MATCH(1,OFFSET(DK191:DK202,$W$2,0,COUNT(DK191:DK202)-$W$2),0)</f>
        <v>#REF!</v>
      </c>
      <c r="DM191" s="4" t="e">
        <f t="shared" ref="DM191" ca="1" si="2946">$W$2+DL191</f>
        <v>#REF!</v>
      </c>
      <c r="DN191" s="692" t="str">
        <f ca="1">IFERROR(IF(AD198="Nested Steel Stud (wood infill)",VLOOKUP(INDEX(DJ191:DJ202,DM191),SSW,2,FALSE),VLOOKUP(INDEX(DJ191:DJ202,DM191),SSM,2,FALSE)),"----")</f>
        <v>----</v>
      </c>
      <c r="DO191" s="691" t="e">
        <f ca="1">MATCH($AC197,WSEI,-1)</f>
        <v>#N/A</v>
      </c>
      <c r="DP191" s="4" t="e">
        <f ca="1">IF(AND(INDEX(WSM,DO191,4)&gt;=$AB197,INDEX(WSM,DO191,5)&gt;=$S191,INDEX(WSM,DO191,6)&gt;=$R191),1,0)</f>
        <v>#N/A</v>
      </c>
      <c r="DQ191" s="4" t="e">
        <f t="shared" ref="DQ191" ca="1" si="2947">MATCH(1,OFFSET(DP191:DP202,$W$2,0,COUNT(DP191:DP202)-$W$2),0)</f>
        <v>#REF!</v>
      </c>
      <c r="DR191" s="4" t="e">
        <f t="shared" ref="DR191" ca="1" si="2948">$W$2+DQ191</f>
        <v>#REF!</v>
      </c>
      <c r="DS191" s="692" t="str">
        <f ca="1">IFERROR(VLOOKUP(INDEX(DO191:DO202,DR191),WSM,2,FALSE),"----")</f>
        <v>----</v>
      </c>
      <c r="DT191" s="691" t="e">
        <f ca="1">MATCH($AC197,STEI,-1)</f>
        <v>#N/A</v>
      </c>
      <c r="DU191" s="4" t="e">
        <f ca="1">IF(AND(INDEX(STM,DT191,4)&gt;=$AB197,INDEX(STM,DT191,5)&gt;=$S191,INDEX(STM,DT191,6)&gt;=$R191),1,0)</f>
        <v>#N/A</v>
      </c>
      <c r="DV191" s="4" t="e">
        <f t="shared" ref="DV191" ca="1" si="2949">MATCH(1,OFFSET(DU191:DU202,$W$2,0,COUNT(DU191:DU202)-$W$2),0)</f>
        <v>#REF!</v>
      </c>
      <c r="DW191" s="4" t="e">
        <f t="shared" ref="DW191" ca="1" si="2950">$W$2+DV191</f>
        <v>#REF!</v>
      </c>
      <c r="DX191" s="692" t="str">
        <f ca="1">IFERROR(VLOOKUP(INDEX(DT191:DT202,DW191),STM,2,FALSE),"----")</f>
        <v>----</v>
      </c>
      <c r="DY191" s="691" t="e">
        <f ca="1">MATCH($AC197,ELEI,-1)</f>
        <v>#N/A</v>
      </c>
      <c r="DZ191" s="4" t="e">
        <f ca="1">IF(AND(INDEX(ELM,DY191,4)&gt;=$AB197,INDEX(ELM,DY191,5)&gt;=$S191,INDEX(ELM,DY191,6)&gt;=$R191),1,0)</f>
        <v>#N/A</v>
      </c>
      <c r="EA191" s="4" t="e">
        <f t="shared" ref="EA191" ca="1" si="2951">MATCH(1,OFFSET(DZ191:DZ202,$W$2,0,COUNT(DZ191:DZ202)-$W$2),0)</f>
        <v>#REF!</v>
      </c>
      <c r="EB191" s="4" t="e">
        <f t="shared" ref="EB191" ca="1" si="2952">EA191+$W$2</f>
        <v>#REF!</v>
      </c>
      <c r="EC191" s="692" t="str">
        <f ca="1">IFERROR(VLOOKUP(INDEX(DY191:DY202,EB191),ELM,2,FALSE),"----")</f>
        <v>----</v>
      </c>
      <c r="ED191" s="691" t="e">
        <f ca="1">IF(LEFT($J191,7)="Clad Wo",MATCH($AC197,SPEIW,-1),MATCH($AC197,SPEI,-1))</f>
        <v>#N/A</v>
      </c>
      <c r="EE191" s="4" t="e">
        <f ca="1">IF(LEFT($J191,7)="Clad Wo",IF(AND(INDEX(SPPWS,ED191,4)&gt;=$AB197,INDEX(SPPWS,ED191,5)&gt;=$S191,INDEX(SPPWS,ED191,6)&gt;=$R191),1,0),IF(AND(INDEX(SPM,ED191,4)&gt;=$AB197,INDEX(SPM,ED191,5)&gt;=$S191,INDEX(SPM,ED191,6)&gt;=$R191),1,0))</f>
        <v>#N/A</v>
      </c>
      <c r="EF191" s="4" t="e">
        <f t="shared" ref="EF191" ca="1" si="2953">MATCH(1,OFFSET(EE191:EE202,$W$2,0,COUNT(EE191:EE202)-$W$2),0)</f>
        <v>#REF!</v>
      </c>
      <c r="EG191" s="4" t="e">
        <f t="shared" ref="EG191" ca="1" si="2954">$W$2+EF191</f>
        <v>#REF!</v>
      </c>
      <c r="EH191" s="692" t="str">
        <f ca="1">IF(LEFT($J191,7)="Clad Wo",IFERROR(VLOOKUP(INDEX(ED191:ED202,EG191),SPPWS,2,FALSE),"----"),IFERROR(VLOOKUP(INDEX(ED191:ED202,EG191),SPM,2,FALSE),"----"))</f>
        <v>----</v>
      </c>
    </row>
    <row r="192" spans="1:138" ht="15" customHeight="1" x14ac:dyDescent="0.25">
      <c r="A192" s="1085"/>
      <c r="B192" s="925"/>
      <c r="C192" s="926"/>
      <c r="D192" s="927"/>
      <c r="E192" s="995"/>
      <c r="F192" s="996"/>
      <c r="G192" s="997"/>
      <c r="H192" s="1062"/>
      <c r="I192" s="990"/>
      <c r="J192" s="908"/>
      <c r="K192" s="909"/>
      <c r="L192" s="1002"/>
      <c r="M192" s="923"/>
      <c r="N192" s="1042"/>
      <c r="O192" s="1018"/>
      <c r="P192" s="987"/>
      <c r="Q192" s="1015"/>
      <c r="R192" s="1012"/>
      <c r="S192" s="1006"/>
      <c r="T192" s="1007"/>
      <c r="U192" s="878"/>
      <c r="V192" s="881"/>
      <c r="W192" s="884"/>
      <c r="X192" s="884"/>
      <c r="Y192" s="887"/>
      <c r="Z192" s="887"/>
      <c r="AA192" s="887"/>
      <c r="AB192" s="1081"/>
      <c r="AC192" s="1078"/>
      <c r="AD192" s="1102" t="s">
        <v>38</v>
      </c>
      <c r="AE192" s="1103"/>
      <c r="AF192" s="1052"/>
      <c r="AG192" s="1053"/>
      <c r="AH192" s="1053"/>
      <c r="AI192" s="1066"/>
      <c r="AJ192" s="1067"/>
      <c r="AK192" s="156" t="str">
        <f t="shared" ca="1" si="2393"/>
        <v/>
      </c>
      <c r="AL192" s="1039"/>
      <c r="AM192" s="343" t="str">
        <f ca="1">IFERROR(Q191/12*ROUND(VLOOKUP(AF192,OFFSET(SSM,0,1),6,FALSE),2),"")</f>
        <v/>
      </c>
      <c r="AN192" t="str">
        <f t="shared" ca="1" si="2409"/>
        <v/>
      </c>
      <c r="AP192" s="122" t="str">
        <f t="shared" ref="AP192" si="2955">_xlfn.CONCAT(AR192,AS196)</f>
        <v/>
      </c>
      <c r="AQ192" s="683" t="str">
        <f t="shared" si="2617"/>
        <v/>
      </c>
      <c r="AR192" s="96" t="str">
        <f t="shared" si="2378"/>
        <v/>
      </c>
      <c r="AS192" s="96" t="str">
        <f>IF(COUNTIF(Vista_1,AF191)=1,"Vista_1",IF(COUNTIF(Vista_2,AF191)=1,"Vista_2",""))</f>
        <v/>
      </c>
      <c r="AT192" s="684" t="str">
        <f>AL191</f>
        <v/>
      </c>
      <c r="AU192" s="694" t="e">
        <f t="shared" ref="AU192" ca="1" si="2956">AU191-1</f>
        <v>#REF!</v>
      </c>
      <c r="AV192" s="686" t="str">
        <f ca="1">IFERROR(VLOOKUP(AU192,INDIRECT(AQ191),2,FALSE),"----")</f>
        <v>----</v>
      </c>
      <c r="AW192" s="694" t="e">
        <f t="shared" ref="AW192:AW193" ca="1" si="2957">AW191-1</f>
        <v>#REF!</v>
      </c>
      <c r="AX192" s="686" t="str">
        <f ca="1">IFERROR(VLOOKUP(AW192,INDIRECT(AQ192),2,FALSE),"----")</f>
        <v>----</v>
      </c>
      <c r="AY192" s="694" t="e">
        <f t="shared" ref="AY192:AY193" ca="1" si="2958">AY191-1</f>
        <v>#REF!</v>
      </c>
      <c r="AZ192" s="686" t="str">
        <f ca="1">IFERROR(VLOOKUP(AY192,INDIRECT(AQ193),2,FALSE),"----")</f>
        <v>----</v>
      </c>
      <c r="BA192" s="694" t="e">
        <f t="shared" ref="BA192:BA193" ca="1" si="2959">BA191-1</f>
        <v>#REF!</v>
      </c>
      <c r="BB192" s="686" t="str">
        <f ca="1">IFERROR(VLOOKUP(BA192,INDIRECT(AQ194),2,FALSE),"----")</f>
        <v>----</v>
      </c>
      <c r="BC192" s="694" t="e">
        <f t="shared" ref="BC192:BC193" ca="1" si="2960">BC191-1</f>
        <v>#REF!</v>
      </c>
      <c r="BD192" s="686" t="str">
        <f ca="1">IFERROR(VLOOKUP(BC192,INDIRECT(AQ195),2,FALSE),"----")</f>
        <v>----</v>
      </c>
      <c r="BE192" s="694" t="e">
        <f t="shared" ref="BE192" ca="1" si="2961">BE191-1</f>
        <v>#REF!</v>
      </c>
      <c r="BF192" s="686" t="str">
        <f ca="1">IFERROR(VLOOKUP(BE192,INDIRECT(AQ196),2,FALSE),"----")</f>
        <v>----</v>
      </c>
      <c r="BG192" s="694" t="e">
        <f t="shared" ref="BG192" ca="1" si="2962">BG191-1</f>
        <v>#REF!</v>
      </c>
      <c r="BH192" s="686" t="str">
        <f ca="1">IFERROR(VLOOKUP(BG192,INDIRECT(AQ197),2,FALSE),"----")</f>
        <v>----</v>
      </c>
      <c r="BI192" s="694" t="e">
        <f t="shared" ref="BI192:BI193" ca="1" si="2963">BI191-1</f>
        <v>#REF!</v>
      </c>
      <c r="BJ192" s="686" t="str">
        <f ca="1">IFERROR(VLOOKUP(BI192,INDIRECT(AQ198),2,FALSE),"----")</f>
        <v>----</v>
      </c>
      <c r="BK192" s="694" t="e">
        <f t="shared" ref="BK192:BK193" ca="1" si="2964">BK191-1</f>
        <v>#REF!</v>
      </c>
      <c r="BL192" s="686" t="str">
        <f ca="1">IFERROR(VLOOKUP(BK192,INDIRECT(AQ199),2,FALSE),"----")</f>
        <v>----</v>
      </c>
      <c r="BM192" s="694" t="e">
        <f t="shared" ref="BM192:BM193" ca="1" si="2965">BM191-1</f>
        <v>#REF!</v>
      </c>
      <c r="BN192" s="686" t="str">
        <f ca="1">IFERROR(VLOOKUP(BM192,INDIRECT(AQ200),2,FALSE),"----")</f>
        <v>----</v>
      </c>
      <c r="BO192" s="694" t="e">
        <f t="shared" ref="BO192:BO193" ca="1" si="2966">BO191-1</f>
        <v>#REF!</v>
      </c>
      <c r="BP192" s="686" t="str">
        <f ca="1">IFERROR(VLOOKUP(BO192,INDIRECT(AQ201),2,FALSE),"----")</f>
        <v>----</v>
      </c>
      <c r="BQ192" s="694" t="e">
        <f t="shared" ref="BQ192" ca="1" si="2967">BQ191-1</f>
        <v>#REF!</v>
      </c>
      <c r="BR192" s="686" t="str">
        <f ca="1">IFERROR(VLOOKUP(BQ192,INDIRECT(AQ202),2,FALSE),"----")</f>
        <v>----</v>
      </c>
      <c r="BS192" s="695">
        <f>IF(AI192="",1,IF(COUNTIF(AX191:AX202,AI192)=0,2,1))</f>
        <v>1</v>
      </c>
      <c r="BT192" s="696">
        <f>IF(AF192="",1,IF(AX191=".",2,1))</f>
        <v>1</v>
      </c>
      <c r="BU192" s="706"/>
      <c r="BV192" s="155">
        <f ca="1">IF(COUNTIF(CJ191:CJ202,AF192)=0,IF(AF192&lt;&gt;"",0,1),1)</f>
        <v>1</v>
      </c>
      <c r="BW192" s="157">
        <f ca="1">IFERROR(MATCH(AF192,CJ191:CJ202,0),1)</f>
        <v>1</v>
      </c>
      <c r="BX192" s="769"/>
      <c r="BY192" s="769"/>
      <c r="BZ192" s="1110"/>
      <c r="CA192" s="691" t="e">
        <f t="shared" ref="CA192:CA202" ca="1" si="2968">CA191-1</f>
        <v>#REF!</v>
      </c>
      <c r="CB192" s="4" t="e" cm="1">
        <f t="array" aca="1" ref="CB192" ca="1">IF(AND(INDEX(INDIRECT(BY191),CA192,4)&gt;=$AB191,INDEX(INDIRECT(BY191),CA192,5)&gt;=$S191,INDEX(INDIRECT(BY191),CA192,6)&gt;=$R191),1,0)</f>
        <v>#REF!</v>
      </c>
      <c r="CC192" s="4" t="e">
        <f t="shared" ref="CC192" ca="1" si="2969">MATCH(1,OFFSET(CB191:CB202,CD191,0,COUNT(CB191:CB202)-CD191),0)</f>
        <v>#REF!</v>
      </c>
      <c r="CD192" s="4" t="e">
        <f t="shared" ref="CD192:CD202" ca="1" si="2970">CD191+CC192</f>
        <v>#REF!</v>
      </c>
      <c r="CE192" s="692" t="str" cm="1">
        <f t="array" aca="1" ref="CE192" ca="1">IFERROR(VLOOKUP(INDEX(CA191:CA202,CD192),INDIRECT(BY191),2,FALSE),"----")</f>
        <v>----</v>
      </c>
      <c r="CF192" s="691" t="e">
        <f t="shared" ref="CF192:CF202" ca="1" si="2971">CF191-1</f>
        <v>#N/A</v>
      </c>
      <c r="CG192" s="4" t="e">
        <f ca="1">IF(AND(INDEX(SSM,CF192,4)&gt;=$AB191,INDEX(SSM,CF192,5)&gt;=$S191,INDEX(SSM,CF192,6)&gt;=$R191),1,0)</f>
        <v>#N/A</v>
      </c>
      <c r="CH192" s="4" t="e">
        <f t="shared" ref="CH192" ca="1" si="2972">MATCH(1,OFFSET(CG191:CG202,CI191,0,COUNT(CG191:CG202)-CI191),0)</f>
        <v>#REF!</v>
      </c>
      <c r="CI192" s="4" t="e">
        <f t="shared" ref="CI192:CI202" ca="1" si="2973">CI191+CH192</f>
        <v>#REF!</v>
      </c>
      <c r="CJ192" s="692" t="str">
        <f ca="1">IFERROR(IF(AD192="Nested Steel Stud (wood infill)",VLOOKUP(INDEX(CF191:CF202,CI192),SSW,2,FALSE),VLOOKUP(INDEX(CF191:CF202,CI192),SSM,2,FALSE)),"----")</f>
        <v>----</v>
      </c>
      <c r="CK192" s="691" t="e">
        <f t="shared" ref="CK192:CK202" ca="1" si="2974">CK191-1</f>
        <v>#N/A</v>
      </c>
      <c r="CL192" s="4" t="e">
        <f ca="1">IF(AND(INDEX(WSM,CK192,4)&gt;=$AB191,INDEX(WSM,CK192,5)&gt;=$S191,INDEX(WSM,CK192,6)&gt;=$R191),1,0)</f>
        <v>#N/A</v>
      </c>
      <c r="CM192" s="4" t="e">
        <f t="shared" ref="CM192" ca="1" si="2975">MATCH(1,OFFSET(CL191:CL202,CN191,0,COUNT(CL191:CL202)-CN191),0)</f>
        <v>#REF!</v>
      </c>
      <c r="CN192" s="4" t="e">
        <f t="shared" ref="CN192:CN202" ca="1" si="2976">CM192+CN191</f>
        <v>#REF!</v>
      </c>
      <c r="CO192" s="692" t="str">
        <f ca="1">IFERROR(VLOOKUP(INDEX(CK191:CK202,CN192),WSM,2,FALSE),"----")</f>
        <v>----</v>
      </c>
      <c r="CP192" s="691" t="e">
        <f t="shared" ref="CP192:CP202" ca="1" si="2977">CP191-1</f>
        <v>#N/A</v>
      </c>
      <c r="CQ192" s="4" t="e">
        <f ca="1">IF(AND(INDEX(STM,CP192,4)&gt;=$AB191,INDEX(STM,CP192,5)&gt;=$S191,INDEX(STM,CP192,6)&gt;=$R191),1,0)</f>
        <v>#N/A</v>
      </c>
      <c r="CR192" s="4" t="e">
        <f t="shared" ref="CR192" ca="1" si="2978">MATCH(1,OFFSET(CQ191:CQ202,CS191,0,COUNT(CQ191:CQ202)-CS191),0)</f>
        <v>#REF!</v>
      </c>
      <c r="CS192" s="4" t="e">
        <f t="shared" ref="CS192:CS202" ca="1" si="2979">CR192+CS191</f>
        <v>#REF!</v>
      </c>
      <c r="CT192" s="692" t="str">
        <f ca="1">IFERROR(VLOOKUP(INDEX(CP191:CP202,CS192),STM,2,FALSE),"----")</f>
        <v>----</v>
      </c>
      <c r="CU192" s="691" t="e">
        <f t="shared" ref="CU192:CU202" ca="1" si="2980">CU191-1</f>
        <v>#N/A</v>
      </c>
      <c r="CV192" s="4" t="e">
        <f ca="1">IF(AND(INDEX(ELM,CU192,4)&gt;=$AB191,INDEX(ELM,CU192,5)&gt;=$S191,INDEX(ELM,CU192,6)&gt;=$R191),1,0)</f>
        <v>#N/A</v>
      </c>
      <c r="CW192" s="4" t="e">
        <f t="shared" ref="CW192" ca="1" si="2981">MATCH(1,OFFSET(CV191:CV202,CX191,0,COUNT(CV191:CV202)-CX191),0)</f>
        <v>#REF!</v>
      </c>
      <c r="CX192" s="4" t="e">
        <f t="shared" ref="CX192:CX202" ca="1" si="2982">CW192+CX191</f>
        <v>#REF!</v>
      </c>
      <c r="CY192" s="692" t="str">
        <f ca="1">IFERROR(VLOOKUP(INDEX(CU191:CU202,CX192),ELM,2,FALSE),"----")</f>
        <v>----</v>
      </c>
      <c r="CZ192" s="691" t="e">
        <f t="shared" ref="CZ192:CZ202" ca="1" si="2983">CZ191-1</f>
        <v>#N/A</v>
      </c>
      <c r="DA192" s="4" t="e">
        <f ca="1">IF(LEFT($J191,7)="Clad Wo",IF(AND(INDEX(SPPWS,CZ192,4)&gt;=$AB191,INDEX(SPPWS,CZ192,5)&gt;=$S191,INDEX(SPPWS,CZ192,6)&gt;=$R191),1,0),IF(AND(INDEX(SPM,CZ192,4)&gt;=$AB191,INDEX(SPM,CZ192,5)&gt;=$S191,INDEX(SPM,CZ192,6)&gt;=$R191),1,0))</f>
        <v>#N/A</v>
      </c>
      <c r="DB192" s="4" t="e">
        <f t="shared" ref="DB192" ca="1" si="2984">MATCH(1,OFFSET(DA191:DA202,DC191,0,COUNT(DA191:DA202)-DC191),0)</f>
        <v>#REF!</v>
      </c>
      <c r="DC192" s="4" t="e">
        <f t="shared" ref="DC192:DC202" ca="1" si="2985">DC191+DB192</f>
        <v>#REF!</v>
      </c>
      <c r="DD192" s="693" t="str">
        <f ca="1">IF(LEFT($J191,7)="Clad Wo",IFERROR(VLOOKUP(INDEX(CZ191:CZ202,DC192),SPPWS,2,FALSE),"----"),IFERROR(VLOOKUP(INDEX(CZ191:CZ202,DC192),SPM,2,FALSE),"----"))</f>
        <v>----</v>
      </c>
      <c r="DE192" s="691" t="e">
        <f t="shared" ref="DE192:DE202" ca="1" si="2986">DE191-1</f>
        <v>#REF!</v>
      </c>
      <c r="DF192" s="4" t="e" cm="1">
        <f t="array" aca="1" ref="DF192" ca="1">IF(AND(INDEX(INDIRECT(BY191),DE192,4)&gt;=$AB197,INDEX(INDIRECT(BY191),DE192,5)&gt;=$S191,INDEX(INDIRECT(BY191),DE192,6)&gt;=$R191),1,0)</f>
        <v>#REF!</v>
      </c>
      <c r="DG192" s="4" t="e">
        <f t="shared" ref="DG192" ca="1" si="2987">MATCH(1,OFFSET(DF191:DF202,DH191,0,COUNT(DF191:DF202)-DH191),0)</f>
        <v>#REF!</v>
      </c>
      <c r="DH192" s="4" t="e">
        <f t="shared" ref="DH192:DH202" ca="1" si="2988">DH191+DG192</f>
        <v>#REF!</v>
      </c>
      <c r="DI192" s="692" t="str" cm="1">
        <f t="array" aca="1" ref="DI192" ca="1">IFERROR(VLOOKUP(INDEX(DE191:DE202,DH192),INDIRECT(BY191),2,FALSE),"----")</f>
        <v>----</v>
      </c>
      <c r="DJ192" s="691" t="e">
        <f t="shared" ref="DJ192:DJ202" ca="1" si="2989">DJ191-1</f>
        <v>#N/A</v>
      </c>
      <c r="DK192" s="4" t="e">
        <f ca="1">IF(AND(INDEX(SSM,DJ192,4)&gt;=$AB197,INDEX(SSM,DJ192,5)&gt;=$S191,INDEX(SSM,DJ192,6)&gt;=$R191),1,0)</f>
        <v>#N/A</v>
      </c>
      <c r="DL192" s="4" t="e">
        <f t="shared" ref="DL192" ca="1" si="2990">MATCH(1,OFFSET(DK191:DK202,DM191,0,COUNT(DK191:DK202)-DM191),0)</f>
        <v>#REF!</v>
      </c>
      <c r="DM192" s="4" t="e">
        <f t="shared" ref="DM192:DM202" ca="1" si="2991">DL192+DM191</f>
        <v>#REF!</v>
      </c>
      <c r="DN192" s="692" t="str">
        <f ca="1">IFERROR(IF(AD198="Nested Steel Stud (wood infill)",VLOOKUP(INDEX(DJ191:DJ202,DM192),SSW,2,FALSE),VLOOKUP(INDEX(DJ191:DJ202,DM192),SSM,2,FALSE)),"----")</f>
        <v>----</v>
      </c>
      <c r="DO192" s="691" t="e">
        <f t="shared" ref="DO192:DO202" ca="1" si="2992">DO191-1</f>
        <v>#N/A</v>
      </c>
      <c r="DP192" s="4" t="e">
        <f ca="1">IF(AND(INDEX(WSM,DO192,4)&gt;=$AB197,INDEX(WSM,DO192,5)&gt;=$S191,INDEX(WSM,DO192,6)&gt;=$R191),1,0)</f>
        <v>#N/A</v>
      </c>
      <c r="DQ192" s="4" t="e">
        <f t="shared" ref="DQ192" ca="1" si="2993">MATCH(1,OFFSET(DP191:DP202,DR191,0,COUNT(DP191:DP202)-DR191),0)</f>
        <v>#REF!</v>
      </c>
      <c r="DR192" s="4" t="e">
        <f t="shared" ref="DR192:DR202" ca="1" si="2994">DQ192+DR191</f>
        <v>#REF!</v>
      </c>
      <c r="DS192" s="692" t="str">
        <f ca="1">IFERROR(VLOOKUP(INDEX(DO191:DO202,DR192),WSM,2,FALSE),"----")</f>
        <v>----</v>
      </c>
      <c r="DT192" s="691" t="e">
        <f t="shared" ref="DT192:DT202" ca="1" si="2995">DT191-1</f>
        <v>#N/A</v>
      </c>
      <c r="DU192" s="4" t="e">
        <f ca="1">IF(AND(INDEX(STM,DT192,4)&gt;=$AB197,INDEX(STM,DT192,5)&gt;=$S191,INDEX(STM,DT192,6)&gt;=$R191),1,0)</f>
        <v>#N/A</v>
      </c>
      <c r="DV192" s="4" t="e">
        <f t="shared" ref="DV192" ca="1" si="2996">MATCH(1,OFFSET(DU191:DU202,DW191,0,COUNT(DU191:DU202)-DW191),0)</f>
        <v>#REF!</v>
      </c>
      <c r="DW192" s="4" t="e">
        <f t="shared" ref="DW192:DW202" ca="1" si="2997">DV192+DW191</f>
        <v>#REF!</v>
      </c>
      <c r="DX192" s="692" t="str">
        <f ca="1">IFERROR(VLOOKUP(INDEX(DT191:DT202,DW192),STM,2,FALSE),"----")</f>
        <v>----</v>
      </c>
      <c r="DY192" s="691" t="e">
        <f t="shared" ref="DY192:DY202" ca="1" si="2998">DY191-1</f>
        <v>#N/A</v>
      </c>
      <c r="DZ192" s="4" t="e">
        <f ca="1">IF(AND(INDEX(ELM,DY192,4)&gt;=$AB197,INDEX(ELM,DY192,5)&gt;=$S191,INDEX(ELM,DY192,6)&gt;=$R191),1,0)</f>
        <v>#N/A</v>
      </c>
      <c r="EA192" s="4" t="e">
        <f t="shared" ref="EA192" ca="1" si="2999">MATCH(1,OFFSET(DZ191:DZ202,EB191,0,COUNT(DZ191:DZ202)-EB191),0)</f>
        <v>#REF!</v>
      </c>
      <c r="EB192" s="4" t="e">
        <f t="shared" ref="EB192:EB202" ca="1" si="3000">EA192+EB191</f>
        <v>#REF!</v>
      </c>
      <c r="EC192" s="692" t="str">
        <f ca="1">IFERROR(VLOOKUP(INDEX(DY191:DY202,EB192),ELM,2,FALSE),"----")</f>
        <v>----</v>
      </c>
      <c r="ED192" s="691" t="e">
        <f t="shared" ref="ED192:ED202" ca="1" si="3001">ED191-1</f>
        <v>#N/A</v>
      </c>
      <c r="EE192" s="4" t="e">
        <f ca="1">IF(LEFT($J191,7)="Clad Wo",IF(AND(INDEX(SPPWS,ED192,4)&gt;=$AB197,INDEX(SPPWS,ED192,5)&gt;=$S191,INDEX(SPPWS,ED192,6)&gt;=$R191),1,0),IF(AND(INDEX(SPM,ED192,4)&gt;=$AB197,INDEX(SPM,ED192,5)&gt;=$S191,INDEX(SPM,ED192,6)&gt;=$R191),1,0))</f>
        <v>#N/A</v>
      </c>
      <c r="EF192" s="4" t="e">
        <f t="shared" ref="EF192" ca="1" si="3002">MATCH(1,OFFSET(EE191:EE202,EG191,0,COUNT(EE191:EE202)-EG191),0)</f>
        <v>#REF!</v>
      </c>
      <c r="EG192" s="4" t="e">
        <f t="shared" ref="EG192:EG202" ca="1" si="3003">EG191+EF192</f>
        <v>#REF!</v>
      </c>
      <c r="EH192" s="692" t="str">
        <f ca="1">IF(LEFT($J191,7)="Clad Wo",IFERROR(VLOOKUP(INDEX(ED191:ED202,EG192),SPPWS,2,FALSE),"----"),IFERROR(VLOOKUP(INDEX(ED191:ED202,EG192),SPM,2,FALSE),"----"))</f>
        <v>----</v>
      </c>
    </row>
    <row r="193" spans="1:138" ht="15" customHeight="1" x14ac:dyDescent="0.25">
      <c r="A193" s="1085"/>
      <c r="B193" s="925"/>
      <c r="C193" s="926"/>
      <c r="D193" s="927"/>
      <c r="E193" s="995"/>
      <c r="F193" s="996"/>
      <c r="G193" s="997"/>
      <c r="H193" s="1062"/>
      <c r="I193" s="990"/>
      <c r="J193" s="908"/>
      <c r="K193" s="909"/>
      <c r="L193" s="1002"/>
      <c r="M193" s="923"/>
      <c r="N193" s="1042"/>
      <c r="O193" s="1018"/>
      <c r="P193" s="987"/>
      <c r="Q193" s="1015"/>
      <c r="R193" s="1012"/>
      <c r="S193" s="1006"/>
      <c r="T193" s="1007"/>
      <c r="U193" s="878"/>
      <c r="V193" s="881"/>
      <c r="W193" s="884"/>
      <c r="X193" s="884"/>
      <c r="Y193" s="887"/>
      <c r="Z193" s="887"/>
      <c r="AA193" s="887"/>
      <c r="AB193" s="1081"/>
      <c r="AC193" s="1078"/>
      <c r="AD193" s="1070" t="s">
        <v>333</v>
      </c>
      <c r="AE193" s="1071"/>
      <c r="AF193" s="1052"/>
      <c r="AG193" s="1053"/>
      <c r="AH193" s="1053"/>
      <c r="AI193" s="1066"/>
      <c r="AJ193" s="1067"/>
      <c r="AK193" s="154" t="str">
        <f t="shared" ca="1" si="2393"/>
        <v/>
      </c>
      <c r="AL193" s="1039"/>
      <c r="AM193" s="344" t="str">
        <f ca="1">IFERROR(Q191/12*ROUND(VLOOKUP(AF193,OFFSET(WSM,0,1),6,FALSE),2),"")</f>
        <v/>
      </c>
      <c r="AN193" t="str">
        <f t="shared" ca="1" si="2409"/>
        <v/>
      </c>
      <c r="AP193" s="122" t="str">
        <f t="shared" ref="AP193" si="3004">_xlfn.CONCAT(AR193,AS196)</f>
        <v/>
      </c>
      <c r="AQ193" s="683" t="str">
        <f t="shared" si="2617"/>
        <v/>
      </c>
      <c r="AR193" s="4" t="str">
        <f t="shared" si="2378"/>
        <v/>
      </c>
      <c r="AS193" s="4"/>
      <c r="AT193" s="697" t="str">
        <f>AL191</f>
        <v/>
      </c>
      <c r="AU193" s="694" t="e">
        <f t="shared" ca="1" si="2633"/>
        <v>#REF!</v>
      </c>
      <c r="AV193" s="686" t="str">
        <f ca="1">IFERROR(VLOOKUP(AU193,INDIRECT(AQ191),2,FALSE),"----")</f>
        <v>----</v>
      </c>
      <c r="AW193" s="694" t="e">
        <f t="shared" ca="1" si="2957"/>
        <v>#REF!</v>
      </c>
      <c r="AX193" s="686" t="str">
        <f ca="1">IFERROR(VLOOKUP(AW193,INDIRECT(AQ192),2,FALSE),"----")</f>
        <v>----</v>
      </c>
      <c r="AY193" s="694" t="e">
        <f t="shared" ca="1" si="2958"/>
        <v>#REF!</v>
      </c>
      <c r="AZ193" s="686" t="str">
        <f ca="1">IFERROR(VLOOKUP(AY193,INDIRECT(AQ193),2,FALSE),"----")</f>
        <v>----</v>
      </c>
      <c r="BA193" s="694" t="e">
        <f t="shared" ca="1" si="2959"/>
        <v>#REF!</v>
      </c>
      <c r="BB193" s="686" t="str">
        <f ca="1">IFERROR(VLOOKUP(BA193,INDIRECT(AQ194),2,FALSE),"----")</f>
        <v>----</v>
      </c>
      <c r="BC193" s="694" t="e">
        <f t="shared" ca="1" si="2960"/>
        <v>#REF!</v>
      </c>
      <c r="BD193" s="686" t="str">
        <f ca="1">IFERROR(VLOOKUP(BC193,INDIRECT(AQ195),2,FALSE),"----")</f>
        <v>----</v>
      </c>
      <c r="BE193" s="694" t="e">
        <f t="shared" ca="1" si="2636"/>
        <v>#REF!</v>
      </c>
      <c r="BF193" s="686" t="str">
        <f ca="1">IFERROR(VLOOKUP(BE193,INDIRECT(AQ196),2,FALSE),"----")</f>
        <v>----</v>
      </c>
      <c r="BG193" s="694" t="e">
        <f t="shared" ca="1" si="2637"/>
        <v>#REF!</v>
      </c>
      <c r="BH193" s="686" t="str">
        <f ca="1">IFERROR(VLOOKUP(BG193,INDIRECT(AQ197),2,FALSE),"----")</f>
        <v>----</v>
      </c>
      <c r="BI193" s="694" t="e">
        <f t="shared" ca="1" si="2963"/>
        <v>#REF!</v>
      </c>
      <c r="BJ193" s="686" t="str">
        <f ca="1">IFERROR(VLOOKUP(BI193,INDIRECT(AQ198),2,FALSE),"----")</f>
        <v>----</v>
      </c>
      <c r="BK193" s="694" t="e">
        <f t="shared" ca="1" si="2964"/>
        <v>#REF!</v>
      </c>
      <c r="BL193" s="686" t="str">
        <f ca="1">IFERROR(VLOOKUP(BK193,INDIRECT(AQ199),2,FALSE),"----")</f>
        <v>----</v>
      </c>
      <c r="BM193" s="694" t="e">
        <f t="shared" ca="1" si="2965"/>
        <v>#REF!</v>
      </c>
      <c r="BN193" s="686" t="str">
        <f ca="1">IFERROR(VLOOKUP(BM193,INDIRECT(AQ200),2,FALSE),"----")</f>
        <v>----</v>
      </c>
      <c r="BO193" s="694" t="e">
        <f t="shared" ca="1" si="2966"/>
        <v>#REF!</v>
      </c>
      <c r="BP193" s="686" t="str">
        <f ca="1">IFERROR(VLOOKUP(BO193,INDIRECT(AQ201),2,FALSE),"----")</f>
        <v>----</v>
      </c>
      <c r="BQ193" s="694" t="e">
        <f t="shared" ca="1" si="2642"/>
        <v>#REF!</v>
      </c>
      <c r="BR193" s="686" t="str">
        <f ca="1">IFERROR(VLOOKUP(BQ193,INDIRECT(AQ202),2,FALSE),"----")</f>
        <v>----</v>
      </c>
      <c r="BS193" s="695">
        <f>IF(AI193="",1,IF(COUNTIF(AZ191:AZ202,AI193)=0,2,1))</f>
        <v>1</v>
      </c>
      <c r="BT193" s="696">
        <f>IF(AF193="",1,IF(AZ191=".",2,1))</f>
        <v>1</v>
      </c>
      <c r="BU193" s="706"/>
      <c r="BV193" s="155">
        <f ca="1">IF(COUNTIF(CO191:CO202,AF193)=0,IF(AF193&lt;&gt;"",0,1),1)</f>
        <v>1</v>
      </c>
      <c r="BW193" s="157">
        <f ca="1">IFERROR(MATCH(AF193,CO191:CO202,0),1)</f>
        <v>1</v>
      </c>
      <c r="BX193" s="769"/>
      <c r="BY193" s="769"/>
      <c r="BZ193" s="1110"/>
      <c r="CA193" s="691" t="e">
        <f t="shared" ca="1" si="2968"/>
        <v>#REF!</v>
      </c>
      <c r="CB193" s="4" t="e" cm="1">
        <f t="array" aca="1" ref="CB193" ca="1">IF(AND(INDEX(INDIRECT(BY191),CA193,4)&gt;=$AB191,INDEX(INDIRECT(BY191),CA193,5)&gt;=$S191,INDEX(INDIRECT(BY191),CA193,6)&gt;=$R191),1,0)</f>
        <v>#REF!</v>
      </c>
      <c r="CC193" s="4" t="e">
        <f t="shared" ref="CC193" ca="1" si="3005">MATCH(1,OFFSET(CB191:CB202,CD192,0,COUNT(CB191:CB202)-CD192),0)</f>
        <v>#REF!</v>
      </c>
      <c r="CD193" s="4" t="e">
        <f t="shared" ca="1" si="2970"/>
        <v>#REF!</v>
      </c>
      <c r="CE193" s="692" t="str" cm="1">
        <f t="array" aca="1" ref="CE193" ca="1">IFERROR(VLOOKUP(INDEX(CA191:CA202,CD193),INDIRECT(BY191),2,FALSE),"----")</f>
        <v>----</v>
      </c>
      <c r="CF193" s="691" t="e">
        <f t="shared" ca="1" si="2971"/>
        <v>#N/A</v>
      </c>
      <c r="CG193" s="4" t="e">
        <f ca="1">IF(AND(INDEX(SSM,CF193,4)&gt;=$AB191,INDEX(SSM,CF193,5)&gt;=$S191,INDEX(SSM,CF193,6)&gt;=$R191),1,0)</f>
        <v>#N/A</v>
      </c>
      <c r="CH193" s="4" t="e">
        <f t="shared" ref="CH193" ca="1" si="3006">MATCH(1,OFFSET(CG191:CG202,CI192,0,COUNT(CG191:CG202)-CI192),0)</f>
        <v>#REF!</v>
      </c>
      <c r="CI193" s="4" t="e">
        <f t="shared" ca="1" si="2973"/>
        <v>#REF!</v>
      </c>
      <c r="CJ193" s="692" t="str">
        <f ca="1">IFERROR(IF(AD192="Nested Steel Stud (wood infill)",VLOOKUP(INDEX(CF191:CF202,CI193),SSW,2,FALSE),VLOOKUP(INDEX(CF191:CF202,CI193),SSM,2,FALSE)),"----")</f>
        <v>----</v>
      </c>
      <c r="CK193" s="691" t="e">
        <f t="shared" ca="1" si="2974"/>
        <v>#N/A</v>
      </c>
      <c r="CL193" s="4" t="e">
        <f ca="1">IF(AND(INDEX(WSM,CK193,4)&gt;=$AB191,INDEX(WSM,CK193,5)&gt;=$S191,INDEX(WSM,CK193,6)&gt;=$R191),1,0)</f>
        <v>#N/A</v>
      </c>
      <c r="CM193" s="4" t="e">
        <f t="shared" ref="CM193" ca="1" si="3007">MATCH(1,OFFSET(CL191:CL202,CN192,0,COUNT(CL191:CL202)-CN192),0)</f>
        <v>#REF!</v>
      </c>
      <c r="CN193" s="4" t="e">
        <f t="shared" ca="1" si="2976"/>
        <v>#REF!</v>
      </c>
      <c r="CO193" s="692" t="str">
        <f ca="1">IFERROR(VLOOKUP(INDEX(CK191:CK202,CN193),WSM,2,FALSE),"----")</f>
        <v>----</v>
      </c>
      <c r="CP193" s="691" t="e">
        <f t="shared" ca="1" si="2977"/>
        <v>#N/A</v>
      </c>
      <c r="CQ193" s="4" t="e">
        <f ca="1">IF(AND(INDEX(STM,CP193,4)&gt;=$AB191,INDEX(STM,CP193,5)&gt;=$S191,INDEX(STM,CP193,6)&gt;=$R191),1,0)</f>
        <v>#N/A</v>
      </c>
      <c r="CR193" s="4" t="e">
        <f t="shared" ref="CR193" ca="1" si="3008">MATCH(1,OFFSET(CQ191:CQ202,CS192,0,COUNT(CQ191:CQ202)-CS192),0)</f>
        <v>#REF!</v>
      </c>
      <c r="CS193" s="4" t="e">
        <f t="shared" ca="1" si="2979"/>
        <v>#REF!</v>
      </c>
      <c r="CT193" s="692" t="str">
        <f ca="1">IFERROR(VLOOKUP(INDEX(CP191:CP202,CS193),STM,2,FALSE),"----")</f>
        <v>----</v>
      </c>
      <c r="CU193" s="691" t="e">
        <f t="shared" ca="1" si="2980"/>
        <v>#N/A</v>
      </c>
      <c r="CV193" s="4" t="e">
        <f ca="1">IF(AND(INDEX(ELM,CU193,4)&gt;=$AB191,INDEX(ELM,CU193,5)&gt;=$S191,INDEX(ELM,CU193,6)&gt;=$R191),1,0)</f>
        <v>#N/A</v>
      </c>
      <c r="CW193" s="4" t="e">
        <f t="shared" ref="CW193" ca="1" si="3009">MATCH(1,OFFSET(CV191:CV202,CX192,0,COUNT(CV191:CV202)-CX192),0)</f>
        <v>#REF!</v>
      </c>
      <c r="CX193" s="4" t="e">
        <f t="shared" ca="1" si="2982"/>
        <v>#REF!</v>
      </c>
      <c r="CY193" s="692" t="str">
        <f ca="1">IFERROR(VLOOKUP(INDEX(CU191:CU202,CX193),ELM,2,FALSE),"----")</f>
        <v>----</v>
      </c>
      <c r="CZ193" s="691" t="e">
        <f t="shared" ca="1" si="2983"/>
        <v>#N/A</v>
      </c>
      <c r="DA193" s="4" t="e">
        <f ca="1">IF(LEFT($J191,7)="Clad Wo",IF(AND(INDEX(SPPWS,CZ193,4)&gt;=$AB191,INDEX(SPPWS,CZ193,5)&gt;=$S191,INDEX(SPPWS,CZ193,6)&gt;=$R191),1,0),IF(AND(INDEX(SPM,CZ193,4)&gt;=$AB191,INDEX(SPM,CZ193,5)&gt;=$S191,INDEX(SPM,CZ193,6)&gt;=$R191),1,0))</f>
        <v>#N/A</v>
      </c>
      <c r="DB193" s="4" t="e">
        <f t="shared" ref="DB193" ca="1" si="3010">MATCH(1,OFFSET(DA191:DA202,DC192,0,COUNT(DA191:DA202)-DC192),0)</f>
        <v>#REF!</v>
      </c>
      <c r="DC193" s="4" t="e">
        <f t="shared" ca="1" si="2985"/>
        <v>#REF!</v>
      </c>
      <c r="DD193" s="693" t="str">
        <f ca="1">IF(LEFT($J191,7)="Clad Wo",IFERROR(VLOOKUP(INDEX(CZ191:CZ202,DC193),SPPWS,2,FALSE),"----"),IFERROR(VLOOKUP(INDEX(CZ191:CZ202,DC193),SPM,2,FALSE),"----"))</f>
        <v>----</v>
      </c>
      <c r="DE193" s="691" t="e">
        <f t="shared" ca="1" si="2986"/>
        <v>#REF!</v>
      </c>
      <c r="DF193" s="4" t="e" cm="1">
        <f t="array" aca="1" ref="DF193" ca="1">IF(AND(INDEX(INDIRECT(BY191),DE193,4)&gt;=$AB197,INDEX(INDIRECT(BY191),DE193,5)&gt;=$S191,INDEX(INDIRECT(BY191),DE193,6)&gt;=$R191),1,0)</f>
        <v>#REF!</v>
      </c>
      <c r="DG193" s="4" t="e">
        <f t="shared" ref="DG193" ca="1" si="3011">MATCH(1,OFFSET(DF191:DF202,DH192,0,COUNT(DF191:DF202)-DH192),0)</f>
        <v>#REF!</v>
      </c>
      <c r="DH193" s="4" t="e">
        <f t="shared" ca="1" si="2988"/>
        <v>#REF!</v>
      </c>
      <c r="DI193" s="692" t="str" cm="1">
        <f t="array" aca="1" ref="DI193" ca="1">IFERROR(VLOOKUP(INDEX(DE191:DE202,DH193),INDIRECT(BY191),2,FALSE),"----")</f>
        <v>----</v>
      </c>
      <c r="DJ193" s="691" t="e">
        <f t="shared" ca="1" si="2989"/>
        <v>#N/A</v>
      </c>
      <c r="DK193" s="4" t="e">
        <f ca="1">IF(AND(INDEX(SSM,DJ193,4)&gt;=$AB197,INDEX(SSM,DJ193,5)&gt;=$S191,INDEX(SSM,DJ193,6)&gt;=$R191),1,0)</f>
        <v>#N/A</v>
      </c>
      <c r="DL193" s="4" t="e">
        <f t="shared" ref="DL193" ca="1" si="3012">MATCH(1,OFFSET(DK191:DK202,DM192,0,COUNT(DK191:DK202)-DM192),0)</f>
        <v>#REF!</v>
      </c>
      <c r="DM193" s="4" t="e">
        <f t="shared" ca="1" si="2991"/>
        <v>#REF!</v>
      </c>
      <c r="DN193" s="692" t="str">
        <f ca="1">IFERROR(IF(AD198="Nested Steel Stud (wood infill)",VLOOKUP(INDEX(DJ191:DJ202,DM193),SSW,2,FALSE),VLOOKUP(INDEX(DJ191:DJ202,DM193),SSM,2,FALSE)),"----")</f>
        <v>----</v>
      </c>
      <c r="DO193" s="691" t="e">
        <f t="shared" ca="1" si="2992"/>
        <v>#N/A</v>
      </c>
      <c r="DP193" s="4" t="e">
        <f ca="1">IF(AND(INDEX(WSM,DO193,4)&gt;=$AB197,INDEX(WSM,DO193,5)&gt;=$S191,INDEX(WSM,DO193,6)&gt;=$R191),1,0)</f>
        <v>#N/A</v>
      </c>
      <c r="DQ193" s="4" t="e">
        <f t="shared" ref="DQ193" ca="1" si="3013">MATCH(1,OFFSET(DP191:DP202,DR192,0,COUNT(DP191:DP202)-DR192),0)</f>
        <v>#REF!</v>
      </c>
      <c r="DR193" s="4" t="e">
        <f t="shared" ca="1" si="2994"/>
        <v>#REF!</v>
      </c>
      <c r="DS193" s="692" t="str">
        <f ca="1">IFERROR(VLOOKUP(INDEX(DO191:DO202,DR193),WSM,2,FALSE),"----")</f>
        <v>----</v>
      </c>
      <c r="DT193" s="691" t="e">
        <f t="shared" ca="1" si="2995"/>
        <v>#N/A</v>
      </c>
      <c r="DU193" s="4" t="e">
        <f ca="1">IF(AND(INDEX(STM,DT193,4)&gt;=$AB197,INDEX(STM,DT193,5)&gt;=$S191,INDEX(STM,DT193,6)&gt;=$R191),1,0)</f>
        <v>#N/A</v>
      </c>
      <c r="DV193" s="4" t="e">
        <f t="shared" ref="DV193" ca="1" si="3014">MATCH(1,OFFSET(DU191:DU202,DW192,0,COUNT(DU191:DU202)-DW192),0)</f>
        <v>#REF!</v>
      </c>
      <c r="DW193" s="4" t="e">
        <f t="shared" ca="1" si="2997"/>
        <v>#REF!</v>
      </c>
      <c r="DX193" s="692" t="str">
        <f ca="1">IFERROR(VLOOKUP(INDEX(DT191:DT202,DW193),STM,2,FALSE),"----")</f>
        <v>----</v>
      </c>
      <c r="DY193" s="691" t="e">
        <f t="shared" ca="1" si="2998"/>
        <v>#N/A</v>
      </c>
      <c r="DZ193" s="4" t="e">
        <f ca="1">IF(AND(INDEX(ELM,DY193,4)&gt;=$AB197,INDEX(ELM,DY193,5)&gt;=$S191,INDEX(ELM,DY193,6)&gt;=$R191),1,0)</f>
        <v>#N/A</v>
      </c>
      <c r="EA193" s="4" t="e">
        <f t="shared" ref="EA193" ca="1" si="3015">MATCH(1,OFFSET(DZ191:DZ202,EB192,0,COUNT(DZ191:DZ202)-EB192),0)</f>
        <v>#REF!</v>
      </c>
      <c r="EB193" s="4" t="e">
        <f t="shared" ca="1" si="3000"/>
        <v>#REF!</v>
      </c>
      <c r="EC193" s="692" t="str">
        <f ca="1">IFERROR(VLOOKUP(INDEX(DY191:DY202,EB193),ELM,2,FALSE),"----")</f>
        <v>----</v>
      </c>
      <c r="ED193" s="691" t="e">
        <f t="shared" ca="1" si="3001"/>
        <v>#N/A</v>
      </c>
      <c r="EE193" s="4" t="e">
        <f ca="1">IF(LEFT($J191,7)="Clad Wo",IF(AND(INDEX(SPPWS,ED193,4)&gt;=$AB197,INDEX(SPPWS,ED193,5)&gt;=$S191,INDEX(SPPWS,ED193,6)&gt;=$R191),1,0),IF(AND(INDEX(SPM,ED193,4)&gt;=$AB197,INDEX(SPM,ED193,5)&gt;=$S191,INDEX(SPM,ED193,6)&gt;=$R191),1,0))</f>
        <v>#N/A</v>
      </c>
      <c r="EF193" s="4" t="e">
        <f t="shared" ref="EF193" ca="1" si="3016">MATCH(1,OFFSET(EE191:EE202,EG192,0,COUNT(EE191:EE202)-EG192),0)</f>
        <v>#REF!</v>
      </c>
      <c r="EG193" s="4" t="e">
        <f t="shared" ca="1" si="3003"/>
        <v>#REF!</v>
      </c>
      <c r="EH193" s="692" t="str">
        <f ca="1">IF(LEFT($J191,7)="Clad Wo",IFERROR(VLOOKUP(INDEX(ED191:ED202,EG193),SPPWS,2,FALSE),"----"),IFERROR(VLOOKUP(INDEX(ED191:ED202,EG193),SPM,2,FALSE),"----"))</f>
        <v>----</v>
      </c>
    </row>
    <row r="194" spans="1:138" ht="15" customHeight="1" x14ac:dyDescent="0.25">
      <c r="A194" s="1085"/>
      <c r="B194" s="925"/>
      <c r="C194" s="926"/>
      <c r="D194" s="927"/>
      <c r="E194" s="995"/>
      <c r="F194" s="996"/>
      <c r="G194" s="997"/>
      <c r="H194" s="1062"/>
      <c r="I194" s="990"/>
      <c r="J194" s="908"/>
      <c r="K194" s="909"/>
      <c r="L194" s="1002"/>
      <c r="M194" s="923"/>
      <c r="N194" s="1042"/>
      <c r="O194" s="1018"/>
      <c r="P194" s="987"/>
      <c r="Q194" s="1015"/>
      <c r="R194" s="1012"/>
      <c r="S194" s="1006"/>
      <c r="T194" s="1007"/>
      <c r="U194" s="878"/>
      <c r="V194" s="881"/>
      <c r="W194" s="884"/>
      <c r="X194" s="884"/>
      <c r="Y194" s="887"/>
      <c r="Z194" s="887"/>
      <c r="AA194" s="887"/>
      <c r="AB194" s="1081"/>
      <c r="AC194" s="1078"/>
      <c r="AD194" s="1070" t="s">
        <v>37</v>
      </c>
      <c r="AE194" s="1071"/>
      <c r="AF194" s="1052"/>
      <c r="AG194" s="1053"/>
      <c r="AH194" s="1053"/>
      <c r="AI194" s="1066"/>
      <c r="AJ194" s="1067"/>
      <c r="AK194" s="156" t="str">
        <f t="shared" ca="1" si="2393"/>
        <v/>
      </c>
      <c r="AL194" s="1039"/>
      <c r="AM194" s="343" t="str">
        <f ca="1">IFERROR(Q191/12*ROUND(VLOOKUP(AF194,OFFSET(STM,0,1),6,FALSE),2),"")</f>
        <v/>
      </c>
      <c r="AN194" t="str">
        <f t="shared" ca="1" si="2409"/>
        <v/>
      </c>
      <c r="AP194" s="122" t="str">
        <f t="shared" ref="AP194" si="3017">_xlfn.CONCAT(AR194,AS196)</f>
        <v/>
      </c>
      <c r="AQ194" s="683" t="str">
        <f t="shared" si="2617"/>
        <v/>
      </c>
      <c r="AR194" s="4" t="str">
        <f t="shared" si="2378"/>
        <v/>
      </c>
      <c r="AS194" s="4"/>
      <c r="AT194" s="697" t="str">
        <f>AL191</f>
        <v/>
      </c>
      <c r="AU194" s="694" t="e">
        <f t="shared" ca="1" si="2633"/>
        <v>#REF!</v>
      </c>
      <c r="AV194" s="686" t="str">
        <f ca="1">IFERROR(VLOOKUP(AU194,INDIRECT(AQ191),2,FALSE),"----")</f>
        <v>----</v>
      </c>
      <c r="AW194" s="694" t="e">
        <f t="shared" ca="1" si="2634"/>
        <v>#REF!</v>
      </c>
      <c r="AX194" s="686" t="str">
        <f ca="1">IFERROR(VLOOKUP(AW194,INDIRECT(AQ192),2,FALSE),"----")</f>
        <v>----</v>
      </c>
      <c r="AY194" s="694" t="e">
        <f t="shared" ref="AY194" ca="1" si="3018">AY193-1</f>
        <v>#REF!</v>
      </c>
      <c r="AZ194" s="686" t="str">
        <f ca="1">IFERROR(VLOOKUP(AY194,INDIRECT(AQ193),2,FALSE),"----")</f>
        <v>----</v>
      </c>
      <c r="BA194" s="694" t="e">
        <f t="shared" ref="BA194" ca="1" si="3019">BA193-1</f>
        <v>#REF!</v>
      </c>
      <c r="BB194" s="686" t="str">
        <f ca="1">IFERROR(VLOOKUP(BA194,INDIRECT(AQ194),2,FALSE),"----")</f>
        <v>----</v>
      </c>
      <c r="BC194" s="694" t="e">
        <f t="shared" ca="1" si="2635"/>
        <v>#REF!</v>
      </c>
      <c r="BD194" s="686" t="str">
        <f ca="1">IFERROR(VLOOKUP(BC194,INDIRECT(AQ195),2,FALSE),"----")</f>
        <v>----</v>
      </c>
      <c r="BE194" s="694" t="e">
        <f t="shared" ca="1" si="2636"/>
        <v>#REF!</v>
      </c>
      <c r="BF194" s="686" t="str">
        <f ca="1">IFERROR(VLOOKUP(BE194,INDIRECT(AQ196),2,FALSE),"----")</f>
        <v>----</v>
      </c>
      <c r="BG194" s="694" t="e">
        <f t="shared" ca="1" si="2637"/>
        <v>#REF!</v>
      </c>
      <c r="BH194" s="686" t="str">
        <f ca="1">IFERROR(VLOOKUP(BG194,INDIRECT(AQ197),2,FALSE),"----")</f>
        <v>----</v>
      </c>
      <c r="BI194" s="694" t="e">
        <f t="shared" ca="1" si="2638"/>
        <v>#REF!</v>
      </c>
      <c r="BJ194" s="686" t="str">
        <f ca="1">IFERROR(VLOOKUP(BI194,INDIRECT(AQ198),2,FALSE),"----")</f>
        <v>----</v>
      </c>
      <c r="BK194" s="694" t="e">
        <f t="shared" ca="1" si="2639"/>
        <v>#REF!</v>
      </c>
      <c r="BL194" s="686" t="str">
        <f ca="1">IFERROR(VLOOKUP(BK194,INDIRECT(AQ199),2,FALSE),"----")</f>
        <v>----</v>
      </c>
      <c r="BM194" s="694" t="e">
        <f t="shared" ca="1" si="2640"/>
        <v>#REF!</v>
      </c>
      <c r="BN194" s="686" t="str">
        <f ca="1">IFERROR(VLOOKUP(BM194,INDIRECT(AQ200),2,FALSE),"----")</f>
        <v>----</v>
      </c>
      <c r="BO194" s="694" t="e">
        <f t="shared" ca="1" si="2641"/>
        <v>#REF!</v>
      </c>
      <c r="BP194" s="686" t="str">
        <f ca="1">IFERROR(VLOOKUP(BO194,INDIRECT(AQ201),2,FALSE),"----")</f>
        <v>----</v>
      </c>
      <c r="BQ194" s="694" t="e">
        <f t="shared" ca="1" si="2642"/>
        <v>#REF!</v>
      </c>
      <c r="BR194" s="686" t="str">
        <f ca="1">IFERROR(VLOOKUP(BQ194,INDIRECT(AQ202),2,FALSE),"----")</f>
        <v>----</v>
      </c>
      <c r="BS194" s="695">
        <f>IF(AI194="",1,IF(COUNTIF(BB191:BB202,AI194)=0,2,1))</f>
        <v>1</v>
      </c>
      <c r="BT194" s="696">
        <f>IF(AF194="",1,IF(BB191=".",2,1))</f>
        <v>1</v>
      </c>
      <c r="BU194" s="706"/>
      <c r="BV194" s="155">
        <f ca="1">IF(COUNTIF(CT191:CT202,AF194)=0,IF(AF194&lt;&gt;"",0,1),1)</f>
        <v>1</v>
      </c>
      <c r="BW194" s="157">
        <f ca="1">IFERROR(MATCH(AF194,CT191:CT202,0),1)</f>
        <v>1</v>
      </c>
      <c r="BX194" s="769"/>
      <c r="BY194" s="769"/>
      <c r="BZ194" s="1110"/>
      <c r="CA194" s="691" t="e">
        <f t="shared" ca="1" si="2968"/>
        <v>#REF!</v>
      </c>
      <c r="CB194" s="4" t="e" cm="1">
        <f t="array" aca="1" ref="CB194" ca="1">IF(AND(INDEX(INDIRECT(BY191),CA194,4)&gt;=$AB191,INDEX(INDIRECT(BY191),CA194,5)&gt;=$S191,INDEX(INDIRECT(BY191),CA194,6)&gt;=$R191),1,0)</f>
        <v>#REF!</v>
      </c>
      <c r="CC194" s="4" t="e">
        <f t="shared" ref="CC194" ca="1" si="3020">MATCH(1,OFFSET(CB191:CB202,CD193,0,COUNT(CB191:CB202)-CD193),0)</f>
        <v>#REF!</v>
      </c>
      <c r="CD194" s="4" t="e">
        <f t="shared" ca="1" si="2970"/>
        <v>#REF!</v>
      </c>
      <c r="CE194" s="692" t="str" cm="1">
        <f t="array" aca="1" ref="CE194" ca="1">IFERROR(VLOOKUP(INDEX(CA191:CA202,CD194),INDIRECT(BY191),2,FALSE),"----")</f>
        <v>----</v>
      </c>
      <c r="CF194" s="691" t="e">
        <f t="shared" ca="1" si="2971"/>
        <v>#N/A</v>
      </c>
      <c r="CG194" s="4" t="e">
        <f ca="1">IF(AND(INDEX(SSM,CF194,4)&gt;=$AB191,INDEX(SSM,CF194,5)&gt;=$S191,INDEX(SSM,CF194,6)&gt;=$R191),1,0)</f>
        <v>#N/A</v>
      </c>
      <c r="CH194" s="4" t="e">
        <f t="shared" ref="CH194" ca="1" si="3021">MATCH(1,OFFSET(CG191:CG202,CI193,0,COUNT(CG191:CG202)-CI193),0)</f>
        <v>#REF!</v>
      </c>
      <c r="CI194" s="4" t="e">
        <f t="shared" ca="1" si="2973"/>
        <v>#REF!</v>
      </c>
      <c r="CJ194" s="692" t="str">
        <f ca="1">IFERROR(IF(AD192="Nested Steel Stud (wood infill)",VLOOKUP(INDEX(CF191:CF202,CI194),SSW,2,FALSE),VLOOKUP(INDEX(CF191:CF202,CI194),SSM,2,FALSE)),"----")</f>
        <v>----</v>
      </c>
      <c r="CK194" s="691" t="e">
        <f t="shared" ca="1" si="2974"/>
        <v>#N/A</v>
      </c>
      <c r="CL194" s="4" t="e">
        <f ca="1">IF(AND(INDEX(WSM,CK194,4)&gt;=$AB191,INDEX(WSM,CK194,5)&gt;=$S191,INDEX(WSM,CK194,6)&gt;=$R191),1,0)</f>
        <v>#N/A</v>
      </c>
      <c r="CM194" s="4" t="e">
        <f t="shared" ref="CM194" ca="1" si="3022">MATCH(1,OFFSET(CL191:CL202,CN193,0,COUNT(CL191:CL202)-CN193),0)</f>
        <v>#REF!</v>
      </c>
      <c r="CN194" s="4" t="e">
        <f t="shared" ca="1" si="2976"/>
        <v>#REF!</v>
      </c>
      <c r="CO194" s="692" t="str">
        <f ca="1">IFERROR(VLOOKUP(INDEX(CK191:CK202,CN194),WSM,2,FALSE),"----")</f>
        <v>----</v>
      </c>
      <c r="CP194" s="691" t="e">
        <f t="shared" ca="1" si="2977"/>
        <v>#N/A</v>
      </c>
      <c r="CQ194" s="4" t="e">
        <f ca="1">IF(AND(INDEX(STM,CP194,4)&gt;=$AB191,INDEX(STM,CP194,5)&gt;=$S191,INDEX(STM,CP194,6)&gt;=$R191),1,0)</f>
        <v>#N/A</v>
      </c>
      <c r="CR194" s="4" t="e">
        <f t="shared" ref="CR194" ca="1" si="3023">MATCH(1,OFFSET(CQ191:CQ202,CS193,0,COUNT(CQ191:CQ202)-CS193),0)</f>
        <v>#REF!</v>
      </c>
      <c r="CS194" s="4" t="e">
        <f t="shared" ca="1" si="2979"/>
        <v>#REF!</v>
      </c>
      <c r="CT194" s="692" t="str">
        <f ca="1">IFERROR(VLOOKUP(INDEX(CP191:CP202,CS194),STM,2,FALSE),"----")</f>
        <v>----</v>
      </c>
      <c r="CU194" s="691" t="e">
        <f t="shared" ca="1" si="2980"/>
        <v>#N/A</v>
      </c>
      <c r="CV194" s="4" t="e">
        <f ca="1">IF(AND(INDEX(ELM,CU194,4)&gt;=$AB191,INDEX(ELM,CU194,5)&gt;=$S191,INDEX(ELM,CU194,6)&gt;=$R191),1,0)</f>
        <v>#N/A</v>
      </c>
      <c r="CW194" s="4" t="e">
        <f t="shared" ref="CW194" ca="1" si="3024">MATCH(1,OFFSET(CV191:CV202,CX193,0,COUNT(CV191:CV202)-CX193),0)</f>
        <v>#REF!</v>
      </c>
      <c r="CX194" s="4" t="e">
        <f t="shared" ca="1" si="2982"/>
        <v>#REF!</v>
      </c>
      <c r="CY194" s="692" t="str">
        <f ca="1">IFERROR(VLOOKUP(INDEX(CU191:CU202,CX194),ELM,2,FALSE),"----")</f>
        <v>----</v>
      </c>
      <c r="CZ194" s="691" t="e">
        <f t="shared" ca="1" si="2983"/>
        <v>#N/A</v>
      </c>
      <c r="DA194" s="4" t="e">
        <f ca="1">IF(LEFT($J191,7)="Clad Wo",IF(AND(INDEX(SPPWS,CZ194,4)&gt;=$AB191,INDEX(SPPWS,CZ194,5)&gt;=$S191,INDEX(SPPWS,CZ194,6)&gt;=$R191),1,0),IF(AND(INDEX(SPM,CZ194,4)&gt;=$AB191,INDEX(SPM,CZ194,5)&gt;=$S191,INDEX(SPM,CZ194,6)&gt;=$R191),1,0))</f>
        <v>#N/A</v>
      </c>
      <c r="DB194" s="4" t="e">
        <f t="shared" ref="DB194" ca="1" si="3025">MATCH(1,OFFSET(DA191:DA202,DC193,0,COUNT(DA191:DA202)-DC193),0)</f>
        <v>#REF!</v>
      </c>
      <c r="DC194" s="4" t="e">
        <f t="shared" ca="1" si="2985"/>
        <v>#REF!</v>
      </c>
      <c r="DD194" s="693" t="str">
        <f ca="1">IF(LEFT($J191,7)="Clad Wo",IFERROR(VLOOKUP(INDEX(CZ191:CZ202,DC194),SPPWS,2,FALSE),"----"),IFERROR(VLOOKUP(INDEX(CZ191:CZ202,DC194),SPM,2,FALSE),"----"))</f>
        <v>----</v>
      </c>
      <c r="DE194" s="691" t="e">
        <f t="shared" ca="1" si="2986"/>
        <v>#REF!</v>
      </c>
      <c r="DF194" s="4" t="e" cm="1">
        <f t="array" aca="1" ref="DF194" ca="1">IF(AND(INDEX(INDIRECT(BY191),DE194,4)&gt;=$AB197,INDEX(INDIRECT(BY191),DE194,5)&gt;=$S191,INDEX(INDIRECT(BY191),DE194,6)&gt;=$R191),1,0)</f>
        <v>#REF!</v>
      </c>
      <c r="DG194" s="4" t="e">
        <f t="shared" ref="DG194" ca="1" si="3026">MATCH(1,OFFSET(DF191:DF202,DH193,0,COUNT(DF191:DF202)-DH193),0)</f>
        <v>#REF!</v>
      </c>
      <c r="DH194" s="4" t="e">
        <f t="shared" ca="1" si="2988"/>
        <v>#REF!</v>
      </c>
      <c r="DI194" s="692" t="str" cm="1">
        <f t="array" aca="1" ref="DI194" ca="1">IFERROR(VLOOKUP(INDEX(DE191:DE202,DH194),INDIRECT(BY191),2,FALSE),"----")</f>
        <v>----</v>
      </c>
      <c r="DJ194" s="691" t="e">
        <f t="shared" ca="1" si="2989"/>
        <v>#N/A</v>
      </c>
      <c r="DK194" s="4" t="e">
        <f ca="1">IF(AND(INDEX(SSM,DJ194,4)&gt;=$AB197,INDEX(SSM,DJ194,5)&gt;=$S191,INDEX(SSM,DJ194,6)&gt;=$R191),1,0)</f>
        <v>#N/A</v>
      </c>
      <c r="DL194" s="4" t="e">
        <f t="shared" ref="DL194" ca="1" si="3027">MATCH(1,OFFSET(DK191:DK202,DM193,0,COUNT(DK191:DK202)-DM193),0)</f>
        <v>#REF!</v>
      </c>
      <c r="DM194" s="4" t="e">
        <f t="shared" ca="1" si="2991"/>
        <v>#REF!</v>
      </c>
      <c r="DN194" s="692" t="str">
        <f ca="1">IFERROR(IF(AD198="Nested Steel Stud (wood infill)",VLOOKUP(INDEX(DJ191:DJ202,DM194),SSW,2,FALSE),VLOOKUP(INDEX(DJ191:DJ202,DM194),SSM,2,FALSE)),"----")</f>
        <v>----</v>
      </c>
      <c r="DO194" s="691" t="e">
        <f t="shared" ca="1" si="2992"/>
        <v>#N/A</v>
      </c>
      <c r="DP194" s="4" t="e">
        <f ca="1">IF(AND(INDEX(WSM,DO194,4)&gt;=$AB197,INDEX(WSM,DO194,5)&gt;=$S191,INDEX(WSM,DO194,6)&gt;=$R191),1,0)</f>
        <v>#N/A</v>
      </c>
      <c r="DQ194" s="4" t="e">
        <f t="shared" ref="DQ194" ca="1" si="3028">MATCH(1,OFFSET(DP191:DP202,DR193,0,COUNT(DP191:DP202)-DR193),0)</f>
        <v>#REF!</v>
      </c>
      <c r="DR194" s="4" t="e">
        <f t="shared" ca="1" si="2994"/>
        <v>#REF!</v>
      </c>
      <c r="DS194" s="692" t="str">
        <f ca="1">IFERROR(VLOOKUP(INDEX(DO191:DO202,DR194),WSM,2,FALSE),"----")</f>
        <v>----</v>
      </c>
      <c r="DT194" s="691" t="e">
        <f t="shared" ca="1" si="2995"/>
        <v>#N/A</v>
      </c>
      <c r="DU194" s="4" t="e">
        <f ca="1">IF(AND(INDEX(STM,DT194,4)&gt;=$AB197,INDEX(STM,DT194,5)&gt;=$S191,INDEX(STM,DT194,6)&gt;=$R191),1,0)</f>
        <v>#N/A</v>
      </c>
      <c r="DV194" s="4" t="e">
        <f t="shared" ref="DV194" ca="1" si="3029">MATCH(1,OFFSET(DU191:DU202,DW193,0,COUNT(DU191:DU202)-DW193),0)</f>
        <v>#REF!</v>
      </c>
      <c r="DW194" s="4" t="e">
        <f t="shared" ca="1" si="2997"/>
        <v>#REF!</v>
      </c>
      <c r="DX194" s="692" t="str">
        <f ca="1">IFERROR(VLOOKUP(INDEX(DT191:DT202,DW194),STM,2,FALSE),"----")</f>
        <v>----</v>
      </c>
      <c r="DY194" s="691" t="e">
        <f t="shared" ca="1" si="2998"/>
        <v>#N/A</v>
      </c>
      <c r="DZ194" s="4" t="e">
        <f ca="1">IF(AND(INDEX(ELM,DY194,4)&gt;=$AB197,INDEX(ELM,DY194,5)&gt;=$S191,INDEX(ELM,DY194,6)&gt;=$R191),1,0)</f>
        <v>#N/A</v>
      </c>
      <c r="EA194" s="4" t="e">
        <f t="shared" ref="EA194" ca="1" si="3030">MATCH(1,OFFSET(DZ191:DZ202,EB193,0,COUNT(DZ191:DZ202)-EB193),0)</f>
        <v>#REF!</v>
      </c>
      <c r="EB194" s="4" t="e">
        <f t="shared" ca="1" si="3000"/>
        <v>#REF!</v>
      </c>
      <c r="EC194" s="692" t="str">
        <f ca="1">IFERROR(VLOOKUP(INDEX(DY191:DY202,EB194),ELM,2,FALSE),"----")</f>
        <v>----</v>
      </c>
      <c r="ED194" s="691" t="e">
        <f t="shared" ca="1" si="3001"/>
        <v>#N/A</v>
      </c>
      <c r="EE194" s="4" t="e">
        <f ca="1">IF(LEFT($J191,7)="Clad Wo",IF(AND(INDEX(SPPWS,ED194,4)&gt;=$AB197,INDEX(SPPWS,ED194,5)&gt;=$S191,INDEX(SPPWS,ED194,6)&gt;=$R191),1,0),IF(AND(INDEX(SPM,ED194,4)&gt;=$AB197,INDEX(SPM,ED194,5)&gt;=$S191,INDEX(SPM,ED194,6)&gt;=$R191),1,0))</f>
        <v>#N/A</v>
      </c>
      <c r="EF194" s="4" t="e">
        <f t="shared" ref="EF194" ca="1" si="3031">MATCH(1,OFFSET(EE191:EE202,EG193,0,COUNT(EE191:EE202)-EG193),0)</f>
        <v>#REF!</v>
      </c>
      <c r="EG194" s="4" t="e">
        <f t="shared" ca="1" si="3003"/>
        <v>#REF!</v>
      </c>
      <c r="EH194" s="692" t="str">
        <f ca="1">IF(LEFT($J191,7)="Clad Wo",IFERROR(VLOOKUP(INDEX(ED191:ED202,EG194),SPPWS,2,FALSE),"----"),IFERROR(VLOOKUP(INDEX(ED191:ED202,EG194),SPM,2,FALSE),"----"))</f>
        <v>----</v>
      </c>
    </row>
    <row r="195" spans="1:138" ht="15" customHeight="1" x14ac:dyDescent="0.25">
      <c r="A195" s="1085"/>
      <c r="B195" s="925"/>
      <c r="C195" s="926"/>
      <c r="D195" s="927"/>
      <c r="E195" s="995"/>
      <c r="F195" s="996"/>
      <c r="G195" s="997"/>
      <c r="H195" s="1062"/>
      <c r="I195" s="990"/>
      <c r="J195" s="910"/>
      <c r="K195" s="911"/>
      <c r="L195" s="1002"/>
      <c r="M195" s="923"/>
      <c r="N195" s="1042"/>
      <c r="O195" s="1018"/>
      <c r="P195" s="987"/>
      <c r="Q195" s="1015"/>
      <c r="R195" s="1012"/>
      <c r="S195" s="1006"/>
      <c r="T195" s="1007"/>
      <c r="U195" s="878"/>
      <c r="V195" s="881"/>
      <c r="W195" s="884"/>
      <c r="X195" s="884"/>
      <c r="Y195" s="887"/>
      <c r="Z195" s="887"/>
      <c r="AA195" s="887"/>
      <c r="AB195" s="1081"/>
      <c r="AC195" s="1078"/>
      <c r="AD195" s="1070" t="s">
        <v>39</v>
      </c>
      <c r="AE195" s="1071"/>
      <c r="AF195" s="1052"/>
      <c r="AG195" s="1053"/>
      <c r="AH195" s="1053"/>
      <c r="AI195" s="1068"/>
      <c r="AJ195" s="1069"/>
      <c r="AK195" s="154" t="str">
        <f t="shared" ca="1" si="2393"/>
        <v/>
      </c>
      <c r="AL195" s="1039"/>
      <c r="AM195" s="344" t="str">
        <f ca="1">IFERROR(Q191/12*ROUND(VLOOKUP(AF195,OFFSET(ELM,0,1),6,FALSE),2),"")</f>
        <v/>
      </c>
      <c r="AN195" t="str">
        <f t="shared" ca="1" si="2409"/>
        <v/>
      </c>
      <c r="AP195" s="122" t="str">
        <f t="shared" ref="AP195" si="3032">_xlfn.CONCAT(AR195,AS196)</f>
        <v/>
      </c>
      <c r="AQ195" s="683" t="str">
        <f t="shared" si="2617"/>
        <v/>
      </c>
      <c r="AR195" s="4" t="str">
        <f t="shared" si="2378"/>
        <v/>
      </c>
      <c r="AS195" s="4"/>
      <c r="AT195" s="697" t="str">
        <f>AL191</f>
        <v/>
      </c>
      <c r="AU195" s="694" t="e">
        <f t="shared" ca="1" si="2633"/>
        <v>#REF!</v>
      </c>
      <c r="AV195" s="698" t="str">
        <f ca="1">IFERROR(VLOOKUP(AU195,INDIRECT(AQ191),2,FALSE),"----")</f>
        <v>----</v>
      </c>
      <c r="AW195" s="694" t="e">
        <f t="shared" ca="1" si="2634"/>
        <v>#REF!</v>
      </c>
      <c r="AX195" s="698" t="str">
        <f ca="1">IFERROR(VLOOKUP(AW195,INDIRECT(AQ192),2,FALSE),"----")</f>
        <v>----</v>
      </c>
      <c r="AY195" s="694" t="e">
        <f t="shared" ref="AY195" ca="1" si="3033">AY194-1</f>
        <v>#REF!</v>
      </c>
      <c r="AZ195" s="698" t="str">
        <f ca="1">IFERROR(VLOOKUP(AY195,INDIRECT(AQ193),2,FALSE),"----")</f>
        <v>----</v>
      </c>
      <c r="BA195" s="694" t="e">
        <f t="shared" ref="BA195" ca="1" si="3034">BA194-1</f>
        <v>#REF!</v>
      </c>
      <c r="BB195" s="698" t="str">
        <f ca="1">IFERROR(VLOOKUP(BA195,INDIRECT(AQ194),2,FALSE),"----")</f>
        <v>----</v>
      </c>
      <c r="BC195" s="694" t="e">
        <f t="shared" ca="1" si="2635"/>
        <v>#REF!</v>
      </c>
      <c r="BD195" s="698" t="str">
        <f ca="1">IFERROR(VLOOKUP(BC195,INDIRECT(AQ195),2,FALSE),"----")</f>
        <v>----</v>
      </c>
      <c r="BE195" s="694" t="e">
        <f t="shared" ca="1" si="2636"/>
        <v>#REF!</v>
      </c>
      <c r="BF195" s="698" t="str">
        <f ca="1">IFERROR(VLOOKUP(BE195,INDIRECT(AQ196),2,FALSE),"----")</f>
        <v>----</v>
      </c>
      <c r="BG195" s="694" t="e">
        <f t="shared" ca="1" si="2637"/>
        <v>#REF!</v>
      </c>
      <c r="BH195" s="686" t="str">
        <f ca="1">IFERROR(VLOOKUP(BG195,INDIRECT(AQ197),2,FALSE),"----")</f>
        <v>----</v>
      </c>
      <c r="BI195" s="694" t="e">
        <f t="shared" ca="1" si="2638"/>
        <v>#REF!</v>
      </c>
      <c r="BJ195" s="686" t="str">
        <f ca="1">IFERROR(VLOOKUP(BI195,INDIRECT(AQ198),2,FALSE),"----")</f>
        <v>----</v>
      </c>
      <c r="BK195" s="694" t="e">
        <f t="shared" ca="1" si="2639"/>
        <v>#REF!</v>
      </c>
      <c r="BL195" s="686" t="str">
        <f ca="1">IFERROR(VLOOKUP(BK195,INDIRECT(AQ199),2,FALSE),"----")</f>
        <v>----</v>
      </c>
      <c r="BM195" s="694" t="e">
        <f t="shared" ca="1" si="2640"/>
        <v>#REF!</v>
      </c>
      <c r="BN195" s="686" t="str">
        <f ca="1">IFERROR(VLOOKUP(BM195,INDIRECT(AQ200),2,FALSE),"----")</f>
        <v>----</v>
      </c>
      <c r="BO195" s="694" t="e">
        <f t="shared" ca="1" si="2641"/>
        <v>#REF!</v>
      </c>
      <c r="BP195" s="686" t="str">
        <f ca="1">IFERROR(VLOOKUP(BO195,INDIRECT(AQ201),2,FALSE),"----")</f>
        <v>----</v>
      </c>
      <c r="BQ195" s="694" t="e">
        <f t="shared" ca="1" si="2642"/>
        <v>#REF!</v>
      </c>
      <c r="BR195" s="686" t="str">
        <f ca="1">IFERROR(VLOOKUP(BQ195,INDIRECT(AQ202),2,FALSE),"----")</f>
        <v>----</v>
      </c>
      <c r="BS195" s="695">
        <f>IF(AI195="",1,IF(COUNTIF(BD191:BD202,AI195)=0,2,1))</f>
        <v>1</v>
      </c>
      <c r="BT195" s="696">
        <f>IF(AF195="",1,IF(BD191=".",2,1))</f>
        <v>1</v>
      </c>
      <c r="BU195" s="706"/>
      <c r="BV195" s="155">
        <f ca="1">IF(COUNTIF(CY191:CY202,AF195)=0,IF(AF195&lt;&gt;"",0,1),1)</f>
        <v>1</v>
      </c>
      <c r="BW195" s="157">
        <f ca="1">IFERROR(MATCH(AF195,CY191:CY202,0),1)</f>
        <v>1</v>
      </c>
      <c r="BX195" s="769"/>
      <c r="BY195" s="769"/>
      <c r="BZ195" s="1110"/>
      <c r="CA195" s="691" t="e">
        <f t="shared" ca="1" si="2968"/>
        <v>#REF!</v>
      </c>
      <c r="CB195" s="4" t="e" cm="1">
        <f t="array" aca="1" ref="CB195" ca="1">IF(AND(INDEX(INDIRECT(BY191),CA195,4)&gt;=$AB191,INDEX(INDIRECT(BY191),CA195,5)&gt;=$S191,INDEX(INDIRECT(BY191),CA195,6)&gt;=$R191),1,0)</f>
        <v>#REF!</v>
      </c>
      <c r="CC195" s="4" t="e">
        <f t="shared" ref="CC195" ca="1" si="3035">MATCH(1,OFFSET(CB191:CB202,CD194,0,COUNT(CB191:CB202)-CD194),0)</f>
        <v>#REF!</v>
      </c>
      <c r="CD195" s="4" t="e">
        <f t="shared" ca="1" si="2970"/>
        <v>#REF!</v>
      </c>
      <c r="CE195" s="692" t="str" cm="1">
        <f t="array" aca="1" ref="CE195" ca="1">IFERROR(VLOOKUP(INDEX(CA191:CA202,CD195),INDIRECT(BY191),2,FALSE),"----")</f>
        <v>----</v>
      </c>
      <c r="CF195" s="691" t="e">
        <f t="shared" ca="1" si="2971"/>
        <v>#N/A</v>
      </c>
      <c r="CG195" s="4" t="e">
        <f ca="1">IF(AND(INDEX(SSM,CF195,4)&gt;=$AB191,INDEX(SSM,CF195,5)&gt;=$S191,INDEX(SSM,CF195,6)&gt;=$R191),1,0)</f>
        <v>#N/A</v>
      </c>
      <c r="CH195" s="4" t="e">
        <f t="shared" ref="CH195" ca="1" si="3036">MATCH(1,OFFSET(CG191:CG202,CI194,0,COUNT(CG191:CG202)-CI194),0)</f>
        <v>#REF!</v>
      </c>
      <c r="CI195" s="4" t="e">
        <f t="shared" ca="1" si="2973"/>
        <v>#REF!</v>
      </c>
      <c r="CJ195" s="692" t="str">
        <f ca="1">IFERROR(IF(AD192="Nested Steel Stud (wood infill)",VLOOKUP(INDEX(CF191:CF202,CI195),SSW,2,FALSE),VLOOKUP(INDEX(CF191:CF202,CI195),SSM,2,FALSE)),"----")</f>
        <v>----</v>
      </c>
      <c r="CK195" s="691" t="e">
        <f t="shared" ca="1" si="2974"/>
        <v>#N/A</v>
      </c>
      <c r="CL195" s="4" t="e">
        <f ca="1">IF(AND(INDEX(WSM,CK195,4)&gt;=$AB191,INDEX(WSM,CK195,5)&gt;=$S191,INDEX(WSM,CK195,6)&gt;=$R191),1,0)</f>
        <v>#N/A</v>
      </c>
      <c r="CM195" s="4" t="e">
        <f t="shared" ref="CM195" ca="1" si="3037">MATCH(1,OFFSET(CL191:CL202,CN194,0,COUNT(CL191:CL202)-CN194),0)</f>
        <v>#REF!</v>
      </c>
      <c r="CN195" s="4" t="e">
        <f t="shared" ca="1" si="2976"/>
        <v>#REF!</v>
      </c>
      <c r="CO195" s="692" t="str">
        <f ca="1">IFERROR(VLOOKUP(INDEX(CK191:CK202,CN195),WSM,2,FALSE),"----")</f>
        <v>----</v>
      </c>
      <c r="CP195" s="691" t="e">
        <f t="shared" ca="1" si="2977"/>
        <v>#N/A</v>
      </c>
      <c r="CQ195" s="4" t="e">
        <f ca="1">IF(AND(INDEX(STM,CP195,4)&gt;=$AB191,INDEX(STM,CP195,5)&gt;=$S191,INDEX(STM,CP195,6)&gt;=$R191),1,0)</f>
        <v>#N/A</v>
      </c>
      <c r="CR195" s="4" t="e">
        <f t="shared" ref="CR195" ca="1" si="3038">MATCH(1,OFFSET(CQ191:CQ202,CS194,0,COUNT(CQ191:CQ202)-CS194),0)</f>
        <v>#REF!</v>
      </c>
      <c r="CS195" s="4" t="e">
        <f t="shared" ca="1" si="2979"/>
        <v>#REF!</v>
      </c>
      <c r="CT195" s="692" t="str">
        <f ca="1">IFERROR(VLOOKUP(INDEX(CP191:CP202,CS195),STM,2,FALSE),"----")</f>
        <v>----</v>
      </c>
      <c r="CU195" s="691" t="e">
        <f t="shared" ca="1" si="2980"/>
        <v>#N/A</v>
      </c>
      <c r="CV195" s="4" t="e">
        <f ca="1">IF(AND(INDEX(ELM,CU195,4)&gt;=$AB191,INDEX(ELM,CU195,5)&gt;=$S191,INDEX(ELM,CU195,6)&gt;=$R191),1,0)</f>
        <v>#N/A</v>
      </c>
      <c r="CW195" s="4" t="e">
        <f t="shared" ref="CW195" ca="1" si="3039">MATCH(1,OFFSET(CV191:CV202,CX194,0,COUNT(CV191:CV202)-CX194),0)</f>
        <v>#REF!</v>
      </c>
      <c r="CX195" s="4" t="e">
        <f t="shared" ca="1" si="2982"/>
        <v>#REF!</v>
      </c>
      <c r="CY195" s="692" t="str">
        <f ca="1">IFERROR(VLOOKUP(INDEX(CU191:CU202,CX195),ELM,2,FALSE),"----")</f>
        <v>----</v>
      </c>
      <c r="CZ195" s="691" t="e">
        <f t="shared" ca="1" si="2983"/>
        <v>#N/A</v>
      </c>
      <c r="DA195" s="4" t="e">
        <f ca="1">IF(LEFT($J191,7)="Clad Wo",IF(AND(INDEX(SPPWS,CZ195,4)&gt;=$AB191,INDEX(SPPWS,CZ195,5)&gt;=$S191,INDEX(SPPWS,CZ195,6)&gt;=$R191),1,0),IF(AND(INDEX(SPM,CZ195,4)&gt;=$AB191,INDEX(SPM,CZ195,5)&gt;=$S191,INDEX(SPM,CZ195,6)&gt;=$R191),1,0))</f>
        <v>#N/A</v>
      </c>
      <c r="DB195" s="4" t="e">
        <f t="shared" ref="DB195" ca="1" si="3040">MATCH(1,OFFSET(DA191:DA202,DC194,0,COUNT(DA191:DA202)-DC194),0)</f>
        <v>#REF!</v>
      </c>
      <c r="DC195" s="4" t="e">
        <f t="shared" ca="1" si="2985"/>
        <v>#REF!</v>
      </c>
      <c r="DD195" s="693" t="str">
        <f ca="1">IF(LEFT($J191,7)="Clad Wo",IFERROR(VLOOKUP(INDEX(CZ191:CZ202,DC195),SPPWS,2,FALSE),"----"),IFERROR(VLOOKUP(INDEX(CZ191:CZ202,DC195),SPM,2,FALSE),"----"))</f>
        <v>----</v>
      </c>
      <c r="DE195" s="691" t="e">
        <f t="shared" ca="1" si="2986"/>
        <v>#REF!</v>
      </c>
      <c r="DF195" s="4" t="e" cm="1">
        <f t="array" aca="1" ref="DF195" ca="1">IF(AND(INDEX(INDIRECT(BY191),DE195,4)&gt;=$AB197,INDEX(INDIRECT(BY191),DE195,5)&gt;=$S191,INDEX(INDIRECT(BY191),DE195,6)&gt;=$R191),1,0)</f>
        <v>#REF!</v>
      </c>
      <c r="DG195" s="4" t="e">
        <f t="shared" ref="DG195" ca="1" si="3041">MATCH(1,OFFSET(DF191:DF202,DH194,0,COUNT(DF191:DF202)-DH194),0)</f>
        <v>#REF!</v>
      </c>
      <c r="DH195" s="4" t="e">
        <f t="shared" ca="1" si="2988"/>
        <v>#REF!</v>
      </c>
      <c r="DI195" s="692" t="str" cm="1">
        <f t="array" aca="1" ref="DI195" ca="1">IFERROR(VLOOKUP(INDEX(DE191:DE202,DH195),INDIRECT(BY191),2,FALSE),"----")</f>
        <v>----</v>
      </c>
      <c r="DJ195" s="691" t="e">
        <f t="shared" ca="1" si="2989"/>
        <v>#N/A</v>
      </c>
      <c r="DK195" s="4" t="e">
        <f ca="1">IF(AND(INDEX(SSM,DJ195,4)&gt;=$AB197,INDEX(SSM,DJ195,5)&gt;=$S191,INDEX(SSM,DJ195,6)&gt;=$R191),1,0)</f>
        <v>#N/A</v>
      </c>
      <c r="DL195" s="4" t="e">
        <f t="shared" ref="DL195" ca="1" si="3042">MATCH(1,OFFSET(DK191:DK202,DM194,0,COUNT(DK191:DK202)-DM194),0)</f>
        <v>#REF!</v>
      </c>
      <c r="DM195" s="4" t="e">
        <f t="shared" ca="1" si="2991"/>
        <v>#REF!</v>
      </c>
      <c r="DN195" s="692" t="str">
        <f ca="1">IFERROR(IF(AD198="Nested Steel Stud (wood infill)",VLOOKUP(INDEX(DJ191:DJ202,DM195),SSW,2,FALSE),VLOOKUP(INDEX(DJ191:DJ202,DM195),SSM,2,FALSE)),"----")</f>
        <v>----</v>
      </c>
      <c r="DO195" s="691" t="e">
        <f t="shared" ca="1" si="2992"/>
        <v>#N/A</v>
      </c>
      <c r="DP195" s="4" t="e">
        <f ca="1">IF(AND(INDEX(WSM,DO195,4)&gt;=$AB197,INDEX(WSM,DO195,5)&gt;=$S191,INDEX(WSM,DO195,6)&gt;=$R191),1,0)</f>
        <v>#N/A</v>
      </c>
      <c r="DQ195" s="4" t="e">
        <f t="shared" ref="DQ195" ca="1" si="3043">MATCH(1,OFFSET(DP191:DP202,DR194,0,COUNT(DP191:DP202)-DR194),0)</f>
        <v>#REF!</v>
      </c>
      <c r="DR195" s="4" t="e">
        <f t="shared" ca="1" si="2994"/>
        <v>#REF!</v>
      </c>
      <c r="DS195" s="692" t="str">
        <f ca="1">IFERROR(VLOOKUP(INDEX(DO191:DO202,DR195),WSM,2,FALSE),"----")</f>
        <v>----</v>
      </c>
      <c r="DT195" s="691" t="e">
        <f t="shared" ca="1" si="2995"/>
        <v>#N/A</v>
      </c>
      <c r="DU195" s="4" t="e">
        <f ca="1">IF(AND(INDEX(STM,DT195,4)&gt;=$AB197,INDEX(STM,DT195,5)&gt;=$S191,INDEX(STM,DT195,6)&gt;=$R191),1,0)</f>
        <v>#N/A</v>
      </c>
      <c r="DV195" s="4" t="e">
        <f t="shared" ref="DV195" ca="1" si="3044">MATCH(1,OFFSET(DU191:DU202,DW194,0,COUNT(DU191:DU202)-DW194),0)</f>
        <v>#REF!</v>
      </c>
      <c r="DW195" s="4" t="e">
        <f t="shared" ca="1" si="2997"/>
        <v>#REF!</v>
      </c>
      <c r="DX195" s="692" t="str">
        <f ca="1">IFERROR(VLOOKUP(INDEX(DT191:DT202,DW195),STM,2,FALSE),"----")</f>
        <v>----</v>
      </c>
      <c r="DY195" s="691" t="e">
        <f t="shared" ca="1" si="2998"/>
        <v>#N/A</v>
      </c>
      <c r="DZ195" s="4" t="e">
        <f ca="1">IF(AND(INDEX(ELM,DY195,4)&gt;=$AB197,INDEX(ELM,DY195,5)&gt;=$S191,INDEX(ELM,DY195,6)&gt;=$R191),1,0)</f>
        <v>#N/A</v>
      </c>
      <c r="EA195" s="4" t="e">
        <f t="shared" ref="EA195" ca="1" si="3045">MATCH(1,OFFSET(DZ191:DZ202,EB194,0,COUNT(DZ191:DZ202)-EB194),0)</f>
        <v>#REF!</v>
      </c>
      <c r="EB195" s="4" t="e">
        <f t="shared" ca="1" si="3000"/>
        <v>#REF!</v>
      </c>
      <c r="EC195" s="692" t="str">
        <f ca="1">IFERROR(VLOOKUP(INDEX(DY191:DY202,EB195),ELM,2,FALSE),"----")</f>
        <v>----</v>
      </c>
      <c r="ED195" s="691" t="e">
        <f t="shared" ca="1" si="3001"/>
        <v>#N/A</v>
      </c>
      <c r="EE195" s="4" t="e">
        <f ca="1">IF(LEFT($J191,7)="Clad Wo",IF(AND(INDEX(SPPWS,ED195,4)&gt;=$AB197,INDEX(SPPWS,ED195,5)&gt;=$S191,INDEX(SPPWS,ED195,6)&gt;=$R191),1,0),IF(AND(INDEX(SPM,ED195,4)&gt;=$AB197,INDEX(SPM,ED195,5)&gt;=$S191,INDEX(SPM,ED195,6)&gt;=$R191),1,0))</f>
        <v>#N/A</v>
      </c>
      <c r="EF195" s="4" t="e">
        <f t="shared" ref="EF195" ca="1" si="3046">MATCH(1,OFFSET(EE191:EE202,EG194,0,COUNT(EE191:EE202)-EG194),0)</f>
        <v>#REF!</v>
      </c>
      <c r="EG195" s="4" t="e">
        <f t="shared" ca="1" si="3003"/>
        <v>#REF!</v>
      </c>
      <c r="EH195" s="692" t="str">
        <f ca="1">IF(LEFT($J191,7)="Clad Wo",IFERROR(VLOOKUP(INDEX(ED191:ED202,EG195),SPPWS,2,FALSE),"----"),IFERROR(VLOOKUP(INDEX(ED191:ED202,EG195),SPM,2,FALSE),"----"))</f>
        <v>----</v>
      </c>
    </row>
    <row r="196" spans="1:138" ht="15" customHeight="1" thickBot="1" x14ac:dyDescent="0.3">
      <c r="A196" s="1085"/>
      <c r="B196" s="934"/>
      <c r="C196" s="935"/>
      <c r="D196" s="936"/>
      <c r="E196" s="995"/>
      <c r="F196" s="996"/>
      <c r="G196" s="997"/>
      <c r="H196" s="1062"/>
      <c r="I196" s="990"/>
      <c r="J196" s="908"/>
      <c r="K196" s="909"/>
      <c r="L196" s="1010"/>
      <c r="M196" s="924"/>
      <c r="N196" s="1044"/>
      <c r="O196" s="1018"/>
      <c r="P196" s="987"/>
      <c r="Q196" s="1015"/>
      <c r="R196" s="1012"/>
      <c r="S196" s="1006"/>
      <c r="T196" s="1007"/>
      <c r="U196" s="878"/>
      <c r="V196" s="881"/>
      <c r="W196" s="889"/>
      <c r="X196" s="884"/>
      <c r="Y196" s="890"/>
      <c r="Z196" s="890"/>
      <c r="AA196" s="887"/>
      <c r="AB196" s="1084"/>
      <c r="AC196" s="1079"/>
      <c r="AD196" s="1072" t="str">
        <f t="shared" ref="AD196" si="3047">IF(LEFT(J191,7)="Clad Wo","Pella Wood Spr / Steel Pte","Steel Plate")</f>
        <v>Steel Plate</v>
      </c>
      <c r="AE196" s="1073"/>
      <c r="AF196" s="1054"/>
      <c r="AG196" s="1055"/>
      <c r="AH196" s="1055"/>
      <c r="AI196" s="1092"/>
      <c r="AJ196" s="1093"/>
      <c r="AK196" s="159" t="str">
        <f t="shared" ca="1" si="2393"/>
        <v/>
      </c>
      <c r="AL196" s="1040"/>
      <c r="AM196" s="345" t="str">
        <f ca="1">IFERROR(Q191/12*ROUND(VLOOKUP(AF196,OFFSET(SPM,0,1),6,FALSE),2),"")</f>
        <v/>
      </c>
      <c r="AN196" t="str">
        <f t="shared" ca="1" si="2409"/>
        <v/>
      </c>
      <c r="AP196" s="699" t="str">
        <f t="shared" ref="AP196" si="3048">_xlfn.CONCAT(AR196,AS196)</f>
        <v/>
      </c>
      <c r="AQ196" s="700" t="str">
        <f t="shared" si="2617"/>
        <v/>
      </c>
      <c r="AR196" s="160" t="str">
        <f t="shared" si="2378"/>
        <v/>
      </c>
      <c r="AS196" s="160" t="str">
        <f>IFERROR(VLOOKUP(J199, WallType,2,FALSE),"")</f>
        <v/>
      </c>
      <c r="AT196" s="701" t="str">
        <f>AL191</f>
        <v/>
      </c>
      <c r="AU196" s="694" t="e">
        <f t="shared" ca="1" si="2633"/>
        <v>#REF!</v>
      </c>
      <c r="AV196" s="698" t="str">
        <f ca="1">IFERROR(VLOOKUP(AU196,INDIRECT(AQ191),2,FALSE),"----")</f>
        <v>----</v>
      </c>
      <c r="AW196" s="702" t="e">
        <f t="shared" ca="1" si="2634"/>
        <v>#REF!</v>
      </c>
      <c r="AX196" s="698" t="str">
        <f ca="1">IFERROR(VLOOKUP(AW196,INDIRECT(AQ192),2,FALSE),"----")</f>
        <v>----</v>
      </c>
      <c r="AY196" s="702" t="e">
        <f t="shared" ref="AY196:AY211" ca="1" si="3049">AY195-1</f>
        <v>#REF!</v>
      </c>
      <c r="AZ196" s="698" t="str">
        <f ca="1">IFERROR(VLOOKUP(AY196,INDIRECT(AQ193),2,FALSE),"----")</f>
        <v>----</v>
      </c>
      <c r="BA196" s="702" t="e">
        <f t="shared" ref="BA196:BA211" ca="1" si="3050">BA195-1</f>
        <v>#REF!</v>
      </c>
      <c r="BB196" s="698" t="str">
        <f ca="1">IFERROR(VLOOKUP(BA196,INDIRECT(AQ194),2,FALSE),"----")</f>
        <v>----</v>
      </c>
      <c r="BC196" s="702" t="e">
        <f t="shared" ca="1" si="2635"/>
        <v>#REF!</v>
      </c>
      <c r="BD196" s="698" t="str">
        <f ca="1">IFERROR(VLOOKUP(BC196,INDIRECT(AQ195),2,FALSE),"----")</f>
        <v>----</v>
      </c>
      <c r="BE196" s="702" t="e">
        <f t="shared" ca="1" si="2636"/>
        <v>#REF!</v>
      </c>
      <c r="BF196" s="698" t="str">
        <f ca="1">IFERROR(VLOOKUP(BE196,INDIRECT(AQ196),2,FALSE),"----")</f>
        <v>----</v>
      </c>
      <c r="BG196" s="702" t="e">
        <f t="shared" ca="1" si="2637"/>
        <v>#REF!</v>
      </c>
      <c r="BH196" s="686" t="str">
        <f ca="1">IFERROR(VLOOKUP(BG196,INDIRECT(AQ197),2,FALSE),"----")</f>
        <v>----</v>
      </c>
      <c r="BI196" s="702" t="e">
        <f t="shared" ca="1" si="2638"/>
        <v>#REF!</v>
      </c>
      <c r="BJ196" s="686" t="str">
        <f ca="1">IFERROR(VLOOKUP(BI196,INDIRECT(AQ198),2,FALSE),"----")</f>
        <v>----</v>
      </c>
      <c r="BK196" s="702" t="e">
        <f t="shared" ca="1" si="2639"/>
        <v>#REF!</v>
      </c>
      <c r="BL196" s="686" t="str">
        <f ca="1">IFERROR(VLOOKUP(BK196,INDIRECT(AQ199),2,FALSE),"----")</f>
        <v>----</v>
      </c>
      <c r="BM196" s="702" t="e">
        <f t="shared" ca="1" si="2640"/>
        <v>#REF!</v>
      </c>
      <c r="BN196" s="686" t="str">
        <f ca="1">IFERROR(VLOOKUP(BM196,INDIRECT(AQ200),2,FALSE),"----")</f>
        <v>----</v>
      </c>
      <c r="BO196" s="702" t="e">
        <f t="shared" ca="1" si="2641"/>
        <v>#REF!</v>
      </c>
      <c r="BP196" s="686" t="str">
        <f ca="1">IFERROR(VLOOKUP(BO196,INDIRECT(AQ201),2,FALSE),"----")</f>
        <v>----</v>
      </c>
      <c r="BQ196" s="702" t="e">
        <f t="shared" ca="1" si="2642"/>
        <v>#REF!</v>
      </c>
      <c r="BR196" s="686" t="str">
        <f ca="1">IFERROR(VLOOKUP(BQ196,INDIRECT(AQ202),2,FALSE),"----")</f>
        <v>----</v>
      </c>
      <c r="BS196" s="703">
        <f>IF(AI196="",1,IF(COUNTIF(BF191:BF202,AI196)=0,2,1))</f>
        <v>1</v>
      </c>
      <c r="BT196" s="704">
        <f>IF(AF196="",1,IF(BF191=".",2,1))</f>
        <v>1</v>
      </c>
      <c r="BV196" s="155">
        <f ca="1">IF(COUNTIF(DD191:DD202,AF196)=0,IF(AF196&lt;&gt;"",0,1),1)</f>
        <v>1</v>
      </c>
      <c r="BW196" s="157">
        <f ca="1">IFERROR(MATCH(AF196,DD191:DD202,0),1)</f>
        <v>1</v>
      </c>
      <c r="BX196" s="875" t="s">
        <v>1594</v>
      </c>
      <c r="BY196" s="876"/>
      <c r="BZ196" s="1110"/>
      <c r="CA196" s="691" t="e">
        <f t="shared" ca="1" si="2968"/>
        <v>#REF!</v>
      </c>
      <c r="CB196" s="4" t="e" cm="1">
        <f t="array" aca="1" ref="CB196" ca="1">IF(AND(INDEX(INDIRECT(BY191),CA196,4)&gt;=$AB191,INDEX(INDIRECT(BY191),CA196,5)&gt;=$S191,INDEX(INDIRECT(BY191),CA196,6)&gt;=$R191),1,0)</f>
        <v>#REF!</v>
      </c>
      <c r="CC196" s="4" t="e">
        <f t="shared" ref="CC196" ca="1" si="3051">MATCH(1,OFFSET(CB191:CB202,CD195,0,COUNT(CB191:CB202)-CD195),0)</f>
        <v>#REF!</v>
      </c>
      <c r="CD196" s="4" t="e">
        <f t="shared" ca="1" si="2970"/>
        <v>#REF!</v>
      </c>
      <c r="CE196" s="692" t="str" cm="1">
        <f t="array" aca="1" ref="CE196" ca="1">IFERROR(VLOOKUP(INDEX(CA191:CA202,CD196),INDIRECT(BY191),2,FALSE),"----")</f>
        <v>----</v>
      </c>
      <c r="CF196" s="691" t="e">
        <f t="shared" ca="1" si="2971"/>
        <v>#N/A</v>
      </c>
      <c r="CG196" s="4" t="e">
        <f ca="1">IF(AND(INDEX(SSM,CF196,4)&gt;=$AB191,INDEX(SSM,CF196,5)&gt;=$S191,INDEX(SSM,CF196,6)&gt;=$R191),1,0)</f>
        <v>#N/A</v>
      </c>
      <c r="CH196" s="4" t="e">
        <f t="shared" ref="CH196" ca="1" si="3052">MATCH(1,OFFSET(CG191:CG202,CI195,0,COUNT(CG191:CG202)-CI195),0)</f>
        <v>#REF!</v>
      </c>
      <c r="CI196" s="4" t="e">
        <f t="shared" ca="1" si="2973"/>
        <v>#REF!</v>
      </c>
      <c r="CJ196" s="692" t="str">
        <f ca="1">IFERROR(IF(AD192="Nested Steel Stud (wood infill)",VLOOKUP(INDEX(CF191:CF202,CI196),SSW,2,FALSE),VLOOKUP(INDEX(CF191:CF202,CI196),SSM,2,FALSE)),"----")</f>
        <v>----</v>
      </c>
      <c r="CK196" s="691" t="e">
        <f t="shared" ca="1" si="2974"/>
        <v>#N/A</v>
      </c>
      <c r="CL196" s="4" t="e">
        <f ca="1">IF(AND(INDEX(WSM,CK196,4)&gt;=$AB191,INDEX(WSM,CK196,5)&gt;=$S191,INDEX(WSM,CK196,6)&gt;=$R191),1,0)</f>
        <v>#N/A</v>
      </c>
      <c r="CM196" s="4" t="e">
        <f t="shared" ref="CM196" ca="1" si="3053">MATCH(1,OFFSET(CL191:CL202,CN195,0,COUNT(CL191:CL202)-CN195),0)</f>
        <v>#REF!</v>
      </c>
      <c r="CN196" s="4" t="e">
        <f t="shared" ca="1" si="2976"/>
        <v>#REF!</v>
      </c>
      <c r="CO196" s="692" t="str">
        <f ca="1">IFERROR(VLOOKUP(INDEX(CK191:CK202,CN196),WSM,2,FALSE),"----")</f>
        <v>----</v>
      </c>
      <c r="CP196" s="691" t="e">
        <f t="shared" ca="1" si="2977"/>
        <v>#N/A</v>
      </c>
      <c r="CQ196" s="4" t="e">
        <f ca="1">IF(AND(INDEX(STM,CP196,4)&gt;=$AB191,INDEX(STM,CP196,5)&gt;=$S191,INDEX(STM,CP196,6)&gt;=$R191),1,0)</f>
        <v>#N/A</v>
      </c>
      <c r="CR196" s="4" t="e">
        <f t="shared" ref="CR196" ca="1" si="3054">MATCH(1,OFFSET(CQ191:CQ202,CS195,0,COUNT(CQ191:CQ202)-CS195),0)</f>
        <v>#REF!</v>
      </c>
      <c r="CS196" s="4" t="e">
        <f t="shared" ca="1" si="2979"/>
        <v>#REF!</v>
      </c>
      <c r="CT196" s="692" t="str">
        <f ca="1">IFERROR(VLOOKUP(INDEX(CP191:CP202,CS196),STM,2,FALSE),"----")</f>
        <v>----</v>
      </c>
      <c r="CU196" s="691" t="e">
        <f t="shared" ca="1" si="2980"/>
        <v>#N/A</v>
      </c>
      <c r="CV196" s="4" t="e">
        <f ca="1">IF(AND(INDEX(ELM,CU196,4)&gt;=$AB191,INDEX(ELM,CU196,5)&gt;=$S191,INDEX(ELM,CU196,6)&gt;=$R191),1,0)</f>
        <v>#N/A</v>
      </c>
      <c r="CW196" s="4" t="e">
        <f t="shared" ref="CW196" ca="1" si="3055">MATCH(1,OFFSET(CV191:CV202,CX195,0,COUNT(CV191:CV202)-CX195),0)</f>
        <v>#REF!</v>
      </c>
      <c r="CX196" s="4" t="e">
        <f t="shared" ca="1" si="2982"/>
        <v>#REF!</v>
      </c>
      <c r="CY196" s="692" t="str">
        <f ca="1">IFERROR(VLOOKUP(INDEX(CU191:CU202,CX196),ELM,2,FALSE),"----")</f>
        <v>----</v>
      </c>
      <c r="CZ196" s="691" t="e">
        <f t="shared" ca="1" si="2983"/>
        <v>#N/A</v>
      </c>
      <c r="DA196" s="4" t="e">
        <f ca="1">IF(LEFT($J191,7)="Clad Wo",IF(AND(INDEX(SPPWS,CZ196,4)&gt;=$AB191,INDEX(SPPWS,CZ196,5)&gt;=$S191,INDEX(SPPWS,CZ196,6)&gt;=$R191),1,0),IF(AND(INDEX(SPM,CZ196,4)&gt;=$AB191,INDEX(SPM,CZ196,5)&gt;=$S191,INDEX(SPM,CZ196,6)&gt;=$R191),1,0))</f>
        <v>#N/A</v>
      </c>
      <c r="DB196" s="4" t="e">
        <f t="shared" ref="DB196" ca="1" si="3056">MATCH(1,OFFSET(DA191:DA202,DC195,0,COUNT(DA191:DA202)-DC195),0)</f>
        <v>#REF!</v>
      </c>
      <c r="DC196" s="4" t="e">
        <f t="shared" ca="1" si="2985"/>
        <v>#REF!</v>
      </c>
      <c r="DD196" s="693" t="str">
        <f ca="1">IF(LEFT($J191,7)="Clad Wo",IFERROR(VLOOKUP(INDEX(CZ191:CZ202,DC196),SPPWS,2,FALSE),"----"),IFERROR(VLOOKUP(INDEX(CZ191:CZ202,DC196),SPM,2,FALSE),"----"))</f>
        <v>----</v>
      </c>
      <c r="DE196" s="691" t="e">
        <f t="shared" ca="1" si="2986"/>
        <v>#REF!</v>
      </c>
      <c r="DF196" s="4" t="e" cm="1">
        <f t="array" aca="1" ref="DF196" ca="1">IF(AND(INDEX(INDIRECT(BY191),DE196,4)&gt;=$AB197,INDEX(INDIRECT(BY191),DE196,5)&gt;=$S191,INDEX(INDIRECT(BY191),DE196,6)&gt;=$R191),1,0)</f>
        <v>#REF!</v>
      </c>
      <c r="DG196" s="4" t="e">
        <f t="shared" ref="DG196" ca="1" si="3057">MATCH(1,OFFSET(DF191:DF202,DH195,0,COUNT(DF191:DF202)-DH195),0)</f>
        <v>#REF!</v>
      </c>
      <c r="DH196" s="4" t="e">
        <f t="shared" ca="1" si="2988"/>
        <v>#REF!</v>
      </c>
      <c r="DI196" s="692" t="str" cm="1">
        <f t="array" aca="1" ref="DI196" ca="1">IFERROR(VLOOKUP(INDEX(DE191:DE202,DH196),INDIRECT(BY191),2,FALSE),"----")</f>
        <v>----</v>
      </c>
      <c r="DJ196" s="691" t="e">
        <f t="shared" ca="1" si="2989"/>
        <v>#N/A</v>
      </c>
      <c r="DK196" s="4" t="e">
        <f ca="1">IF(AND(INDEX(SSM,DJ196,4)&gt;=$AB197,INDEX(SSM,DJ196,5)&gt;=$S191,INDEX(SSM,DJ196,6)&gt;=$R191),1,0)</f>
        <v>#N/A</v>
      </c>
      <c r="DL196" s="4" t="e">
        <f t="shared" ref="DL196" ca="1" si="3058">MATCH(1,OFFSET(DK191:DK202,DM195,0,COUNT(DK191:DK202)-DM195),0)</f>
        <v>#REF!</v>
      </c>
      <c r="DM196" s="4" t="e">
        <f t="shared" ca="1" si="2991"/>
        <v>#REF!</v>
      </c>
      <c r="DN196" s="692" t="str">
        <f ca="1">IFERROR(IF(AD198="Nested Steel Stud (wood infill)",VLOOKUP(INDEX(DJ191:DJ202,DM196),SSW,2,FALSE),VLOOKUP(INDEX(DJ191:DJ202,DM196),SSM,2,FALSE)),"----")</f>
        <v>----</v>
      </c>
      <c r="DO196" s="691" t="e">
        <f t="shared" ca="1" si="2992"/>
        <v>#N/A</v>
      </c>
      <c r="DP196" s="4" t="e">
        <f ca="1">IF(AND(INDEX(WSM,DO196,4)&gt;=$AB197,INDEX(WSM,DO196,5)&gt;=$S191,INDEX(WSM,DO196,6)&gt;=$R191),1,0)</f>
        <v>#N/A</v>
      </c>
      <c r="DQ196" s="4" t="e">
        <f t="shared" ref="DQ196" ca="1" si="3059">MATCH(1,OFFSET(DP191:DP202,DR195,0,COUNT(DP191:DP202)-DR195),0)</f>
        <v>#REF!</v>
      </c>
      <c r="DR196" s="4" t="e">
        <f t="shared" ca="1" si="2994"/>
        <v>#REF!</v>
      </c>
      <c r="DS196" s="692" t="str">
        <f ca="1">IFERROR(VLOOKUP(INDEX(DO191:DO202,DR196),WSM,2,FALSE),"----")</f>
        <v>----</v>
      </c>
      <c r="DT196" s="691" t="e">
        <f t="shared" ca="1" si="2995"/>
        <v>#N/A</v>
      </c>
      <c r="DU196" s="4" t="e">
        <f ca="1">IF(AND(INDEX(STM,DT196,4)&gt;=$AB197,INDEX(STM,DT196,5)&gt;=$S191,INDEX(STM,DT196,6)&gt;=$R191),1,0)</f>
        <v>#N/A</v>
      </c>
      <c r="DV196" s="4" t="e">
        <f t="shared" ref="DV196" ca="1" si="3060">MATCH(1,OFFSET(DU191:DU202,DW195,0,COUNT(DU191:DU202)-DW195),0)</f>
        <v>#REF!</v>
      </c>
      <c r="DW196" s="4" t="e">
        <f t="shared" ca="1" si="2997"/>
        <v>#REF!</v>
      </c>
      <c r="DX196" s="692" t="str">
        <f ca="1">IFERROR(VLOOKUP(INDEX(DT191:DT202,DW196),STM,2,FALSE),"----")</f>
        <v>----</v>
      </c>
      <c r="DY196" s="691" t="e">
        <f t="shared" ca="1" si="2998"/>
        <v>#N/A</v>
      </c>
      <c r="DZ196" s="4" t="e">
        <f ca="1">IF(AND(INDEX(ELM,DY196,4)&gt;=$AB197,INDEX(ELM,DY196,5)&gt;=$S191,INDEX(ELM,DY196,6)&gt;=$R191),1,0)</f>
        <v>#N/A</v>
      </c>
      <c r="EA196" s="4" t="e">
        <f t="shared" ref="EA196" ca="1" si="3061">MATCH(1,OFFSET(DZ191:DZ202,EB195,0,COUNT(DZ191:DZ202)-EB195),0)</f>
        <v>#REF!</v>
      </c>
      <c r="EB196" s="4" t="e">
        <f t="shared" ca="1" si="3000"/>
        <v>#REF!</v>
      </c>
      <c r="EC196" s="692" t="str">
        <f ca="1">IFERROR(VLOOKUP(INDEX(DY191:DY202,EB196),ELM,2,FALSE),"----")</f>
        <v>----</v>
      </c>
      <c r="ED196" s="691" t="e">
        <f t="shared" ca="1" si="3001"/>
        <v>#N/A</v>
      </c>
      <c r="EE196" s="4" t="e">
        <f ca="1">IF(LEFT($J191,7)="Clad Wo",IF(AND(INDEX(SPPWS,ED196,4)&gt;=$AB197,INDEX(SPPWS,ED196,5)&gt;=$S191,INDEX(SPPWS,ED196,6)&gt;=$R191),1,0),IF(AND(INDEX(SPM,ED196,4)&gt;=$AB197,INDEX(SPM,ED196,5)&gt;=$S191,INDEX(SPM,ED196,6)&gt;=$R191),1,0))</f>
        <v>#N/A</v>
      </c>
      <c r="EF196" s="4" t="e">
        <f t="shared" ref="EF196" ca="1" si="3062">MATCH(1,OFFSET(EE191:EE202,EG195,0,COUNT(EE191:EE202)-EG195),0)</f>
        <v>#REF!</v>
      </c>
      <c r="EG196" s="4" t="e">
        <f t="shared" ca="1" si="3003"/>
        <v>#REF!</v>
      </c>
      <c r="EH196" s="692" t="str">
        <f ca="1">IF(LEFT($J191,7)="Clad Wo",IFERROR(VLOOKUP(INDEX(ED191:ED202,EG196),SPPWS,2,FALSE),"----"),IFERROR(VLOOKUP(INDEX(ED191:ED202,EG196),SPM,2,FALSE),"----"))</f>
        <v>----</v>
      </c>
    </row>
    <row r="197" spans="1:138" ht="15" customHeight="1" x14ac:dyDescent="0.25">
      <c r="A197" s="1085"/>
      <c r="B197" s="925" t="s">
        <v>409</v>
      </c>
      <c r="C197" s="926"/>
      <c r="D197" s="927"/>
      <c r="E197" s="995"/>
      <c r="F197" s="996"/>
      <c r="G197" s="997"/>
      <c r="H197" s="1062"/>
      <c r="I197" s="990"/>
      <c r="J197" s="908"/>
      <c r="K197" s="909"/>
      <c r="L197" s="1001">
        <f>L191+1</f>
        <v>5</v>
      </c>
      <c r="M197" s="1064" t="str">
        <f t="shared" ref="M197" si="3063">IFERROR(IF($AE$17="",IF($AG$19="Wind Loading",MIN($V$31,IF(E$11="ASCE 7-05",$U$26,$V$7)*$V$9*(IF($E$12&lt;60,0.156*LN(MAX(MIN(500,O191),10)) -1.7618,IF($E$11="ASCE 7-22", 0.2026*LN(MAX(MIN(500,O191),20))-2.2638,0.2503*LN(MAX(MIN(500,O191),20)) -2.5526))-$V$8)),$V$7*IF(E$12&lt;60,$V$13*($V$15*(0.156*LN(MAX(MIN(500,O191),10)) -1.7618)-$V$16),$V$13*$V$15*((0.2026*LN(MAX(MIN(500,O191),20))-2.2638)-$V$16))),-ABS($AE$17)),"")</f>
        <v/>
      </c>
      <c r="N197" s="1041" t="str">
        <f t="shared" ref="N197" si="3064">IFERROR(IF($AE$19="",IF($AG$19="Wind Loading",MAX($U$31,IF(E$11="ASCE 7-05",$U$26,$V$7)*$V$9*((IF($E$12&lt;60,-0.077*LN(MAX(MIN(500,O191),10))+1.1737,IF($E$11="ASCE 7-22",-0.077*LN(MAX(MIN(500,O191),20))+1.0798,-0.093*LN(MAX(MIN(500,O191),20))+1.1776)))+$V$8)),$V$7*IF(E$12&lt;60,$V$13*($V$15*(-0.077*LN(MAX(MIN(500,O191),10))+1.1737)-$V$17),$V$13*$V$15*((-0.077*LN(MAX(MIN(500,O191),20))+1.0798)-$V$17))),ABS($AE$19)),"")</f>
        <v/>
      </c>
      <c r="O197" s="1018"/>
      <c r="P197" s="987"/>
      <c r="Q197" s="1015"/>
      <c r="R197" s="1012">
        <f>P197*Q197/8</f>
        <v>0</v>
      </c>
      <c r="S197" s="1006"/>
      <c r="T197" s="1007"/>
      <c r="U197" s="878"/>
      <c r="V197" s="881"/>
      <c r="W197" s="883" t="e">
        <f t="shared" ref="W197" si="3065">MAX(-M197,N197)*O191</f>
        <v>#VALUE!</v>
      </c>
      <c r="X197" s="884"/>
      <c r="Y197" s="886">
        <f>IFERROR(IF(AG$14="Trapezoidal",BY200,BX200)+IF($E$17="4",(400*E191^3)/(48*X191),0),0)</f>
        <v>0</v>
      </c>
      <c r="Z197" s="886" t="e">
        <f t="shared" ref="Z197" si="3066">+($V191*MAX(-$M197,$N197)*$E191^2)/(144*8)+IF($E$17=4,(400*$E191)/4,0)</f>
        <v>#VALUE!</v>
      </c>
      <c r="AA197" s="887"/>
      <c r="AB197" s="1080" t="str">
        <f t="shared" ref="AB197" ca="1" si="3067">IFERROR(Z197-AA191,"")</f>
        <v/>
      </c>
      <c r="AC197" s="1086" t="str">
        <f t="shared" ref="AC197" ca="1" si="3068">IFERROR(Y197-U191,"")</f>
        <v/>
      </c>
      <c r="AD197" s="1074" t="str">
        <f t="shared" ref="AD197" si="3069">AD191</f>
        <v/>
      </c>
      <c r="AE197" s="1075"/>
      <c r="AF197" s="1056"/>
      <c r="AG197" s="1057"/>
      <c r="AH197" s="1057"/>
      <c r="AI197" s="1088"/>
      <c r="AJ197" s="1089"/>
      <c r="AK197" s="162" t="str">
        <f t="shared" ca="1" si="2393"/>
        <v/>
      </c>
      <c r="AL197" s="1058" t="str">
        <f t="shared" ref="AL197" si="3070">IFERROR(ROUND(SQRT(P191^2+(W197/2+IF($E$17=4,200,0))^2),0),"")</f>
        <v/>
      </c>
      <c r="AM197" s="342" t="s">
        <v>669</v>
      </c>
      <c r="AN197" t="str">
        <f t="shared" ca="1" si="2409"/>
        <v/>
      </c>
      <c r="AP197" s="122" t="str">
        <f t="shared" ref="AP197" si="3071">_xlfn.CONCAT(AR197,AS202)</f>
        <v/>
      </c>
      <c r="AQ197" s="683" t="str">
        <f t="shared" si="2617"/>
        <v/>
      </c>
      <c r="AR197" s="96" t="str">
        <f t="shared" si="2378"/>
        <v/>
      </c>
      <c r="AS197" s="96" t="str">
        <f>IF(COUNTIF(imp_1,AF197)=1,"imp_1",IF(COUNTIF(imp_2,AF197)=1,"imp_2",IF(COUNTIF(imp_3,AF197)=1,"imp_3",IF(COUNTIF(impdoor,AF197)=1,"impdoor",""))))</f>
        <v/>
      </c>
      <c r="AT197" s="684" t="str">
        <f>AL197</f>
        <v/>
      </c>
      <c r="AU197" s="685" t="e">
        <f t="shared" ca="1" si="2633"/>
        <v>#REF!</v>
      </c>
      <c r="AV197" s="686" t="str">
        <f ca="1">IFERROR(VLOOKUP(AU197,INDIRECT(AQ191),2,FALSE),"----")</f>
        <v>----</v>
      </c>
      <c r="AW197" s="685" t="e">
        <f t="shared" ca="1" si="2634"/>
        <v>#REF!</v>
      </c>
      <c r="AX197" s="686" t="str">
        <f ca="1">IFERROR(VLOOKUP(AW197,INDIRECT(AQ192),2,FALSE),"----")</f>
        <v>----</v>
      </c>
      <c r="AY197" s="685" t="e">
        <f t="shared" ca="1" si="3049"/>
        <v>#REF!</v>
      </c>
      <c r="AZ197" s="686" t="str">
        <f ca="1">IFERROR(VLOOKUP(AY197,INDIRECT(AQ193),2,FALSE),"----")</f>
        <v>----</v>
      </c>
      <c r="BA197" s="685" t="e">
        <f t="shared" ca="1" si="3050"/>
        <v>#REF!</v>
      </c>
      <c r="BB197" s="686" t="str">
        <f ca="1">IFERROR(VLOOKUP(BA197,INDIRECT(AQ194),2,FALSE),"----")</f>
        <v>----</v>
      </c>
      <c r="BC197" s="685" t="e">
        <f t="shared" ca="1" si="2635"/>
        <v>#REF!</v>
      </c>
      <c r="BD197" s="686" t="str">
        <f ca="1">IFERROR(VLOOKUP(BC197,INDIRECT(AQ195),2,FALSE),"----")</f>
        <v>----</v>
      </c>
      <c r="BE197" s="685" t="e">
        <f t="shared" ca="1" si="2636"/>
        <v>#REF!</v>
      </c>
      <c r="BF197" s="686" t="str">
        <f ca="1">IFERROR(VLOOKUP(BE197,INDIRECT(AQ196),2,FALSE),"----")</f>
        <v>----</v>
      </c>
      <c r="BG197" s="702" t="e">
        <f t="shared" ca="1" si="2637"/>
        <v>#REF!</v>
      </c>
      <c r="BH197" s="686" t="str">
        <f ca="1">IFERROR(VLOOKUP(BG197,INDIRECT(AQ197),2,FALSE),"----")</f>
        <v>----</v>
      </c>
      <c r="BI197" s="702" t="e">
        <f t="shared" ca="1" si="2638"/>
        <v>#REF!</v>
      </c>
      <c r="BJ197" s="686" t="str">
        <f ca="1">IFERROR(VLOOKUP(BI197,INDIRECT(AQ198),2,FALSE),"----")</f>
        <v>----</v>
      </c>
      <c r="BK197" s="702" t="e">
        <f t="shared" ca="1" si="2639"/>
        <v>#REF!</v>
      </c>
      <c r="BL197" s="686" t="str">
        <f ca="1">IFERROR(VLOOKUP(BK197,INDIRECT(AQ199),2,FALSE),"----")</f>
        <v>----</v>
      </c>
      <c r="BM197" s="702" t="e">
        <f t="shared" ca="1" si="2640"/>
        <v>#REF!</v>
      </c>
      <c r="BN197" s="686" t="str">
        <f ca="1">IFERROR(VLOOKUP(BM197,INDIRECT(AQ200),2,FALSE),"----")</f>
        <v>----</v>
      </c>
      <c r="BO197" s="702" t="e">
        <f t="shared" ca="1" si="2641"/>
        <v>#REF!</v>
      </c>
      <c r="BP197" s="686" t="str">
        <f ca="1">IFERROR(VLOOKUP(BO197,INDIRECT(AQ201),2,FALSE),"----")</f>
        <v>----</v>
      </c>
      <c r="BQ197" s="702" t="e">
        <f t="shared" ca="1" si="2642"/>
        <v>#REF!</v>
      </c>
      <c r="BR197" s="686" t="str">
        <f ca="1">IFERROR(VLOOKUP(BQ197,INDIRECT(AQ202),2,FALSE),"----")</f>
        <v>----</v>
      </c>
      <c r="BS197" s="695">
        <f>IF(AI197="",1,IF(COUNTIF(BH191:BH202,AI197)=0,2,1))</f>
        <v>1</v>
      </c>
      <c r="BT197" s="696">
        <f>IF(AP197="1",1,IF(AF197="",1,IF(BH191=".",2,1)))</f>
        <v>1</v>
      </c>
      <c r="BU197" s="706"/>
      <c r="BV197" s="155">
        <f ca="1">IF(COUNTIF(DI191:DI202,AF197)=0,IF(AF197&lt;&gt;"",0,1),1)</f>
        <v>1</v>
      </c>
      <c r="BW197" s="157">
        <f ca="1">IFERROR(MATCH(AF197,DI191:DI202,0),1)</f>
        <v>1</v>
      </c>
      <c r="BX197" s="769" t="s">
        <v>1593</v>
      </c>
      <c r="BY197" s="769" t="s">
        <v>1629</v>
      </c>
      <c r="BZ197" s="1110"/>
      <c r="CA197" s="691" t="e">
        <f t="shared" ca="1" si="2968"/>
        <v>#REF!</v>
      </c>
      <c r="CB197" s="4" t="e" cm="1">
        <f t="array" aca="1" ref="CB197" ca="1">IF(AND(INDEX(INDIRECT(BY191),CA197,4)&gt;=$AB191,INDEX(INDIRECT(BY191),CA197,5)&gt;=$S191,INDEX(INDIRECT(BY191),CA197,6)&gt;=$R191),1,0)</f>
        <v>#REF!</v>
      </c>
      <c r="CC197" s="4" t="e">
        <f t="shared" ref="CC197" ca="1" si="3072">MATCH(1,OFFSET(CB191:CB202,CD196,0,COUNT(CB191:CB202)-CD196),0)</f>
        <v>#REF!</v>
      </c>
      <c r="CD197" s="4" t="e">
        <f t="shared" ca="1" si="2970"/>
        <v>#REF!</v>
      </c>
      <c r="CE197" s="692" t="str" cm="1">
        <f t="array" aca="1" ref="CE197" ca="1">IFERROR(VLOOKUP(INDEX(CA191:CA202,CD197),INDIRECT(BY191),2,FALSE),"----")</f>
        <v>----</v>
      </c>
      <c r="CF197" s="691" t="e">
        <f t="shared" ca="1" si="2971"/>
        <v>#N/A</v>
      </c>
      <c r="CG197" s="4" t="e">
        <f ca="1">IF(AND(INDEX(SSM,CF197,4)&gt;=$AB191,INDEX(SSM,CF197,5)&gt;=$S191,INDEX(SSM,CF197,6)&gt;=$R191),1,0)</f>
        <v>#N/A</v>
      </c>
      <c r="CH197" s="4" t="e">
        <f t="shared" ref="CH197" ca="1" si="3073">MATCH(1,OFFSET(CG191:CG202,CI196,0,COUNT(CG191:CG202)-CI196),0)</f>
        <v>#REF!</v>
      </c>
      <c r="CI197" s="4" t="e">
        <f t="shared" ca="1" si="2973"/>
        <v>#REF!</v>
      </c>
      <c r="CJ197" s="692" t="str">
        <f ca="1">IFERROR(IF(AD192="Nested Steel Stud (wood infill)",VLOOKUP(INDEX(CF191:CF202,CI197),SSW,2,FALSE),VLOOKUP(INDEX(CF191:CF202,CI197),SSM,2,FALSE)),"----")</f>
        <v>----</v>
      </c>
      <c r="CK197" s="691" t="e">
        <f t="shared" ca="1" si="2974"/>
        <v>#N/A</v>
      </c>
      <c r="CL197" s="4" t="e">
        <f ca="1">IF(AND(INDEX(WSM,CK197,4)&gt;=$AB191,INDEX(WSM,CK197,5)&gt;=$S191,INDEX(WSM,CK197,6)&gt;=$R191),1,0)</f>
        <v>#N/A</v>
      </c>
      <c r="CM197" s="4" t="e">
        <f t="shared" ref="CM197" ca="1" si="3074">MATCH(1,OFFSET(CL191:CL202,CN196,0,COUNT(CL191:CL202)-CN196),0)</f>
        <v>#REF!</v>
      </c>
      <c r="CN197" s="4" t="e">
        <f t="shared" ca="1" si="2976"/>
        <v>#REF!</v>
      </c>
      <c r="CO197" s="692" t="str">
        <f ca="1">IFERROR(VLOOKUP(INDEX(CK191:CK202,CN197),WSM,2,FALSE),"----")</f>
        <v>----</v>
      </c>
      <c r="CP197" s="691" t="e">
        <f t="shared" ca="1" si="2977"/>
        <v>#N/A</v>
      </c>
      <c r="CQ197" s="4" t="e">
        <f ca="1">IF(AND(INDEX(STM,CP197,4)&gt;=$AB191,INDEX(STM,CP197,5)&gt;=$S191,INDEX(STM,CP197,6)&gt;=$R191),1,0)</f>
        <v>#N/A</v>
      </c>
      <c r="CR197" s="4" t="e">
        <f t="shared" ref="CR197" ca="1" si="3075">MATCH(1,OFFSET(CQ191:CQ202,CS196,0,COUNT(CQ191:CQ202)-CS196),0)</f>
        <v>#REF!</v>
      </c>
      <c r="CS197" s="4" t="e">
        <f t="shared" ca="1" si="2979"/>
        <v>#REF!</v>
      </c>
      <c r="CT197" s="692" t="str">
        <f ca="1">IFERROR(VLOOKUP(INDEX(CP191:CP202,CS197),STM,2,FALSE),"----")</f>
        <v>----</v>
      </c>
      <c r="CU197" s="691" t="e">
        <f t="shared" ca="1" si="2980"/>
        <v>#N/A</v>
      </c>
      <c r="CV197" s="4" t="e">
        <f ca="1">IF(AND(INDEX(ELM,CU197,4)&gt;=$AB191,INDEX(ELM,CU197,5)&gt;=$S191,INDEX(ELM,CU197,6)&gt;=$R191),1,0)</f>
        <v>#N/A</v>
      </c>
      <c r="CW197" s="4" t="e">
        <f t="shared" ref="CW197" ca="1" si="3076">MATCH(1,OFFSET(CV191:CV202,CX196,0,COUNT(CV191:CV202)-CX196),0)</f>
        <v>#REF!</v>
      </c>
      <c r="CX197" s="4" t="e">
        <f t="shared" ca="1" si="2982"/>
        <v>#REF!</v>
      </c>
      <c r="CY197" s="692" t="str">
        <f ca="1">IFERROR(VLOOKUP(INDEX(CU191:CU202,CX197),ELM,2,FALSE),"----")</f>
        <v>----</v>
      </c>
      <c r="CZ197" s="691" t="e">
        <f t="shared" ca="1" si="2983"/>
        <v>#N/A</v>
      </c>
      <c r="DA197" s="4" t="e">
        <f ca="1">IF(LEFT($J191,7)="Clad Wo",IF(AND(INDEX(SPPWS,CZ197,4)&gt;=$AB191,INDEX(SPPWS,CZ197,5)&gt;=$S191,INDEX(SPPWS,CZ197,6)&gt;=$R191),1,0),IF(AND(INDEX(SPM,CZ197,4)&gt;=$AB191,INDEX(SPM,CZ197,5)&gt;=$S191,INDEX(SPM,CZ197,6)&gt;=$R191),1,0))</f>
        <v>#N/A</v>
      </c>
      <c r="DB197" s="4" t="e">
        <f t="shared" ref="DB197" ca="1" si="3077">MATCH(1,OFFSET(DA191:DA202,DC196,0,COUNT(DA191:DA202)-DC196),0)</f>
        <v>#REF!</v>
      </c>
      <c r="DC197" s="4" t="e">
        <f t="shared" ca="1" si="2985"/>
        <v>#REF!</v>
      </c>
      <c r="DD197" s="693" t="str">
        <f ca="1">IF(LEFT($J191,7)="Clad Wo",IFERROR(VLOOKUP(INDEX(CZ191:CZ202,DC197),SPPWS,2,FALSE),"----"),IFERROR(VLOOKUP(INDEX(CZ191:CZ202,DC197),SPM,2,FALSE),"----"))</f>
        <v>----</v>
      </c>
      <c r="DE197" s="691" t="e">
        <f t="shared" ca="1" si="2986"/>
        <v>#REF!</v>
      </c>
      <c r="DF197" s="4" t="e" cm="1">
        <f t="array" aca="1" ref="DF197" ca="1">IF(AND(INDEX(INDIRECT(BY191),DE197,4)&gt;=$AB197,INDEX(INDIRECT(BY191),DE197,5)&gt;=$S191,INDEX(INDIRECT(BY191),DE197,6)&gt;=$R191),1,0)</f>
        <v>#REF!</v>
      </c>
      <c r="DG197" s="4" t="e">
        <f t="shared" ref="DG197" ca="1" si="3078">MATCH(1,OFFSET(DF191:DF202,DH196,0,COUNT(DF191:DF202)-DH196),0)</f>
        <v>#REF!</v>
      </c>
      <c r="DH197" s="4" t="e">
        <f t="shared" ca="1" si="2988"/>
        <v>#REF!</v>
      </c>
      <c r="DI197" s="692" t="str" cm="1">
        <f t="array" aca="1" ref="DI197" ca="1">IFERROR(VLOOKUP(INDEX(DE191:DE202,DH197),INDIRECT(BY191),2,FALSE),"----")</f>
        <v>----</v>
      </c>
      <c r="DJ197" s="691" t="e">
        <f t="shared" ca="1" si="2989"/>
        <v>#N/A</v>
      </c>
      <c r="DK197" s="4" t="e">
        <f ca="1">IF(AND(INDEX(SSM,DJ197,4)&gt;=$AB197,INDEX(SSM,DJ197,5)&gt;=$S191,INDEX(SSM,DJ197,6)&gt;=$R191),1,0)</f>
        <v>#N/A</v>
      </c>
      <c r="DL197" s="4" t="e">
        <f t="shared" ref="DL197" ca="1" si="3079">MATCH(1,OFFSET(DK191:DK202,DM196,0,COUNT(DK191:DK202)-DM196),0)</f>
        <v>#REF!</v>
      </c>
      <c r="DM197" s="4" t="e">
        <f t="shared" ca="1" si="2991"/>
        <v>#REF!</v>
      </c>
      <c r="DN197" s="692" t="str">
        <f ca="1">IFERROR(IF(AD198="Nested Steel Stud (wood infill)",VLOOKUP(INDEX(DJ191:DJ202,DM197),SSW,2,FALSE),VLOOKUP(INDEX(DJ191:DJ202,DM197),SSM,2,FALSE)),"----")</f>
        <v>----</v>
      </c>
      <c r="DO197" s="691" t="e">
        <f t="shared" ca="1" si="2992"/>
        <v>#N/A</v>
      </c>
      <c r="DP197" s="4" t="e">
        <f ca="1">IF(AND(INDEX(WSM,DO197,4)&gt;=$AB197,INDEX(WSM,DO197,5)&gt;=$S191,INDEX(WSM,DO197,6)&gt;=$R191),1,0)</f>
        <v>#N/A</v>
      </c>
      <c r="DQ197" s="4" t="e">
        <f t="shared" ref="DQ197" ca="1" si="3080">MATCH(1,OFFSET(DP191:DP202,DR196,0,COUNT(DP191:DP202)-DR196),0)</f>
        <v>#REF!</v>
      </c>
      <c r="DR197" s="4" t="e">
        <f t="shared" ca="1" si="2994"/>
        <v>#REF!</v>
      </c>
      <c r="DS197" s="692" t="str">
        <f ca="1">IFERROR(VLOOKUP(INDEX(DO191:DO202,DR197),WSM,2,FALSE),"----")</f>
        <v>----</v>
      </c>
      <c r="DT197" s="691" t="e">
        <f t="shared" ca="1" si="2995"/>
        <v>#N/A</v>
      </c>
      <c r="DU197" s="4" t="e">
        <f ca="1">IF(AND(INDEX(STM,DT197,4)&gt;=$AB197,INDEX(STM,DT197,5)&gt;=$S191,INDEX(STM,DT197,6)&gt;=$R191),1,0)</f>
        <v>#N/A</v>
      </c>
      <c r="DV197" s="4" t="e">
        <f t="shared" ref="DV197" ca="1" si="3081">MATCH(1,OFFSET(DU191:DU202,DW196,0,COUNT(DU191:DU202)-DW196),0)</f>
        <v>#REF!</v>
      </c>
      <c r="DW197" s="4" t="e">
        <f t="shared" ca="1" si="2997"/>
        <v>#REF!</v>
      </c>
      <c r="DX197" s="692" t="str">
        <f ca="1">IFERROR(VLOOKUP(INDEX(DT191:DT202,DW197),STM,2,FALSE),"----")</f>
        <v>----</v>
      </c>
      <c r="DY197" s="691" t="e">
        <f t="shared" ca="1" si="2998"/>
        <v>#N/A</v>
      </c>
      <c r="DZ197" s="4" t="e">
        <f ca="1">IF(AND(INDEX(ELM,DY197,4)&gt;=$AB197,INDEX(ELM,DY197,5)&gt;=$S191,INDEX(ELM,DY197,6)&gt;=$R191),1,0)</f>
        <v>#N/A</v>
      </c>
      <c r="EA197" s="4" t="e">
        <f t="shared" ref="EA197" ca="1" si="3082">MATCH(1,OFFSET(DZ191:DZ202,EB196,0,COUNT(DZ191:DZ202)-EB196),0)</f>
        <v>#REF!</v>
      </c>
      <c r="EB197" s="4" t="e">
        <f t="shared" ca="1" si="3000"/>
        <v>#REF!</v>
      </c>
      <c r="EC197" s="692" t="str">
        <f ca="1">IFERROR(VLOOKUP(INDEX(DY191:DY202,EB197),ELM,2,FALSE),"----")</f>
        <v>----</v>
      </c>
      <c r="ED197" s="691" t="e">
        <f t="shared" ca="1" si="3001"/>
        <v>#N/A</v>
      </c>
      <c r="EE197" s="4" t="e">
        <f ca="1">IF(LEFT($J191,7)="Clad Wo",IF(AND(INDEX(SPPWS,ED197,4)&gt;=$AB197,INDEX(SPPWS,ED197,5)&gt;=$S191,INDEX(SPPWS,ED197,6)&gt;=$R191),1,0),IF(AND(INDEX(SPM,ED197,4)&gt;=$AB197,INDEX(SPM,ED197,5)&gt;=$S191,INDEX(SPM,ED197,6)&gt;=$R191),1,0))</f>
        <v>#N/A</v>
      </c>
      <c r="EF197" s="4" t="e">
        <f t="shared" ref="EF197" ca="1" si="3083">MATCH(1,OFFSET(EE191:EE202,EG196,0,COUNT(EE191:EE202)-EG196),0)</f>
        <v>#REF!</v>
      </c>
      <c r="EG197" s="4" t="e">
        <f t="shared" ca="1" si="3003"/>
        <v>#REF!</v>
      </c>
      <c r="EH197" s="692" t="str">
        <f ca="1">IF(LEFT($J191,7)="Clad Wo",IFERROR(VLOOKUP(INDEX(ED191:ED202,EG197),SPPWS,2,FALSE),"----"),IFERROR(VLOOKUP(INDEX(ED191:ED202,EG197),SPM,2,FALSE),"----"))</f>
        <v>----</v>
      </c>
    </row>
    <row r="198" spans="1:138" ht="15" customHeight="1" x14ac:dyDescent="0.25">
      <c r="A198" s="1085"/>
      <c r="B198" s="925"/>
      <c r="C198" s="926"/>
      <c r="D198" s="927"/>
      <c r="E198" s="995"/>
      <c r="F198" s="996"/>
      <c r="G198" s="997"/>
      <c r="H198" s="1062"/>
      <c r="I198" s="990"/>
      <c r="J198" s="912"/>
      <c r="K198" s="913"/>
      <c r="L198" s="1002"/>
      <c r="M198" s="923"/>
      <c r="N198" s="1042"/>
      <c r="O198" s="1018"/>
      <c r="P198" s="987"/>
      <c r="Q198" s="1015"/>
      <c r="R198" s="1012"/>
      <c r="S198" s="1006"/>
      <c r="T198" s="1007"/>
      <c r="U198" s="878"/>
      <c r="V198" s="881"/>
      <c r="W198" s="884"/>
      <c r="X198" s="884"/>
      <c r="Y198" s="887"/>
      <c r="Z198" s="887"/>
      <c r="AA198" s="887"/>
      <c r="AB198" s="1081"/>
      <c r="AC198" s="1078"/>
      <c r="AD198" s="1070" t="str">
        <f t="shared" ref="AD198" si="3084">IF(ISBLANK(AD192)=TRUE,"",AD192)</f>
        <v>Nested Steel Stud</v>
      </c>
      <c r="AE198" s="1071"/>
      <c r="AF198" s="1052"/>
      <c r="AG198" s="1053"/>
      <c r="AH198" s="1053"/>
      <c r="AI198" s="1066"/>
      <c r="AJ198" s="1067"/>
      <c r="AK198" s="156" t="str">
        <f t="shared" ca="1" si="2393"/>
        <v/>
      </c>
      <c r="AL198" s="1059"/>
      <c r="AM198" s="343" t="str">
        <f ca="1">IFERROR(Q191/12*ROUND(VLOOKUP(AF198,OFFSET(SSM,0,1),6,FALSE),2),"")</f>
        <v/>
      </c>
      <c r="AN198" t="str">
        <f t="shared" ca="1" si="2409"/>
        <v/>
      </c>
      <c r="AP198" s="122" t="str">
        <f t="shared" ref="AP198" si="3085">_xlfn.CONCAT(AR198,AS202)</f>
        <v/>
      </c>
      <c r="AQ198" s="683" t="str">
        <f t="shared" si="2617"/>
        <v/>
      </c>
      <c r="AR198" s="96" t="str">
        <f t="shared" si="2378"/>
        <v/>
      </c>
      <c r="AS198" s="96" t="str">
        <f>IF(COUNTIF(Vista_1,AF197)=1,"Vista_1",IF(COUNTIF(Vista_2,AF197)=1,"Vista_2",""))</f>
        <v/>
      </c>
      <c r="AT198" s="684" t="str">
        <f>AL197</f>
        <v/>
      </c>
      <c r="AU198" s="694" t="e">
        <f t="shared" ca="1" si="2633"/>
        <v>#REF!</v>
      </c>
      <c r="AV198" s="686" t="str">
        <f ca="1">IFERROR(VLOOKUP(AU198,INDIRECT(AQ191),2,FALSE),"----")</f>
        <v>----</v>
      </c>
      <c r="AW198" s="694" t="e">
        <f t="shared" ca="1" si="2634"/>
        <v>#REF!</v>
      </c>
      <c r="AX198" s="686" t="str">
        <f ca="1">IFERROR(VLOOKUP(AW198,INDIRECT(AQ192),2,FALSE),"----")</f>
        <v>----</v>
      </c>
      <c r="AY198" s="694" t="e">
        <f t="shared" ca="1" si="3049"/>
        <v>#REF!</v>
      </c>
      <c r="AZ198" s="686" t="str">
        <f ca="1">IFERROR(VLOOKUP(AY198,INDIRECT(AQ193),2,FALSE),"----")</f>
        <v>----</v>
      </c>
      <c r="BA198" s="694" t="e">
        <f t="shared" ca="1" si="3050"/>
        <v>#REF!</v>
      </c>
      <c r="BB198" s="686" t="str">
        <f ca="1">IFERROR(VLOOKUP(BA198,INDIRECT(AQ194),2,FALSE),"----")</f>
        <v>----</v>
      </c>
      <c r="BC198" s="694" t="e">
        <f t="shared" ca="1" si="2635"/>
        <v>#REF!</v>
      </c>
      <c r="BD198" s="686" t="str">
        <f ca="1">IFERROR(VLOOKUP(BC198,INDIRECT(AQ195),2,FALSE),"----")</f>
        <v>----</v>
      </c>
      <c r="BE198" s="694" t="e">
        <f t="shared" ca="1" si="2636"/>
        <v>#REF!</v>
      </c>
      <c r="BF198" s="686" t="str">
        <f ca="1">IFERROR(VLOOKUP(BE198,INDIRECT(AQ196),2,FALSE),"----")</f>
        <v>----</v>
      </c>
      <c r="BG198" s="702" t="e">
        <f t="shared" ca="1" si="2637"/>
        <v>#REF!</v>
      </c>
      <c r="BH198" s="686" t="str">
        <f ca="1">IFERROR(VLOOKUP(BG198,INDIRECT(AQ197),2,FALSE),"----")</f>
        <v>----</v>
      </c>
      <c r="BI198" s="702" t="e">
        <f t="shared" ca="1" si="2638"/>
        <v>#REF!</v>
      </c>
      <c r="BJ198" s="686" t="str">
        <f ca="1">IFERROR(VLOOKUP(BI198,INDIRECT(AQ198),2,FALSE),"----")</f>
        <v>----</v>
      </c>
      <c r="BK198" s="702" t="e">
        <f t="shared" ca="1" si="2639"/>
        <v>#REF!</v>
      </c>
      <c r="BL198" s="686" t="str">
        <f ca="1">IFERROR(VLOOKUP(BK198,INDIRECT(AQ199),2,FALSE),"----")</f>
        <v>----</v>
      </c>
      <c r="BM198" s="702" t="e">
        <f t="shared" ca="1" si="2640"/>
        <v>#REF!</v>
      </c>
      <c r="BN198" s="686" t="str">
        <f ca="1">IFERROR(VLOOKUP(BM198,INDIRECT(AQ200),2,FALSE),"----")</f>
        <v>----</v>
      </c>
      <c r="BO198" s="702" t="e">
        <f t="shared" ca="1" si="2641"/>
        <v>#REF!</v>
      </c>
      <c r="BP198" s="686" t="str">
        <f ca="1">IFERROR(VLOOKUP(BO198,INDIRECT(AQ201),2,FALSE),"----")</f>
        <v>----</v>
      </c>
      <c r="BQ198" s="702" t="e">
        <f t="shared" ca="1" si="2642"/>
        <v>#REF!</v>
      </c>
      <c r="BR198" s="686" t="str">
        <f ca="1">IFERROR(VLOOKUP(BQ198,INDIRECT(AQ202),2,FALSE),"----")</f>
        <v>----</v>
      </c>
      <c r="BS198" s="695">
        <f>IF(AI198="",1,IF(COUNTIF(BJ191:BJ202,AI198)=0,2,1))</f>
        <v>1</v>
      </c>
      <c r="BT198" s="696">
        <f>IF(AF198="",1,IF(BJ191=".",2,1))</f>
        <v>1</v>
      </c>
      <c r="BU198" s="706"/>
      <c r="BV198" s="155">
        <f ca="1">IF(COUNTIF(DN191:DN202,AF198)=0,IF(AF198&lt;&gt;"",0,1),1)</f>
        <v>1</v>
      </c>
      <c r="BW198" s="157">
        <f ca="1">IFERROR(MATCH(AF198,DN191:DN202,0),1)</f>
        <v>1</v>
      </c>
      <c r="BX198" s="769">
        <f t="shared" ref="BX198" si="3086">E191*(H191+I191)/144/2</f>
        <v>0</v>
      </c>
      <c r="BY198" s="769">
        <f>SUM(IF(H191&gt;E191,E191^2/4,(H191*E191/2)-(H191^2/4))/144,IF(I191&gt;E191,E191^2/4,(I191*E191/2)-(I191^2/4))/144)</f>
        <v>0</v>
      </c>
      <c r="BZ198" s="1110"/>
      <c r="CA198" s="691" t="e">
        <f t="shared" ca="1" si="2968"/>
        <v>#REF!</v>
      </c>
      <c r="CB198" s="4" t="e" cm="1">
        <f t="array" aca="1" ref="CB198" ca="1">IF(AND(INDEX(INDIRECT(BY191),CA198,4)&gt;=$AB191,INDEX(INDIRECT(BY191),CA198,5)&gt;=$S191,INDEX(INDIRECT(BY191),CA198,6)&gt;=$R191),1,0)</f>
        <v>#REF!</v>
      </c>
      <c r="CC198" s="4" t="e">
        <f t="shared" ref="CC198" ca="1" si="3087">MATCH(1,OFFSET(CB191:CB202,CD197,0,COUNT(CB191:CB202)-CD197),0)</f>
        <v>#REF!</v>
      </c>
      <c r="CD198" s="4" t="e">
        <f t="shared" ca="1" si="2970"/>
        <v>#REF!</v>
      </c>
      <c r="CE198" s="692" t="str" cm="1">
        <f t="array" aca="1" ref="CE198" ca="1">IFERROR(VLOOKUP(INDEX(CA191:CA202,CD198),INDIRECT(BY191),2,FALSE),"----")</f>
        <v>----</v>
      </c>
      <c r="CF198" s="691" t="e">
        <f t="shared" ca="1" si="2971"/>
        <v>#N/A</v>
      </c>
      <c r="CG198" s="4" t="e">
        <f ca="1">IF(AND(INDEX(SSM,CF198,4)&gt;=$AB191,INDEX(SSM,CF198,5)&gt;=$S191,INDEX(SSM,CF198,6)&gt;=$R191),1,0)</f>
        <v>#N/A</v>
      </c>
      <c r="CH198" s="4" t="e">
        <f t="shared" ref="CH198" ca="1" si="3088">MATCH(1,OFFSET(CG191:CG202,CI197,0,COUNT(CG191:CG202)-CI197),0)</f>
        <v>#REF!</v>
      </c>
      <c r="CI198" s="4" t="e">
        <f t="shared" ca="1" si="2973"/>
        <v>#REF!</v>
      </c>
      <c r="CJ198" s="692" t="str">
        <f ca="1">IFERROR(IF(AD192="Nested Steel Stud (wood infill)",VLOOKUP(INDEX(CF191:CF202,CI198),SSW,2,FALSE),VLOOKUP(INDEX(CF191:CF202,CI198),SSM,2,FALSE)),"----")</f>
        <v>----</v>
      </c>
      <c r="CK198" s="691" t="e">
        <f t="shared" ca="1" si="2974"/>
        <v>#N/A</v>
      </c>
      <c r="CL198" s="4" t="e">
        <f ca="1">IF(AND(INDEX(WSM,CK198,4)&gt;=$AB191,INDEX(WSM,CK198,5)&gt;=$S191,INDEX(WSM,CK198,6)&gt;=$R191),1,0)</f>
        <v>#N/A</v>
      </c>
      <c r="CM198" s="4" t="e">
        <f t="shared" ref="CM198" ca="1" si="3089">MATCH(1,OFFSET(CL191:CL202,CN197,0,COUNT(CL191:CL202)-CN197),0)</f>
        <v>#REF!</v>
      </c>
      <c r="CN198" s="4" t="e">
        <f t="shared" ca="1" si="2976"/>
        <v>#REF!</v>
      </c>
      <c r="CO198" s="692" t="str">
        <f ca="1">IFERROR(VLOOKUP(INDEX(CK191:CK202,CN198),WSM,2,FALSE),"----")</f>
        <v>----</v>
      </c>
      <c r="CP198" s="691" t="e">
        <f t="shared" ca="1" si="2977"/>
        <v>#N/A</v>
      </c>
      <c r="CQ198" s="4" t="e">
        <f ca="1">IF(AND(INDEX(STM,CP198,4)&gt;=$AB191,INDEX(STM,CP198,5)&gt;=$S191,INDEX(STM,CP198,6)&gt;=$R191),1,0)</f>
        <v>#N/A</v>
      </c>
      <c r="CR198" s="4" t="e">
        <f t="shared" ref="CR198" ca="1" si="3090">MATCH(1,OFFSET(CQ191:CQ202,CS197,0,COUNT(CQ191:CQ202)-CS197),0)</f>
        <v>#REF!</v>
      </c>
      <c r="CS198" s="4" t="e">
        <f t="shared" ca="1" si="2979"/>
        <v>#REF!</v>
      </c>
      <c r="CT198" s="692" t="str">
        <f ca="1">IFERROR(VLOOKUP(INDEX(CP191:CP202,CS198),STM,2,FALSE),"----")</f>
        <v>----</v>
      </c>
      <c r="CU198" s="691" t="e">
        <f t="shared" ca="1" si="2980"/>
        <v>#N/A</v>
      </c>
      <c r="CV198" s="4" t="e">
        <f ca="1">IF(AND(INDEX(ELM,CU198,4)&gt;=$AB191,INDEX(ELM,CU198,5)&gt;=$S191,INDEX(ELM,CU198,6)&gt;=$R191),1,0)</f>
        <v>#N/A</v>
      </c>
      <c r="CW198" s="4" t="e">
        <f t="shared" ref="CW198" ca="1" si="3091">MATCH(1,OFFSET(CV191:CV202,CX197,0,COUNT(CV191:CV202)-CX197),0)</f>
        <v>#REF!</v>
      </c>
      <c r="CX198" s="4" t="e">
        <f t="shared" ca="1" si="2982"/>
        <v>#REF!</v>
      </c>
      <c r="CY198" s="692" t="str">
        <f ca="1">IFERROR(VLOOKUP(INDEX(CU191:CU202,CX198),ELM,2,FALSE),"----")</f>
        <v>----</v>
      </c>
      <c r="CZ198" s="691" t="e">
        <f t="shared" ca="1" si="2983"/>
        <v>#N/A</v>
      </c>
      <c r="DA198" s="4" t="e">
        <f ca="1">IF(LEFT($J191,7)="Clad Wo",IF(AND(INDEX(SPPWS,CZ198,4)&gt;=$AB191,INDEX(SPPWS,CZ198,5)&gt;=$S191,INDEX(SPPWS,CZ198,6)&gt;=$R191),1,0),IF(AND(INDEX(SPM,CZ198,4)&gt;=$AB191,INDEX(SPM,CZ198,5)&gt;=$S191,INDEX(SPM,CZ198,6)&gt;=$R191),1,0))</f>
        <v>#N/A</v>
      </c>
      <c r="DB198" s="4" t="e">
        <f t="shared" ref="DB198" ca="1" si="3092">MATCH(1,OFFSET(DA191:DA202,DC197,0,COUNT(DA191:DA202)-DC197),0)</f>
        <v>#REF!</v>
      </c>
      <c r="DC198" s="4" t="e">
        <f t="shared" ca="1" si="2985"/>
        <v>#REF!</v>
      </c>
      <c r="DD198" s="693" t="str">
        <f ca="1">IF(LEFT($J191,7)="Clad Wo",IFERROR(VLOOKUP(INDEX(CZ191:CZ202,DC198),SPPWS,2,FALSE),"----"),IFERROR(VLOOKUP(INDEX(CZ191:CZ202,DC198),SPM,2,FALSE),"----"))</f>
        <v>----</v>
      </c>
      <c r="DE198" s="691" t="e">
        <f t="shared" ca="1" si="2986"/>
        <v>#REF!</v>
      </c>
      <c r="DF198" s="4" t="e" cm="1">
        <f t="array" aca="1" ref="DF198" ca="1">IF(AND(INDEX(INDIRECT(BY191),DE198,4)&gt;=$AB197,INDEX(INDIRECT(BY191),DE198,5)&gt;=$S191,INDEX(INDIRECT(BY191),DE198,6)&gt;=$R191),1,0)</f>
        <v>#REF!</v>
      </c>
      <c r="DG198" s="4" t="e">
        <f t="shared" ref="DG198" ca="1" si="3093">MATCH(1,OFFSET(DF191:DF202,DH197,0,COUNT(DF191:DF202)-DH197),0)</f>
        <v>#REF!</v>
      </c>
      <c r="DH198" s="4" t="e">
        <f t="shared" ca="1" si="2988"/>
        <v>#REF!</v>
      </c>
      <c r="DI198" s="692" t="str" cm="1">
        <f t="array" aca="1" ref="DI198" ca="1">IFERROR(VLOOKUP(INDEX(DE191:DE202,DH198),INDIRECT(BY191),2,FALSE),"----")</f>
        <v>----</v>
      </c>
      <c r="DJ198" s="691" t="e">
        <f t="shared" ca="1" si="2989"/>
        <v>#N/A</v>
      </c>
      <c r="DK198" s="4" t="e">
        <f ca="1">IF(AND(INDEX(SSM,DJ198,4)&gt;=$AB197,INDEX(SSM,DJ198,5)&gt;=$S191,INDEX(SSM,DJ198,6)&gt;=$R191),1,0)</f>
        <v>#N/A</v>
      </c>
      <c r="DL198" s="4" t="e">
        <f t="shared" ref="DL198" ca="1" si="3094">MATCH(1,OFFSET(DK191:DK202,DM197,0,COUNT(DK191:DK202)-DM197),0)</f>
        <v>#REF!</v>
      </c>
      <c r="DM198" s="4" t="e">
        <f t="shared" ca="1" si="2991"/>
        <v>#REF!</v>
      </c>
      <c r="DN198" s="692" t="str">
        <f ca="1">IFERROR(IF(AD198="Nested Steel Stud (wood infill)",VLOOKUP(INDEX(DJ191:DJ202,DM198),SSW,2,FALSE),VLOOKUP(INDEX(DJ191:DJ202,DM198),SSM,2,FALSE)),"----")</f>
        <v>----</v>
      </c>
      <c r="DO198" s="691" t="e">
        <f t="shared" ca="1" si="2992"/>
        <v>#N/A</v>
      </c>
      <c r="DP198" s="4" t="e">
        <f ca="1">IF(AND(INDEX(WSM,DO198,4)&gt;=$AB197,INDEX(WSM,DO198,5)&gt;=$S191,INDEX(WSM,DO198,6)&gt;=$R191),1,0)</f>
        <v>#N/A</v>
      </c>
      <c r="DQ198" s="4" t="e">
        <f t="shared" ref="DQ198" ca="1" si="3095">MATCH(1,OFFSET(DP191:DP202,DR197,0,COUNT(DP191:DP202)-DR197),0)</f>
        <v>#REF!</v>
      </c>
      <c r="DR198" s="4" t="e">
        <f t="shared" ca="1" si="2994"/>
        <v>#REF!</v>
      </c>
      <c r="DS198" s="692" t="str">
        <f ca="1">IFERROR(VLOOKUP(INDEX(DO191:DO202,DR198),WSM,2,FALSE),"----")</f>
        <v>----</v>
      </c>
      <c r="DT198" s="691" t="e">
        <f t="shared" ca="1" si="2995"/>
        <v>#N/A</v>
      </c>
      <c r="DU198" s="4" t="e">
        <f ca="1">IF(AND(INDEX(STM,DT198,4)&gt;=$AB197,INDEX(STM,DT198,5)&gt;=$S191,INDEX(STM,DT198,6)&gt;=$R191),1,0)</f>
        <v>#N/A</v>
      </c>
      <c r="DV198" s="4" t="e">
        <f t="shared" ref="DV198" ca="1" si="3096">MATCH(1,OFFSET(DU191:DU202,DW197,0,COUNT(DU191:DU202)-DW197),0)</f>
        <v>#REF!</v>
      </c>
      <c r="DW198" s="4" t="e">
        <f t="shared" ca="1" si="2997"/>
        <v>#REF!</v>
      </c>
      <c r="DX198" s="692" t="str">
        <f ca="1">IFERROR(VLOOKUP(INDEX(DT191:DT202,DW198),STM,2,FALSE),"----")</f>
        <v>----</v>
      </c>
      <c r="DY198" s="691" t="e">
        <f t="shared" ca="1" si="2998"/>
        <v>#N/A</v>
      </c>
      <c r="DZ198" s="4" t="e">
        <f ca="1">IF(AND(INDEX(ELM,DY198,4)&gt;=$AB197,INDEX(ELM,DY198,5)&gt;=$S191,INDEX(ELM,DY198,6)&gt;=$R191),1,0)</f>
        <v>#N/A</v>
      </c>
      <c r="EA198" s="4" t="e">
        <f t="shared" ref="EA198" ca="1" si="3097">MATCH(1,OFFSET(DZ191:DZ202,EB197,0,COUNT(DZ191:DZ202)-EB197),0)</f>
        <v>#REF!</v>
      </c>
      <c r="EB198" s="4" t="e">
        <f t="shared" ca="1" si="3000"/>
        <v>#REF!</v>
      </c>
      <c r="EC198" s="692" t="str">
        <f ca="1">IFERROR(VLOOKUP(INDEX(DY191:DY202,EB198),ELM,2,FALSE),"----")</f>
        <v>----</v>
      </c>
      <c r="ED198" s="691" t="e">
        <f t="shared" ca="1" si="3001"/>
        <v>#N/A</v>
      </c>
      <c r="EE198" s="4" t="e">
        <f ca="1">IF(LEFT($J191,7)="Clad Wo",IF(AND(INDEX(SPPWS,ED198,4)&gt;=$AB197,INDEX(SPPWS,ED198,5)&gt;=$S191,INDEX(SPPWS,ED198,6)&gt;=$R191),1,0),IF(AND(INDEX(SPM,ED198,4)&gt;=$AB197,INDEX(SPM,ED198,5)&gt;=$S191,INDEX(SPM,ED198,6)&gt;=$R191),1,0))</f>
        <v>#N/A</v>
      </c>
      <c r="EF198" s="4" t="e">
        <f t="shared" ref="EF198" ca="1" si="3098">MATCH(1,OFFSET(EE191:EE202,EG197,0,COUNT(EE191:EE202)-EG197),0)</f>
        <v>#REF!</v>
      </c>
      <c r="EG198" s="4" t="e">
        <f t="shared" ca="1" si="3003"/>
        <v>#REF!</v>
      </c>
      <c r="EH198" s="692" t="str">
        <f ca="1">IF(LEFT($J191,7)="Clad Wo",IFERROR(VLOOKUP(INDEX(ED191:ED202,EG198),SPPWS,2,FALSE),"----"),IFERROR(VLOOKUP(INDEX(ED191:ED202,EG198),SPM,2,FALSE),"----"))</f>
        <v>----</v>
      </c>
    </row>
    <row r="199" spans="1:138" ht="15" customHeight="1" x14ac:dyDescent="0.25">
      <c r="A199" s="1085"/>
      <c r="B199" s="925"/>
      <c r="C199" s="926"/>
      <c r="D199" s="927"/>
      <c r="E199" s="995"/>
      <c r="F199" s="996"/>
      <c r="G199" s="997"/>
      <c r="H199" s="1062"/>
      <c r="I199" s="990"/>
      <c r="J199" s="902"/>
      <c r="K199" s="903"/>
      <c r="L199" s="1002"/>
      <c r="M199" s="923"/>
      <c r="N199" s="1042"/>
      <c r="O199" s="1018"/>
      <c r="P199" s="987"/>
      <c r="Q199" s="1015"/>
      <c r="R199" s="1012"/>
      <c r="S199" s="1006"/>
      <c r="T199" s="1007"/>
      <c r="U199" s="878"/>
      <c r="V199" s="881"/>
      <c r="W199" s="884"/>
      <c r="X199" s="884"/>
      <c r="Y199" s="887"/>
      <c r="Z199" s="887"/>
      <c r="AA199" s="887"/>
      <c r="AB199" s="1081"/>
      <c r="AC199" s="1078"/>
      <c r="AD199" s="1070" t="str">
        <f t="shared" ref="AD199:AD261" si="3099">AD193</f>
        <v>Wood Stud Framing</v>
      </c>
      <c r="AE199" s="1071"/>
      <c r="AF199" s="1052"/>
      <c r="AG199" s="1053"/>
      <c r="AH199" s="1053"/>
      <c r="AI199" s="1066"/>
      <c r="AJ199" s="1067"/>
      <c r="AK199" s="156" t="str">
        <f t="shared" ca="1" si="2393"/>
        <v/>
      </c>
      <c r="AL199" s="1059"/>
      <c r="AM199" s="344" t="str">
        <f ca="1">IFERROR(Q191/12*ROUND(VLOOKUP(AF199,OFFSET(WSM,0,1),6,FALSE),2),"")</f>
        <v/>
      </c>
      <c r="AN199" t="str">
        <f t="shared" ca="1" si="2409"/>
        <v/>
      </c>
      <c r="AP199" s="122" t="str">
        <f t="shared" ref="AP199" si="3100">_xlfn.CONCAT(AR199,AS202)</f>
        <v/>
      </c>
      <c r="AQ199" s="683" t="str">
        <f t="shared" si="2617"/>
        <v/>
      </c>
      <c r="AR199" s="4" t="str">
        <f t="shared" si="2378"/>
        <v/>
      </c>
      <c r="AS199" s="4"/>
      <c r="AT199" s="697" t="str">
        <f>AL197</f>
        <v/>
      </c>
      <c r="AU199" s="694" t="e">
        <f t="shared" ca="1" si="2633"/>
        <v>#REF!</v>
      </c>
      <c r="AV199" s="686" t="str">
        <f ca="1">IFERROR(VLOOKUP(AU199,INDIRECT(AQ191),2,FALSE),"----")</f>
        <v>----</v>
      </c>
      <c r="AW199" s="694" t="e">
        <f t="shared" ca="1" si="2634"/>
        <v>#REF!</v>
      </c>
      <c r="AX199" s="686" t="str">
        <f ca="1">IFERROR(VLOOKUP(AW199,INDIRECT(AQ192),2,FALSE),"----")</f>
        <v>----</v>
      </c>
      <c r="AY199" s="694" t="e">
        <f t="shared" ca="1" si="3049"/>
        <v>#REF!</v>
      </c>
      <c r="AZ199" s="686" t="str">
        <f ca="1">IFERROR(VLOOKUP(AY199,INDIRECT(AQ193),2,FALSE),"----")</f>
        <v>----</v>
      </c>
      <c r="BA199" s="694" t="e">
        <f t="shared" ca="1" si="3050"/>
        <v>#REF!</v>
      </c>
      <c r="BB199" s="686" t="str">
        <f ca="1">IFERROR(VLOOKUP(BA199,INDIRECT(AQ194),2,FALSE),"----")</f>
        <v>----</v>
      </c>
      <c r="BC199" s="694" t="e">
        <f t="shared" ca="1" si="2635"/>
        <v>#REF!</v>
      </c>
      <c r="BD199" s="686" t="str">
        <f ca="1">IFERROR(VLOOKUP(BC199,INDIRECT(AQ195),2,FALSE),"----")</f>
        <v>----</v>
      </c>
      <c r="BE199" s="694" t="e">
        <f t="shared" ca="1" si="2636"/>
        <v>#REF!</v>
      </c>
      <c r="BF199" s="686" t="str">
        <f ca="1">IFERROR(VLOOKUP(BE199,INDIRECT(AQ196),2,FALSE),"----")</f>
        <v>----</v>
      </c>
      <c r="BG199" s="702" t="e">
        <f t="shared" ca="1" si="2637"/>
        <v>#REF!</v>
      </c>
      <c r="BH199" s="686" t="str">
        <f ca="1">IFERROR(VLOOKUP(BG199,INDIRECT(AQ197),2,FALSE),"----")</f>
        <v>----</v>
      </c>
      <c r="BI199" s="702" t="e">
        <f t="shared" ca="1" si="2638"/>
        <v>#REF!</v>
      </c>
      <c r="BJ199" s="686" t="str">
        <f ca="1">IFERROR(VLOOKUP(BI199,INDIRECT(AQ198),2,FALSE),"----")</f>
        <v>----</v>
      </c>
      <c r="BK199" s="702" t="e">
        <f t="shared" ca="1" si="2639"/>
        <v>#REF!</v>
      </c>
      <c r="BL199" s="686" t="str">
        <f ca="1">IFERROR(VLOOKUP(BK199,INDIRECT(AQ199),2,FALSE),"----")</f>
        <v>----</v>
      </c>
      <c r="BM199" s="702" t="e">
        <f t="shared" ca="1" si="2640"/>
        <v>#REF!</v>
      </c>
      <c r="BN199" s="686" t="str">
        <f ca="1">IFERROR(VLOOKUP(BM199,INDIRECT(AQ200),2,FALSE),"----")</f>
        <v>----</v>
      </c>
      <c r="BO199" s="702" t="e">
        <f t="shared" ca="1" si="2641"/>
        <v>#REF!</v>
      </c>
      <c r="BP199" s="686" t="str">
        <f ca="1">IFERROR(VLOOKUP(BO199,INDIRECT(AQ201),2,FALSE),"----")</f>
        <v>----</v>
      </c>
      <c r="BQ199" s="702" t="e">
        <f t="shared" ca="1" si="2642"/>
        <v>#REF!</v>
      </c>
      <c r="BR199" s="686" t="str">
        <f ca="1">IFERROR(VLOOKUP(BQ199,INDIRECT(AQ202),2,FALSE),"----")</f>
        <v>----</v>
      </c>
      <c r="BS199" s="695">
        <f>IF(AI199="",1,IF(COUNTIF(BL191:BL202,AI199)=0,2,1))</f>
        <v>1</v>
      </c>
      <c r="BT199" s="696">
        <f>IF(AF199="",1,IF(BL191=".",2,1))</f>
        <v>1</v>
      </c>
      <c r="BU199" s="706"/>
      <c r="BV199" s="155">
        <f ca="1">IF(COUNTIF(DS191:DS202,AF199)=0,IF(AF199&lt;&gt;"",0,1),1)</f>
        <v>1</v>
      </c>
      <c r="BW199" s="157">
        <f ca="1">IFERROR(MATCH(AF199,DS191:DS202,0),1)</f>
        <v>1</v>
      </c>
      <c r="BX199" s="769" t="e">
        <f t="shared" ref="BX199" si="3101">5*E191^3*W191/(384*X191)</f>
        <v>#VALUE!</v>
      </c>
      <c r="BY199" s="769" t="e">
        <f t="shared" ref="BY199" si="3102">W191*E191^3/(60*X191)</f>
        <v>#VALUE!</v>
      </c>
      <c r="BZ199" s="1110"/>
      <c r="CA199" s="691" t="e">
        <f t="shared" ca="1" si="2968"/>
        <v>#REF!</v>
      </c>
      <c r="CB199" s="4" t="e" cm="1">
        <f t="array" aca="1" ref="CB199" ca="1">IF(AND(INDEX(INDIRECT(BY191),CA199,4)&gt;=$AB191,INDEX(INDIRECT(BY191),CA199,5)&gt;=$S191,INDEX(INDIRECT(BY191),CA199,6)&gt;=$R191),1,0)</f>
        <v>#REF!</v>
      </c>
      <c r="CC199" s="4" t="e">
        <f t="shared" ref="CC199" ca="1" si="3103">MATCH(1,OFFSET(CB191:CB202,CD198,0,COUNT(CB191:CB202)-CD198),0)</f>
        <v>#REF!</v>
      </c>
      <c r="CD199" s="4" t="e">
        <f t="shared" ca="1" si="2970"/>
        <v>#REF!</v>
      </c>
      <c r="CE199" s="692" t="str" cm="1">
        <f t="array" aca="1" ref="CE199" ca="1">IFERROR(VLOOKUP(INDEX(CA191:CA202,CD199),INDIRECT(BY191),2,FALSE),"----")</f>
        <v>----</v>
      </c>
      <c r="CF199" s="691" t="e">
        <f t="shared" ca="1" si="2971"/>
        <v>#N/A</v>
      </c>
      <c r="CG199" s="4" t="e">
        <f ca="1">IF(AND(INDEX(SSM,CF199,4)&gt;=$AB191,INDEX(SSM,CF199,5)&gt;=$S191,INDEX(SSM,CF199,6)&gt;=$R191),1,0)</f>
        <v>#N/A</v>
      </c>
      <c r="CH199" s="4" t="e">
        <f t="shared" ref="CH199" ca="1" si="3104">MATCH(1,OFFSET(CG191:CG202,CI198,0,COUNT(CG191:CG202)-CI198),0)</f>
        <v>#REF!</v>
      </c>
      <c r="CI199" s="4" t="e">
        <f t="shared" ca="1" si="2973"/>
        <v>#REF!</v>
      </c>
      <c r="CJ199" s="692" t="str">
        <f ca="1">IFERROR(IF(AD192="Nested Steel Stud (wood infill)",VLOOKUP(INDEX(CF191:CF202,CI199),SSW,2,FALSE),VLOOKUP(INDEX(CF191:CF202,CI199),SSM,2,FALSE)),"----")</f>
        <v>----</v>
      </c>
      <c r="CK199" s="691" t="e">
        <f t="shared" ca="1" si="2974"/>
        <v>#N/A</v>
      </c>
      <c r="CL199" s="4" t="e">
        <f ca="1">IF(AND(INDEX(WSM,CK199,4)&gt;=$AB191,INDEX(WSM,CK199,5)&gt;=$S191,INDEX(WSM,CK199,6)&gt;=$R191),1,0)</f>
        <v>#N/A</v>
      </c>
      <c r="CM199" s="4" t="e">
        <f t="shared" ref="CM199" ca="1" si="3105">MATCH(1,OFFSET(CL191:CL202,CN198,0,COUNT(CL191:CL202)-CN198),0)</f>
        <v>#REF!</v>
      </c>
      <c r="CN199" s="4" t="e">
        <f t="shared" ca="1" si="2976"/>
        <v>#REF!</v>
      </c>
      <c r="CO199" s="692" t="str">
        <f ca="1">IFERROR(VLOOKUP(INDEX(CK191:CK202,CN199),WSM,2,FALSE),"----")</f>
        <v>----</v>
      </c>
      <c r="CP199" s="691" t="e">
        <f t="shared" ca="1" si="2977"/>
        <v>#N/A</v>
      </c>
      <c r="CQ199" s="4" t="e">
        <f ca="1">IF(AND(INDEX(STM,CP199,4)&gt;=$AB191,INDEX(STM,CP199,5)&gt;=$S191,INDEX(STM,CP199,6)&gt;=$R191),1,0)</f>
        <v>#N/A</v>
      </c>
      <c r="CR199" s="4" t="e">
        <f t="shared" ref="CR199" ca="1" si="3106">MATCH(1,OFFSET(CQ191:CQ202,CS198,0,COUNT(CQ191:CQ202)-CS198),0)</f>
        <v>#REF!</v>
      </c>
      <c r="CS199" s="4" t="e">
        <f t="shared" ca="1" si="2979"/>
        <v>#REF!</v>
      </c>
      <c r="CT199" s="692" t="str">
        <f ca="1">IFERROR(VLOOKUP(INDEX(CP191:CP202,CS199),STM,2,FALSE),"----")</f>
        <v>----</v>
      </c>
      <c r="CU199" s="691" t="e">
        <f t="shared" ca="1" si="2980"/>
        <v>#N/A</v>
      </c>
      <c r="CV199" s="4" t="e">
        <f ca="1">IF(AND(INDEX(ELM,CU199,4)&gt;=$AB191,INDEX(ELM,CU199,5)&gt;=$S191,INDEX(ELM,CU199,6)&gt;=$R191),1,0)</f>
        <v>#N/A</v>
      </c>
      <c r="CW199" s="4" t="e">
        <f t="shared" ref="CW199" ca="1" si="3107">MATCH(1,OFFSET(CV191:CV202,CX198,0,COUNT(CV191:CV202)-CX198),0)</f>
        <v>#REF!</v>
      </c>
      <c r="CX199" s="4" t="e">
        <f t="shared" ca="1" si="2982"/>
        <v>#REF!</v>
      </c>
      <c r="CY199" s="692" t="str">
        <f ca="1">IFERROR(VLOOKUP(INDEX(CU191:CU202,CX199),ELM,2,FALSE),"----")</f>
        <v>----</v>
      </c>
      <c r="CZ199" s="691" t="e">
        <f t="shared" ca="1" si="2983"/>
        <v>#N/A</v>
      </c>
      <c r="DA199" s="4" t="e">
        <f ca="1">IF(LEFT($J191,7)="Clad Wo",IF(AND(INDEX(SPPWS,CZ199,4)&gt;=$AB191,INDEX(SPPWS,CZ199,5)&gt;=$S191,INDEX(SPPWS,CZ199,6)&gt;=$R191),1,0),IF(AND(INDEX(SPM,CZ199,4)&gt;=$AB191,INDEX(SPM,CZ199,5)&gt;=$S191,INDEX(SPM,CZ199,6)&gt;=$R191),1,0))</f>
        <v>#N/A</v>
      </c>
      <c r="DB199" s="4" t="e">
        <f t="shared" ref="DB199" ca="1" si="3108">MATCH(1,OFFSET(DA191:DA202,DC198,0,COUNT(DA191:DA202)-DC198),0)</f>
        <v>#REF!</v>
      </c>
      <c r="DC199" s="4" t="e">
        <f t="shared" ca="1" si="2985"/>
        <v>#REF!</v>
      </c>
      <c r="DD199" s="693" t="str">
        <f ca="1">IF(LEFT($J191,7)="Clad Wo",IFERROR(VLOOKUP(INDEX(CZ191:CZ202,DC199),SPPWS,2,FALSE),"----"),IFERROR(VLOOKUP(INDEX(CZ191:CZ202,DC199),SPM,2,FALSE),"----"))</f>
        <v>----</v>
      </c>
      <c r="DE199" s="691" t="e">
        <f t="shared" ca="1" si="2986"/>
        <v>#REF!</v>
      </c>
      <c r="DF199" s="4" t="e" cm="1">
        <f t="array" aca="1" ref="DF199" ca="1">IF(AND(INDEX(INDIRECT(BY191),DE199,4)&gt;=$AB197,INDEX(INDIRECT(BY191),DE199,5)&gt;=$S191,INDEX(INDIRECT(BY191),DE199,6)&gt;=$R191),1,0)</f>
        <v>#REF!</v>
      </c>
      <c r="DG199" s="4" t="e">
        <f t="shared" ref="DG199" ca="1" si="3109">MATCH(1,OFFSET(DF191:DF202,DH198,0,COUNT(DF191:DF202)-DH198),0)</f>
        <v>#REF!</v>
      </c>
      <c r="DH199" s="4" t="e">
        <f t="shared" ca="1" si="2988"/>
        <v>#REF!</v>
      </c>
      <c r="DI199" s="692" t="str" cm="1">
        <f t="array" aca="1" ref="DI199" ca="1">IFERROR(VLOOKUP(INDEX(DE191:DE202,DH199),INDIRECT(BY191),2,FALSE),"----")</f>
        <v>----</v>
      </c>
      <c r="DJ199" s="691" t="e">
        <f t="shared" ca="1" si="2989"/>
        <v>#N/A</v>
      </c>
      <c r="DK199" s="4" t="e">
        <f ca="1">IF(AND(INDEX(SSM,DJ199,4)&gt;=$AB197,INDEX(SSM,DJ199,5)&gt;=$S191,INDEX(SSM,DJ199,6)&gt;=$R191),1,0)</f>
        <v>#N/A</v>
      </c>
      <c r="DL199" s="4" t="e">
        <f t="shared" ref="DL199" ca="1" si="3110">MATCH(1,OFFSET(DK191:DK202,DM198,0,COUNT(DK191:DK202)-DM198),0)</f>
        <v>#REF!</v>
      </c>
      <c r="DM199" s="4" t="e">
        <f t="shared" ca="1" si="2991"/>
        <v>#REF!</v>
      </c>
      <c r="DN199" s="692" t="str">
        <f ca="1">IFERROR(IF(AD198="Nested Steel Stud (wood infill)",VLOOKUP(INDEX(DJ191:DJ202,DM199),SSW,2,FALSE),VLOOKUP(INDEX(DJ191:DJ202,DM199),SSM,2,FALSE)),"----")</f>
        <v>----</v>
      </c>
      <c r="DO199" s="691" t="e">
        <f t="shared" ca="1" si="2992"/>
        <v>#N/A</v>
      </c>
      <c r="DP199" s="4" t="e">
        <f ca="1">IF(AND(INDEX(WSM,DO199,4)&gt;=$AB197,INDEX(WSM,DO199,5)&gt;=$S191,INDEX(WSM,DO199,6)&gt;=$R191),1,0)</f>
        <v>#N/A</v>
      </c>
      <c r="DQ199" s="4" t="e">
        <f t="shared" ref="DQ199" ca="1" si="3111">MATCH(1,OFFSET(DP191:DP202,DR198,0,COUNT(DP191:DP202)-DR198),0)</f>
        <v>#REF!</v>
      </c>
      <c r="DR199" s="4" t="e">
        <f t="shared" ca="1" si="2994"/>
        <v>#REF!</v>
      </c>
      <c r="DS199" s="692" t="str">
        <f ca="1">IFERROR(VLOOKUP(INDEX(DO191:DO202,DR199),WSM,2,FALSE),"----")</f>
        <v>----</v>
      </c>
      <c r="DT199" s="691" t="e">
        <f t="shared" ca="1" si="2995"/>
        <v>#N/A</v>
      </c>
      <c r="DU199" s="4" t="e">
        <f ca="1">IF(AND(INDEX(STM,DT199,4)&gt;=$AB197,INDEX(STM,DT199,5)&gt;=$S191,INDEX(STM,DT199,6)&gt;=$R191),1,0)</f>
        <v>#N/A</v>
      </c>
      <c r="DV199" s="4" t="e">
        <f t="shared" ref="DV199" ca="1" si="3112">MATCH(1,OFFSET(DU191:DU202,DW198,0,COUNT(DU191:DU202)-DW198),0)</f>
        <v>#REF!</v>
      </c>
      <c r="DW199" s="4" t="e">
        <f t="shared" ca="1" si="2997"/>
        <v>#REF!</v>
      </c>
      <c r="DX199" s="692" t="str">
        <f ca="1">IFERROR(VLOOKUP(INDEX(DT191:DT202,DW199),STM,2,FALSE),"----")</f>
        <v>----</v>
      </c>
      <c r="DY199" s="691" t="e">
        <f t="shared" ca="1" si="2998"/>
        <v>#N/A</v>
      </c>
      <c r="DZ199" s="4" t="e">
        <f ca="1">IF(AND(INDEX(ELM,DY199,4)&gt;=$AB197,INDEX(ELM,DY199,5)&gt;=$S191,INDEX(ELM,DY199,6)&gt;=$R191),1,0)</f>
        <v>#N/A</v>
      </c>
      <c r="EA199" s="4" t="e">
        <f t="shared" ref="EA199" ca="1" si="3113">MATCH(1,OFFSET(DZ191:DZ202,EB198,0,COUNT(DZ191:DZ202)-EB198),0)</f>
        <v>#REF!</v>
      </c>
      <c r="EB199" s="4" t="e">
        <f t="shared" ca="1" si="3000"/>
        <v>#REF!</v>
      </c>
      <c r="EC199" s="692" t="str">
        <f ca="1">IFERROR(VLOOKUP(INDEX(DY191:DY202,EB199),ELM,2,FALSE),"----")</f>
        <v>----</v>
      </c>
      <c r="ED199" s="691" t="e">
        <f t="shared" ca="1" si="3001"/>
        <v>#N/A</v>
      </c>
      <c r="EE199" s="4" t="e">
        <f ca="1">IF(LEFT($J191,7)="Clad Wo",IF(AND(INDEX(SPPWS,ED199,4)&gt;=$AB197,INDEX(SPPWS,ED199,5)&gt;=$S191,INDEX(SPPWS,ED199,6)&gt;=$R191),1,0),IF(AND(INDEX(SPM,ED199,4)&gt;=$AB197,INDEX(SPM,ED199,5)&gt;=$S191,INDEX(SPM,ED199,6)&gt;=$R191),1,0))</f>
        <v>#N/A</v>
      </c>
      <c r="EF199" s="4" t="e">
        <f t="shared" ref="EF199" ca="1" si="3114">MATCH(1,OFFSET(EE191:EE202,EG198,0,COUNT(EE191:EE202)-EG198),0)</f>
        <v>#REF!</v>
      </c>
      <c r="EG199" s="4" t="e">
        <f t="shared" ca="1" si="3003"/>
        <v>#REF!</v>
      </c>
      <c r="EH199" s="692" t="str">
        <f ca="1">IF(LEFT($J191,7)="Clad Wo",IFERROR(VLOOKUP(INDEX(ED191:ED202,EG199),SPPWS,2,FALSE),"----"),IFERROR(VLOOKUP(INDEX(ED191:ED202,EG199),SPM,2,FALSE),"----"))</f>
        <v>----</v>
      </c>
    </row>
    <row r="200" spans="1:138" ht="15" customHeight="1" x14ac:dyDescent="0.25">
      <c r="A200" s="1085"/>
      <c r="B200" s="925"/>
      <c r="C200" s="926"/>
      <c r="D200" s="927"/>
      <c r="E200" s="995"/>
      <c r="F200" s="996"/>
      <c r="G200" s="997"/>
      <c r="H200" s="1062"/>
      <c r="I200" s="990"/>
      <c r="J200" s="902"/>
      <c r="K200" s="903"/>
      <c r="L200" s="1002"/>
      <c r="M200" s="923"/>
      <c r="N200" s="1042"/>
      <c r="O200" s="1018"/>
      <c r="P200" s="987"/>
      <c r="Q200" s="1015"/>
      <c r="R200" s="1012"/>
      <c r="S200" s="1006"/>
      <c r="T200" s="1007"/>
      <c r="U200" s="878"/>
      <c r="V200" s="881"/>
      <c r="W200" s="884"/>
      <c r="X200" s="884"/>
      <c r="Y200" s="887"/>
      <c r="Z200" s="887"/>
      <c r="AA200" s="887"/>
      <c r="AB200" s="1081"/>
      <c r="AC200" s="1078"/>
      <c r="AD200" s="1070" t="str">
        <f t="shared" si="3099"/>
        <v>Steel Tube</v>
      </c>
      <c r="AE200" s="1071"/>
      <c r="AF200" s="1052"/>
      <c r="AG200" s="1053"/>
      <c r="AH200" s="1053"/>
      <c r="AI200" s="1066"/>
      <c r="AJ200" s="1067"/>
      <c r="AK200" s="156" t="str">
        <f t="shared" ca="1" si="2393"/>
        <v/>
      </c>
      <c r="AL200" s="1059"/>
      <c r="AM200" s="343" t="str">
        <f ca="1">IFERROR(Q191/12*ROUND(VLOOKUP(AF200,OFFSET(STM,0,1),6,FALSE),2),"")</f>
        <v/>
      </c>
      <c r="AN200" t="str">
        <f t="shared" ca="1" si="2409"/>
        <v/>
      </c>
      <c r="AP200" s="122" t="str">
        <f t="shared" ref="AP200" si="3115">_xlfn.CONCAT(AR200,AS202)</f>
        <v/>
      </c>
      <c r="AQ200" s="683" t="str">
        <f t="shared" si="2617"/>
        <v/>
      </c>
      <c r="AR200" s="4" t="str">
        <f t="shared" si="2378"/>
        <v/>
      </c>
      <c r="AS200" s="4"/>
      <c r="AT200" s="697" t="str">
        <f>AL197</f>
        <v/>
      </c>
      <c r="AU200" s="694" t="e">
        <f t="shared" ca="1" si="2633"/>
        <v>#REF!</v>
      </c>
      <c r="AV200" s="686" t="str">
        <f ca="1">IFERROR(VLOOKUP(AU200,INDIRECT(AQ191),2,FALSE),"----")</f>
        <v>----</v>
      </c>
      <c r="AW200" s="694" t="e">
        <f t="shared" ca="1" si="2634"/>
        <v>#REF!</v>
      </c>
      <c r="AX200" s="686" t="str">
        <f ca="1">IFERROR(VLOOKUP(AW200,INDIRECT(AQ192),2,FALSE),"----")</f>
        <v>----</v>
      </c>
      <c r="AY200" s="694" t="e">
        <f t="shared" ca="1" si="1919"/>
        <v>#REF!</v>
      </c>
      <c r="AZ200" s="686" t="str">
        <f ca="1">IFERROR(VLOOKUP(AY200,INDIRECT(AQ193),2,FALSE),"----")</f>
        <v>----</v>
      </c>
      <c r="BA200" s="694" t="e">
        <f t="shared" ca="1" si="1920"/>
        <v>#REF!</v>
      </c>
      <c r="BB200" s="686" t="str">
        <f ca="1">IFERROR(VLOOKUP(BA200,INDIRECT(AQ194),2,FALSE),"----")</f>
        <v>----</v>
      </c>
      <c r="BC200" s="694" t="e">
        <f t="shared" ca="1" si="2635"/>
        <v>#REF!</v>
      </c>
      <c r="BD200" s="686" t="str">
        <f ca="1">IFERROR(VLOOKUP(BC200,INDIRECT(AQ195),2,FALSE),"----")</f>
        <v>----</v>
      </c>
      <c r="BE200" s="694" t="e">
        <f t="shared" ca="1" si="2636"/>
        <v>#REF!</v>
      </c>
      <c r="BF200" s="686" t="str">
        <f ca="1">IFERROR(VLOOKUP(BE200,INDIRECT(AQ196),2,FALSE),"----")</f>
        <v>----</v>
      </c>
      <c r="BG200" s="702" t="e">
        <f t="shared" ca="1" si="2637"/>
        <v>#REF!</v>
      </c>
      <c r="BH200" s="686" t="str">
        <f ca="1">IFERROR(VLOOKUP(BG200,INDIRECT(AQ197),2,FALSE),"----")</f>
        <v>----</v>
      </c>
      <c r="BI200" s="702" t="e">
        <f t="shared" ca="1" si="2638"/>
        <v>#REF!</v>
      </c>
      <c r="BJ200" s="686" t="str">
        <f ca="1">IFERROR(VLOOKUP(BI200,INDIRECT(AQ198),2,FALSE),"----")</f>
        <v>----</v>
      </c>
      <c r="BK200" s="702" t="e">
        <f t="shared" ca="1" si="2639"/>
        <v>#REF!</v>
      </c>
      <c r="BL200" s="686" t="str">
        <f ca="1">IFERROR(VLOOKUP(BK200,INDIRECT(AQ199),2,FALSE),"----")</f>
        <v>----</v>
      </c>
      <c r="BM200" s="702" t="e">
        <f t="shared" ca="1" si="2640"/>
        <v>#REF!</v>
      </c>
      <c r="BN200" s="686" t="str">
        <f ca="1">IFERROR(VLOOKUP(BM200,INDIRECT(AQ200),2,FALSE),"----")</f>
        <v>----</v>
      </c>
      <c r="BO200" s="702" t="e">
        <f t="shared" ca="1" si="2641"/>
        <v>#REF!</v>
      </c>
      <c r="BP200" s="686" t="str">
        <f ca="1">IFERROR(VLOOKUP(BO200,INDIRECT(AQ201),2,FALSE),"----")</f>
        <v>----</v>
      </c>
      <c r="BQ200" s="702" t="e">
        <f t="shared" ca="1" si="2642"/>
        <v>#REF!</v>
      </c>
      <c r="BR200" s="686" t="str">
        <f ca="1">IFERROR(VLOOKUP(BQ200,INDIRECT(AQ202),2,FALSE),"----")</f>
        <v>----</v>
      </c>
      <c r="BS200" s="695">
        <f>IF(AI200="",1,IF(COUNTIF(BN191:BN202,AI200)=0,2,1))</f>
        <v>1</v>
      </c>
      <c r="BT200" s="696">
        <f>IF(AF200="",1,IF(BN191=".",2,1))</f>
        <v>1</v>
      </c>
      <c r="BU200" s="706"/>
      <c r="BV200" s="155">
        <f ca="1">IF(COUNTIF(DX191:DX202,AF200)=0,IF(AF200&lt;&gt;"",0,1),1)</f>
        <v>1</v>
      </c>
      <c r="BW200" s="157">
        <f ca="1">IFERROR(MATCH(AF200,DX191:DX202,0),1)</f>
        <v>1</v>
      </c>
      <c r="BX200" s="769" t="e">
        <f t="shared" ref="BX200" si="3116">5*E191^3*W197/(384*X191)</f>
        <v>#VALUE!</v>
      </c>
      <c r="BY200" s="769" t="e">
        <f t="shared" ref="BY200" si="3117">E191^3*W197/(60*X191)</f>
        <v>#VALUE!</v>
      </c>
      <c r="BZ200" s="1110"/>
      <c r="CA200" s="691" t="e">
        <f t="shared" ca="1" si="2968"/>
        <v>#REF!</v>
      </c>
      <c r="CB200" s="4" t="e" cm="1">
        <f t="array" aca="1" ref="CB200" ca="1">IF(AND(INDEX(INDIRECT(BY191),CA200,4)&gt;=$AB191,INDEX(INDIRECT(BY191),CA200,5)&gt;=$S191,INDEX(INDIRECT(BY191),CA200,6)&gt;=$R191),1,0)</f>
        <v>#REF!</v>
      </c>
      <c r="CC200" s="4" t="e">
        <f t="shared" ref="CC200" ca="1" si="3118">MATCH(1,OFFSET(CB191:CB202,CD199,0,COUNT(CB191:CB202)-CD199),0)</f>
        <v>#REF!</v>
      </c>
      <c r="CD200" s="4" t="e">
        <f t="shared" ca="1" si="2970"/>
        <v>#REF!</v>
      </c>
      <c r="CE200" s="692" t="str" cm="1">
        <f t="array" aca="1" ref="CE200" ca="1">IFERROR(VLOOKUP(INDEX(CA191:CA202,CD200),INDIRECT(BY191),2,FALSE),"----")</f>
        <v>----</v>
      </c>
      <c r="CF200" s="691" t="e">
        <f t="shared" ca="1" si="2971"/>
        <v>#N/A</v>
      </c>
      <c r="CG200" s="4" t="e">
        <f ca="1">IF(AND(INDEX(SSM,CF200,4)&gt;=$AB191,INDEX(SSM,CF200,5)&gt;=$S191,INDEX(SSM,CF200,6)&gt;=$R191),1,0)</f>
        <v>#N/A</v>
      </c>
      <c r="CH200" s="4" t="e">
        <f t="shared" ref="CH200" ca="1" si="3119">MATCH(1,OFFSET(CG191:CG202,CI199,0,COUNT(CG191:CG202)-CI199),0)</f>
        <v>#REF!</v>
      </c>
      <c r="CI200" s="4" t="e">
        <f t="shared" ca="1" si="2973"/>
        <v>#REF!</v>
      </c>
      <c r="CJ200" s="692" t="str">
        <f ca="1">IFERROR(IF(AD192="Nested Steel Stud (wood infill)",VLOOKUP(INDEX(CF191:CF202,CI200),SSW,2,FALSE),VLOOKUP(INDEX(CF191:CF202,CI200),SSM,2,FALSE)),"----")</f>
        <v>----</v>
      </c>
      <c r="CK200" s="691" t="e">
        <f t="shared" ca="1" si="2974"/>
        <v>#N/A</v>
      </c>
      <c r="CL200" s="4" t="e">
        <f ca="1">IF(AND(INDEX(WSM,CK200,4)&gt;=$AB191,INDEX(WSM,CK200,5)&gt;=$S191,INDEX(WSM,CK200,6)&gt;=$R191),1,0)</f>
        <v>#N/A</v>
      </c>
      <c r="CM200" s="4" t="e">
        <f t="shared" ref="CM200" ca="1" si="3120">MATCH(1,OFFSET(CL191:CL202,CN199,0,COUNT(CL191:CL202)-CN199),0)</f>
        <v>#REF!</v>
      </c>
      <c r="CN200" s="4" t="e">
        <f t="shared" ca="1" si="2976"/>
        <v>#REF!</v>
      </c>
      <c r="CO200" s="692" t="str">
        <f ca="1">IFERROR(VLOOKUP(INDEX(CK191:CK202,CN200),WSM,2,FALSE),"----")</f>
        <v>----</v>
      </c>
      <c r="CP200" s="691" t="e">
        <f t="shared" ca="1" si="2977"/>
        <v>#N/A</v>
      </c>
      <c r="CQ200" s="4" t="e">
        <f ca="1">IF(AND(INDEX(STM,CP200,4)&gt;=$AB191,INDEX(STM,CP200,5)&gt;=$S191,INDEX(STM,CP200,6)&gt;=$R191),1,0)</f>
        <v>#N/A</v>
      </c>
      <c r="CR200" s="4" t="e">
        <f t="shared" ref="CR200" ca="1" si="3121">MATCH(1,OFFSET(CQ191:CQ202,CS199,0,COUNT(CQ191:CQ202)-CS199),0)</f>
        <v>#REF!</v>
      </c>
      <c r="CS200" s="4" t="e">
        <f t="shared" ca="1" si="2979"/>
        <v>#REF!</v>
      </c>
      <c r="CT200" s="692" t="str">
        <f ca="1">IFERROR(VLOOKUP(INDEX(CP191:CP202,CS200),STM,2,FALSE),"----")</f>
        <v>----</v>
      </c>
      <c r="CU200" s="691" t="e">
        <f t="shared" ca="1" si="2980"/>
        <v>#N/A</v>
      </c>
      <c r="CV200" s="4" t="e">
        <f ca="1">IF(AND(INDEX(ELM,CU200,4)&gt;=$AB191,INDEX(ELM,CU200,5)&gt;=$S191,INDEX(ELM,CU200,6)&gt;=$R191),1,0)</f>
        <v>#N/A</v>
      </c>
      <c r="CW200" s="4" t="e">
        <f t="shared" ref="CW200" ca="1" si="3122">MATCH(1,OFFSET(CV191:CV202,CX199,0,COUNT(CV191:CV202)-CX199),0)</f>
        <v>#REF!</v>
      </c>
      <c r="CX200" s="4" t="e">
        <f t="shared" ca="1" si="2982"/>
        <v>#REF!</v>
      </c>
      <c r="CY200" s="692" t="str">
        <f ca="1">IFERROR(VLOOKUP(INDEX(CU191:CU202,CX200),ELM,2,FALSE),"----")</f>
        <v>----</v>
      </c>
      <c r="CZ200" s="691" t="e">
        <f t="shared" ca="1" si="2983"/>
        <v>#N/A</v>
      </c>
      <c r="DA200" s="4" t="e">
        <f ca="1">IF(LEFT($J191,7)="Clad Wo",IF(AND(INDEX(SPPWS,CZ200,4)&gt;=$AB191,INDEX(SPPWS,CZ200,5)&gt;=$S191,INDEX(SPPWS,CZ200,6)&gt;=$R191),1,0),IF(AND(INDEX(SPM,CZ200,4)&gt;=$AB191,INDEX(SPM,CZ200,5)&gt;=$S191,INDEX(SPM,CZ200,6)&gt;=$R191),1,0))</f>
        <v>#N/A</v>
      </c>
      <c r="DB200" s="4" t="e">
        <f t="shared" ref="DB200" ca="1" si="3123">MATCH(1,OFFSET(DA191:DA202,DC199,0,COUNT(DA191:DA202)-DC199),0)</f>
        <v>#REF!</v>
      </c>
      <c r="DC200" s="4" t="e">
        <f t="shared" ca="1" si="2985"/>
        <v>#REF!</v>
      </c>
      <c r="DD200" s="693" t="str">
        <f ca="1">IF(LEFT($J191,7)="Clad Wo",IFERROR(VLOOKUP(INDEX(CZ191:CZ202,DC200),SPPWS,2,FALSE),"----"),IFERROR(VLOOKUP(INDEX(CZ191:CZ202,DC200),SPM,2,FALSE),"----"))</f>
        <v>----</v>
      </c>
      <c r="DE200" s="691" t="e">
        <f t="shared" ca="1" si="2986"/>
        <v>#REF!</v>
      </c>
      <c r="DF200" s="4" t="e" cm="1">
        <f t="array" aca="1" ref="DF200" ca="1">IF(AND(INDEX(INDIRECT(BY191),DE200,4)&gt;=$AB197,INDEX(INDIRECT(BY191),DE200,5)&gt;=$S191,INDEX(INDIRECT(BY191),DE200,6)&gt;=$R191),1,0)</f>
        <v>#REF!</v>
      </c>
      <c r="DG200" s="4" t="e">
        <f t="shared" ref="DG200" ca="1" si="3124">MATCH(1,OFFSET(DF191:DF202,DH199,0,COUNT(DF191:DF202)-DH199),0)</f>
        <v>#REF!</v>
      </c>
      <c r="DH200" s="4" t="e">
        <f t="shared" ca="1" si="2988"/>
        <v>#REF!</v>
      </c>
      <c r="DI200" s="692" t="str" cm="1">
        <f t="array" aca="1" ref="DI200" ca="1">IFERROR(VLOOKUP(INDEX(DE191:DE202,DH200),INDIRECT(BY191),2,FALSE),"----")</f>
        <v>----</v>
      </c>
      <c r="DJ200" s="691" t="e">
        <f t="shared" ca="1" si="2989"/>
        <v>#N/A</v>
      </c>
      <c r="DK200" s="4" t="e">
        <f ca="1">IF(AND(INDEX(SSM,DJ200,4)&gt;=$AB197,INDEX(SSM,DJ200,5)&gt;=$S191,INDEX(SSM,DJ200,6)&gt;=$R191),1,0)</f>
        <v>#N/A</v>
      </c>
      <c r="DL200" s="4" t="e">
        <f t="shared" ref="DL200" ca="1" si="3125">MATCH(1,OFFSET(DK191:DK202,DM199,0,COUNT(DK191:DK202)-DM199),0)</f>
        <v>#REF!</v>
      </c>
      <c r="DM200" s="4" t="e">
        <f t="shared" ca="1" si="2991"/>
        <v>#REF!</v>
      </c>
      <c r="DN200" s="692" t="str">
        <f ca="1">IFERROR(IF(AD198="Nested Steel Stud (wood infill)",VLOOKUP(INDEX(DJ191:DJ202,DM200),SSW,2,FALSE),VLOOKUP(INDEX(DJ191:DJ202,DM200),SSM,2,FALSE)),"----")</f>
        <v>----</v>
      </c>
      <c r="DO200" s="691" t="e">
        <f t="shared" ca="1" si="2992"/>
        <v>#N/A</v>
      </c>
      <c r="DP200" s="4" t="e">
        <f ca="1">IF(AND(INDEX(WSM,DO200,4)&gt;=$AB197,INDEX(WSM,DO200,5)&gt;=$S191,INDEX(WSM,DO200,6)&gt;=$R191),1,0)</f>
        <v>#N/A</v>
      </c>
      <c r="DQ200" s="4" t="e">
        <f t="shared" ref="DQ200" ca="1" si="3126">MATCH(1,OFFSET(DP191:DP202,DR199,0,COUNT(DP191:DP202)-DR199),0)</f>
        <v>#REF!</v>
      </c>
      <c r="DR200" s="4" t="e">
        <f t="shared" ca="1" si="2994"/>
        <v>#REF!</v>
      </c>
      <c r="DS200" s="692" t="str">
        <f ca="1">IFERROR(VLOOKUP(INDEX(DO191:DO202,DR200),WSM,2,FALSE),"----")</f>
        <v>----</v>
      </c>
      <c r="DT200" s="691" t="e">
        <f t="shared" ca="1" si="2995"/>
        <v>#N/A</v>
      </c>
      <c r="DU200" s="4" t="e">
        <f ca="1">IF(AND(INDEX(STM,DT200,4)&gt;=$AB197,INDEX(STM,DT200,5)&gt;=$S191,INDEX(STM,DT200,6)&gt;=$R191),1,0)</f>
        <v>#N/A</v>
      </c>
      <c r="DV200" s="4" t="e">
        <f t="shared" ref="DV200" ca="1" si="3127">MATCH(1,OFFSET(DU191:DU202,DW199,0,COUNT(DU191:DU202)-DW199),0)</f>
        <v>#REF!</v>
      </c>
      <c r="DW200" s="4" t="e">
        <f t="shared" ca="1" si="2997"/>
        <v>#REF!</v>
      </c>
      <c r="DX200" s="692" t="str">
        <f ca="1">IFERROR(VLOOKUP(INDEX(DT191:DT202,DW200),STM,2,FALSE),"----")</f>
        <v>----</v>
      </c>
      <c r="DY200" s="691" t="e">
        <f t="shared" ca="1" si="2998"/>
        <v>#N/A</v>
      </c>
      <c r="DZ200" s="4" t="e">
        <f ca="1">IF(AND(INDEX(ELM,DY200,4)&gt;=$AB197,INDEX(ELM,DY200,5)&gt;=$S191,INDEX(ELM,DY200,6)&gt;=$R191),1,0)</f>
        <v>#N/A</v>
      </c>
      <c r="EA200" s="4" t="e">
        <f t="shared" ref="EA200" ca="1" si="3128">MATCH(1,OFFSET(DZ191:DZ202,EB199,0,COUNT(DZ191:DZ202)-EB199),0)</f>
        <v>#REF!</v>
      </c>
      <c r="EB200" s="4" t="e">
        <f t="shared" ca="1" si="3000"/>
        <v>#REF!</v>
      </c>
      <c r="EC200" s="692" t="str">
        <f ca="1">IFERROR(VLOOKUP(INDEX(DY191:DY202,EB200),ELM,2,FALSE),"----")</f>
        <v>----</v>
      </c>
      <c r="ED200" s="691" t="e">
        <f t="shared" ca="1" si="3001"/>
        <v>#N/A</v>
      </c>
      <c r="EE200" s="4" t="e">
        <f ca="1">IF(LEFT($J191,7)="Clad Wo",IF(AND(INDEX(SPPWS,ED200,4)&gt;=$AB197,INDEX(SPPWS,ED200,5)&gt;=$S191,INDEX(SPPWS,ED200,6)&gt;=$R191),1,0),IF(AND(INDEX(SPM,ED200,4)&gt;=$AB197,INDEX(SPM,ED200,5)&gt;=$S191,INDEX(SPM,ED200,6)&gt;=$R191),1,0))</f>
        <v>#N/A</v>
      </c>
      <c r="EF200" s="4" t="e">
        <f t="shared" ref="EF200" ca="1" si="3129">MATCH(1,OFFSET(EE191:EE202,EG199,0,COUNT(EE191:EE202)-EG199),0)</f>
        <v>#REF!</v>
      </c>
      <c r="EG200" s="4" t="e">
        <f t="shared" ca="1" si="3003"/>
        <v>#REF!</v>
      </c>
      <c r="EH200" s="692" t="str">
        <f ca="1">IF(LEFT($J191,7)="Clad Wo",IFERROR(VLOOKUP(INDEX(ED191:ED202,EG200),SPPWS,2,FALSE),"----"),IFERROR(VLOOKUP(INDEX(ED191:ED202,EG200),SPM,2,FALSE),"----"))</f>
        <v>----</v>
      </c>
    </row>
    <row r="201" spans="1:138" ht="15" customHeight="1" x14ac:dyDescent="0.25">
      <c r="A201" s="1085"/>
      <c r="B201" s="925"/>
      <c r="C201" s="926"/>
      <c r="D201" s="927"/>
      <c r="E201" s="995"/>
      <c r="F201" s="996"/>
      <c r="G201" s="997"/>
      <c r="H201" s="1062"/>
      <c r="I201" s="990"/>
      <c r="J201" s="902"/>
      <c r="K201" s="903"/>
      <c r="L201" s="1002"/>
      <c r="M201" s="923"/>
      <c r="N201" s="1042"/>
      <c r="O201" s="1018"/>
      <c r="P201" s="987"/>
      <c r="Q201" s="1015"/>
      <c r="R201" s="1012"/>
      <c r="S201" s="1006"/>
      <c r="T201" s="1007"/>
      <c r="U201" s="878"/>
      <c r="V201" s="881"/>
      <c r="W201" s="884"/>
      <c r="X201" s="884"/>
      <c r="Y201" s="887"/>
      <c r="Z201" s="887"/>
      <c r="AA201" s="887"/>
      <c r="AB201" s="1081"/>
      <c r="AC201" s="1078"/>
      <c r="AD201" s="1070" t="str">
        <f t="shared" si="3099"/>
        <v>Engineered Lumber</v>
      </c>
      <c r="AE201" s="1071"/>
      <c r="AF201" s="1052"/>
      <c r="AG201" s="1053"/>
      <c r="AH201" s="1053"/>
      <c r="AI201" s="1068"/>
      <c r="AJ201" s="1069"/>
      <c r="AK201" s="154" t="str">
        <f t="shared" ca="1" si="2393"/>
        <v/>
      </c>
      <c r="AL201" s="1059"/>
      <c r="AM201" s="344" t="str">
        <f ca="1">IFERROR(Q191/12*ROUND(VLOOKUP(AF201,OFFSET(ELM,0,1),6,FALSE),2),"")</f>
        <v/>
      </c>
      <c r="AN201" t="str">
        <f t="shared" ca="1" si="2409"/>
        <v/>
      </c>
      <c r="AP201" s="122" t="str">
        <f t="shared" ref="AP201" si="3130">_xlfn.CONCAT(AR201,AS202)</f>
        <v/>
      </c>
      <c r="AQ201" s="683" t="str">
        <f t="shared" si="2617"/>
        <v/>
      </c>
      <c r="AR201" s="4" t="str">
        <f t="shared" si="2378"/>
        <v/>
      </c>
      <c r="AS201" s="4"/>
      <c r="AT201" s="697" t="str">
        <f>AL197</f>
        <v/>
      </c>
      <c r="AU201" s="694" t="e">
        <f t="shared" ca="1" si="2633"/>
        <v>#REF!</v>
      </c>
      <c r="AV201" s="698" t="str">
        <f ca="1">IFERROR(VLOOKUP(AU201,INDIRECT(AQ191),2,FALSE),"----")</f>
        <v>----</v>
      </c>
      <c r="AW201" s="694" t="e">
        <f t="shared" ca="1" si="2634"/>
        <v>#REF!</v>
      </c>
      <c r="AX201" s="698" t="str">
        <f ca="1">IFERROR(VLOOKUP(AW201,INDIRECT(AQ192),2,FALSE),"----")</f>
        <v>----</v>
      </c>
      <c r="AY201" s="694" t="e">
        <f t="shared" ca="1" si="1919"/>
        <v>#REF!</v>
      </c>
      <c r="AZ201" s="698" t="str">
        <f ca="1">IFERROR(VLOOKUP(AY201,INDIRECT(AQ193),2,FALSE),"----")</f>
        <v>----</v>
      </c>
      <c r="BA201" s="694" t="e">
        <f t="shared" ca="1" si="1920"/>
        <v>#REF!</v>
      </c>
      <c r="BB201" s="698" t="str">
        <f ca="1">IFERROR(VLOOKUP(BA201,INDIRECT(AQ194),2,FALSE),"----")</f>
        <v>----</v>
      </c>
      <c r="BC201" s="694" t="e">
        <f t="shared" ca="1" si="2635"/>
        <v>#REF!</v>
      </c>
      <c r="BD201" s="698" t="str">
        <f ca="1">IFERROR(VLOOKUP(BC201,INDIRECT(AQ195),2,FALSE),"----")</f>
        <v>----</v>
      </c>
      <c r="BE201" s="694" t="e">
        <f t="shared" ca="1" si="2636"/>
        <v>#REF!</v>
      </c>
      <c r="BF201" s="698" t="str">
        <f ca="1">IFERROR(VLOOKUP(BE201,INDIRECT(AQ196),2,FALSE),"----")</f>
        <v>----</v>
      </c>
      <c r="BG201" s="702" t="e">
        <f t="shared" ca="1" si="2637"/>
        <v>#REF!</v>
      </c>
      <c r="BH201" s="686" t="str">
        <f ca="1">IFERROR(VLOOKUP(BG201,INDIRECT(AQ197),2,FALSE),"----")</f>
        <v>----</v>
      </c>
      <c r="BI201" s="702" t="e">
        <f t="shared" ca="1" si="2638"/>
        <v>#REF!</v>
      </c>
      <c r="BJ201" s="686" t="str">
        <f ca="1">IFERROR(VLOOKUP(BI201,INDIRECT(AQ198),2,FALSE),"----")</f>
        <v>----</v>
      </c>
      <c r="BK201" s="702" t="e">
        <f t="shared" ca="1" si="2639"/>
        <v>#REF!</v>
      </c>
      <c r="BL201" s="686" t="str">
        <f ca="1">IFERROR(VLOOKUP(BK201,INDIRECT(AQ199),2,FALSE),"----")</f>
        <v>----</v>
      </c>
      <c r="BM201" s="702" t="e">
        <f t="shared" ca="1" si="2640"/>
        <v>#REF!</v>
      </c>
      <c r="BN201" s="686" t="str">
        <f ca="1">IFERROR(VLOOKUP(BM201,INDIRECT(AQ200),2,FALSE),"----")</f>
        <v>----</v>
      </c>
      <c r="BO201" s="702" t="e">
        <f t="shared" ca="1" si="2641"/>
        <v>#REF!</v>
      </c>
      <c r="BP201" s="686" t="str">
        <f ca="1">IFERROR(VLOOKUP(BO201,INDIRECT(AQ201),2,FALSE),"----")</f>
        <v>----</v>
      </c>
      <c r="BQ201" s="702" t="e">
        <f t="shared" ca="1" si="2642"/>
        <v>#REF!</v>
      </c>
      <c r="BR201" s="686" t="str">
        <f ca="1">IFERROR(VLOOKUP(BQ201,INDIRECT(AQ202),2,FALSE),"----")</f>
        <v>----</v>
      </c>
      <c r="BS201" s="695">
        <f>IF(AI201="",1,IF(COUNTIF(BP191:BP202,AI201)=0,2,1))</f>
        <v>1</v>
      </c>
      <c r="BT201" s="696">
        <f>IF(AF201="",1,IF(BP191=".",2,1))</f>
        <v>1</v>
      </c>
      <c r="BU201" s="706"/>
      <c r="BV201" s="155">
        <f ca="1">IF(COUNTIF(EC191:EC202,AF201)=0,IF(AF201&lt;&gt;"",0,1),1)</f>
        <v>1</v>
      </c>
      <c r="BW201" s="157">
        <f ca="1">IFERROR(MATCH(AF201,EC191:EC202,0),1)</f>
        <v>1</v>
      </c>
      <c r="BX201" s="769"/>
      <c r="BY201" s="769"/>
      <c r="BZ201" s="1110"/>
      <c r="CA201" s="691" t="e">
        <f t="shared" ca="1" si="2968"/>
        <v>#REF!</v>
      </c>
      <c r="CB201" s="4" t="e" cm="1">
        <f t="array" aca="1" ref="CB201" ca="1">IF(AND(INDEX(INDIRECT(BY191),CA201,4)&gt;=$AB191,INDEX(INDIRECT(BY191),CA201,5)&gt;=$S191,INDEX(INDIRECT(BY191),CA201,6)&gt;=$R191),1,0)</f>
        <v>#REF!</v>
      </c>
      <c r="CC201" s="4" t="e">
        <f t="shared" ref="CC201" ca="1" si="3131">MATCH(1,OFFSET(CB191:CB202,CD200,0,COUNT(CB191:CB202)-CD200),0)</f>
        <v>#REF!</v>
      </c>
      <c r="CD201" s="4" t="e">
        <f t="shared" ca="1" si="2970"/>
        <v>#REF!</v>
      </c>
      <c r="CE201" s="692" t="str" cm="1">
        <f t="array" aca="1" ref="CE201" ca="1">IFERROR(VLOOKUP(INDEX(CA191:CA202,CD201),INDIRECT(BY191),2,FALSE),"----")</f>
        <v>----</v>
      </c>
      <c r="CF201" s="691" t="e">
        <f t="shared" ca="1" si="2971"/>
        <v>#N/A</v>
      </c>
      <c r="CG201" s="4" t="e">
        <f ca="1">IF(AND(INDEX(SSM,CF201,4)&gt;=$AB191,INDEX(SSM,CF201,5)&gt;=$S191,INDEX(SSM,CF201,6)&gt;=$R191),1,0)</f>
        <v>#N/A</v>
      </c>
      <c r="CH201" s="4" t="e">
        <f t="shared" ref="CH201" ca="1" si="3132">MATCH(1,OFFSET(CG191:CG202,CI200,0,COUNT(CG191:CG202)-CI200),0)</f>
        <v>#REF!</v>
      </c>
      <c r="CI201" s="4" t="e">
        <f t="shared" ca="1" si="2973"/>
        <v>#REF!</v>
      </c>
      <c r="CJ201" s="692" t="str">
        <f ca="1">IFERROR(IF(AD192="Nested Steel Stud (wood infill)",VLOOKUP(INDEX(CF191:CF202,CI201),SSW,2,FALSE),VLOOKUP(INDEX(CF191:CF202,CI201),SSM,2,FALSE)),"----")</f>
        <v>----</v>
      </c>
      <c r="CK201" s="691" t="e">
        <f t="shared" ca="1" si="2974"/>
        <v>#N/A</v>
      </c>
      <c r="CL201" s="4" t="e">
        <f ca="1">IF(AND(INDEX(WSM,CK201,4)&gt;=$AB191,INDEX(WSM,CK201,5)&gt;=$S191,INDEX(WSM,CK201,6)&gt;=$R191),1,0)</f>
        <v>#N/A</v>
      </c>
      <c r="CM201" s="4" t="e">
        <f t="shared" ref="CM201" ca="1" si="3133">MATCH(1,OFFSET(CL191:CL202,CN200,0,COUNT(CL191:CL202)-CN200),0)</f>
        <v>#REF!</v>
      </c>
      <c r="CN201" s="4" t="e">
        <f t="shared" ca="1" si="2976"/>
        <v>#REF!</v>
      </c>
      <c r="CO201" s="692" t="str">
        <f ca="1">IFERROR(VLOOKUP(INDEX(CK191:CK202,CN201),WSM,2,FALSE),"----")</f>
        <v>----</v>
      </c>
      <c r="CP201" s="691" t="e">
        <f t="shared" ca="1" si="2977"/>
        <v>#N/A</v>
      </c>
      <c r="CQ201" s="4" t="e">
        <f ca="1">IF(AND(INDEX(STM,CP201,4)&gt;=$AB191,INDEX(STM,CP201,5)&gt;=$S191,INDEX(STM,CP201,6)&gt;=$R191),1,0)</f>
        <v>#N/A</v>
      </c>
      <c r="CR201" s="4" t="e">
        <f t="shared" ref="CR201" ca="1" si="3134">MATCH(1,OFFSET(CQ191:CQ202,CS200,0,COUNT(CQ191:CQ202)-CS200),0)</f>
        <v>#REF!</v>
      </c>
      <c r="CS201" s="4" t="e">
        <f t="shared" ca="1" si="2979"/>
        <v>#REF!</v>
      </c>
      <c r="CT201" s="692" t="str">
        <f ca="1">IFERROR(VLOOKUP(INDEX(CP191:CP202,CS201),STM,2,FALSE),"----")</f>
        <v>----</v>
      </c>
      <c r="CU201" s="691" t="e">
        <f t="shared" ca="1" si="2980"/>
        <v>#N/A</v>
      </c>
      <c r="CV201" s="4" t="e">
        <f ca="1">IF(AND(INDEX(ELM,CU201,4)&gt;=$AB191,INDEX(ELM,CU201,5)&gt;=$S191,INDEX(ELM,CU201,6)&gt;=$R191),1,0)</f>
        <v>#N/A</v>
      </c>
      <c r="CW201" s="4" t="e">
        <f t="shared" ref="CW201" ca="1" si="3135">MATCH(1,OFFSET(CV191:CV202,CX200,0,COUNT(CV191:CV202)-CX200),0)</f>
        <v>#REF!</v>
      </c>
      <c r="CX201" s="4" t="e">
        <f t="shared" ca="1" si="2982"/>
        <v>#REF!</v>
      </c>
      <c r="CY201" s="692" t="str">
        <f ca="1">IFERROR(VLOOKUP(INDEX(CU191:CU202,CX201),ELM,2,FALSE),"----")</f>
        <v>----</v>
      </c>
      <c r="CZ201" s="691" t="e">
        <f t="shared" ca="1" si="2983"/>
        <v>#N/A</v>
      </c>
      <c r="DA201" s="4" t="e">
        <f ca="1">IF(LEFT($J191,7)="Clad Wo",IF(AND(INDEX(SPPWS,CZ201,4)&gt;=$AB191,INDEX(SPPWS,CZ201,5)&gt;=$S191,INDEX(SPPWS,CZ201,6)&gt;=$R191),1,0),IF(AND(INDEX(SPM,CZ201,4)&gt;=$AB191,INDEX(SPM,CZ201,5)&gt;=$S191,INDEX(SPM,CZ201,6)&gt;=$R191),1,0))</f>
        <v>#N/A</v>
      </c>
      <c r="DB201" s="4" t="e">
        <f t="shared" ref="DB201" ca="1" si="3136">MATCH(1,OFFSET(DA191:DA202,DC200,0,COUNT(DA191:DA202)-DC200),0)</f>
        <v>#REF!</v>
      </c>
      <c r="DC201" s="4" t="e">
        <f t="shared" ca="1" si="2985"/>
        <v>#REF!</v>
      </c>
      <c r="DD201" s="693" t="str">
        <f ca="1">IF(LEFT($J191,7)="Clad Wo",IFERROR(VLOOKUP(INDEX(CZ191:CZ202,DC201),SPPWS,2,FALSE),"----"),IFERROR(VLOOKUP(INDEX(CZ191:CZ202,DC201),SPM,2,FALSE),"----"))</f>
        <v>----</v>
      </c>
      <c r="DE201" s="691" t="e">
        <f t="shared" ca="1" si="2986"/>
        <v>#REF!</v>
      </c>
      <c r="DF201" s="4" t="e" cm="1">
        <f t="array" aca="1" ref="DF201" ca="1">IF(AND(INDEX(INDIRECT(BY191),DE201,4)&gt;=$AB197,INDEX(INDIRECT(BY191),DE201,5)&gt;=$S191,INDEX(INDIRECT(BY191),DE201,6)&gt;=$R191),1,0)</f>
        <v>#REF!</v>
      </c>
      <c r="DG201" s="4" t="e">
        <f t="shared" ref="DG201" ca="1" si="3137">MATCH(1,OFFSET(DF191:DF202,DH200,0,COUNT(DF191:DF202)-DH200),0)</f>
        <v>#REF!</v>
      </c>
      <c r="DH201" s="4" t="e">
        <f t="shared" ca="1" si="2988"/>
        <v>#REF!</v>
      </c>
      <c r="DI201" s="692" t="str" cm="1">
        <f t="array" aca="1" ref="DI201" ca="1">IFERROR(VLOOKUP(INDEX(DE191:DE202,DH201),INDIRECT(BY191),2,FALSE),"----")</f>
        <v>----</v>
      </c>
      <c r="DJ201" s="691" t="e">
        <f t="shared" ca="1" si="2989"/>
        <v>#N/A</v>
      </c>
      <c r="DK201" s="4" t="e">
        <f ca="1">IF(AND(INDEX(SSM,DJ201,4)&gt;=$AB197,INDEX(SSM,DJ201,5)&gt;=$S191,INDEX(SSM,DJ201,6)&gt;=$R191),1,0)</f>
        <v>#N/A</v>
      </c>
      <c r="DL201" s="4" t="e">
        <f t="shared" ref="DL201" ca="1" si="3138">MATCH(1,OFFSET(DK191:DK202,DM200,0,COUNT(DK191:DK202)-DM200),0)</f>
        <v>#REF!</v>
      </c>
      <c r="DM201" s="4" t="e">
        <f t="shared" ca="1" si="2991"/>
        <v>#REF!</v>
      </c>
      <c r="DN201" s="692" t="str">
        <f ca="1">IFERROR(IF(AD198="Nested Steel Stud (wood infill)",VLOOKUP(INDEX(DJ191:DJ202,DM201),SSW,2,FALSE),VLOOKUP(INDEX(DJ191:DJ202,DM201),SSM,2,FALSE)),"----")</f>
        <v>----</v>
      </c>
      <c r="DO201" s="691" t="e">
        <f t="shared" ca="1" si="2992"/>
        <v>#N/A</v>
      </c>
      <c r="DP201" s="4" t="e">
        <f ca="1">IF(AND(INDEX(WSM,DO201,4)&gt;=$AB197,INDEX(WSM,DO201,5)&gt;=$S191,INDEX(WSM,DO201,6)&gt;=$R191),1,0)</f>
        <v>#N/A</v>
      </c>
      <c r="DQ201" s="4" t="e">
        <f t="shared" ref="DQ201" ca="1" si="3139">MATCH(1,OFFSET(DP191:DP202,DR200,0,COUNT(DP191:DP202)-DR200),0)</f>
        <v>#REF!</v>
      </c>
      <c r="DR201" s="4" t="e">
        <f t="shared" ca="1" si="2994"/>
        <v>#REF!</v>
      </c>
      <c r="DS201" s="692" t="str">
        <f ca="1">IFERROR(VLOOKUP(INDEX(DO191:DO202,DR201),WSM,2,FALSE),"----")</f>
        <v>----</v>
      </c>
      <c r="DT201" s="691" t="e">
        <f t="shared" ca="1" si="2995"/>
        <v>#N/A</v>
      </c>
      <c r="DU201" s="4" t="e">
        <f ca="1">IF(AND(INDEX(STM,DT201,4)&gt;=$AB197,INDEX(STM,DT201,5)&gt;=$S191,INDEX(STM,DT201,6)&gt;=$R191),1,0)</f>
        <v>#N/A</v>
      </c>
      <c r="DV201" s="4" t="e">
        <f t="shared" ref="DV201" ca="1" si="3140">MATCH(1,OFFSET(DU191:DU202,DW200,0,COUNT(DU191:DU202)-DW200),0)</f>
        <v>#REF!</v>
      </c>
      <c r="DW201" s="4" t="e">
        <f t="shared" ca="1" si="2997"/>
        <v>#REF!</v>
      </c>
      <c r="DX201" s="692" t="str">
        <f ca="1">IFERROR(VLOOKUP(INDEX(DT191:DT202,DW201),STM,2,FALSE),"----")</f>
        <v>----</v>
      </c>
      <c r="DY201" s="691" t="e">
        <f t="shared" ca="1" si="2998"/>
        <v>#N/A</v>
      </c>
      <c r="DZ201" s="4" t="e">
        <f ca="1">IF(AND(INDEX(ELM,DY201,4)&gt;=$AB197,INDEX(ELM,DY201,5)&gt;=$S191,INDEX(ELM,DY201,6)&gt;=$R191),1,0)</f>
        <v>#N/A</v>
      </c>
      <c r="EA201" s="4" t="e">
        <f t="shared" ref="EA201" ca="1" si="3141">MATCH(1,OFFSET(DZ191:DZ202,EB200,0,COUNT(DZ191:DZ202)-EB200),0)</f>
        <v>#REF!</v>
      </c>
      <c r="EB201" s="4" t="e">
        <f t="shared" ca="1" si="3000"/>
        <v>#REF!</v>
      </c>
      <c r="EC201" s="692" t="str">
        <f ca="1">IFERROR(VLOOKUP(INDEX(DY191:DY202,EB201),ELM,2,FALSE),"----")</f>
        <v>----</v>
      </c>
      <c r="ED201" s="691" t="e">
        <f t="shared" ca="1" si="3001"/>
        <v>#N/A</v>
      </c>
      <c r="EE201" s="4" t="e">
        <f ca="1">IF(LEFT($J191,7)="Clad Wo",IF(AND(INDEX(SPPWS,ED201,4)&gt;=$AB197,INDEX(SPPWS,ED201,5)&gt;=$S191,INDEX(SPPWS,ED201,6)&gt;=$R191),1,0),IF(AND(INDEX(SPM,ED201,4)&gt;=$AB197,INDEX(SPM,ED201,5)&gt;=$S191,INDEX(SPM,ED201,6)&gt;=$R191),1,0))</f>
        <v>#N/A</v>
      </c>
      <c r="EF201" s="4" t="e">
        <f t="shared" ref="EF201" ca="1" si="3142">MATCH(1,OFFSET(EE191:EE202,EG200,0,COUNT(EE191:EE202)-EG200),0)</f>
        <v>#REF!</v>
      </c>
      <c r="EG201" s="4" t="e">
        <f t="shared" ca="1" si="3003"/>
        <v>#REF!</v>
      </c>
      <c r="EH201" s="692" t="str">
        <f ca="1">IF(LEFT($J191,7)="Clad Wo",IFERROR(VLOOKUP(INDEX(ED191:ED202,EG201),SPPWS,2,FALSE),"----"),IFERROR(VLOOKUP(INDEX(ED191:ED202,EG201),SPM,2,FALSE),"----"))</f>
        <v>----</v>
      </c>
    </row>
    <row r="202" spans="1:138" ht="15" customHeight="1" thickBot="1" x14ac:dyDescent="0.3">
      <c r="A202" s="1085"/>
      <c r="B202" s="928"/>
      <c r="C202" s="929"/>
      <c r="D202" s="930"/>
      <c r="E202" s="998"/>
      <c r="F202" s="999"/>
      <c r="G202" s="1000"/>
      <c r="H202" s="1063"/>
      <c r="I202" s="991"/>
      <c r="J202" s="904"/>
      <c r="K202" s="905"/>
      <c r="L202" s="1003"/>
      <c r="M202" s="1065"/>
      <c r="N202" s="1043"/>
      <c r="O202" s="1019"/>
      <c r="P202" s="988"/>
      <c r="Q202" s="1016"/>
      <c r="R202" s="1013"/>
      <c r="S202" s="1008"/>
      <c r="T202" s="1009"/>
      <c r="U202" s="879"/>
      <c r="V202" s="882"/>
      <c r="W202" s="885"/>
      <c r="X202" s="885"/>
      <c r="Y202" s="888"/>
      <c r="Z202" s="888"/>
      <c r="AA202" s="888"/>
      <c r="AB202" s="1082"/>
      <c r="AC202" s="1087"/>
      <c r="AD202" s="1098" t="str">
        <f t="shared" ref="AD202" si="3143">IF(LEFT(J191,7)="Clad Wo","Pella Wood Spr / Steel Pte","Steel Plate")</f>
        <v>Steel Plate</v>
      </c>
      <c r="AE202" s="1099"/>
      <c r="AF202" s="1096"/>
      <c r="AG202" s="1097"/>
      <c r="AH202" s="1097"/>
      <c r="AI202" s="1094"/>
      <c r="AJ202" s="1095"/>
      <c r="AK202" s="163" t="str">
        <f t="shared" ca="1" si="2393"/>
        <v/>
      </c>
      <c r="AL202" s="1060"/>
      <c r="AM202" s="345" t="str">
        <f ca="1">IFERROR(Q191/12*ROUND(VLOOKUP(AF202,OFFSET(SPM,0,1),6,FALSE),2),"")</f>
        <v/>
      </c>
      <c r="AN202" t="str">
        <f t="shared" ca="1" si="2409"/>
        <v/>
      </c>
      <c r="AP202" s="699" t="str">
        <f t="shared" ref="AP202" si="3144">_xlfn.CONCAT(AR202,AS202)</f>
        <v/>
      </c>
      <c r="AQ202" s="700" t="str">
        <f t="shared" si="2617"/>
        <v/>
      </c>
      <c r="AR202" s="160" t="str">
        <f t="shared" si="2378"/>
        <v/>
      </c>
      <c r="AS202" s="160" t="str">
        <f>IFERROR(VLOOKUP(J199, WallType,2,FALSE),"")</f>
        <v/>
      </c>
      <c r="AT202" s="707" t="str">
        <f>AL197</f>
        <v/>
      </c>
      <c r="AU202" s="708" t="e">
        <f t="shared" ca="1" si="2633"/>
        <v>#REF!</v>
      </c>
      <c r="AV202" s="709" t="str">
        <f ca="1">IFERROR(VLOOKUP(AU202,INDIRECT(AQ191),2,FALSE),"----")</f>
        <v>----</v>
      </c>
      <c r="AW202" s="710" t="e">
        <f t="shared" ca="1" si="2634"/>
        <v>#REF!</v>
      </c>
      <c r="AX202" s="709" t="str">
        <f ca="1">IFERROR(VLOOKUP(AW202,INDIRECT(AQ192),2,FALSE),"----")</f>
        <v>----</v>
      </c>
      <c r="AY202" s="710" t="e">
        <f t="shared" ca="1" si="1919"/>
        <v>#REF!</v>
      </c>
      <c r="AZ202" s="709" t="str">
        <f ca="1">IFERROR(VLOOKUP(AY202,INDIRECT(AQ193),2,FALSE),"----")</f>
        <v>----</v>
      </c>
      <c r="BA202" s="710" t="e">
        <f t="shared" ca="1" si="1920"/>
        <v>#REF!</v>
      </c>
      <c r="BB202" s="709" t="str">
        <f ca="1">IFERROR(VLOOKUP(BA202,INDIRECT(AQ194),2,FALSE),"----")</f>
        <v>----</v>
      </c>
      <c r="BC202" s="710" t="e">
        <f t="shared" ca="1" si="2635"/>
        <v>#REF!</v>
      </c>
      <c r="BD202" s="709" t="str">
        <f ca="1">IFERROR(VLOOKUP(BC202,INDIRECT(AQ195),2,FALSE),"----")</f>
        <v>----</v>
      </c>
      <c r="BE202" s="710" t="e">
        <f t="shared" ca="1" si="2636"/>
        <v>#REF!</v>
      </c>
      <c r="BF202" s="709" t="str">
        <f ca="1">IFERROR(VLOOKUP(BE202,INDIRECT(AQ196),2,FALSE),"----")</f>
        <v>----</v>
      </c>
      <c r="BG202" s="710" t="e">
        <f t="shared" ca="1" si="2637"/>
        <v>#REF!</v>
      </c>
      <c r="BH202" s="711" t="str">
        <f ca="1">IFERROR(VLOOKUP(BG202,INDIRECT(AQ197),2,FALSE),"----")</f>
        <v>----</v>
      </c>
      <c r="BI202" s="710" t="e">
        <f t="shared" ca="1" si="2638"/>
        <v>#REF!</v>
      </c>
      <c r="BJ202" s="711" t="str">
        <f ca="1">IFERROR(VLOOKUP(BI202,INDIRECT(AQ198),2,FALSE),"----")</f>
        <v>----</v>
      </c>
      <c r="BK202" s="710" t="e">
        <f t="shared" ca="1" si="2639"/>
        <v>#REF!</v>
      </c>
      <c r="BL202" s="711" t="str">
        <f ca="1">IFERROR(VLOOKUP(BK202,INDIRECT(AQ199),2,FALSE),"----")</f>
        <v>----</v>
      </c>
      <c r="BM202" s="710" t="e">
        <f t="shared" ca="1" si="2640"/>
        <v>#REF!</v>
      </c>
      <c r="BN202" s="711" t="str">
        <f ca="1">IFERROR(VLOOKUP(BM202,INDIRECT(AQ200),2,FALSE),"----")</f>
        <v>----</v>
      </c>
      <c r="BO202" s="710" t="e">
        <f t="shared" ca="1" si="2641"/>
        <v>#REF!</v>
      </c>
      <c r="BP202" s="711" t="str">
        <f ca="1">IFERROR(VLOOKUP(BO202,INDIRECT(AQ201),2,FALSE),"----")</f>
        <v>----</v>
      </c>
      <c r="BQ202" s="710" t="e">
        <f t="shared" ca="1" si="2642"/>
        <v>#REF!</v>
      </c>
      <c r="BR202" s="712" t="str">
        <f ca="1">IFERROR(VLOOKUP(BQ202,INDIRECT(AQ202),2,FALSE),"----")</f>
        <v>----</v>
      </c>
      <c r="BS202" s="695">
        <f>IF(AI202="",1,IF(COUNTIF(BR191:BR202,AI202)=0,2,1))</f>
        <v>1</v>
      </c>
      <c r="BT202" s="713">
        <f>IF(AF202="",1,IF(BR191=".",2,1))</f>
        <v>1</v>
      </c>
      <c r="BV202" s="155">
        <f ca="1">IF(COUNTIF(EH191:EH202,AF202)=0,IF(AF202&lt;&gt;"",0,1),1)</f>
        <v>1</v>
      </c>
      <c r="BW202" s="157">
        <f ca="1">IFERROR(MATCH(AF202,EH191:EH202,0),1)</f>
        <v>1</v>
      </c>
      <c r="BX202" s="718"/>
      <c r="BY202" s="777"/>
      <c r="BZ202" s="1110"/>
      <c r="CA202" s="714" t="e">
        <f t="shared" ca="1" si="2968"/>
        <v>#REF!</v>
      </c>
      <c r="CB202" s="715" t="e" cm="1">
        <f t="array" aca="1" ref="CB202" ca="1">IF(AND(INDEX(INDIRECT(BY191),CA202,4)&gt;=$AB191,INDEX(INDIRECT(BY191),CA202,5)&gt;=$S191,INDEX(INDIRECT(BY191),CA202,6)&gt;=$R191),1,0)</f>
        <v>#REF!</v>
      </c>
      <c r="CC202" s="715" t="e">
        <f t="shared" ref="CC202" ca="1" si="3145">MATCH(1,OFFSET(CB191:CB202,CD201,0,COUNT(CB191:CB202)-CD201),0)</f>
        <v>#REF!</v>
      </c>
      <c r="CD202" s="715" t="e">
        <f t="shared" ca="1" si="2970"/>
        <v>#REF!</v>
      </c>
      <c r="CE202" s="716" t="str" cm="1">
        <f t="array" aca="1" ref="CE202" ca="1">IFERROR(VLOOKUP(INDEX(CA191:CA202,CD202),INDIRECT(BY191),2,FALSE),"----")</f>
        <v>----</v>
      </c>
      <c r="CF202" s="714" t="e">
        <f t="shared" ca="1" si="2971"/>
        <v>#N/A</v>
      </c>
      <c r="CG202" s="715" t="e">
        <f ca="1">IF(AND(INDEX(SSM,CF202,4)&gt;=$AB191,INDEX(SSM,CF202,5)&gt;=$S191,INDEX(SSM,CF202,6)&gt;=$R191),1,0)</f>
        <v>#N/A</v>
      </c>
      <c r="CH202" s="715" t="e">
        <f t="shared" ref="CH202" ca="1" si="3146">MATCH(1,OFFSET(CG191:CG202,CI201,0,COUNT(CG191:CG202)-CI201),0)</f>
        <v>#REF!</v>
      </c>
      <c r="CI202" s="715" t="e">
        <f t="shared" ca="1" si="2973"/>
        <v>#REF!</v>
      </c>
      <c r="CJ202" s="716" t="str">
        <f ca="1">IFERROR(IF(AD192="Nested Steel Stud (wood infill)",VLOOKUP(INDEX(CF191:CF202,CI202),SSW,2,FALSE),VLOOKUP(INDEX(CF191:CF202,CI202),SSM,2,FALSE)),"----")</f>
        <v>----</v>
      </c>
      <c r="CK202" s="714" t="e">
        <f t="shared" ca="1" si="2974"/>
        <v>#N/A</v>
      </c>
      <c r="CL202" s="715" t="e">
        <f ca="1">IF(AND(INDEX(WSM,CK202,4)&gt;=$AB191,INDEX(WSM,CK202,5)&gt;=$S191,INDEX(WSM,CK202,6)&gt;=$R191),1,0)</f>
        <v>#N/A</v>
      </c>
      <c r="CM202" s="715" t="e">
        <f t="shared" ref="CM202" ca="1" si="3147">MATCH(1,OFFSET(CL191:CL202,CN201,0,COUNT(CL191:CL202)-CN201),0)</f>
        <v>#REF!</v>
      </c>
      <c r="CN202" s="715" t="e">
        <f t="shared" ca="1" si="2976"/>
        <v>#REF!</v>
      </c>
      <c r="CO202" s="716" t="str">
        <f ca="1">IFERROR(VLOOKUP(INDEX(CK191:CK202,CN202),WSM,2,FALSE),"----")</f>
        <v>----</v>
      </c>
      <c r="CP202" s="714" t="e">
        <f t="shared" ca="1" si="2977"/>
        <v>#N/A</v>
      </c>
      <c r="CQ202" s="715" t="e">
        <f ca="1">IF(AND(INDEX(STM,CP202,4)&gt;=$AB191,INDEX(STM,CP202,5)&gt;=$S191,INDEX(STM,CP202,6)&gt;=$R191),1,0)</f>
        <v>#N/A</v>
      </c>
      <c r="CR202" s="715" t="e">
        <f t="shared" ref="CR202" ca="1" si="3148">MATCH(1,OFFSET(CQ191:CQ202,CS201,0,COUNT(CQ191:CQ202)-CS201),0)</f>
        <v>#REF!</v>
      </c>
      <c r="CS202" s="715" t="e">
        <f t="shared" ca="1" si="2979"/>
        <v>#REF!</v>
      </c>
      <c r="CT202" s="716" t="str">
        <f ca="1">IFERROR(VLOOKUP(INDEX(CP191:CP202,CS202),STM,2,FALSE),"----")</f>
        <v>----</v>
      </c>
      <c r="CU202" s="714" t="e">
        <f t="shared" ca="1" si="2980"/>
        <v>#N/A</v>
      </c>
      <c r="CV202" s="715" t="e">
        <f ca="1">IF(AND(INDEX(ELM,CU202,4)&gt;=$AB191,INDEX(ELM,CU202,5)&gt;=$S191,INDEX(ELM,CU202,6)&gt;=$R191),1,0)</f>
        <v>#N/A</v>
      </c>
      <c r="CW202" s="715" t="e">
        <f t="shared" ref="CW202" ca="1" si="3149">MATCH(1,OFFSET(CV191:CV202,CX201,0,COUNT(CV191:CV202)-CX201),0)</f>
        <v>#REF!</v>
      </c>
      <c r="CX202" s="715" t="e">
        <f t="shared" ca="1" si="2982"/>
        <v>#REF!</v>
      </c>
      <c r="CY202" s="716" t="str">
        <f ca="1">IFERROR(VLOOKUP(INDEX(CU191:CU202,CX202),ELM,2,FALSE),"----")</f>
        <v>----</v>
      </c>
      <c r="CZ202" s="714" t="e">
        <f t="shared" ca="1" si="2983"/>
        <v>#N/A</v>
      </c>
      <c r="DA202" s="715" t="e">
        <f ca="1">IF(LEFT($J191,7)="Clad Wo",IF(AND(INDEX(SPPWS,CZ202,4)&gt;=$AB191,INDEX(SPPWS,CZ202,5)&gt;=$S191,INDEX(SPPWS,CZ202,6)&gt;=$R191),1,0),IF(AND(INDEX(SPM,CZ202,4)&gt;=$AB191,INDEX(SPM,CZ202,5)&gt;=$S191,INDEX(SPM,CZ202,6)&gt;=$R191),1,0))</f>
        <v>#N/A</v>
      </c>
      <c r="DB202" s="715" t="e">
        <f t="shared" ref="DB202" ca="1" si="3150">MATCH(1,OFFSET(DA191:DA202,DC201,0,COUNT(DA191:DA202)-DC201),0)</f>
        <v>#REF!</v>
      </c>
      <c r="DC202" s="715" t="e">
        <f t="shared" ca="1" si="2985"/>
        <v>#REF!</v>
      </c>
      <c r="DD202" s="717" t="str">
        <f ca="1">IF(LEFT($J191,7)="Clad Wo",IFERROR(VLOOKUP(INDEX(CZ191:CZ202,DC202),SPPWS,2,FALSE),"----"),IFERROR(VLOOKUP(INDEX(CZ191:CZ202,DC202),SPM,2,FALSE),"----"))</f>
        <v>----</v>
      </c>
      <c r="DE202" s="714" t="e">
        <f t="shared" ca="1" si="2986"/>
        <v>#REF!</v>
      </c>
      <c r="DF202" s="715" t="e" cm="1">
        <f t="array" aca="1" ref="DF202" ca="1">IF(AND(INDEX(INDIRECT(BY191),DE202,4)&gt;=$AB197,INDEX(INDIRECT(BY191),DE202,5)&gt;=$S191,INDEX(INDIRECT(BY191),DE202,6)&gt;=$R191),1,0)</f>
        <v>#REF!</v>
      </c>
      <c r="DG202" s="715" t="e">
        <f t="shared" ref="DG202" ca="1" si="3151">MATCH(1,OFFSET(DF191:DF202,DH201,0,COUNT(DF191:DF202)-DH201),0)</f>
        <v>#REF!</v>
      </c>
      <c r="DH202" s="715" t="e">
        <f t="shared" ca="1" si="2988"/>
        <v>#REF!</v>
      </c>
      <c r="DI202" s="716" t="str" cm="1">
        <f t="array" aca="1" ref="DI202" ca="1">IFERROR(VLOOKUP(INDEX(DE191:DE202,DH202),INDIRECT(BY191),2,FALSE),"----")</f>
        <v>----</v>
      </c>
      <c r="DJ202" s="714" t="e">
        <f t="shared" ca="1" si="2989"/>
        <v>#N/A</v>
      </c>
      <c r="DK202" s="715" t="e">
        <f ca="1">IF(AND(INDEX(SSM,DJ202,4)&gt;=$AB197,INDEX(SSM,DJ202,5)&gt;=$S191,INDEX(SSM,DJ202,6)&gt;=$R191),1,0)</f>
        <v>#N/A</v>
      </c>
      <c r="DL202" s="715" t="e">
        <f t="shared" ref="DL202" ca="1" si="3152">MATCH(1,OFFSET(DK191:DK202,DM201,0,COUNT(DK191:DK202)-DM201),0)</f>
        <v>#REF!</v>
      </c>
      <c r="DM202" s="715" t="e">
        <f t="shared" ca="1" si="2991"/>
        <v>#REF!</v>
      </c>
      <c r="DN202" s="716" t="str">
        <f ca="1">IFERROR(IF(AD198="Nested Steel Stud (wood infill)",VLOOKUP(INDEX(DJ191:DJ202,DM202),SSW,2,FALSE),VLOOKUP(INDEX(DJ191:DJ202,DM202),SSM,2,FALSE)),"----")</f>
        <v>----</v>
      </c>
      <c r="DO202" s="714" t="e">
        <f t="shared" ca="1" si="2992"/>
        <v>#N/A</v>
      </c>
      <c r="DP202" s="715" t="e">
        <f ca="1">IF(AND(INDEX(WSM,DO202,4)&gt;=$AB197,INDEX(WSM,DO202,5)&gt;=$S191,INDEX(WSM,DO202,6)&gt;=$R191),1,0)</f>
        <v>#N/A</v>
      </c>
      <c r="DQ202" s="715" t="e">
        <f t="shared" ref="DQ202" ca="1" si="3153">MATCH(1,OFFSET(DP191:DP202,DR201,0,COUNT(DP191:DP202)-DR201),0)</f>
        <v>#REF!</v>
      </c>
      <c r="DR202" s="715" t="e">
        <f t="shared" ca="1" si="2994"/>
        <v>#REF!</v>
      </c>
      <c r="DS202" s="716" t="str">
        <f ca="1">IFERROR(VLOOKUP(INDEX(DO191:DO202,DR202),WSM,2,FALSE),"----")</f>
        <v>----</v>
      </c>
      <c r="DT202" s="714" t="e">
        <f t="shared" ca="1" si="2995"/>
        <v>#N/A</v>
      </c>
      <c r="DU202" s="715" t="e">
        <f ca="1">IF(AND(INDEX(STM,DT202,4)&gt;=$AB197,INDEX(STM,DT202,5)&gt;=$S191,INDEX(STM,DT202,6)&gt;=$R191),1,0)</f>
        <v>#N/A</v>
      </c>
      <c r="DV202" s="715" t="e">
        <f t="shared" ref="DV202" ca="1" si="3154">MATCH(1,OFFSET(DU191:DU202,DW201,0,COUNT(DU191:DU202)-DW201),0)</f>
        <v>#REF!</v>
      </c>
      <c r="DW202" s="715" t="e">
        <f t="shared" ca="1" si="2997"/>
        <v>#REF!</v>
      </c>
      <c r="DX202" s="716" t="str">
        <f ca="1">IFERROR(VLOOKUP(INDEX(DT191:DT202,DW202),STM,2,FALSE),"----")</f>
        <v>----</v>
      </c>
      <c r="DY202" s="714" t="e">
        <f t="shared" ca="1" si="2998"/>
        <v>#N/A</v>
      </c>
      <c r="DZ202" s="715" t="e">
        <f ca="1">IF(AND(INDEX(ELM,DY202,4)&gt;=$AB197,INDEX(ELM,DY202,5)&gt;=$S191,INDEX(ELM,DY202,6)&gt;=$R191),1,0)</f>
        <v>#N/A</v>
      </c>
      <c r="EA202" s="715" t="e">
        <f t="shared" ref="EA202" ca="1" si="3155">MATCH(1,OFFSET(DZ191:DZ202,EB201,0,COUNT(DZ191:DZ202)-EB201),0)</f>
        <v>#REF!</v>
      </c>
      <c r="EB202" s="715" t="e">
        <f t="shared" ca="1" si="3000"/>
        <v>#REF!</v>
      </c>
      <c r="EC202" s="716" t="str">
        <f ca="1">IFERROR(VLOOKUP(INDEX(DY191:DY202,EB202),ELM,2,FALSE),"----")</f>
        <v>----</v>
      </c>
      <c r="ED202" s="714" t="e">
        <f t="shared" ca="1" si="3001"/>
        <v>#N/A</v>
      </c>
      <c r="EE202" s="715" t="e">
        <f ca="1">IF(LEFT($J191,7)="Clad Wo",IF(AND(INDEX(SPPWS,ED202,4)&gt;=$AB197,INDEX(SPPWS,ED202,5)&gt;=$S191,INDEX(SPPWS,ED202,6)&gt;=$R191),1,0),IF(AND(INDEX(SPM,ED202,4)&gt;=$AB197,INDEX(SPM,ED202,5)&gt;=$S191,INDEX(SPM,ED202,6)&gt;=$R191),1,0))</f>
        <v>#N/A</v>
      </c>
      <c r="EF202" s="715" t="e">
        <f t="shared" ref="EF202" ca="1" si="3156">MATCH(1,OFFSET(EE191:EE202,EG201,0,COUNT(EE191:EE202)-EG201),0)</f>
        <v>#REF!</v>
      </c>
      <c r="EG202" s="715" t="e">
        <f t="shared" ca="1" si="3003"/>
        <v>#REF!</v>
      </c>
      <c r="EH202" s="716" t="str">
        <f ca="1">IF(LEFT($J191,7)="Clad Wo",IFERROR(VLOOKUP(INDEX(ED191:ED202,EG202),SPPWS,2,FALSE),"----"),IFERROR(VLOOKUP(INDEX(ED191:ED202,EG202),SPM,2,FALSE),"----"))</f>
        <v>----</v>
      </c>
    </row>
    <row r="203" spans="1:138" ht="15" customHeight="1" thickTop="1" x14ac:dyDescent="0.25">
      <c r="A203" s="1085"/>
      <c r="B203" s="931" t="s">
        <v>92</v>
      </c>
      <c r="C203" s="932"/>
      <c r="D203" s="933"/>
      <c r="E203" s="992"/>
      <c r="F203" s="993"/>
      <c r="G203" s="994"/>
      <c r="H203" s="1061"/>
      <c r="I203" s="989"/>
      <c r="J203" s="906"/>
      <c r="K203" s="907"/>
      <c r="L203" s="1001">
        <f>$W$3</f>
        <v>4</v>
      </c>
      <c r="M203" s="923" t="str">
        <f t="shared" ref="M203" si="3157">IFERROR(IF($AE$13="",IF($AG$19="Wind Loading",MIN($V$31,IF(E$11="ASCE 7-05",$U$26,$V$7)*$V$9*(IF($E$12&lt;60,0.0771*LN(MAX(MIN(500,O203),10)) -1.2737,IF($E$11="ASCE 7-22",0.0524*LN(MAX(MIN(500,O203),50))-1.0278,0.0614*LN(MAX(MIN(500,O203),20)) -1.0829))-$V$8)),$V$7*IF(E$12&lt;60,$V$13*($V$15*0.0771*LN(MAX(MIN(500,O203),10))-1.2737-$V$16),$V$13*$V$15*((0.0524*LN(MAX(MIN(500,O203),20))-1.0278)-$V$16))),-ABS($AE$13)),"")</f>
        <v/>
      </c>
      <c r="N203" s="1042" t="str">
        <f t="shared" ref="N203" si="3158">IFERROR(IF($AE$15="",IF($AG$19="Wind Loading",MAX($U$31,IF(E$11="ASCE 7-05",$U$26,$V$7)*$V$9*((IF($E$12&lt;60,-0.077*LN(MAX(MIN(500,O203),10))+1.1737,IF($E$11="ASCE 7-22",-0.077*LN(MAX(MIN(500,O203),20))+1.0798,-0.093*LN(MAX(MIN(500,O203),20))+1.1776)))+$V$8)),$V$7*IF(E$12&lt;60,$V$13*($V$15*(-0.077*LN(MAX(MIN(500,O203),10))+1.1737)-$V$17),$V$13*$V$15*((-0.077*LN(MAX(MIN(500,O203),20))+1.0798)-$V$17))),ABS($AE$15)),"")</f>
        <v/>
      </c>
      <c r="O203" s="1017" t="str">
        <f>IF(BX210=0,"",IF(AG$14="Trapezoidal",BY210,BX210))</f>
        <v/>
      </c>
      <c r="P203" s="986"/>
      <c r="Q203" s="1014"/>
      <c r="R203" s="1011">
        <f>P203*Q203/8</f>
        <v>0</v>
      </c>
      <c r="S203" s="1004">
        <f t="shared" ref="S203" si="3159">IF(5*(P203*Q203^3/(384*0.125))=0,0,5*(P203*Q203^3/(384*0.125)))</f>
        <v>0</v>
      </c>
      <c r="T203" s="1005"/>
      <c r="U203" s="877" t="e">
        <f ca="1">VLOOKUP(J207,INDIRECT(VLOOKUP(J203,FrameStrength,2,FALSE)),3,FALSE)</f>
        <v>#N/A</v>
      </c>
      <c r="V203" s="880">
        <f t="shared" ref="V203" si="3160">(H203+I203)/2</f>
        <v>0</v>
      </c>
      <c r="W203" s="883" t="e">
        <f t="shared" ref="W203" si="3161">MAX(-M203,N203)*O203</f>
        <v>#VALUE!</v>
      </c>
      <c r="X203" s="883">
        <f t="shared" ref="X203" si="3162">IF(E203&gt;162,(E203/240+0.25),IF(AND(E203&lt;162,E203/175&lt;0.75),E203/175,0.75))</f>
        <v>0</v>
      </c>
      <c r="Y203" s="886">
        <f>IFERROR(IF(AG$14="Trapezoidal",BY211,BX211)+IF($E$17="4",(400*E203^3)/(48*X203),0),0)</f>
        <v>0</v>
      </c>
      <c r="Z203" s="886" t="e">
        <f t="shared" ref="Z203" si="3163">+($V203*MAX(-$M203,$N203)*$E203^2)/(144*8)+IF($E$17=4,(400*$E203)/4,0)</f>
        <v>#VALUE!</v>
      </c>
      <c r="AA203" s="886" t="e">
        <f ca="1">VLOOKUP(J207,INDIRECT(VLOOKUP(J203,FrameStrength,2,FALSE)),2,FALSE)</f>
        <v>#N/A</v>
      </c>
      <c r="AB203" s="1083" t="str">
        <f t="shared" ref="AB203" ca="1" si="3164">IFERROR(Z203-AA203,"")</f>
        <v/>
      </c>
      <c r="AC203" s="1077" t="str">
        <f t="shared" ref="AC203" ca="1" si="3165">IFERROR(Y203-U203,"")</f>
        <v/>
      </c>
      <c r="AD203" s="1100" t="str">
        <f>IFERROR(IF(LEFT(J207,2)="As",VLOOKUP(J207,EIMM,4,FALSE),VLOOKUP(J203,EIMM,4,FALSE)),IF(AND(ISNUMBER(SEARCH("Impervia",J203)),ISNUMBER(SEARCH("door",J207))),'New Lookup Cells'!AF$10,IF(ISNUMBER(SEARCH("Impervia",J203)),'New Lookup Cells'!AF$7,IF(AND(ISNUMBER(SEARCH("250",J203)),ISNUMBER(SEARCH("door",J207))),'New Lookup Cells'!AF$14,IF(ISNUMBER(SEARCH("250",J203)),'New Lookup Cells'!AF$13,"")))))</f>
        <v/>
      </c>
      <c r="AE203" s="1101"/>
      <c r="AF203" s="1050"/>
      <c r="AG203" s="1051"/>
      <c r="AH203" s="1051"/>
      <c r="AI203" s="1088"/>
      <c r="AJ203" s="1089"/>
      <c r="AK203" s="154" t="str">
        <f t="shared" ca="1" si="2393"/>
        <v/>
      </c>
      <c r="AL203" s="1038" t="str">
        <f t="shared" ref="AL203" si="3166">IFERROR(ROUND(SQRT(P203^2+(W203/2+IF($E$17=4,200,0))^2),0),"")</f>
        <v/>
      </c>
      <c r="AM203" s="342" t="s">
        <v>669</v>
      </c>
      <c r="AN203" t="str">
        <f t="shared" ca="1" si="2409"/>
        <v/>
      </c>
      <c r="AP203" s="122" t="str">
        <f t="shared" ref="AP203" si="3167">_xlfn.CONCAT(AR203,AS208)</f>
        <v/>
      </c>
      <c r="AQ203" s="683" t="str">
        <f t="shared" si="2617"/>
        <v/>
      </c>
      <c r="AR203" s="96" t="str">
        <f t="shared" si="2378"/>
        <v/>
      </c>
      <c r="AS203" s="96" t="str">
        <f>IF(COUNTIF(imp_1,AF203)=1,"imp_1",IF(COUNTIF(imp_2,AF203)=1,"imp_2",IF(COUNTIF(imp_3,AF203)=1,"imp_3",IF(COUNTIF(impdoor,AF203)=1,"impdoor",""))))</f>
        <v/>
      </c>
      <c r="AT203" s="684" t="str">
        <f>AL203</f>
        <v/>
      </c>
      <c r="AU203" s="685" t="e">
        <f ca="1">MATCH(AL203,INDIRECT(AP203),-1)</f>
        <v>#REF!</v>
      </c>
      <c r="AV203" s="686" t="str">
        <f ca="1">IFERROR(VLOOKUP(AU203,INDIRECT(AQ203),2,FALSE),"----")</f>
        <v>----</v>
      </c>
      <c r="AW203" s="685" t="e">
        <f ca="1">MATCH(AL203,INDIRECT(AP204),-1)</f>
        <v>#REF!</v>
      </c>
      <c r="AX203" s="686" t="str">
        <f ca="1">IFERROR(VLOOKUP(AW203,INDIRECT(AQ204),2,FALSE),"----")</f>
        <v>----</v>
      </c>
      <c r="AY203" s="685" t="e">
        <f ca="1">MATCH(AL203,INDIRECT(AP205),-1)</f>
        <v>#REF!</v>
      </c>
      <c r="AZ203" s="686" t="str">
        <f ca="1">IFERROR(VLOOKUP(AY203,INDIRECT(AQ205),2,FALSE),"----")</f>
        <v>----</v>
      </c>
      <c r="BA203" s="685" t="e">
        <f ca="1">MATCH(AL203,INDIRECT(AP206),-1)</f>
        <v>#REF!</v>
      </c>
      <c r="BB203" s="686" t="str">
        <f ca="1">IFERROR(VLOOKUP(BA203,INDIRECT(AQ206),2,FALSE),"----")</f>
        <v>----</v>
      </c>
      <c r="BC203" s="685" t="e">
        <f ca="1">MATCH(AL203,INDIRECT(AP207),-1)</f>
        <v>#REF!</v>
      </c>
      <c r="BD203" s="686" t="str">
        <f ca="1">IFERROR(VLOOKUP(BC203,INDIRECT(AQ207),2,FALSE),"----")</f>
        <v>----</v>
      </c>
      <c r="BE203" s="685" t="e">
        <f ca="1">MATCH(AL203,INDIRECT(AP208),-1)</f>
        <v>#REF!</v>
      </c>
      <c r="BF203" s="686" t="str">
        <f ca="1">IFERROR(VLOOKUP(BE203,INDIRECT(AQ208),2,FALSE),"----")</f>
        <v>----</v>
      </c>
      <c r="BG203" s="685" t="e">
        <f ca="1">MATCH(AL209,INDIRECT(AP209),-1)</f>
        <v>#REF!</v>
      </c>
      <c r="BH203" s="686" t="str">
        <f ca="1">IFERROR(VLOOKUP(BG203,INDIRECT(AQ209),2,FALSE),"----")</f>
        <v>----</v>
      </c>
      <c r="BI203" s="685" t="e">
        <f ca="1">MATCH(AL209,INDIRECT(AP210),-1)</f>
        <v>#REF!</v>
      </c>
      <c r="BJ203" s="686" t="str">
        <f ca="1">IFERROR(VLOOKUP(BI203,INDIRECT(AQ210),2,FALSE),"----")</f>
        <v>----</v>
      </c>
      <c r="BK203" s="685" t="e">
        <f ca="1">MATCH(AL209,INDIRECT(AP211),-1)</f>
        <v>#REF!</v>
      </c>
      <c r="BL203" s="686" t="str">
        <f ca="1">IFERROR(VLOOKUP(BK203,INDIRECT(AQ211),2,FALSE),"----")</f>
        <v>----</v>
      </c>
      <c r="BM203" s="685" t="e">
        <f ca="1">MATCH(AL209,INDIRECT(AP212),-1)</f>
        <v>#REF!</v>
      </c>
      <c r="BN203" s="686" t="str">
        <f ca="1">IFERROR(VLOOKUP(BM203,INDIRECT(AQ212),2,FALSE),"----")</f>
        <v>----</v>
      </c>
      <c r="BO203" s="685" t="e">
        <f ca="1">MATCH(AL209,INDIRECT(AP213),-1)</f>
        <v>#REF!</v>
      </c>
      <c r="BP203" s="686" t="str">
        <f ca="1">IFERROR(VLOOKUP(BO203,INDIRECT(AQ213),2,FALSE),"----")</f>
        <v>----</v>
      </c>
      <c r="BQ203" s="685" t="e">
        <f ca="1">MATCH(AL209,INDIRECT(AP214),-1)</f>
        <v>#REF!</v>
      </c>
      <c r="BR203" s="686" t="str">
        <f ca="1">IFERROR(VLOOKUP(BQ203,INDIRECT(AQ214),2,FALSE),"----")</f>
        <v>----</v>
      </c>
      <c r="BS203" s="687">
        <f>IF(AI203="",1,IF(COUNTIF(AV203:AV214,AI203)=0,2,1))</f>
        <v>1</v>
      </c>
      <c r="BT203" s="688">
        <f>IF(AP203="1",1,IF(AF203="",1,IF(AV203=".",2,1)))</f>
        <v>1</v>
      </c>
      <c r="BU203" s="706"/>
      <c r="BV203" s="155">
        <f ca="1">IF(COUNTIF(CE203:CE214,AF203)=0,IF(AF203&lt;&gt;"",0,1),1)</f>
        <v>1</v>
      </c>
      <c r="BW203" s="157">
        <f ca="1">IFERROR(MATCH(AF203,CE203:CE214,0),1)</f>
        <v>1</v>
      </c>
      <c r="BX203" s="769" t="str">
        <f>IFERROR(IF(LEFT(J207,2)="As",VLOOKUP(J207,EIMM,2,FALSE),IF(AND(ISNUMBER(SEARCH("Impervia",J203)),ISNUMBER(SEARCH("door",J207))),VLOOKUP("Impervia Door",EIMM,2,FALSE),IF(AND(ISNUMBER(SEARCH("250",J203)),ISNUMBER(SEARCH("door",J207))),VLOOKUP("250 Series Door",EIMM,2,FALSE),VLOOKUP(J203,EIMM,2,FALSE)))),"")</f>
        <v/>
      </c>
      <c r="BY203" s="769" t="str">
        <f ca="1">IFERROR(VLOOKUP(BX203,OFFSET(EIMM,0,1),2,FALSE),"")</f>
        <v/>
      </c>
      <c r="BZ203" s="1110" t="e">
        <f ca="1">IF((COUNTIF(INDIRECT(SUBSTITUTE(J203," ","_")),J207))=0,IF(J207="",1,0),1)</f>
        <v>#REF!</v>
      </c>
      <c r="CA203" s="691" t="e">
        <f ca="1">MATCH(AC203,INDIRECT(BX203),-1)</f>
        <v>#REF!</v>
      </c>
      <c r="CB203" s="4" t="e" cm="1">
        <f t="array" aca="1" ref="CB203" ca="1">IF(AND(INDEX(INDIRECT(BY203),CA203,4)&gt;=$AB203,INDEX(INDIRECT(BY203),CA203,5)&gt;=$S203,INDEX(INDIRECT(BY203),CA203,6)&gt;=$R203),1,0)</f>
        <v>#REF!</v>
      </c>
      <c r="CC203" s="4" t="e">
        <f t="shared" ref="CC203" ca="1" si="3168">MATCH(1,OFFSET(CB203:CB214,$W$2,0,COUNT(CB203:CB214)-$W$2),0)</f>
        <v>#REF!</v>
      </c>
      <c r="CD203" s="4" t="e">
        <f t="shared" ref="CD203" ca="1" si="3169">$W$2+CC203</f>
        <v>#REF!</v>
      </c>
      <c r="CE203" s="692" t="str" cm="1">
        <f t="array" aca="1" ref="CE203" ca="1">IFERROR(VLOOKUP(INDEX(CA203:CA214,CD203),INDIRECT(BY203),2,FALSE),"----")</f>
        <v>----</v>
      </c>
      <c r="CF203" s="691" t="e">
        <f ca="1">MATCH($AC203,SSEI,-1)</f>
        <v>#N/A</v>
      </c>
      <c r="CG203" s="4" t="e">
        <f ca="1">IF(AND(INDEX(SSM,CF203,4)&gt;=$AB203,INDEX(SSM,CF203,5)&gt;=$S203,INDEX(SSM,CF203,6)&gt;=$R203),1,0)</f>
        <v>#N/A</v>
      </c>
      <c r="CH203" s="4" t="e">
        <f t="shared" ref="CH203" ca="1" si="3170">MATCH(1,OFFSET(CG203:CG214,$W$2,0,COUNT(CG203:CG214)-$W$2),0)</f>
        <v>#REF!</v>
      </c>
      <c r="CI203" s="4" t="e">
        <f t="shared" ref="CI203" ca="1" si="3171">$W$2+CH203</f>
        <v>#REF!</v>
      </c>
      <c r="CJ203" s="692" t="str">
        <f ca="1">IFERROR(IF(AD204="Nested Steel Stud (wood infill)",VLOOKUP(INDEX(CF203:CF214,CI203),SSW,2,FALSE),VLOOKUP(INDEX(CF203:CF214,CI203),SSM,2,FALSE)),"----")</f>
        <v>----</v>
      </c>
      <c r="CK203" s="691" t="e">
        <f ca="1">MATCH($AC203,WSEI,-1)</f>
        <v>#N/A</v>
      </c>
      <c r="CL203" s="4" t="e">
        <f ca="1">IF(AND(INDEX(WSM,CK203,4)&gt;=$AB203,INDEX(WSM,CK203,5)&gt;=$S203,INDEX(WSM,CK203,6)&gt;=$R203),1,0)</f>
        <v>#N/A</v>
      </c>
      <c r="CM203" s="4" t="e">
        <f t="shared" ref="CM203" ca="1" si="3172">MATCH(1,OFFSET(CL203:CL214,$W$2,0,COUNT(CL203:CL214)-$W$2),0)</f>
        <v>#REF!</v>
      </c>
      <c r="CN203" s="4" t="e">
        <f t="shared" ref="CN203" ca="1" si="3173">$W$2+CM203</f>
        <v>#REF!</v>
      </c>
      <c r="CO203" s="692" t="str">
        <f ca="1">IFERROR(VLOOKUP(INDEX(CK203:CK214,CN203),WSM,2,FALSE),"----")</f>
        <v>----</v>
      </c>
      <c r="CP203" s="691" t="e">
        <f ca="1">MATCH($AC203,STEI,-1)</f>
        <v>#N/A</v>
      </c>
      <c r="CQ203" s="4" t="e">
        <f ca="1">IF(AND(INDEX(STM,CP203,4)&gt;=$AB203,INDEX(STM,CP203,5)&gt;=$S203,INDEX(STM,CP203,6)&gt;=$R203),1,0)</f>
        <v>#N/A</v>
      </c>
      <c r="CR203" s="4" t="e">
        <f t="shared" ref="CR203" ca="1" si="3174">MATCH(1,OFFSET(CQ203:CQ214,$W$2,0,COUNT(CQ203:CQ214)-$W$2),0)</f>
        <v>#REF!</v>
      </c>
      <c r="CS203" s="4" t="e">
        <f t="shared" ref="CS203" ca="1" si="3175">$W$2+CR203</f>
        <v>#REF!</v>
      </c>
      <c r="CT203" s="692" t="str">
        <f ca="1">IFERROR(VLOOKUP(INDEX(CP203:CP214,CS203),STM,2,FALSE),"----")</f>
        <v>----</v>
      </c>
      <c r="CU203" s="691" t="e">
        <f ca="1">MATCH($AC203,ELEI,-1)</f>
        <v>#N/A</v>
      </c>
      <c r="CV203" s="4" t="e">
        <f ca="1">IF(AND(INDEX(ELM,CU203,4)&gt;=$AB203,INDEX(ELM,CU203,5)&gt;=$S203,INDEX(ELM,CU203,6)&gt;=$R203),1,0)</f>
        <v>#N/A</v>
      </c>
      <c r="CW203" s="4" t="e">
        <f t="shared" ref="CW203" ca="1" si="3176">MATCH(1,OFFSET(CV203:CV214,$W$2,0,COUNT(CV203:CV214)-$W$2),0)</f>
        <v>#REF!</v>
      </c>
      <c r="CX203" s="4" t="e">
        <f t="shared" ref="CX203" ca="1" si="3177">$W$2+CW203</f>
        <v>#REF!</v>
      </c>
      <c r="CY203" s="692" t="str">
        <f ca="1">IFERROR(VLOOKUP(INDEX(CU203:CU214,CX203),ELM,2,FALSE),"----")</f>
        <v>----</v>
      </c>
      <c r="CZ203" s="691" t="e">
        <f ca="1">IF(LEFT($J203,7)="Clad Wo",MATCH($AC203,SPEIW,-1),MATCH($AC203,SPEI,-1))</f>
        <v>#N/A</v>
      </c>
      <c r="DA203" s="4" t="e">
        <f ca="1">IF(LEFT($J203,7)="Clad Wo",IF(AND(INDEX(SPPWS,CZ203,4)&gt;=$AB203,INDEX(SPPWS,CZ203,5)&gt;=$S203,INDEX(SPPWS,CZ203,6)&gt;=$R203),1,0),IF(AND(INDEX(SPM,CZ203,4)&gt;=$AB203,INDEX(SPM,CZ203,5)&gt;=$S203,INDEX(SPM,CZ203,6)&gt;=$R203),1,0))</f>
        <v>#N/A</v>
      </c>
      <c r="DB203" s="4" t="e">
        <f t="shared" ref="DB203" ca="1" si="3178">MATCH(1,OFFSET(DA203:DA214,$W$2,0,COUNT(DA203:DA214)-$W$2),0)</f>
        <v>#REF!</v>
      </c>
      <c r="DC203" s="4" t="e">
        <f t="shared" ref="DC203" ca="1" si="3179">$W$2+DB203</f>
        <v>#REF!</v>
      </c>
      <c r="DD203" s="693" t="str">
        <f ca="1">IF(LEFT($J203,7)="Clad Wo",IFERROR(VLOOKUP(INDEX(CZ203:CZ214,DC203),SPPWS,2,FALSE),"----"),IFERROR(VLOOKUP(INDEX(CZ203:CZ214,DC203),SPM,2,FALSE),"----"))</f>
        <v>----</v>
      </c>
      <c r="DE203" s="691" t="e">
        <f ca="1">MATCH(AC209,INDIRECT(BX203),-1)</f>
        <v>#REF!</v>
      </c>
      <c r="DF203" s="4" t="e" cm="1">
        <f t="array" aca="1" ref="DF203" ca="1">IF(AND(INDEX(INDIRECT(BY203),DE203,4)&gt;=$AB209,INDEX(INDIRECT(BY203),DE203,5)&gt;=$S203,INDEX(INDIRECT(BY203),DE203,6)&gt;=$R203),1,0)</f>
        <v>#REF!</v>
      </c>
      <c r="DG203" s="4" t="e">
        <f t="shared" ref="DG203" ca="1" si="3180">MATCH(1,OFFSET(DF203:DF214,$W$2,0,COUNT(DF203:DF214)-$W$2),0)</f>
        <v>#REF!</v>
      </c>
      <c r="DH203" s="4" t="e">
        <f t="shared" ref="DH203" ca="1" si="3181">$W$2+DG203</f>
        <v>#REF!</v>
      </c>
      <c r="DI203" s="692" t="str" cm="1">
        <f t="array" aca="1" ref="DI203" ca="1">IFERROR(VLOOKUP(INDEX(DE203:DE214,DH203),INDIRECT(BY203),2,FALSE),"----")</f>
        <v>----</v>
      </c>
      <c r="DJ203" s="691" t="e">
        <f ca="1">MATCH($AC209,SSEI,-1)</f>
        <v>#N/A</v>
      </c>
      <c r="DK203" s="4" t="e">
        <f ca="1">IF(AND(INDEX(SSM,DJ203,4)&gt;=$AB209,INDEX(SSM,DJ203,5)&gt;=$S203,INDEX(SSM,DJ203,6)&gt;=$R203),1,0)</f>
        <v>#N/A</v>
      </c>
      <c r="DL203" s="4" t="e">
        <f t="shared" ref="DL203" ca="1" si="3182">MATCH(1,OFFSET(DK203:DK214,$W$2,0,COUNT(DK203:DK214)-$W$2),0)</f>
        <v>#REF!</v>
      </c>
      <c r="DM203" s="4" t="e">
        <f t="shared" ref="DM203" ca="1" si="3183">$W$2+DL203</f>
        <v>#REF!</v>
      </c>
      <c r="DN203" s="692" t="str">
        <f ca="1">IFERROR(IF(AD210="Nested Steel Stud (wood infill)",VLOOKUP(INDEX(DJ203:DJ214,DM203),SSW,2,FALSE),VLOOKUP(INDEX(DJ203:DJ214,DM203),SSM,2,FALSE)),"----")</f>
        <v>----</v>
      </c>
      <c r="DO203" s="691" t="e">
        <f ca="1">MATCH($AC209,WSEI,-1)</f>
        <v>#N/A</v>
      </c>
      <c r="DP203" s="4" t="e">
        <f ca="1">IF(AND(INDEX(WSM,DO203,4)&gt;=$AB209,INDEX(WSM,DO203,5)&gt;=$S203,INDEX(WSM,DO203,6)&gt;=$R203),1,0)</f>
        <v>#N/A</v>
      </c>
      <c r="DQ203" s="4" t="e">
        <f t="shared" ref="DQ203" ca="1" si="3184">MATCH(1,OFFSET(DP203:DP214,$W$2,0,COUNT(DP203:DP214)-$W$2),0)</f>
        <v>#REF!</v>
      </c>
      <c r="DR203" s="4" t="e">
        <f t="shared" ref="DR203" ca="1" si="3185">$W$2+DQ203</f>
        <v>#REF!</v>
      </c>
      <c r="DS203" s="692" t="str">
        <f ca="1">IFERROR(VLOOKUP(INDEX(DO203:DO214,DR203),WSM,2,FALSE),"----")</f>
        <v>----</v>
      </c>
      <c r="DT203" s="691" t="e">
        <f ca="1">MATCH($AC209,STEI,-1)</f>
        <v>#N/A</v>
      </c>
      <c r="DU203" s="4" t="e">
        <f ca="1">IF(AND(INDEX(STM,DT203,4)&gt;=$AB209,INDEX(STM,DT203,5)&gt;=$S203,INDEX(STM,DT203,6)&gt;=$R203),1,0)</f>
        <v>#N/A</v>
      </c>
      <c r="DV203" s="4" t="e">
        <f t="shared" ref="DV203" ca="1" si="3186">MATCH(1,OFFSET(DU203:DU214,$W$2,0,COUNT(DU203:DU214)-$W$2),0)</f>
        <v>#REF!</v>
      </c>
      <c r="DW203" s="4" t="e">
        <f t="shared" ref="DW203" ca="1" si="3187">$W$2+DV203</f>
        <v>#REF!</v>
      </c>
      <c r="DX203" s="692" t="str">
        <f ca="1">IFERROR(VLOOKUP(INDEX(DT203:DT214,DW203),STM,2,FALSE),"----")</f>
        <v>----</v>
      </c>
      <c r="DY203" s="691" t="e">
        <f ca="1">MATCH($AC209,ELEI,-1)</f>
        <v>#N/A</v>
      </c>
      <c r="DZ203" s="4" t="e">
        <f ca="1">IF(AND(INDEX(ELM,DY203,4)&gt;=$AB209,INDEX(ELM,DY203,5)&gt;=$S203,INDEX(ELM,DY203,6)&gt;=$R203),1,0)</f>
        <v>#N/A</v>
      </c>
      <c r="EA203" s="4" t="e">
        <f t="shared" ref="EA203" ca="1" si="3188">MATCH(1,OFFSET(DZ203:DZ214,$W$2,0,COUNT(DZ203:DZ214)-$W$2),0)</f>
        <v>#REF!</v>
      </c>
      <c r="EB203" s="4" t="e">
        <f t="shared" ref="EB203" ca="1" si="3189">EA203+$W$2</f>
        <v>#REF!</v>
      </c>
      <c r="EC203" s="692" t="str">
        <f ca="1">IFERROR(VLOOKUP(INDEX(DY203:DY214,EB203),ELM,2,FALSE),"----")</f>
        <v>----</v>
      </c>
      <c r="ED203" s="691" t="e">
        <f ca="1">IF(LEFT($J203,7)="Clad Wo",MATCH($AC209,SPEIW,-1),MATCH($AC209,SPEI,-1))</f>
        <v>#N/A</v>
      </c>
      <c r="EE203" s="4" t="e">
        <f ca="1">IF(LEFT($J203,7)="Clad Wo",IF(AND(INDEX(SPPWS,ED203,4)&gt;=$AB209,INDEX(SPPWS,ED203,5)&gt;=$S203,INDEX(SPPWS,ED203,6)&gt;=$R203),1,0),IF(AND(INDEX(SPM,ED203,4)&gt;=$AB209,INDEX(SPM,ED203,5)&gt;=$S203,INDEX(SPM,ED203,6)&gt;=$R203),1,0))</f>
        <v>#N/A</v>
      </c>
      <c r="EF203" s="4" t="e">
        <f t="shared" ref="EF203" ca="1" si="3190">MATCH(1,OFFSET(EE203:EE214,$W$2,0,COUNT(EE203:EE214)-$W$2),0)</f>
        <v>#REF!</v>
      </c>
      <c r="EG203" s="4" t="e">
        <f t="shared" ref="EG203" ca="1" si="3191">$W$2+EF203</f>
        <v>#REF!</v>
      </c>
      <c r="EH203" s="692" t="str">
        <f ca="1">IF(LEFT($J203,7)="Clad Wo",IFERROR(VLOOKUP(INDEX(ED203:ED214,EG203),SPPWS,2,FALSE),"----"),IFERROR(VLOOKUP(INDEX(ED203:ED214,EG203),SPM,2,FALSE),"----"))</f>
        <v>----</v>
      </c>
    </row>
    <row r="204" spans="1:138" ht="15" customHeight="1" x14ac:dyDescent="0.25">
      <c r="A204" s="1085"/>
      <c r="B204" s="925"/>
      <c r="C204" s="926"/>
      <c r="D204" s="927"/>
      <c r="E204" s="995"/>
      <c r="F204" s="996"/>
      <c r="G204" s="997"/>
      <c r="H204" s="1062"/>
      <c r="I204" s="990"/>
      <c r="J204" s="908"/>
      <c r="K204" s="909"/>
      <c r="L204" s="1002"/>
      <c r="M204" s="923"/>
      <c r="N204" s="1042"/>
      <c r="O204" s="1018"/>
      <c r="P204" s="987"/>
      <c r="Q204" s="1015"/>
      <c r="R204" s="1012"/>
      <c r="S204" s="1006"/>
      <c r="T204" s="1007"/>
      <c r="U204" s="878"/>
      <c r="V204" s="881"/>
      <c r="W204" s="884"/>
      <c r="X204" s="884"/>
      <c r="Y204" s="887"/>
      <c r="Z204" s="887"/>
      <c r="AA204" s="887"/>
      <c r="AB204" s="1081"/>
      <c r="AC204" s="1078"/>
      <c r="AD204" s="1102" t="s">
        <v>38</v>
      </c>
      <c r="AE204" s="1103"/>
      <c r="AF204" s="1052"/>
      <c r="AG204" s="1053"/>
      <c r="AH204" s="1053"/>
      <c r="AI204" s="1066"/>
      <c r="AJ204" s="1067"/>
      <c r="AK204" s="156" t="str">
        <f t="shared" ca="1" si="2393"/>
        <v/>
      </c>
      <c r="AL204" s="1039"/>
      <c r="AM204" s="343" t="str">
        <f ca="1">IFERROR(Q203/12*ROUND(VLOOKUP(AF204,OFFSET(SSM,0,1),6,FALSE),2),"")</f>
        <v/>
      </c>
      <c r="AN204" t="str">
        <f t="shared" ca="1" si="2409"/>
        <v/>
      </c>
      <c r="AP204" s="122" t="str">
        <f t="shared" ref="AP204" si="3192">_xlfn.CONCAT(AR204,AS208)</f>
        <v/>
      </c>
      <c r="AQ204" s="683" t="str">
        <f t="shared" si="2617"/>
        <v/>
      </c>
      <c r="AR204" s="96" t="str">
        <f t="shared" si="2378"/>
        <v/>
      </c>
      <c r="AS204" s="96" t="str">
        <f>IF(COUNTIF(Vista_1,AF203)=1,"Vista_1",IF(COUNTIF(Vista_2,AF203)=1,"Vista_2",""))</f>
        <v/>
      </c>
      <c r="AT204" s="684" t="str">
        <f>AL203</f>
        <v/>
      </c>
      <c r="AU204" s="694" t="e">
        <f t="shared" ref="AU204" ca="1" si="3193">AU203-1</f>
        <v>#REF!</v>
      </c>
      <c r="AV204" s="686" t="str">
        <f ca="1">IFERROR(VLOOKUP(AU204,INDIRECT(AQ203),2,FALSE),"----")</f>
        <v>----</v>
      </c>
      <c r="AW204" s="694" t="e">
        <f t="shared" ref="AW204:AW205" ca="1" si="3194">AW203-1</f>
        <v>#REF!</v>
      </c>
      <c r="AX204" s="686" t="str">
        <f ca="1">IFERROR(VLOOKUP(AW204,INDIRECT(AQ204),2,FALSE),"----")</f>
        <v>----</v>
      </c>
      <c r="AY204" s="694" t="e">
        <f t="shared" ref="AY204:AY205" ca="1" si="3195">AY203-1</f>
        <v>#REF!</v>
      </c>
      <c r="AZ204" s="686" t="str">
        <f ca="1">IFERROR(VLOOKUP(AY204,INDIRECT(AQ205),2,FALSE),"----")</f>
        <v>----</v>
      </c>
      <c r="BA204" s="694" t="e">
        <f t="shared" ref="BA204:BA205" ca="1" si="3196">BA203-1</f>
        <v>#REF!</v>
      </c>
      <c r="BB204" s="686" t="str">
        <f ca="1">IFERROR(VLOOKUP(BA204,INDIRECT(AQ206),2,FALSE),"----")</f>
        <v>----</v>
      </c>
      <c r="BC204" s="694" t="e">
        <f t="shared" ref="BC204:BC205" ca="1" si="3197">BC203-1</f>
        <v>#REF!</v>
      </c>
      <c r="BD204" s="686" t="str">
        <f ca="1">IFERROR(VLOOKUP(BC204,INDIRECT(AQ207),2,FALSE),"----")</f>
        <v>----</v>
      </c>
      <c r="BE204" s="694" t="e">
        <f t="shared" ref="BE204" ca="1" si="3198">BE203-1</f>
        <v>#REF!</v>
      </c>
      <c r="BF204" s="686" t="str">
        <f ca="1">IFERROR(VLOOKUP(BE204,INDIRECT(AQ208),2,FALSE),"----")</f>
        <v>----</v>
      </c>
      <c r="BG204" s="694" t="e">
        <f t="shared" ref="BG204" ca="1" si="3199">BG203-1</f>
        <v>#REF!</v>
      </c>
      <c r="BH204" s="686" t="str">
        <f ca="1">IFERROR(VLOOKUP(BG204,INDIRECT(AQ209),2,FALSE),"----")</f>
        <v>----</v>
      </c>
      <c r="BI204" s="694" t="e">
        <f t="shared" ref="BI204:BI205" ca="1" si="3200">BI203-1</f>
        <v>#REF!</v>
      </c>
      <c r="BJ204" s="686" t="str">
        <f ca="1">IFERROR(VLOOKUP(BI204,INDIRECT(AQ210),2,FALSE),"----")</f>
        <v>----</v>
      </c>
      <c r="BK204" s="694" t="e">
        <f t="shared" ref="BK204:BK205" ca="1" si="3201">BK203-1</f>
        <v>#REF!</v>
      </c>
      <c r="BL204" s="686" t="str">
        <f ca="1">IFERROR(VLOOKUP(BK204,INDIRECT(AQ211),2,FALSE),"----")</f>
        <v>----</v>
      </c>
      <c r="BM204" s="694" t="e">
        <f t="shared" ref="BM204:BM205" ca="1" si="3202">BM203-1</f>
        <v>#REF!</v>
      </c>
      <c r="BN204" s="686" t="str">
        <f ca="1">IFERROR(VLOOKUP(BM204,INDIRECT(AQ212),2,FALSE),"----")</f>
        <v>----</v>
      </c>
      <c r="BO204" s="694" t="e">
        <f t="shared" ref="BO204:BO205" ca="1" si="3203">BO203-1</f>
        <v>#REF!</v>
      </c>
      <c r="BP204" s="686" t="str">
        <f ca="1">IFERROR(VLOOKUP(BO204,INDIRECT(AQ213),2,FALSE),"----")</f>
        <v>----</v>
      </c>
      <c r="BQ204" s="694" t="e">
        <f t="shared" ref="BQ204" ca="1" si="3204">BQ203-1</f>
        <v>#REF!</v>
      </c>
      <c r="BR204" s="686" t="str">
        <f ca="1">IFERROR(VLOOKUP(BQ204,INDIRECT(AQ214),2,FALSE),"----")</f>
        <v>----</v>
      </c>
      <c r="BS204" s="695">
        <f>IF(AI204="",1,IF(COUNTIF(AX203:AX214,AI204)=0,2,1))</f>
        <v>1</v>
      </c>
      <c r="BT204" s="696">
        <f>IF(AF204="",1,IF(AX203=".",2,1))</f>
        <v>1</v>
      </c>
      <c r="BU204" s="706"/>
      <c r="BV204" s="155">
        <f ca="1">IF(COUNTIF(CJ203:CJ214,AF204)=0,IF(AF204&lt;&gt;"",0,1),1)</f>
        <v>1</v>
      </c>
      <c r="BW204" s="157">
        <f ca="1">IFERROR(MATCH(AF204,CJ203:CJ214,0),1)</f>
        <v>1</v>
      </c>
      <c r="BX204" s="769"/>
      <c r="BY204" s="769"/>
      <c r="BZ204" s="1110"/>
      <c r="CA204" s="691" t="e">
        <f t="shared" ref="CA204:CA214" ca="1" si="3205">CA203-1</f>
        <v>#REF!</v>
      </c>
      <c r="CB204" s="4" t="e" cm="1">
        <f t="array" aca="1" ref="CB204" ca="1">IF(AND(INDEX(INDIRECT(BY203),CA204,4)&gt;=$AB203,INDEX(INDIRECT(BY203),CA204,5)&gt;=$S203,INDEX(INDIRECT(BY203),CA204,6)&gt;=$R203),1,0)</f>
        <v>#REF!</v>
      </c>
      <c r="CC204" s="4" t="e">
        <f t="shared" ref="CC204" ca="1" si="3206">MATCH(1,OFFSET(CB203:CB214,CD203,0,COUNT(CB203:CB214)-CD203),0)</f>
        <v>#REF!</v>
      </c>
      <c r="CD204" s="4" t="e">
        <f t="shared" ref="CD204:CD214" ca="1" si="3207">CD203+CC204</f>
        <v>#REF!</v>
      </c>
      <c r="CE204" s="692" t="str" cm="1">
        <f t="array" aca="1" ref="CE204" ca="1">IFERROR(VLOOKUP(INDEX(CA203:CA214,CD204),INDIRECT(BY203),2,FALSE),"----")</f>
        <v>----</v>
      </c>
      <c r="CF204" s="691" t="e">
        <f t="shared" ref="CF204:CF214" ca="1" si="3208">CF203-1</f>
        <v>#N/A</v>
      </c>
      <c r="CG204" s="4" t="e">
        <f ca="1">IF(AND(INDEX(SSM,CF204,4)&gt;=$AB203,INDEX(SSM,CF204,5)&gt;=$S203,INDEX(SSM,CF204,6)&gt;=$R203),1,0)</f>
        <v>#N/A</v>
      </c>
      <c r="CH204" s="4" t="e">
        <f t="shared" ref="CH204" ca="1" si="3209">MATCH(1,OFFSET(CG203:CG214,CI203,0,COUNT(CG203:CG214)-CI203),0)</f>
        <v>#REF!</v>
      </c>
      <c r="CI204" s="4" t="e">
        <f t="shared" ref="CI204:CI214" ca="1" si="3210">CI203+CH204</f>
        <v>#REF!</v>
      </c>
      <c r="CJ204" s="692" t="str">
        <f ca="1">IFERROR(IF(AD204="Nested Steel Stud (wood infill)",VLOOKUP(INDEX(CF203:CF214,CI204),SSW,2,FALSE),VLOOKUP(INDEX(CF203:CF214,CI204),SSM,2,FALSE)),"----")</f>
        <v>----</v>
      </c>
      <c r="CK204" s="691" t="e">
        <f t="shared" ref="CK204:CK214" ca="1" si="3211">CK203-1</f>
        <v>#N/A</v>
      </c>
      <c r="CL204" s="4" t="e">
        <f ca="1">IF(AND(INDEX(WSM,CK204,4)&gt;=$AB203,INDEX(WSM,CK204,5)&gt;=$S203,INDEX(WSM,CK204,6)&gt;=$R203),1,0)</f>
        <v>#N/A</v>
      </c>
      <c r="CM204" s="4" t="e">
        <f t="shared" ref="CM204" ca="1" si="3212">MATCH(1,OFFSET(CL203:CL214,CN203,0,COUNT(CL203:CL214)-CN203),0)</f>
        <v>#REF!</v>
      </c>
      <c r="CN204" s="4" t="e">
        <f t="shared" ref="CN204:CN214" ca="1" si="3213">CM204+CN203</f>
        <v>#REF!</v>
      </c>
      <c r="CO204" s="692" t="str">
        <f ca="1">IFERROR(VLOOKUP(INDEX(CK203:CK214,CN204),WSM,2,FALSE),"----")</f>
        <v>----</v>
      </c>
      <c r="CP204" s="691" t="e">
        <f t="shared" ref="CP204:CP214" ca="1" si="3214">CP203-1</f>
        <v>#N/A</v>
      </c>
      <c r="CQ204" s="4" t="e">
        <f ca="1">IF(AND(INDEX(STM,CP204,4)&gt;=$AB203,INDEX(STM,CP204,5)&gt;=$S203,INDEX(STM,CP204,6)&gt;=$R203),1,0)</f>
        <v>#N/A</v>
      </c>
      <c r="CR204" s="4" t="e">
        <f t="shared" ref="CR204" ca="1" si="3215">MATCH(1,OFFSET(CQ203:CQ214,CS203,0,COUNT(CQ203:CQ214)-CS203),0)</f>
        <v>#REF!</v>
      </c>
      <c r="CS204" s="4" t="e">
        <f t="shared" ref="CS204:CS214" ca="1" si="3216">CR204+CS203</f>
        <v>#REF!</v>
      </c>
      <c r="CT204" s="692" t="str">
        <f ca="1">IFERROR(VLOOKUP(INDEX(CP203:CP214,CS204),STM,2,FALSE),"----")</f>
        <v>----</v>
      </c>
      <c r="CU204" s="691" t="e">
        <f t="shared" ref="CU204:CU214" ca="1" si="3217">CU203-1</f>
        <v>#N/A</v>
      </c>
      <c r="CV204" s="4" t="e">
        <f ca="1">IF(AND(INDEX(ELM,CU204,4)&gt;=$AB203,INDEX(ELM,CU204,5)&gt;=$S203,INDEX(ELM,CU204,6)&gt;=$R203),1,0)</f>
        <v>#N/A</v>
      </c>
      <c r="CW204" s="4" t="e">
        <f t="shared" ref="CW204" ca="1" si="3218">MATCH(1,OFFSET(CV203:CV214,CX203,0,COUNT(CV203:CV214)-CX203),0)</f>
        <v>#REF!</v>
      </c>
      <c r="CX204" s="4" t="e">
        <f t="shared" ref="CX204:CX214" ca="1" si="3219">CW204+CX203</f>
        <v>#REF!</v>
      </c>
      <c r="CY204" s="692" t="str">
        <f ca="1">IFERROR(VLOOKUP(INDEX(CU203:CU214,CX204),ELM,2,FALSE),"----")</f>
        <v>----</v>
      </c>
      <c r="CZ204" s="691" t="e">
        <f t="shared" ref="CZ204:CZ214" ca="1" si="3220">CZ203-1</f>
        <v>#N/A</v>
      </c>
      <c r="DA204" s="4" t="e">
        <f ca="1">IF(LEFT($J203,7)="Clad Wo",IF(AND(INDEX(SPPWS,CZ204,4)&gt;=$AB203,INDEX(SPPWS,CZ204,5)&gt;=$S203,INDEX(SPPWS,CZ204,6)&gt;=$R203),1,0),IF(AND(INDEX(SPM,CZ204,4)&gt;=$AB203,INDEX(SPM,CZ204,5)&gt;=$S203,INDEX(SPM,CZ204,6)&gt;=$R203),1,0))</f>
        <v>#N/A</v>
      </c>
      <c r="DB204" s="4" t="e">
        <f t="shared" ref="DB204" ca="1" si="3221">MATCH(1,OFFSET(DA203:DA214,DC203,0,COUNT(DA203:DA214)-DC203),0)</f>
        <v>#REF!</v>
      </c>
      <c r="DC204" s="4" t="e">
        <f t="shared" ref="DC204:DC214" ca="1" si="3222">DC203+DB204</f>
        <v>#REF!</v>
      </c>
      <c r="DD204" s="693" t="str">
        <f ca="1">IF(LEFT($J203,7)="Clad Wo",IFERROR(VLOOKUP(INDEX(CZ203:CZ214,DC204),SPPWS,2,FALSE),"----"),IFERROR(VLOOKUP(INDEX(CZ203:CZ214,DC204),SPM,2,FALSE),"----"))</f>
        <v>----</v>
      </c>
      <c r="DE204" s="691" t="e">
        <f t="shared" ref="DE204:DE214" ca="1" si="3223">DE203-1</f>
        <v>#REF!</v>
      </c>
      <c r="DF204" s="4" t="e" cm="1">
        <f t="array" aca="1" ref="DF204" ca="1">IF(AND(INDEX(INDIRECT(BY203),DE204,4)&gt;=$AB209,INDEX(INDIRECT(BY203),DE204,5)&gt;=$S203,INDEX(INDIRECT(BY203),DE204,6)&gt;=$R203),1,0)</f>
        <v>#REF!</v>
      </c>
      <c r="DG204" s="4" t="e">
        <f t="shared" ref="DG204" ca="1" si="3224">MATCH(1,OFFSET(DF203:DF214,DH203,0,COUNT(DF203:DF214)-DH203),0)</f>
        <v>#REF!</v>
      </c>
      <c r="DH204" s="4" t="e">
        <f t="shared" ref="DH204:DH214" ca="1" si="3225">DH203+DG204</f>
        <v>#REF!</v>
      </c>
      <c r="DI204" s="692" t="str" cm="1">
        <f t="array" aca="1" ref="DI204" ca="1">IFERROR(VLOOKUP(INDEX(DE203:DE214,DH204),INDIRECT(BY203),2,FALSE),"----")</f>
        <v>----</v>
      </c>
      <c r="DJ204" s="691" t="e">
        <f t="shared" ref="DJ204:DJ214" ca="1" si="3226">DJ203-1</f>
        <v>#N/A</v>
      </c>
      <c r="DK204" s="4" t="e">
        <f ca="1">IF(AND(INDEX(SSM,DJ204,4)&gt;=$AB209,INDEX(SSM,DJ204,5)&gt;=$S203,INDEX(SSM,DJ204,6)&gt;=$R203),1,0)</f>
        <v>#N/A</v>
      </c>
      <c r="DL204" s="4" t="e">
        <f t="shared" ref="DL204" ca="1" si="3227">MATCH(1,OFFSET(DK203:DK214,DM203,0,COUNT(DK203:DK214)-DM203),0)</f>
        <v>#REF!</v>
      </c>
      <c r="DM204" s="4" t="e">
        <f t="shared" ref="DM204:DM214" ca="1" si="3228">DL204+DM203</f>
        <v>#REF!</v>
      </c>
      <c r="DN204" s="692" t="str">
        <f ca="1">IFERROR(IF(AD210="Nested Steel Stud (wood infill)",VLOOKUP(INDEX(DJ203:DJ214,DM204),SSW,2,FALSE),VLOOKUP(INDEX(DJ203:DJ214,DM204),SSM,2,FALSE)),"----")</f>
        <v>----</v>
      </c>
      <c r="DO204" s="691" t="e">
        <f t="shared" ref="DO204:DO214" ca="1" si="3229">DO203-1</f>
        <v>#N/A</v>
      </c>
      <c r="DP204" s="4" t="e">
        <f ca="1">IF(AND(INDEX(WSM,DO204,4)&gt;=$AB209,INDEX(WSM,DO204,5)&gt;=$S203,INDEX(WSM,DO204,6)&gt;=$R203),1,0)</f>
        <v>#N/A</v>
      </c>
      <c r="DQ204" s="4" t="e">
        <f t="shared" ref="DQ204" ca="1" si="3230">MATCH(1,OFFSET(DP203:DP214,DR203,0,COUNT(DP203:DP214)-DR203),0)</f>
        <v>#REF!</v>
      </c>
      <c r="DR204" s="4" t="e">
        <f t="shared" ref="DR204:DR214" ca="1" si="3231">DQ204+DR203</f>
        <v>#REF!</v>
      </c>
      <c r="DS204" s="692" t="str">
        <f ca="1">IFERROR(VLOOKUP(INDEX(DO203:DO214,DR204),WSM,2,FALSE),"----")</f>
        <v>----</v>
      </c>
      <c r="DT204" s="691" t="e">
        <f t="shared" ref="DT204:DT214" ca="1" si="3232">DT203-1</f>
        <v>#N/A</v>
      </c>
      <c r="DU204" s="4" t="e">
        <f ca="1">IF(AND(INDEX(STM,DT204,4)&gt;=$AB209,INDEX(STM,DT204,5)&gt;=$S203,INDEX(STM,DT204,6)&gt;=$R203),1,0)</f>
        <v>#N/A</v>
      </c>
      <c r="DV204" s="4" t="e">
        <f t="shared" ref="DV204" ca="1" si="3233">MATCH(1,OFFSET(DU203:DU214,DW203,0,COUNT(DU203:DU214)-DW203),0)</f>
        <v>#REF!</v>
      </c>
      <c r="DW204" s="4" t="e">
        <f t="shared" ref="DW204:DW214" ca="1" si="3234">DV204+DW203</f>
        <v>#REF!</v>
      </c>
      <c r="DX204" s="692" t="str">
        <f ca="1">IFERROR(VLOOKUP(INDEX(DT203:DT214,DW204),STM,2,FALSE),"----")</f>
        <v>----</v>
      </c>
      <c r="DY204" s="691" t="e">
        <f t="shared" ref="DY204:DY214" ca="1" si="3235">DY203-1</f>
        <v>#N/A</v>
      </c>
      <c r="DZ204" s="4" t="e">
        <f ca="1">IF(AND(INDEX(ELM,DY204,4)&gt;=$AB209,INDEX(ELM,DY204,5)&gt;=$S203,INDEX(ELM,DY204,6)&gt;=$R203),1,0)</f>
        <v>#N/A</v>
      </c>
      <c r="EA204" s="4" t="e">
        <f t="shared" ref="EA204" ca="1" si="3236">MATCH(1,OFFSET(DZ203:DZ214,EB203,0,COUNT(DZ203:DZ214)-EB203),0)</f>
        <v>#REF!</v>
      </c>
      <c r="EB204" s="4" t="e">
        <f t="shared" ref="EB204:EB214" ca="1" si="3237">EA204+EB203</f>
        <v>#REF!</v>
      </c>
      <c r="EC204" s="692" t="str">
        <f ca="1">IFERROR(VLOOKUP(INDEX(DY203:DY214,EB204),ELM,2,FALSE),"----")</f>
        <v>----</v>
      </c>
      <c r="ED204" s="691" t="e">
        <f t="shared" ref="ED204:ED214" ca="1" si="3238">ED203-1</f>
        <v>#N/A</v>
      </c>
      <c r="EE204" s="4" t="e">
        <f ca="1">IF(LEFT($J203,7)="Clad Wo",IF(AND(INDEX(SPPWS,ED204,4)&gt;=$AB209,INDEX(SPPWS,ED204,5)&gt;=$S203,INDEX(SPPWS,ED204,6)&gt;=$R203),1,0),IF(AND(INDEX(SPM,ED204,4)&gt;=$AB209,INDEX(SPM,ED204,5)&gt;=$S203,INDEX(SPM,ED204,6)&gt;=$R203),1,0))</f>
        <v>#N/A</v>
      </c>
      <c r="EF204" s="4" t="e">
        <f t="shared" ref="EF204" ca="1" si="3239">MATCH(1,OFFSET(EE203:EE214,EG203,0,COUNT(EE203:EE214)-EG203),0)</f>
        <v>#REF!</v>
      </c>
      <c r="EG204" s="4" t="e">
        <f t="shared" ref="EG204:EG214" ca="1" si="3240">EG203+EF204</f>
        <v>#REF!</v>
      </c>
      <c r="EH204" s="692" t="str">
        <f ca="1">IF(LEFT($J203,7)="Clad Wo",IFERROR(VLOOKUP(INDEX(ED203:ED214,EG204),SPPWS,2,FALSE),"----"),IFERROR(VLOOKUP(INDEX(ED203:ED214,EG204),SPM,2,FALSE),"----"))</f>
        <v>----</v>
      </c>
    </row>
    <row r="205" spans="1:138" ht="15" customHeight="1" x14ac:dyDescent="0.25">
      <c r="A205" s="1085"/>
      <c r="B205" s="925"/>
      <c r="C205" s="926"/>
      <c r="D205" s="927"/>
      <c r="E205" s="995"/>
      <c r="F205" s="996"/>
      <c r="G205" s="997"/>
      <c r="H205" s="1062"/>
      <c r="I205" s="990"/>
      <c r="J205" s="908"/>
      <c r="K205" s="909"/>
      <c r="L205" s="1002"/>
      <c r="M205" s="923"/>
      <c r="N205" s="1042"/>
      <c r="O205" s="1018"/>
      <c r="P205" s="987"/>
      <c r="Q205" s="1015"/>
      <c r="R205" s="1012"/>
      <c r="S205" s="1006"/>
      <c r="T205" s="1007"/>
      <c r="U205" s="878"/>
      <c r="V205" s="881"/>
      <c r="W205" s="884"/>
      <c r="X205" s="884"/>
      <c r="Y205" s="887"/>
      <c r="Z205" s="887"/>
      <c r="AA205" s="887"/>
      <c r="AB205" s="1081"/>
      <c r="AC205" s="1078"/>
      <c r="AD205" s="1070" t="s">
        <v>333</v>
      </c>
      <c r="AE205" s="1071"/>
      <c r="AF205" s="1052"/>
      <c r="AG205" s="1053"/>
      <c r="AH205" s="1053"/>
      <c r="AI205" s="1066"/>
      <c r="AJ205" s="1067"/>
      <c r="AK205" s="154" t="str">
        <f t="shared" ca="1" si="2393"/>
        <v/>
      </c>
      <c r="AL205" s="1039"/>
      <c r="AM205" s="344" t="str">
        <f ca="1">IFERROR(Q203/12*ROUND(VLOOKUP(AF205,OFFSET(WSM,0,1),6,FALSE),2),"")</f>
        <v/>
      </c>
      <c r="AN205" t="str">
        <f t="shared" ca="1" si="2409"/>
        <v/>
      </c>
      <c r="AP205" s="122" t="str">
        <f t="shared" ref="AP205" si="3241">_xlfn.CONCAT(AR205,AS208)</f>
        <v/>
      </c>
      <c r="AQ205" s="683" t="str">
        <f t="shared" si="2617"/>
        <v/>
      </c>
      <c r="AR205" s="4" t="str">
        <f t="shared" si="2378"/>
        <v/>
      </c>
      <c r="AS205" s="4"/>
      <c r="AT205" s="697" t="str">
        <f>AL203</f>
        <v/>
      </c>
      <c r="AU205" s="694" t="e">
        <f t="shared" ca="1" si="2633"/>
        <v>#REF!</v>
      </c>
      <c r="AV205" s="686" t="str">
        <f ca="1">IFERROR(VLOOKUP(AU205,INDIRECT(AQ203),2,FALSE),"----")</f>
        <v>----</v>
      </c>
      <c r="AW205" s="694" t="e">
        <f t="shared" ca="1" si="3194"/>
        <v>#REF!</v>
      </c>
      <c r="AX205" s="686" t="str">
        <f ca="1">IFERROR(VLOOKUP(AW205,INDIRECT(AQ204),2,FALSE),"----")</f>
        <v>----</v>
      </c>
      <c r="AY205" s="694" t="e">
        <f t="shared" ca="1" si="3195"/>
        <v>#REF!</v>
      </c>
      <c r="AZ205" s="686" t="str">
        <f ca="1">IFERROR(VLOOKUP(AY205,INDIRECT(AQ205),2,FALSE),"----")</f>
        <v>----</v>
      </c>
      <c r="BA205" s="694" t="e">
        <f t="shared" ca="1" si="3196"/>
        <v>#REF!</v>
      </c>
      <c r="BB205" s="686" t="str">
        <f ca="1">IFERROR(VLOOKUP(BA205,INDIRECT(AQ206),2,FALSE),"----")</f>
        <v>----</v>
      </c>
      <c r="BC205" s="694" t="e">
        <f t="shared" ca="1" si="3197"/>
        <v>#REF!</v>
      </c>
      <c r="BD205" s="686" t="str">
        <f ca="1">IFERROR(VLOOKUP(BC205,INDIRECT(AQ207),2,FALSE),"----")</f>
        <v>----</v>
      </c>
      <c r="BE205" s="694" t="e">
        <f t="shared" ca="1" si="2636"/>
        <v>#REF!</v>
      </c>
      <c r="BF205" s="686" t="str">
        <f ca="1">IFERROR(VLOOKUP(BE205,INDIRECT(AQ208),2,FALSE),"----")</f>
        <v>----</v>
      </c>
      <c r="BG205" s="694" t="e">
        <f t="shared" ca="1" si="2637"/>
        <v>#REF!</v>
      </c>
      <c r="BH205" s="686" t="str">
        <f ca="1">IFERROR(VLOOKUP(BG205,INDIRECT(AQ209),2,FALSE),"----")</f>
        <v>----</v>
      </c>
      <c r="BI205" s="694" t="e">
        <f t="shared" ca="1" si="3200"/>
        <v>#REF!</v>
      </c>
      <c r="BJ205" s="686" t="str">
        <f ca="1">IFERROR(VLOOKUP(BI205,INDIRECT(AQ210),2,FALSE),"----")</f>
        <v>----</v>
      </c>
      <c r="BK205" s="694" t="e">
        <f t="shared" ca="1" si="3201"/>
        <v>#REF!</v>
      </c>
      <c r="BL205" s="686" t="str">
        <f ca="1">IFERROR(VLOOKUP(BK205,INDIRECT(AQ211),2,FALSE),"----")</f>
        <v>----</v>
      </c>
      <c r="BM205" s="694" t="e">
        <f t="shared" ca="1" si="3202"/>
        <v>#REF!</v>
      </c>
      <c r="BN205" s="686" t="str">
        <f ca="1">IFERROR(VLOOKUP(BM205,INDIRECT(AQ212),2,FALSE),"----")</f>
        <v>----</v>
      </c>
      <c r="BO205" s="694" t="e">
        <f t="shared" ca="1" si="3203"/>
        <v>#REF!</v>
      </c>
      <c r="BP205" s="686" t="str">
        <f ca="1">IFERROR(VLOOKUP(BO205,INDIRECT(AQ213),2,FALSE),"----")</f>
        <v>----</v>
      </c>
      <c r="BQ205" s="694" t="e">
        <f t="shared" ca="1" si="2642"/>
        <v>#REF!</v>
      </c>
      <c r="BR205" s="686" t="str">
        <f ca="1">IFERROR(VLOOKUP(BQ205,INDIRECT(AQ214),2,FALSE),"----")</f>
        <v>----</v>
      </c>
      <c r="BS205" s="695">
        <f>IF(AI205="",1,IF(COUNTIF(AZ203:AZ214,AI205)=0,2,1))</f>
        <v>1</v>
      </c>
      <c r="BT205" s="696">
        <f>IF(AF205="",1,IF(AZ203=".",2,1))</f>
        <v>1</v>
      </c>
      <c r="BU205" s="706"/>
      <c r="BV205" s="155">
        <f ca="1">IF(COUNTIF(CO203:CO214,AF205)=0,IF(AF205&lt;&gt;"",0,1),1)</f>
        <v>1</v>
      </c>
      <c r="BW205" s="157">
        <f ca="1">IFERROR(MATCH(AF205,CO203:CO214,0),1)</f>
        <v>1</v>
      </c>
      <c r="BX205" s="769"/>
      <c r="BY205" s="769"/>
      <c r="BZ205" s="1110"/>
      <c r="CA205" s="691" t="e">
        <f t="shared" ca="1" si="3205"/>
        <v>#REF!</v>
      </c>
      <c r="CB205" s="4" t="e" cm="1">
        <f t="array" aca="1" ref="CB205" ca="1">IF(AND(INDEX(INDIRECT(BY203),CA205,4)&gt;=$AB203,INDEX(INDIRECT(BY203),CA205,5)&gt;=$S203,INDEX(INDIRECT(BY203),CA205,6)&gt;=$R203),1,0)</f>
        <v>#REF!</v>
      </c>
      <c r="CC205" s="4" t="e">
        <f t="shared" ref="CC205" ca="1" si="3242">MATCH(1,OFFSET(CB203:CB214,CD204,0,COUNT(CB203:CB214)-CD204),0)</f>
        <v>#REF!</v>
      </c>
      <c r="CD205" s="4" t="e">
        <f t="shared" ca="1" si="3207"/>
        <v>#REF!</v>
      </c>
      <c r="CE205" s="692" t="str" cm="1">
        <f t="array" aca="1" ref="CE205" ca="1">IFERROR(VLOOKUP(INDEX(CA203:CA214,CD205),INDIRECT(BY203),2,FALSE),"----")</f>
        <v>----</v>
      </c>
      <c r="CF205" s="691" t="e">
        <f t="shared" ca="1" si="3208"/>
        <v>#N/A</v>
      </c>
      <c r="CG205" s="4" t="e">
        <f ca="1">IF(AND(INDEX(SSM,CF205,4)&gt;=$AB203,INDEX(SSM,CF205,5)&gt;=$S203,INDEX(SSM,CF205,6)&gt;=$R203),1,0)</f>
        <v>#N/A</v>
      </c>
      <c r="CH205" s="4" t="e">
        <f t="shared" ref="CH205" ca="1" si="3243">MATCH(1,OFFSET(CG203:CG214,CI204,0,COUNT(CG203:CG214)-CI204),0)</f>
        <v>#REF!</v>
      </c>
      <c r="CI205" s="4" t="e">
        <f t="shared" ca="1" si="3210"/>
        <v>#REF!</v>
      </c>
      <c r="CJ205" s="692" t="str">
        <f ca="1">IFERROR(IF(AD204="Nested Steel Stud (wood infill)",VLOOKUP(INDEX(CF203:CF214,CI205),SSW,2,FALSE),VLOOKUP(INDEX(CF203:CF214,CI205),SSM,2,FALSE)),"----")</f>
        <v>----</v>
      </c>
      <c r="CK205" s="691" t="e">
        <f t="shared" ca="1" si="3211"/>
        <v>#N/A</v>
      </c>
      <c r="CL205" s="4" t="e">
        <f ca="1">IF(AND(INDEX(WSM,CK205,4)&gt;=$AB203,INDEX(WSM,CK205,5)&gt;=$S203,INDEX(WSM,CK205,6)&gt;=$R203),1,0)</f>
        <v>#N/A</v>
      </c>
      <c r="CM205" s="4" t="e">
        <f t="shared" ref="CM205" ca="1" si="3244">MATCH(1,OFFSET(CL203:CL214,CN204,0,COUNT(CL203:CL214)-CN204),0)</f>
        <v>#REF!</v>
      </c>
      <c r="CN205" s="4" t="e">
        <f t="shared" ca="1" si="3213"/>
        <v>#REF!</v>
      </c>
      <c r="CO205" s="692" t="str">
        <f ca="1">IFERROR(VLOOKUP(INDEX(CK203:CK214,CN205),WSM,2,FALSE),"----")</f>
        <v>----</v>
      </c>
      <c r="CP205" s="691" t="e">
        <f t="shared" ca="1" si="3214"/>
        <v>#N/A</v>
      </c>
      <c r="CQ205" s="4" t="e">
        <f ca="1">IF(AND(INDEX(STM,CP205,4)&gt;=$AB203,INDEX(STM,CP205,5)&gt;=$S203,INDEX(STM,CP205,6)&gt;=$R203),1,0)</f>
        <v>#N/A</v>
      </c>
      <c r="CR205" s="4" t="e">
        <f t="shared" ref="CR205" ca="1" si="3245">MATCH(1,OFFSET(CQ203:CQ214,CS204,0,COUNT(CQ203:CQ214)-CS204),0)</f>
        <v>#REF!</v>
      </c>
      <c r="CS205" s="4" t="e">
        <f t="shared" ca="1" si="3216"/>
        <v>#REF!</v>
      </c>
      <c r="CT205" s="692" t="str">
        <f ca="1">IFERROR(VLOOKUP(INDEX(CP203:CP214,CS205),STM,2,FALSE),"----")</f>
        <v>----</v>
      </c>
      <c r="CU205" s="691" t="e">
        <f t="shared" ca="1" si="3217"/>
        <v>#N/A</v>
      </c>
      <c r="CV205" s="4" t="e">
        <f ca="1">IF(AND(INDEX(ELM,CU205,4)&gt;=$AB203,INDEX(ELM,CU205,5)&gt;=$S203,INDEX(ELM,CU205,6)&gt;=$R203),1,0)</f>
        <v>#N/A</v>
      </c>
      <c r="CW205" s="4" t="e">
        <f t="shared" ref="CW205" ca="1" si="3246">MATCH(1,OFFSET(CV203:CV214,CX204,0,COUNT(CV203:CV214)-CX204),0)</f>
        <v>#REF!</v>
      </c>
      <c r="CX205" s="4" t="e">
        <f t="shared" ca="1" si="3219"/>
        <v>#REF!</v>
      </c>
      <c r="CY205" s="692" t="str">
        <f ca="1">IFERROR(VLOOKUP(INDEX(CU203:CU214,CX205),ELM,2,FALSE),"----")</f>
        <v>----</v>
      </c>
      <c r="CZ205" s="691" t="e">
        <f t="shared" ca="1" si="3220"/>
        <v>#N/A</v>
      </c>
      <c r="DA205" s="4" t="e">
        <f ca="1">IF(LEFT($J203,7)="Clad Wo",IF(AND(INDEX(SPPWS,CZ205,4)&gt;=$AB203,INDEX(SPPWS,CZ205,5)&gt;=$S203,INDEX(SPPWS,CZ205,6)&gt;=$R203),1,0),IF(AND(INDEX(SPM,CZ205,4)&gt;=$AB203,INDEX(SPM,CZ205,5)&gt;=$S203,INDEX(SPM,CZ205,6)&gt;=$R203),1,0))</f>
        <v>#N/A</v>
      </c>
      <c r="DB205" s="4" t="e">
        <f t="shared" ref="DB205" ca="1" si="3247">MATCH(1,OFFSET(DA203:DA214,DC204,0,COUNT(DA203:DA214)-DC204),0)</f>
        <v>#REF!</v>
      </c>
      <c r="DC205" s="4" t="e">
        <f t="shared" ca="1" si="3222"/>
        <v>#REF!</v>
      </c>
      <c r="DD205" s="693" t="str">
        <f ca="1">IF(LEFT($J203,7)="Clad Wo",IFERROR(VLOOKUP(INDEX(CZ203:CZ214,DC205),SPPWS,2,FALSE),"----"),IFERROR(VLOOKUP(INDEX(CZ203:CZ214,DC205),SPM,2,FALSE),"----"))</f>
        <v>----</v>
      </c>
      <c r="DE205" s="691" t="e">
        <f t="shared" ca="1" si="3223"/>
        <v>#REF!</v>
      </c>
      <c r="DF205" s="4" t="e" cm="1">
        <f t="array" aca="1" ref="DF205" ca="1">IF(AND(INDEX(INDIRECT(BY203),DE205,4)&gt;=$AB209,INDEX(INDIRECT(BY203),DE205,5)&gt;=$S203,INDEX(INDIRECT(BY203),DE205,6)&gt;=$R203),1,0)</f>
        <v>#REF!</v>
      </c>
      <c r="DG205" s="4" t="e">
        <f t="shared" ref="DG205" ca="1" si="3248">MATCH(1,OFFSET(DF203:DF214,DH204,0,COUNT(DF203:DF214)-DH204),0)</f>
        <v>#REF!</v>
      </c>
      <c r="DH205" s="4" t="e">
        <f t="shared" ca="1" si="3225"/>
        <v>#REF!</v>
      </c>
      <c r="DI205" s="692" t="str" cm="1">
        <f t="array" aca="1" ref="DI205" ca="1">IFERROR(VLOOKUP(INDEX(DE203:DE214,DH205),INDIRECT(BY203),2,FALSE),"----")</f>
        <v>----</v>
      </c>
      <c r="DJ205" s="691" t="e">
        <f t="shared" ca="1" si="3226"/>
        <v>#N/A</v>
      </c>
      <c r="DK205" s="4" t="e">
        <f ca="1">IF(AND(INDEX(SSM,DJ205,4)&gt;=$AB209,INDEX(SSM,DJ205,5)&gt;=$S203,INDEX(SSM,DJ205,6)&gt;=$R203),1,0)</f>
        <v>#N/A</v>
      </c>
      <c r="DL205" s="4" t="e">
        <f t="shared" ref="DL205" ca="1" si="3249">MATCH(1,OFFSET(DK203:DK214,DM204,0,COUNT(DK203:DK214)-DM204),0)</f>
        <v>#REF!</v>
      </c>
      <c r="DM205" s="4" t="e">
        <f t="shared" ca="1" si="3228"/>
        <v>#REF!</v>
      </c>
      <c r="DN205" s="692" t="str">
        <f ca="1">IFERROR(IF(AD210="Nested Steel Stud (wood infill)",VLOOKUP(INDEX(DJ203:DJ214,DM205),SSW,2,FALSE),VLOOKUP(INDEX(DJ203:DJ214,DM205),SSM,2,FALSE)),"----")</f>
        <v>----</v>
      </c>
      <c r="DO205" s="691" t="e">
        <f t="shared" ca="1" si="3229"/>
        <v>#N/A</v>
      </c>
      <c r="DP205" s="4" t="e">
        <f ca="1">IF(AND(INDEX(WSM,DO205,4)&gt;=$AB209,INDEX(WSM,DO205,5)&gt;=$S203,INDEX(WSM,DO205,6)&gt;=$R203),1,0)</f>
        <v>#N/A</v>
      </c>
      <c r="DQ205" s="4" t="e">
        <f t="shared" ref="DQ205" ca="1" si="3250">MATCH(1,OFFSET(DP203:DP214,DR204,0,COUNT(DP203:DP214)-DR204),0)</f>
        <v>#REF!</v>
      </c>
      <c r="DR205" s="4" t="e">
        <f t="shared" ca="1" si="3231"/>
        <v>#REF!</v>
      </c>
      <c r="DS205" s="692" t="str">
        <f ca="1">IFERROR(VLOOKUP(INDEX(DO203:DO214,DR205),WSM,2,FALSE),"----")</f>
        <v>----</v>
      </c>
      <c r="DT205" s="691" t="e">
        <f t="shared" ca="1" si="3232"/>
        <v>#N/A</v>
      </c>
      <c r="DU205" s="4" t="e">
        <f ca="1">IF(AND(INDEX(STM,DT205,4)&gt;=$AB209,INDEX(STM,DT205,5)&gt;=$S203,INDEX(STM,DT205,6)&gt;=$R203),1,0)</f>
        <v>#N/A</v>
      </c>
      <c r="DV205" s="4" t="e">
        <f t="shared" ref="DV205" ca="1" si="3251">MATCH(1,OFFSET(DU203:DU214,DW204,0,COUNT(DU203:DU214)-DW204),0)</f>
        <v>#REF!</v>
      </c>
      <c r="DW205" s="4" t="e">
        <f t="shared" ca="1" si="3234"/>
        <v>#REF!</v>
      </c>
      <c r="DX205" s="692" t="str">
        <f ca="1">IFERROR(VLOOKUP(INDEX(DT203:DT214,DW205),STM,2,FALSE),"----")</f>
        <v>----</v>
      </c>
      <c r="DY205" s="691" t="e">
        <f t="shared" ca="1" si="3235"/>
        <v>#N/A</v>
      </c>
      <c r="DZ205" s="4" t="e">
        <f ca="1">IF(AND(INDEX(ELM,DY205,4)&gt;=$AB209,INDEX(ELM,DY205,5)&gt;=$S203,INDEX(ELM,DY205,6)&gt;=$R203),1,0)</f>
        <v>#N/A</v>
      </c>
      <c r="EA205" s="4" t="e">
        <f t="shared" ref="EA205" ca="1" si="3252">MATCH(1,OFFSET(DZ203:DZ214,EB204,0,COUNT(DZ203:DZ214)-EB204),0)</f>
        <v>#REF!</v>
      </c>
      <c r="EB205" s="4" t="e">
        <f t="shared" ca="1" si="3237"/>
        <v>#REF!</v>
      </c>
      <c r="EC205" s="692" t="str">
        <f ca="1">IFERROR(VLOOKUP(INDEX(DY203:DY214,EB205),ELM,2,FALSE),"----")</f>
        <v>----</v>
      </c>
      <c r="ED205" s="691" t="e">
        <f t="shared" ca="1" si="3238"/>
        <v>#N/A</v>
      </c>
      <c r="EE205" s="4" t="e">
        <f ca="1">IF(LEFT($J203,7)="Clad Wo",IF(AND(INDEX(SPPWS,ED205,4)&gt;=$AB209,INDEX(SPPWS,ED205,5)&gt;=$S203,INDEX(SPPWS,ED205,6)&gt;=$R203),1,0),IF(AND(INDEX(SPM,ED205,4)&gt;=$AB209,INDEX(SPM,ED205,5)&gt;=$S203,INDEX(SPM,ED205,6)&gt;=$R203),1,0))</f>
        <v>#N/A</v>
      </c>
      <c r="EF205" s="4" t="e">
        <f t="shared" ref="EF205" ca="1" si="3253">MATCH(1,OFFSET(EE203:EE214,EG204,0,COUNT(EE203:EE214)-EG204),0)</f>
        <v>#REF!</v>
      </c>
      <c r="EG205" s="4" t="e">
        <f t="shared" ca="1" si="3240"/>
        <v>#REF!</v>
      </c>
      <c r="EH205" s="692" t="str">
        <f ca="1">IF(LEFT($J203,7)="Clad Wo",IFERROR(VLOOKUP(INDEX(ED203:ED214,EG205),SPPWS,2,FALSE),"----"),IFERROR(VLOOKUP(INDEX(ED203:ED214,EG205),SPM,2,FALSE),"----"))</f>
        <v>----</v>
      </c>
    </row>
    <row r="206" spans="1:138" ht="15" customHeight="1" x14ac:dyDescent="0.25">
      <c r="A206" s="1085"/>
      <c r="B206" s="925"/>
      <c r="C206" s="926"/>
      <c r="D206" s="927"/>
      <c r="E206" s="995"/>
      <c r="F206" s="996"/>
      <c r="G206" s="997"/>
      <c r="H206" s="1062"/>
      <c r="I206" s="990"/>
      <c r="J206" s="908"/>
      <c r="K206" s="909"/>
      <c r="L206" s="1002"/>
      <c r="M206" s="923"/>
      <c r="N206" s="1042"/>
      <c r="O206" s="1018"/>
      <c r="P206" s="987"/>
      <c r="Q206" s="1015"/>
      <c r="R206" s="1012"/>
      <c r="S206" s="1006"/>
      <c r="T206" s="1007"/>
      <c r="U206" s="878"/>
      <c r="V206" s="881"/>
      <c r="W206" s="884"/>
      <c r="X206" s="884"/>
      <c r="Y206" s="887"/>
      <c r="Z206" s="887"/>
      <c r="AA206" s="887"/>
      <c r="AB206" s="1081"/>
      <c r="AC206" s="1078"/>
      <c r="AD206" s="1070" t="s">
        <v>37</v>
      </c>
      <c r="AE206" s="1071"/>
      <c r="AF206" s="1052"/>
      <c r="AG206" s="1053"/>
      <c r="AH206" s="1053"/>
      <c r="AI206" s="1066"/>
      <c r="AJ206" s="1067"/>
      <c r="AK206" s="156" t="str">
        <f t="shared" ca="1" si="2393"/>
        <v/>
      </c>
      <c r="AL206" s="1039"/>
      <c r="AM206" s="343" t="str">
        <f ca="1">IFERROR(Q203/12*ROUND(VLOOKUP(AF206,OFFSET(STM,0,1),6,FALSE),2),"")</f>
        <v/>
      </c>
      <c r="AN206" t="str">
        <f t="shared" ca="1" si="2409"/>
        <v/>
      </c>
      <c r="AP206" s="122" t="str">
        <f t="shared" ref="AP206" si="3254">_xlfn.CONCAT(AR206,AS208)</f>
        <v/>
      </c>
      <c r="AQ206" s="683" t="str">
        <f t="shared" si="2617"/>
        <v/>
      </c>
      <c r="AR206" s="4" t="str">
        <f t="shared" si="2378"/>
        <v/>
      </c>
      <c r="AS206" s="4"/>
      <c r="AT206" s="697" t="str">
        <f>AL203</f>
        <v/>
      </c>
      <c r="AU206" s="694" t="e">
        <f t="shared" ca="1" si="2633"/>
        <v>#REF!</v>
      </c>
      <c r="AV206" s="686" t="str">
        <f ca="1">IFERROR(VLOOKUP(AU206,INDIRECT(AQ203),2,FALSE),"----")</f>
        <v>----</v>
      </c>
      <c r="AW206" s="694" t="e">
        <f t="shared" ca="1" si="2634"/>
        <v>#REF!</v>
      </c>
      <c r="AX206" s="686" t="str">
        <f ca="1">IFERROR(VLOOKUP(AW206,INDIRECT(AQ204),2,FALSE),"----")</f>
        <v>----</v>
      </c>
      <c r="AY206" s="694" t="e">
        <f t="shared" ref="AY206" ca="1" si="3255">AY205-1</f>
        <v>#REF!</v>
      </c>
      <c r="AZ206" s="686" t="str">
        <f ca="1">IFERROR(VLOOKUP(AY206,INDIRECT(AQ205),2,FALSE),"----")</f>
        <v>----</v>
      </c>
      <c r="BA206" s="694" t="e">
        <f t="shared" ref="BA206" ca="1" si="3256">BA205-1</f>
        <v>#REF!</v>
      </c>
      <c r="BB206" s="686" t="str">
        <f ca="1">IFERROR(VLOOKUP(BA206,INDIRECT(AQ206),2,FALSE),"----")</f>
        <v>----</v>
      </c>
      <c r="BC206" s="694" t="e">
        <f t="shared" ca="1" si="2635"/>
        <v>#REF!</v>
      </c>
      <c r="BD206" s="686" t="str">
        <f ca="1">IFERROR(VLOOKUP(BC206,INDIRECT(AQ207),2,FALSE),"----")</f>
        <v>----</v>
      </c>
      <c r="BE206" s="694" t="e">
        <f t="shared" ca="1" si="2636"/>
        <v>#REF!</v>
      </c>
      <c r="BF206" s="686" t="str">
        <f ca="1">IFERROR(VLOOKUP(BE206,INDIRECT(AQ208),2,FALSE),"----")</f>
        <v>----</v>
      </c>
      <c r="BG206" s="694" t="e">
        <f t="shared" ca="1" si="2637"/>
        <v>#REF!</v>
      </c>
      <c r="BH206" s="686" t="str">
        <f ca="1">IFERROR(VLOOKUP(BG206,INDIRECT(AQ209),2,FALSE),"----")</f>
        <v>----</v>
      </c>
      <c r="BI206" s="694" t="e">
        <f t="shared" ca="1" si="2638"/>
        <v>#REF!</v>
      </c>
      <c r="BJ206" s="686" t="str">
        <f ca="1">IFERROR(VLOOKUP(BI206,INDIRECT(AQ210),2,FALSE),"----")</f>
        <v>----</v>
      </c>
      <c r="BK206" s="694" t="e">
        <f t="shared" ca="1" si="2639"/>
        <v>#REF!</v>
      </c>
      <c r="BL206" s="686" t="str">
        <f ca="1">IFERROR(VLOOKUP(BK206,INDIRECT(AQ211),2,FALSE),"----")</f>
        <v>----</v>
      </c>
      <c r="BM206" s="694" t="e">
        <f t="shared" ca="1" si="2640"/>
        <v>#REF!</v>
      </c>
      <c r="BN206" s="686" t="str">
        <f ca="1">IFERROR(VLOOKUP(BM206,INDIRECT(AQ212),2,FALSE),"----")</f>
        <v>----</v>
      </c>
      <c r="BO206" s="694" t="e">
        <f t="shared" ca="1" si="2641"/>
        <v>#REF!</v>
      </c>
      <c r="BP206" s="686" t="str">
        <f ca="1">IFERROR(VLOOKUP(BO206,INDIRECT(AQ213),2,FALSE),"----")</f>
        <v>----</v>
      </c>
      <c r="BQ206" s="694" t="e">
        <f t="shared" ca="1" si="2642"/>
        <v>#REF!</v>
      </c>
      <c r="BR206" s="686" t="str">
        <f ca="1">IFERROR(VLOOKUP(BQ206,INDIRECT(AQ214),2,FALSE),"----")</f>
        <v>----</v>
      </c>
      <c r="BS206" s="695">
        <f>IF(AI206="",1,IF(COUNTIF(BB203:BB214,AI206)=0,2,1))</f>
        <v>1</v>
      </c>
      <c r="BT206" s="696">
        <f>IF(AF206="",1,IF(BB203=".",2,1))</f>
        <v>1</v>
      </c>
      <c r="BU206" s="706"/>
      <c r="BV206" s="155">
        <f ca="1">IF(COUNTIF(CT203:CT214,AF206)=0,IF(AF206&lt;&gt;"",0,1),1)</f>
        <v>1</v>
      </c>
      <c r="BW206" s="157">
        <f ca="1">IFERROR(MATCH(AF206,CT203:CT214,0),1)</f>
        <v>1</v>
      </c>
      <c r="BX206" s="769"/>
      <c r="BY206" s="769"/>
      <c r="BZ206" s="1110"/>
      <c r="CA206" s="691" t="e">
        <f t="shared" ca="1" si="3205"/>
        <v>#REF!</v>
      </c>
      <c r="CB206" s="4" t="e" cm="1">
        <f t="array" aca="1" ref="CB206" ca="1">IF(AND(INDEX(INDIRECT(BY203),CA206,4)&gt;=$AB203,INDEX(INDIRECT(BY203),CA206,5)&gt;=$S203,INDEX(INDIRECT(BY203),CA206,6)&gt;=$R203),1,0)</f>
        <v>#REF!</v>
      </c>
      <c r="CC206" s="4" t="e">
        <f t="shared" ref="CC206" ca="1" si="3257">MATCH(1,OFFSET(CB203:CB214,CD205,0,COUNT(CB203:CB214)-CD205),0)</f>
        <v>#REF!</v>
      </c>
      <c r="CD206" s="4" t="e">
        <f t="shared" ca="1" si="3207"/>
        <v>#REF!</v>
      </c>
      <c r="CE206" s="692" t="str" cm="1">
        <f t="array" aca="1" ref="CE206" ca="1">IFERROR(VLOOKUP(INDEX(CA203:CA214,CD206),INDIRECT(BY203),2,FALSE),"----")</f>
        <v>----</v>
      </c>
      <c r="CF206" s="691" t="e">
        <f t="shared" ca="1" si="3208"/>
        <v>#N/A</v>
      </c>
      <c r="CG206" s="4" t="e">
        <f ca="1">IF(AND(INDEX(SSM,CF206,4)&gt;=$AB203,INDEX(SSM,CF206,5)&gt;=$S203,INDEX(SSM,CF206,6)&gt;=$R203),1,0)</f>
        <v>#N/A</v>
      </c>
      <c r="CH206" s="4" t="e">
        <f t="shared" ref="CH206" ca="1" si="3258">MATCH(1,OFFSET(CG203:CG214,CI205,0,COUNT(CG203:CG214)-CI205),0)</f>
        <v>#REF!</v>
      </c>
      <c r="CI206" s="4" t="e">
        <f t="shared" ca="1" si="3210"/>
        <v>#REF!</v>
      </c>
      <c r="CJ206" s="692" t="str">
        <f ca="1">IFERROR(IF(AD204="Nested Steel Stud (wood infill)",VLOOKUP(INDEX(CF203:CF214,CI206),SSW,2,FALSE),VLOOKUP(INDEX(CF203:CF214,CI206),SSM,2,FALSE)),"----")</f>
        <v>----</v>
      </c>
      <c r="CK206" s="691" t="e">
        <f t="shared" ca="1" si="3211"/>
        <v>#N/A</v>
      </c>
      <c r="CL206" s="4" t="e">
        <f ca="1">IF(AND(INDEX(WSM,CK206,4)&gt;=$AB203,INDEX(WSM,CK206,5)&gt;=$S203,INDEX(WSM,CK206,6)&gt;=$R203),1,0)</f>
        <v>#N/A</v>
      </c>
      <c r="CM206" s="4" t="e">
        <f t="shared" ref="CM206" ca="1" si="3259">MATCH(1,OFFSET(CL203:CL214,CN205,0,COUNT(CL203:CL214)-CN205),0)</f>
        <v>#REF!</v>
      </c>
      <c r="CN206" s="4" t="e">
        <f t="shared" ca="1" si="3213"/>
        <v>#REF!</v>
      </c>
      <c r="CO206" s="692" t="str">
        <f ca="1">IFERROR(VLOOKUP(INDEX(CK203:CK214,CN206),WSM,2,FALSE),"----")</f>
        <v>----</v>
      </c>
      <c r="CP206" s="691" t="e">
        <f t="shared" ca="1" si="3214"/>
        <v>#N/A</v>
      </c>
      <c r="CQ206" s="4" t="e">
        <f ca="1">IF(AND(INDEX(STM,CP206,4)&gt;=$AB203,INDEX(STM,CP206,5)&gt;=$S203,INDEX(STM,CP206,6)&gt;=$R203),1,0)</f>
        <v>#N/A</v>
      </c>
      <c r="CR206" s="4" t="e">
        <f t="shared" ref="CR206" ca="1" si="3260">MATCH(1,OFFSET(CQ203:CQ214,CS205,0,COUNT(CQ203:CQ214)-CS205),0)</f>
        <v>#REF!</v>
      </c>
      <c r="CS206" s="4" t="e">
        <f t="shared" ca="1" si="3216"/>
        <v>#REF!</v>
      </c>
      <c r="CT206" s="692" t="str">
        <f ca="1">IFERROR(VLOOKUP(INDEX(CP203:CP214,CS206),STM,2,FALSE),"----")</f>
        <v>----</v>
      </c>
      <c r="CU206" s="691" t="e">
        <f t="shared" ca="1" si="3217"/>
        <v>#N/A</v>
      </c>
      <c r="CV206" s="4" t="e">
        <f ca="1">IF(AND(INDEX(ELM,CU206,4)&gt;=$AB203,INDEX(ELM,CU206,5)&gt;=$S203,INDEX(ELM,CU206,6)&gt;=$R203),1,0)</f>
        <v>#N/A</v>
      </c>
      <c r="CW206" s="4" t="e">
        <f t="shared" ref="CW206" ca="1" si="3261">MATCH(1,OFFSET(CV203:CV214,CX205,0,COUNT(CV203:CV214)-CX205),0)</f>
        <v>#REF!</v>
      </c>
      <c r="CX206" s="4" t="e">
        <f t="shared" ca="1" si="3219"/>
        <v>#REF!</v>
      </c>
      <c r="CY206" s="692" t="str">
        <f ca="1">IFERROR(VLOOKUP(INDEX(CU203:CU214,CX206),ELM,2,FALSE),"----")</f>
        <v>----</v>
      </c>
      <c r="CZ206" s="691" t="e">
        <f t="shared" ca="1" si="3220"/>
        <v>#N/A</v>
      </c>
      <c r="DA206" s="4" t="e">
        <f ca="1">IF(LEFT($J203,7)="Clad Wo",IF(AND(INDEX(SPPWS,CZ206,4)&gt;=$AB203,INDEX(SPPWS,CZ206,5)&gt;=$S203,INDEX(SPPWS,CZ206,6)&gt;=$R203),1,0),IF(AND(INDEX(SPM,CZ206,4)&gt;=$AB203,INDEX(SPM,CZ206,5)&gt;=$S203,INDEX(SPM,CZ206,6)&gt;=$R203),1,0))</f>
        <v>#N/A</v>
      </c>
      <c r="DB206" s="4" t="e">
        <f t="shared" ref="DB206" ca="1" si="3262">MATCH(1,OFFSET(DA203:DA214,DC205,0,COUNT(DA203:DA214)-DC205),0)</f>
        <v>#REF!</v>
      </c>
      <c r="DC206" s="4" t="e">
        <f t="shared" ca="1" si="3222"/>
        <v>#REF!</v>
      </c>
      <c r="DD206" s="693" t="str">
        <f ca="1">IF(LEFT($J203,7)="Clad Wo",IFERROR(VLOOKUP(INDEX(CZ203:CZ214,DC206),SPPWS,2,FALSE),"----"),IFERROR(VLOOKUP(INDEX(CZ203:CZ214,DC206),SPM,2,FALSE),"----"))</f>
        <v>----</v>
      </c>
      <c r="DE206" s="691" t="e">
        <f t="shared" ca="1" si="3223"/>
        <v>#REF!</v>
      </c>
      <c r="DF206" s="4" t="e" cm="1">
        <f t="array" aca="1" ref="DF206" ca="1">IF(AND(INDEX(INDIRECT(BY203),DE206,4)&gt;=$AB209,INDEX(INDIRECT(BY203),DE206,5)&gt;=$S203,INDEX(INDIRECT(BY203),DE206,6)&gt;=$R203),1,0)</f>
        <v>#REF!</v>
      </c>
      <c r="DG206" s="4" t="e">
        <f t="shared" ref="DG206" ca="1" si="3263">MATCH(1,OFFSET(DF203:DF214,DH205,0,COUNT(DF203:DF214)-DH205),0)</f>
        <v>#REF!</v>
      </c>
      <c r="DH206" s="4" t="e">
        <f t="shared" ca="1" si="3225"/>
        <v>#REF!</v>
      </c>
      <c r="DI206" s="692" t="str" cm="1">
        <f t="array" aca="1" ref="DI206" ca="1">IFERROR(VLOOKUP(INDEX(DE203:DE214,DH206),INDIRECT(BY203),2,FALSE),"----")</f>
        <v>----</v>
      </c>
      <c r="DJ206" s="691" t="e">
        <f t="shared" ca="1" si="3226"/>
        <v>#N/A</v>
      </c>
      <c r="DK206" s="4" t="e">
        <f ca="1">IF(AND(INDEX(SSM,DJ206,4)&gt;=$AB209,INDEX(SSM,DJ206,5)&gt;=$S203,INDEX(SSM,DJ206,6)&gt;=$R203),1,0)</f>
        <v>#N/A</v>
      </c>
      <c r="DL206" s="4" t="e">
        <f t="shared" ref="DL206" ca="1" si="3264">MATCH(1,OFFSET(DK203:DK214,DM205,0,COUNT(DK203:DK214)-DM205),0)</f>
        <v>#REF!</v>
      </c>
      <c r="DM206" s="4" t="e">
        <f t="shared" ca="1" si="3228"/>
        <v>#REF!</v>
      </c>
      <c r="DN206" s="692" t="str">
        <f ca="1">IFERROR(IF(AD210="Nested Steel Stud (wood infill)",VLOOKUP(INDEX(DJ203:DJ214,DM206),SSW,2,FALSE),VLOOKUP(INDEX(DJ203:DJ214,DM206),SSM,2,FALSE)),"----")</f>
        <v>----</v>
      </c>
      <c r="DO206" s="691" t="e">
        <f t="shared" ca="1" si="3229"/>
        <v>#N/A</v>
      </c>
      <c r="DP206" s="4" t="e">
        <f ca="1">IF(AND(INDEX(WSM,DO206,4)&gt;=$AB209,INDEX(WSM,DO206,5)&gt;=$S203,INDEX(WSM,DO206,6)&gt;=$R203),1,0)</f>
        <v>#N/A</v>
      </c>
      <c r="DQ206" s="4" t="e">
        <f t="shared" ref="DQ206" ca="1" si="3265">MATCH(1,OFFSET(DP203:DP214,DR205,0,COUNT(DP203:DP214)-DR205),0)</f>
        <v>#REF!</v>
      </c>
      <c r="DR206" s="4" t="e">
        <f t="shared" ca="1" si="3231"/>
        <v>#REF!</v>
      </c>
      <c r="DS206" s="692" t="str">
        <f ca="1">IFERROR(VLOOKUP(INDEX(DO203:DO214,DR206),WSM,2,FALSE),"----")</f>
        <v>----</v>
      </c>
      <c r="DT206" s="691" t="e">
        <f t="shared" ca="1" si="3232"/>
        <v>#N/A</v>
      </c>
      <c r="DU206" s="4" t="e">
        <f ca="1">IF(AND(INDEX(STM,DT206,4)&gt;=$AB209,INDEX(STM,DT206,5)&gt;=$S203,INDEX(STM,DT206,6)&gt;=$R203),1,0)</f>
        <v>#N/A</v>
      </c>
      <c r="DV206" s="4" t="e">
        <f t="shared" ref="DV206" ca="1" si="3266">MATCH(1,OFFSET(DU203:DU214,DW205,0,COUNT(DU203:DU214)-DW205),0)</f>
        <v>#REF!</v>
      </c>
      <c r="DW206" s="4" t="e">
        <f t="shared" ca="1" si="3234"/>
        <v>#REF!</v>
      </c>
      <c r="DX206" s="692" t="str">
        <f ca="1">IFERROR(VLOOKUP(INDEX(DT203:DT214,DW206),STM,2,FALSE),"----")</f>
        <v>----</v>
      </c>
      <c r="DY206" s="691" t="e">
        <f t="shared" ca="1" si="3235"/>
        <v>#N/A</v>
      </c>
      <c r="DZ206" s="4" t="e">
        <f ca="1">IF(AND(INDEX(ELM,DY206,4)&gt;=$AB209,INDEX(ELM,DY206,5)&gt;=$S203,INDEX(ELM,DY206,6)&gt;=$R203),1,0)</f>
        <v>#N/A</v>
      </c>
      <c r="EA206" s="4" t="e">
        <f t="shared" ref="EA206" ca="1" si="3267">MATCH(1,OFFSET(DZ203:DZ214,EB205,0,COUNT(DZ203:DZ214)-EB205),0)</f>
        <v>#REF!</v>
      </c>
      <c r="EB206" s="4" t="e">
        <f t="shared" ca="1" si="3237"/>
        <v>#REF!</v>
      </c>
      <c r="EC206" s="692" t="str">
        <f ca="1">IFERROR(VLOOKUP(INDEX(DY203:DY214,EB206),ELM,2,FALSE),"----")</f>
        <v>----</v>
      </c>
      <c r="ED206" s="691" t="e">
        <f t="shared" ca="1" si="3238"/>
        <v>#N/A</v>
      </c>
      <c r="EE206" s="4" t="e">
        <f ca="1">IF(LEFT($J203,7)="Clad Wo",IF(AND(INDEX(SPPWS,ED206,4)&gt;=$AB209,INDEX(SPPWS,ED206,5)&gt;=$S203,INDEX(SPPWS,ED206,6)&gt;=$R203),1,0),IF(AND(INDEX(SPM,ED206,4)&gt;=$AB209,INDEX(SPM,ED206,5)&gt;=$S203,INDEX(SPM,ED206,6)&gt;=$R203),1,0))</f>
        <v>#N/A</v>
      </c>
      <c r="EF206" s="4" t="e">
        <f t="shared" ref="EF206" ca="1" si="3268">MATCH(1,OFFSET(EE203:EE214,EG205,0,COUNT(EE203:EE214)-EG205),0)</f>
        <v>#REF!</v>
      </c>
      <c r="EG206" s="4" t="e">
        <f t="shared" ca="1" si="3240"/>
        <v>#REF!</v>
      </c>
      <c r="EH206" s="692" t="str">
        <f ca="1">IF(LEFT($J203,7)="Clad Wo",IFERROR(VLOOKUP(INDEX(ED203:ED214,EG206),SPPWS,2,FALSE),"----"),IFERROR(VLOOKUP(INDEX(ED203:ED214,EG206),SPM,2,FALSE),"----"))</f>
        <v>----</v>
      </c>
    </row>
    <row r="207" spans="1:138" ht="15" customHeight="1" x14ac:dyDescent="0.25">
      <c r="A207" s="1085"/>
      <c r="B207" s="925"/>
      <c r="C207" s="926"/>
      <c r="D207" s="927"/>
      <c r="E207" s="995"/>
      <c r="F207" s="996"/>
      <c r="G207" s="997"/>
      <c r="H207" s="1062"/>
      <c r="I207" s="990"/>
      <c r="J207" s="910"/>
      <c r="K207" s="911"/>
      <c r="L207" s="1002"/>
      <c r="M207" s="923"/>
      <c r="N207" s="1042"/>
      <c r="O207" s="1018"/>
      <c r="P207" s="987"/>
      <c r="Q207" s="1015"/>
      <c r="R207" s="1012"/>
      <c r="S207" s="1006"/>
      <c r="T207" s="1007"/>
      <c r="U207" s="878"/>
      <c r="V207" s="881"/>
      <c r="W207" s="884"/>
      <c r="X207" s="884"/>
      <c r="Y207" s="887"/>
      <c r="Z207" s="887"/>
      <c r="AA207" s="887"/>
      <c r="AB207" s="1081"/>
      <c r="AC207" s="1078"/>
      <c r="AD207" s="1070" t="s">
        <v>39</v>
      </c>
      <c r="AE207" s="1071"/>
      <c r="AF207" s="1052"/>
      <c r="AG207" s="1053"/>
      <c r="AH207" s="1053"/>
      <c r="AI207" s="1068"/>
      <c r="AJ207" s="1069"/>
      <c r="AK207" s="154" t="str">
        <f t="shared" ca="1" si="2393"/>
        <v/>
      </c>
      <c r="AL207" s="1039"/>
      <c r="AM207" s="344" t="str">
        <f ca="1">IFERROR(Q203/12*ROUND(VLOOKUP(AF207,OFFSET(ELM,0,1),6,FALSE),2),"")</f>
        <v/>
      </c>
      <c r="AN207" t="str">
        <f t="shared" ca="1" si="2409"/>
        <v/>
      </c>
      <c r="AP207" s="122" t="str">
        <f t="shared" ref="AP207" si="3269">_xlfn.CONCAT(AR207,AS208)</f>
        <v/>
      </c>
      <c r="AQ207" s="683" t="str">
        <f t="shared" si="2617"/>
        <v/>
      </c>
      <c r="AR207" s="4" t="str">
        <f t="shared" si="2378"/>
        <v/>
      </c>
      <c r="AS207" s="4"/>
      <c r="AT207" s="697" t="str">
        <f>AL203</f>
        <v/>
      </c>
      <c r="AU207" s="694" t="e">
        <f t="shared" ca="1" si="2633"/>
        <v>#REF!</v>
      </c>
      <c r="AV207" s="698" t="str">
        <f ca="1">IFERROR(VLOOKUP(AU207,INDIRECT(AQ203),2,FALSE),"----")</f>
        <v>----</v>
      </c>
      <c r="AW207" s="694" t="e">
        <f t="shared" ca="1" si="2634"/>
        <v>#REF!</v>
      </c>
      <c r="AX207" s="698" t="str">
        <f ca="1">IFERROR(VLOOKUP(AW207,INDIRECT(AQ204),2,FALSE),"----")</f>
        <v>----</v>
      </c>
      <c r="AY207" s="694" t="e">
        <f t="shared" ref="AY207" ca="1" si="3270">AY206-1</f>
        <v>#REF!</v>
      </c>
      <c r="AZ207" s="698" t="str">
        <f ca="1">IFERROR(VLOOKUP(AY207,INDIRECT(AQ205),2,FALSE),"----")</f>
        <v>----</v>
      </c>
      <c r="BA207" s="694" t="e">
        <f t="shared" ref="BA207" ca="1" si="3271">BA206-1</f>
        <v>#REF!</v>
      </c>
      <c r="BB207" s="698" t="str">
        <f ca="1">IFERROR(VLOOKUP(BA207,INDIRECT(AQ206),2,FALSE),"----")</f>
        <v>----</v>
      </c>
      <c r="BC207" s="694" t="e">
        <f t="shared" ca="1" si="2635"/>
        <v>#REF!</v>
      </c>
      <c r="BD207" s="698" t="str">
        <f ca="1">IFERROR(VLOOKUP(BC207,INDIRECT(AQ207),2,FALSE),"----")</f>
        <v>----</v>
      </c>
      <c r="BE207" s="694" t="e">
        <f t="shared" ca="1" si="2636"/>
        <v>#REF!</v>
      </c>
      <c r="BF207" s="698" t="str">
        <f ca="1">IFERROR(VLOOKUP(BE207,INDIRECT(AQ208),2,FALSE),"----")</f>
        <v>----</v>
      </c>
      <c r="BG207" s="694" t="e">
        <f t="shared" ca="1" si="2637"/>
        <v>#REF!</v>
      </c>
      <c r="BH207" s="686" t="str">
        <f ca="1">IFERROR(VLOOKUP(BG207,INDIRECT(AQ209),2,FALSE),"----")</f>
        <v>----</v>
      </c>
      <c r="BI207" s="694" t="e">
        <f t="shared" ca="1" si="2638"/>
        <v>#REF!</v>
      </c>
      <c r="BJ207" s="686" t="str">
        <f ca="1">IFERROR(VLOOKUP(BI207,INDIRECT(AQ210),2,FALSE),"----")</f>
        <v>----</v>
      </c>
      <c r="BK207" s="694" t="e">
        <f t="shared" ca="1" si="2639"/>
        <v>#REF!</v>
      </c>
      <c r="BL207" s="686" t="str">
        <f ca="1">IFERROR(VLOOKUP(BK207,INDIRECT(AQ211),2,FALSE),"----")</f>
        <v>----</v>
      </c>
      <c r="BM207" s="694" t="e">
        <f t="shared" ca="1" si="2640"/>
        <v>#REF!</v>
      </c>
      <c r="BN207" s="686" t="str">
        <f ca="1">IFERROR(VLOOKUP(BM207,INDIRECT(AQ212),2,FALSE),"----")</f>
        <v>----</v>
      </c>
      <c r="BO207" s="694" t="e">
        <f t="shared" ca="1" si="2641"/>
        <v>#REF!</v>
      </c>
      <c r="BP207" s="686" t="str">
        <f ca="1">IFERROR(VLOOKUP(BO207,INDIRECT(AQ213),2,FALSE),"----")</f>
        <v>----</v>
      </c>
      <c r="BQ207" s="694" t="e">
        <f t="shared" ca="1" si="2642"/>
        <v>#REF!</v>
      </c>
      <c r="BR207" s="686" t="str">
        <f ca="1">IFERROR(VLOOKUP(BQ207,INDIRECT(AQ214),2,FALSE),"----")</f>
        <v>----</v>
      </c>
      <c r="BS207" s="695">
        <f>IF(AI207="",1,IF(COUNTIF(BD203:BD214,AI207)=0,2,1))</f>
        <v>1</v>
      </c>
      <c r="BT207" s="696">
        <f>IF(AF207="",1,IF(BD203=".",2,1))</f>
        <v>1</v>
      </c>
      <c r="BU207" s="706"/>
      <c r="BV207" s="155">
        <f ca="1">IF(COUNTIF(CY203:CY214,AF207)=0,IF(AF207&lt;&gt;"",0,1),1)</f>
        <v>1</v>
      </c>
      <c r="BW207" s="157">
        <f ca="1">IFERROR(MATCH(AF207,CY203:CY214,0),1)</f>
        <v>1</v>
      </c>
      <c r="BX207" s="769"/>
      <c r="BY207" s="769"/>
      <c r="BZ207" s="1110"/>
      <c r="CA207" s="691" t="e">
        <f t="shared" ca="1" si="3205"/>
        <v>#REF!</v>
      </c>
      <c r="CB207" s="4" t="e" cm="1">
        <f t="array" aca="1" ref="CB207" ca="1">IF(AND(INDEX(INDIRECT(BY203),CA207,4)&gt;=$AB203,INDEX(INDIRECT(BY203),CA207,5)&gt;=$S203,INDEX(INDIRECT(BY203),CA207,6)&gt;=$R203),1,0)</f>
        <v>#REF!</v>
      </c>
      <c r="CC207" s="4" t="e">
        <f t="shared" ref="CC207" ca="1" si="3272">MATCH(1,OFFSET(CB203:CB214,CD206,0,COUNT(CB203:CB214)-CD206),0)</f>
        <v>#REF!</v>
      </c>
      <c r="CD207" s="4" t="e">
        <f t="shared" ca="1" si="3207"/>
        <v>#REF!</v>
      </c>
      <c r="CE207" s="692" t="str" cm="1">
        <f t="array" aca="1" ref="CE207" ca="1">IFERROR(VLOOKUP(INDEX(CA203:CA214,CD207),INDIRECT(BY203),2,FALSE),"----")</f>
        <v>----</v>
      </c>
      <c r="CF207" s="691" t="e">
        <f t="shared" ca="1" si="3208"/>
        <v>#N/A</v>
      </c>
      <c r="CG207" s="4" t="e">
        <f ca="1">IF(AND(INDEX(SSM,CF207,4)&gt;=$AB203,INDEX(SSM,CF207,5)&gt;=$S203,INDEX(SSM,CF207,6)&gt;=$R203),1,0)</f>
        <v>#N/A</v>
      </c>
      <c r="CH207" s="4" t="e">
        <f t="shared" ref="CH207" ca="1" si="3273">MATCH(1,OFFSET(CG203:CG214,CI206,0,COUNT(CG203:CG214)-CI206),0)</f>
        <v>#REF!</v>
      </c>
      <c r="CI207" s="4" t="e">
        <f t="shared" ca="1" si="3210"/>
        <v>#REF!</v>
      </c>
      <c r="CJ207" s="692" t="str">
        <f ca="1">IFERROR(IF(AD204="Nested Steel Stud (wood infill)",VLOOKUP(INDEX(CF203:CF214,CI207),SSW,2,FALSE),VLOOKUP(INDEX(CF203:CF214,CI207),SSM,2,FALSE)),"----")</f>
        <v>----</v>
      </c>
      <c r="CK207" s="691" t="e">
        <f t="shared" ca="1" si="3211"/>
        <v>#N/A</v>
      </c>
      <c r="CL207" s="4" t="e">
        <f ca="1">IF(AND(INDEX(WSM,CK207,4)&gt;=$AB203,INDEX(WSM,CK207,5)&gt;=$S203,INDEX(WSM,CK207,6)&gt;=$R203),1,0)</f>
        <v>#N/A</v>
      </c>
      <c r="CM207" s="4" t="e">
        <f t="shared" ref="CM207" ca="1" si="3274">MATCH(1,OFFSET(CL203:CL214,CN206,0,COUNT(CL203:CL214)-CN206),0)</f>
        <v>#REF!</v>
      </c>
      <c r="CN207" s="4" t="e">
        <f t="shared" ca="1" si="3213"/>
        <v>#REF!</v>
      </c>
      <c r="CO207" s="692" t="str">
        <f ca="1">IFERROR(VLOOKUP(INDEX(CK203:CK214,CN207),WSM,2,FALSE),"----")</f>
        <v>----</v>
      </c>
      <c r="CP207" s="691" t="e">
        <f t="shared" ca="1" si="3214"/>
        <v>#N/A</v>
      </c>
      <c r="CQ207" s="4" t="e">
        <f ca="1">IF(AND(INDEX(STM,CP207,4)&gt;=$AB203,INDEX(STM,CP207,5)&gt;=$S203,INDEX(STM,CP207,6)&gt;=$R203),1,0)</f>
        <v>#N/A</v>
      </c>
      <c r="CR207" s="4" t="e">
        <f t="shared" ref="CR207" ca="1" si="3275">MATCH(1,OFFSET(CQ203:CQ214,CS206,0,COUNT(CQ203:CQ214)-CS206),0)</f>
        <v>#REF!</v>
      </c>
      <c r="CS207" s="4" t="e">
        <f t="shared" ca="1" si="3216"/>
        <v>#REF!</v>
      </c>
      <c r="CT207" s="692" t="str">
        <f ca="1">IFERROR(VLOOKUP(INDEX(CP203:CP214,CS207),STM,2,FALSE),"----")</f>
        <v>----</v>
      </c>
      <c r="CU207" s="691" t="e">
        <f t="shared" ca="1" si="3217"/>
        <v>#N/A</v>
      </c>
      <c r="CV207" s="4" t="e">
        <f ca="1">IF(AND(INDEX(ELM,CU207,4)&gt;=$AB203,INDEX(ELM,CU207,5)&gt;=$S203,INDEX(ELM,CU207,6)&gt;=$R203),1,0)</f>
        <v>#N/A</v>
      </c>
      <c r="CW207" s="4" t="e">
        <f t="shared" ref="CW207" ca="1" si="3276">MATCH(1,OFFSET(CV203:CV214,CX206,0,COUNT(CV203:CV214)-CX206),0)</f>
        <v>#REF!</v>
      </c>
      <c r="CX207" s="4" t="e">
        <f t="shared" ca="1" si="3219"/>
        <v>#REF!</v>
      </c>
      <c r="CY207" s="692" t="str">
        <f ca="1">IFERROR(VLOOKUP(INDEX(CU203:CU214,CX207),ELM,2,FALSE),"----")</f>
        <v>----</v>
      </c>
      <c r="CZ207" s="691" t="e">
        <f t="shared" ca="1" si="3220"/>
        <v>#N/A</v>
      </c>
      <c r="DA207" s="4" t="e">
        <f ca="1">IF(LEFT($J203,7)="Clad Wo",IF(AND(INDEX(SPPWS,CZ207,4)&gt;=$AB203,INDEX(SPPWS,CZ207,5)&gt;=$S203,INDEX(SPPWS,CZ207,6)&gt;=$R203),1,0),IF(AND(INDEX(SPM,CZ207,4)&gt;=$AB203,INDEX(SPM,CZ207,5)&gt;=$S203,INDEX(SPM,CZ207,6)&gt;=$R203),1,0))</f>
        <v>#N/A</v>
      </c>
      <c r="DB207" s="4" t="e">
        <f t="shared" ref="DB207" ca="1" si="3277">MATCH(1,OFFSET(DA203:DA214,DC206,0,COUNT(DA203:DA214)-DC206),0)</f>
        <v>#REF!</v>
      </c>
      <c r="DC207" s="4" t="e">
        <f t="shared" ca="1" si="3222"/>
        <v>#REF!</v>
      </c>
      <c r="DD207" s="693" t="str">
        <f ca="1">IF(LEFT($J203,7)="Clad Wo",IFERROR(VLOOKUP(INDEX(CZ203:CZ214,DC207),SPPWS,2,FALSE),"----"),IFERROR(VLOOKUP(INDEX(CZ203:CZ214,DC207),SPM,2,FALSE),"----"))</f>
        <v>----</v>
      </c>
      <c r="DE207" s="691" t="e">
        <f t="shared" ca="1" si="3223"/>
        <v>#REF!</v>
      </c>
      <c r="DF207" s="4" t="e" cm="1">
        <f t="array" aca="1" ref="DF207" ca="1">IF(AND(INDEX(INDIRECT(BY203),DE207,4)&gt;=$AB209,INDEX(INDIRECT(BY203),DE207,5)&gt;=$S203,INDEX(INDIRECT(BY203),DE207,6)&gt;=$R203),1,0)</f>
        <v>#REF!</v>
      </c>
      <c r="DG207" s="4" t="e">
        <f t="shared" ref="DG207" ca="1" si="3278">MATCH(1,OFFSET(DF203:DF214,DH206,0,COUNT(DF203:DF214)-DH206),0)</f>
        <v>#REF!</v>
      </c>
      <c r="DH207" s="4" t="e">
        <f t="shared" ca="1" si="3225"/>
        <v>#REF!</v>
      </c>
      <c r="DI207" s="692" t="str" cm="1">
        <f t="array" aca="1" ref="DI207" ca="1">IFERROR(VLOOKUP(INDEX(DE203:DE214,DH207),INDIRECT(BY203),2,FALSE),"----")</f>
        <v>----</v>
      </c>
      <c r="DJ207" s="691" t="e">
        <f t="shared" ca="1" si="3226"/>
        <v>#N/A</v>
      </c>
      <c r="DK207" s="4" t="e">
        <f ca="1">IF(AND(INDEX(SSM,DJ207,4)&gt;=$AB209,INDEX(SSM,DJ207,5)&gt;=$S203,INDEX(SSM,DJ207,6)&gt;=$R203),1,0)</f>
        <v>#N/A</v>
      </c>
      <c r="DL207" s="4" t="e">
        <f t="shared" ref="DL207" ca="1" si="3279">MATCH(1,OFFSET(DK203:DK214,DM206,0,COUNT(DK203:DK214)-DM206),0)</f>
        <v>#REF!</v>
      </c>
      <c r="DM207" s="4" t="e">
        <f t="shared" ca="1" si="3228"/>
        <v>#REF!</v>
      </c>
      <c r="DN207" s="692" t="str">
        <f ca="1">IFERROR(IF(AD210="Nested Steel Stud (wood infill)",VLOOKUP(INDEX(DJ203:DJ214,DM207),SSW,2,FALSE),VLOOKUP(INDEX(DJ203:DJ214,DM207),SSM,2,FALSE)),"----")</f>
        <v>----</v>
      </c>
      <c r="DO207" s="691" t="e">
        <f t="shared" ca="1" si="3229"/>
        <v>#N/A</v>
      </c>
      <c r="DP207" s="4" t="e">
        <f ca="1">IF(AND(INDEX(WSM,DO207,4)&gt;=$AB209,INDEX(WSM,DO207,5)&gt;=$S203,INDEX(WSM,DO207,6)&gt;=$R203),1,0)</f>
        <v>#N/A</v>
      </c>
      <c r="DQ207" s="4" t="e">
        <f t="shared" ref="DQ207" ca="1" si="3280">MATCH(1,OFFSET(DP203:DP214,DR206,0,COUNT(DP203:DP214)-DR206),0)</f>
        <v>#REF!</v>
      </c>
      <c r="DR207" s="4" t="e">
        <f t="shared" ca="1" si="3231"/>
        <v>#REF!</v>
      </c>
      <c r="DS207" s="692" t="str">
        <f ca="1">IFERROR(VLOOKUP(INDEX(DO203:DO214,DR207),WSM,2,FALSE),"----")</f>
        <v>----</v>
      </c>
      <c r="DT207" s="691" t="e">
        <f t="shared" ca="1" si="3232"/>
        <v>#N/A</v>
      </c>
      <c r="DU207" s="4" t="e">
        <f ca="1">IF(AND(INDEX(STM,DT207,4)&gt;=$AB209,INDEX(STM,DT207,5)&gt;=$S203,INDEX(STM,DT207,6)&gt;=$R203),1,0)</f>
        <v>#N/A</v>
      </c>
      <c r="DV207" s="4" t="e">
        <f t="shared" ref="DV207" ca="1" si="3281">MATCH(1,OFFSET(DU203:DU214,DW206,0,COUNT(DU203:DU214)-DW206),0)</f>
        <v>#REF!</v>
      </c>
      <c r="DW207" s="4" t="e">
        <f t="shared" ca="1" si="3234"/>
        <v>#REF!</v>
      </c>
      <c r="DX207" s="692" t="str">
        <f ca="1">IFERROR(VLOOKUP(INDEX(DT203:DT214,DW207),STM,2,FALSE),"----")</f>
        <v>----</v>
      </c>
      <c r="DY207" s="691" t="e">
        <f t="shared" ca="1" si="3235"/>
        <v>#N/A</v>
      </c>
      <c r="DZ207" s="4" t="e">
        <f ca="1">IF(AND(INDEX(ELM,DY207,4)&gt;=$AB209,INDEX(ELM,DY207,5)&gt;=$S203,INDEX(ELM,DY207,6)&gt;=$R203),1,0)</f>
        <v>#N/A</v>
      </c>
      <c r="EA207" s="4" t="e">
        <f t="shared" ref="EA207" ca="1" si="3282">MATCH(1,OFFSET(DZ203:DZ214,EB206,0,COUNT(DZ203:DZ214)-EB206),0)</f>
        <v>#REF!</v>
      </c>
      <c r="EB207" s="4" t="e">
        <f t="shared" ca="1" si="3237"/>
        <v>#REF!</v>
      </c>
      <c r="EC207" s="692" t="str">
        <f ca="1">IFERROR(VLOOKUP(INDEX(DY203:DY214,EB207),ELM,2,FALSE),"----")</f>
        <v>----</v>
      </c>
      <c r="ED207" s="691" t="e">
        <f t="shared" ca="1" si="3238"/>
        <v>#N/A</v>
      </c>
      <c r="EE207" s="4" t="e">
        <f ca="1">IF(LEFT($J203,7)="Clad Wo",IF(AND(INDEX(SPPWS,ED207,4)&gt;=$AB209,INDEX(SPPWS,ED207,5)&gt;=$S203,INDEX(SPPWS,ED207,6)&gt;=$R203),1,0),IF(AND(INDEX(SPM,ED207,4)&gt;=$AB209,INDEX(SPM,ED207,5)&gt;=$S203,INDEX(SPM,ED207,6)&gt;=$R203),1,0))</f>
        <v>#N/A</v>
      </c>
      <c r="EF207" s="4" t="e">
        <f t="shared" ref="EF207" ca="1" si="3283">MATCH(1,OFFSET(EE203:EE214,EG206,0,COUNT(EE203:EE214)-EG206),0)</f>
        <v>#REF!</v>
      </c>
      <c r="EG207" s="4" t="e">
        <f t="shared" ca="1" si="3240"/>
        <v>#REF!</v>
      </c>
      <c r="EH207" s="692" t="str">
        <f ca="1">IF(LEFT($J203,7)="Clad Wo",IFERROR(VLOOKUP(INDEX(ED203:ED214,EG207),SPPWS,2,FALSE),"----"),IFERROR(VLOOKUP(INDEX(ED203:ED214,EG207),SPM,2,FALSE),"----"))</f>
        <v>----</v>
      </c>
    </row>
    <row r="208" spans="1:138" ht="15" customHeight="1" thickBot="1" x14ac:dyDescent="0.3">
      <c r="A208" s="1085"/>
      <c r="B208" s="934"/>
      <c r="C208" s="935"/>
      <c r="D208" s="936"/>
      <c r="E208" s="995"/>
      <c r="F208" s="996"/>
      <c r="G208" s="997"/>
      <c r="H208" s="1062"/>
      <c r="I208" s="990"/>
      <c r="J208" s="908"/>
      <c r="K208" s="909"/>
      <c r="L208" s="1010"/>
      <c r="M208" s="924"/>
      <c r="N208" s="1044"/>
      <c r="O208" s="1018"/>
      <c r="P208" s="987"/>
      <c r="Q208" s="1015"/>
      <c r="R208" s="1012"/>
      <c r="S208" s="1006"/>
      <c r="T208" s="1007"/>
      <c r="U208" s="878"/>
      <c r="V208" s="881"/>
      <c r="W208" s="889"/>
      <c r="X208" s="884"/>
      <c r="Y208" s="890"/>
      <c r="Z208" s="890"/>
      <c r="AA208" s="887"/>
      <c r="AB208" s="1084"/>
      <c r="AC208" s="1079"/>
      <c r="AD208" s="1072" t="str">
        <f t="shared" ref="AD208" si="3284">IF(LEFT(J203,7)="Clad Wo","Pella Wood Spr / Steel Pte","Steel Plate")</f>
        <v>Steel Plate</v>
      </c>
      <c r="AE208" s="1073"/>
      <c r="AF208" s="1054"/>
      <c r="AG208" s="1055"/>
      <c r="AH208" s="1055"/>
      <c r="AI208" s="1092"/>
      <c r="AJ208" s="1093"/>
      <c r="AK208" s="159" t="str">
        <f t="shared" ca="1" si="2393"/>
        <v/>
      </c>
      <c r="AL208" s="1040"/>
      <c r="AM208" s="345" t="str">
        <f ca="1">IFERROR(Q203/12*ROUND(VLOOKUP(AF208,OFFSET(SPM,0,1),6,FALSE),2),"")</f>
        <v/>
      </c>
      <c r="AN208" t="str">
        <f t="shared" ca="1" si="2409"/>
        <v/>
      </c>
      <c r="AP208" s="699" t="str">
        <f t="shared" ref="AP208" si="3285">_xlfn.CONCAT(AR208,AS208)</f>
        <v/>
      </c>
      <c r="AQ208" s="700" t="str">
        <f t="shared" si="2617"/>
        <v/>
      </c>
      <c r="AR208" s="160" t="str">
        <f t="shared" si="2378"/>
        <v/>
      </c>
      <c r="AS208" s="160" t="str">
        <f>IFERROR(VLOOKUP(J211, WallType,2,FALSE),"")</f>
        <v/>
      </c>
      <c r="AT208" s="701" t="str">
        <f>AL203</f>
        <v/>
      </c>
      <c r="AU208" s="694" t="e">
        <f t="shared" ca="1" si="2633"/>
        <v>#REF!</v>
      </c>
      <c r="AV208" s="698" t="str">
        <f ca="1">IFERROR(VLOOKUP(AU208,INDIRECT(AQ203),2,FALSE),"----")</f>
        <v>----</v>
      </c>
      <c r="AW208" s="702" t="e">
        <f t="shared" ca="1" si="2634"/>
        <v>#REF!</v>
      </c>
      <c r="AX208" s="698" t="str">
        <f ca="1">IFERROR(VLOOKUP(AW208,INDIRECT(AQ204),2,FALSE),"----")</f>
        <v>----</v>
      </c>
      <c r="AY208" s="702" t="e">
        <f t="shared" ref="AY208" ca="1" si="3286">AY207-1</f>
        <v>#REF!</v>
      </c>
      <c r="AZ208" s="698" t="str">
        <f ca="1">IFERROR(VLOOKUP(AY208,INDIRECT(AQ205),2,FALSE),"----")</f>
        <v>----</v>
      </c>
      <c r="BA208" s="702" t="e">
        <f t="shared" ref="BA208" ca="1" si="3287">BA207-1</f>
        <v>#REF!</v>
      </c>
      <c r="BB208" s="698" t="str">
        <f ca="1">IFERROR(VLOOKUP(BA208,INDIRECT(AQ206),2,FALSE),"----")</f>
        <v>----</v>
      </c>
      <c r="BC208" s="702" t="e">
        <f t="shared" ca="1" si="2635"/>
        <v>#REF!</v>
      </c>
      <c r="BD208" s="698" t="str">
        <f ca="1">IFERROR(VLOOKUP(BC208,INDIRECT(AQ207),2,FALSE),"----")</f>
        <v>----</v>
      </c>
      <c r="BE208" s="702" t="e">
        <f t="shared" ca="1" si="2636"/>
        <v>#REF!</v>
      </c>
      <c r="BF208" s="698" t="str">
        <f ca="1">IFERROR(VLOOKUP(BE208,INDIRECT(AQ208),2,FALSE),"----")</f>
        <v>----</v>
      </c>
      <c r="BG208" s="702" t="e">
        <f t="shared" ca="1" si="2637"/>
        <v>#REF!</v>
      </c>
      <c r="BH208" s="686" t="str">
        <f ca="1">IFERROR(VLOOKUP(BG208,INDIRECT(AQ209),2,FALSE),"----")</f>
        <v>----</v>
      </c>
      <c r="BI208" s="702" t="e">
        <f t="shared" ca="1" si="2638"/>
        <v>#REF!</v>
      </c>
      <c r="BJ208" s="686" t="str">
        <f ca="1">IFERROR(VLOOKUP(BI208,INDIRECT(AQ210),2,FALSE),"----")</f>
        <v>----</v>
      </c>
      <c r="BK208" s="702" t="e">
        <f t="shared" ca="1" si="2639"/>
        <v>#REF!</v>
      </c>
      <c r="BL208" s="686" t="str">
        <f ca="1">IFERROR(VLOOKUP(BK208,INDIRECT(AQ211),2,FALSE),"----")</f>
        <v>----</v>
      </c>
      <c r="BM208" s="702" t="e">
        <f t="shared" ca="1" si="2640"/>
        <v>#REF!</v>
      </c>
      <c r="BN208" s="686" t="str">
        <f ca="1">IFERROR(VLOOKUP(BM208,INDIRECT(AQ212),2,FALSE),"----")</f>
        <v>----</v>
      </c>
      <c r="BO208" s="702" t="e">
        <f t="shared" ca="1" si="2641"/>
        <v>#REF!</v>
      </c>
      <c r="BP208" s="686" t="str">
        <f ca="1">IFERROR(VLOOKUP(BO208,INDIRECT(AQ213),2,FALSE),"----")</f>
        <v>----</v>
      </c>
      <c r="BQ208" s="702" t="e">
        <f t="shared" ca="1" si="2642"/>
        <v>#REF!</v>
      </c>
      <c r="BR208" s="686" t="str">
        <f ca="1">IFERROR(VLOOKUP(BQ208,INDIRECT(AQ214),2,FALSE),"----")</f>
        <v>----</v>
      </c>
      <c r="BS208" s="703">
        <f>IF(AI208="",1,IF(COUNTIF(BF203:BF214,AI208)=0,2,1))</f>
        <v>1</v>
      </c>
      <c r="BT208" s="704">
        <f>IF(AF208="",1,IF(BF203=".",2,1))</f>
        <v>1</v>
      </c>
      <c r="BV208" s="155">
        <f ca="1">IF(COUNTIF(DD203:DD214,AF208)=0,IF(AF208&lt;&gt;"",0,1),1)</f>
        <v>1</v>
      </c>
      <c r="BW208" s="157">
        <f ca="1">IFERROR(MATCH(AF208,DD203:DD214,0),1)</f>
        <v>1</v>
      </c>
      <c r="BX208" s="875" t="s">
        <v>1594</v>
      </c>
      <c r="BY208" s="876"/>
      <c r="BZ208" s="1110"/>
      <c r="CA208" s="691" t="e">
        <f t="shared" ca="1" si="3205"/>
        <v>#REF!</v>
      </c>
      <c r="CB208" s="4" t="e" cm="1">
        <f t="array" aca="1" ref="CB208" ca="1">IF(AND(INDEX(INDIRECT(BY203),CA208,4)&gt;=$AB203,INDEX(INDIRECT(BY203),CA208,5)&gt;=$S203,INDEX(INDIRECT(BY203),CA208,6)&gt;=$R203),1,0)</f>
        <v>#REF!</v>
      </c>
      <c r="CC208" s="4" t="e">
        <f t="shared" ref="CC208" ca="1" si="3288">MATCH(1,OFFSET(CB203:CB214,CD207,0,COUNT(CB203:CB214)-CD207),0)</f>
        <v>#REF!</v>
      </c>
      <c r="CD208" s="4" t="e">
        <f t="shared" ca="1" si="3207"/>
        <v>#REF!</v>
      </c>
      <c r="CE208" s="692" t="str" cm="1">
        <f t="array" aca="1" ref="CE208" ca="1">IFERROR(VLOOKUP(INDEX(CA203:CA214,CD208),INDIRECT(BY203),2,FALSE),"----")</f>
        <v>----</v>
      </c>
      <c r="CF208" s="691" t="e">
        <f t="shared" ca="1" si="3208"/>
        <v>#N/A</v>
      </c>
      <c r="CG208" s="4" t="e">
        <f ca="1">IF(AND(INDEX(SSM,CF208,4)&gt;=$AB203,INDEX(SSM,CF208,5)&gt;=$S203,INDEX(SSM,CF208,6)&gt;=$R203),1,0)</f>
        <v>#N/A</v>
      </c>
      <c r="CH208" s="4" t="e">
        <f t="shared" ref="CH208" ca="1" si="3289">MATCH(1,OFFSET(CG203:CG214,CI207,0,COUNT(CG203:CG214)-CI207),0)</f>
        <v>#REF!</v>
      </c>
      <c r="CI208" s="4" t="e">
        <f t="shared" ca="1" si="3210"/>
        <v>#REF!</v>
      </c>
      <c r="CJ208" s="692" t="str">
        <f ca="1">IFERROR(IF(AD204="Nested Steel Stud (wood infill)",VLOOKUP(INDEX(CF203:CF214,CI208),SSW,2,FALSE),VLOOKUP(INDEX(CF203:CF214,CI208),SSM,2,FALSE)),"----")</f>
        <v>----</v>
      </c>
      <c r="CK208" s="691" t="e">
        <f t="shared" ca="1" si="3211"/>
        <v>#N/A</v>
      </c>
      <c r="CL208" s="4" t="e">
        <f ca="1">IF(AND(INDEX(WSM,CK208,4)&gt;=$AB203,INDEX(WSM,CK208,5)&gt;=$S203,INDEX(WSM,CK208,6)&gt;=$R203),1,0)</f>
        <v>#N/A</v>
      </c>
      <c r="CM208" s="4" t="e">
        <f t="shared" ref="CM208" ca="1" si="3290">MATCH(1,OFFSET(CL203:CL214,CN207,0,COUNT(CL203:CL214)-CN207),0)</f>
        <v>#REF!</v>
      </c>
      <c r="CN208" s="4" t="e">
        <f t="shared" ca="1" si="3213"/>
        <v>#REF!</v>
      </c>
      <c r="CO208" s="692" t="str">
        <f ca="1">IFERROR(VLOOKUP(INDEX(CK203:CK214,CN208),WSM,2,FALSE),"----")</f>
        <v>----</v>
      </c>
      <c r="CP208" s="691" t="e">
        <f t="shared" ca="1" si="3214"/>
        <v>#N/A</v>
      </c>
      <c r="CQ208" s="4" t="e">
        <f ca="1">IF(AND(INDEX(STM,CP208,4)&gt;=$AB203,INDEX(STM,CP208,5)&gt;=$S203,INDEX(STM,CP208,6)&gt;=$R203),1,0)</f>
        <v>#N/A</v>
      </c>
      <c r="CR208" s="4" t="e">
        <f t="shared" ref="CR208" ca="1" si="3291">MATCH(1,OFFSET(CQ203:CQ214,CS207,0,COUNT(CQ203:CQ214)-CS207),0)</f>
        <v>#REF!</v>
      </c>
      <c r="CS208" s="4" t="e">
        <f t="shared" ca="1" si="3216"/>
        <v>#REF!</v>
      </c>
      <c r="CT208" s="692" t="str">
        <f ca="1">IFERROR(VLOOKUP(INDEX(CP203:CP214,CS208),STM,2,FALSE),"----")</f>
        <v>----</v>
      </c>
      <c r="CU208" s="691" t="e">
        <f t="shared" ca="1" si="3217"/>
        <v>#N/A</v>
      </c>
      <c r="CV208" s="4" t="e">
        <f ca="1">IF(AND(INDEX(ELM,CU208,4)&gt;=$AB203,INDEX(ELM,CU208,5)&gt;=$S203,INDEX(ELM,CU208,6)&gt;=$R203),1,0)</f>
        <v>#N/A</v>
      </c>
      <c r="CW208" s="4" t="e">
        <f t="shared" ref="CW208" ca="1" si="3292">MATCH(1,OFFSET(CV203:CV214,CX207,0,COUNT(CV203:CV214)-CX207),0)</f>
        <v>#REF!</v>
      </c>
      <c r="CX208" s="4" t="e">
        <f t="shared" ca="1" si="3219"/>
        <v>#REF!</v>
      </c>
      <c r="CY208" s="692" t="str">
        <f ca="1">IFERROR(VLOOKUP(INDEX(CU203:CU214,CX208),ELM,2,FALSE),"----")</f>
        <v>----</v>
      </c>
      <c r="CZ208" s="691" t="e">
        <f t="shared" ca="1" si="3220"/>
        <v>#N/A</v>
      </c>
      <c r="DA208" s="4" t="e">
        <f ca="1">IF(LEFT($J203,7)="Clad Wo",IF(AND(INDEX(SPPWS,CZ208,4)&gt;=$AB203,INDEX(SPPWS,CZ208,5)&gt;=$S203,INDEX(SPPWS,CZ208,6)&gt;=$R203),1,0),IF(AND(INDEX(SPM,CZ208,4)&gt;=$AB203,INDEX(SPM,CZ208,5)&gt;=$S203,INDEX(SPM,CZ208,6)&gt;=$R203),1,0))</f>
        <v>#N/A</v>
      </c>
      <c r="DB208" s="4" t="e">
        <f t="shared" ref="DB208" ca="1" si="3293">MATCH(1,OFFSET(DA203:DA214,DC207,0,COUNT(DA203:DA214)-DC207),0)</f>
        <v>#REF!</v>
      </c>
      <c r="DC208" s="4" t="e">
        <f t="shared" ca="1" si="3222"/>
        <v>#REF!</v>
      </c>
      <c r="DD208" s="693" t="str">
        <f ca="1">IF(LEFT($J203,7)="Clad Wo",IFERROR(VLOOKUP(INDEX(CZ203:CZ214,DC208),SPPWS,2,FALSE),"----"),IFERROR(VLOOKUP(INDEX(CZ203:CZ214,DC208),SPM,2,FALSE),"----"))</f>
        <v>----</v>
      </c>
      <c r="DE208" s="691" t="e">
        <f t="shared" ca="1" si="3223"/>
        <v>#REF!</v>
      </c>
      <c r="DF208" s="4" t="e" cm="1">
        <f t="array" aca="1" ref="DF208" ca="1">IF(AND(INDEX(INDIRECT(BY203),DE208,4)&gt;=$AB209,INDEX(INDIRECT(BY203),DE208,5)&gt;=$S203,INDEX(INDIRECT(BY203),DE208,6)&gt;=$R203),1,0)</f>
        <v>#REF!</v>
      </c>
      <c r="DG208" s="4" t="e">
        <f t="shared" ref="DG208" ca="1" si="3294">MATCH(1,OFFSET(DF203:DF214,DH207,0,COUNT(DF203:DF214)-DH207),0)</f>
        <v>#REF!</v>
      </c>
      <c r="DH208" s="4" t="e">
        <f t="shared" ca="1" si="3225"/>
        <v>#REF!</v>
      </c>
      <c r="DI208" s="692" t="str" cm="1">
        <f t="array" aca="1" ref="DI208" ca="1">IFERROR(VLOOKUP(INDEX(DE203:DE214,DH208),INDIRECT(BY203),2,FALSE),"----")</f>
        <v>----</v>
      </c>
      <c r="DJ208" s="691" t="e">
        <f t="shared" ca="1" si="3226"/>
        <v>#N/A</v>
      </c>
      <c r="DK208" s="4" t="e">
        <f ca="1">IF(AND(INDEX(SSM,DJ208,4)&gt;=$AB209,INDEX(SSM,DJ208,5)&gt;=$S203,INDEX(SSM,DJ208,6)&gt;=$R203),1,0)</f>
        <v>#N/A</v>
      </c>
      <c r="DL208" s="4" t="e">
        <f t="shared" ref="DL208" ca="1" si="3295">MATCH(1,OFFSET(DK203:DK214,DM207,0,COUNT(DK203:DK214)-DM207),0)</f>
        <v>#REF!</v>
      </c>
      <c r="DM208" s="4" t="e">
        <f t="shared" ca="1" si="3228"/>
        <v>#REF!</v>
      </c>
      <c r="DN208" s="692" t="str">
        <f ca="1">IFERROR(IF(AD210="Nested Steel Stud (wood infill)",VLOOKUP(INDEX(DJ203:DJ214,DM208),SSW,2,FALSE),VLOOKUP(INDEX(DJ203:DJ214,DM208),SSM,2,FALSE)),"----")</f>
        <v>----</v>
      </c>
      <c r="DO208" s="691" t="e">
        <f t="shared" ca="1" si="3229"/>
        <v>#N/A</v>
      </c>
      <c r="DP208" s="4" t="e">
        <f ca="1">IF(AND(INDEX(WSM,DO208,4)&gt;=$AB209,INDEX(WSM,DO208,5)&gt;=$S203,INDEX(WSM,DO208,6)&gt;=$R203),1,0)</f>
        <v>#N/A</v>
      </c>
      <c r="DQ208" s="4" t="e">
        <f t="shared" ref="DQ208" ca="1" si="3296">MATCH(1,OFFSET(DP203:DP214,DR207,0,COUNT(DP203:DP214)-DR207),0)</f>
        <v>#REF!</v>
      </c>
      <c r="DR208" s="4" t="e">
        <f t="shared" ca="1" si="3231"/>
        <v>#REF!</v>
      </c>
      <c r="DS208" s="692" t="str">
        <f ca="1">IFERROR(VLOOKUP(INDEX(DO203:DO214,DR208),WSM,2,FALSE),"----")</f>
        <v>----</v>
      </c>
      <c r="DT208" s="691" t="e">
        <f t="shared" ca="1" si="3232"/>
        <v>#N/A</v>
      </c>
      <c r="DU208" s="4" t="e">
        <f ca="1">IF(AND(INDEX(STM,DT208,4)&gt;=$AB209,INDEX(STM,DT208,5)&gt;=$S203,INDEX(STM,DT208,6)&gt;=$R203),1,0)</f>
        <v>#N/A</v>
      </c>
      <c r="DV208" s="4" t="e">
        <f t="shared" ref="DV208" ca="1" si="3297">MATCH(1,OFFSET(DU203:DU214,DW207,0,COUNT(DU203:DU214)-DW207),0)</f>
        <v>#REF!</v>
      </c>
      <c r="DW208" s="4" t="e">
        <f t="shared" ca="1" si="3234"/>
        <v>#REF!</v>
      </c>
      <c r="DX208" s="692" t="str">
        <f ca="1">IFERROR(VLOOKUP(INDEX(DT203:DT214,DW208),STM,2,FALSE),"----")</f>
        <v>----</v>
      </c>
      <c r="DY208" s="691" t="e">
        <f t="shared" ca="1" si="3235"/>
        <v>#N/A</v>
      </c>
      <c r="DZ208" s="4" t="e">
        <f ca="1">IF(AND(INDEX(ELM,DY208,4)&gt;=$AB209,INDEX(ELM,DY208,5)&gt;=$S203,INDEX(ELM,DY208,6)&gt;=$R203),1,0)</f>
        <v>#N/A</v>
      </c>
      <c r="EA208" s="4" t="e">
        <f t="shared" ref="EA208" ca="1" si="3298">MATCH(1,OFFSET(DZ203:DZ214,EB207,0,COUNT(DZ203:DZ214)-EB207),0)</f>
        <v>#REF!</v>
      </c>
      <c r="EB208" s="4" t="e">
        <f t="shared" ca="1" si="3237"/>
        <v>#REF!</v>
      </c>
      <c r="EC208" s="692" t="str">
        <f ca="1">IFERROR(VLOOKUP(INDEX(DY203:DY214,EB208),ELM,2,FALSE),"----")</f>
        <v>----</v>
      </c>
      <c r="ED208" s="691" t="e">
        <f t="shared" ca="1" si="3238"/>
        <v>#N/A</v>
      </c>
      <c r="EE208" s="4" t="e">
        <f ca="1">IF(LEFT($J203,7)="Clad Wo",IF(AND(INDEX(SPPWS,ED208,4)&gt;=$AB209,INDEX(SPPWS,ED208,5)&gt;=$S203,INDEX(SPPWS,ED208,6)&gt;=$R203),1,0),IF(AND(INDEX(SPM,ED208,4)&gt;=$AB209,INDEX(SPM,ED208,5)&gt;=$S203,INDEX(SPM,ED208,6)&gt;=$R203),1,0))</f>
        <v>#N/A</v>
      </c>
      <c r="EF208" s="4" t="e">
        <f t="shared" ref="EF208" ca="1" si="3299">MATCH(1,OFFSET(EE203:EE214,EG207,0,COUNT(EE203:EE214)-EG207),0)</f>
        <v>#REF!</v>
      </c>
      <c r="EG208" s="4" t="e">
        <f t="shared" ca="1" si="3240"/>
        <v>#REF!</v>
      </c>
      <c r="EH208" s="692" t="str">
        <f ca="1">IF(LEFT($J203,7)="Clad Wo",IFERROR(VLOOKUP(INDEX(ED203:ED214,EG208),SPPWS,2,FALSE),"----"),IFERROR(VLOOKUP(INDEX(ED203:ED214,EG208),SPM,2,FALSE),"----"))</f>
        <v>----</v>
      </c>
    </row>
    <row r="209" spans="1:138" ht="15" customHeight="1" x14ac:dyDescent="0.25">
      <c r="A209" s="1085"/>
      <c r="B209" s="925" t="s">
        <v>409</v>
      </c>
      <c r="C209" s="926"/>
      <c r="D209" s="927"/>
      <c r="E209" s="995"/>
      <c r="F209" s="996"/>
      <c r="G209" s="997"/>
      <c r="H209" s="1062"/>
      <c r="I209" s="990"/>
      <c r="J209" s="908"/>
      <c r="K209" s="909"/>
      <c r="L209" s="1001">
        <f>L203+1</f>
        <v>5</v>
      </c>
      <c r="M209" s="1064" t="str">
        <f t="shared" ref="M209" si="3300">IFERROR(IF($AE$17="",IF($AG$19="Wind Loading",MIN($V$31,IF(E$11="ASCE 7-05",$U$26,$V$7)*$V$9*(IF($E$12&lt;60,0.156*LN(MAX(MIN(500,O203),10)) -1.7618,IF($E$11="ASCE 7-22", 0.2026*LN(MAX(MIN(500,O203),20))-2.2638,0.2503*LN(MAX(MIN(500,O203),20)) -2.5526))-$V$8)),$V$7*IF(E$12&lt;60,$V$13*($V$15*(0.156*LN(MAX(MIN(500,O203),10)) -1.7618)-$V$16),$V$13*$V$15*((0.2026*LN(MAX(MIN(500,O203),20))-2.2638)-$V$16))),-ABS($AE$17)),"")</f>
        <v/>
      </c>
      <c r="N209" s="1041" t="str">
        <f t="shared" ref="N209" si="3301">IFERROR(IF($AE$19="",IF($AG$19="Wind Loading",MAX($U$31,IF(E$11="ASCE 7-05",$U$26,$V$7)*$V$9*((IF($E$12&lt;60,-0.077*LN(MAX(MIN(500,O203),10))+1.1737,IF($E$11="ASCE 7-22",-0.077*LN(MAX(MIN(500,O203),20))+1.0798,-0.093*LN(MAX(MIN(500,O203),20))+1.1776)))+$V$8)),$V$7*IF(E$12&lt;60,$V$13*($V$15*(-0.077*LN(MAX(MIN(500,O203),10))+1.1737)-$V$17),$V$13*$V$15*((-0.077*LN(MAX(MIN(500,O203),20))+1.0798)-$V$17))),ABS($AE$19)),"")</f>
        <v/>
      </c>
      <c r="O209" s="1018"/>
      <c r="P209" s="987"/>
      <c r="Q209" s="1015"/>
      <c r="R209" s="1012">
        <f>P209*Q209/8</f>
        <v>0</v>
      </c>
      <c r="S209" s="1006"/>
      <c r="T209" s="1007"/>
      <c r="U209" s="878"/>
      <c r="V209" s="881"/>
      <c r="W209" s="883" t="e">
        <f t="shared" ref="W209" si="3302">MAX(-M209,N209)*O203</f>
        <v>#VALUE!</v>
      </c>
      <c r="X209" s="884"/>
      <c r="Y209" s="886">
        <f>IFERROR(IF(AG$14="Trapezoidal",BY212,BX212)+IF($E$17="4",(400*E203^3)/(48*X203),0),0)</f>
        <v>0</v>
      </c>
      <c r="Z209" s="886" t="e">
        <f t="shared" ref="Z209" si="3303">+($V203*MAX(-$M209,$N209)*$E203^2)/(144*8)+IF($E$17=4,(400*$E203)/4,0)</f>
        <v>#VALUE!</v>
      </c>
      <c r="AA209" s="887"/>
      <c r="AB209" s="1080" t="str">
        <f t="shared" ref="AB209" ca="1" si="3304">IFERROR(Z209-AA203,"")</f>
        <v/>
      </c>
      <c r="AC209" s="1086" t="str">
        <f t="shared" ref="AC209" ca="1" si="3305">IFERROR(Y209-U203,"")</f>
        <v/>
      </c>
      <c r="AD209" s="1074" t="str">
        <f t="shared" ref="AD209" si="3306">AD203</f>
        <v/>
      </c>
      <c r="AE209" s="1075"/>
      <c r="AF209" s="1056"/>
      <c r="AG209" s="1057"/>
      <c r="AH209" s="1057"/>
      <c r="AI209" s="1088"/>
      <c r="AJ209" s="1089"/>
      <c r="AK209" s="162" t="str">
        <f t="shared" ca="1" si="2393"/>
        <v/>
      </c>
      <c r="AL209" s="1058" t="str">
        <f t="shared" ref="AL209" si="3307">IFERROR(ROUND(SQRT(P203^2+(W209/2+IF($E$17=4,200,0))^2),0),"")</f>
        <v/>
      </c>
      <c r="AM209" s="342" t="s">
        <v>669</v>
      </c>
      <c r="AN209" t="str">
        <f t="shared" ca="1" si="2409"/>
        <v/>
      </c>
      <c r="AP209" s="122" t="str">
        <f t="shared" ref="AP209" si="3308">_xlfn.CONCAT(AR209,AS214)</f>
        <v/>
      </c>
      <c r="AQ209" s="683" t="str">
        <f t="shared" si="2617"/>
        <v/>
      </c>
      <c r="AR209" s="96" t="str">
        <f t="shared" si="2378"/>
        <v/>
      </c>
      <c r="AS209" s="96" t="str">
        <f>IF(COUNTIF(imp_1,AF209)=1,"imp_1",IF(COUNTIF(imp_2,AF209)=1,"imp_2",IF(COUNTIF(imp_3,AF209)=1,"imp_3",IF(COUNTIF(impdoor,AF209)=1,"impdoor",""))))</f>
        <v/>
      </c>
      <c r="AT209" s="684" t="str">
        <f>AL209</f>
        <v/>
      </c>
      <c r="AU209" s="685" t="e">
        <f t="shared" ca="1" si="2633"/>
        <v>#REF!</v>
      </c>
      <c r="AV209" s="686" t="str">
        <f ca="1">IFERROR(VLOOKUP(AU209,INDIRECT(AQ203),2,FALSE),"----")</f>
        <v>----</v>
      </c>
      <c r="AW209" s="685" t="e">
        <f t="shared" ca="1" si="2634"/>
        <v>#REF!</v>
      </c>
      <c r="AX209" s="686" t="str">
        <f ca="1">IFERROR(VLOOKUP(AW209,INDIRECT(AQ204),2,FALSE),"----")</f>
        <v>----</v>
      </c>
      <c r="AY209" s="685" t="e">
        <f t="shared" ca="1" si="3049"/>
        <v>#REF!</v>
      </c>
      <c r="AZ209" s="686" t="str">
        <f ca="1">IFERROR(VLOOKUP(AY209,INDIRECT(AQ205),2,FALSE),"----")</f>
        <v>----</v>
      </c>
      <c r="BA209" s="685" t="e">
        <f t="shared" ca="1" si="3050"/>
        <v>#REF!</v>
      </c>
      <c r="BB209" s="686" t="str">
        <f ca="1">IFERROR(VLOOKUP(BA209,INDIRECT(AQ206),2,FALSE),"----")</f>
        <v>----</v>
      </c>
      <c r="BC209" s="685" t="e">
        <f t="shared" ca="1" si="2635"/>
        <v>#REF!</v>
      </c>
      <c r="BD209" s="686" t="str">
        <f ca="1">IFERROR(VLOOKUP(BC209,INDIRECT(AQ207),2,FALSE),"----")</f>
        <v>----</v>
      </c>
      <c r="BE209" s="685" t="e">
        <f t="shared" ca="1" si="2636"/>
        <v>#REF!</v>
      </c>
      <c r="BF209" s="686" t="str">
        <f ca="1">IFERROR(VLOOKUP(BE209,INDIRECT(AQ208),2,FALSE),"----")</f>
        <v>----</v>
      </c>
      <c r="BG209" s="702" t="e">
        <f t="shared" ca="1" si="2637"/>
        <v>#REF!</v>
      </c>
      <c r="BH209" s="686" t="str">
        <f ca="1">IFERROR(VLOOKUP(BG209,INDIRECT(AQ209),2,FALSE),"----")</f>
        <v>----</v>
      </c>
      <c r="BI209" s="702" t="e">
        <f t="shared" ca="1" si="2638"/>
        <v>#REF!</v>
      </c>
      <c r="BJ209" s="686" t="str">
        <f ca="1">IFERROR(VLOOKUP(BI209,INDIRECT(AQ210),2,FALSE),"----")</f>
        <v>----</v>
      </c>
      <c r="BK209" s="702" t="e">
        <f t="shared" ca="1" si="2639"/>
        <v>#REF!</v>
      </c>
      <c r="BL209" s="686" t="str">
        <f ca="1">IFERROR(VLOOKUP(BK209,INDIRECT(AQ211),2,FALSE),"----")</f>
        <v>----</v>
      </c>
      <c r="BM209" s="702" t="e">
        <f t="shared" ca="1" si="2640"/>
        <v>#REF!</v>
      </c>
      <c r="BN209" s="686" t="str">
        <f ca="1">IFERROR(VLOOKUP(BM209,INDIRECT(AQ212),2,FALSE),"----")</f>
        <v>----</v>
      </c>
      <c r="BO209" s="702" t="e">
        <f t="shared" ca="1" si="2641"/>
        <v>#REF!</v>
      </c>
      <c r="BP209" s="686" t="str">
        <f ca="1">IFERROR(VLOOKUP(BO209,INDIRECT(AQ213),2,FALSE),"----")</f>
        <v>----</v>
      </c>
      <c r="BQ209" s="702" t="e">
        <f t="shared" ca="1" si="2642"/>
        <v>#REF!</v>
      </c>
      <c r="BR209" s="686" t="str">
        <f ca="1">IFERROR(VLOOKUP(BQ209,INDIRECT(AQ214),2,FALSE),"----")</f>
        <v>----</v>
      </c>
      <c r="BS209" s="695">
        <f>IF(AI209="",1,IF(COUNTIF(BH203:BH214,AI209)=0,2,1))</f>
        <v>1</v>
      </c>
      <c r="BT209" s="696">
        <f>IF(AP209="1",1,IF(AF209="",1,IF(BH203=".",2,1)))</f>
        <v>1</v>
      </c>
      <c r="BU209" s="706"/>
      <c r="BV209" s="155">
        <f ca="1">IF(COUNTIF(DI203:DI214,AF209)=0,IF(AF209&lt;&gt;"",0,1),1)</f>
        <v>1</v>
      </c>
      <c r="BW209" s="157">
        <f ca="1">IFERROR(MATCH(AF209,DI203:DI214,0),1)</f>
        <v>1</v>
      </c>
      <c r="BX209" s="769" t="s">
        <v>1593</v>
      </c>
      <c r="BY209" s="769" t="s">
        <v>1629</v>
      </c>
      <c r="BZ209" s="1110"/>
      <c r="CA209" s="691" t="e">
        <f t="shared" ca="1" si="3205"/>
        <v>#REF!</v>
      </c>
      <c r="CB209" s="4" t="e" cm="1">
        <f t="array" aca="1" ref="CB209" ca="1">IF(AND(INDEX(INDIRECT(BY203),CA209,4)&gt;=$AB203,INDEX(INDIRECT(BY203),CA209,5)&gt;=$S203,INDEX(INDIRECT(BY203),CA209,6)&gt;=$R203),1,0)</f>
        <v>#REF!</v>
      </c>
      <c r="CC209" s="4" t="e">
        <f t="shared" ref="CC209" ca="1" si="3309">MATCH(1,OFFSET(CB203:CB214,CD208,0,COUNT(CB203:CB214)-CD208),0)</f>
        <v>#REF!</v>
      </c>
      <c r="CD209" s="4" t="e">
        <f t="shared" ca="1" si="3207"/>
        <v>#REF!</v>
      </c>
      <c r="CE209" s="692" t="str" cm="1">
        <f t="array" aca="1" ref="CE209" ca="1">IFERROR(VLOOKUP(INDEX(CA203:CA214,CD209),INDIRECT(BY203),2,FALSE),"----")</f>
        <v>----</v>
      </c>
      <c r="CF209" s="691" t="e">
        <f t="shared" ca="1" si="3208"/>
        <v>#N/A</v>
      </c>
      <c r="CG209" s="4" t="e">
        <f ca="1">IF(AND(INDEX(SSM,CF209,4)&gt;=$AB203,INDEX(SSM,CF209,5)&gt;=$S203,INDEX(SSM,CF209,6)&gt;=$R203),1,0)</f>
        <v>#N/A</v>
      </c>
      <c r="CH209" s="4" t="e">
        <f t="shared" ref="CH209" ca="1" si="3310">MATCH(1,OFFSET(CG203:CG214,CI208,0,COUNT(CG203:CG214)-CI208),0)</f>
        <v>#REF!</v>
      </c>
      <c r="CI209" s="4" t="e">
        <f t="shared" ca="1" si="3210"/>
        <v>#REF!</v>
      </c>
      <c r="CJ209" s="692" t="str">
        <f ca="1">IFERROR(IF(AD204="Nested Steel Stud (wood infill)",VLOOKUP(INDEX(CF203:CF214,CI209),SSW,2,FALSE),VLOOKUP(INDEX(CF203:CF214,CI209),SSM,2,FALSE)),"----")</f>
        <v>----</v>
      </c>
      <c r="CK209" s="691" t="e">
        <f t="shared" ca="1" si="3211"/>
        <v>#N/A</v>
      </c>
      <c r="CL209" s="4" t="e">
        <f ca="1">IF(AND(INDEX(WSM,CK209,4)&gt;=$AB203,INDEX(WSM,CK209,5)&gt;=$S203,INDEX(WSM,CK209,6)&gt;=$R203),1,0)</f>
        <v>#N/A</v>
      </c>
      <c r="CM209" s="4" t="e">
        <f t="shared" ref="CM209" ca="1" si="3311">MATCH(1,OFFSET(CL203:CL214,CN208,0,COUNT(CL203:CL214)-CN208),0)</f>
        <v>#REF!</v>
      </c>
      <c r="CN209" s="4" t="e">
        <f t="shared" ca="1" si="3213"/>
        <v>#REF!</v>
      </c>
      <c r="CO209" s="692" t="str">
        <f ca="1">IFERROR(VLOOKUP(INDEX(CK203:CK214,CN209),WSM,2,FALSE),"----")</f>
        <v>----</v>
      </c>
      <c r="CP209" s="691" t="e">
        <f t="shared" ca="1" si="3214"/>
        <v>#N/A</v>
      </c>
      <c r="CQ209" s="4" t="e">
        <f ca="1">IF(AND(INDEX(STM,CP209,4)&gt;=$AB203,INDEX(STM,CP209,5)&gt;=$S203,INDEX(STM,CP209,6)&gt;=$R203),1,0)</f>
        <v>#N/A</v>
      </c>
      <c r="CR209" s="4" t="e">
        <f t="shared" ref="CR209" ca="1" si="3312">MATCH(1,OFFSET(CQ203:CQ214,CS208,0,COUNT(CQ203:CQ214)-CS208),0)</f>
        <v>#REF!</v>
      </c>
      <c r="CS209" s="4" t="e">
        <f t="shared" ca="1" si="3216"/>
        <v>#REF!</v>
      </c>
      <c r="CT209" s="692" t="str">
        <f ca="1">IFERROR(VLOOKUP(INDEX(CP203:CP214,CS209),STM,2,FALSE),"----")</f>
        <v>----</v>
      </c>
      <c r="CU209" s="691" t="e">
        <f t="shared" ca="1" si="3217"/>
        <v>#N/A</v>
      </c>
      <c r="CV209" s="4" t="e">
        <f ca="1">IF(AND(INDEX(ELM,CU209,4)&gt;=$AB203,INDEX(ELM,CU209,5)&gt;=$S203,INDEX(ELM,CU209,6)&gt;=$R203),1,0)</f>
        <v>#N/A</v>
      </c>
      <c r="CW209" s="4" t="e">
        <f t="shared" ref="CW209" ca="1" si="3313">MATCH(1,OFFSET(CV203:CV214,CX208,0,COUNT(CV203:CV214)-CX208),0)</f>
        <v>#REF!</v>
      </c>
      <c r="CX209" s="4" t="e">
        <f t="shared" ca="1" si="3219"/>
        <v>#REF!</v>
      </c>
      <c r="CY209" s="692" t="str">
        <f ca="1">IFERROR(VLOOKUP(INDEX(CU203:CU214,CX209),ELM,2,FALSE),"----")</f>
        <v>----</v>
      </c>
      <c r="CZ209" s="691" t="e">
        <f t="shared" ca="1" si="3220"/>
        <v>#N/A</v>
      </c>
      <c r="DA209" s="4" t="e">
        <f ca="1">IF(LEFT($J203,7)="Clad Wo",IF(AND(INDEX(SPPWS,CZ209,4)&gt;=$AB203,INDEX(SPPWS,CZ209,5)&gt;=$S203,INDEX(SPPWS,CZ209,6)&gt;=$R203),1,0),IF(AND(INDEX(SPM,CZ209,4)&gt;=$AB203,INDEX(SPM,CZ209,5)&gt;=$S203,INDEX(SPM,CZ209,6)&gt;=$R203),1,0))</f>
        <v>#N/A</v>
      </c>
      <c r="DB209" s="4" t="e">
        <f t="shared" ref="DB209" ca="1" si="3314">MATCH(1,OFFSET(DA203:DA214,DC208,0,COUNT(DA203:DA214)-DC208),0)</f>
        <v>#REF!</v>
      </c>
      <c r="DC209" s="4" t="e">
        <f t="shared" ca="1" si="3222"/>
        <v>#REF!</v>
      </c>
      <c r="DD209" s="693" t="str">
        <f ca="1">IF(LEFT($J203,7)="Clad Wo",IFERROR(VLOOKUP(INDEX(CZ203:CZ214,DC209),SPPWS,2,FALSE),"----"),IFERROR(VLOOKUP(INDEX(CZ203:CZ214,DC209),SPM,2,FALSE),"----"))</f>
        <v>----</v>
      </c>
      <c r="DE209" s="691" t="e">
        <f t="shared" ca="1" si="3223"/>
        <v>#REF!</v>
      </c>
      <c r="DF209" s="4" t="e" cm="1">
        <f t="array" aca="1" ref="DF209" ca="1">IF(AND(INDEX(INDIRECT(BY203),DE209,4)&gt;=$AB209,INDEX(INDIRECT(BY203),DE209,5)&gt;=$S203,INDEX(INDIRECT(BY203),DE209,6)&gt;=$R203),1,0)</f>
        <v>#REF!</v>
      </c>
      <c r="DG209" s="4" t="e">
        <f t="shared" ref="DG209" ca="1" si="3315">MATCH(1,OFFSET(DF203:DF214,DH208,0,COUNT(DF203:DF214)-DH208),0)</f>
        <v>#REF!</v>
      </c>
      <c r="DH209" s="4" t="e">
        <f t="shared" ca="1" si="3225"/>
        <v>#REF!</v>
      </c>
      <c r="DI209" s="692" t="str" cm="1">
        <f t="array" aca="1" ref="DI209" ca="1">IFERROR(VLOOKUP(INDEX(DE203:DE214,DH209),INDIRECT(BY203),2,FALSE),"----")</f>
        <v>----</v>
      </c>
      <c r="DJ209" s="691" t="e">
        <f t="shared" ca="1" si="3226"/>
        <v>#N/A</v>
      </c>
      <c r="DK209" s="4" t="e">
        <f ca="1">IF(AND(INDEX(SSM,DJ209,4)&gt;=$AB209,INDEX(SSM,DJ209,5)&gt;=$S203,INDEX(SSM,DJ209,6)&gt;=$R203),1,0)</f>
        <v>#N/A</v>
      </c>
      <c r="DL209" s="4" t="e">
        <f t="shared" ref="DL209" ca="1" si="3316">MATCH(1,OFFSET(DK203:DK214,DM208,0,COUNT(DK203:DK214)-DM208),0)</f>
        <v>#REF!</v>
      </c>
      <c r="DM209" s="4" t="e">
        <f t="shared" ca="1" si="3228"/>
        <v>#REF!</v>
      </c>
      <c r="DN209" s="692" t="str">
        <f ca="1">IFERROR(IF(AD210="Nested Steel Stud (wood infill)",VLOOKUP(INDEX(DJ203:DJ214,DM209),SSW,2,FALSE),VLOOKUP(INDEX(DJ203:DJ214,DM209),SSM,2,FALSE)),"----")</f>
        <v>----</v>
      </c>
      <c r="DO209" s="691" t="e">
        <f t="shared" ca="1" si="3229"/>
        <v>#N/A</v>
      </c>
      <c r="DP209" s="4" t="e">
        <f ca="1">IF(AND(INDEX(WSM,DO209,4)&gt;=$AB209,INDEX(WSM,DO209,5)&gt;=$S203,INDEX(WSM,DO209,6)&gt;=$R203),1,0)</f>
        <v>#N/A</v>
      </c>
      <c r="DQ209" s="4" t="e">
        <f t="shared" ref="DQ209" ca="1" si="3317">MATCH(1,OFFSET(DP203:DP214,DR208,0,COUNT(DP203:DP214)-DR208),0)</f>
        <v>#REF!</v>
      </c>
      <c r="DR209" s="4" t="e">
        <f t="shared" ca="1" si="3231"/>
        <v>#REF!</v>
      </c>
      <c r="DS209" s="692" t="str">
        <f ca="1">IFERROR(VLOOKUP(INDEX(DO203:DO214,DR209),WSM,2,FALSE),"----")</f>
        <v>----</v>
      </c>
      <c r="DT209" s="691" t="e">
        <f t="shared" ca="1" si="3232"/>
        <v>#N/A</v>
      </c>
      <c r="DU209" s="4" t="e">
        <f ca="1">IF(AND(INDEX(STM,DT209,4)&gt;=$AB209,INDEX(STM,DT209,5)&gt;=$S203,INDEX(STM,DT209,6)&gt;=$R203),1,0)</f>
        <v>#N/A</v>
      </c>
      <c r="DV209" s="4" t="e">
        <f t="shared" ref="DV209" ca="1" si="3318">MATCH(1,OFFSET(DU203:DU214,DW208,0,COUNT(DU203:DU214)-DW208),0)</f>
        <v>#REF!</v>
      </c>
      <c r="DW209" s="4" t="e">
        <f t="shared" ca="1" si="3234"/>
        <v>#REF!</v>
      </c>
      <c r="DX209" s="692" t="str">
        <f ca="1">IFERROR(VLOOKUP(INDEX(DT203:DT214,DW209),STM,2,FALSE),"----")</f>
        <v>----</v>
      </c>
      <c r="DY209" s="691" t="e">
        <f t="shared" ca="1" si="3235"/>
        <v>#N/A</v>
      </c>
      <c r="DZ209" s="4" t="e">
        <f ca="1">IF(AND(INDEX(ELM,DY209,4)&gt;=$AB209,INDEX(ELM,DY209,5)&gt;=$S203,INDEX(ELM,DY209,6)&gt;=$R203),1,0)</f>
        <v>#N/A</v>
      </c>
      <c r="EA209" s="4" t="e">
        <f t="shared" ref="EA209" ca="1" si="3319">MATCH(1,OFFSET(DZ203:DZ214,EB208,0,COUNT(DZ203:DZ214)-EB208),0)</f>
        <v>#REF!</v>
      </c>
      <c r="EB209" s="4" t="e">
        <f t="shared" ca="1" si="3237"/>
        <v>#REF!</v>
      </c>
      <c r="EC209" s="692" t="str">
        <f ca="1">IFERROR(VLOOKUP(INDEX(DY203:DY214,EB209),ELM,2,FALSE),"----")</f>
        <v>----</v>
      </c>
      <c r="ED209" s="691" t="e">
        <f t="shared" ca="1" si="3238"/>
        <v>#N/A</v>
      </c>
      <c r="EE209" s="4" t="e">
        <f ca="1">IF(LEFT($J203,7)="Clad Wo",IF(AND(INDEX(SPPWS,ED209,4)&gt;=$AB209,INDEX(SPPWS,ED209,5)&gt;=$S203,INDEX(SPPWS,ED209,6)&gt;=$R203),1,0),IF(AND(INDEX(SPM,ED209,4)&gt;=$AB209,INDEX(SPM,ED209,5)&gt;=$S203,INDEX(SPM,ED209,6)&gt;=$R203),1,0))</f>
        <v>#N/A</v>
      </c>
      <c r="EF209" s="4" t="e">
        <f t="shared" ref="EF209" ca="1" si="3320">MATCH(1,OFFSET(EE203:EE214,EG208,0,COUNT(EE203:EE214)-EG208),0)</f>
        <v>#REF!</v>
      </c>
      <c r="EG209" s="4" t="e">
        <f t="shared" ca="1" si="3240"/>
        <v>#REF!</v>
      </c>
      <c r="EH209" s="692" t="str">
        <f ca="1">IF(LEFT($J203,7)="Clad Wo",IFERROR(VLOOKUP(INDEX(ED203:ED214,EG209),SPPWS,2,FALSE),"----"),IFERROR(VLOOKUP(INDEX(ED203:ED214,EG209),SPM,2,FALSE),"----"))</f>
        <v>----</v>
      </c>
    </row>
    <row r="210" spans="1:138" ht="15" customHeight="1" x14ac:dyDescent="0.25">
      <c r="A210" s="1085"/>
      <c r="B210" s="925"/>
      <c r="C210" s="926"/>
      <c r="D210" s="927"/>
      <c r="E210" s="995"/>
      <c r="F210" s="996"/>
      <c r="G210" s="997"/>
      <c r="H210" s="1062"/>
      <c r="I210" s="990"/>
      <c r="J210" s="912"/>
      <c r="K210" s="913"/>
      <c r="L210" s="1002"/>
      <c r="M210" s="923"/>
      <c r="N210" s="1042"/>
      <c r="O210" s="1018"/>
      <c r="P210" s="987"/>
      <c r="Q210" s="1015"/>
      <c r="R210" s="1012"/>
      <c r="S210" s="1006"/>
      <c r="T210" s="1007"/>
      <c r="U210" s="878"/>
      <c r="V210" s="881"/>
      <c r="W210" s="884"/>
      <c r="X210" s="884"/>
      <c r="Y210" s="887"/>
      <c r="Z210" s="887"/>
      <c r="AA210" s="887"/>
      <c r="AB210" s="1081"/>
      <c r="AC210" s="1078"/>
      <c r="AD210" s="1070" t="str">
        <f t="shared" ref="AD210" si="3321">IF(ISBLANK(AD204)=TRUE,"",AD204)</f>
        <v>Nested Steel Stud</v>
      </c>
      <c r="AE210" s="1071"/>
      <c r="AF210" s="1052"/>
      <c r="AG210" s="1053"/>
      <c r="AH210" s="1053"/>
      <c r="AI210" s="1066"/>
      <c r="AJ210" s="1067"/>
      <c r="AK210" s="156" t="str">
        <f t="shared" ca="1" si="2393"/>
        <v/>
      </c>
      <c r="AL210" s="1059"/>
      <c r="AM210" s="343" t="str">
        <f ca="1">IFERROR(Q203/12*ROUND(VLOOKUP(AF210,OFFSET(SSM,0,1),6,FALSE),2),"")</f>
        <v/>
      </c>
      <c r="AN210" t="str">
        <f t="shared" ca="1" si="2409"/>
        <v/>
      </c>
      <c r="AP210" s="122" t="str">
        <f t="shared" ref="AP210" si="3322">_xlfn.CONCAT(AR210,AS214)</f>
        <v/>
      </c>
      <c r="AQ210" s="683" t="str">
        <f t="shared" si="2617"/>
        <v/>
      </c>
      <c r="AR210" s="96" t="str">
        <f t="shared" si="2378"/>
        <v/>
      </c>
      <c r="AS210" s="96" t="str">
        <f>IF(COUNTIF(Vista_1,AF209)=1,"Vista_1",IF(COUNTIF(Vista_2,AF209)=1,"Vista_2",""))</f>
        <v/>
      </c>
      <c r="AT210" s="684" t="str">
        <f>AL209</f>
        <v/>
      </c>
      <c r="AU210" s="694" t="e">
        <f t="shared" ca="1" si="2633"/>
        <v>#REF!</v>
      </c>
      <c r="AV210" s="686" t="str">
        <f ca="1">IFERROR(VLOOKUP(AU210,INDIRECT(AQ203),2,FALSE),"----")</f>
        <v>----</v>
      </c>
      <c r="AW210" s="694" t="e">
        <f t="shared" ca="1" si="2634"/>
        <v>#REF!</v>
      </c>
      <c r="AX210" s="686" t="str">
        <f ca="1">IFERROR(VLOOKUP(AW210,INDIRECT(AQ204),2,FALSE),"----")</f>
        <v>----</v>
      </c>
      <c r="AY210" s="694" t="e">
        <f t="shared" ca="1" si="3049"/>
        <v>#REF!</v>
      </c>
      <c r="AZ210" s="686" t="str">
        <f ca="1">IFERROR(VLOOKUP(AY210,INDIRECT(AQ205),2,FALSE),"----")</f>
        <v>----</v>
      </c>
      <c r="BA210" s="694" t="e">
        <f t="shared" ca="1" si="3050"/>
        <v>#REF!</v>
      </c>
      <c r="BB210" s="686" t="str">
        <f ca="1">IFERROR(VLOOKUP(BA210,INDIRECT(AQ206),2,FALSE),"----")</f>
        <v>----</v>
      </c>
      <c r="BC210" s="694" t="e">
        <f t="shared" ca="1" si="2635"/>
        <v>#REF!</v>
      </c>
      <c r="BD210" s="686" t="str">
        <f ca="1">IFERROR(VLOOKUP(BC210,INDIRECT(AQ207),2,FALSE),"----")</f>
        <v>----</v>
      </c>
      <c r="BE210" s="694" t="e">
        <f t="shared" ca="1" si="2636"/>
        <v>#REF!</v>
      </c>
      <c r="BF210" s="686" t="str">
        <f ca="1">IFERROR(VLOOKUP(BE210,INDIRECT(AQ208),2,FALSE),"----")</f>
        <v>----</v>
      </c>
      <c r="BG210" s="702" t="e">
        <f t="shared" ca="1" si="2637"/>
        <v>#REF!</v>
      </c>
      <c r="BH210" s="686" t="str">
        <f ca="1">IFERROR(VLOOKUP(BG210,INDIRECT(AQ209),2,FALSE),"----")</f>
        <v>----</v>
      </c>
      <c r="BI210" s="702" t="e">
        <f t="shared" ca="1" si="2638"/>
        <v>#REF!</v>
      </c>
      <c r="BJ210" s="686" t="str">
        <f ca="1">IFERROR(VLOOKUP(BI210,INDIRECT(AQ210),2,FALSE),"----")</f>
        <v>----</v>
      </c>
      <c r="BK210" s="702" t="e">
        <f t="shared" ca="1" si="2639"/>
        <v>#REF!</v>
      </c>
      <c r="BL210" s="686" t="str">
        <f ca="1">IFERROR(VLOOKUP(BK210,INDIRECT(AQ211),2,FALSE),"----")</f>
        <v>----</v>
      </c>
      <c r="BM210" s="702" t="e">
        <f t="shared" ca="1" si="2640"/>
        <v>#REF!</v>
      </c>
      <c r="BN210" s="686" t="str">
        <f ca="1">IFERROR(VLOOKUP(BM210,INDIRECT(AQ212),2,FALSE),"----")</f>
        <v>----</v>
      </c>
      <c r="BO210" s="702" t="e">
        <f t="shared" ca="1" si="2641"/>
        <v>#REF!</v>
      </c>
      <c r="BP210" s="686" t="str">
        <f ca="1">IFERROR(VLOOKUP(BO210,INDIRECT(AQ213),2,FALSE),"----")</f>
        <v>----</v>
      </c>
      <c r="BQ210" s="702" t="e">
        <f t="shared" ca="1" si="2642"/>
        <v>#REF!</v>
      </c>
      <c r="BR210" s="686" t="str">
        <f ca="1">IFERROR(VLOOKUP(BQ210,INDIRECT(AQ214),2,FALSE),"----")</f>
        <v>----</v>
      </c>
      <c r="BS210" s="695">
        <f>IF(AI210="",1,IF(COUNTIF(BJ203:BJ214,AI210)=0,2,1))</f>
        <v>1</v>
      </c>
      <c r="BT210" s="696">
        <f>IF(AF210="",1,IF(BJ203=".",2,1))</f>
        <v>1</v>
      </c>
      <c r="BU210" s="706"/>
      <c r="BV210" s="155">
        <f ca="1">IF(COUNTIF(DN203:DN214,AF210)=0,IF(AF210&lt;&gt;"",0,1),1)</f>
        <v>1</v>
      </c>
      <c r="BW210" s="157">
        <f ca="1">IFERROR(MATCH(AF210,DN203:DN214,0),1)</f>
        <v>1</v>
      </c>
      <c r="BX210" s="769">
        <f t="shared" ref="BX210" si="3323">E203*(H203+I203)/144/2</f>
        <v>0</v>
      </c>
      <c r="BY210" s="769">
        <f>SUM(IF(H203&gt;E203,E203^2/4,(H203*E203/2)-(H203^2/4))/144,IF(I203&gt;E203,E203^2/4,(I203*E203/2)-(I203^2/4))/144)</f>
        <v>0</v>
      </c>
      <c r="BZ210" s="1110"/>
      <c r="CA210" s="691" t="e">
        <f t="shared" ca="1" si="3205"/>
        <v>#REF!</v>
      </c>
      <c r="CB210" s="4" t="e" cm="1">
        <f t="array" aca="1" ref="CB210" ca="1">IF(AND(INDEX(INDIRECT(BY203),CA210,4)&gt;=$AB203,INDEX(INDIRECT(BY203),CA210,5)&gt;=$S203,INDEX(INDIRECT(BY203),CA210,6)&gt;=$R203),1,0)</f>
        <v>#REF!</v>
      </c>
      <c r="CC210" s="4" t="e">
        <f t="shared" ref="CC210" ca="1" si="3324">MATCH(1,OFFSET(CB203:CB214,CD209,0,COUNT(CB203:CB214)-CD209),0)</f>
        <v>#REF!</v>
      </c>
      <c r="CD210" s="4" t="e">
        <f t="shared" ca="1" si="3207"/>
        <v>#REF!</v>
      </c>
      <c r="CE210" s="692" t="str" cm="1">
        <f t="array" aca="1" ref="CE210" ca="1">IFERROR(VLOOKUP(INDEX(CA203:CA214,CD210),INDIRECT(BY203),2,FALSE),"----")</f>
        <v>----</v>
      </c>
      <c r="CF210" s="691" t="e">
        <f t="shared" ca="1" si="3208"/>
        <v>#N/A</v>
      </c>
      <c r="CG210" s="4" t="e">
        <f ca="1">IF(AND(INDEX(SSM,CF210,4)&gt;=$AB203,INDEX(SSM,CF210,5)&gt;=$S203,INDEX(SSM,CF210,6)&gt;=$R203),1,0)</f>
        <v>#N/A</v>
      </c>
      <c r="CH210" s="4" t="e">
        <f t="shared" ref="CH210" ca="1" si="3325">MATCH(1,OFFSET(CG203:CG214,CI209,0,COUNT(CG203:CG214)-CI209),0)</f>
        <v>#REF!</v>
      </c>
      <c r="CI210" s="4" t="e">
        <f t="shared" ca="1" si="3210"/>
        <v>#REF!</v>
      </c>
      <c r="CJ210" s="692" t="str">
        <f ca="1">IFERROR(IF(AD204="Nested Steel Stud (wood infill)",VLOOKUP(INDEX(CF203:CF214,CI210),SSW,2,FALSE),VLOOKUP(INDEX(CF203:CF214,CI210),SSM,2,FALSE)),"----")</f>
        <v>----</v>
      </c>
      <c r="CK210" s="691" t="e">
        <f t="shared" ca="1" si="3211"/>
        <v>#N/A</v>
      </c>
      <c r="CL210" s="4" t="e">
        <f ca="1">IF(AND(INDEX(WSM,CK210,4)&gt;=$AB203,INDEX(WSM,CK210,5)&gt;=$S203,INDEX(WSM,CK210,6)&gt;=$R203),1,0)</f>
        <v>#N/A</v>
      </c>
      <c r="CM210" s="4" t="e">
        <f t="shared" ref="CM210" ca="1" si="3326">MATCH(1,OFFSET(CL203:CL214,CN209,0,COUNT(CL203:CL214)-CN209),0)</f>
        <v>#REF!</v>
      </c>
      <c r="CN210" s="4" t="e">
        <f t="shared" ca="1" si="3213"/>
        <v>#REF!</v>
      </c>
      <c r="CO210" s="692" t="str">
        <f ca="1">IFERROR(VLOOKUP(INDEX(CK203:CK214,CN210),WSM,2,FALSE),"----")</f>
        <v>----</v>
      </c>
      <c r="CP210" s="691" t="e">
        <f t="shared" ca="1" si="3214"/>
        <v>#N/A</v>
      </c>
      <c r="CQ210" s="4" t="e">
        <f ca="1">IF(AND(INDEX(STM,CP210,4)&gt;=$AB203,INDEX(STM,CP210,5)&gt;=$S203,INDEX(STM,CP210,6)&gt;=$R203),1,0)</f>
        <v>#N/A</v>
      </c>
      <c r="CR210" s="4" t="e">
        <f t="shared" ref="CR210" ca="1" si="3327">MATCH(1,OFFSET(CQ203:CQ214,CS209,0,COUNT(CQ203:CQ214)-CS209),0)</f>
        <v>#REF!</v>
      </c>
      <c r="CS210" s="4" t="e">
        <f t="shared" ca="1" si="3216"/>
        <v>#REF!</v>
      </c>
      <c r="CT210" s="692" t="str">
        <f ca="1">IFERROR(VLOOKUP(INDEX(CP203:CP214,CS210),STM,2,FALSE),"----")</f>
        <v>----</v>
      </c>
      <c r="CU210" s="691" t="e">
        <f t="shared" ca="1" si="3217"/>
        <v>#N/A</v>
      </c>
      <c r="CV210" s="4" t="e">
        <f ca="1">IF(AND(INDEX(ELM,CU210,4)&gt;=$AB203,INDEX(ELM,CU210,5)&gt;=$S203,INDEX(ELM,CU210,6)&gt;=$R203),1,0)</f>
        <v>#N/A</v>
      </c>
      <c r="CW210" s="4" t="e">
        <f t="shared" ref="CW210" ca="1" si="3328">MATCH(1,OFFSET(CV203:CV214,CX209,0,COUNT(CV203:CV214)-CX209),0)</f>
        <v>#REF!</v>
      </c>
      <c r="CX210" s="4" t="e">
        <f t="shared" ca="1" si="3219"/>
        <v>#REF!</v>
      </c>
      <c r="CY210" s="692" t="str">
        <f ca="1">IFERROR(VLOOKUP(INDEX(CU203:CU214,CX210),ELM,2,FALSE),"----")</f>
        <v>----</v>
      </c>
      <c r="CZ210" s="691" t="e">
        <f t="shared" ca="1" si="3220"/>
        <v>#N/A</v>
      </c>
      <c r="DA210" s="4" t="e">
        <f ca="1">IF(LEFT($J203,7)="Clad Wo",IF(AND(INDEX(SPPWS,CZ210,4)&gt;=$AB203,INDEX(SPPWS,CZ210,5)&gt;=$S203,INDEX(SPPWS,CZ210,6)&gt;=$R203),1,0),IF(AND(INDEX(SPM,CZ210,4)&gt;=$AB203,INDEX(SPM,CZ210,5)&gt;=$S203,INDEX(SPM,CZ210,6)&gt;=$R203),1,0))</f>
        <v>#N/A</v>
      </c>
      <c r="DB210" s="4" t="e">
        <f t="shared" ref="DB210" ca="1" si="3329">MATCH(1,OFFSET(DA203:DA214,DC209,0,COUNT(DA203:DA214)-DC209),0)</f>
        <v>#REF!</v>
      </c>
      <c r="DC210" s="4" t="e">
        <f t="shared" ca="1" si="3222"/>
        <v>#REF!</v>
      </c>
      <c r="DD210" s="693" t="str">
        <f ca="1">IF(LEFT($J203,7)="Clad Wo",IFERROR(VLOOKUP(INDEX(CZ203:CZ214,DC210),SPPWS,2,FALSE),"----"),IFERROR(VLOOKUP(INDEX(CZ203:CZ214,DC210),SPM,2,FALSE),"----"))</f>
        <v>----</v>
      </c>
      <c r="DE210" s="691" t="e">
        <f t="shared" ca="1" si="3223"/>
        <v>#REF!</v>
      </c>
      <c r="DF210" s="4" t="e" cm="1">
        <f t="array" aca="1" ref="DF210" ca="1">IF(AND(INDEX(INDIRECT(BY203),DE210,4)&gt;=$AB209,INDEX(INDIRECT(BY203),DE210,5)&gt;=$S203,INDEX(INDIRECT(BY203),DE210,6)&gt;=$R203),1,0)</f>
        <v>#REF!</v>
      </c>
      <c r="DG210" s="4" t="e">
        <f t="shared" ref="DG210" ca="1" si="3330">MATCH(1,OFFSET(DF203:DF214,DH209,0,COUNT(DF203:DF214)-DH209),0)</f>
        <v>#REF!</v>
      </c>
      <c r="DH210" s="4" t="e">
        <f t="shared" ca="1" si="3225"/>
        <v>#REF!</v>
      </c>
      <c r="DI210" s="692" t="str" cm="1">
        <f t="array" aca="1" ref="DI210" ca="1">IFERROR(VLOOKUP(INDEX(DE203:DE214,DH210),INDIRECT(BY203),2,FALSE),"----")</f>
        <v>----</v>
      </c>
      <c r="DJ210" s="691" t="e">
        <f t="shared" ca="1" si="3226"/>
        <v>#N/A</v>
      </c>
      <c r="DK210" s="4" t="e">
        <f ca="1">IF(AND(INDEX(SSM,DJ210,4)&gt;=$AB209,INDEX(SSM,DJ210,5)&gt;=$S203,INDEX(SSM,DJ210,6)&gt;=$R203),1,0)</f>
        <v>#N/A</v>
      </c>
      <c r="DL210" s="4" t="e">
        <f t="shared" ref="DL210" ca="1" si="3331">MATCH(1,OFFSET(DK203:DK214,DM209,0,COUNT(DK203:DK214)-DM209),0)</f>
        <v>#REF!</v>
      </c>
      <c r="DM210" s="4" t="e">
        <f t="shared" ca="1" si="3228"/>
        <v>#REF!</v>
      </c>
      <c r="DN210" s="692" t="str">
        <f ca="1">IFERROR(IF(AD210="Nested Steel Stud (wood infill)",VLOOKUP(INDEX(DJ203:DJ214,DM210),SSW,2,FALSE),VLOOKUP(INDEX(DJ203:DJ214,DM210),SSM,2,FALSE)),"----")</f>
        <v>----</v>
      </c>
      <c r="DO210" s="691" t="e">
        <f t="shared" ca="1" si="3229"/>
        <v>#N/A</v>
      </c>
      <c r="DP210" s="4" t="e">
        <f ca="1">IF(AND(INDEX(WSM,DO210,4)&gt;=$AB209,INDEX(WSM,DO210,5)&gt;=$S203,INDEX(WSM,DO210,6)&gt;=$R203),1,0)</f>
        <v>#N/A</v>
      </c>
      <c r="DQ210" s="4" t="e">
        <f t="shared" ref="DQ210" ca="1" si="3332">MATCH(1,OFFSET(DP203:DP214,DR209,0,COUNT(DP203:DP214)-DR209),0)</f>
        <v>#REF!</v>
      </c>
      <c r="DR210" s="4" t="e">
        <f t="shared" ca="1" si="3231"/>
        <v>#REF!</v>
      </c>
      <c r="DS210" s="692" t="str">
        <f ca="1">IFERROR(VLOOKUP(INDEX(DO203:DO214,DR210),WSM,2,FALSE),"----")</f>
        <v>----</v>
      </c>
      <c r="DT210" s="691" t="e">
        <f t="shared" ca="1" si="3232"/>
        <v>#N/A</v>
      </c>
      <c r="DU210" s="4" t="e">
        <f ca="1">IF(AND(INDEX(STM,DT210,4)&gt;=$AB209,INDEX(STM,DT210,5)&gt;=$S203,INDEX(STM,DT210,6)&gt;=$R203),1,0)</f>
        <v>#N/A</v>
      </c>
      <c r="DV210" s="4" t="e">
        <f t="shared" ref="DV210" ca="1" si="3333">MATCH(1,OFFSET(DU203:DU214,DW209,0,COUNT(DU203:DU214)-DW209),0)</f>
        <v>#REF!</v>
      </c>
      <c r="DW210" s="4" t="e">
        <f t="shared" ca="1" si="3234"/>
        <v>#REF!</v>
      </c>
      <c r="DX210" s="692" t="str">
        <f ca="1">IFERROR(VLOOKUP(INDEX(DT203:DT214,DW210),STM,2,FALSE),"----")</f>
        <v>----</v>
      </c>
      <c r="DY210" s="691" t="e">
        <f t="shared" ca="1" si="3235"/>
        <v>#N/A</v>
      </c>
      <c r="DZ210" s="4" t="e">
        <f ca="1">IF(AND(INDEX(ELM,DY210,4)&gt;=$AB209,INDEX(ELM,DY210,5)&gt;=$S203,INDEX(ELM,DY210,6)&gt;=$R203),1,0)</f>
        <v>#N/A</v>
      </c>
      <c r="EA210" s="4" t="e">
        <f t="shared" ref="EA210" ca="1" si="3334">MATCH(1,OFFSET(DZ203:DZ214,EB209,0,COUNT(DZ203:DZ214)-EB209),0)</f>
        <v>#REF!</v>
      </c>
      <c r="EB210" s="4" t="e">
        <f t="shared" ca="1" si="3237"/>
        <v>#REF!</v>
      </c>
      <c r="EC210" s="692" t="str">
        <f ca="1">IFERROR(VLOOKUP(INDEX(DY203:DY214,EB210),ELM,2,FALSE),"----")</f>
        <v>----</v>
      </c>
      <c r="ED210" s="691" t="e">
        <f t="shared" ca="1" si="3238"/>
        <v>#N/A</v>
      </c>
      <c r="EE210" s="4" t="e">
        <f ca="1">IF(LEFT($J203,7)="Clad Wo",IF(AND(INDEX(SPPWS,ED210,4)&gt;=$AB209,INDEX(SPPWS,ED210,5)&gt;=$S203,INDEX(SPPWS,ED210,6)&gt;=$R203),1,0),IF(AND(INDEX(SPM,ED210,4)&gt;=$AB209,INDEX(SPM,ED210,5)&gt;=$S203,INDEX(SPM,ED210,6)&gt;=$R203),1,0))</f>
        <v>#N/A</v>
      </c>
      <c r="EF210" s="4" t="e">
        <f t="shared" ref="EF210" ca="1" si="3335">MATCH(1,OFFSET(EE203:EE214,EG209,0,COUNT(EE203:EE214)-EG209),0)</f>
        <v>#REF!</v>
      </c>
      <c r="EG210" s="4" t="e">
        <f t="shared" ca="1" si="3240"/>
        <v>#REF!</v>
      </c>
      <c r="EH210" s="692" t="str">
        <f ca="1">IF(LEFT($J203,7)="Clad Wo",IFERROR(VLOOKUP(INDEX(ED203:ED214,EG210),SPPWS,2,FALSE),"----"),IFERROR(VLOOKUP(INDEX(ED203:ED214,EG210),SPM,2,FALSE),"----"))</f>
        <v>----</v>
      </c>
    </row>
    <row r="211" spans="1:138" ht="15" customHeight="1" x14ac:dyDescent="0.25">
      <c r="A211" s="1085"/>
      <c r="B211" s="925"/>
      <c r="C211" s="926"/>
      <c r="D211" s="927"/>
      <c r="E211" s="995"/>
      <c r="F211" s="996"/>
      <c r="G211" s="997"/>
      <c r="H211" s="1062"/>
      <c r="I211" s="990"/>
      <c r="J211" s="902"/>
      <c r="K211" s="903"/>
      <c r="L211" s="1002"/>
      <c r="M211" s="923"/>
      <c r="N211" s="1042"/>
      <c r="O211" s="1018"/>
      <c r="P211" s="987"/>
      <c r="Q211" s="1015"/>
      <c r="R211" s="1012"/>
      <c r="S211" s="1006"/>
      <c r="T211" s="1007"/>
      <c r="U211" s="878"/>
      <c r="V211" s="881"/>
      <c r="W211" s="884"/>
      <c r="X211" s="884"/>
      <c r="Y211" s="887"/>
      <c r="Z211" s="887"/>
      <c r="AA211" s="887"/>
      <c r="AB211" s="1081"/>
      <c r="AC211" s="1078"/>
      <c r="AD211" s="1070" t="str">
        <f t="shared" si="3099"/>
        <v>Wood Stud Framing</v>
      </c>
      <c r="AE211" s="1071"/>
      <c r="AF211" s="1052"/>
      <c r="AG211" s="1053"/>
      <c r="AH211" s="1053"/>
      <c r="AI211" s="1066"/>
      <c r="AJ211" s="1067"/>
      <c r="AK211" s="156" t="str">
        <f t="shared" ca="1" si="2393"/>
        <v/>
      </c>
      <c r="AL211" s="1059"/>
      <c r="AM211" s="344" t="str">
        <f ca="1">IFERROR(Q203/12*ROUND(VLOOKUP(AF211,OFFSET(WSM,0,1),6,FALSE),2),"")</f>
        <v/>
      </c>
      <c r="AN211" t="str">
        <f t="shared" ca="1" si="2409"/>
        <v/>
      </c>
      <c r="AP211" s="122" t="str">
        <f t="shared" ref="AP211" si="3336">_xlfn.CONCAT(AR211,AS214)</f>
        <v/>
      </c>
      <c r="AQ211" s="683" t="str">
        <f t="shared" si="2617"/>
        <v/>
      </c>
      <c r="AR211" s="4" t="str">
        <f t="shared" si="2378"/>
        <v/>
      </c>
      <c r="AS211" s="4"/>
      <c r="AT211" s="697" t="str">
        <f>AL209</f>
        <v/>
      </c>
      <c r="AU211" s="694" t="e">
        <f t="shared" ca="1" si="2633"/>
        <v>#REF!</v>
      </c>
      <c r="AV211" s="686" t="str">
        <f ca="1">IFERROR(VLOOKUP(AU211,INDIRECT(AQ203),2,FALSE),"----")</f>
        <v>----</v>
      </c>
      <c r="AW211" s="694" t="e">
        <f t="shared" ca="1" si="2634"/>
        <v>#REF!</v>
      </c>
      <c r="AX211" s="686" t="str">
        <f ca="1">IFERROR(VLOOKUP(AW211,INDIRECT(AQ204),2,FALSE),"----")</f>
        <v>----</v>
      </c>
      <c r="AY211" s="694" t="e">
        <f t="shared" ca="1" si="3049"/>
        <v>#REF!</v>
      </c>
      <c r="AZ211" s="686" t="str">
        <f ca="1">IFERROR(VLOOKUP(AY211,INDIRECT(AQ205),2,FALSE),"----")</f>
        <v>----</v>
      </c>
      <c r="BA211" s="694" t="e">
        <f t="shared" ca="1" si="3050"/>
        <v>#REF!</v>
      </c>
      <c r="BB211" s="686" t="str">
        <f ca="1">IFERROR(VLOOKUP(BA211,INDIRECT(AQ206),2,FALSE),"----")</f>
        <v>----</v>
      </c>
      <c r="BC211" s="694" t="e">
        <f t="shared" ca="1" si="2635"/>
        <v>#REF!</v>
      </c>
      <c r="BD211" s="686" t="str">
        <f ca="1">IFERROR(VLOOKUP(BC211,INDIRECT(AQ207),2,FALSE),"----")</f>
        <v>----</v>
      </c>
      <c r="BE211" s="694" t="e">
        <f t="shared" ca="1" si="2636"/>
        <v>#REF!</v>
      </c>
      <c r="BF211" s="686" t="str">
        <f ca="1">IFERROR(VLOOKUP(BE211,INDIRECT(AQ208),2,FALSE),"----")</f>
        <v>----</v>
      </c>
      <c r="BG211" s="702" t="e">
        <f t="shared" ca="1" si="2637"/>
        <v>#REF!</v>
      </c>
      <c r="BH211" s="686" t="str">
        <f ca="1">IFERROR(VLOOKUP(BG211,INDIRECT(AQ209),2,FALSE),"----")</f>
        <v>----</v>
      </c>
      <c r="BI211" s="702" t="e">
        <f t="shared" ca="1" si="2638"/>
        <v>#REF!</v>
      </c>
      <c r="BJ211" s="686" t="str">
        <f ca="1">IFERROR(VLOOKUP(BI211,INDIRECT(AQ210),2,FALSE),"----")</f>
        <v>----</v>
      </c>
      <c r="BK211" s="702" t="e">
        <f t="shared" ca="1" si="2639"/>
        <v>#REF!</v>
      </c>
      <c r="BL211" s="686" t="str">
        <f ca="1">IFERROR(VLOOKUP(BK211,INDIRECT(AQ211),2,FALSE),"----")</f>
        <v>----</v>
      </c>
      <c r="BM211" s="702" t="e">
        <f t="shared" ca="1" si="2640"/>
        <v>#REF!</v>
      </c>
      <c r="BN211" s="686" t="str">
        <f ca="1">IFERROR(VLOOKUP(BM211,INDIRECT(AQ212),2,FALSE),"----")</f>
        <v>----</v>
      </c>
      <c r="BO211" s="702" t="e">
        <f t="shared" ca="1" si="2641"/>
        <v>#REF!</v>
      </c>
      <c r="BP211" s="686" t="str">
        <f ca="1">IFERROR(VLOOKUP(BO211,INDIRECT(AQ213),2,FALSE),"----")</f>
        <v>----</v>
      </c>
      <c r="BQ211" s="702" t="e">
        <f t="shared" ca="1" si="2642"/>
        <v>#REF!</v>
      </c>
      <c r="BR211" s="686" t="str">
        <f ca="1">IFERROR(VLOOKUP(BQ211,INDIRECT(AQ214),2,FALSE),"----")</f>
        <v>----</v>
      </c>
      <c r="BS211" s="695">
        <f>IF(AI211="",1,IF(COUNTIF(BL203:BL214,AI211)=0,2,1))</f>
        <v>1</v>
      </c>
      <c r="BT211" s="696">
        <f>IF(AF211="",1,IF(BL203=".",2,1))</f>
        <v>1</v>
      </c>
      <c r="BU211" s="706"/>
      <c r="BV211" s="155">
        <f ca="1">IF(COUNTIF(DS203:DS214,AF211)=0,IF(AF211&lt;&gt;"",0,1),1)</f>
        <v>1</v>
      </c>
      <c r="BW211" s="157">
        <f ca="1">IFERROR(MATCH(AF211,DS203:DS214,0),1)</f>
        <v>1</v>
      </c>
      <c r="BX211" s="769" t="e">
        <f t="shared" ref="BX211" si="3337">5*E203^3*W203/(384*X203)</f>
        <v>#VALUE!</v>
      </c>
      <c r="BY211" s="769" t="e">
        <f t="shared" ref="BY211" si="3338">W203*E203^3/(60*X203)</f>
        <v>#VALUE!</v>
      </c>
      <c r="BZ211" s="1110"/>
      <c r="CA211" s="691" t="e">
        <f t="shared" ca="1" si="3205"/>
        <v>#REF!</v>
      </c>
      <c r="CB211" s="4" t="e" cm="1">
        <f t="array" aca="1" ref="CB211" ca="1">IF(AND(INDEX(INDIRECT(BY203),CA211,4)&gt;=$AB203,INDEX(INDIRECT(BY203),CA211,5)&gt;=$S203,INDEX(INDIRECT(BY203),CA211,6)&gt;=$R203),1,0)</f>
        <v>#REF!</v>
      </c>
      <c r="CC211" s="4" t="e">
        <f t="shared" ref="CC211" ca="1" si="3339">MATCH(1,OFFSET(CB203:CB214,CD210,0,COUNT(CB203:CB214)-CD210),0)</f>
        <v>#REF!</v>
      </c>
      <c r="CD211" s="4" t="e">
        <f t="shared" ca="1" si="3207"/>
        <v>#REF!</v>
      </c>
      <c r="CE211" s="692" t="str" cm="1">
        <f t="array" aca="1" ref="CE211" ca="1">IFERROR(VLOOKUP(INDEX(CA203:CA214,CD211),INDIRECT(BY203),2,FALSE),"----")</f>
        <v>----</v>
      </c>
      <c r="CF211" s="691" t="e">
        <f t="shared" ca="1" si="3208"/>
        <v>#N/A</v>
      </c>
      <c r="CG211" s="4" t="e">
        <f ca="1">IF(AND(INDEX(SSM,CF211,4)&gt;=$AB203,INDEX(SSM,CF211,5)&gt;=$S203,INDEX(SSM,CF211,6)&gt;=$R203),1,0)</f>
        <v>#N/A</v>
      </c>
      <c r="CH211" s="4" t="e">
        <f t="shared" ref="CH211" ca="1" si="3340">MATCH(1,OFFSET(CG203:CG214,CI210,0,COUNT(CG203:CG214)-CI210),0)</f>
        <v>#REF!</v>
      </c>
      <c r="CI211" s="4" t="e">
        <f t="shared" ca="1" si="3210"/>
        <v>#REF!</v>
      </c>
      <c r="CJ211" s="692" t="str">
        <f ca="1">IFERROR(IF(AD204="Nested Steel Stud (wood infill)",VLOOKUP(INDEX(CF203:CF214,CI211),SSW,2,FALSE),VLOOKUP(INDEX(CF203:CF214,CI211),SSM,2,FALSE)),"----")</f>
        <v>----</v>
      </c>
      <c r="CK211" s="691" t="e">
        <f t="shared" ca="1" si="3211"/>
        <v>#N/A</v>
      </c>
      <c r="CL211" s="4" t="e">
        <f ca="1">IF(AND(INDEX(WSM,CK211,4)&gt;=$AB203,INDEX(WSM,CK211,5)&gt;=$S203,INDEX(WSM,CK211,6)&gt;=$R203),1,0)</f>
        <v>#N/A</v>
      </c>
      <c r="CM211" s="4" t="e">
        <f t="shared" ref="CM211" ca="1" si="3341">MATCH(1,OFFSET(CL203:CL214,CN210,0,COUNT(CL203:CL214)-CN210),0)</f>
        <v>#REF!</v>
      </c>
      <c r="CN211" s="4" t="e">
        <f t="shared" ca="1" si="3213"/>
        <v>#REF!</v>
      </c>
      <c r="CO211" s="692" t="str">
        <f ca="1">IFERROR(VLOOKUP(INDEX(CK203:CK214,CN211),WSM,2,FALSE),"----")</f>
        <v>----</v>
      </c>
      <c r="CP211" s="691" t="e">
        <f t="shared" ca="1" si="3214"/>
        <v>#N/A</v>
      </c>
      <c r="CQ211" s="4" t="e">
        <f ca="1">IF(AND(INDEX(STM,CP211,4)&gt;=$AB203,INDEX(STM,CP211,5)&gt;=$S203,INDEX(STM,CP211,6)&gt;=$R203),1,0)</f>
        <v>#N/A</v>
      </c>
      <c r="CR211" s="4" t="e">
        <f t="shared" ref="CR211" ca="1" si="3342">MATCH(1,OFFSET(CQ203:CQ214,CS210,0,COUNT(CQ203:CQ214)-CS210),0)</f>
        <v>#REF!</v>
      </c>
      <c r="CS211" s="4" t="e">
        <f t="shared" ca="1" si="3216"/>
        <v>#REF!</v>
      </c>
      <c r="CT211" s="692" t="str">
        <f ca="1">IFERROR(VLOOKUP(INDEX(CP203:CP214,CS211),STM,2,FALSE),"----")</f>
        <v>----</v>
      </c>
      <c r="CU211" s="691" t="e">
        <f t="shared" ca="1" si="3217"/>
        <v>#N/A</v>
      </c>
      <c r="CV211" s="4" t="e">
        <f ca="1">IF(AND(INDEX(ELM,CU211,4)&gt;=$AB203,INDEX(ELM,CU211,5)&gt;=$S203,INDEX(ELM,CU211,6)&gt;=$R203),1,0)</f>
        <v>#N/A</v>
      </c>
      <c r="CW211" s="4" t="e">
        <f t="shared" ref="CW211" ca="1" si="3343">MATCH(1,OFFSET(CV203:CV214,CX210,0,COUNT(CV203:CV214)-CX210),0)</f>
        <v>#REF!</v>
      </c>
      <c r="CX211" s="4" t="e">
        <f t="shared" ca="1" si="3219"/>
        <v>#REF!</v>
      </c>
      <c r="CY211" s="692" t="str">
        <f ca="1">IFERROR(VLOOKUP(INDEX(CU203:CU214,CX211),ELM,2,FALSE),"----")</f>
        <v>----</v>
      </c>
      <c r="CZ211" s="691" t="e">
        <f t="shared" ca="1" si="3220"/>
        <v>#N/A</v>
      </c>
      <c r="DA211" s="4" t="e">
        <f ca="1">IF(LEFT($J203,7)="Clad Wo",IF(AND(INDEX(SPPWS,CZ211,4)&gt;=$AB203,INDEX(SPPWS,CZ211,5)&gt;=$S203,INDEX(SPPWS,CZ211,6)&gt;=$R203),1,0),IF(AND(INDEX(SPM,CZ211,4)&gt;=$AB203,INDEX(SPM,CZ211,5)&gt;=$S203,INDEX(SPM,CZ211,6)&gt;=$R203),1,0))</f>
        <v>#N/A</v>
      </c>
      <c r="DB211" s="4" t="e">
        <f t="shared" ref="DB211" ca="1" si="3344">MATCH(1,OFFSET(DA203:DA214,DC210,0,COUNT(DA203:DA214)-DC210),0)</f>
        <v>#REF!</v>
      </c>
      <c r="DC211" s="4" t="e">
        <f t="shared" ca="1" si="3222"/>
        <v>#REF!</v>
      </c>
      <c r="DD211" s="693" t="str">
        <f ca="1">IF(LEFT($J203,7)="Clad Wo",IFERROR(VLOOKUP(INDEX(CZ203:CZ214,DC211),SPPWS,2,FALSE),"----"),IFERROR(VLOOKUP(INDEX(CZ203:CZ214,DC211),SPM,2,FALSE),"----"))</f>
        <v>----</v>
      </c>
      <c r="DE211" s="691" t="e">
        <f t="shared" ca="1" si="3223"/>
        <v>#REF!</v>
      </c>
      <c r="DF211" s="4" t="e" cm="1">
        <f t="array" aca="1" ref="DF211" ca="1">IF(AND(INDEX(INDIRECT(BY203),DE211,4)&gt;=$AB209,INDEX(INDIRECT(BY203),DE211,5)&gt;=$S203,INDEX(INDIRECT(BY203),DE211,6)&gt;=$R203),1,0)</f>
        <v>#REF!</v>
      </c>
      <c r="DG211" s="4" t="e">
        <f t="shared" ref="DG211" ca="1" si="3345">MATCH(1,OFFSET(DF203:DF214,DH210,0,COUNT(DF203:DF214)-DH210),0)</f>
        <v>#REF!</v>
      </c>
      <c r="DH211" s="4" t="e">
        <f t="shared" ca="1" si="3225"/>
        <v>#REF!</v>
      </c>
      <c r="DI211" s="692" t="str" cm="1">
        <f t="array" aca="1" ref="DI211" ca="1">IFERROR(VLOOKUP(INDEX(DE203:DE214,DH211),INDIRECT(BY203),2,FALSE),"----")</f>
        <v>----</v>
      </c>
      <c r="DJ211" s="691" t="e">
        <f t="shared" ca="1" si="3226"/>
        <v>#N/A</v>
      </c>
      <c r="DK211" s="4" t="e">
        <f ca="1">IF(AND(INDEX(SSM,DJ211,4)&gt;=$AB209,INDEX(SSM,DJ211,5)&gt;=$S203,INDEX(SSM,DJ211,6)&gt;=$R203),1,0)</f>
        <v>#N/A</v>
      </c>
      <c r="DL211" s="4" t="e">
        <f t="shared" ref="DL211" ca="1" si="3346">MATCH(1,OFFSET(DK203:DK214,DM210,0,COUNT(DK203:DK214)-DM210),0)</f>
        <v>#REF!</v>
      </c>
      <c r="DM211" s="4" t="e">
        <f t="shared" ca="1" si="3228"/>
        <v>#REF!</v>
      </c>
      <c r="DN211" s="692" t="str">
        <f ca="1">IFERROR(IF(AD210="Nested Steel Stud (wood infill)",VLOOKUP(INDEX(DJ203:DJ214,DM211),SSW,2,FALSE),VLOOKUP(INDEX(DJ203:DJ214,DM211),SSM,2,FALSE)),"----")</f>
        <v>----</v>
      </c>
      <c r="DO211" s="691" t="e">
        <f t="shared" ca="1" si="3229"/>
        <v>#N/A</v>
      </c>
      <c r="DP211" s="4" t="e">
        <f ca="1">IF(AND(INDEX(WSM,DO211,4)&gt;=$AB209,INDEX(WSM,DO211,5)&gt;=$S203,INDEX(WSM,DO211,6)&gt;=$R203),1,0)</f>
        <v>#N/A</v>
      </c>
      <c r="DQ211" s="4" t="e">
        <f t="shared" ref="DQ211" ca="1" si="3347">MATCH(1,OFFSET(DP203:DP214,DR210,0,COUNT(DP203:DP214)-DR210),0)</f>
        <v>#REF!</v>
      </c>
      <c r="DR211" s="4" t="e">
        <f t="shared" ca="1" si="3231"/>
        <v>#REF!</v>
      </c>
      <c r="DS211" s="692" t="str">
        <f ca="1">IFERROR(VLOOKUP(INDEX(DO203:DO214,DR211),WSM,2,FALSE),"----")</f>
        <v>----</v>
      </c>
      <c r="DT211" s="691" t="e">
        <f t="shared" ca="1" si="3232"/>
        <v>#N/A</v>
      </c>
      <c r="DU211" s="4" t="e">
        <f ca="1">IF(AND(INDEX(STM,DT211,4)&gt;=$AB209,INDEX(STM,DT211,5)&gt;=$S203,INDEX(STM,DT211,6)&gt;=$R203),1,0)</f>
        <v>#N/A</v>
      </c>
      <c r="DV211" s="4" t="e">
        <f t="shared" ref="DV211" ca="1" si="3348">MATCH(1,OFFSET(DU203:DU214,DW210,0,COUNT(DU203:DU214)-DW210),0)</f>
        <v>#REF!</v>
      </c>
      <c r="DW211" s="4" t="e">
        <f t="shared" ca="1" si="3234"/>
        <v>#REF!</v>
      </c>
      <c r="DX211" s="692" t="str">
        <f ca="1">IFERROR(VLOOKUP(INDEX(DT203:DT214,DW211),STM,2,FALSE),"----")</f>
        <v>----</v>
      </c>
      <c r="DY211" s="691" t="e">
        <f t="shared" ca="1" si="3235"/>
        <v>#N/A</v>
      </c>
      <c r="DZ211" s="4" t="e">
        <f ca="1">IF(AND(INDEX(ELM,DY211,4)&gt;=$AB209,INDEX(ELM,DY211,5)&gt;=$S203,INDEX(ELM,DY211,6)&gt;=$R203),1,0)</f>
        <v>#N/A</v>
      </c>
      <c r="EA211" s="4" t="e">
        <f t="shared" ref="EA211" ca="1" si="3349">MATCH(1,OFFSET(DZ203:DZ214,EB210,0,COUNT(DZ203:DZ214)-EB210),0)</f>
        <v>#REF!</v>
      </c>
      <c r="EB211" s="4" t="e">
        <f t="shared" ca="1" si="3237"/>
        <v>#REF!</v>
      </c>
      <c r="EC211" s="692" t="str">
        <f ca="1">IFERROR(VLOOKUP(INDEX(DY203:DY214,EB211),ELM,2,FALSE),"----")</f>
        <v>----</v>
      </c>
      <c r="ED211" s="691" t="e">
        <f t="shared" ca="1" si="3238"/>
        <v>#N/A</v>
      </c>
      <c r="EE211" s="4" t="e">
        <f ca="1">IF(LEFT($J203,7)="Clad Wo",IF(AND(INDEX(SPPWS,ED211,4)&gt;=$AB209,INDEX(SPPWS,ED211,5)&gt;=$S203,INDEX(SPPWS,ED211,6)&gt;=$R203),1,0),IF(AND(INDEX(SPM,ED211,4)&gt;=$AB209,INDEX(SPM,ED211,5)&gt;=$S203,INDEX(SPM,ED211,6)&gt;=$R203),1,0))</f>
        <v>#N/A</v>
      </c>
      <c r="EF211" s="4" t="e">
        <f t="shared" ref="EF211" ca="1" si="3350">MATCH(1,OFFSET(EE203:EE214,EG210,0,COUNT(EE203:EE214)-EG210),0)</f>
        <v>#REF!</v>
      </c>
      <c r="EG211" s="4" t="e">
        <f t="shared" ca="1" si="3240"/>
        <v>#REF!</v>
      </c>
      <c r="EH211" s="692" t="str">
        <f ca="1">IF(LEFT($J203,7)="Clad Wo",IFERROR(VLOOKUP(INDEX(ED203:ED214,EG211),SPPWS,2,FALSE),"----"),IFERROR(VLOOKUP(INDEX(ED203:ED214,EG211),SPM,2,FALSE),"----"))</f>
        <v>----</v>
      </c>
    </row>
    <row r="212" spans="1:138" ht="15" customHeight="1" x14ac:dyDescent="0.25">
      <c r="A212" s="1085"/>
      <c r="B212" s="925"/>
      <c r="C212" s="926"/>
      <c r="D212" s="927"/>
      <c r="E212" s="995"/>
      <c r="F212" s="996"/>
      <c r="G212" s="997"/>
      <c r="H212" s="1062"/>
      <c r="I212" s="990"/>
      <c r="J212" s="902"/>
      <c r="K212" s="903"/>
      <c r="L212" s="1002"/>
      <c r="M212" s="923"/>
      <c r="N212" s="1042"/>
      <c r="O212" s="1018"/>
      <c r="P212" s="987"/>
      <c r="Q212" s="1015"/>
      <c r="R212" s="1012"/>
      <c r="S212" s="1006"/>
      <c r="T212" s="1007"/>
      <c r="U212" s="878"/>
      <c r="V212" s="881"/>
      <c r="W212" s="884"/>
      <c r="X212" s="884"/>
      <c r="Y212" s="887"/>
      <c r="Z212" s="887"/>
      <c r="AA212" s="887"/>
      <c r="AB212" s="1081"/>
      <c r="AC212" s="1078"/>
      <c r="AD212" s="1070" t="str">
        <f t="shared" si="3099"/>
        <v>Steel Tube</v>
      </c>
      <c r="AE212" s="1071"/>
      <c r="AF212" s="1052"/>
      <c r="AG212" s="1053"/>
      <c r="AH212" s="1053"/>
      <c r="AI212" s="1066"/>
      <c r="AJ212" s="1067"/>
      <c r="AK212" s="156" t="str">
        <f t="shared" ca="1" si="2393"/>
        <v/>
      </c>
      <c r="AL212" s="1059"/>
      <c r="AM212" s="343" t="str">
        <f ca="1">IFERROR(Q203/12*ROUND(VLOOKUP(AF212,OFFSET(STM,0,1),6,FALSE),2),"")</f>
        <v/>
      </c>
      <c r="AN212" t="str">
        <f t="shared" ca="1" si="2409"/>
        <v/>
      </c>
      <c r="AP212" s="122" t="str">
        <f t="shared" ref="AP212" si="3351">_xlfn.CONCAT(AR212,AS214)</f>
        <v/>
      </c>
      <c r="AQ212" s="683" t="str">
        <f t="shared" si="2617"/>
        <v/>
      </c>
      <c r="AR212" s="4" t="str">
        <f t="shared" si="2378"/>
        <v/>
      </c>
      <c r="AS212" s="4"/>
      <c r="AT212" s="697" t="str">
        <f>AL209</f>
        <v/>
      </c>
      <c r="AU212" s="694" t="e">
        <f t="shared" ca="1" si="2633"/>
        <v>#REF!</v>
      </c>
      <c r="AV212" s="686" t="str">
        <f ca="1">IFERROR(VLOOKUP(AU212,INDIRECT(AQ203),2,FALSE),"----")</f>
        <v>----</v>
      </c>
      <c r="AW212" s="694" t="e">
        <f t="shared" ca="1" si="2634"/>
        <v>#REF!</v>
      </c>
      <c r="AX212" s="686" t="str">
        <f ca="1">IFERROR(VLOOKUP(AW212,INDIRECT(AQ204),2,FALSE),"----")</f>
        <v>----</v>
      </c>
      <c r="AY212" s="694" t="e">
        <f t="shared" ref="AY212:AY274" ca="1" si="3352">AY211-1</f>
        <v>#REF!</v>
      </c>
      <c r="AZ212" s="686" t="str">
        <f ca="1">IFERROR(VLOOKUP(AY212,INDIRECT(AQ205),2,FALSE),"----")</f>
        <v>----</v>
      </c>
      <c r="BA212" s="694" t="e">
        <f t="shared" ref="BA212:BA274" ca="1" si="3353">BA211-1</f>
        <v>#REF!</v>
      </c>
      <c r="BB212" s="686" t="str">
        <f ca="1">IFERROR(VLOOKUP(BA212,INDIRECT(AQ206),2,FALSE),"----")</f>
        <v>----</v>
      </c>
      <c r="BC212" s="694" t="e">
        <f t="shared" ca="1" si="2635"/>
        <v>#REF!</v>
      </c>
      <c r="BD212" s="686" t="str">
        <f ca="1">IFERROR(VLOOKUP(BC212,INDIRECT(AQ207),2,FALSE),"----")</f>
        <v>----</v>
      </c>
      <c r="BE212" s="694" t="e">
        <f t="shared" ca="1" si="2636"/>
        <v>#REF!</v>
      </c>
      <c r="BF212" s="686" t="str">
        <f ca="1">IFERROR(VLOOKUP(BE212,INDIRECT(AQ208),2,FALSE),"----")</f>
        <v>----</v>
      </c>
      <c r="BG212" s="702" t="e">
        <f t="shared" ca="1" si="2637"/>
        <v>#REF!</v>
      </c>
      <c r="BH212" s="686" t="str">
        <f ca="1">IFERROR(VLOOKUP(BG212,INDIRECT(AQ209),2,FALSE),"----")</f>
        <v>----</v>
      </c>
      <c r="BI212" s="702" t="e">
        <f t="shared" ca="1" si="2638"/>
        <v>#REF!</v>
      </c>
      <c r="BJ212" s="686" t="str">
        <f ca="1">IFERROR(VLOOKUP(BI212,INDIRECT(AQ210),2,FALSE),"----")</f>
        <v>----</v>
      </c>
      <c r="BK212" s="702" t="e">
        <f t="shared" ca="1" si="2639"/>
        <v>#REF!</v>
      </c>
      <c r="BL212" s="686" t="str">
        <f ca="1">IFERROR(VLOOKUP(BK212,INDIRECT(AQ211),2,FALSE),"----")</f>
        <v>----</v>
      </c>
      <c r="BM212" s="702" t="e">
        <f t="shared" ca="1" si="2640"/>
        <v>#REF!</v>
      </c>
      <c r="BN212" s="686" t="str">
        <f ca="1">IFERROR(VLOOKUP(BM212,INDIRECT(AQ212),2,FALSE),"----")</f>
        <v>----</v>
      </c>
      <c r="BO212" s="702" t="e">
        <f t="shared" ca="1" si="2641"/>
        <v>#REF!</v>
      </c>
      <c r="BP212" s="686" t="str">
        <f ca="1">IFERROR(VLOOKUP(BO212,INDIRECT(AQ213),2,FALSE),"----")</f>
        <v>----</v>
      </c>
      <c r="BQ212" s="702" t="e">
        <f t="shared" ca="1" si="2642"/>
        <v>#REF!</v>
      </c>
      <c r="BR212" s="686" t="str">
        <f ca="1">IFERROR(VLOOKUP(BQ212,INDIRECT(AQ214),2,FALSE),"----")</f>
        <v>----</v>
      </c>
      <c r="BS212" s="695">
        <f>IF(AI212="",1,IF(COUNTIF(BN203:BN214,AI212)=0,2,1))</f>
        <v>1</v>
      </c>
      <c r="BT212" s="696">
        <f>IF(AF212="",1,IF(BN203=".",2,1))</f>
        <v>1</v>
      </c>
      <c r="BU212" s="706"/>
      <c r="BV212" s="155">
        <f ca="1">IF(COUNTIF(DX203:DX214,AF212)=0,IF(AF212&lt;&gt;"",0,1),1)</f>
        <v>1</v>
      </c>
      <c r="BW212" s="157">
        <f ca="1">IFERROR(MATCH(AF212,DX203:DX214,0),1)</f>
        <v>1</v>
      </c>
      <c r="BX212" s="769" t="e">
        <f t="shared" ref="BX212" si="3354">5*E203^3*W209/(384*X203)</f>
        <v>#VALUE!</v>
      </c>
      <c r="BY212" s="769" t="e">
        <f t="shared" ref="BY212" si="3355">E203^3*W209/(60*X203)</f>
        <v>#VALUE!</v>
      </c>
      <c r="BZ212" s="1110"/>
      <c r="CA212" s="691" t="e">
        <f t="shared" ca="1" si="3205"/>
        <v>#REF!</v>
      </c>
      <c r="CB212" s="4" t="e" cm="1">
        <f t="array" aca="1" ref="CB212" ca="1">IF(AND(INDEX(INDIRECT(BY203),CA212,4)&gt;=$AB203,INDEX(INDIRECT(BY203),CA212,5)&gt;=$S203,INDEX(INDIRECT(BY203),CA212,6)&gt;=$R203),1,0)</f>
        <v>#REF!</v>
      </c>
      <c r="CC212" s="4" t="e">
        <f t="shared" ref="CC212" ca="1" si="3356">MATCH(1,OFFSET(CB203:CB214,CD211,0,COUNT(CB203:CB214)-CD211),0)</f>
        <v>#REF!</v>
      </c>
      <c r="CD212" s="4" t="e">
        <f t="shared" ca="1" si="3207"/>
        <v>#REF!</v>
      </c>
      <c r="CE212" s="692" t="str" cm="1">
        <f t="array" aca="1" ref="CE212" ca="1">IFERROR(VLOOKUP(INDEX(CA203:CA214,CD212),INDIRECT(BY203),2,FALSE),"----")</f>
        <v>----</v>
      </c>
      <c r="CF212" s="691" t="e">
        <f t="shared" ca="1" si="3208"/>
        <v>#N/A</v>
      </c>
      <c r="CG212" s="4" t="e">
        <f ca="1">IF(AND(INDEX(SSM,CF212,4)&gt;=$AB203,INDEX(SSM,CF212,5)&gt;=$S203,INDEX(SSM,CF212,6)&gt;=$R203),1,0)</f>
        <v>#N/A</v>
      </c>
      <c r="CH212" s="4" t="e">
        <f t="shared" ref="CH212" ca="1" si="3357">MATCH(1,OFFSET(CG203:CG214,CI211,0,COUNT(CG203:CG214)-CI211),0)</f>
        <v>#REF!</v>
      </c>
      <c r="CI212" s="4" t="e">
        <f t="shared" ca="1" si="3210"/>
        <v>#REF!</v>
      </c>
      <c r="CJ212" s="692" t="str">
        <f ca="1">IFERROR(IF(AD204="Nested Steel Stud (wood infill)",VLOOKUP(INDEX(CF203:CF214,CI212),SSW,2,FALSE),VLOOKUP(INDEX(CF203:CF214,CI212),SSM,2,FALSE)),"----")</f>
        <v>----</v>
      </c>
      <c r="CK212" s="691" t="e">
        <f t="shared" ca="1" si="3211"/>
        <v>#N/A</v>
      </c>
      <c r="CL212" s="4" t="e">
        <f ca="1">IF(AND(INDEX(WSM,CK212,4)&gt;=$AB203,INDEX(WSM,CK212,5)&gt;=$S203,INDEX(WSM,CK212,6)&gt;=$R203),1,0)</f>
        <v>#N/A</v>
      </c>
      <c r="CM212" s="4" t="e">
        <f t="shared" ref="CM212" ca="1" si="3358">MATCH(1,OFFSET(CL203:CL214,CN211,0,COUNT(CL203:CL214)-CN211),0)</f>
        <v>#REF!</v>
      </c>
      <c r="CN212" s="4" t="e">
        <f t="shared" ca="1" si="3213"/>
        <v>#REF!</v>
      </c>
      <c r="CO212" s="692" t="str">
        <f ca="1">IFERROR(VLOOKUP(INDEX(CK203:CK214,CN212),WSM,2,FALSE),"----")</f>
        <v>----</v>
      </c>
      <c r="CP212" s="691" t="e">
        <f t="shared" ca="1" si="3214"/>
        <v>#N/A</v>
      </c>
      <c r="CQ212" s="4" t="e">
        <f ca="1">IF(AND(INDEX(STM,CP212,4)&gt;=$AB203,INDEX(STM,CP212,5)&gt;=$S203,INDEX(STM,CP212,6)&gt;=$R203),1,0)</f>
        <v>#N/A</v>
      </c>
      <c r="CR212" s="4" t="e">
        <f t="shared" ref="CR212" ca="1" si="3359">MATCH(1,OFFSET(CQ203:CQ214,CS211,0,COUNT(CQ203:CQ214)-CS211),0)</f>
        <v>#REF!</v>
      </c>
      <c r="CS212" s="4" t="e">
        <f t="shared" ca="1" si="3216"/>
        <v>#REF!</v>
      </c>
      <c r="CT212" s="692" t="str">
        <f ca="1">IFERROR(VLOOKUP(INDEX(CP203:CP214,CS212),STM,2,FALSE),"----")</f>
        <v>----</v>
      </c>
      <c r="CU212" s="691" t="e">
        <f t="shared" ca="1" si="3217"/>
        <v>#N/A</v>
      </c>
      <c r="CV212" s="4" t="e">
        <f ca="1">IF(AND(INDEX(ELM,CU212,4)&gt;=$AB203,INDEX(ELM,CU212,5)&gt;=$S203,INDEX(ELM,CU212,6)&gt;=$R203),1,0)</f>
        <v>#N/A</v>
      </c>
      <c r="CW212" s="4" t="e">
        <f t="shared" ref="CW212" ca="1" si="3360">MATCH(1,OFFSET(CV203:CV214,CX211,0,COUNT(CV203:CV214)-CX211),0)</f>
        <v>#REF!</v>
      </c>
      <c r="CX212" s="4" t="e">
        <f t="shared" ca="1" si="3219"/>
        <v>#REF!</v>
      </c>
      <c r="CY212" s="692" t="str">
        <f ca="1">IFERROR(VLOOKUP(INDEX(CU203:CU214,CX212),ELM,2,FALSE),"----")</f>
        <v>----</v>
      </c>
      <c r="CZ212" s="691" t="e">
        <f t="shared" ca="1" si="3220"/>
        <v>#N/A</v>
      </c>
      <c r="DA212" s="4" t="e">
        <f ca="1">IF(LEFT($J203,7)="Clad Wo",IF(AND(INDEX(SPPWS,CZ212,4)&gt;=$AB203,INDEX(SPPWS,CZ212,5)&gt;=$S203,INDEX(SPPWS,CZ212,6)&gt;=$R203),1,0),IF(AND(INDEX(SPM,CZ212,4)&gt;=$AB203,INDEX(SPM,CZ212,5)&gt;=$S203,INDEX(SPM,CZ212,6)&gt;=$R203),1,0))</f>
        <v>#N/A</v>
      </c>
      <c r="DB212" s="4" t="e">
        <f t="shared" ref="DB212" ca="1" si="3361">MATCH(1,OFFSET(DA203:DA214,DC211,0,COUNT(DA203:DA214)-DC211),0)</f>
        <v>#REF!</v>
      </c>
      <c r="DC212" s="4" t="e">
        <f t="shared" ca="1" si="3222"/>
        <v>#REF!</v>
      </c>
      <c r="DD212" s="693" t="str">
        <f ca="1">IF(LEFT($J203,7)="Clad Wo",IFERROR(VLOOKUP(INDEX(CZ203:CZ214,DC212),SPPWS,2,FALSE),"----"),IFERROR(VLOOKUP(INDEX(CZ203:CZ214,DC212),SPM,2,FALSE),"----"))</f>
        <v>----</v>
      </c>
      <c r="DE212" s="691" t="e">
        <f t="shared" ca="1" si="3223"/>
        <v>#REF!</v>
      </c>
      <c r="DF212" s="4" t="e" cm="1">
        <f t="array" aca="1" ref="DF212" ca="1">IF(AND(INDEX(INDIRECT(BY203),DE212,4)&gt;=$AB209,INDEX(INDIRECT(BY203),DE212,5)&gt;=$S203,INDEX(INDIRECT(BY203),DE212,6)&gt;=$R203),1,0)</f>
        <v>#REF!</v>
      </c>
      <c r="DG212" s="4" t="e">
        <f t="shared" ref="DG212" ca="1" si="3362">MATCH(1,OFFSET(DF203:DF214,DH211,0,COUNT(DF203:DF214)-DH211),0)</f>
        <v>#REF!</v>
      </c>
      <c r="DH212" s="4" t="e">
        <f t="shared" ca="1" si="3225"/>
        <v>#REF!</v>
      </c>
      <c r="DI212" s="692" t="str" cm="1">
        <f t="array" aca="1" ref="DI212" ca="1">IFERROR(VLOOKUP(INDEX(DE203:DE214,DH212),INDIRECT(BY203),2,FALSE),"----")</f>
        <v>----</v>
      </c>
      <c r="DJ212" s="691" t="e">
        <f t="shared" ca="1" si="3226"/>
        <v>#N/A</v>
      </c>
      <c r="DK212" s="4" t="e">
        <f ca="1">IF(AND(INDEX(SSM,DJ212,4)&gt;=$AB209,INDEX(SSM,DJ212,5)&gt;=$S203,INDEX(SSM,DJ212,6)&gt;=$R203),1,0)</f>
        <v>#N/A</v>
      </c>
      <c r="DL212" s="4" t="e">
        <f t="shared" ref="DL212" ca="1" si="3363">MATCH(1,OFFSET(DK203:DK214,DM211,0,COUNT(DK203:DK214)-DM211),0)</f>
        <v>#REF!</v>
      </c>
      <c r="DM212" s="4" t="e">
        <f t="shared" ca="1" si="3228"/>
        <v>#REF!</v>
      </c>
      <c r="DN212" s="692" t="str">
        <f ca="1">IFERROR(IF(AD210="Nested Steel Stud (wood infill)",VLOOKUP(INDEX(DJ203:DJ214,DM212),SSW,2,FALSE),VLOOKUP(INDEX(DJ203:DJ214,DM212),SSM,2,FALSE)),"----")</f>
        <v>----</v>
      </c>
      <c r="DO212" s="691" t="e">
        <f t="shared" ca="1" si="3229"/>
        <v>#N/A</v>
      </c>
      <c r="DP212" s="4" t="e">
        <f ca="1">IF(AND(INDEX(WSM,DO212,4)&gt;=$AB209,INDEX(WSM,DO212,5)&gt;=$S203,INDEX(WSM,DO212,6)&gt;=$R203),1,0)</f>
        <v>#N/A</v>
      </c>
      <c r="DQ212" s="4" t="e">
        <f t="shared" ref="DQ212" ca="1" si="3364">MATCH(1,OFFSET(DP203:DP214,DR211,0,COUNT(DP203:DP214)-DR211),0)</f>
        <v>#REF!</v>
      </c>
      <c r="DR212" s="4" t="e">
        <f t="shared" ca="1" si="3231"/>
        <v>#REF!</v>
      </c>
      <c r="DS212" s="692" t="str">
        <f ca="1">IFERROR(VLOOKUP(INDEX(DO203:DO214,DR212),WSM,2,FALSE),"----")</f>
        <v>----</v>
      </c>
      <c r="DT212" s="691" t="e">
        <f t="shared" ca="1" si="3232"/>
        <v>#N/A</v>
      </c>
      <c r="DU212" s="4" t="e">
        <f ca="1">IF(AND(INDEX(STM,DT212,4)&gt;=$AB209,INDEX(STM,DT212,5)&gt;=$S203,INDEX(STM,DT212,6)&gt;=$R203),1,0)</f>
        <v>#N/A</v>
      </c>
      <c r="DV212" s="4" t="e">
        <f t="shared" ref="DV212" ca="1" si="3365">MATCH(1,OFFSET(DU203:DU214,DW211,0,COUNT(DU203:DU214)-DW211),0)</f>
        <v>#REF!</v>
      </c>
      <c r="DW212" s="4" t="e">
        <f t="shared" ca="1" si="3234"/>
        <v>#REF!</v>
      </c>
      <c r="DX212" s="692" t="str">
        <f ca="1">IFERROR(VLOOKUP(INDEX(DT203:DT214,DW212),STM,2,FALSE),"----")</f>
        <v>----</v>
      </c>
      <c r="DY212" s="691" t="e">
        <f t="shared" ca="1" si="3235"/>
        <v>#N/A</v>
      </c>
      <c r="DZ212" s="4" t="e">
        <f ca="1">IF(AND(INDEX(ELM,DY212,4)&gt;=$AB209,INDEX(ELM,DY212,5)&gt;=$S203,INDEX(ELM,DY212,6)&gt;=$R203),1,0)</f>
        <v>#N/A</v>
      </c>
      <c r="EA212" s="4" t="e">
        <f t="shared" ref="EA212" ca="1" si="3366">MATCH(1,OFFSET(DZ203:DZ214,EB211,0,COUNT(DZ203:DZ214)-EB211),0)</f>
        <v>#REF!</v>
      </c>
      <c r="EB212" s="4" t="e">
        <f t="shared" ca="1" si="3237"/>
        <v>#REF!</v>
      </c>
      <c r="EC212" s="692" t="str">
        <f ca="1">IFERROR(VLOOKUP(INDEX(DY203:DY214,EB212),ELM,2,FALSE),"----")</f>
        <v>----</v>
      </c>
      <c r="ED212" s="691" t="e">
        <f t="shared" ca="1" si="3238"/>
        <v>#N/A</v>
      </c>
      <c r="EE212" s="4" t="e">
        <f ca="1">IF(LEFT($J203,7)="Clad Wo",IF(AND(INDEX(SPPWS,ED212,4)&gt;=$AB209,INDEX(SPPWS,ED212,5)&gt;=$S203,INDEX(SPPWS,ED212,6)&gt;=$R203),1,0),IF(AND(INDEX(SPM,ED212,4)&gt;=$AB209,INDEX(SPM,ED212,5)&gt;=$S203,INDEX(SPM,ED212,6)&gt;=$R203),1,0))</f>
        <v>#N/A</v>
      </c>
      <c r="EF212" s="4" t="e">
        <f t="shared" ref="EF212" ca="1" si="3367">MATCH(1,OFFSET(EE203:EE214,EG211,0,COUNT(EE203:EE214)-EG211),0)</f>
        <v>#REF!</v>
      </c>
      <c r="EG212" s="4" t="e">
        <f t="shared" ca="1" si="3240"/>
        <v>#REF!</v>
      </c>
      <c r="EH212" s="692" t="str">
        <f ca="1">IF(LEFT($J203,7)="Clad Wo",IFERROR(VLOOKUP(INDEX(ED203:ED214,EG212),SPPWS,2,FALSE),"----"),IFERROR(VLOOKUP(INDEX(ED203:ED214,EG212),SPM,2,FALSE),"----"))</f>
        <v>----</v>
      </c>
    </row>
    <row r="213" spans="1:138" ht="15" customHeight="1" x14ac:dyDescent="0.25">
      <c r="A213" s="1085"/>
      <c r="B213" s="925"/>
      <c r="C213" s="926"/>
      <c r="D213" s="927"/>
      <c r="E213" s="995"/>
      <c r="F213" s="996"/>
      <c r="G213" s="997"/>
      <c r="H213" s="1062"/>
      <c r="I213" s="990"/>
      <c r="J213" s="902"/>
      <c r="K213" s="903"/>
      <c r="L213" s="1002"/>
      <c r="M213" s="923"/>
      <c r="N213" s="1042"/>
      <c r="O213" s="1018"/>
      <c r="P213" s="987"/>
      <c r="Q213" s="1015"/>
      <c r="R213" s="1012"/>
      <c r="S213" s="1006"/>
      <c r="T213" s="1007"/>
      <c r="U213" s="878"/>
      <c r="V213" s="881"/>
      <c r="W213" s="884"/>
      <c r="X213" s="884"/>
      <c r="Y213" s="887"/>
      <c r="Z213" s="887"/>
      <c r="AA213" s="887"/>
      <c r="AB213" s="1081"/>
      <c r="AC213" s="1078"/>
      <c r="AD213" s="1070" t="str">
        <f t="shared" si="3099"/>
        <v>Engineered Lumber</v>
      </c>
      <c r="AE213" s="1071"/>
      <c r="AF213" s="1052"/>
      <c r="AG213" s="1053"/>
      <c r="AH213" s="1053"/>
      <c r="AI213" s="1068"/>
      <c r="AJ213" s="1069"/>
      <c r="AK213" s="154" t="str">
        <f t="shared" ca="1" si="2393"/>
        <v/>
      </c>
      <c r="AL213" s="1059"/>
      <c r="AM213" s="344" t="str">
        <f ca="1">IFERROR(Q203/12*ROUND(VLOOKUP(AF213,OFFSET(ELM,0,1),6,FALSE),2),"")</f>
        <v/>
      </c>
      <c r="AN213" t="str">
        <f t="shared" ca="1" si="2409"/>
        <v/>
      </c>
      <c r="AP213" s="122" t="str">
        <f t="shared" ref="AP213" si="3368">_xlfn.CONCAT(AR213,AS214)</f>
        <v/>
      </c>
      <c r="AQ213" s="683" t="str">
        <f t="shared" si="2617"/>
        <v/>
      </c>
      <c r="AR213" s="4" t="str">
        <f t="shared" si="2378"/>
        <v/>
      </c>
      <c r="AS213" s="4"/>
      <c r="AT213" s="697" t="str">
        <f>AL209</f>
        <v/>
      </c>
      <c r="AU213" s="694" t="e">
        <f t="shared" ca="1" si="2633"/>
        <v>#REF!</v>
      </c>
      <c r="AV213" s="698" t="str">
        <f ca="1">IFERROR(VLOOKUP(AU213,INDIRECT(AQ203),2,FALSE),"----")</f>
        <v>----</v>
      </c>
      <c r="AW213" s="694" t="e">
        <f t="shared" ca="1" si="2634"/>
        <v>#REF!</v>
      </c>
      <c r="AX213" s="698" t="str">
        <f ca="1">IFERROR(VLOOKUP(AW213,INDIRECT(AQ204),2,FALSE),"----")</f>
        <v>----</v>
      </c>
      <c r="AY213" s="694" t="e">
        <f t="shared" ca="1" si="3352"/>
        <v>#REF!</v>
      </c>
      <c r="AZ213" s="698" t="str">
        <f ca="1">IFERROR(VLOOKUP(AY213,INDIRECT(AQ205),2,FALSE),"----")</f>
        <v>----</v>
      </c>
      <c r="BA213" s="694" t="e">
        <f t="shared" ca="1" si="3353"/>
        <v>#REF!</v>
      </c>
      <c r="BB213" s="698" t="str">
        <f ca="1">IFERROR(VLOOKUP(BA213,INDIRECT(AQ206),2,FALSE),"----")</f>
        <v>----</v>
      </c>
      <c r="BC213" s="694" t="e">
        <f t="shared" ca="1" si="2635"/>
        <v>#REF!</v>
      </c>
      <c r="BD213" s="698" t="str">
        <f ca="1">IFERROR(VLOOKUP(BC213,INDIRECT(AQ207),2,FALSE),"----")</f>
        <v>----</v>
      </c>
      <c r="BE213" s="694" t="e">
        <f t="shared" ca="1" si="2636"/>
        <v>#REF!</v>
      </c>
      <c r="BF213" s="698" t="str">
        <f ca="1">IFERROR(VLOOKUP(BE213,INDIRECT(AQ208),2,FALSE),"----")</f>
        <v>----</v>
      </c>
      <c r="BG213" s="702" t="e">
        <f t="shared" ca="1" si="2637"/>
        <v>#REF!</v>
      </c>
      <c r="BH213" s="686" t="str">
        <f ca="1">IFERROR(VLOOKUP(BG213,INDIRECT(AQ209),2,FALSE),"----")</f>
        <v>----</v>
      </c>
      <c r="BI213" s="702" t="e">
        <f t="shared" ca="1" si="2638"/>
        <v>#REF!</v>
      </c>
      <c r="BJ213" s="686" t="str">
        <f ca="1">IFERROR(VLOOKUP(BI213,INDIRECT(AQ210),2,FALSE),"----")</f>
        <v>----</v>
      </c>
      <c r="BK213" s="702" t="e">
        <f t="shared" ca="1" si="2639"/>
        <v>#REF!</v>
      </c>
      <c r="BL213" s="686" t="str">
        <f ca="1">IFERROR(VLOOKUP(BK213,INDIRECT(AQ211),2,FALSE),"----")</f>
        <v>----</v>
      </c>
      <c r="BM213" s="702" t="e">
        <f t="shared" ca="1" si="2640"/>
        <v>#REF!</v>
      </c>
      <c r="BN213" s="686" t="str">
        <f ca="1">IFERROR(VLOOKUP(BM213,INDIRECT(AQ212),2,FALSE),"----")</f>
        <v>----</v>
      </c>
      <c r="BO213" s="702" t="e">
        <f t="shared" ca="1" si="2641"/>
        <v>#REF!</v>
      </c>
      <c r="BP213" s="686" t="str">
        <f ca="1">IFERROR(VLOOKUP(BO213,INDIRECT(AQ213),2,FALSE),"----")</f>
        <v>----</v>
      </c>
      <c r="BQ213" s="702" t="e">
        <f t="shared" ca="1" si="2642"/>
        <v>#REF!</v>
      </c>
      <c r="BR213" s="686" t="str">
        <f ca="1">IFERROR(VLOOKUP(BQ213,INDIRECT(AQ214),2,FALSE),"----")</f>
        <v>----</v>
      </c>
      <c r="BS213" s="695">
        <f>IF(AI213="",1,IF(COUNTIF(BP203:BP214,AI213)=0,2,1))</f>
        <v>1</v>
      </c>
      <c r="BT213" s="696">
        <f>IF(AF213="",1,IF(BP203=".",2,1))</f>
        <v>1</v>
      </c>
      <c r="BU213" s="706"/>
      <c r="BV213" s="155">
        <f ca="1">IF(COUNTIF(EC203:EC214,AF213)=0,IF(AF213&lt;&gt;"",0,1),1)</f>
        <v>1</v>
      </c>
      <c r="BW213" s="157">
        <f ca="1">IFERROR(MATCH(AF213,EC203:EC214,0),1)</f>
        <v>1</v>
      </c>
      <c r="BX213" s="769"/>
      <c r="BY213" s="769"/>
      <c r="BZ213" s="1110"/>
      <c r="CA213" s="691" t="e">
        <f t="shared" ca="1" si="3205"/>
        <v>#REF!</v>
      </c>
      <c r="CB213" s="4" t="e" cm="1">
        <f t="array" aca="1" ref="CB213" ca="1">IF(AND(INDEX(INDIRECT(BY203),CA213,4)&gt;=$AB203,INDEX(INDIRECT(BY203),CA213,5)&gt;=$S203,INDEX(INDIRECT(BY203),CA213,6)&gt;=$R203),1,0)</f>
        <v>#REF!</v>
      </c>
      <c r="CC213" s="4" t="e">
        <f t="shared" ref="CC213" ca="1" si="3369">MATCH(1,OFFSET(CB203:CB214,CD212,0,COUNT(CB203:CB214)-CD212),0)</f>
        <v>#REF!</v>
      </c>
      <c r="CD213" s="4" t="e">
        <f t="shared" ca="1" si="3207"/>
        <v>#REF!</v>
      </c>
      <c r="CE213" s="692" t="str" cm="1">
        <f t="array" aca="1" ref="CE213" ca="1">IFERROR(VLOOKUP(INDEX(CA203:CA214,CD213),INDIRECT(BY203),2,FALSE),"----")</f>
        <v>----</v>
      </c>
      <c r="CF213" s="691" t="e">
        <f t="shared" ca="1" si="3208"/>
        <v>#N/A</v>
      </c>
      <c r="CG213" s="4" t="e">
        <f ca="1">IF(AND(INDEX(SSM,CF213,4)&gt;=$AB203,INDEX(SSM,CF213,5)&gt;=$S203,INDEX(SSM,CF213,6)&gt;=$R203),1,0)</f>
        <v>#N/A</v>
      </c>
      <c r="CH213" s="4" t="e">
        <f t="shared" ref="CH213" ca="1" si="3370">MATCH(1,OFFSET(CG203:CG214,CI212,0,COUNT(CG203:CG214)-CI212),0)</f>
        <v>#REF!</v>
      </c>
      <c r="CI213" s="4" t="e">
        <f t="shared" ca="1" si="3210"/>
        <v>#REF!</v>
      </c>
      <c r="CJ213" s="692" t="str">
        <f ca="1">IFERROR(IF(AD204="Nested Steel Stud (wood infill)",VLOOKUP(INDEX(CF203:CF214,CI213),SSW,2,FALSE),VLOOKUP(INDEX(CF203:CF214,CI213),SSM,2,FALSE)),"----")</f>
        <v>----</v>
      </c>
      <c r="CK213" s="691" t="e">
        <f t="shared" ca="1" si="3211"/>
        <v>#N/A</v>
      </c>
      <c r="CL213" s="4" t="e">
        <f ca="1">IF(AND(INDEX(WSM,CK213,4)&gt;=$AB203,INDEX(WSM,CK213,5)&gt;=$S203,INDEX(WSM,CK213,6)&gt;=$R203),1,0)</f>
        <v>#N/A</v>
      </c>
      <c r="CM213" s="4" t="e">
        <f t="shared" ref="CM213" ca="1" si="3371">MATCH(1,OFFSET(CL203:CL214,CN212,0,COUNT(CL203:CL214)-CN212),0)</f>
        <v>#REF!</v>
      </c>
      <c r="CN213" s="4" t="e">
        <f t="shared" ca="1" si="3213"/>
        <v>#REF!</v>
      </c>
      <c r="CO213" s="692" t="str">
        <f ca="1">IFERROR(VLOOKUP(INDEX(CK203:CK214,CN213),WSM,2,FALSE),"----")</f>
        <v>----</v>
      </c>
      <c r="CP213" s="691" t="e">
        <f t="shared" ca="1" si="3214"/>
        <v>#N/A</v>
      </c>
      <c r="CQ213" s="4" t="e">
        <f ca="1">IF(AND(INDEX(STM,CP213,4)&gt;=$AB203,INDEX(STM,CP213,5)&gt;=$S203,INDEX(STM,CP213,6)&gt;=$R203),1,0)</f>
        <v>#N/A</v>
      </c>
      <c r="CR213" s="4" t="e">
        <f t="shared" ref="CR213" ca="1" si="3372">MATCH(1,OFFSET(CQ203:CQ214,CS212,0,COUNT(CQ203:CQ214)-CS212),0)</f>
        <v>#REF!</v>
      </c>
      <c r="CS213" s="4" t="e">
        <f t="shared" ca="1" si="3216"/>
        <v>#REF!</v>
      </c>
      <c r="CT213" s="692" t="str">
        <f ca="1">IFERROR(VLOOKUP(INDEX(CP203:CP214,CS213),STM,2,FALSE),"----")</f>
        <v>----</v>
      </c>
      <c r="CU213" s="691" t="e">
        <f t="shared" ca="1" si="3217"/>
        <v>#N/A</v>
      </c>
      <c r="CV213" s="4" t="e">
        <f ca="1">IF(AND(INDEX(ELM,CU213,4)&gt;=$AB203,INDEX(ELM,CU213,5)&gt;=$S203,INDEX(ELM,CU213,6)&gt;=$R203),1,0)</f>
        <v>#N/A</v>
      </c>
      <c r="CW213" s="4" t="e">
        <f t="shared" ref="CW213" ca="1" si="3373">MATCH(1,OFFSET(CV203:CV214,CX212,0,COUNT(CV203:CV214)-CX212),0)</f>
        <v>#REF!</v>
      </c>
      <c r="CX213" s="4" t="e">
        <f t="shared" ca="1" si="3219"/>
        <v>#REF!</v>
      </c>
      <c r="CY213" s="692" t="str">
        <f ca="1">IFERROR(VLOOKUP(INDEX(CU203:CU214,CX213),ELM,2,FALSE),"----")</f>
        <v>----</v>
      </c>
      <c r="CZ213" s="691" t="e">
        <f t="shared" ca="1" si="3220"/>
        <v>#N/A</v>
      </c>
      <c r="DA213" s="4" t="e">
        <f ca="1">IF(LEFT($J203,7)="Clad Wo",IF(AND(INDEX(SPPWS,CZ213,4)&gt;=$AB203,INDEX(SPPWS,CZ213,5)&gt;=$S203,INDEX(SPPWS,CZ213,6)&gt;=$R203),1,0),IF(AND(INDEX(SPM,CZ213,4)&gt;=$AB203,INDEX(SPM,CZ213,5)&gt;=$S203,INDEX(SPM,CZ213,6)&gt;=$R203),1,0))</f>
        <v>#N/A</v>
      </c>
      <c r="DB213" s="4" t="e">
        <f t="shared" ref="DB213" ca="1" si="3374">MATCH(1,OFFSET(DA203:DA214,DC212,0,COUNT(DA203:DA214)-DC212),0)</f>
        <v>#REF!</v>
      </c>
      <c r="DC213" s="4" t="e">
        <f t="shared" ca="1" si="3222"/>
        <v>#REF!</v>
      </c>
      <c r="DD213" s="693" t="str">
        <f ca="1">IF(LEFT($J203,7)="Clad Wo",IFERROR(VLOOKUP(INDEX(CZ203:CZ214,DC213),SPPWS,2,FALSE),"----"),IFERROR(VLOOKUP(INDEX(CZ203:CZ214,DC213),SPM,2,FALSE),"----"))</f>
        <v>----</v>
      </c>
      <c r="DE213" s="691" t="e">
        <f t="shared" ca="1" si="3223"/>
        <v>#REF!</v>
      </c>
      <c r="DF213" s="4" t="e" cm="1">
        <f t="array" aca="1" ref="DF213" ca="1">IF(AND(INDEX(INDIRECT(BY203),DE213,4)&gt;=$AB209,INDEX(INDIRECT(BY203),DE213,5)&gt;=$S203,INDEX(INDIRECT(BY203),DE213,6)&gt;=$R203),1,0)</f>
        <v>#REF!</v>
      </c>
      <c r="DG213" s="4" t="e">
        <f t="shared" ref="DG213" ca="1" si="3375">MATCH(1,OFFSET(DF203:DF214,DH212,0,COUNT(DF203:DF214)-DH212),0)</f>
        <v>#REF!</v>
      </c>
      <c r="DH213" s="4" t="e">
        <f t="shared" ca="1" si="3225"/>
        <v>#REF!</v>
      </c>
      <c r="DI213" s="692" t="str" cm="1">
        <f t="array" aca="1" ref="DI213" ca="1">IFERROR(VLOOKUP(INDEX(DE203:DE214,DH213),INDIRECT(BY203),2,FALSE),"----")</f>
        <v>----</v>
      </c>
      <c r="DJ213" s="691" t="e">
        <f t="shared" ca="1" si="3226"/>
        <v>#N/A</v>
      </c>
      <c r="DK213" s="4" t="e">
        <f ca="1">IF(AND(INDEX(SSM,DJ213,4)&gt;=$AB209,INDEX(SSM,DJ213,5)&gt;=$S203,INDEX(SSM,DJ213,6)&gt;=$R203),1,0)</f>
        <v>#N/A</v>
      </c>
      <c r="DL213" s="4" t="e">
        <f t="shared" ref="DL213" ca="1" si="3376">MATCH(1,OFFSET(DK203:DK214,DM212,0,COUNT(DK203:DK214)-DM212),0)</f>
        <v>#REF!</v>
      </c>
      <c r="DM213" s="4" t="e">
        <f t="shared" ca="1" si="3228"/>
        <v>#REF!</v>
      </c>
      <c r="DN213" s="692" t="str">
        <f ca="1">IFERROR(IF(AD210="Nested Steel Stud (wood infill)",VLOOKUP(INDEX(DJ203:DJ214,DM213),SSW,2,FALSE),VLOOKUP(INDEX(DJ203:DJ214,DM213),SSM,2,FALSE)),"----")</f>
        <v>----</v>
      </c>
      <c r="DO213" s="691" t="e">
        <f t="shared" ca="1" si="3229"/>
        <v>#N/A</v>
      </c>
      <c r="DP213" s="4" t="e">
        <f ca="1">IF(AND(INDEX(WSM,DO213,4)&gt;=$AB209,INDEX(WSM,DO213,5)&gt;=$S203,INDEX(WSM,DO213,6)&gt;=$R203),1,0)</f>
        <v>#N/A</v>
      </c>
      <c r="DQ213" s="4" t="e">
        <f t="shared" ref="DQ213" ca="1" si="3377">MATCH(1,OFFSET(DP203:DP214,DR212,0,COUNT(DP203:DP214)-DR212),0)</f>
        <v>#REF!</v>
      </c>
      <c r="DR213" s="4" t="e">
        <f t="shared" ca="1" si="3231"/>
        <v>#REF!</v>
      </c>
      <c r="DS213" s="692" t="str">
        <f ca="1">IFERROR(VLOOKUP(INDEX(DO203:DO214,DR213),WSM,2,FALSE),"----")</f>
        <v>----</v>
      </c>
      <c r="DT213" s="691" t="e">
        <f t="shared" ca="1" si="3232"/>
        <v>#N/A</v>
      </c>
      <c r="DU213" s="4" t="e">
        <f ca="1">IF(AND(INDEX(STM,DT213,4)&gt;=$AB209,INDEX(STM,DT213,5)&gt;=$S203,INDEX(STM,DT213,6)&gt;=$R203),1,0)</f>
        <v>#N/A</v>
      </c>
      <c r="DV213" s="4" t="e">
        <f t="shared" ref="DV213" ca="1" si="3378">MATCH(1,OFFSET(DU203:DU214,DW212,0,COUNT(DU203:DU214)-DW212),0)</f>
        <v>#REF!</v>
      </c>
      <c r="DW213" s="4" t="e">
        <f t="shared" ca="1" si="3234"/>
        <v>#REF!</v>
      </c>
      <c r="DX213" s="692" t="str">
        <f ca="1">IFERROR(VLOOKUP(INDEX(DT203:DT214,DW213),STM,2,FALSE),"----")</f>
        <v>----</v>
      </c>
      <c r="DY213" s="691" t="e">
        <f t="shared" ca="1" si="3235"/>
        <v>#N/A</v>
      </c>
      <c r="DZ213" s="4" t="e">
        <f ca="1">IF(AND(INDEX(ELM,DY213,4)&gt;=$AB209,INDEX(ELM,DY213,5)&gt;=$S203,INDEX(ELM,DY213,6)&gt;=$R203),1,0)</f>
        <v>#N/A</v>
      </c>
      <c r="EA213" s="4" t="e">
        <f t="shared" ref="EA213" ca="1" si="3379">MATCH(1,OFFSET(DZ203:DZ214,EB212,0,COUNT(DZ203:DZ214)-EB212),0)</f>
        <v>#REF!</v>
      </c>
      <c r="EB213" s="4" t="e">
        <f t="shared" ca="1" si="3237"/>
        <v>#REF!</v>
      </c>
      <c r="EC213" s="692" t="str">
        <f ca="1">IFERROR(VLOOKUP(INDEX(DY203:DY214,EB213),ELM,2,FALSE),"----")</f>
        <v>----</v>
      </c>
      <c r="ED213" s="691" t="e">
        <f t="shared" ca="1" si="3238"/>
        <v>#N/A</v>
      </c>
      <c r="EE213" s="4" t="e">
        <f ca="1">IF(LEFT($J203,7)="Clad Wo",IF(AND(INDEX(SPPWS,ED213,4)&gt;=$AB209,INDEX(SPPWS,ED213,5)&gt;=$S203,INDEX(SPPWS,ED213,6)&gt;=$R203),1,0),IF(AND(INDEX(SPM,ED213,4)&gt;=$AB209,INDEX(SPM,ED213,5)&gt;=$S203,INDEX(SPM,ED213,6)&gt;=$R203),1,0))</f>
        <v>#N/A</v>
      </c>
      <c r="EF213" s="4" t="e">
        <f t="shared" ref="EF213" ca="1" si="3380">MATCH(1,OFFSET(EE203:EE214,EG212,0,COUNT(EE203:EE214)-EG212),0)</f>
        <v>#REF!</v>
      </c>
      <c r="EG213" s="4" t="e">
        <f t="shared" ca="1" si="3240"/>
        <v>#REF!</v>
      </c>
      <c r="EH213" s="692" t="str">
        <f ca="1">IF(LEFT($J203,7)="Clad Wo",IFERROR(VLOOKUP(INDEX(ED203:ED214,EG213),SPPWS,2,FALSE),"----"),IFERROR(VLOOKUP(INDEX(ED203:ED214,EG213),SPM,2,FALSE),"----"))</f>
        <v>----</v>
      </c>
    </row>
    <row r="214" spans="1:138" ht="15" customHeight="1" thickBot="1" x14ac:dyDescent="0.3">
      <c r="A214" s="1085"/>
      <c r="B214" s="928"/>
      <c r="C214" s="929"/>
      <c r="D214" s="930"/>
      <c r="E214" s="998"/>
      <c r="F214" s="999"/>
      <c r="G214" s="1000"/>
      <c r="H214" s="1063"/>
      <c r="I214" s="991"/>
      <c r="J214" s="904"/>
      <c r="K214" s="905"/>
      <c r="L214" s="1003"/>
      <c r="M214" s="1065"/>
      <c r="N214" s="1043"/>
      <c r="O214" s="1019"/>
      <c r="P214" s="988"/>
      <c r="Q214" s="1016"/>
      <c r="R214" s="1013"/>
      <c r="S214" s="1008"/>
      <c r="T214" s="1009"/>
      <c r="U214" s="879"/>
      <c r="V214" s="882"/>
      <c r="W214" s="885"/>
      <c r="X214" s="885"/>
      <c r="Y214" s="888"/>
      <c r="Z214" s="888"/>
      <c r="AA214" s="888"/>
      <c r="AB214" s="1082"/>
      <c r="AC214" s="1087"/>
      <c r="AD214" s="1098" t="str">
        <f t="shared" ref="AD214" si="3381">IF(LEFT(J203,7)="Clad Wo","Pella Wood Spr / Steel Pte","Steel Plate")</f>
        <v>Steel Plate</v>
      </c>
      <c r="AE214" s="1099"/>
      <c r="AF214" s="1096"/>
      <c r="AG214" s="1097"/>
      <c r="AH214" s="1097"/>
      <c r="AI214" s="1094"/>
      <c r="AJ214" s="1095"/>
      <c r="AK214" s="163" t="str">
        <f t="shared" ca="1" si="2393"/>
        <v/>
      </c>
      <c r="AL214" s="1060"/>
      <c r="AM214" s="345" t="str">
        <f ca="1">IFERROR(Q203/12*ROUND(VLOOKUP(AF214,OFFSET(SPM,0,1),6,FALSE),2),"")</f>
        <v/>
      </c>
      <c r="AN214" t="str">
        <f t="shared" ca="1" si="2409"/>
        <v/>
      </c>
      <c r="AP214" s="699" t="str">
        <f t="shared" ref="AP214" si="3382">_xlfn.CONCAT(AR214,AS214)</f>
        <v/>
      </c>
      <c r="AQ214" s="700" t="str">
        <f t="shared" si="2617"/>
        <v/>
      </c>
      <c r="AR214" s="160" t="str">
        <f t="shared" si="2378"/>
        <v/>
      </c>
      <c r="AS214" s="160" t="str">
        <f>IFERROR(VLOOKUP(J211, WallType,2,FALSE),"")</f>
        <v/>
      </c>
      <c r="AT214" s="707" t="str">
        <f>AL209</f>
        <v/>
      </c>
      <c r="AU214" s="708" t="e">
        <f t="shared" ca="1" si="2633"/>
        <v>#REF!</v>
      </c>
      <c r="AV214" s="709" t="str">
        <f ca="1">IFERROR(VLOOKUP(AU214,INDIRECT(AQ203),2,FALSE),"----")</f>
        <v>----</v>
      </c>
      <c r="AW214" s="710" t="e">
        <f t="shared" ca="1" si="2634"/>
        <v>#REF!</v>
      </c>
      <c r="AX214" s="709" t="str">
        <f ca="1">IFERROR(VLOOKUP(AW214,INDIRECT(AQ204),2,FALSE),"----")</f>
        <v>----</v>
      </c>
      <c r="AY214" s="710" t="e">
        <f t="shared" ca="1" si="3352"/>
        <v>#REF!</v>
      </c>
      <c r="AZ214" s="709" t="str">
        <f ca="1">IFERROR(VLOOKUP(AY214,INDIRECT(AQ205),2,FALSE),"----")</f>
        <v>----</v>
      </c>
      <c r="BA214" s="710" t="e">
        <f t="shared" ca="1" si="3353"/>
        <v>#REF!</v>
      </c>
      <c r="BB214" s="709" t="str">
        <f ca="1">IFERROR(VLOOKUP(BA214,INDIRECT(AQ206),2,FALSE),"----")</f>
        <v>----</v>
      </c>
      <c r="BC214" s="710" t="e">
        <f t="shared" ca="1" si="2635"/>
        <v>#REF!</v>
      </c>
      <c r="BD214" s="709" t="str">
        <f ca="1">IFERROR(VLOOKUP(BC214,INDIRECT(AQ207),2,FALSE),"----")</f>
        <v>----</v>
      </c>
      <c r="BE214" s="710" t="e">
        <f t="shared" ca="1" si="2636"/>
        <v>#REF!</v>
      </c>
      <c r="BF214" s="709" t="str">
        <f ca="1">IFERROR(VLOOKUP(BE214,INDIRECT(AQ208),2,FALSE),"----")</f>
        <v>----</v>
      </c>
      <c r="BG214" s="710" t="e">
        <f t="shared" ca="1" si="2637"/>
        <v>#REF!</v>
      </c>
      <c r="BH214" s="711" t="str">
        <f ca="1">IFERROR(VLOOKUP(BG214,INDIRECT(AQ209),2,FALSE),"----")</f>
        <v>----</v>
      </c>
      <c r="BI214" s="710" t="e">
        <f t="shared" ca="1" si="2638"/>
        <v>#REF!</v>
      </c>
      <c r="BJ214" s="711" t="str">
        <f ca="1">IFERROR(VLOOKUP(BI214,INDIRECT(AQ210),2,FALSE),"----")</f>
        <v>----</v>
      </c>
      <c r="BK214" s="710" t="e">
        <f t="shared" ca="1" si="2639"/>
        <v>#REF!</v>
      </c>
      <c r="BL214" s="711" t="str">
        <f ca="1">IFERROR(VLOOKUP(BK214,INDIRECT(AQ211),2,FALSE),"----")</f>
        <v>----</v>
      </c>
      <c r="BM214" s="710" t="e">
        <f t="shared" ca="1" si="2640"/>
        <v>#REF!</v>
      </c>
      <c r="BN214" s="711" t="str">
        <f ca="1">IFERROR(VLOOKUP(BM214,INDIRECT(AQ212),2,FALSE),"----")</f>
        <v>----</v>
      </c>
      <c r="BO214" s="710" t="e">
        <f t="shared" ca="1" si="2641"/>
        <v>#REF!</v>
      </c>
      <c r="BP214" s="711" t="str">
        <f ca="1">IFERROR(VLOOKUP(BO214,INDIRECT(AQ213),2,FALSE),"----")</f>
        <v>----</v>
      </c>
      <c r="BQ214" s="710" t="e">
        <f t="shared" ca="1" si="2642"/>
        <v>#REF!</v>
      </c>
      <c r="BR214" s="712" t="str">
        <f ca="1">IFERROR(VLOOKUP(BQ214,INDIRECT(AQ214),2,FALSE),"----")</f>
        <v>----</v>
      </c>
      <c r="BS214" s="695">
        <f>IF(AI214="",1,IF(COUNTIF(BR203:BR214,AI214)=0,2,1))</f>
        <v>1</v>
      </c>
      <c r="BT214" s="713">
        <f>IF(AF214="",1,IF(BR203=".",2,1))</f>
        <v>1</v>
      </c>
      <c r="BV214" s="155">
        <f ca="1">IF(COUNTIF(EH203:EH214,AF214)=0,IF(AF214&lt;&gt;"",0,1),1)</f>
        <v>1</v>
      </c>
      <c r="BW214" s="157">
        <f ca="1">IFERROR(MATCH(AF214,EH203:EH214,0),1)</f>
        <v>1</v>
      </c>
      <c r="BX214" s="718"/>
      <c r="BY214" s="777"/>
      <c r="BZ214" s="1110"/>
      <c r="CA214" s="714" t="e">
        <f t="shared" ca="1" si="3205"/>
        <v>#REF!</v>
      </c>
      <c r="CB214" s="715" t="e" cm="1">
        <f t="array" aca="1" ref="CB214" ca="1">IF(AND(INDEX(INDIRECT(BY203),CA214,4)&gt;=$AB203,INDEX(INDIRECT(BY203),CA214,5)&gt;=$S203,INDEX(INDIRECT(BY203),CA214,6)&gt;=$R203),1,0)</f>
        <v>#REF!</v>
      </c>
      <c r="CC214" s="715" t="e">
        <f t="shared" ref="CC214" ca="1" si="3383">MATCH(1,OFFSET(CB203:CB214,CD213,0,COUNT(CB203:CB214)-CD213),0)</f>
        <v>#REF!</v>
      </c>
      <c r="CD214" s="715" t="e">
        <f t="shared" ca="1" si="3207"/>
        <v>#REF!</v>
      </c>
      <c r="CE214" s="716" t="str" cm="1">
        <f t="array" aca="1" ref="CE214" ca="1">IFERROR(VLOOKUP(INDEX(CA203:CA214,CD214),INDIRECT(BY203),2,FALSE),"----")</f>
        <v>----</v>
      </c>
      <c r="CF214" s="714" t="e">
        <f t="shared" ca="1" si="3208"/>
        <v>#N/A</v>
      </c>
      <c r="CG214" s="715" t="e">
        <f ca="1">IF(AND(INDEX(SSM,CF214,4)&gt;=$AB203,INDEX(SSM,CF214,5)&gt;=$S203,INDEX(SSM,CF214,6)&gt;=$R203),1,0)</f>
        <v>#N/A</v>
      </c>
      <c r="CH214" s="715" t="e">
        <f t="shared" ref="CH214" ca="1" si="3384">MATCH(1,OFFSET(CG203:CG214,CI213,0,COUNT(CG203:CG214)-CI213),0)</f>
        <v>#REF!</v>
      </c>
      <c r="CI214" s="715" t="e">
        <f t="shared" ca="1" si="3210"/>
        <v>#REF!</v>
      </c>
      <c r="CJ214" s="716" t="str">
        <f ca="1">IFERROR(IF(AD204="Nested Steel Stud (wood infill)",VLOOKUP(INDEX(CF203:CF214,CI214),SSW,2,FALSE),VLOOKUP(INDEX(CF203:CF214,CI214),SSM,2,FALSE)),"----")</f>
        <v>----</v>
      </c>
      <c r="CK214" s="714" t="e">
        <f t="shared" ca="1" si="3211"/>
        <v>#N/A</v>
      </c>
      <c r="CL214" s="715" t="e">
        <f ca="1">IF(AND(INDEX(WSM,CK214,4)&gt;=$AB203,INDEX(WSM,CK214,5)&gt;=$S203,INDEX(WSM,CK214,6)&gt;=$R203),1,0)</f>
        <v>#N/A</v>
      </c>
      <c r="CM214" s="715" t="e">
        <f t="shared" ref="CM214" ca="1" si="3385">MATCH(1,OFFSET(CL203:CL214,CN213,0,COUNT(CL203:CL214)-CN213),0)</f>
        <v>#REF!</v>
      </c>
      <c r="CN214" s="715" t="e">
        <f t="shared" ca="1" si="3213"/>
        <v>#REF!</v>
      </c>
      <c r="CO214" s="716" t="str">
        <f ca="1">IFERROR(VLOOKUP(INDEX(CK203:CK214,CN214),WSM,2,FALSE),"----")</f>
        <v>----</v>
      </c>
      <c r="CP214" s="714" t="e">
        <f t="shared" ca="1" si="3214"/>
        <v>#N/A</v>
      </c>
      <c r="CQ214" s="715" t="e">
        <f ca="1">IF(AND(INDEX(STM,CP214,4)&gt;=$AB203,INDEX(STM,CP214,5)&gt;=$S203,INDEX(STM,CP214,6)&gt;=$R203),1,0)</f>
        <v>#N/A</v>
      </c>
      <c r="CR214" s="715" t="e">
        <f t="shared" ref="CR214" ca="1" si="3386">MATCH(1,OFFSET(CQ203:CQ214,CS213,0,COUNT(CQ203:CQ214)-CS213),0)</f>
        <v>#REF!</v>
      </c>
      <c r="CS214" s="715" t="e">
        <f t="shared" ca="1" si="3216"/>
        <v>#REF!</v>
      </c>
      <c r="CT214" s="716" t="str">
        <f ca="1">IFERROR(VLOOKUP(INDEX(CP203:CP214,CS214),STM,2,FALSE),"----")</f>
        <v>----</v>
      </c>
      <c r="CU214" s="714" t="e">
        <f t="shared" ca="1" si="3217"/>
        <v>#N/A</v>
      </c>
      <c r="CV214" s="715" t="e">
        <f ca="1">IF(AND(INDEX(ELM,CU214,4)&gt;=$AB203,INDEX(ELM,CU214,5)&gt;=$S203,INDEX(ELM,CU214,6)&gt;=$R203),1,0)</f>
        <v>#N/A</v>
      </c>
      <c r="CW214" s="715" t="e">
        <f t="shared" ref="CW214" ca="1" si="3387">MATCH(1,OFFSET(CV203:CV214,CX213,0,COUNT(CV203:CV214)-CX213),0)</f>
        <v>#REF!</v>
      </c>
      <c r="CX214" s="715" t="e">
        <f t="shared" ca="1" si="3219"/>
        <v>#REF!</v>
      </c>
      <c r="CY214" s="716" t="str">
        <f ca="1">IFERROR(VLOOKUP(INDEX(CU203:CU214,CX214),ELM,2,FALSE),"----")</f>
        <v>----</v>
      </c>
      <c r="CZ214" s="714" t="e">
        <f t="shared" ca="1" si="3220"/>
        <v>#N/A</v>
      </c>
      <c r="DA214" s="715" t="e">
        <f ca="1">IF(LEFT($J203,7)="Clad Wo",IF(AND(INDEX(SPPWS,CZ214,4)&gt;=$AB203,INDEX(SPPWS,CZ214,5)&gt;=$S203,INDEX(SPPWS,CZ214,6)&gt;=$R203),1,0),IF(AND(INDEX(SPM,CZ214,4)&gt;=$AB203,INDEX(SPM,CZ214,5)&gt;=$S203,INDEX(SPM,CZ214,6)&gt;=$R203),1,0))</f>
        <v>#N/A</v>
      </c>
      <c r="DB214" s="715" t="e">
        <f t="shared" ref="DB214" ca="1" si="3388">MATCH(1,OFFSET(DA203:DA214,DC213,0,COUNT(DA203:DA214)-DC213),0)</f>
        <v>#REF!</v>
      </c>
      <c r="DC214" s="715" t="e">
        <f t="shared" ca="1" si="3222"/>
        <v>#REF!</v>
      </c>
      <c r="DD214" s="717" t="str">
        <f ca="1">IF(LEFT($J203,7)="Clad Wo",IFERROR(VLOOKUP(INDEX(CZ203:CZ214,DC214),SPPWS,2,FALSE),"----"),IFERROR(VLOOKUP(INDEX(CZ203:CZ214,DC214),SPM,2,FALSE),"----"))</f>
        <v>----</v>
      </c>
      <c r="DE214" s="714" t="e">
        <f t="shared" ca="1" si="3223"/>
        <v>#REF!</v>
      </c>
      <c r="DF214" s="715" t="e" cm="1">
        <f t="array" aca="1" ref="DF214" ca="1">IF(AND(INDEX(INDIRECT(BY203),DE214,4)&gt;=$AB209,INDEX(INDIRECT(BY203),DE214,5)&gt;=$S203,INDEX(INDIRECT(BY203),DE214,6)&gt;=$R203),1,0)</f>
        <v>#REF!</v>
      </c>
      <c r="DG214" s="715" t="e">
        <f t="shared" ref="DG214" ca="1" si="3389">MATCH(1,OFFSET(DF203:DF214,DH213,0,COUNT(DF203:DF214)-DH213),0)</f>
        <v>#REF!</v>
      </c>
      <c r="DH214" s="715" t="e">
        <f t="shared" ca="1" si="3225"/>
        <v>#REF!</v>
      </c>
      <c r="DI214" s="716" t="str" cm="1">
        <f t="array" aca="1" ref="DI214" ca="1">IFERROR(VLOOKUP(INDEX(DE203:DE214,DH214),INDIRECT(BY203),2,FALSE),"----")</f>
        <v>----</v>
      </c>
      <c r="DJ214" s="714" t="e">
        <f t="shared" ca="1" si="3226"/>
        <v>#N/A</v>
      </c>
      <c r="DK214" s="715" t="e">
        <f ca="1">IF(AND(INDEX(SSM,DJ214,4)&gt;=$AB209,INDEX(SSM,DJ214,5)&gt;=$S203,INDEX(SSM,DJ214,6)&gt;=$R203),1,0)</f>
        <v>#N/A</v>
      </c>
      <c r="DL214" s="715" t="e">
        <f t="shared" ref="DL214" ca="1" si="3390">MATCH(1,OFFSET(DK203:DK214,DM213,0,COUNT(DK203:DK214)-DM213),0)</f>
        <v>#REF!</v>
      </c>
      <c r="DM214" s="715" t="e">
        <f t="shared" ca="1" si="3228"/>
        <v>#REF!</v>
      </c>
      <c r="DN214" s="716" t="str">
        <f ca="1">IFERROR(IF(AD210="Nested Steel Stud (wood infill)",VLOOKUP(INDEX(DJ203:DJ214,DM214),SSW,2,FALSE),VLOOKUP(INDEX(DJ203:DJ214,DM214),SSM,2,FALSE)),"----")</f>
        <v>----</v>
      </c>
      <c r="DO214" s="714" t="e">
        <f t="shared" ca="1" si="3229"/>
        <v>#N/A</v>
      </c>
      <c r="DP214" s="715" t="e">
        <f ca="1">IF(AND(INDEX(WSM,DO214,4)&gt;=$AB209,INDEX(WSM,DO214,5)&gt;=$S203,INDEX(WSM,DO214,6)&gt;=$R203),1,0)</f>
        <v>#N/A</v>
      </c>
      <c r="DQ214" s="715" t="e">
        <f t="shared" ref="DQ214" ca="1" si="3391">MATCH(1,OFFSET(DP203:DP214,DR213,0,COUNT(DP203:DP214)-DR213),0)</f>
        <v>#REF!</v>
      </c>
      <c r="DR214" s="715" t="e">
        <f t="shared" ca="1" si="3231"/>
        <v>#REF!</v>
      </c>
      <c r="DS214" s="716" t="str">
        <f ca="1">IFERROR(VLOOKUP(INDEX(DO203:DO214,DR214),WSM,2,FALSE),"----")</f>
        <v>----</v>
      </c>
      <c r="DT214" s="714" t="e">
        <f t="shared" ca="1" si="3232"/>
        <v>#N/A</v>
      </c>
      <c r="DU214" s="715" t="e">
        <f ca="1">IF(AND(INDEX(STM,DT214,4)&gt;=$AB209,INDEX(STM,DT214,5)&gt;=$S203,INDEX(STM,DT214,6)&gt;=$R203),1,0)</f>
        <v>#N/A</v>
      </c>
      <c r="DV214" s="715" t="e">
        <f t="shared" ref="DV214" ca="1" si="3392">MATCH(1,OFFSET(DU203:DU214,DW213,0,COUNT(DU203:DU214)-DW213),0)</f>
        <v>#REF!</v>
      </c>
      <c r="DW214" s="715" t="e">
        <f t="shared" ca="1" si="3234"/>
        <v>#REF!</v>
      </c>
      <c r="DX214" s="716" t="str">
        <f ca="1">IFERROR(VLOOKUP(INDEX(DT203:DT214,DW214),STM,2,FALSE),"----")</f>
        <v>----</v>
      </c>
      <c r="DY214" s="714" t="e">
        <f t="shared" ca="1" si="3235"/>
        <v>#N/A</v>
      </c>
      <c r="DZ214" s="715" t="e">
        <f ca="1">IF(AND(INDEX(ELM,DY214,4)&gt;=$AB209,INDEX(ELM,DY214,5)&gt;=$S203,INDEX(ELM,DY214,6)&gt;=$R203),1,0)</f>
        <v>#N/A</v>
      </c>
      <c r="EA214" s="715" t="e">
        <f t="shared" ref="EA214" ca="1" si="3393">MATCH(1,OFFSET(DZ203:DZ214,EB213,0,COUNT(DZ203:DZ214)-EB213),0)</f>
        <v>#REF!</v>
      </c>
      <c r="EB214" s="715" t="e">
        <f t="shared" ca="1" si="3237"/>
        <v>#REF!</v>
      </c>
      <c r="EC214" s="716" t="str">
        <f ca="1">IFERROR(VLOOKUP(INDEX(DY203:DY214,EB214),ELM,2,FALSE),"----")</f>
        <v>----</v>
      </c>
      <c r="ED214" s="714" t="e">
        <f t="shared" ca="1" si="3238"/>
        <v>#N/A</v>
      </c>
      <c r="EE214" s="715" t="e">
        <f ca="1">IF(LEFT($J203,7)="Clad Wo",IF(AND(INDEX(SPPWS,ED214,4)&gt;=$AB209,INDEX(SPPWS,ED214,5)&gt;=$S203,INDEX(SPPWS,ED214,6)&gt;=$R203),1,0),IF(AND(INDEX(SPM,ED214,4)&gt;=$AB209,INDEX(SPM,ED214,5)&gt;=$S203,INDEX(SPM,ED214,6)&gt;=$R203),1,0))</f>
        <v>#N/A</v>
      </c>
      <c r="EF214" s="715" t="e">
        <f t="shared" ref="EF214" ca="1" si="3394">MATCH(1,OFFSET(EE203:EE214,EG213,0,COUNT(EE203:EE214)-EG213),0)</f>
        <v>#REF!</v>
      </c>
      <c r="EG214" s="715" t="e">
        <f t="shared" ca="1" si="3240"/>
        <v>#REF!</v>
      </c>
      <c r="EH214" s="716" t="str">
        <f ca="1">IF(LEFT($J203,7)="Clad Wo",IFERROR(VLOOKUP(INDEX(ED203:ED214,EG214),SPPWS,2,FALSE),"----"),IFERROR(VLOOKUP(INDEX(ED203:ED214,EG214),SPM,2,FALSE),"----"))</f>
        <v>----</v>
      </c>
    </row>
    <row r="215" spans="1:138" ht="15" customHeight="1" thickTop="1" x14ac:dyDescent="0.25">
      <c r="A215" s="1085"/>
      <c r="B215" s="931" t="s">
        <v>92</v>
      </c>
      <c r="C215" s="932"/>
      <c r="D215" s="933"/>
      <c r="E215" s="992"/>
      <c r="F215" s="993"/>
      <c r="G215" s="994"/>
      <c r="H215" s="1061"/>
      <c r="I215" s="989"/>
      <c r="J215" s="906"/>
      <c r="K215" s="907"/>
      <c r="L215" s="1001">
        <f>$W$3</f>
        <v>4</v>
      </c>
      <c r="M215" s="923" t="str">
        <f t="shared" ref="M215" si="3395">IFERROR(IF($AE$13="",IF($AG$19="Wind Loading",MIN($V$31,IF(E$11="ASCE 7-05",$U$26,$V$7)*$V$9*(IF($E$12&lt;60,0.0771*LN(MAX(MIN(500,O215),10)) -1.2737,IF($E$11="ASCE 7-22",0.0524*LN(MAX(MIN(500,O215),50))-1.0278,0.0614*LN(MAX(MIN(500,O215),20)) -1.0829))-$V$8)),$V$7*IF(E$12&lt;60,$V$13*($V$15*0.0771*LN(MAX(MIN(500,O215),10))-1.2737-$V$16),$V$13*$V$15*((0.0524*LN(MAX(MIN(500,O215),20))-1.0278)-$V$16))),-ABS($AE$13)),"")</f>
        <v/>
      </c>
      <c r="N215" s="1042" t="str">
        <f t="shared" ref="N215" si="3396">IFERROR(IF($AE$15="",IF($AG$19="Wind Loading",MAX($U$31,IF(E$11="ASCE 7-05",$U$26,$V$7)*$V$9*((IF($E$12&lt;60,-0.077*LN(MAX(MIN(500,O215),10))+1.1737,IF($E$11="ASCE 7-22",-0.077*LN(MAX(MIN(500,O215),20))+1.0798,-0.093*LN(MAX(MIN(500,O215),20))+1.1776)))+$V$8)),$V$7*IF(E$12&lt;60,$V$13*($V$15*(-0.077*LN(MAX(MIN(500,O215),10))+1.1737)-$V$17),$V$13*$V$15*((-0.077*LN(MAX(MIN(500,O215),20))+1.0798)-$V$17))),ABS($AE$15)),"")</f>
        <v/>
      </c>
      <c r="O215" s="1017" t="str">
        <f>IF(BX222=0,"",IF(AG$14="Trapezoidal",BY222,BX222))</f>
        <v/>
      </c>
      <c r="P215" s="986"/>
      <c r="Q215" s="1014"/>
      <c r="R215" s="1011">
        <f>P215*Q215/8</f>
        <v>0</v>
      </c>
      <c r="S215" s="1004">
        <f t="shared" ref="S215" si="3397">IF(5*(P215*Q215^3/(384*0.125))=0,0,5*(P215*Q215^3/(384*0.125)))</f>
        <v>0</v>
      </c>
      <c r="T215" s="1005"/>
      <c r="U215" s="877" t="e">
        <f ca="1">VLOOKUP(J219,INDIRECT(VLOOKUP(J215,FrameStrength,2,FALSE)),3,FALSE)</f>
        <v>#N/A</v>
      </c>
      <c r="V215" s="880">
        <f t="shared" ref="V215" si="3398">(H215+I215)/2</f>
        <v>0</v>
      </c>
      <c r="W215" s="883" t="e">
        <f t="shared" ref="W215" si="3399">MAX(-M215,N215)*O215</f>
        <v>#VALUE!</v>
      </c>
      <c r="X215" s="883">
        <f t="shared" ref="X215" si="3400">IF(E215&gt;162,(E215/240+0.25),IF(AND(E215&lt;162,E215/175&lt;0.75),E215/175,0.75))</f>
        <v>0</v>
      </c>
      <c r="Y215" s="886">
        <f>IFERROR(IF(AG$14="Trapezoidal",BY223,BX223)+IF($E$17="4",(400*E215^3)/(48*X215),0),0)</f>
        <v>0</v>
      </c>
      <c r="Z215" s="886" t="e">
        <f t="shared" ref="Z215" si="3401">+($V215*MAX(-$M215,$N215)*$E215^2)/(144*8)+IF($E$17=4,(400*$E215)/4,0)</f>
        <v>#VALUE!</v>
      </c>
      <c r="AA215" s="886" t="e">
        <f ca="1">VLOOKUP(J219,INDIRECT(VLOOKUP(J215,FrameStrength,2,FALSE)),2,FALSE)</f>
        <v>#N/A</v>
      </c>
      <c r="AB215" s="1083" t="str">
        <f t="shared" ref="AB215" ca="1" si="3402">IFERROR(Z215-AA215,"")</f>
        <v/>
      </c>
      <c r="AC215" s="1077" t="str">
        <f t="shared" ref="AC215" ca="1" si="3403">IFERROR(Y215-U215,"")</f>
        <v/>
      </c>
      <c r="AD215" s="1100" t="str">
        <f>IFERROR(IF(LEFT(J219,2)="As",VLOOKUP(J219,EIMM,4,FALSE),VLOOKUP(J215,EIMM,4,FALSE)),IF(AND(ISNUMBER(SEARCH("Impervia",J215)),ISNUMBER(SEARCH("door",J219))),'New Lookup Cells'!AF$10,IF(ISNUMBER(SEARCH("Impervia",J215)),'New Lookup Cells'!AF$7,IF(AND(ISNUMBER(SEARCH("250",J215)),ISNUMBER(SEARCH("door",J219))),'New Lookup Cells'!AF$14,IF(ISNUMBER(SEARCH("250",J215)),'New Lookup Cells'!AF$13,"")))))</f>
        <v/>
      </c>
      <c r="AE215" s="1101"/>
      <c r="AF215" s="1050"/>
      <c r="AG215" s="1051"/>
      <c r="AH215" s="1051"/>
      <c r="AI215" s="1088"/>
      <c r="AJ215" s="1089"/>
      <c r="AK215" s="154" t="str">
        <f t="shared" ca="1" si="2393"/>
        <v/>
      </c>
      <c r="AL215" s="1038" t="str">
        <f t="shared" ref="AL215" si="3404">IFERROR(ROUND(SQRT(P215^2+(W215/2+IF($E$17=4,200,0))^2),0),"")</f>
        <v/>
      </c>
      <c r="AM215" s="342" t="s">
        <v>669</v>
      </c>
      <c r="AN215" t="str">
        <f t="shared" ca="1" si="2409"/>
        <v/>
      </c>
      <c r="AP215" s="122" t="str">
        <f t="shared" ref="AP215" si="3405">_xlfn.CONCAT(AR215,AS220)</f>
        <v/>
      </c>
      <c r="AQ215" s="683" t="str">
        <f t="shared" si="2617"/>
        <v/>
      </c>
      <c r="AR215" s="96" t="str">
        <f t="shared" si="2378"/>
        <v/>
      </c>
      <c r="AS215" s="96" t="str">
        <f>IF(COUNTIF(imp_1,AF215)=1,"imp_1",IF(COUNTIF(imp_2,AF215)=1,"imp_2",IF(COUNTIF(imp_3,AF215)=1,"imp_3",IF(COUNTIF(impdoor,AF215)=1,"impdoor",""))))</f>
        <v/>
      </c>
      <c r="AT215" s="684" t="str">
        <f>AL215</f>
        <v/>
      </c>
      <c r="AU215" s="685" t="e">
        <f ca="1">MATCH(AL215,INDIRECT(AP215),-1)</f>
        <v>#REF!</v>
      </c>
      <c r="AV215" s="686" t="str">
        <f ca="1">IFERROR(VLOOKUP(AU215,INDIRECT(AQ215),2,FALSE),"----")</f>
        <v>----</v>
      </c>
      <c r="AW215" s="685" t="e">
        <f ca="1">MATCH(AL215,INDIRECT(AP216),-1)</f>
        <v>#REF!</v>
      </c>
      <c r="AX215" s="686" t="str">
        <f ca="1">IFERROR(VLOOKUP(AW215,INDIRECT(AQ216),2,FALSE),"----")</f>
        <v>----</v>
      </c>
      <c r="AY215" s="685" t="e">
        <f ca="1">MATCH(AL215,INDIRECT(AP217),-1)</f>
        <v>#REF!</v>
      </c>
      <c r="AZ215" s="686" t="str">
        <f ca="1">IFERROR(VLOOKUP(AY215,INDIRECT(AQ217),2,FALSE),"----")</f>
        <v>----</v>
      </c>
      <c r="BA215" s="685" t="e">
        <f ca="1">MATCH(AL215,INDIRECT(AP218),-1)</f>
        <v>#REF!</v>
      </c>
      <c r="BB215" s="686" t="str">
        <f ca="1">IFERROR(VLOOKUP(BA215,INDIRECT(AQ218),2,FALSE),"----")</f>
        <v>----</v>
      </c>
      <c r="BC215" s="685" t="e">
        <f ca="1">MATCH(AL215,INDIRECT(AP219),-1)</f>
        <v>#REF!</v>
      </c>
      <c r="BD215" s="686" t="str">
        <f ca="1">IFERROR(VLOOKUP(BC215,INDIRECT(AQ219),2,FALSE),"----")</f>
        <v>----</v>
      </c>
      <c r="BE215" s="685" t="e">
        <f ca="1">MATCH(AL215,INDIRECT(AP220),-1)</f>
        <v>#REF!</v>
      </c>
      <c r="BF215" s="686" t="str">
        <f ca="1">IFERROR(VLOOKUP(BE215,INDIRECT(AQ220),2,FALSE),"----")</f>
        <v>----</v>
      </c>
      <c r="BG215" s="685" t="e">
        <f ca="1">MATCH(AL221,INDIRECT(AP221),-1)</f>
        <v>#REF!</v>
      </c>
      <c r="BH215" s="686" t="str">
        <f ca="1">IFERROR(VLOOKUP(BG215,INDIRECT(AQ221),2,FALSE),"----")</f>
        <v>----</v>
      </c>
      <c r="BI215" s="685" t="e">
        <f ca="1">MATCH(AL221,INDIRECT(AP222),-1)</f>
        <v>#REF!</v>
      </c>
      <c r="BJ215" s="686" t="str">
        <f ca="1">IFERROR(VLOOKUP(BI215,INDIRECT(AQ222),2,FALSE),"----")</f>
        <v>----</v>
      </c>
      <c r="BK215" s="685" t="e">
        <f ca="1">MATCH(AL221,INDIRECT(AP223),-1)</f>
        <v>#REF!</v>
      </c>
      <c r="BL215" s="686" t="str">
        <f ca="1">IFERROR(VLOOKUP(BK215,INDIRECT(AQ223),2,FALSE),"----")</f>
        <v>----</v>
      </c>
      <c r="BM215" s="685" t="e">
        <f ca="1">MATCH(AL221,INDIRECT(AP224),-1)</f>
        <v>#REF!</v>
      </c>
      <c r="BN215" s="686" t="str">
        <f ca="1">IFERROR(VLOOKUP(BM215,INDIRECT(AQ224),2,FALSE),"----")</f>
        <v>----</v>
      </c>
      <c r="BO215" s="685" t="e">
        <f ca="1">MATCH(AL221,INDIRECT(AP225),-1)</f>
        <v>#REF!</v>
      </c>
      <c r="BP215" s="686" t="str">
        <f ca="1">IFERROR(VLOOKUP(BO215,INDIRECT(AQ225),2,FALSE),"----")</f>
        <v>----</v>
      </c>
      <c r="BQ215" s="685" t="e">
        <f ca="1">MATCH(AL221,INDIRECT(AP226),-1)</f>
        <v>#REF!</v>
      </c>
      <c r="BR215" s="686" t="str">
        <f ca="1">IFERROR(VLOOKUP(BQ215,INDIRECT(AQ226),2,FALSE),"----")</f>
        <v>----</v>
      </c>
      <c r="BS215" s="687">
        <f>IF(AI215="",1,IF(COUNTIF(AV215:AV226,AI215)=0,2,1))</f>
        <v>1</v>
      </c>
      <c r="BT215" s="688">
        <f>IF(AP215="1",1,IF(AF215="",1,IF(AV215=".",2,1)))</f>
        <v>1</v>
      </c>
      <c r="BU215" s="706"/>
      <c r="BV215" s="155">
        <f ca="1">IF(COUNTIF(CE215:CE226,AF215)=0,IF(AF215&lt;&gt;"",0,1),1)</f>
        <v>1</v>
      </c>
      <c r="BW215" s="157">
        <f ca="1">IFERROR(MATCH(AF215,CE215:CE226,0),1)</f>
        <v>1</v>
      </c>
      <c r="BX215" s="769" t="str">
        <f>IFERROR(IF(LEFT(J219,2)="As",VLOOKUP(J219,EIMM,2,FALSE),IF(AND(ISNUMBER(SEARCH("Impervia",J215)),ISNUMBER(SEARCH("door",J219))),VLOOKUP("Impervia Door",EIMM,2,FALSE),IF(AND(ISNUMBER(SEARCH("250",J215)),ISNUMBER(SEARCH("door",J219))),VLOOKUP("250 Series Door",EIMM,2,FALSE),VLOOKUP(J215,EIMM,2,FALSE)))),"")</f>
        <v/>
      </c>
      <c r="BY215" s="769" t="str">
        <f ca="1">IFERROR(VLOOKUP(BX215,OFFSET(EIMM,0,1),2,FALSE),"")</f>
        <v/>
      </c>
      <c r="BZ215" s="1110" t="e">
        <f ca="1">IF((COUNTIF(INDIRECT(SUBSTITUTE(J215," ","_")),J219))=0,IF(J219="",1,0),1)</f>
        <v>#REF!</v>
      </c>
      <c r="CA215" s="691" t="e">
        <f ca="1">MATCH(AC215,INDIRECT(BX215),-1)</f>
        <v>#REF!</v>
      </c>
      <c r="CB215" s="4" t="e" cm="1">
        <f t="array" aca="1" ref="CB215" ca="1">IF(AND(INDEX(INDIRECT(BY215),CA215,4)&gt;=$AB215,INDEX(INDIRECT(BY215),CA215,5)&gt;=$S215,INDEX(INDIRECT(BY215),CA215,6)&gt;=$R215),1,0)</f>
        <v>#REF!</v>
      </c>
      <c r="CC215" s="4" t="e">
        <f t="shared" ref="CC215" ca="1" si="3406">MATCH(1,OFFSET(CB215:CB226,$W$2,0,COUNT(CB215:CB226)-$W$2),0)</f>
        <v>#REF!</v>
      </c>
      <c r="CD215" s="4" t="e">
        <f t="shared" ref="CD215" ca="1" si="3407">$W$2+CC215</f>
        <v>#REF!</v>
      </c>
      <c r="CE215" s="692" t="str" cm="1">
        <f t="array" aca="1" ref="CE215" ca="1">IFERROR(VLOOKUP(INDEX(CA215:CA226,CD215),INDIRECT(BY215),2,FALSE),"----")</f>
        <v>----</v>
      </c>
      <c r="CF215" s="691" t="e">
        <f ca="1">MATCH($AC215,SSEI,-1)</f>
        <v>#N/A</v>
      </c>
      <c r="CG215" s="4" t="e">
        <f ca="1">IF(AND(INDEX(SSM,CF215,4)&gt;=$AB215,INDEX(SSM,CF215,5)&gt;=$S215,INDEX(SSM,CF215,6)&gt;=$R215),1,0)</f>
        <v>#N/A</v>
      </c>
      <c r="CH215" s="4" t="e">
        <f t="shared" ref="CH215" ca="1" si="3408">MATCH(1,OFFSET(CG215:CG226,$W$2,0,COUNT(CG215:CG226)-$W$2),0)</f>
        <v>#REF!</v>
      </c>
      <c r="CI215" s="4" t="e">
        <f t="shared" ref="CI215" ca="1" si="3409">$W$2+CH215</f>
        <v>#REF!</v>
      </c>
      <c r="CJ215" s="692" t="str">
        <f ca="1">IFERROR(IF(AD216="Nested Steel Stud (wood infill)",VLOOKUP(INDEX(CF215:CF226,CI215),SSW,2,FALSE),VLOOKUP(INDEX(CF215:CF226,CI215),SSM,2,FALSE)),"----")</f>
        <v>----</v>
      </c>
      <c r="CK215" s="691" t="e">
        <f ca="1">MATCH($AC215,WSEI,-1)</f>
        <v>#N/A</v>
      </c>
      <c r="CL215" s="4" t="e">
        <f ca="1">IF(AND(INDEX(WSM,CK215,4)&gt;=$AB215,INDEX(WSM,CK215,5)&gt;=$S215,INDEX(WSM,CK215,6)&gt;=$R215),1,0)</f>
        <v>#N/A</v>
      </c>
      <c r="CM215" s="4" t="e">
        <f t="shared" ref="CM215" ca="1" si="3410">MATCH(1,OFFSET(CL215:CL226,$W$2,0,COUNT(CL215:CL226)-$W$2),0)</f>
        <v>#REF!</v>
      </c>
      <c r="CN215" s="4" t="e">
        <f t="shared" ref="CN215" ca="1" si="3411">$W$2+CM215</f>
        <v>#REF!</v>
      </c>
      <c r="CO215" s="692" t="str">
        <f ca="1">IFERROR(VLOOKUP(INDEX(CK215:CK226,CN215),WSM,2,FALSE),"----")</f>
        <v>----</v>
      </c>
      <c r="CP215" s="691" t="e">
        <f ca="1">MATCH($AC215,STEI,-1)</f>
        <v>#N/A</v>
      </c>
      <c r="CQ215" s="4" t="e">
        <f ca="1">IF(AND(INDEX(STM,CP215,4)&gt;=$AB215,INDEX(STM,CP215,5)&gt;=$S215,INDEX(STM,CP215,6)&gt;=$R215),1,0)</f>
        <v>#N/A</v>
      </c>
      <c r="CR215" s="4" t="e">
        <f t="shared" ref="CR215" ca="1" si="3412">MATCH(1,OFFSET(CQ215:CQ226,$W$2,0,COUNT(CQ215:CQ226)-$W$2),0)</f>
        <v>#REF!</v>
      </c>
      <c r="CS215" s="4" t="e">
        <f t="shared" ref="CS215" ca="1" si="3413">$W$2+CR215</f>
        <v>#REF!</v>
      </c>
      <c r="CT215" s="692" t="str">
        <f ca="1">IFERROR(VLOOKUP(INDEX(CP215:CP226,CS215),STM,2,FALSE),"----")</f>
        <v>----</v>
      </c>
      <c r="CU215" s="691" t="e">
        <f ca="1">MATCH($AC215,ELEI,-1)</f>
        <v>#N/A</v>
      </c>
      <c r="CV215" s="4" t="e">
        <f ca="1">IF(AND(INDEX(ELM,CU215,4)&gt;=$AB215,INDEX(ELM,CU215,5)&gt;=$S215,INDEX(ELM,CU215,6)&gt;=$R215),1,0)</f>
        <v>#N/A</v>
      </c>
      <c r="CW215" s="4" t="e">
        <f t="shared" ref="CW215" ca="1" si="3414">MATCH(1,OFFSET(CV215:CV226,$W$2,0,COUNT(CV215:CV226)-$W$2),0)</f>
        <v>#REF!</v>
      </c>
      <c r="CX215" s="4" t="e">
        <f t="shared" ref="CX215" ca="1" si="3415">$W$2+CW215</f>
        <v>#REF!</v>
      </c>
      <c r="CY215" s="692" t="str">
        <f ca="1">IFERROR(VLOOKUP(INDEX(CU215:CU226,CX215),ELM,2,FALSE),"----")</f>
        <v>----</v>
      </c>
      <c r="CZ215" s="691" t="e">
        <f ca="1">IF(LEFT($J215,7)="Clad Wo",MATCH($AC215,SPEIW,-1),MATCH($AC215,SPEI,-1))</f>
        <v>#N/A</v>
      </c>
      <c r="DA215" s="4" t="e">
        <f ca="1">IF(LEFT($J215,7)="Clad Wo",IF(AND(INDEX(SPPWS,CZ215,4)&gt;=$AB215,INDEX(SPPWS,CZ215,5)&gt;=$S215,INDEX(SPPWS,CZ215,6)&gt;=$R215),1,0),IF(AND(INDEX(SPM,CZ215,4)&gt;=$AB215,INDEX(SPM,CZ215,5)&gt;=$S215,INDEX(SPM,CZ215,6)&gt;=$R215),1,0))</f>
        <v>#N/A</v>
      </c>
      <c r="DB215" s="4" t="e">
        <f t="shared" ref="DB215" ca="1" si="3416">MATCH(1,OFFSET(DA215:DA226,$W$2,0,COUNT(DA215:DA226)-$W$2),0)</f>
        <v>#REF!</v>
      </c>
      <c r="DC215" s="4" t="e">
        <f t="shared" ref="DC215" ca="1" si="3417">$W$2+DB215</f>
        <v>#REF!</v>
      </c>
      <c r="DD215" s="693" t="str">
        <f ca="1">IF(LEFT($J215,7)="Clad Wo",IFERROR(VLOOKUP(INDEX(CZ215:CZ226,DC215),SPPWS,2,FALSE),"----"),IFERROR(VLOOKUP(INDEX(CZ215:CZ226,DC215),SPM,2,FALSE),"----"))</f>
        <v>----</v>
      </c>
      <c r="DE215" s="691" t="e">
        <f ca="1">MATCH(AC221,INDIRECT(BX215),-1)</f>
        <v>#REF!</v>
      </c>
      <c r="DF215" s="4" t="e" cm="1">
        <f t="array" aca="1" ref="DF215" ca="1">IF(AND(INDEX(INDIRECT(BY215),DE215,4)&gt;=$AB221,INDEX(INDIRECT(BY215),DE215,5)&gt;=$S215,INDEX(INDIRECT(BY215),DE215,6)&gt;=$R215),1,0)</f>
        <v>#REF!</v>
      </c>
      <c r="DG215" s="4" t="e">
        <f t="shared" ref="DG215" ca="1" si="3418">MATCH(1,OFFSET(DF215:DF226,$W$2,0,COUNT(DF215:DF226)-$W$2),0)</f>
        <v>#REF!</v>
      </c>
      <c r="DH215" s="4" t="e">
        <f t="shared" ref="DH215" ca="1" si="3419">$W$2+DG215</f>
        <v>#REF!</v>
      </c>
      <c r="DI215" s="692" t="str" cm="1">
        <f t="array" aca="1" ref="DI215" ca="1">IFERROR(VLOOKUP(INDEX(DE215:DE226,DH215),INDIRECT(BY215),2,FALSE),"----")</f>
        <v>----</v>
      </c>
      <c r="DJ215" s="691" t="e">
        <f ca="1">MATCH($AC221,SSEI,-1)</f>
        <v>#N/A</v>
      </c>
      <c r="DK215" s="4" t="e">
        <f ca="1">IF(AND(INDEX(SSM,DJ215,4)&gt;=$AB221,INDEX(SSM,DJ215,5)&gt;=$S215,INDEX(SSM,DJ215,6)&gt;=$R215),1,0)</f>
        <v>#N/A</v>
      </c>
      <c r="DL215" s="4" t="e">
        <f t="shared" ref="DL215" ca="1" si="3420">MATCH(1,OFFSET(DK215:DK226,$W$2,0,COUNT(DK215:DK226)-$W$2),0)</f>
        <v>#REF!</v>
      </c>
      <c r="DM215" s="4" t="e">
        <f t="shared" ref="DM215" ca="1" si="3421">$W$2+DL215</f>
        <v>#REF!</v>
      </c>
      <c r="DN215" s="692" t="str">
        <f ca="1">IFERROR(IF(AD222="Nested Steel Stud (wood infill)",VLOOKUP(INDEX(DJ215:DJ226,DM215),SSW,2,FALSE),VLOOKUP(INDEX(DJ215:DJ226,DM215),SSM,2,FALSE)),"----")</f>
        <v>----</v>
      </c>
      <c r="DO215" s="691" t="e">
        <f ca="1">MATCH($AC221,WSEI,-1)</f>
        <v>#N/A</v>
      </c>
      <c r="DP215" s="4" t="e">
        <f ca="1">IF(AND(INDEX(WSM,DO215,4)&gt;=$AB221,INDEX(WSM,DO215,5)&gt;=$S215,INDEX(WSM,DO215,6)&gt;=$R215),1,0)</f>
        <v>#N/A</v>
      </c>
      <c r="DQ215" s="4" t="e">
        <f t="shared" ref="DQ215" ca="1" si="3422">MATCH(1,OFFSET(DP215:DP226,$W$2,0,COUNT(DP215:DP226)-$W$2),0)</f>
        <v>#REF!</v>
      </c>
      <c r="DR215" s="4" t="e">
        <f t="shared" ref="DR215" ca="1" si="3423">$W$2+DQ215</f>
        <v>#REF!</v>
      </c>
      <c r="DS215" s="692" t="str">
        <f ca="1">IFERROR(VLOOKUP(INDEX(DO215:DO226,DR215),WSM,2,FALSE),"----")</f>
        <v>----</v>
      </c>
      <c r="DT215" s="691" t="e">
        <f ca="1">MATCH($AC221,STEI,-1)</f>
        <v>#N/A</v>
      </c>
      <c r="DU215" s="4" t="e">
        <f ca="1">IF(AND(INDEX(STM,DT215,4)&gt;=$AB221,INDEX(STM,DT215,5)&gt;=$S215,INDEX(STM,DT215,6)&gt;=$R215),1,0)</f>
        <v>#N/A</v>
      </c>
      <c r="DV215" s="4" t="e">
        <f t="shared" ref="DV215" ca="1" si="3424">MATCH(1,OFFSET(DU215:DU226,$W$2,0,COUNT(DU215:DU226)-$W$2),0)</f>
        <v>#REF!</v>
      </c>
      <c r="DW215" s="4" t="e">
        <f t="shared" ref="DW215" ca="1" si="3425">$W$2+DV215</f>
        <v>#REF!</v>
      </c>
      <c r="DX215" s="692" t="str">
        <f ca="1">IFERROR(VLOOKUP(INDEX(DT215:DT226,DW215),STM,2,FALSE),"----")</f>
        <v>----</v>
      </c>
      <c r="DY215" s="691" t="e">
        <f ca="1">MATCH($AC221,ELEI,-1)</f>
        <v>#N/A</v>
      </c>
      <c r="DZ215" s="4" t="e">
        <f ca="1">IF(AND(INDEX(ELM,DY215,4)&gt;=$AB221,INDEX(ELM,DY215,5)&gt;=$S215,INDEX(ELM,DY215,6)&gt;=$R215),1,0)</f>
        <v>#N/A</v>
      </c>
      <c r="EA215" s="4" t="e">
        <f t="shared" ref="EA215" ca="1" si="3426">MATCH(1,OFFSET(DZ215:DZ226,$W$2,0,COUNT(DZ215:DZ226)-$W$2),0)</f>
        <v>#REF!</v>
      </c>
      <c r="EB215" s="4" t="e">
        <f t="shared" ref="EB215" ca="1" si="3427">EA215+$W$2</f>
        <v>#REF!</v>
      </c>
      <c r="EC215" s="692" t="str">
        <f ca="1">IFERROR(VLOOKUP(INDEX(DY215:DY226,EB215),ELM,2,FALSE),"----")</f>
        <v>----</v>
      </c>
      <c r="ED215" s="691" t="e">
        <f ca="1">IF(LEFT($J215,7)="Clad Wo",MATCH($AC221,SPEIW,-1),MATCH($AC221,SPEI,-1))</f>
        <v>#N/A</v>
      </c>
      <c r="EE215" s="4" t="e">
        <f ca="1">IF(LEFT($J215,7)="Clad Wo",IF(AND(INDEX(SPPWS,ED215,4)&gt;=$AB221,INDEX(SPPWS,ED215,5)&gt;=$S215,INDEX(SPPWS,ED215,6)&gt;=$R215),1,0),IF(AND(INDEX(SPM,ED215,4)&gt;=$AB221,INDEX(SPM,ED215,5)&gt;=$S215,INDEX(SPM,ED215,6)&gt;=$R215),1,0))</f>
        <v>#N/A</v>
      </c>
      <c r="EF215" s="4" t="e">
        <f t="shared" ref="EF215" ca="1" si="3428">MATCH(1,OFFSET(EE215:EE226,$W$2,0,COUNT(EE215:EE226)-$W$2),0)</f>
        <v>#REF!</v>
      </c>
      <c r="EG215" s="4" t="e">
        <f t="shared" ref="EG215" ca="1" si="3429">$W$2+EF215</f>
        <v>#REF!</v>
      </c>
      <c r="EH215" s="692" t="str">
        <f ca="1">IF(LEFT($J215,7)="Clad Wo",IFERROR(VLOOKUP(INDEX(ED215:ED226,EG215),SPPWS,2,FALSE),"----"),IFERROR(VLOOKUP(INDEX(ED215:ED226,EG215),SPM,2,FALSE),"----"))</f>
        <v>----</v>
      </c>
    </row>
    <row r="216" spans="1:138" ht="15" customHeight="1" x14ac:dyDescent="0.25">
      <c r="A216" s="1085"/>
      <c r="B216" s="925"/>
      <c r="C216" s="926"/>
      <c r="D216" s="927"/>
      <c r="E216" s="995"/>
      <c r="F216" s="996"/>
      <c r="G216" s="997"/>
      <c r="H216" s="1062"/>
      <c r="I216" s="990"/>
      <c r="J216" s="908"/>
      <c r="K216" s="909"/>
      <c r="L216" s="1002"/>
      <c r="M216" s="923"/>
      <c r="N216" s="1042"/>
      <c r="O216" s="1018"/>
      <c r="P216" s="987"/>
      <c r="Q216" s="1015"/>
      <c r="R216" s="1012"/>
      <c r="S216" s="1006"/>
      <c r="T216" s="1007"/>
      <c r="U216" s="878"/>
      <c r="V216" s="881"/>
      <c r="W216" s="884"/>
      <c r="X216" s="884"/>
      <c r="Y216" s="887"/>
      <c r="Z216" s="887"/>
      <c r="AA216" s="887"/>
      <c r="AB216" s="1081"/>
      <c r="AC216" s="1078"/>
      <c r="AD216" s="1102" t="s">
        <v>38</v>
      </c>
      <c r="AE216" s="1103"/>
      <c r="AF216" s="1052"/>
      <c r="AG216" s="1053"/>
      <c r="AH216" s="1053"/>
      <c r="AI216" s="1066"/>
      <c r="AJ216" s="1067"/>
      <c r="AK216" s="156" t="str">
        <f t="shared" ca="1" si="2393"/>
        <v/>
      </c>
      <c r="AL216" s="1039"/>
      <c r="AM216" s="343" t="str">
        <f ca="1">IFERROR(Q215/12*ROUND(VLOOKUP(AF216,OFFSET(SSM,0,1),6,FALSE),2),"")</f>
        <v/>
      </c>
      <c r="AN216" t="str">
        <f t="shared" ca="1" si="2409"/>
        <v/>
      </c>
      <c r="AP216" s="122" t="str">
        <f t="shared" ref="AP216" si="3430">_xlfn.CONCAT(AR216,AS220)</f>
        <v/>
      </c>
      <c r="AQ216" s="683" t="str">
        <f t="shared" si="2617"/>
        <v/>
      </c>
      <c r="AR216" s="96" t="str">
        <f t="shared" si="2378"/>
        <v/>
      </c>
      <c r="AS216" s="96" t="str">
        <f>IF(COUNTIF(Vista_1,AF215)=1,"Vista_1",IF(COUNTIF(Vista_2,AF215)=1,"Vista_2",""))</f>
        <v/>
      </c>
      <c r="AT216" s="684" t="str">
        <f>AL215</f>
        <v/>
      </c>
      <c r="AU216" s="694" t="e">
        <f t="shared" ref="AU216" ca="1" si="3431">AU215-1</f>
        <v>#REF!</v>
      </c>
      <c r="AV216" s="686" t="str">
        <f ca="1">IFERROR(VLOOKUP(AU216,INDIRECT(AQ215),2,FALSE),"----")</f>
        <v>----</v>
      </c>
      <c r="AW216" s="694" t="e">
        <f t="shared" ref="AW216:AW217" ca="1" si="3432">AW215-1</f>
        <v>#REF!</v>
      </c>
      <c r="AX216" s="686" t="str">
        <f ca="1">IFERROR(VLOOKUP(AW216,INDIRECT(AQ216),2,FALSE),"----")</f>
        <v>----</v>
      </c>
      <c r="AY216" s="694" t="e">
        <f t="shared" ref="AY216:AY217" ca="1" si="3433">AY215-1</f>
        <v>#REF!</v>
      </c>
      <c r="AZ216" s="686" t="str">
        <f ca="1">IFERROR(VLOOKUP(AY216,INDIRECT(AQ217),2,FALSE),"----")</f>
        <v>----</v>
      </c>
      <c r="BA216" s="694" t="e">
        <f t="shared" ref="BA216:BA217" ca="1" si="3434">BA215-1</f>
        <v>#REF!</v>
      </c>
      <c r="BB216" s="686" t="str">
        <f ca="1">IFERROR(VLOOKUP(BA216,INDIRECT(AQ218),2,FALSE),"----")</f>
        <v>----</v>
      </c>
      <c r="BC216" s="694" t="e">
        <f t="shared" ref="BC216:BC217" ca="1" si="3435">BC215-1</f>
        <v>#REF!</v>
      </c>
      <c r="BD216" s="686" t="str">
        <f ca="1">IFERROR(VLOOKUP(BC216,INDIRECT(AQ219),2,FALSE),"----")</f>
        <v>----</v>
      </c>
      <c r="BE216" s="694" t="e">
        <f t="shared" ref="BE216" ca="1" si="3436">BE215-1</f>
        <v>#REF!</v>
      </c>
      <c r="BF216" s="686" t="str">
        <f ca="1">IFERROR(VLOOKUP(BE216,INDIRECT(AQ220),2,FALSE),"----")</f>
        <v>----</v>
      </c>
      <c r="BG216" s="694" t="e">
        <f t="shared" ref="BG216" ca="1" si="3437">BG215-1</f>
        <v>#REF!</v>
      </c>
      <c r="BH216" s="686" t="str">
        <f ca="1">IFERROR(VLOOKUP(BG216,INDIRECT(AQ221),2,FALSE),"----")</f>
        <v>----</v>
      </c>
      <c r="BI216" s="694" t="e">
        <f t="shared" ref="BI216:BI217" ca="1" si="3438">BI215-1</f>
        <v>#REF!</v>
      </c>
      <c r="BJ216" s="686" t="str">
        <f ca="1">IFERROR(VLOOKUP(BI216,INDIRECT(AQ222),2,FALSE),"----")</f>
        <v>----</v>
      </c>
      <c r="BK216" s="694" t="e">
        <f t="shared" ref="BK216:BK217" ca="1" si="3439">BK215-1</f>
        <v>#REF!</v>
      </c>
      <c r="BL216" s="686" t="str">
        <f ca="1">IFERROR(VLOOKUP(BK216,INDIRECT(AQ223),2,FALSE),"----")</f>
        <v>----</v>
      </c>
      <c r="BM216" s="694" t="e">
        <f t="shared" ref="BM216:BM217" ca="1" si="3440">BM215-1</f>
        <v>#REF!</v>
      </c>
      <c r="BN216" s="686" t="str">
        <f ca="1">IFERROR(VLOOKUP(BM216,INDIRECT(AQ224),2,FALSE),"----")</f>
        <v>----</v>
      </c>
      <c r="BO216" s="694" t="e">
        <f t="shared" ref="BO216:BO217" ca="1" si="3441">BO215-1</f>
        <v>#REF!</v>
      </c>
      <c r="BP216" s="686" t="str">
        <f ca="1">IFERROR(VLOOKUP(BO216,INDIRECT(AQ225),2,FALSE),"----")</f>
        <v>----</v>
      </c>
      <c r="BQ216" s="694" t="e">
        <f t="shared" ref="BQ216" ca="1" si="3442">BQ215-1</f>
        <v>#REF!</v>
      </c>
      <c r="BR216" s="686" t="str">
        <f ca="1">IFERROR(VLOOKUP(BQ216,INDIRECT(AQ226),2,FALSE),"----")</f>
        <v>----</v>
      </c>
      <c r="BS216" s="695">
        <f>IF(AI216="",1,IF(COUNTIF(AX215:AX226,AI216)=0,2,1))</f>
        <v>1</v>
      </c>
      <c r="BT216" s="696">
        <f>IF(AF216="",1,IF(AX215=".",2,1))</f>
        <v>1</v>
      </c>
      <c r="BU216" s="706"/>
      <c r="BV216" s="155">
        <f ca="1">IF(COUNTIF(CJ215:CJ226,AF216)=0,IF(AF216&lt;&gt;"",0,1),1)</f>
        <v>1</v>
      </c>
      <c r="BW216" s="157">
        <f ca="1">IFERROR(MATCH(AF216,CJ215:CJ226,0),1)</f>
        <v>1</v>
      </c>
      <c r="BX216" s="769"/>
      <c r="BY216" s="769"/>
      <c r="BZ216" s="1110"/>
      <c r="CA216" s="691" t="e">
        <f t="shared" ref="CA216:CA226" ca="1" si="3443">CA215-1</f>
        <v>#REF!</v>
      </c>
      <c r="CB216" s="4" t="e" cm="1">
        <f t="array" aca="1" ref="CB216" ca="1">IF(AND(INDEX(INDIRECT(BY215),CA216,4)&gt;=$AB215,INDEX(INDIRECT(BY215),CA216,5)&gt;=$S215,INDEX(INDIRECT(BY215),CA216,6)&gt;=$R215),1,0)</f>
        <v>#REF!</v>
      </c>
      <c r="CC216" s="4" t="e">
        <f t="shared" ref="CC216" ca="1" si="3444">MATCH(1,OFFSET(CB215:CB226,CD215,0,COUNT(CB215:CB226)-CD215),0)</f>
        <v>#REF!</v>
      </c>
      <c r="CD216" s="4" t="e">
        <f t="shared" ref="CD216:CD226" ca="1" si="3445">CD215+CC216</f>
        <v>#REF!</v>
      </c>
      <c r="CE216" s="692" t="str" cm="1">
        <f t="array" aca="1" ref="CE216" ca="1">IFERROR(VLOOKUP(INDEX(CA215:CA226,CD216),INDIRECT(BY215),2,FALSE),"----")</f>
        <v>----</v>
      </c>
      <c r="CF216" s="691" t="e">
        <f t="shared" ref="CF216:CF226" ca="1" si="3446">CF215-1</f>
        <v>#N/A</v>
      </c>
      <c r="CG216" s="4" t="e">
        <f ca="1">IF(AND(INDEX(SSM,CF216,4)&gt;=$AB215,INDEX(SSM,CF216,5)&gt;=$S215,INDEX(SSM,CF216,6)&gt;=$R215),1,0)</f>
        <v>#N/A</v>
      </c>
      <c r="CH216" s="4" t="e">
        <f t="shared" ref="CH216" ca="1" si="3447">MATCH(1,OFFSET(CG215:CG226,CI215,0,COUNT(CG215:CG226)-CI215),0)</f>
        <v>#REF!</v>
      </c>
      <c r="CI216" s="4" t="e">
        <f t="shared" ref="CI216:CI226" ca="1" si="3448">CI215+CH216</f>
        <v>#REF!</v>
      </c>
      <c r="CJ216" s="692" t="str">
        <f ca="1">IFERROR(IF(AD216="Nested Steel Stud (wood infill)",VLOOKUP(INDEX(CF215:CF226,CI216),SSW,2,FALSE),VLOOKUP(INDEX(CF215:CF226,CI216),SSM,2,FALSE)),"----")</f>
        <v>----</v>
      </c>
      <c r="CK216" s="691" t="e">
        <f t="shared" ref="CK216:CK226" ca="1" si="3449">CK215-1</f>
        <v>#N/A</v>
      </c>
      <c r="CL216" s="4" t="e">
        <f ca="1">IF(AND(INDEX(WSM,CK216,4)&gt;=$AB215,INDEX(WSM,CK216,5)&gt;=$S215,INDEX(WSM,CK216,6)&gt;=$R215),1,0)</f>
        <v>#N/A</v>
      </c>
      <c r="CM216" s="4" t="e">
        <f t="shared" ref="CM216" ca="1" si="3450">MATCH(1,OFFSET(CL215:CL226,CN215,0,COUNT(CL215:CL226)-CN215),0)</f>
        <v>#REF!</v>
      </c>
      <c r="CN216" s="4" t="e">
        <f t="shared" ref="CN216:CN226" ca="1" si="3451">CM216+CN215</f>
        <v>#REF!</v>
      </c>
      <c r="CO216" s="692" t="str">
        <f ca="1">IFERROR(VLOOKUP(INDEX(CK215:CK226,CN216),WSM,2,FALSE),"----")</f>
        <v>----</v>
      </c>
      <c r="CP216" s="691" t="e">
        <f t="shared" ref="CP216:CP226" ca="1" si="3452">CP215-1</f>
        <v>#N/A</v>
      </c>
      <c r="CQ216" s="4" t="e">
        <f ca="1">IF(AND(INDEX(STM,CP216,4)&gt;=$AB215,INDEX(STM,CP216,5)&gt;=$S215,INDEX(STM,CP216,6)&gt;=$R215),1,0)</f>
        <v>#N/A</v>
      </c>
      <c r="CR216" s="4" t="e">
        <f t="shared" ref="CR216" ca="1" si="3453">MATCH(1,OFFSET(CQ215:CQ226,CS215,0,COUNT(CQ215:CQ226)-CS215),0)</f>
        <v>#REF!</v>
      </c>
      <c r="CS216" s="4" t="e">
        <f t="shared" ref="CS216:CS226" ca="1" si="3454">CR216+CS215</f>
        <v>#REF!</v>
      </c>
      <c r="CT216" s="692" t="str">
        <f ca="1">IFERROR(VLOOKUP(INDEX(CP215:CP226,CS216),STM,2,FALSE),"----")</f>
        <v>----</v>
      </c>
      <c r="CU216" s="691" t="e">
        <f t="shared" ref="CU216:CU226" ca="1" si="3455">CU215-1</f>
        <v>#N/A</v>
      </c>
      <c r="CV216" s="4" t="e">
        <f ca="1">IF(AND(INDEX(ELM,CU216,4)&gt;=$AB215,INDEX(ELM,CU216,5)&gt;=$S215,INDEX(ELM,CU216,6)&gt;=$R215),1,0)</f>
        <v>#N/A</v>
      </c>
      <c r="CW216" s="4" t="e">
        <f t="shared" ref="CW216" ca="1" si="3456">MATCH(1,OFFSET(CV215:CV226,CX215,0,COUNT(CV215:CV226)-CX215),0)</f>
        <v>#REF!</v>
      </c>
      <c r="CX216" s="4" t="e">
        <f t="shared" ref="CX216:CX226" ca="1" si="3457">CW216+CX215</f>
        <v>#REF!</v>
      </c>
      <c r="CY216" s="692" t="str">
        <f ca="1">IFERROR(VLOOKUP(INDEX(CU215:CU226,CX216),ELM,2,FALSE),"----")</f>
        <v>----</v>
      </c>
      <c r="CZ216" s="691" t="e">
        <f t="shared" ref="CZ216:CZ226" ca="1" si="3458">CZ215-1</f>
        <v>#N/A</v>
      </c>
      <c r="DA216" s="4" t="e">
        <f ca="1">IF(LEFT($J215,7)="Clad Wo",IF(AND(INDEX(SPPWS,CZ216,4)&gt;=$AB215,INDEX(SPPWS,CZ216,5)&gt;=$S215,INDEX(SPPWS,CZ216,6)&gt;=$R215),1,0),IF(AND(INDEX(SPM,CZ216,4)&gt;=$AB215,INDEX(SPM,CZ216,5)&gt;=$S215,INDEX(SPM,CZ216,6)&gt;=$R215),1,0))</f>
        <v>#N/A</v>
      </c>
      <c r="DB216" s="4" t="e">
        <f t="shared" ref="DB216" ca="1" si="3459">MATCH(1,OFFSET(DA215:DA226,DC215,0,COUNT(DA215:DA226)-DC215),0)</f>
        <v>#REF!</v>
      </c>
      <c r="DC216" s="4" t="e">
        <f t="shared" ref="DC216:DC226" ca="1" si="3460">DC215+DB216</f>
        <v>#REF!</v>
      </c>
      <c r="DD216" s="693" t="str">
        <f ca="1">IF(LEFT($J215,7)="Clad Wo",IFERROR(VLOOKUP(INDEX(CZ215:CZ226,DC216),SPPWS,2,FALSE),"----"),IFERROR(VLOOKUP(INDEX(CZ215:CZ226,DC216),SPM,2,FALSE),"----"))</f>
        <v>----</v>
      </c>
      <c r="DE216" s="691" t="e">
        <f t="shared" ref="DE216:DE226" ca="1" si="3461">DE215-1</f>
        <v>#REF!</v>
      </c>
      <c r="DF216" s="4" t="e" cm="1">
        <f t="array" aca="1" ref="DF216" ca="1">IF(AND(INDEX(INDIRECT(BY215),DE216,4)&gt;=$AB221,INDEX(INDIRECT(BY215),DE216,5)&gt;=$S215,INDEX(INDIRECT(BY215),DE216,6)&gt;=$R215),1,0)</f>
        <v>#REF!</v>
      </c>
      <c r="DG216" s="4" t="e">
        <f t="shared" ref="DG216" ca="1" si="3462">MATCH(1,OFFSET(DF215:DF226,DH215,0,COUNT(DF215:DF226)-DH215),0)</f>
        <v>#REF!</v>
      </c>
      <c r="DH216" s="4" t="e">
        <f t="shared" ref="DH216:DH226" ca="1" si="3463">DH215+DG216</f>
        <v>#REF!</v>
      </c>
      <c r="DI216" s="692" t="str" cm="1">
        <f t="array" aca="1" ref="DI216" ca="1">IFERROR(VLOOKUP(INDEX(DE215:DE226,DH216),INDIRECT(BY215),2,FALSE),"----")</f>
        <v>----</v>
      </c>
      <c r="DJ216" s="691" t="e">
        <f t="shared" ref="DJ216:DJ226" ca="1" si="3464">DJ215-1</f>
        <v>#N/A</v>
      </c>
      <c r="DK216" s="4" t="e">
        <f ca="1">IF(AND(INDEX(SSM,DJ216,4)&gt;=$AB221,INDEX(SSM,DJ216,5)&gt;=$S215,INDEX(SSM,DJ216,6)&gt;=$R215),1,0)</f>
        <v>#N/A</v>
      </c>
      <c r="DL216" s="4" t="e">
        <f t="shared" ref="DL216" ca="1" si="3465">MATCH(1,OFFSET(DK215:DK226,DM215,0,COUNT(DK215:DK226)-DM215),0)</f>
        <v>#REF!</v>
      </c>
      <c r="DM216" s="4" t="e">
        <f t="shared" ref="DM216:DM226" ca="1" si="3466">DL216+DM215</f>
        <v>#REF!</v>
      </c>
      <c r="DN216" s="692" t="str">
        <f ca="1">IFERROR(IF(AD222="Nested Steel Stud (wood infill)",VLOOKUP(INDEX(DJ215:DJ226,DM216),SSW,2,FALSE),VLOOKUP(INDEX(DJ215:DJ226,DM216),SSM,2,FALSE)),"----")</f>
        <v>----</v>
      </c>
      <c r="DO216" s="691" t="e">
        <f t="shared" ref="DO216:DO226" ca="1" si="3467">DO215-1</f>
        <v>#N/A</v>
      </c>
      <c r="DP216" s="4" t="e">
        <f ca="1">IF(AND(INDEX(WSM,DO216,4)&gt;=$AB221,INDEX(WSM,DO216,5)&gt;=$S215,INDEX(WSM,DO216,6)&gt;=$R215),1,0)</f>
        <v>#N/A</v>
      </c>
      <c r="DQ216" s="4" t="e">
        <f t="shared" ref="DQ216" ca="1" si="3468">MATCH(1,OFFSET(DP215:DP226,DR215,0,COUNT(DP215:DP226)-DR215),0)</f>
        <v>#REF!</v>
      </c>
      <c r="DR216" s="4" t="e">
        <f t="shared" ref="DR216:DR226" ca="1" si="3469">DQ216+DR215</f>
        <v>#REF!</v>
      </c>
      <c r="DS216" s="692" t="str">
        <f ca="1">IFERROR(VLOOKUP(INDEX(DO215:DO226,DR216),WSM,2,FALSE),"----")</f>
        <v>----</v>
      </c>
      <c r="DT216" s="691" t="e">
        <f t="shared" ref="DT216:DT226" ca="1" si="3470">DT215-1</f>
        <v>#N/A</v>
      </c>
      <c r="DU216" s="4" t="e">
        <f ca="1">IF(AND(INDEX(STM,DT216,4)&gt;=$AB221,INDEX(STM,DT216,5)&gt;=$S215,INDEX(STM,DT216,6)&gt;=$R215),1,0)</f>
        <v>#N/A</v>
      </c>
      <c r="DV216" s="4" t="e">
        <f t="shared" ref="DV216" ca="1" si="3471">MATCH(1,OFFSET(DU215:DU226,DW215,0,COUNT(DU215:DU226)-DW215),0)</f>
        <v>#REF!</v>
      </c>
      <c r="DW216" s="4" t="e">
        <f t="shared" ref="DW216:DW226" ca="1" si="3472">DV216+DW215</f>
        <v>#REF!</v>
      </c>
      <c r="DX216" s="692" t="str">
        <f ca="1">IFERROR(VLOOKUP(INDEX(DT215:DT226,DW216),STM,2,FALSE),"----")</f>
        <v>----</v>
      </c>
      <c r="DY216" s="691" t="e">
        <f t="shared" ref="DY216:DY226" ca="1" si="3473">DY215-1</f>
        <v>#N/A</v>
      </c>
      <c r="DZ216" s="4" t="e">
        <f ca="1">IF(AND(INDEX(ELM,DY216,4)&gt;=$AB221,INDEX(ELM,DY216,5)&gt;=$S215,INDEX(ELM,DY216,6)&gt;=$R215),1,0)</f>
        <v>#N/A</v>
      </c>
      <c r="EA216" s="4" t="e">
        <f t="shared" ref="EA216" ca="1" si="3474">MATCH(1,OFFSET(DZ215:DZ226,EB215,0,COUNT(DZ215:DZ226)-EB215),0)</f>
        <v>#REF!</v>
      </c>
      <c r="EB216" s="4" t="e">
        <f t="shared" ref="EB216:EB226" ca="1" si="3475">EA216+EB215</f>
        <v>#REF!</v>
      </c>
      <c r="EC216" s="692" t="str">
        <f ca="1">IFERROR(VLOOKUP(INDEX(DY215:DY226,EB216),ELM,2,FALSE),"----")</f>
        <v>----</v>
      </c>
      <c r="ED216" s="691" t="e">
        <f t="shared" ref="ED216:ED226" ca="1" si="3476">ED215-1</f>
        <v>#N/A</v>
      </c>
      <c r="EE216" s="4" t="e">
        <f ca="1">IF(LEFT($J215,7)="Clad Wo",IF(AND(INDEX(SPPWS,ED216,4)&gt;=$AB221,INDEX(SPPWS,ED216,5)&gt;=$S215,INDEX(SPPWS,ED216,6)&gt;=$R215),1,0),IF(AND(INDEX(SPM,ED216,4)&gt;=$AB221,INDEX(SPM,ED216,5)&gt;=$S215,INDEX(SPM,ED216,6)&gt;=$R215),1,0))</f>
        <v>#N/A</v>
      </c>
      <c r="EF216" s="4" t="e">
        <f t="shared" ref="EF216" ca="1" si="3477">MATCH(1,OFFSET(EE215:EE226,EG215,0,COUNT(EE215:EE226)-EG215),0)</f>
        <v>#REF!</v>
      </c>
      <c r="EG216" s="4" t="e">
        <f t="shared" ref="EG216:EG226" ca="1" si="3478">EG215+EF216</f>
        <v>#REF!</v>
      </c>
      <c r="EH216" s="692" t="str">
        <f ca="1">IF(LEFT($J215,7)="Clad Wo",IFERROR(VLOOKUP(INDEX(ED215:ED226,EG216),SPPWS,2,FALSE),"----"),IFERROR(VLOOKUP(INDEX(ED215:ED226,EG216),SPM,2,FALSE),"----"))</f>
        <v>----</v>
      </c>
    </row>
    <row r="217" spans="1:138" ht="15" customHeight="1" x14ac:dyDescent="0.25">
      <c r="A217" s="1085"/>
      <c r="B217" s="925"/>
      <c r="C217" s="926"/>
      <c r="D217" s="927"/>
      <c r="E217" s="995"/>
      <c r="F217" s="996"/>
      <c r="G217" s="997"/>
      <c r="H217" s="1062"/>
      <c r="I217" s="990"/>
      <c r="J217" s="908"/>
      <c r="K217" s="909"/>
      <c r="L217" s="1002"/>
      <c r="M217" s="923"/>
      <c r="N217" s="1042"/>
      <c r="O217" s="1018"/>
      <c r="P217" s="987"/>
      <c r="Q217" s="1015"/>
      <c r="R217" s="1012"/>
      <c r="S217" s="1006"/>
      <c r="T217" s="1007"/>
      <c r="U217" s="878"/>
      <c r="V217" s="881"/>
      <c r="W217" s="884"/>
      <c r="X217" s="884"/>
      <c r="Y217" s="887"/>
      <c r="Z217" s="887"/>
      <c r="AA217" s="887"/>
      <c r="AB217" s="1081"/>
      <c r="AC217" s="1078"/>
      <c r="AD217" s="1070" t="s">
        <v>333</v>
      </c>
      <c r="AE217" s="1071"/>
      <c r="AF217" s="1052"/>
      <c r="AG217" s="1053"/>
      <c r="AH217" s="1053"/>
      <c r="AI217" s="1066"/>
      <c r="AJ217" s="1067"/>
      <c r="AK217" s="154" t="str">
        <f t="shared" ca="1" si="2393"/>
        <v/>
      </c>
      <c r="AL217" s="1039"/>
      <c r="AM217" s="344" t="str">
        <f ca="1">IFERROR(Q215/12*ROUND(VLOOKUP(AF217,OFFSET(WSM,0,1),6,FALSE),2),"")</f>
        <v/>
      </c>
      <c r="AN217" t="str">
        <f t="shared" ca="1" si="2409"/>
        <v/>
      </c>
      <c r="AP217" s="122" t="str">
        <f t="shared" ref="AP217" si="3479">_xlfn.CONCAT(AR217,AS220)</f>
        <v/>
      </c>
      <c r="AQ217" s="683" t="str">
        <f t="shared" si="2617"/>
        <v/>
      </c>
      <c r="AR217" s="4" t="str">
        <f t="shared" si="2378"/>
        <v/>
      </c>
      <c r="AS217" s="4"/>
      <c r="AT217" s="697" t="str">
        <f>AL215</f>
        <v/>
      </c>
      <c r="AU217" s="694" t="e">
        <f t="shared" ca="1" si="2633"/>
        <v>#REF!</v>
      </c>
      <c r="AV217" s="686" t="str">
        <f ca="1">IFERROR(VLOOKUP(AU217,INDIRECT(AQ215),2,FALSE),"----")</f>
        <v>----</v>
      </c>
      <c r="AW217" s="694" t="e">
        <f t="shared" ca="1" si="3432"/>
        <v>#REF!</v>
      </c>
      <c r="AX217" s="686" t="str">
        <f ca="1">IFERROR(VLOOKUP(AW217,INDIRECT(AQ216),2,FALSE),"----")</f>
        <v>----</v>
      </c>
      <c r="AY217" s="694" t="e">
        <f t="shared" ca="1" si="3433"/>
        <v>#REF!</v>
      </c>
      <c r="AZ217" s="686" t="str">
        <f ca="1">IFERROR(VLOOKUP(AY217,INDIRECT(AQ217),2,FALSE),"----")</f>
        <v>----</v>
      </c>
      <c r="BA217" s="694" t="e">
        <f t="shared" ca="1" si="3434"/>
        <v>#REF!</v>
      </c>
      <c r="BB217" s="686" t="str">
        <f ca="1">IFERROR(VLOOKUP(BA217,INDIRECT(AQ218),2,FALSE),"----")</f>
        <v>----</v>
      </c>
      <c r="BC217" s="694" t="e">
        <f t="shared" ca="1" si="3435"/>
        <v>#REF!</v>
      </c>
      <c r="BD217" s="686" t="str">
        <f ca="1">IFERROR(VLOOKUP(BC217,INDIRECT(AQ219),2,FALSE),"----")</f>
        <v>----</v>
      </c>
      <c r="BE217" s="694" t="e">
        <f t="shared" ca="1" si="2636"/>
        <v>#REF!</v>
      </c>
      <c r="BF217" s="686" t="str">
        <f ca="1">IFERROR(VLOOKUP(BE217,INDIRECT(AQ220),2,FALSE),"----")</f>
        <v>----</v>
      </c>
      <c r="BG217" s="694" t="e">
        <f t="shared" ca="1" si="2637"/>
        <v>#REF!</v>
      </c>
      <c r="BH217" s="686" t="str">
        <f ca="1">IFERROR(VLOOKUP(BG217,INDIRECT(AQ221),2,FALSE),"----")</f>
        <v>----</v>
      </c>
      <c r="BI217" s="694" t="e">
        <f t="shared" ca="1" si="3438"/>
        <v>#REF!</v>
      </c>
      <c r="BJ217" s="686" t="str">
        <f ca="1">IFERROR(VLOOKUP(BI217,INDIRECT(AQ222),2,FALSE),"----")</f>
        <v>----</v>
      </c>
      <c r="BK217" s="694" t="e">
        <f t="shared" ca="1" si="3439"/>
        <v>#REF!</v>
      </c>
      <c r="BL217" s="686" t="str">
        <f ca="1">IFERROR(VLOOKUP(BK217,INDIRECT(AQ223),2,FALSE),"----")</f>
        <v>----</v>
      </c>
      <c r="BM217" s="694" t="e">
        <f t="shared" ca="1" si="3440"/>
        <v>#REF!</v>
      </c>
      <c r="BN217" s="686" t="str">
        <f ca="1">IFERROR(VLOOKUP(BM217,INDIRECT(AQ224),2,FALSE),"----")</f>
        <v>----</v>
      </c>
      <c r="BO217" s="694" t="e">
        <f t="shared" ca="1" si="3441"/>
        <v>#REF!</v>
      </c>
      <c r="BP217" s="686" t="str">
        <f ca="1">IFERROR(VLOOKUP(BO217,INDIRECT(AQ225),2,FALSE),"----")</f>
        <v>----</v>
      </c>
      <c r="BQ217" s="694" t="e">
        <f t="shared" ca="1" si="2642"/>
        <v>#REF!</v>
      </c>
      <c r="BR217" s="686" t="str">
        <f ca="1">IFERROR(VLOOKUP(BQ217,INDIRECT(AQ226),2,FALSE),"----")</f>
        <v>----</v>
      </c>
      <c r="BS217" s="695">
        <f>IF(AI217="",1,IF(COUNTIF(AZ215:AZ226,AI217)=0,2,1))</f>
        <v>1</v>
      </c>
      <c r="BT217" s="696">
        <f>IF(AF217="",1,IF(AZ215=".",2,1))</f>
        <v>1</v>
      </c>
      <c r="BU217" s="706"/>
      <c r="BV217" s="155">
        <f ca="1">IF(COUNTIF(CO215:CO226,AF217)=0,IF(AF217&lt;&gt;"",0,1),1)</f>
        <v>1</v>
      </c>
      <c r="BW217" s="157">
        <f ca="1">IFERROR(MATCH(AF217,CO215:CO226,0),1)</f>
        <v>1</v>
      </c>
      <c r="BX217" s="769"/>
      <c r="BY217" s="769"/>
      <c r="BZ217" s="1110"/>
      <c r="CA217" s="691" t="e">
        <f t="shared" ca="1" si="3443"/>
        <v>#REF!</v>
      </c>
      <c r="CB217" s="4" t="e" cm="1">
        <f t="array" aca="1" ref="CB217" ca="1">IF(AND(INDEX(INDIRECT(BY215),CA217,4)&gt;=$AB215,INDEX(INDIRECT(BY215),CA217,5)&gt;=$S215,INDEX(INDIRECT(BY215),CA217,6)&gt;=$R215),1,0)</f>
        <v>#REF!</v>
      </c>
      <c r="CC217" s="4" t="e">
        <f t="shared" ref="CC217" ca="1" si="3480">MATCH(1,OFFSET(CB215:CB226,CD216,0,COUNT(CB215:CB226)-CD216),0)</f>
        <v>#REF!</v>
      </c>
      <c r="CD217" s="4" t="e">
        <f t="shared" ca="1" si="3445"/>
        <v>#REF!</v>
      </c>
      <c r="CE217" s="692" t="str" cm="1">
        <f t="array" aca="1" ref="CE217" ca="1">IFERROR(VLOOKUP(INDEX(CA215:CA226,CD217),INDIRECT(BY215),2,FALSE),"----")</f>
        <v>----</v>
      </c>
      <c r="CF217" s="691" t="e">
        <f t="shared" ca="1" si="3446"/>
        <v>#N/A</v>
      </c>
      <c r="CG217" s="4" t="e">
        <f ca="1">IF(AND(INDEX(SSM,CF217,4)&gt;=$AB215,INDEX(SSM,CF217,5)&gt;=$S215,INDEX(SSM,CF217,6)&gt;=$R215),1,0)</f>
        <v>#N/A</v>
      </c>
      <c r="CH217" s="4" t="e">
        <f t="shared" ref="CH217" ca="1" si="3481">MATCH(1,OFFSET(CG215:CG226,CI216,0,COUNT(CG215:CG226)-CI216),0)</f>
        <v>#REF!</v>
      </c>
      <c r="CI217" s="4" t="e">
        <f t="shared" ca="1" si="3448"/>
        <v>#REF!</v>
      </c>
      <c r="CJ217" s="692" t="str">
        <f ca="1">IFERROR(IF(AD216="Nested Steel Stud (wood infill)",VLOOKUP(INDEX(CF215:CF226,CI217),SSW,2,FALSE),VLOOKUP(INDEX(CF215:CF226,CI217),SSM,2,FALSE)),"----")</f>
        <v>----</v>
      </c>
      <c r="CK217" s="691" t="e">
        <f t="shared" ca="1" si="3449"/>
        <v>#N/A</v>
      </c>
      <c r="CL217" s="4" t="e">
        <f ca="1">IF(AND(INDEX(WSM,CK217,4)&gt;=$AB215,INDEX(WSM,CK217,5)&gt;=$S215,INDEX(WSM,CK217,6)&gt;=$R215),1,0)</f>
        <v>#N/A</v>
      </c>
      <c r="CM217" s="4" t="e">
        <f t="shared" ref="CM217" ca="1" si="3482">MATCH(1,OFFSET(CL215:CL226,CN216,0,COUNT(CL215:CL226)-CN216),0)</f>
        <v>#REF!</v>
      </c>
      <c r="CN217" s="4" t="e">
        <f t="shared" ca="1" si="3451"/>
        <v>#REF!</v>
      </c>
      <c r="CO217" s="692" t="str">
        <f ca="1">IFERROR(VLOOKUP(INDEX(CK215:CK226,CN217),WSM,2,FALSE),"----")</f>
        <v>----</v>
      </c>
      <c r="CP217" s="691" t="e">
        <f t="shared" ca="1" si="3452"/>
        <v>#N/A</v>
      </c>
      <c r="CQ217" s="4" t="e">
        <f ca="1">IF(AND(INDEX(STM,CP217,4)&gt;=$AB215,INDEX(STM,CP217,5)&gt;=$S215,INDEX(STM,CP217,6)&gt;=$R215),1,0)</f>
        <v>#N/A</v>
      </c>
      <c r="CR217" s="4" t="e">
        <f t="shared" ref="CR217" ca="1" si="3483">MATCH(1,OFFSET(CQ215:CQ226,CS216,0,COUNT(CQ215:CQ226)-CS216),0)</f>
        <v>#REF!</v>
      </c>
      <c r="CS217" s="4" t="e">
        <f t="shared" ca="1" si="3454"/>
        <v>#REF!</v>
      </c>
      <c r="CT217" s="692" t="str">
        <f ca="1">IFERROR(VLOOKUP(INDEX(CP215:CP226,CS217),STM,2,FALSE),"----")</f>
        <v>----</v>
      </c>
      <c r="CU217" s="691" t="e">
        <f t="shared" ca="1" si="3455"/>
        <v>#N/A</v>
      </c>
      <c r="CV217" s="4" t="e">
        <f ca="1">IF(AND(INDEX(ELM,CU217,4)&gt;=$AB215,INDEX(ELM,CU217,5)&gt;=$S215,INDEX(ELM,CU217,6)&gt;=$R215),1,0)</f>
        <v>#N/A</v>
      </c>
      <c r="CW217" s="4" t="e">
        <f t="shared" ref="CW217" ca="1" si="3484">MATCH(1,OFFSET(CV215:CV226,CX216,0,COUNT(CV215:CV226)-CX216),0)</f>
        <v>#REF!</v>
      </c>
      <c r="CX217" s="4" t="e">
        <f t="shared" ca="1" si="3457"/>
        <v>#REF!</v>
      </c>
      <c r="CY217" s="692" t="str">
        <f ca="1">IFERROR(VLOOKUP(INDEX(CU215:CU226,CX217),ELM,2,FALSE),"----")</f>
        <v>----</v>
      </c>
      <c r="CZ217" s="691" t="e">
        <f t="shared" ca="1" si="3458"/>
        <v>#N/A</v>
      </c>
      <c r="DA217" s="4" t="e">
        <f ca="1">IF(LEFT($J215,7)="Clad Wo",IF(AND(INDEX(SPPWS,CZ217,4)&gt;=$AB215,INDEX(SPPWS,CZ217,5)&gt;=$S215,INDEX(SPPWS,CZ217,6)&gt;=$R215),1,0),IF(AND(INDEX(SPM,CZ217,4)&gt;=$AB215,INDEX(SPM,CZ217,5)&gt;=$S215,INDEX(SPM,CZ217,6)&gt;=$R215),1,0))</f>
        <v>#N/A</v>
      </c>
      <c r="DB217" s="4" t="e">
        <f t="shared" ref="DB217" ca="1" si="3485">MATCH(1,OFFSET(DA215:DA226,DC216,0,COUNT(DA215:DA226)-DC216),0)</f>
        <v>#REF!</v>
      </c>
      <c r="DC217" s="4" t="e">
        <f t="shared" ca="1" si="3460"/>
        <v>#REF!</v>
      </c>
      <c r="DD217" s="693" t="str">
        <f ca="1">IF(LEFT($J215,7)="Clad Wo",IFERROR(VLOOKUP(INDEX(CZ215:CZ226,DC217),SPPWS,2,FALSE),"----"),IFERROR(VLOOKUP(INDEX(CZ215:CZ226,DC217),SPM,2,FALSE),"----"))</f>
        <v>----</v>
      </c>
      <c r="DE217" s="691" t="e">
        <f t="shared" ca="1" si="3461"/>
        <v>#REF!</v>
      </c>
      <c r="DF217" s="4" t="e" cm="1">
        <f t="array" aca="1" ref="DF217" ca="1">IF(AND(INDEX(INDIRECT(BY215),DE217,4)&gt;=$AB221,INDEX(INDIRECT(BY215),DE217,5)&gt;=$S215,INDEX(INDIRECT(BY215),DE217,6)&gt;=$R215),1,0)</f>
        <v>#REF!</v>
      </c>
      <c r="DG217" s="4" t="e">
        <f t="shared" ref="DG217" ca="1" si="3486">MATCH(1,OFFSET(DF215:DF226,DH216,0,COUNT(DF215:DF226)-DH216),0)</f>
        <v>#REF!</v>
      </c>
      <c r="DH217" s="4" t="e">
        <f t="shared" ca="1" si="3463"/>
        <v>#REF!</v>
      </c>
      <c r="DI217" s="692" t="str" cm="1">
        <f t="array" aca="1" ref="DI217" ca="1">IFERROR(VLOOKUP(INDEX(DE215:DE226,DH217),INDIRECT(BY215),2,FALSE),"----")</f>
        <v>----</v>
      </c>
      <c r="DJ217" s="691" t="e">
        <f t="shared" ca="1" si="3464"/>
        <v>#N/A</v>
      </c>
      <c r="DK217" s="4" t="e">
        <f ca="1">IF(AND(INDEX(SSM,DJ217,4)&gt;=$AB221,INDEX(SSM,DJ217,5)&gt;=$S215,INDEX(SSM,DJ217,6)&gt;=$R215),1,0)</f>
        <v>#N/A</v>
      </c>
      <c r="DL217" s="4" t="e">
        <f t="shared" ref="DL217" ca="1" si="3487">MATCH(1,OFFSET(DK215:DK226,DM216,0,COUNT(DK215:DK226)-DM216),0)</f>
        <v>#REF!</v>
      </c>
      <c r="DM217" s="4" t="e">
        <f t="shared" ca="1" si="3466"/>
        <v>#REF!</v>
      </c>
      <c r="DN217" s="692" t="str">
        <f ca="1">IFERROR(IF(AD222="Nested Steel Stud (wood infill)",VLOOKUP(INDEX(DJ215:DJ226,DM217),SSW,2,FALSE),VLOOKUP(INDEX(DJ215:DJ226,DM217),SSM,2,FALSE)),"----")</f>
        <v>----</v>
      </c>
      <c r="DO217" s="691" t="e">
        <f t="shared" ca="1" si="3467"/>
        <v>#N/A</v>
      </c>
      <c r="DP217" s="4" t="e">
        <f ca="1">IF(AND(INDEX(WSM,DO217,4)&gt;=$AB221,INDEX(WSM,DO217,5)&gt;=$S215,INDEX(WSM,DO217,6)&gt;=$R215),1,0)</f>
        <v>#N/A</v>
      </c>
      <c r="DQ217" s="4" t="e">
        <f t="shared" ref="DQ217" ca="1" si="3488">MATCH(1,OFFSET(DP215:DP226,DR216,0,COUNT(DP215:DP226)-DR216),0)</f>
        <v>#REF!</v>
      </c>
      <c r="DR217" s="4" t="e">
        <f t="shared" ca="1" si="3469"/>
        <v>#REF!</v>
      </c>
      <c r="DS217" s="692" t="str">
        <f ca="1">IFERROR(VLOOKUP(INDEX(DO215:DO226,DR217),WSM,2,FALSE),"----")</f>
        <v>----</v>
      </c>
      <c r="DT217" s="691" t="e">
        <f t="shared" ca="1" si="3470"/>
        <v>#N/A</v>
      </c>
      <c r="DU217" s="4" t="e">
        <f ca="1">IF(AND(INDEX(STM,DT217,4)&gt;=$AB221,INDEX(STM,DT217,5)&gt;=$S215,INDEX(STM,DT217,6)&gt;=$R215),1,0)</f>
        <v>#N/A</v>
      </c>
      <c r="DV217" s="4" t="e">
        <f t="shared" ref="DV217" ca="1" si="3489">MATCH(1,OFFSET(DU215:DU226,DW216,0,COUNT(DU215:DU226)-DW216),0)</f>
        <v>#REF!</v>
      </c>
      <c r="DW217" s="4" t="e">
        <f t="shared" ca="1" si="3472"/>
        <v>#REF!</v>
      </c>
      <c r="DX217" s="692" t="str">
        <f ca="1">IFERROR(VLOOKUP(INDEX(DT215:DT226,DW217),STM,2,FALSE),"----")</f>
        <v>----</v>
      </c>
      <c r="DY217" s="691" t="e">
        <f t="shared" ca="1" si="3473"/>
        <v>#N/A</v>
      </c>
      <c r="DZ217" s="4" t="e">
        <f ca="1">IF(AND(INDEX(ELM,DY217,4)&gt;=$AB221,INDEX(ELM,DY217,5)&gt;=$S215,INDEX(ELM,DY217,6)&gt;=$R215),1,0)</f>
        <v>#N/A</v>
      </c>
      <c r="EA217" s="4" t="e">
        <f t="shared" ref="EA217" ca="1" si="3490">MATCH(1,OFFSET(DZ215:DZ226,EB216,0,COUNT(DZ215:DZ226)-EB216),0)</f>
        <v>#REF!</v>
      </c>
      <c r="EB217" s="4" t="e">
        <f t="shared" ca="1" si="3475"/>
        <v>#REF!</v>
      </c>
      <c r="EC217" s="692" t="str">
        <f ca="1">IFERROR(VLOOKUP(INDEX(DY215:DY226,EB217),ELM,2,FALSE),"----")</f>
        <v>----</v>
      </c>
      <c r="ED217" s="691" t="e">
        <f t="shared" ca="1" si="3476"/>
        <v>#N/A</v>
      </c>
      <c r="EE217" s="4" t="e">
        <f ca="1">IF(LEFT($J215,7)="Clad Wo",IF(AND(INDEX(SPPWS,ED217,4)&gt;=$AB221,INDEX(SPPWS,ED217,5)&gt;=$S215,INDEX(SPPWS,ED217,6)&gt;=$R215),1,0),IF(AND(INDEX(SPM,ED217,4)&gt;=$AB221,INDEX(SPM,ED217,5)&gt;=$S215,INDEX(SPM,ED217,6)&gt;=$R215),1,0))</f>
        <v>#N/A</v>
      </c>
      <c r="EF217" s="4" t="e">
        <f t="shared" ref="EF217" ca="1" si="3491">MATCH(1,OFFSET(EE215:EE226,EG216,0,COUNT(EE215:EE226)-EG216),0)</f>
        <v>#REF!</v>
      </c>
      <c r="EG217" s="4" t="e">
        <f t="shared" ca="1" si="3478"/>
        <v>#REF!</v>
      </c>
      <c r="EH217" s="692" t="str">
        <f ca="1">IF(LEFT($J215,7)="Clad Wo",IFERROR(VLOOKUP(INDEX(ED215:ED226,EG217),SPPWS,2,FALSE),"----"),IFERROR(VLOOKUP(INDEX(ED215:ED226,EG217),SPM,2,FALSE),"----"))</f>
        <v>----</v>
      </c>
    </row>
    <row r="218" spans="1:138" ht="15" customHeight="1" x14ac:dyDescent="0.25">
      <c r="A218" s="1085"/>
      <c r="B218" s="925"/>
      <c r="C218" s="926"/>
      <c r="D218" s="927"/>
      <c r="E218" s="995"/>
      <c r="F218" s="996"/>
      <c r="G218" s="997"/>
      <c r="H218" s="1062"/>
      <c r="I218" s="990"/>
      <c r="J218" s="908"/>
      <c r="K218" s="909"/>
      <c r="L218" s="1002"/>
      <c r="M218" s="923"/>
      <c r="N218" s="1042"/>
      <c r="O218" s="1018"/>
      <c r="P218" s="987"/>
      <c r="Q218" s="1015"/>
      <c r="R218" s="1012"/>
      <c r="S218" s="1006"/>
      <c r="T218" s="1007"/>
      <c r="U218" s="878"/>
      <c r="V218" s="881"/>
      <c r="W218" s="884"/>
      <c r="X218" s="884"/>
      <c r="Y218" s="887"/>
      <c r="Z218" s="887"/>
      <c r="AA218" s="887"/>
      <c r="AB218" s="1081"/>
      <c r="AC218" s="1078"/>
      <c r="AD218" s="1070" t="s">
        <v>37</v>
      </c>
      <c r="AE218" s="1071"/>
      <c r="AF218" s="1052"/>
      <c r="AG218" s="1053"/>
      <c r="AH218" s="1053"/>
      <c r="AI218" s="1066"/>
      <c r="AJ218" s="1067"/>
      <c r="AK218" s="156" t="str">
        <f t="shared" ca="1" si="2393"/>
        <v/>
      </c>
      <c r="AL218" s="1039"/>
      <c r="AM218" s="343" t="str">
        <f ca="1">IFERROR(Q215/12*ROUND(VLOOKUP(AF218,OFFSET(STM,0,1),6,FALSE),2),"")</f>
        <v/>
      </c>
      <c r="AN218" t="str">
        <f t="shared" ca="1" si="2409"/>
        <v/>
      </c>
      <c r="AP218" s="122" t="str">
        <f t="shared" ref="AP218" si="3492">_xlfn.CONCAT(AR218,AS220)</f>
        <v/>
      </c>
      <c r="AQ218" s="683" t="str">
        <f t="shared" si="2617"/>
        <v/>
      </c>
      <c r="AR218" s="4" t="str">
        <f t="shared" si="2378"/>
        <v/>
      </c>
      <c r="AS218" s="4"/>
      <c r="AT218" s="697" t="str">
        <f>AL215</f>
        <v/>
      </c>
      <c r="AU218" s="694" t="e">
        <f t="shared" ca="1" si="2633"/>
        <v>#REF!</v>
      </c>
      <c r="AV218" s="686" t="str">
        <f ca="1">IFERROR(VLOOKUP(AU218,INDIRECT(AQ215),2,FALSE),"----")</f>
        <v>----</v>
      </c>
      <c r="AW218" s="694" t="e">
        <f t="shared" ca="1" si="2634"/>
        <v>#REF!</v>
      </c>
      <c r="AX218" s="686" t="str">
        <f ca="1">IFERROR(VLOOKUP(AW218,INDIRECT(AQ216),2,FALSE),"----")</f>
        <v>----</v>
      </c>
      <c r="AY218" s="694" t="e">
        <f t="shared" ref="AY218" ca="1" si="3493">AY217-1</f>
        <v>#REF!</v>
      </c>
      <c r="AZ218" s="686" t="str">
        <f ca="1">IFERROR(VLOOKUP(AY218,INDIRECT(AQ217),2,FALSE),"----")</f>
        <v>----</v>
      </c>
      <c r="BA218" s="694" t="e">
        <f t="shared" ref="BA218" ca="1" si="3494">BA217-1</f>
        <v>#REF!</v>
      </c>
      <c r="BB218" s="686" t="str">
        <f ca="1">IFERROR(VLOOKUP(BA218,INDIRECT(AQ218),2,FALSE),"----")</f>
        <v>----</v>
      </c>
      <c r="BC218" s="694" t="e">
        <f t="shared" ca="1" si="2635"/>
        <v>#REF!</v>
      </c>
      <c r="BD218" s="686" t="str">
        <f ca="1">IFERROR(VLOOKUP(BC218,INDIRECT(AQ219),2,FALSE),"----")</f>
        <v>----</v>
      </c>
      <c r="BE218" s="694" t="e">
        <f t="shared" ca="1" si="2636"/>
        <v>#REF!</v>
      </c>
      <c r="BF218" s="686" t="str">
        <f ca="1">IFERROR(VLOOKUP(BE218,INDIRECT(AQ220),2,FALSE),"----")</f>
        <v>----</v>
      </c>
      <c r="BG218" s="694" t="e">
        <f t="shared" ca="1" si="2637"/>
        <v>#REF!</v>
      </c>
      <c r="BH218" s="686" t="str">
        <f ca="1">IFERROR(VLOOKUP(BG218,INDIRECT(AQ221),2,FALSE),"----")</f>
        <v>----</v>
      </c>
      <c r="BI218" s="694" t="e">
        <f t="shared" ca="1" si="2638"/>
        <v>#REF!</v>
      </c>
      <c r="BJ218" s="686" t="str">
        <f ca="1">IFERROR(VLOOKUP(BI218,INDIRECT(AQ222),2,FALSE),"----")</f>
        <v>----</v>
      </c>
      <c r="BK218" s="694" t="e">
        <f t="shared" ca="1" si="2639"/>
        <v>#REF!</v>
      </c>
      <c r="BL218" s="686" t="str">
        <f ca="1">IFERROR(VLOOKUP(BK218,INDIRECT(AQ223),2,FALSE),"----")</f>
        <v>----</v>
      </c>
      <c r="BM218" s="694" t="e">
        <f t="shared" ca="1" si="2640"/>
        <v>#REF!</v>
      </c>
      <c r="BN218" s="686" t="str">
        <f ca="1">IFERROR(VLOOKUP(BM218,INDIRECT(AQ224),2,FALSE),"----")</f>
        <v>----</v>
      </c>
      <c r="BO218" s="694" t="e">
        <f t="shared" ca="1" si="2641"/>
        <v>#REF!</v>
      </c>
      <c r="BP218" s="686" t="str">
        <f ca="1">IFERROR(VLOOKUP(BO218,INDIRECT(AQ225),2,FALSE),"----")</f>
        <v>----</v>
      </c>
      <c r="BQ218" s="694" t="e">
        <f t="shared" ca="1" si="2642"/>
        <v>#REF!</v>
      </c>
      <c r="BR218" s="686" t="str">
        <f ca="1">IFERROR(VLOOKUP(BQ218,INDIRECT(AQ226),2,FALSE),"----")</f>
        <v>----</v>
      </c>
      <c r="BS218" s="695">
        <f>IF(AI218="",1,IF(COUNTIF(BB215:BB226,AI218)=0,2,1))</f>
        <v>1</v>
      </c>
      <c r="BT218" s="696">
        <f>IF(AF218="",1,IF(BB215=".",2,1))</f>
        <v>1</v>
      </c>
      <c r="BU218" s="706"/>
      <c r="BV218" s="155">
        <f ca="1">IF(COUNTIF(CT215:CT226,AF218)=0,IF(AF218&lt;&gt;"",0,1),1)</f>
        <v>1</v>
      </c>
      <c r="BW218" s="157">
        <f ca="1">IFERROR(MATCH(AF218,CT215:CT226,0),1)</f>
        <v>1</v>
      </c>
      <c r="BX218" s="769"/>
      <c r="BY218" s="769"/>
      <c r="BZ218" s="1110"/>
      <c r="CA218" s="691" t="e">
        <f t="shared" ca="1" si="3443"/>
        <v>#REF!</v>
      </c>
      <c r="CB218" s="4" t="e" cm="1">
        <f t="array" aca="1" ref="CB218" ca="1">IF(AND(INDEX(INDIRECT(BY215),CA218,4)&gt;=$AB215,INDEX(INDIRECT(BY215),CA218,5)&gt;=$S215,INDEX(INDIRECT(BY215),CA218,6)&gt;=$R215),1,0)</f>
        <v>#REF!</v>
      </c>
      <c r="CC218" s="4" t="e">
        <f t="shared" ref="CC218" ca="1" si="3495">MATCH(1,OFFSET(CB215:CB226,CD217,0,COUNT(CB215:CB226)-CD217),0)</f>
        <v>#REF!</v>
      </c>
      <c r="CD218" s="4" t="e">
        <f t="shared" ca="1" si="3445"/>
        <v>#REF!</v>
      </c>
      <c r="CE218" s="692" t="str" cm="1">
        <f t="array" aca="1" ref="CE218" ca="1">IFERROR(VLOOKUP(INDEX(CA215:CA226,CD218),INDIRECT(BY215),2,FALSE),"----")</f>
        <v>----</v>
      </c>
      <c r="CF218" s="691" t="e">
        <f t="shared" ca="1" si="3446"/>
        <v>#N/A</v>
      </c>
      <c r="CG218" s="4" t="e">
        <f ca="1">IF(AND(INDEX(SSM,CF218,4)&gt;=$AB215,INDEX(SSM,CF218,5)&gt;=$S215,INDEX(SSM,CF218,6)&gt;=$R215),1,0)</f>
        <v>#N/A</v>
      </c>
      <c r="CH218" s="4" t="e">
        <f t="shared" ref="CH218" ca="1" si="3496">MATCH(1,OFFSET(CG215:CG226,CI217,0,COUNT(CG215:CG226)-CI217),0)</f>
        <v>#REF!</v>
      </c>
      <c r="CI218" s="4" t="e">
        <f t="shared" ca="1" si="3448"/>
        <v>#REF!</v>
      </c>
      <c r="CJ218" s="692" t="str">
        <f ca="1">IFERROR(IF(AD216="Nested Steel Stud (wood infill)",VLOOKUP(INDEX(CF215:CF226,CI218),SSW,2,FALSE),VLOOKUP(INDEX(CF215:CF226,CI218),SSM,2,FALSE)),"----")</f>
        <v>----</v>
      </c>
      <c r="CK218" s="691" t="e">
        <f t="shared" ca="1" si="3449"/>
        <v>#N/A</v>
      </c>
      <c r="CL218" s="4" t="e">
        <f ca="1">IF(AND(INDEX(WSM,CK218,4)&gt;=$AB215,INDEX(WSM,CK218,5)&gt;=$S215,INDEX(WSM,CK218,6)&gt;=$R215),1,0)</f>
        <v>#N/A</v>
      </c>
      <c r="CM218" s="4" t="e">
        <f t="shared" ref="CM218" ca="1" si="3497">MATCH(1,OFFSET(CL215:CL226,CN217,0,COUNT(CL215:CL226)-CN217),0)</f>
        <v>#REF!</v>
      </c>
      <c r="CN218" s="4" t="e">
        <f t="shared" ca="1" si="3451"/>
        <v>#REF!</v>
      </c>
      <c r="CO218" s="692" t="str">
        <f ca="1">IFERROR(VLOOKUP(INDEX(CK215:CK226,CN218),WSM,2,FALSE),"----")</f>
        <v>----</v>
      </c>
      <c r="CP218" s="691" t="e">
        <f t="shared" ca="1" si="3452"/>
        <v>#N/A</v>
      </c>
      <c r="CQ218" s="4" t="e">
        <f ca="1">IF(AND(INDEX(STM,CP218,4)&gt;=$AB215,INDEX(STM,CP218,5)&gt;=$S215,INDEX(STM,CP218,6)&gt;=$R215),1,0)</f>
        <v>#N/A</v>
      </c>
      <c r="CR218" s="4" t="e">
        <f t="shared" ref="CR218" ca="1" si="3498">MATCH(1,OFFSET(CQ215:CQ226,CS217,0,COUNT(CQ215:CQ226)-CS217),0)</f>
        <v>#REF!</v>
      </c>
      <c r="CS218" s="4" t="e">
        <f t="shared" ca="1" si="3454"/>
        <v>#REF!</v>
      </c>
      <c r="CT218" s="692" t="str">
        <f ca="1">IFERROR(VLOOKUP(INDEX(CP215:CP226,CS218),STM,2,FALSE),"----")</f>
        <v>----</v>
      </c>
      <c r="CU218" s="691" t="e">
        <f t="shared" ca="1" si="3455"/>
        <v>#N/A</v>
      </c>
      <c r="CV218" s="4" t="e">
        <f ca="1">IF(AND(INDEX(ELM,CU218,4)&gt;=$AB215,INDEX(ELM,CU218,5)&gt;=$S215,INDEX(ELM,CU218,6)&gt;=$R215),1,0)</f>
        <v>#N/A</v>
      </c>
      <c r="CW218" s="4" t="e">
        <f t="shared" ref="CW218" ca="1" si="3499">MATCH(1,OFFSET(CV215:CV226,CX217,0,COUNT(CV215:CV226)-CX217),0)</f>
        <v>#REF!</v>
      </c>
      <c r="CX218" s="4" t="e">
        <f t="shared" ca="1" si="3457"/>
        <v>#REF!</v>
      </c>
      <c r="CY218" s="692" t="str">
        <f ca="1">IFERROR(VLOOKUP(INDEX(CU215:CU226,CX218),ELM,2,FALSE),"----")</f>
        <v>----</v>
      </c>
      <c r="CZ218" s="691" t="e">
        <f t="shared" ca="1" si="3458"/>
        <v>#N/A</v>
      </c>
      <c r="DA218" s="4" t="e">
        <f ca="1">IF(LEFT($J215,7)="Clad Wo",IF(AND(INDEX(SPPWS,CZ218,4)&gt;=$AB215,INDEX(SPPWS,CZ218,5)&gt;=$S215,INDEX(SPPWS,CZ218,6)&gt;=$R215),1,0),IF(AND(INDEX(SPM,CZ218,4)&gt;=$AB215,INDEX(SPM,CZ218,5)&gt;=$S215,INDEX(SPM,CZ218,6)&gt;=$R215),1,0))</f>
        <v>#N/A</v>
      </c>
      <c r="DB218" s="4" t="e">
        <f t="shared" ref="DB218" ca="1" si="3500">MATCH(1,OFFSET(DA215:DA226,DC217,0,COUNT(DA215:DA226)-DC217),0)</f>
        <v>#REF!</v>
      </c>
      <c r="DC218" s="4" t="e">
        <f t="shared" ca="1" si="3460"/>
        <v>#REF!</v>
      </c>
      <c r="DD218" s="693" t="str">
        <f ca="1">IF(LEFT($J215,7)="Clad Wo",IFERROR(VLOOKUP(INDEX(CZ215:CZ226,DC218),SPPWS,2,FALSE),"----"),IFERROR(VLOOKUP(INDEX(CZ215:CZ226,DC218),SPM,2,FALSE),"----"))</f>
        <v>----</v>
      </c>
      <c r="DE218" s="691" t="e">
        <f t="shared" ca="1" si="3461"/>
        <v>#REF!</v>
      </c>
      <c r="DF218" s="4" t="e" cm="1">
        <f t="array" aca="1" ref="DF218" ca="1">IF(AND(INDEX(INDIRECT(BY215),DE218,4)&gt;=$AB221,INDEX(INDIRECT(BY215),DE218,5)&gt;=$S215,INDEX(INDIRECT(BY215),DE218,6)&gt;=$R215),1,0)</f>
        <v>#REF!</v>
      </c>
      <c r="DG218" s="4" t="e">
        <f t="shared" ref="DG218" ca="1" si="3501">MATCH(1,OFFSET(DF215:DF226,DH217,0,COUNT(DF215:DF226)-DH217),0)</f>
        <v>#REF!</v>
      </c>
      <c r="DH218" s="4" t="e">
        <f t="shared" ca="1" si="3463"/>
        <v>#REF!</v>
      </c>
      <c r="DI218" s="692" t="str" cm="1">
        <f t="array" aca="1" ref="DI218" ca="1">IFERROR(VLOOKUP(INDEX(DE215:DE226,DH218),INDIRECT(BY215),2,FALSE),"----")</f>
        <v>----</v>
      </c>
      <c r="DJ218" s="691" t="e">
        <f t="shared" ca="1" si="3464"/>
        <v>#N/A</v>
      </c>
      <c r="DK218" s="4" t="e">
        <f ca="1">IF(AND(INDEX(SSM,DJ218,4)&gt;=$AB221,INDEX(SSM,DJ218,5)&gt;=$S215,INDEX(SSM,DJ218,6)&gt;=$R215),1,0)</f>
        <v>#N/A</v>
      </c>
      <c r="DL218" s="4" t="e">
        <f t="shared" ref="DL218" ca="1" si="3502">MATCH(1,OFFSET(DK215:DK226,DM217,0,COUNT(DK215:DK226)-DM217),0)</f>
        <v>#REF!</v>
      </c>
      <c r="DM218" s="4" t="e">
        <f t="shared" ca="1" si="3466"/>
        <v>#REF!</v>
      </c>
      <c r="DN218" s="692" t="str">
        <f ca="1">IFERROR(IF(AD222="Nested Steel Stud (wood infill)",VLOOKUP(INDEX(DJ215:DJ226,DM218),SSW,2,FALSE),VLOOKUP(INDEX(DJ215:DJ226,DM218),SSM,2,FALSE)),"----")</f>
        <v>----</v>
      </c>
      <c r="DO218" s="691" t="e">
        <f t="shared" ca="1" si="3467"/>
        <v>#N/A</v>
      </c>
      <c r="DP218" s="4" t="e">
        <f ca="1">IF(AND(INDEX(WSM,DO218,4)&gt;=$AB221,INDEX(WSM,DO218,5)&gt;=$S215,INDEX(WSM,DO218,6)&gt;=$R215),1,0)</f>
        <v>#N/A</v>
      </c>
      <c r="DQ218" s="4" t="e">
        <f t="shared" ref="DQ218" ca="1" si="3503">MATCH(1,OFFSET(DP215:DP226,DR217,0,COUNT(DP215:DP226)-DR217),0)</f>
        <v>#REF!</v>
      </c>
      <c r="DR218" s="4" t="e">
        <f t="shared" ca="1" si="3469"/>
        <v>#REF!</v>
      </c>
      <c r="DS218" s="692" t="str">
        <f ca="1">IFERROR(VLOOKUP(INDEX(DO215:DO226,DR218),WSM,2,FALSE),"----")</f>
        <v>----</v>
      </c>
      <c r="DT218" s="691" t="e">
        <f t="shared" ca="1" si="3470"/>
        <v>#N/A</v>
      </c>
      <c r="DU218" s="4" t="e">
        <f ca="1">IF(AND(INDEX(STM,DT218,4)&gt;=$AB221,INDEX(STM,DT218,5)&gt;=$S215,INDEX(STM,DT218,6)&gt;=$R215),1,0)</f>
        <v>#N/A</v>
      </c>
      <c r="DV218" s="4" t="e">
        <f t="shared" ref="DV218" ca="1" si="3504">MATCH(1,OFFSET(DU215:DU226,DW217,0,COUNT(DU215:DU226)-DW217),0)</f>
        <v>#REF!</v>
      </c>
      <c r="DW218" s="4" t="e">
        <f t="shared" ca="1" si="3472"/>
        <v>#REF!</v>
      </c>
      <c r="DX218" s="692" t="str">
        <f ca="1">IFERROR(VLOOKUP(INDEX(DT215:DT226,DW218),STM,2,FALSE),"----")</f>
        <v>----</v>
      </c>
      <c r="DY218" s="691" t="e">
        <f t="shared" ca="1" si="3473"/>
        <v>#N/A</v>
      </c>
      <c r="DZ218" s="4" t="e">
        <f ca="1">IF(AND(INDEX(ELM,DY218,4)&gt;=$AB221,INDEX(ELM,DY218,5)&gt;=$S215,INDEX(ELM,DY218,6)&gt;=$R215),1,0)</f>
        <v>#N/A</v>
      </c>
      <c r="EA218" s="4" t="e">
        <f t="shared" ref="EA218" ca="1" si="3505">MATCH(1,OFFSET(DZ215:DZ226,EB217,0,COUNT(DZ215:DZ226)-EB217),0)</f>
        <v>#REF!</v>
      </c>
      <c r="EB218" s="4" t="e">
        <f t="shared" ca="1" si="3475"/>
        <v>#REF!</v>
      </c>
      <c r="EC218" s="692" t="str">
        <f ca="1">IFERROR(VLOOKUP(INDEX(DY215:DY226,EB218),ELM,2,FALSE),"----")</f>
        <v>----</v>
      </c>
      <c r="ED218" s="691" t="e">
        <f t="shared" ca="1" si="3476"/>
        <v>#N/A</v>
      </c>
      <c r="EE218" s="4" t="e">
        <f ca="1">IF(LEFT($J215,7)="Clad Wo",IF(AND(INDEX(SPPWS,ED218,4)&gt;=$AB221,INDEX(SPPWS,ED218,5)&gt;=$S215,INDEX(SPPWS,ED218,6)&gt;=$R215),1,0),IF(AND(INDEX(SPM,ED218,4)&gt;=$AB221,INDEX(SPM,ED218,5)&gt;=$S215,INDEX(SPM,ED218,6)&gt;=$R215),1,0))</f>
        <v>#N/A</v>
      </c>
      <c r="EF218" s="4" t="e">
        <f t="shared" ref="EF218" ca="1" si="3506">MATCH(1,OFFSET(EE215:EE226,EG217,0,COUNT(EE215:EE226)-EG217),0)</f>
        <v>#REF!</v>
      </c>
      <c r="EG218" s="4" t="e">
        <f t="shared" ca="1" si="3478"/>
        <v>#REF!</v>
      </c>
      <c r="EH218" s="692" t="str">
        <f ca="1">IF(LEFT($J215,7)="Clad Wo",IFERROR(VLOOKUP(INDEX(ED215:ED226,EG218),SPPWS,2,FALSE),"----"),IFERROR(VLOOKUP(INDEX(ED215:ED226,EG218),SPM,2,FALSE),"----"))</f>
        <v>----</v>
      </c>
    </row>
    <row r="219" spans="1:138" ht="15" customHeight="1" x14ac:dyDescent="0.25">
      <c r="A219" s="1085"/>
      <c r="B219" s="925"/>
      <c r="C219" s="926"/>
      <c r="D219" s="927"/>
      <c r="E219" s="995"/>
      <c r="F219" s="996"/>
      <c r="G219" s="997"/>
      <c r="H219" s="1062"/>
      <c r="I219" s="990"/>
      <c r="J219" s="910"/>
      <c r="K219" s="911"/>
      <c r="L219" s="1002"/>
      <c r="M219" s="923"/>
      <c r="N219" s="1042"/>
      <c r="O219" s="1018"/>
      <c r="P219" s="987"/>
      <c r="Q219" s="1015"/>
      <c r="R219" s="1012"/>
      <c r="S219" s="1006"/>
      <c r="T219" s="1007"/>
      <c r="U219" s="878"/>
      <c r="V219" s="881"/>
      <c r="W219" s="884"/>
      <c r="X219" s="884"/>
      <c r="Y219" s="887"/>
      <c r="Z219" s="887"/>
      <c r="AA219" s="887"/>
      <c r="AB219" s="1081"/>
      <c r="AC219" s="1078"/>
      <c r="AD219" s="1070" t="s">
        <v>39</v>
      </c>
      <c r="AE219" s="1071"/>
      <c r="AF219" s="1052"/>
      <c r="AG219" s="1053"/>
      <c r="AH219" s="1053"/>
      <c r="AI219" s="1068"/>
      <c r="AJ219" s="1069"/>
      <c r="AK219" s="154" t="str">
        <f t="shared" ca="1" si="2393"/>
        <v/>
      </c>
      <c r="AL219" s="1039"/>
      <c r="AM219" s="344" t="str">
        <f ca="1">IFERROR(Q215/12*ROUND(VLOOKUP(AF219,OFFSET(ELM,0,1),6,FALSE),2),"")</f>
        <v/>
      </c>
      <c r="AN219" t="str">
        <f t="shared" ca="1" si="2409"/>
        <v/>
      </c>
      <c r="AP219" s="122" t="str">
        <f t="shared" ref="AP219" si="3507">_xlfn.CONCAT(AR219,AS220)</f>
        <v/>
      </c>
      <c r="AQ219" s="683" t="str">
        <f t="shared" si="2617"/>
        <v/>
      </c>
      <c r="AR219" s="4" t="str">
        <f t="shared" si="2378"/>
        <v/>
      </c>
      <c r="AS219" s="4"/>
      <c r="AT219" s="697" t="str">
        <f>AL215</f>
        <v/>
      </c>
      <c r="AU219" s="694" t="e">
        <f t="shared" ca="1" si="2633"/>
        <v>#REF!</v>
      </c>
      <c r="AV219" s="698" t="str">
        <f ca="1">IFERROR(VLOOKUP(AU219,INDIRECT(AQ215),2,FALSE),"----")</f>
        <v>----</v>
      </c>
      <c r="AW219" s="694" t="e">
        <f t="shared" ca="1" si="2634"/>
        <v>#REF!</v>
      </c>
      <c r="AX219" s="698" t="str">
        <f ca="1">IFERROR(VLOOKUP(AW219,INDIRECT(AQ216),2,FALSE),"----")</f>
        <v>----</v>
      </c>
      <c r="AY219" s="694" t="e">
        <f t="shared" ref="AY219" ca="1" si="3508">AY218-1</f>
        <v>#REF!</v>
      </c>
      <c r="AZ219" s="698" t="str">
        <f ca="1">IFERROR(VLOOKUP(AY219,INDIRECT(AQ217),2,FALSE),"----")</f>
        <v>----</v>
      </c>
      <c r="BA219" s="694" t="e">
        <f t="shared" ref="BA219" ca="1" si="3509">BA218-1</f>
        <v>#REF!</v>
      </c>
      <c r="BB219" s="698" t="str">
        <f ca="1">IFERROR(VLOOKUP(BA219,INDIRECT(AQ218),2,FALSE),"----")</f>
        <v>----</v>
      </c>
      <c r="BC219" s="694" t="e">
        <f t="shared" ca="1" si="2635"/>
        <v>#REF!</v>
      </c>
      <c r="BD219" s="698" t="str">
        <f ca="1">IFERROR(VLOOKUP(BC219,INDIRECT(AQ219),2,FALSE),"----")</f>
        <v>----</v>
      </c>
      <c r="BE219" s="694" t="e">
        <f t="shared" ca="1" si="2636"/>
        <v>#REF!</v>
      </c>
      <c r="BF219" s="698" t="str">
        <f ca="1">IFERROR(VLOOKUP(BE219,INDIRECT(AQ220),2,FALSE),"----")</f>
        <v>----</v>
      </c>
      <c r="BG219" s="694" t="e">
        <f t="shared" ca="1" si="2637"/>
        <v>#REF!</v>
      </c>
      <c r="BH219" s="686" t="str">
        <f ca="1">IFERROR(VLOOKUP(BG219,INDIRECT(AQ221),2,FALSE),"----")</f>
        <v>----</v>
      </c>
      <c r="BI219" s="694" t="e">
        <f t="shared" ca="1" si="2638"/>
        <v>#REF!</v>
      </c>
      <c r="BJ219" s="686" t="str">
        <f ca="1">IFERROR(VLOOKUP(BI219,INDIRECT(AQ222),2,FALSE),"----")</f>
        <v>----</v>
      </c>
      <c r="BK219" s="694" t="e">
        <f t="shared" ca="1" si="2639"/>
        <v>#REF!</v>
      </c>
      <c r="BL219" s="686" t="str">
        <f ca="1">IFERROR(VLOOKUP(BK219,INDIRECT(AQ223),2,FALSE),"----")</f>
        <v>----</v>
      </c>
      <c r="BM219" s="694" t="e">
        <f t="shared" ca="1" si="2640"/>
        <v>#REF!</v>
      </c>
      <c r="BN219" s="686" t="str">
        <f ca="1">IFERROR(VLOOKUP(BM219,INDIRECT(AQ224),2,FALSE),"----")</f>
        <v>----</v>
      </c>
      <c r="BO219" s="694" t="e">
        <f t="shared" ca="1" si="2641"/>
        <v>#REF!</v>
      </c>
      <c r="BP219" s="686" t="str">
        <f ca="1">IFERROR(VLOOKUP(BO219,INDIRECT(AQ225),2,FALSE),"----")</f>
        <v>----</v>
      </c>
      <c r="BQ219" s="694" t="e">
        <f t="shared" ca="1" si="2642"/>
        <v>#REF!</v>
      </c>
      <c r="BR219" s="686" t="str">
        <f ca="1">IFERROR(VLOOKUP(BQ219,INDIRECT(AQ226),2,FALSE),"----")</f>
        <v>----</v>
      </c>
      <c r="BS219" s="695">
        <f>IF(AI219="",1,IF(COUNTIF(BD215:BD226,AI219)=0,2,1))</f>
        <v>1</v>
      </c>
      <c r="BT219" s="696">
        <f>IF(AF219="",1,IF(BD215=".",2,1))</f>
        <v>1</v>
      </c>
      <c r="BU219" s="706"/>
      <c r="BV219" s="155">
        <f ca="1">IF(COUNTIF(CY215:CY226,AF219)=0,IF(AF219&lt;&gt;"",0,1),1)</f>
        <v>1</v>
      </c>
      <c r="BW219" s="157">
        <f ca="1">IFERROR(MATCH(AF219,CY215:CY226,0),1)</f>
        <v>1</v>
      </c>
      <c r="BX219" s="769"/>
      <c r="BY219" s="769"/>
      <c r="BZ219" s="1110"/>
      <c r="CA219" s="691" t="e">
        <f t="shared" ca="1" si="3443"/>
        <v>#REF!</v>
      </c>
      <c r="CB219" s="4" t="e" cm="1">
        <f t="array" aca="1" ref="CB219" ca="1">IF(AND(INDEX(INDIRECT(BY215),CA219,4)&gt;=$AB215,INDEX(INDIRECT(BY215),CA219,5)&gt;=$S215,INDEX(INDIRECT(BY215),CA219,6)&gt;=$R215),1,0)</f>
        <v>#REF!</v>
      </c>
      <c r="CC219" s="4" t="e">
        <f t="shared" ref="CC219" ca="1" si="3510">MATCH(1,OFFSET(CB215:CB226,CD218,0,COUNT(CB215:CB226)-CD218),0)</f>
        <v>#REF!</v>
      </c>
      <c r="CD219" s="4" t="e">
        <f t="shared" ca="1" si="3445"/>
        <v>#REF!</v>
      </c>
      <c r="CE219" s="692" t="str" cm="1">
        <f t="array" aca="1" ref="CE219" ca="1">IFERROR(VLOOKUP(INDEX(CA215:CA226,CD219),INDIRECT(BY215),2,FALSE),"----")</f>
        <v>----</v>
      </c>
      <c r="CF219" s="691" t="e">
        <f t="shared" ca="1" si="3446"/>
        <v>#N/A</v>
      </c>
      <c r="CG219" s="4" t="e">
        <f ca="1">IF(AND(INDEX(SSM,CF219,4)&gt;=$AB215,INDEX(SSM,CF219,5)&gt;=$S215,INDEX(SSM,CF219,6)&gt;=$R215),1,0)</f>
        <v>#N/A</v>
      </c>
      <c r="CH219" s="4" t="e">
        <f t="shared" ref="CH219" ca="1" si="3511">MATCH(1,OFFSET(CG215:CG226,CI218,0,COUNT(CG215:CG226)-CI218),0)</f>
        <v>#REF!</v>
      </c>
      <c r="CI219" s="4" t="e">
        <f t="shared" ca="1" si="3448"/>
        <v>#REF!</v>
      </c>
      <c r="CJ219" s="692" t="str">
        <f ca="1">IFERROR(IF(AD216="Nested Steel Stud (wood infill)",VLOOKUP(INDEX(CF215:CF226,CI219),SSW,2,FALSE),VLOOKUP(INDEX(CF215:CF226,CI219),SSM,2,FALSE)),"----")</f>
        <v>----</v>
      </c>
      <c r="CK219" s="691" t="e">
        <f t="shared" ca="1" si="3449"/>
        <v>#N/A</v>
      </c>
      <c r="CL219" s="4" t="e">
        <f ca="1">IF(AND(INDEX(WSM,CK219,4)&gt;=$AB215,INDEX(WSM,CK219,5)&gt;=$S215,INDEX(WSM,CK219,6)&gt;=$R215),1,0)</f>
        <v>#N/A</v>
      </c>
      <c r="CM219" s="4" t="e">
        <f t="shared" ref="CM219" ca="1" si="3512">MATCH(1,OFFSET(CL215:CL226,CN218,0,COUNT(CL215:CL226)-CN218),0)</f>
        <v>#REF!</v>
      </c>
      <c r="CN219" s="4" t="e">
        <f t="shared" ca="1" si="3451"/>
        <v>#REF!</v>
      </c>
      <c r="CO219" s="692" t="str">
        <f ca="1">IFERROR(VLOOKUP(INDEX(CK215:CK226,CN219),WSM,2,FALSE),"----")</f>
        <v>----</v>
      </c>
      <c r="CP219" s="691" t="e">
        <f t="shared" ca="1" si="3452"/>
        <v>#N/A</v>
      </c>
      <c r="CQ219" s="4" t="e">
        <f ca="1">IF(AND(INDEX(STM,CP219,4)&gt;=$AB215,INDEX(STM,CP219,5)&gt;=$S215,INDEX(STM,CP219,6)&gt;=$R215),1,0)</f>
        <v>#N/A</v>
      </c>
      <c r="CR219" s="4" t="e">
        <f t="shared" ref="CR219" ca="1" si="3513">MATCH(1,OFFSET(CQ215:CQ226,CS218,0,COUNT(CQ215:CQ226)-CS218),0)</f>
        <v>#REF!</v>
      </c>
      <c r="CS219" s="4" t="e">
        <f t="shared" ca="1" si="3454"/>
        <v>#REF!</v>
      </c>
      <c r="CT219" s="692" t="str">
        <f ca="1">IFERROR(VLOOKUP(INDEX(CP215:CP226,CS219),STM,2,FALSE),"----")</f>
        <v>----</v>
      </c>
      <c r="CU219" s="691" t="e">
        <f t="shared" ca="1" si="3455"/>
        <v>#N/A</v>
      </c>
      <c r="CV219" s="4" t="e">
        <f ca="1">IF(AND(INDEX(ELM,CU219,4)&gt;=$AB215,INDEX(ELM,CU219,5)&gt;=$S215,INDEX(ELM,CU219,6)&gt;=$R215),1,0)</f>
        <v>#N/A</v>
      </c>
      <c r="CW219" s="4" t="e">
        <f t="shared" ref="CW219" ca="1" si="3514">MATCH(1,OFFSET(CV215:CV226,CX218,0,COUNT(CV215:CV226)-CX218),0)</f>
        <v>#REF!</v>
      </c>
      <c r="CX219" s="4" t="e">
        <f t="shared" ca="1" si="3457"/>
        <v>#REF!</v>
      </c>
      <c r="CY219" s="692" t="str">
        <f ca="1">IFERROR(VLOOKUP(INDEX(CU215:CU226,CX219),ELM,2,FALSE),"----")</f>
        <v>----</v>
      </c>
      <c r="CZ219" s="691" t="e">
        <f t="shared" ca="1" si="3458"/>
        <v>#N/A</v>
      </c>
      <c r="DA219" s="4" t="e">
        <f ca="1">IF(LEFT($J215,7)="Clad Wo",IF(AND(INDEX(SPPWS,CZ219,4)&gt;=$AB215,INDEX(SPPWS,CZ219,5)&gt;=$S215,INDEX(SPPWS,CZ219,6)&gt;=$R215),1,0),IF(AND(INDEX(SPM,CZ219,4)&gt;=$AB215,INDEX(SPM,CZ219,5)&gt;=$S215,INDEX(SPM,CZ219,6)&gt;=$R215),1,0))</f>
        <v>#N/A</v>
      </c>
      <c r="DB219" s="4" t="e">
        <f t="shared" ref="DB219" ca="1" si="3515">MATCH(1,OFFSET(DA215:DA226,DC218,0,COUNT(DA215:DA226)-DC218),0)</f>
        <v>#REF!</v>
      </c>
      <c r="DC219" s="4" t="e">
        <f t="shared" ca="1" si="3460"/>
        <v>#REF!</v>
      </c>
      <c r="DD219" s="693" t="str">
        <f ca="1">IF(LEFT($J215,7)="Clad Wo",IFERROR(VLOOKUP(INDEX(CZ215:CZ226,DC219),SPPWS,2,FALSE),"----"),IFERROR(VLOOKUP(INDEX(CZ215:CZ226,DC219),SPM,2,FALSE),"----"))</f>
        <v>----</v>
      </c>
      <c r="DE219" s="691" t="e">
        <f t="shared" ca="1" si="3461"/>
        <v>#REF!</v>
      </c>
      <c r="DF219" s="4" t="e" cm="1">
        <f t="array" aca="1" ref="DF219" ca="1">IF(AND(INDEX(INDIRECT(BY215),DE219,4)&gt;=$AB221,INDEX(INDIRECT(BY215),DE219,5)&gt;=$S215,INDEX(INDIRECT(BY215),DE219,6)&gt;=$R215),1,0)</f>
        <v>#REF!</v>
      </c>
      <c r="DG219" s="4" t="e">
        <f t="shared" ref="DG219" ca="1" si="3516">MATCH(1,OFFSET(DF215:DF226,DH218,0,COUNT(DF215:DF226)-DH218),0)</f>
        <v>#REF!</v>
      </c>
      <c r="DH219" s="4" t="e">
        <f t="shared" ca="1" si="3463"/>
        <v>#REF!</v>
      </c>
      <c r="DI219" s="692" t="str" cm="1">
        <f t="array" aca="1" ref="DI219" ca="1">IFERROR(VLOOKUP(INDEX(DE215:DE226,DH219),INDIRECT(BY215),2,FALSE),"----")</f>
        <v>----</v>
      </c>
      <c r="DJ219" s="691" t="e">
        <f t="shared" ca="1" si="3464"/>
        <v>#N/A</v>
      </c>
      <c r="DK219" s="4" t="e">
        <f ca="1">IF(AND(INDEX(SSM,DJ219,4)&gt;=$AB221,INDEX(SSM,DJ219,5)&gt;=$S215,INDEX(SSM,DJ219,6)&gt;=$R215),1,0)</f>
        <v>#N/A</v>
      </c>
      <c r="DL219" s="4" t="e">
        <f t="shared" ref="DL219" ca="1" si="3517">MATCH(1,OFFSET(DK215:DK226,DM218,0,COUNT(DK215:DK226)-DM218),0)</f>
        <v>#REF!</v>
      </c>
      <c r="DM219" s="4" t="e">
        <f t="shared" ca="1" si="3466"/>
        <v>#REF!</v>
      </c>
      <c r="DN219" s="692" t="str">
        <f ca="1">IFERROR(IF(AD222="Nested Steel Stud (wood infill)",VLOOKUP(INDEX(DJ215:DJ226,DM219),SSW,2,FALSE),VLOOKUP(INDEX(DJ215:DJ226,DM219),SSM,2,FALSE)),"----")</f>
        <v>----</v>
      </c>
      <c r="DO219" s="691" t="e">
        <f t="shared" ca="1" si="3467"/>
        <v>#N/A</v>
      </c>
      <c r="DP219" s="4" t="e">
        <f ca="1">IF(AND(INDEX(WSM,DO219,4)&gt;=$AB221,INDEX(WSM,DO219,5)&gt;=$S215,INDEX(WSM,DO219,6)&gt;=$R215),1,0)</f>
        <v>#N/A</v>
      </c>
      <c r="DQ219" s="4" t="e">
        <f t="shared" ref="DQ219" ca="1" si="3518">MATCH(1,OFFSET(DP215:DP226,DR218,0,COUNT(DP215:DP226)-DR218),0)</f>
        <v>#REF!</v>
      </c>
      <c r="DR219" s="4" t="e">
        <f t="shared" ca="1" si="3469"/>
        <v>#REF!</v>
      </c>
      <c r="DS219" s="692" t="str">
        <f ca="1">IFERROR(VLOOKUP(INDEX(DO215:DO226,DR219),WSM,2,FALSE),"----")</f>
        <v>----</v>
      </c>
      <c r="DT219" s="691" t="e">
        <f t="shared" ca="1" si="3470"/>
        <v>#N/A</v>
      </c>
      <c r="DU219" s="4" t="e">
        <f ca="1">IF(AND(INDEX(STM,DT219,4)&gt;=$AB221,INDEX(STM,DT219,5)&gt;=$S215,INDEX(STM,DT219,6)&gt;=$R215),1,0)</f>
        <v>#N/A</v>
      </c>
      <c r="DV219" s="4" t="e">
        <f t="shared" ref="DV219" ca="1" si="3519">MATCH(1,OFFSET(DU215:DU226,DW218,0,COUNT(DU215:DU226)-DW218),0)</f>
        <v>#REF!</v>
      </c>
      <c r="DW219" s="4" t="e">
        <f t="shared" ca="1" si="3472"/>
        <v>#REF!</v>
      </c>
      <c r="DX219" s="692" t="str">
        <f ca="1">IFERROR(VLOOKUP(INDEX(DT215:DT226,DW219),STM,2,FALSE),"----")</f>
        <v>----</v>
      </c>
      <c r="DY219" s="691" t="e">
        <f t="shared" ca="1" si="3473"/>
        <v>#N/A</v>
      </c>
      <c r="DZ219" s="4" t="e">
        <f ca="1">IF(AND(INDEX(ELM,DY219,4)&gt;=$AB221,INDEX(ELM,DY219,5)&gt;=$S215,INDEX(ELM,DY219,6)&gt;=$R215),1,0)</f>
        <v>#N/A</v>
      </c>
      <c r="EA219" s="4" t="e">
        <f t="shared" ref="EA219" ca="1" si="3520">MATCH(1,OFFSET(DZ215:DZ226,EB218,0,COUNT(DZ215:DZ226)-EB218),0)</f>
        <v>#REF!</v>
      </c>
      <c r="EB219" s="4" t="e">
        <f t="shared" ca="1" si="3475"/>
        <v>#REF!</v>
      </c>
      <c r="EC219" s="692" t="str">
        <f ca="1">IFERROR(VLOOKUP(INDEX(DY215:DY226,EB219),ELM,2,FALSE),"----")</f>
        <v>----</v>
      </c>
      <c r="ED219" s="691" t="e">
        <f t="shared" ca="1" si="3476"/>
        <v>#N/A</v>
      </c>
      <c r="EE219" s="4" t="e">
        <f ca="1">IF(LEFT($J215,7)="Clad Wo",IF(AND(INDEX(SPPWS,ED219,4)&gt;=$AB221,INDEX(SPPWS,ED219,5)&gt;=$S215,INDEX(SPPWS,ED219,6)&gt;=$R215),1,0),IF(AND(INDEX(SPM,ED219,4)&gt;=$AB221,INDEX(SPM,ED219,5)&gt;=$S215,INDEX(SPM,ED219,6)&gt;=$R215),1,0))</f>
        <v>#N/A</v>
      </c>
      <c r="EF219" s="4" t="e">
        <f t="shared" ref="EF219" ca="1" si="3521">MATCH(1,OFFSET(EE215:EE226,EG218,0,COUNT(EE215:EE226)-EG218),0)</f>
        <v>#REF!</v>
      </c>
      <c r="EG219" s="4" t="e">
        <f t="shared" ca="1" si="3478"/>
        <v>#REF!</v>
      </c>
      <c r="EH219" s="692" t="str">
        <f ca="1">IF(LEFT($J215,7)="Clad Wo",IFERROR(VLOOKUP(INDEX(ED215:ED226,EG219),SPPWS,2,FALSE),"----"),IFERROR(VLOOKUP(INDEX(ED215:ED226,EG219),SPM,2,FALSE),"----"))</f>
        <v>----</v>
      </c>
    </row>
    <row r="220" spans="1:138" ht="15" customHeight="1" thickBot="1" x14ac:dyDescent="0.3">
      <c r="A220" s="1085"/>
      <c r="B220" s="934"/>
      <c r="C220" s="935"/>
      <c r="D220" s="936"/>
      <c r="E220" s="995"/>
      <c r="F220" s="996"/>
      <c r="G220" s="997"/>
      <c r="H220" s="1062"/>
      <c r="I220" s="990"/>
      <c r="J220" s="908"/>
      <c r="K220" s="909"/>
      <c r="L220" s="1010"/>
      <c r="M220" s="924"/>
      <c r="N220" s="1044"/>
      <c r="O220" s="1018"/>
      <c r="P220" s="987"/>
      <c r="Q220" s="1015"/>
      <c r="R220" s="1012"/>
      <c r="S220" s="1006"/>
      <c r="T220" s="1007"/>
      <c r="U220" s="878"/>
      <c r="V220" s="881"/>
      <c r="W220" s="889"/>
      <c r="X220" s="884"/>
      <c r="Y220" s="890"/>
      <c r="Z220" s="890"/>
      <c r="AA220" s="887"/>
      <c r="AB220" s="1084"/>
      <c r="AC220" s="1079"/>
      <c r="AD220" s="1072" t="str">
        <f t="shared" ref="AD220" si="3522">IF(LEFT(J215,7)="Clad Wo","Pella Wood Spr / Steel Pte","Steel Plate")</f>
        <v>Steel Plate</v>
      </c>
      <c r="AE220" s="1073"/>
      <c r="AF220" s="1054"/>
      <c r="AG220" s="1055"/>
      <c r="AH220" s="1055"/>
      <c r="AI220" s="1092"/>
      <c r="AJ220" s="1093"/>
      <c r="AK220" s="159" t="str">
        <f t="shared" ca="1" si="2393"/>
        <v/>
      </c>
      <c r="AL220" s="1040"/>
      <c r="AM220" s="345" t="str">
        <f ca="1">IFERROR(Q215/12*ROUND(VLOOKUP(AF220,OFFSET(SPM,0,1),6,FALSE),2),"")</f>
        <v/>
      </c>
      <c r="AN220" t="str">
        <f t="shared" ca="1" si="2409"/>
        <v/>
      </c>
      <c r="AP220" s="699" t="str">
        <f t="shared" ref="AP220" si="3523">_xlfn.CONCAT(AR220,AS220)</f>
        <v/>
      </c>
      <c r="AQ220" s="700" t="str">
        <f t="shared" si="2617"/>
        <v/>
      </c>
      <c r="AR220" s="160" t="str">
        <f t="shared" si="2378"/>
        <v/>
      </c>
      <c r="AS220" s="160" t="str">
        <f>IFERROR(VLOOKUP(J223, WallType,2,FALSE),"")</f>
        <v/>
      </c>
      <c r="AT220" s="701" t="str">
        <f>AL215</f>
        <v/>
      </c>
      <c r="AU220" s="694" t="e">
        <f t="shared" ca="1" si="2633"/>
        <v>#REF!</v>
      </c>
      <c r="AV220" s="698" t="str">
        <f ca="1">IFERROR(VLOOKUP(AU220,INDIRECT(AQ215),2,FALSE),"----")</f>
        <v>----</v>
      </c>
      <c r="AW220" s="702" t="e">
        <f t="shared" ca="1" si="2634"/>
        <v>#REF!</v>
      </c>
      <c r="AX220" s="698" t="str">
        <f ca="1">IFERROR(VLOOKUP(AW220,INDIRECT(AQ216),2,FALSE),"----")</f>
        <v>----</v>
      </c>
      <c r="AY220" s="702" t="e">
        <f t="shared" ref="AY220:AY235" ca="1" si="3524">AY219-1</f>
        <v>#REF!</v>
      </c>
      <c r="AZ220" s="698" t="str">
        <f ca="1">IFERROR(VLOOKUP(AY220,INDIRECT(AQ217),2,FALSE),"----")</f>
        <v>----</v>
      </c>
      <c r="BA220" s="702" t="e">
        <f t="shared" ref="BA220:BA235" ca="1" si="3525">BA219-1</f>
        <v>#REF!</v>
      </c>
      <c r="BB220" s="698" t="str">
        <f ca="1">IFERROR(VLOOKUP(BA220,INDIRECT(AQ218),2,FALSE),"----")</f>
        <v>----</v>
      </c>
      <c r="BC220" s="702" t="e">
        <f t="shared" ca="1" si="2635"/>
        <v>#REF!</v>
      </c>
      <c r="BD220" s="698" t="str">
        <f ca="1">IFERROR(VLOOKUP(BC220,INDIRECT(AQ219),2,FALSE),"----")</f>
        <v>----</v>
      </c>
      <c r="BE220" s="702" t="e">
        <f t="shared" ca="1" si="2636"/>
        <v>#REF!</v>
      </c>
      <c r="BF220" s="698" t="str">
        <f ca="1">IFERROR(VLOOKUP(BE220,INDIRECT(AQ220),2,FALSE),"----")</f>
        <v>----</v>
      </c>
      <c r="BG220" s="702" t="e">
        <f t="shared" ca="1" si="2637"/>
        <v>#REF!</v>
      </c>
      <c r="BH220" s="686" t="str">
        <f ca="1">IFERROR(VLOOKUP(BG220,INDIRECT(AQ221),2,FALSE),"----")</f>
        <v>----</v>
      </c>
      <c r="BI220" s="702" t="e">
        <f t="shared" ca="1" si="2638"/>
        <v>#REF!</v>
      </c>
      <c r="BJ220" s="686" t="str">
        <f ca="1">IFERROR(VLOOKUP(BI220,INDIRECT(AQ222),2,FALSE),"----")</f>
        <v>----</v>
      </c>
      <c r="BK220" s="702" t="e">
        <f t="shared" ca="1" si="2639"/>
        <v>#REF!</v>
      </c>
      <c r="BL220" s="686" t="str">
        <f ca="1">IFERROR(VLOOKUP(BK220,INDIRECT(AQ223),2,FALSE),"----")</f>
        <v>----</v>
      </c>
      <c r="BM220" s="702" t="e">
        <f t="shared" ca="1" si="2640"/>
        <v>#REF!</v>
      </c>
      <c r="BN220" s="686" t="str">
        <f ca="1">IFERROR(VLOOKUP(BM220,INDIRECT(AQ224),2,FALSE),"----")</f>
        <v>----</v>
      </c>
      <c r="BO220" s="702" t="e">
        <f t="shared" ca="1" si="2641"/>
        <v>#REF!</v>
      </c>
      <c r="BP220" s="686" t="str">
        <f ca="1">IFERROR(VLOOKUP(BO220,INDIRECT(AQ225),2,FALSE),"----")</f>
        <v>----</v>
      </c>
      <c r="BQ220" s="702" t="e">
        <f t="shared" ca="1" si="2642"/>
        <v>#REF!</v>
      </c>
      <c r="BR220" s="686" t="str">
        <f ca="1">IFERROR(VLOOKUP(BQ220,INDIRECT(AQ226),2,FALSE),"----")</f>
        <v>----</v>
      </c>
      <c r="BS220" s="703">
        <f>IF(AI220="",1,IF(COUNTIF(BF215:BF226,AI220)=0,2,1))</f>
        <v>1</v>
      </c>
      <c r="BT220" s="704">
        <f>IF(AF220="",1,IF(BF215=".",2,1))</f>
        <v>1</v>
      </c>
      <c r="BV220" s="155">
        <f ca="1">IF(COUNTIF(DD215:DD226,AF220)=0,IF(AF220&lt;&gt;"",0,1),1)</f>
        <v>1</v>
      </c>
      <c r="BW220" s="157">
        <f ca="1">IFERROR(MATCH(AF220,DD215:DD226,0),1)</f>
        <v>1</v>
      </c>
      <c r="BX220" s="875" t="s">
        <v>1594</v>
      </c>
      <c r="BY220" s="876"/>
      <c r="BZ220" s="1110"/>
      <c r="CA220" s="691" t="e">
        <f t="shared" ca="1" si="3443"/>
        <v>#REF!</v>
      </c>
      <c r="CB220" s="4" t="e" cm="1">
        <f t="array" aca="1" ref="CB220" ca="1">IF(AND(INDEX(INDIRECT(BY215),CA220,4)&gt;=$AB215,INDEX(INDIRECT(BY215),CA220,5)&gt;=$S215,INDEX(INDIRECT(BY215),CA220,6)&gt;=$R215),1,0)</f>
        <v>#REF!</v>
      </c>
      <c r="CC220" s="4" t="e">
        <f t="shared" ref="CC220" ca="1" si="3526">MATCH(1,OFFSET(CB215:CB226,CD219,0,COUNT(CB215:CB226)-CD219),0)</f>
        <v>#REF!</v>
      </c>
      <c r="CD220" s="4" t="e">
        <f t="shared" ca="1" si="3445"/>
        <v>#REF!</v>
      </c>
      <c r="CE220" s="692" t="str" cm="1">
        <f t="array" aca="1" ref="CE220" ca="1">IFERROR(VLOOKUP(INDEX(CA215:CA226,CD220),INDIRECT(BY215),2,FALSE),"----")</f>
        <v>----</v>
      </c>
      <c r="CF220" s="691" t="e">
        <f t="shared" ca="1" si="3446"/>
        <v>#N/A</v>
      </c>
      <c r="CG220" s="4" t="e">
        <f ca="1">IF(AND(INDEX(SSM,CF220,4)&gt;=$AB215,INDEX(SSM,CF220,5)&gt;=$S215,INDEX(SSM,CF220,6)&gt;=$R215),1,0)</f>
        <v>#N/A</v>
      </c>
      <c r="CH220" s="4" t="e">
        <f t="shared" ref="CH220" ca="1" si="3527">MATCH(1,OFFSET(CG215:CG226,CI219,0,COUNT(CG215:CG226)-CI219),0)</f>
        <v>#REF!</v>
      </c>
      <c r="CI220" s="4" t="e">
        <f t="shared" ca="1" si="3448"/>
        <v>#REF!</v>
      </c>
      <c r="CJ220" s="692" t="str">
        <f ca="1">IFERROR(IF(AD216="Nested Steel Stud (wood infill)",VLOOKUP(INDEX(CF215:CF226,CI220),SSW,2,FALSE),VLOOKUP(INDEX(CF215:CF226,CI220),SSM,2,FALSE)),"----")</f>
        <v>----</v>
      </c>
      <c r="CK220" s="691" t="e">
        <f t="shared" ca="1" si="3449"/>
        <v>#N/A</v>
      </c>
      <c r="CL220" s="4" t="e">
        <f ca="1">IF(AND(INDEX(WSM,CK220,4)&gt;=$AB215,INDEX(WSM,CK220,5)&gt;=$S215,INDEX(WSM,CK220,6)&gt;=$R215),1,0)</f>
        <v>#N/A</v>
      </c>
      <c r="CM220" s="4" t="e">
        <f t="shared" ref="CM220" ca="1" si="3528">MATCH(1,OFFSET(CL215:CL226,CN219,0,COUNT(CL215:CL226)-CN219),0)</f>
        <v>#REF!</v>
      </c>
      <c r="CN220" s="4" t="e">
        <f t="shared" ca="1" si="3451"/>
        <v>#REF!</v>
      </c>
      <c r="CO220" s="692" t="str">
        <f ca="1">IFERROR(VLOOKUP(INDEX(CK215:CK226,CN220),WSM,2,FALSE),"----")</f>
        <v>----</v>
      </c>
      <c r="CP220" s="691" t="e">
        <f t="shared" ca="1" si="3452"/>
        <v>#N/A</v>
      </c>
      <c r="CQ220" s="4" t="e">
        <f ca="1">IF(AND(INDEX(STM,CP220,4)&gt;=$AB215,INDEX(STM,CP220,5)&gt;=$S215,INDEX(STM,CP220,6)&gt;=$R215),1,0)</f>
        <v>#N/A</v>
      </c>
      <c r="CR220" s="4" t="e">
        <f t="shared" ref="CR220" ca="1" si="3529">MATCH(1,OFFSET(CQ215:CQ226,CS219,0,COUNT(CQ215:CQ226)-CS219),0)</f>
        <v>#REF!</v>
      </c>
      <c r="CS220" s="4" t="e">
        <f t="shared" ca="1" si="3454"/>
        <v>#REF!</v>
      </c>
      <c r="CT220" s="692" t="str">
        <f ca="1">IFERROR(VLOOKUP(INDEX(CP215:CP226,CS220),STM,2,FALSE),"----")</f>
        <v>----</v>
      </c>
      <c r="CU220" s="691" t="e">
        <f t="shared" ca="1" si="3455"/>
        <v>#N/A</v>
      </c>
      <c r="CV220" s="4" t="e">
        <f ca="1">IF(AND(INDEX(ELM,CU220,4)&gt;=$AB215,INDEX(ELM,CU220,5)&gt;=$S215,INDEX(ELM,CU220,6)&gt;=$R215),1,0)</f>
        <v>#N/A</v>
      </c>
      <c r="CW220" s="4" t="e">
        <f t="shared" ref="CW220" ca="1" si="3530">MATCH(1,OFFSET(CV215:CV226,CX219,0,COUNT(CV215:CV226)-CX219),0)</f>
        <v>#REF!</v>
      </c>
      <c r="CX220" s="4" t="e">
        <f t="shared" ca="1" si="3457"/>
        <v>#REF!</v>
      </c>
      <c r="CY220" s="692" t="str">
        <f ca="1">IFERROR(VLOOKUP(INDEX(CU215:CU226,CX220),ELM,2,FALSE),"----")</f>
        <v>----</v>
      </c>
      <c r="CZ220" s="691" t="e">
        <f t="shared" ca="1" si="3458"/>
        <v>#N/A</v>
      </c>
      <c r="DA220" s="4" t="e">
        <f ca="1">IF(LEFT($J215,7)="Clad Wo",IF(AND(INDEX(SPPWS,CZ220,4)&gt;=$AB215,INDEX(SPPWS,CZ220,5)&gt;=$S215,INDEX(SPPWS,CZ220,6)&gt;=$R215),1,0),IF(AND(INDEX(SPM,CZ220,4)&gt;=$AB215,INDEX(SPM,CZ220,5)&gt;=$S215,INDEX(SPM,CZ220,6)&gt;=$R215),1,0))</f>
        <v>#N/A</v>
      </c>
      <c r="DB220" s="4" t="e">
        <f t="shared" ref="DB220" ca="1" si="3531">MATCH(1,OFFSET(DA215:DA226,DC219,0,COUNT(DA215:DA226)-DC219),0)</f>
        <v>#REF!</v>
      </c>
      <c r="DC220" s="4" t="e">
        <f t="shared" ca="1" si="3460"/>
        <v>#REF!</v>
      </c>
      <c r="DD220" s="693" t="str">
        <f ca="1">IF(LEFT($J215,7)="Clad Wo",IFERROR(VLOOKUP(INDEX(CZ215:CZ226,DC220),SPPWS,2,FALSE),"----"),IFERROR(VLOOKUP(INDEX(CZ215:CZ226,DC220),SPM,2,FALSE),"----"))</f>
        <v>----</v>
      </c>
      <c r="DE220" s="691" t="e">
        <f t="shared" ca="1" si="3461"/>
        <v>#REF!</v>
      </c>
      <c r="DF220" s="4" t="e" cm="1">
        <f t="array" aca="1" ref="DF220" ca="1">IF(AND(INDEX(INDIRECT(BY215),DE220,4)&gt;=$AB221,INDEX(INDIRECT(BY215),DE220,5)&gt;=$S215,INDEX(INDIRECT(BY215),DE220,6)&gt;=$R215),1,0)</f>
        <v>#REF!</v>
      </c>
      <c r="DG220" s="4" t="e">
        <f t="shared" ref="DG220" ca="1" si="3532">MATCH(1,OFFSET(DF215:DF226,DH219,0,COUNT(DF215:DF226)-DH219),0)</f>
        <v>#REF!</v>
      </c>
      <c r="DH220" s="4" t="e">
        <f t="shared" ca="1" si="3463"/>
        <v>#REF!</v>
      </c>
      <c r="DI220" s="692" t="str" cm="1">
        <f t="array" aca="1" ref="DI220" ca="1">IFERROR(VLOOKUP(INDEX(DE215:DE226,DH220),INDIRECT(BY215),2,FALSE),"----")</f>
        <v>----</v>
      </c>
      <c r="DJ220" s="691" t="e">
        <f t="shared" ca="1" si="3464"/>
        <v>#N/A</v>
      </c>
      <c r="DK220" s="4" t="e">
        <f ca="1">IF(AND(INDEX(SSM,DJ220,4)&gt;=$AB221,INDEX(SSM,DJ220,5)&gt;=$S215,INDEX(SSM,DJ220,6)&gt;=$R215),1,0)</f>
        <v>#N/A</v>
      </c>
      <c r="DL220" s="4" t="e">
        <f t="shared" ref="DL220" ca="1" si="3533">MATCH(1,OFFSET(DK215:DK226,DM219,0,COUNT(DK215:DK226)-DM219),0)</f>
        <v>#REF!</v>
      </c>
      <c r="DM220" s="4" t="e">
        <f t="shared" ca="1" si="3466"/>
        <v>#REF!</v>
      </c>
      <c r="DN220" s="692" t="str">
        <f ca="1">IFERROR(IF(AD222="Nested Steel Stud (wood infill)",VLOOKUP(INDEX(DJ215:DJ226,DM220),SSW,2,FALSE),VLOOKUP(INDEX(DJ215:DJ226,DM220),SSM,2,FALSE)),"----")</f>
        <v>----</v>
      </c>
      <c r="DO220" s="691" t="e">
        <f t="shared" ca="1" si="3467"/>
        <v>#N/A</v>
      </c>
      <c r="DP220" s="4" t="e">
        <f ca="1">IF(AND(INDEX(WSM,DO220,4)&gt;=$AB221,INDEX(WSM,DO220,5)&gt;=$S215,INDEX(WSM,DO220,6)&gt;=$R215),1,0)</f>
        <v>#N/A</v>
      </c>
      <c r="DQ220" s="4" t="e">
        <f t="shared" ref="DQ220" ca="1" si="3534">MATCH(1,OFFSET(DP215:DP226,DR219,0,COUNT(DP215:DP226)-DR219),0)</f>
        <v>#REF!</v>
      </c>
      <c r="DR220" s="4" t="e">
        <f t="shared" ca="1" si="3469"/>
        <v>#REF!</v>
      </c>
      <c r="DS220" s="692" t="str">
        <f ca="1">IFERROR(VLOOKUP(INDEX(DO215:DO226,DR220),WSM,2,FALSE),"----")</f>
        <v>----</v>
      </c>
      <c r="DT220" s="691" t="e">
        <f t="shared" ca="1" si="3470"/>
        <v>#N/A</v>
      </c>
      <c r="DU220" s="4" t="e">
        <f ca="1">IF(AND(INDEX(STM,DT220,4)&gt;=$AB221,INDEX(STM,DT220,5)&gt;=$S215,INDEX(STM,DT220,6)&gt;=$R215),1,0)</f>
        <v>#N/A</v>
      </c>
      <c r="DV220" s="4" t="e">
        <f t="shared" ref="DV220" ca="1" si="3535">MATCH(1,OFFSET(DU215:DU226,DW219,0,COUNT(DU215:DU226)-DW219),0)</f>
        <v>#REF!</v>
      </c>
      <c r="DW220" s="4" t="e">
        <f t="shared" ca="1" si="3472"/>
        <v>#REF!</v>
      </c>
      <c r="DX220" s="692" t="str">
        <f ca="1">IFERROR(VLOOKUP(INDEX(DT215:DT226,DW220),STM,2,FALSE),"----")</f>
        <v>----</v>
      </c>
      <c r="DY220" s="691" t="e">
        <f t="shared" ca="1" si="3473"/>
        <v>#N/A</v>
      </c>
      <c r="DZ220" s="4" t="e">
        <f ca="1">IF(AND(INDEX(ELM,DY220,4)&gt;=$AB221,INDEX(ELM,DY220,5)&gt;=$S215,INDEX(ELM,DY220,6)&gt;=$R215),1,0)</f>
        <v>#N/A</v>
      </c>
      <c r="EA220" s="4" t="e">
        <f t="shared" ref="EA220" ca="1" si="3536">MATCH(1,OFFSET(DZ215:DZ226,EB219,0,COUNT(DZ215:DZ226)-EB219),0)</f>
        <v>#REF!</v>
      </c>
      <c r="EB220" s="4" t="e">
        <f t="shared" ca="1" si="3475"/>
        <v>#REF!</v>
      </c>
      <c r="EC220" s="692" t="str">
        <f ca="1">IFERROR(VLOOKUP(INDEX(DY215:DY226,EB220),ELM,2,FALSE),"----")</f>
        <v>----</v>
      </c>
      <c r="ED220" s="691" t="e">
        <f t="shared" ca="1" si="3476"/>
        <v>#N/A</v>
      </c>
      <c r="EE220" s="4" t="e">
        <f ca="1">IF(LEFT($J215,7)="Clad Wo",IF(AND(INDEX(SPPWS,ED220,4)&gt;=$AB221,INDEX(SPPWS,ED220,5)&gt;=$S215,INDEX(SPPWS,ED220,6)&gt;=$R215),1,0),IF(AND(INDEX(SPM,ED220,4)&gt;=$AB221,INDEX(SPM,ED220,5)&gt;=$S215,INDEX(SPM,ED220,6)&gt;=$R215),1,0))</f>
        <v>#N/A</v>
      </c>
      <c r="EF220" s="4" t="e">
        <f t="shared" ref="EF220" ca="1" si="3537">MATCH(1,OFFSET(EE215:EE226,EG219,0,COUNT(EE215:EE226)-EG219),0)</f>
        <v>#REF!</v>
      </c>
      <c r="EG220" s="4" t="e">
        <f t="shared" ca="1" si="3478"/>
        <v>#REF!</v>
      </c>
      <c r="EH220" s="692" t="str">
        <f ca="1">IF(LEFT($J215,7)="Clad Wo",IFERROR(VLOOKUP(INDEX(ED215:ED226,EG220),SPPWS,2,FALSE),"----"),IFERROR(VLOOKUP(INDEX(ED215:ED226,EG220),SPM,2,FALSE),"----"))</f>
        <v>----</v>
      </c>
    </row>
    <row r="221" spans="1:138" ht="15" customHeight="1" x14ac:dyDescent="0.25">
      <c r="A221" s="1085"/>
      <c r="B221" s="925" t="s">
        <v>409</v>
      </c>
      <c r="C221" s="926"/>
      <c r="D221" s="927"/>
      <c r="E221" s="995"/>
      <c r="F221" s="996"/>
      <c r="G221" s="997"/>
      <c r="H221" s="1062"/>
      <c r="I221" s="990"/>
      <c r="J221" s="908"/>
      <c r="K221" s="909"/>
      <c r="L221" s="1001">
        <f>L215+1</f>
        <v>5</v>
      </c>
      <c r="M221" s="1064" t="str">
        <f t="shared" ref="M221" si="3538">IFERROR(IF($AE$17="",IF($AG$19="Wind Loading",MIN($V$31,IF(E$11="ASCE 7-05",$U$26,$V$7)*$V$9*(IF($E$12&lt;60,0.156*LN(MAX(MIN(500,O215),10)) -1.7618,IF($E$11="ASCE 7-22", 0.2026*LN(MAX(MIN(500,O215),20))-2.2638,0.2503*LN(MAX(MIN(500,O215),20)) -2.5526))-$V$8)),$V$7*IF(E$12&lt;60,$V$13*($V$15*(0.156*LN(MAX(MIN(500,O215),10)) -1.7618)-$V$16),$V$13*$V$15*((0.2026*LN(MAX(MIN(500,O215),20))-2.2638)-$V$16))),-ABS($AE$17)),"")</f>
        <v/>
      </c>
      <c r="N221" s="1041" t="str">
        <f t="shared" ref="N221" si="3539">IFERROR(IF($AE$19="",IF($AG$19="Wind Loading",MAX($U$31,IF(E$11="ASCE 7-05",$U$26,$V$7)*$V$9*((IF($E$12&lt;60,-0.077*LN(MAX(MIN(500,O215),10))+1.1737,IF($E$11="ASCE 7-22",-0.077*LN(MAX(MIN(500,O215),20))+1.0798,-0.093*LN(MAX(MIN(500,O215),20))+1.1776)))+$V$8)),$V$7*IF(E$12&lt;60,$V$13*($V$15*(-0.077*LN(MAX(MIN(500,O215),10))+1.1737)-$V$17),$V$13*$V$15*((-0.077*LN(MAX(MIN(500,O215),20))+1.0798)-$V$17))),ABS($AE$19)),"")</f>
        <v/>
      </c>
      <c r="O221" s="1018"/>
      <c r="P221" s="987"/>
      <c r="Q221" s="1015"/>
      <c r="R221" s="1012">
        <f>P221*Q221/8</f>
        <v>0</v>
      </c>
      <c r="S221" s="1006"/>
      <c r="T221" s="1007"/>
      <c r="U221" s="878"/>
      <c r="V221" s="881"/>
      <c r="W221" s="883" t="e">
        <f t="shared" ref="W221" si="3540">MAX(-M221,N221)*O215</f>
        <v>#VALUE!</v>
      </c>
      <c r="X221" s="884"/>
      <c r="Y221" s="886">
        <f>IFERROR(IF(AG$14="Trapezoidal",BY224,BX224)+IF($E$17="4",(400*E215^3)/(48*X215),0),0)</f>
        <v>0</v>
      </c>
      <c r="Z221" s="886" t="e">
        <f t="shared" ref="Z221" si="3541">+($V215*MAX(-$M221,$N221)*$E215^2)/(144*8)+IF($E$17=4,(400*$E215)/4,0)</f>
        <v>#VALUE!</v>
      </c>
      <c r="AA221" s="887"/>
      <c r="AB221" s="1080" t="str">
        <f t="shared" ref="AB221" ca="1" si="3542">IFERROR(Z221-AA215,"")</f>
        <v/>
      </c>
      <c r="AC221" s="1086" t="str">
        <f t="shared" ref="AC221" ca="1" si="3543">IFERROR(Y221-U215,"")</f>
        <v/>
      </c>
      <c r="AD221" s="1074" t="str">
        <f t="shared" ref="AD221" si="3544">AD215</f>
        <v/>
      </c>
      <c r="AE221" s="1075"/>
      <c r="AF221" s="1056"/>
      <c r="AG221" s="1057"/>
      <c r="AH221" s="1057"/>
      <c r="AI221" s="1088"/>
      <c r="AJ221" s="1089"/>
      <c r="AK221" s="162" t="str">
        <f t="shared" ca="1" si="2393"/>
        <v/>
      </c>
      <c r="AL221" s="1058" t="str">
        <f t="shared" ref="AL221" si="3545">IFERROR(ROUND(SQRT(P215^2+(W221/2+IF($E$17=4,200,0))^2),0),"")</f>
        <v/>
      </c>
      <c r="AM221" s="342" t="s">
        <v>669</v>
      </c>
      <c r="AN221" t="str">
        <f t="shared" ca="1" si="2409"/>
        <v/>
      </c>
      <c r="AP221" s="122" t="str">
        <f t="shared" ref="AP221" si="3546">_xlfn.CONCAT(AR221,AS226)</f>
        <v/>
      </c>
      <c r="AQ221" s="683" t="str">
        <f t="shared" si="2617"/>
        <v/>
      </c>
      <c r="AR221" s="96" t="str">
        <f t="shared" si="2378"/>
        <v/>
      </c>
      <c r="AS221" s="96" t="str">
        <f>IF(COUNTIF(imp_1,AF221)=1,"imp_1",IF(COUNTIF(imp_2,AF221)=1,"imp_2",IF(COUNTIF(imp_3,AF221)=1,"imp_3",IF(COUNTIF(impdoor,AF221)=1,"impdoor",""))))</f>
        <v/>
      </c>
      <c r="AT221" s="684" t="str">
        <f>AL221</f>
        <v/>
      </c>
      <c r="AU221" s="685" t="e">
        <f t="shared" ca="1" si="2633"/>
        <v>#REF!</v>
      </c>
      <c r="AV221" s="686" t="str">
        <f ca="1">IFERROR(VLOOKUP(AU221,INDIRECT(AQ215),2,FALSE),"----")</f>
        <v>----</v>
      </c>
      <c r="AW221" s="685" t="e">
        <f t="shared" ca="1" si="2634"/>
        <v>#REF!</v>
      </c>
      <c r="AX221" s="686" t="str">
        <f ca="1">IFERROR(VLOOKUP(AW221,INDIRECT(AQ216),2,FALSE),"----")</f>
        <v>----</v>
      </c>
      <c r="AY221" s="685" t="e">
        <f t="shared" ca="1" si="3524"/>
        <v>#REF!</v>
      </c>
      <c r="AZ221" s="686" t="str">
        <f ca="1">IFERROR(VLOOKUP(AY221,INDIRECT(AQ217),2,FALSE),"----")</f>
        <v>----</v>
      </c>
      <c r="BA221" s="685" t="e">
        <f t="shared" ca="1" si="3525"/>
        <v>#REF!</v>
      </c>
      <c r="BB221" s="686" t="str">
        <f ca="1">IFERROR(VLOOKUP(BA221,INDIRECT(AQ218),2,FALSE),"----")</f>
        <v>----</v>
      </c>
      <c r="BC221" s="685" t="e">
        <f t="shared" ca="1" si="2635"/>
        <v>#REF!</v>
      </c>
      <c r="BD221" s="686" t="str">
        <f ca="1">IFERROR(VLOOKUP(BC221,INDIRECT(AQ219),2,FALSE),"----")</f>
        <v>----</v>
      </c>
      <c r="BE221" s="685" t="e">
        <f t="shared" ca="1" si="2636"/>
        <v>#REF!</v>
      </c>
      <c r="BF221" s="686" t="str">
        <f ca="1">IFERROR(VLOOKUP(BE221,INDIRECT(AQ220),2,FALSE),"----")</f>
        <v>----</v>
      </c>
      <c r="BG221" s="702" t="e">
        <f t="shared" ca="1" si="2637"/>
        <v>#REF!</v>
      </c>
      <c r="BH221" s="686" t="str">
        <f ca="1">IFERROR(VLOOKUP(BG221,INDIRECT(AQ221),2,FALSE),"----")</f>
        <v>----</v>
      </c>
      <c r="BI221" s="702" t="e">
        <f t="shared" ca="1" si="2638"/>
        <v>#REF!</v>
      </c>
      <c r="BJ221" s="686" t="str">
        <f ca="1">IFERROR(VLOOKUP(BI221,INDIRECT(AQ222),2,FALSE),"----")</f>
        <v>----</v>
      </c>
      <c r="BK221" s="702" t="e">
        <f t="shared" ca="1" si="2639"/>
        <v>#REF!</v>
      </c>
      <c r="BL221" s="686" t="str">
        <f ca="1">IFERROR(VLOOKUP(BK221,INDIRECT(AQ223),2,FALSE),"----")</f>
        <v>----</v>
      </c>
      <c r="BM221" s="702" t="e">
        <f t="shared" ca="1" si="2640"/>
        <v>#REF!</v>
      </c>
      <c r="BN221" s="686" t="str">
        <f ca="1">IFERROR(VLOOKUP(BM221,INDIRECT(AQ224),2,FALSE),"----")</f>
        <v>----</v>
      </c>
      <c r="BO221" s="702" t="e">
        <f t="shared" ca="1" si="2641"/>
        <v>#REF!</v>
      </c>
      <c r="BP221" s="686" t="str">
        <f ca="1">IFERROR(VLOOKUP(BO221,INDIRECT(AQ225),2,FALSE),"----")</f>
        <v>----</v>
      </c>
      <c r="BQ221" s="702" t="e">
        <f t="shared" ca="1" si="2642"/>
        <v>#REF!</v>
      </c>
      <c r="BR221" s="686" t="str">
        <f ca="1">IFERROR(VLOOKUP(BQ221,INDIRECT(AQ226),2,FALSE),"----")</f>
        <v>----</v>
      </c>
      <c r="BS221" s="695">
        <f>IF(AI221="",1,IF(COUNTIF(BH215:BH226,AI221)=0,2,1))</f>
        <v>1</v>
      </c>
      <c r="BT221" s="696">
        <f>IF(AP221="1",1,IF(AF221="",1,IF(BH215=".",2,1)))</f>
        <v>1</v>
      </c>
      <c r="BU221" s="706"/>
      <c r="BV221" s="155">
        <f ca="1">IF(COUNTIF(DI215:DI226,AF221)=0,IF(AF221&lt;&gt;"",0,1),1)</f>
        <v>1</v>
      </c>
      <c r="BW221" s="157">
        <f ca="1">IFERROR(MATCH(AF221,DI215:DI226,0),1)</f>
        <v>1</v>
      </c>
      <c r="BX221" s="769" t="s">
        <v>1593</v>
      </c>
      <c r="BY221" s="769" t="s">
        <v>1629</v>
      </c>
      <c r="BZ221" s="1110"/>
      <c r="CA221" s="691" t="e">
        <f t="shared" ca="1" si="3443"/>
        <v>#REF!</v>
      </c>
      <c r="CB221" s="4" t="e" cm="1">
        <f t="array" aca="1" ref="CB221" ca="1">IF(AND(INDEX(INDIRECT(BY215),CA221,4)&gt;=$AB215,INDEX(INDIRECT(BY215),CA221,5)&gt;=$S215,INDEX(INDIRECT(BY215),CA221,6)&gt;=$R215),1,0)</f>
        <v>#REF!</v>
      </c>
      <c r="CC221" s="4" t="e">
        <f t="shared" ref="CC221" ca="1" si="3547">MATCH(1,OFFSET(CB215:CB226,CD220,0,COUNT(CB215:CB226)-CD220),0)</f>
        <v>#REF!</v>
      </c>
      <c r="CD221" s="4" t="e">
        <f t="shared" ca="1" si="3445"/>
        <v>#REF!</v>
      </c>
      <c r="CE221" s="692" t="str" cm="1">
        <f t="array" aca="1" ref="CE221" ca="1">IFERROR(VLOOKUP(INDEX(CA215:CA226,CD221),INDIRECT(BY215),2,FALSE),"----")</f>
        <v>----</v>
      </c>
      <c r="CF221" s="691" t="e">
        <f t="shared" ca="1" si="3446"/>
        <v>#N/A</v>
      </c>
      <c r="CG221" s="4" t="e">
        <f ca="1">IF(AND(INDEX(SSM,CF221,4)&gt;=$AB215,INDEX(SSM,CF221,5)&gt;=$S215,INDEX(SSM,CF221,6)&gt;=$R215),1,0)</f>
        <v>#N/A</v>
      </c>
      <c r="CH221" s="4" t="e">
        <f t="shared" ref="CH221" ca="1" si="3548">MATCH(1,OFFSET(CG215:CG226,CI220,0,COUNT(CG215:CG226)-CI220),0)</f>
        <v>#REF!</v>
      </c>
      <c r="CI221" s="4" t="e">
        <f t="shared" ca="1" si="3448"/>
        <v>#REF!</v>
      </c>
      <c r="CJ221" s="692" t="str">
        <f ca="1">IFERROR(IF(AD216="Nested Steel Stud (wood infill)",VLOOKUP(INDEX(CF215:CF226,CI221),SSW,2,FALSE),VLOOKUP(INDEX(CF215:CF226,CI221),SSM,2,FALSE)),"----")</f>
        <v>----</v>
      </c>
      <c r="CK221" s="691" t="e">
        <f t="shared" ca="1" si="3449"/>
        <v>#N/A</v>
      </c>
      <c r="CL221" s="4" t="e">
        <f ca="1">IF(AND(INDEX(WSM,CK221,4)&gt;=$AB215,INDEX(WSM,CK221,5)&gt;=$S215,INDEX(WSM,CK221,6)&gt;=$R215),1,0)</f>
        <v>#N/A</v>
      </c>
      <c r="CM221" s="4" t="e">
        <f t="shared" ref="CM221" ca="1" si="3549">MATCH(1,OFFSET(CL215:CL226,CN220,0,COUNT(CL215:CL226)-CN220),0)</f>
        <v>#REF!</v>
      </c>
      <c r="CN221" s="4" t="e">
        <f t="shared" ca="1" si="3451"/>
        <v>#REF!</v>
      </c>
      <c r="CO221" s="692" t="str">
        <f ca="1">IFERROR(VLOOKUP(INDEX(CK215:CK226,CN221),WSM,2,FALSE),"----")</f>
        <v>----</v>
      </c>
      <c r="CP221" s="691" t="e">
        <f t="shared" ca="1" si="3452"/>
        <v>#N/A</v>
      </c>
      <c r="CQ221" s="4" t="e">
        <f ca="1">IF(AND(INDEX(STM,CP221,4)&gt;=$AB215,INDEX(STM,CP221,5)&gt;=$S215,INDEX(STM,CP221,6)&gt;=$R215),1,0)</f>
        <v>#N/A</v>
      </c>
      <c r="CR221" s="4" t="e">
        <f t="shared" ref="CR221" ca="1" si="3550">MATCH(1,OFFSET(CQ215:CQ226,CS220,0,COUNT(CQ215:CQ226)-CS220),0)</f>
        <v>#REF!</v>
      </c>
      <c r="CS221" s="4" t="e">
        <f t="shared" ca="1" si="3454"/>
        <v>#REF!</v>
      </c>
      <c r="CT221" s="692" t="str">
        <f ca="1">IFERROR(VLOOKUP(INDEX(CP215:CP226,CS221),STM,2,FALSE),"----")</f>
        <v>----</v>
      </c>
      <c r="CU221" s="691" t="e">
        <f t="shared" ca="1" si="3455"/>
        <v>#N/A</v>
      </c>
      <c r="CV221" s="4" t="e">
        <f ca="1">IF(AND(INDEX(ELM,CU221,4)&gt;=$AB215,INDEX(ELM,CU221,5)&gt;=$S215,INDEX(ELM,CU221,6)&gt;=$R215),1,0)</f>
        <v>#N/A</v>
      </c>
      <c r="CW221" s="4" t="e">
        <f t="shared" ref="CW221" ca="1" si="3551">MATCH(1,OFFSET(CV215:CV226,CX220,0,COUNT(CV215:CV226)-CX220),0)</f>
        <v>#REF!</v>
      </c>
      <c r="CX221" s="4" t="e">
        <f t="shared" ca="1" si="3457"/>
        <v>#REF!</v>
      </c>
      <c r="CY221" s="692" t="str">
        <f ca="1">IFERROR(VLOOKUP(INDEX(CU215:CU226,CX221),ELM,2,FALSE),"----")</f>
        <v>----</v>
      </c>
      <c r="CZ221" s="691" t="e">
        <f t="shared" ca="1" si="3458"/>
        <v>#N/A</v>
      </c>
      <c r="DA221" s="4" t="e">
        <f ca="1">IF(LEFT($J215,7)="Clad Wo",IF(AND(INDEX(SPPWS,CZ221,4)&gt;=$AB215,INDEX(SPPWS,CZ221,5)&gt;=$S215,INDEX(SPPWS,CZ221,6)&gt;=$R215),1,0),IF(AND(INDEX(SPM,CZ221,4)&gt;=$AB215,INDEX(SPM,CZ221,5)&gt;=$S215,INDEX(SPM,CZ221,6)&gt;=$R215),1,0))</f>
        <v>#N/A</v>
      </c>
      <c r="DB221" s="4" t="e">
        <f t="shared" ref="DB221" ca="1" si="3552">MATCH(1,OFFSET(DA215:DA226,DC220,0,COUNT(DA215:DA226)-DC220),0)</f>
        <v>#REF!</v>
      </c>
      <c r="DC221" s="4" t="e">
        <f t="shared" ca="1" si="3460"/>
        <v>#REF!</v>
      </c>
      <c r="DD221" s="693" t="str">
        <f ca="1">IF(LEFT($J215,7)="Clad Wo",IFERROR(VLOOKUP(INDEX(CZ215:CZ226,DC221),SPPWS,2,FALSE),"----"),IFERROR(VLOOKUP(INDEX(CZ215:CZ226,DC221),SPM,2,FALSE),"----"))</f>
        <v>----</v>
      </c>
      <c r="DE221" s="691" t="e">
        <f t="shared" ca="1" si="3461"/>
        <v>#REF!</v>
      </c>
      <c r="DF221" s="4" t="e" cm="1">
        <f t="array" aca="1" ref="DF221" ca="1">IF(AND(INDEX(INDIRECT(BY215),DE221,4)&gt;=$AB221,INDEX(INDIRECT(BY215),DE221,5)&gt;=$S215,INDEX(INDIRECT(BY215),DE221,6)&gt;=$R215),1,0)</f>
        <v>#REF!</v>
      </c>
      <c r="DG221" s="4" t="e">
        <f t="shared" ref="DG221" ca="1" si="3553">MATCH(1,OFFSET(DF215:DF226,DH220,0,COUNT(DF215:DF226)-DH220),0)</f>
        <v>#REF!</v>
      </c>
      <c r="DH221" s="4" t="e">
        <f t="shared" ca="1" si="3463"/>
        <v>#REF!</v>
      </c>
      <c r="DI221" s="692" t="str" cm="1">
        <f t="array" aca="1" ref="DI221" ca="1">IFERROR(VLOOKUP(INDEX(DE215:DE226,DH221),INDIRECT(BY215),2,FALSE),"----")</f>
        <v>----</v>
      </c>
      <c r="DJ221" s="691" t="e">
        <f t="shared" ca="1" si="3464"/>
        <v>#N/A</v>
      </c>
      <c r="DK221" s="4" t="e">
        <f ca="1">IF(AND(INDEX(SSM,DJ221,4)&gt;=$AB221,INDEX(SSM,DJ221,5)&gt;=$S215,INDEX(SSM,DJ221,6)&gt;=$R215),1,0)</f>
        <v>#N/A</v>
      </c>
      <c r="DL221" s="4" t="e">
        <f t="shared" ref="DL221" ca="1" si="3554">MATCH(1,OFFSET(DK215:DK226,DM220,0,COUNT(DK215:DK226)-DM220),0)</f>
        <v>#REF!</v>
      </c>
      <c r="DM221" s="4" t="e">
        <f t="shared" ca="1" si="3466"/>
        <v>#REF!</v>
      </c>
      <c r="DN221" s="692" t="str">
        <f ca="1">IFERROR(IF(AD222="Nested Steel Stud (wood infill)",VLOOKUP(INDEX(DJ215:DJ226,DM221),SSW,2,FALSE),VLOOKUP(INDEX(DJ215:DJ226,DM221),SSM,2,FALSE)),"----")</f>
        <v>----</v>
      </c>
      <c r="DO221" s="691" t="e">
        <f t="shared" ca="1" si="3467"/>
        <v>#N/A</v>
      </c>
      <c r="DP221" s="4" t="e">
        <f ca="1">IF(AND(INDEX(WSM,DO221,4)&gt;=$AB221,INDEX(WSM,DO221,5)&gt;=$S215,INDEX(WSM,DO221,6)&gt;=$R215),1,0)</f>
        <v>#N/A</v>
      </c>
      <c r="DQ221" s="4" t="e">
        <f t="shared" ref="DQ221" ca="1" si="3555">MATCH(1,OFFSET(DP215:DP226,DR220,0,COUNT(DP215:DP226)-DR220),0)</f>
        <v>#REF!</v>
      </c>
      <c r="DR221" s="4" t="e">
        <f t="shared" ca="1" si="3469"/>
        <v>#REF!</v>
      </c>
      <c r="DS221" s="692" t="str">
        <f ca="1">IFERROR(VLOOKUP(INDEX(DO215:DO226,DR221),WSM,2,FALSE),"----")</f>
        <v>----</v>
      </c>
      <c r="DT221" s="691" t="e">
        <f t="shared" ca="1" si="3470"/>
        <v>#N/A</v>
      </c>
      <c r="DU221" s="4" t="e">
        <f ca="1">IF(AND(INDEX(STM,DT221,4)&gt;=$AB221,INDEX(STM,DT221,5)&gt;=$S215,INDEX(STM,DT221,6)&gt;=$R215),1,0)</f>
        <v>#N/A</v>
      </c>
      <c r="DV221" s="4" t="e">
        <f t="shared" ref="DV221" ca="1" si="3556">MATCH(1,OFFSET(DU215:DU226,DW220,0,COUNT(DU215:DU226)-DW220),0)</f>
        <v>#REF!</v>
      </c>
      <c r="DW221" s="4" t="e">
        <f t="shared" ca="1" si="3472"/>
        <v>#REF!</v>
      </c>
      <c r="DX221" s="692" t="str">
        <f ca="1">IFERROR(VLOOKUP(INDEX(DT215:DT226,DW221),STM,2,FALSE),"----")</f>
        <v>----</v>
      </c>
      <c r="DY221" s="691" t="e">
        <f t="shared" ca="1" si="3473"/>
        <v>#N/A</v>
      </c>
      <c r="DZ221" s="4" t="e">
        <f ca="1">IF(AND(INDEX(ELM,DY221,4)&gt;=$AB221,INDEX(ELM,DY221,5)&gt;=$S215,INDEX(ELM,DY221,6)&gt;=$R215),1,0)</f>
        <v>#N/A</v>
      </c>
      <c r="EA221" s="4" t="e">
        <f t="shared" ref="EA221" ca="1" si="3557">MATCH(1,OFFSET(DZ215:DZ226,EB220,0,COUNT(DZ215:DZ226)-EB220),0)</f>
        <v>#REF!</v>
      </c>
      <c r="EB221" s="4" t="e">
        <f t="shared" ca="1" si="3475"/>
        <v>#REF!</v>
      </c>
      <c r="EC221" s="692" t="str">
        <f ca="1">IFERROR(VLOOKUP(INDEX(DY215:DY226,EB221),ELM,2,FALSE),"----")</f>
        <v>----</v>
      </c>
      <c r="ED221" s="691" t="e">
        <f t="shared" ca="1" si="3476"/>
        <v>#N/A</v>
      </c>
      <c r="EE221" s="4" t="e">
        <f ca="1">IF(LEFT($J215,7)="Clad Wo",IF(AND(INDEX(SPPWS,ED221,4)&gt;=$AB221,INDEX(SPPWS,ED221,5)&gt;=$S215,INDEX(SPPWS,ED221,6)&gt;=$R215),1,0),IF(AND(INDEX(SPM,ED221,4)&gt;=$AB221,INDEX(SPM,ED221,5)&gt;=$S215,INDEX(SPM,ED221,6)&gt;=$R215),1,0))</f>
        <v>#N/A</v>
      </c>
      <c r="EF221" s="4" t="e">
        <f t="shared" ref="EF221" ca="1" si="3558">MATCH(1,OFFSET(EE215:EE226,EG220,0,COUNT(EE215:EE226)-EG220),0)</f>
        <v>#REF!</v>
      </c>
      <c r="EG221" s="4" t="e">
        <f t="shared" ca="1" si="3478"/>
        <v>#REF!</v>
      </c>
      <c r="EH221" s="692" t="str">
        <f ca="1">IF(LEFT($J215,7)="Clad Wo",IFERROR(VLOOKUP(INDEX(ED215:ED226,EG221),SPPWS,2,FALSE),"----"),IFERROR(VLOOKUP(INDEX(ED215:ED226,EG221),SPM,2,FALSE),"----"))</f>
        <v>----</v>
      </c>
    </row>
    <row r="222" spans="1:138" ht="15" customHeight="1" x14ac:dyDescent="0.25">
      <c r="A222" s="1085"/>
      <c r="B222" s="925"/>
      <c r="C222" s="926"/>
      <c r="D222" s="927"/>
      <c r="E222" s="995"/>
      <c r="F222" s="996"/>
      <c r="G222" s="997"/>
      <c r="H222" s="1062"/>
      <c r="I222" s="990"/>
      <c r="J222" s="912"/>
      <c r="K222" s="913"/>
      <c r="L222" s="1002"/>
      <c r="M222" s="923"/>
      <c r="N222" s="1042"/>
      <c r="O222" s="1018"/>
      <c r="P222" s="987"/>
      <c r="Q222" s="1015"/>
      <c r="R222" s="1012"/>
      <c r="S222" s="1006"/>
      <c r="T222" s="1007"/>
      <c r="U222" s="878"/>
      <c r="V222" s="881"/>
      <c r="W222" s="884"/>
      <c r="X222" s="884"/>
      <c r="Y222" s="887"/>
      <c r="Z222" s="887"/>
      <c r="AA222" s="887"/>
      <c r="AB222" s="1081"/>
      <c r="AC222" s="1078"/>
      <c r="AD222" s="1070" t="str">
        <f t="shared" ref="AD222" si="3559">IF(ISBLANK(AD216)=TRUE,"",AD216)</f>
        <v>Nested Steel Stud</v>
      </c>
      <c r="AE222" s="1071"/>
      <c r="AF222" s="1052"/>
      <c r="AG222" s="1053"/>
      <c r="AH222" s="1053"/>
      <c r="AI222" s="1066"/>
      <c r="AJ222" s="1067"/>
      <c r="AK222" s="156" t="str">
        <f t="shared" ca="1" si="2393"/>
        <v/>
      </c>
      <c r="AL222" s="1059"/>
      <c r="AM222" s="343" t="str">
        <f ca="1">IFERROR(Q215/12*ROUND(VLOOKUP(AF222,OFFSET(SSM,0,1),6,FALSE),2),"")</f>
        <v/>
      </c>
      <c r="AN222" t="str">
        <f t="shared" ca="1" si="2409"/>
        <v/>
      </c>
      <c r="AP222" s="122" t="str">
        <f t="shared" ref="AP222" si="3560">_xlfn.CONCAT(AR222,AS226)</f>
        <v/>
      </c>
      <c r="AQ222" s="683" t="str">
        <f t="shared" si="2617"/>
        <v/>
      </c>
      <c r="AR222" s="96" t="str">
        <f t="shared" si="2378"/>
        <v/>
      </c>
      <c r="AS222" s="96" t="str">
        <f>IF(COUNTIF(Vista_1,AF221)=1,"Vista_1",IF(COUNTIF(Vista_2,AF221)=1,"Vista_2",""))</f>
        <v/>
      </c>
      <c r="AT222" s="684" t="str">
        <f>AL221</f>
        <v/>
      </c>
      <c r="AU222" s="694" t="e">
        <f t="shared" ca="1" si="2633"/>
        <v>#REF!</v>
      </c>
      <c r="AV222" s="686" t="str">
        <f ca="1">IFERROR(VLOOKUP(AU222,INDIRECT(AQ215),2,FALSE),"----")</f>
        <v>----</v>
      </c>
      <c r="AW222" s="694" t="e">
        <f t="shared" ca="1" si="2634"/>
        <v>#REF!</v>
      </c>
      <c r="AX222" s="686" t="str">
        <f ca="1">IFERROR(VLOOKUP(AW222,INDIRECT(AQ216),2,FALSE),"----")</f>
        <v>----</v>
      </c>
      <c r="AY222" s="694" t="e">
        <f t="shared" ca="1" si="3524"/>
        <v>#REF!</v>
      </c>
      <c r="AZ222" s="686" t="str">
        <f ca="1">IFERROR(VLOOKUP(AY222,INDIRECT(AQ217),2,FALSE),"----")</f>
        <v>----</v>
      </c>
      <c r="BA222" s="694" t="e">
        <f t="shared" ca="1" si="3525"/>
        <v>#REF!</v>
      </c>
      <c r="BB222" s="686" t="str">
        <f ca="1">IFERROR(VLOOKUP(BA222,INDIRECT(AQ218),2,FALSE),"----")</f>
        <v>----</v>
      </c>
      <c r="BC222" s="694" t="e">
        <f t="shared" ca="1" si="2635"/>
        <v>#REF!</v>
      </c>
      <c r="BD222" s="686" t="str">
        <f ca="1">IFERROR(VLOOKUP(BC222,INDIRECT(AQ219),2,FALSE),"----")</f>
        <v>----</v>
      </c>
      <c r="BE222" s="694" t="e">
        <f t="shared" ca="1" si="2636"/>
        <v>#REF!</v>
      </c>
      <c r="BF222" s="686" t="str">
        <f ca="1">IFERROR(VLOOKUP(BE222,INDIRECT(AQ220),2,FALSE),"----")</f>
        <v>----</v>
      </c>
      <c r="BG222" s="702" t="e">
        <f t="shared" ca="1" si="2637"/>
        <v>#REF!</v>
      </c>
      <c r="BH222" s="686" t="str">
        <f ca="1">IFERROR(VLOOKUP(BG222,INDIRECT(AQ221),2,FALSE),"----")</f>
        <v>----</v>
      </c>
      <c r="BI222" s="702" t="e">
        <f t="shared" ca="1" si="2638"/>
        <v>#REF!</v>
      </c>
      <c r="BJ222" s="686" t="str">
        <f ca="1">IFERROR(VLOOKUP(BI222,INDIRECT(AQ222),2,FALSE),"----")</f>
        <v>----</v>
      </c>
      <c r="BK222" s="702" t="e">
        <f t="shared" ca="1" si="2639"/>
        <v>#REF!</v>
      </c>
      <c r="BL222" s="686" t="str">
        <f ca="1">IFERROR(VLOOKUP(BK222,INDIRECT(AQ223),2,FALSE),"----")</f>
        <v>----</v>
      </c>
      <c r="BM222" s="702" t="e">
        <f t="shared" ca="1" si="2640"/>
        <v>#REF!</v>
      </c>
      <c r="BN222" s="686" t="str">
        <f ca="1">IFERROR(VLOOKUP(BM222,INDIRECT(AQ224),2,FALSE),"----")</f>
        <v>----</v>
      </c>
      <c r="BO222" s="702" t="e">
        <f t="shared" ca="1" si="2641"/>
        <v>#REF!</v>
      </c>
      <c r="BP222" s="686" t="str">
        <f ca="1">IFERROR(VLOOKUP(BO222,INDIRECT(AQ225),2,FALSE),"----")</f>
        <v>----</v>
      </c>
      <c r="BQ222" s="702" t="e">
        <f t="shared" ca="1" si="2642"/>
        <v>#REF!</v>
      </c>
      <c r="BR222" s="686" t="str">
        <f ca="1">IFERROR(VLOOKUP(BQ222,INDIRECT(AQ226),2,FALSE),"----")</f>
        <v>----</v>
      </c>
      <c r="BS222" s="695">
        <f>IF(AI222="",1,IF(COUNTIF(BJ215:BJ226,AI222)=0,2,1))</f>
        <v>1</v>
      </c>
      <c r="BT222" s="696">
        <f>IF(AF222="",1,IF(BJ215=".",2,1))</f>
        <v>1</v>
      </c>
      <c r="BU222" s="706"/>
      <c r="BV222" s="155">
        <f ca="1">IF(COUNTIF(DN215:DN226,AF222)=0,IF(AF222&lt;&gt;"",0,1),1)</f>
        <v>1</v>
      </c>
      <c r="BW222" s="157">
        <f ca="1">IFERROR(MATCH(AF222,DN215:DN226,0),1)</f>
        <v>1</v>
      </c>
      <c r="BX222" s="769">
        <f t="shared" ref="BX222" si="3561">E215*(H215+I215)/144/2</f>
        <v>0</v>
      </c>
      <c r="BY222" s="769">
        <f>SUM(IF(H215&gt;E215,E215^2/4,(H215*E215/2)-(H215^2/4))/144,IF(I215&gt;E215,E215^2/4,(I215*E215/2)-(I215^2/4))/144)</f>
        <v>0</v>
      </c>
      <c r="BZ222" s="1110"/>
      <c r="CA222" s="691" t="e">
        <f t="shared" ca="1" si="3443"/>
        <v>#REF!</v>
      </c>
      <c r="CB222" s="4" t="e" cm="1">
        <f t="array" aca="1" ref="CB222" ca="1">IF(AND(INDEX(INDIRECT(BY215),CA222,4)&gt;=$AB215,INDEX(INDIRECT(BY215),CA222,5)&gt;=$S215,INDEX(INDIRECT(BY215),CA222,6)&gt;=$R215),1,0)</f>
        <v>#REF!</v>
      </c>
      <c r="CC222" s="4" t="e">
        <f t="shared" ref="CC222" ca="1" si="3562">MATCH(1,OFFSET(CB215:CB226,CD221,0,COUNT(CB215:CB226)-CD221),0)</f>
        <v>#REF!</v>
      </c>
      <c r="CD222" s="4" t="e">
        <f t="shared" ca="1" si="3445"/>
        <v>#REF!</v>
      </c>
      <c r="CE222" s="692" t="str" cm="1">
        <f t="array" aca="1" ref="CE222" ca="1">IFERROR(VLOOKUP(INDEX(CA215:CA226,CD222),INDIRECT(BY215),2,FALSE),"----")</f>
        <v>----</v>
      </c>
      <c r="CF222" s="691" t="e">
        <f t="shared" ca="1" si="3446"/>
        <v>#N/A</v>
      </c>
      <c r="CG222" s="4" t="e">
        <f ca="1">IF(AND(INDEX(SSM,CF222,4)&gt;=$AB215,INDEX(SSM,CF222,5)&gt;=$S215,INDEX(SSM,CF222,6)&gt;=$R215),1,0)</f>
        <v>#N/A</v>
      </c>
      <c r="CH222" s="4" t="e">
        <f t="shared" ref="CH222" ca="1" si="3563">MATCH(1,OFFSET(CG215:CG226,CI221,0,COUNT(CG215:CG226)-CI221),0)</f>
        <v>#REF!</v>
      </c>
      <c r="CI222" s="4" t="e">
        <f t="shared" ca="1" si="3448"/>
        <v>#REF!</v>
      </c>
      <c r="CJ222" s="692" t="str">
        <f ca="1">IFERROR(IF(AD216="Nested Steel Stud (wood infill)",VLOOKUP(INDEX(CF215:CF226,CI222),SSW,2,FALSE),VLOOKUP(INDEX(CF215:CF226,CI222),SSM,2,FALSE)),"----")</f>
        <v>----</v>
      </c>
      <c r="CK222" s="691" t="e">
        <f t="shared" ca="1" si="3449"/>
        <v>#N/A</v>
      </c>
      <c r="CL222" s="4" t="e">
        <f ca="1">IF(AND(INDEX(WSM,CK222,4)&gt;=$AB215,INDEX(WSM,CK222,5)&gt;=$S215,INDEX(WSM,CK222,6)&gt;=$R215),1,0)</f>
        <v>#N/A</v>
      </c>
      <c r="CM222" s="4" t="e">
        <f t="shared" ref="CM222" ca="1" si="3564">MATCH(1,OFFSET(CL215:CL226,CN221,0,COUNT(CL215:CL226)-CN221),0)</f>
        <v>#REF!</v>
      </c>
      <c r="CN222" s="4" t="e">
        <f t="shared" ca="1" si="3451"/>
        <v>#REF!</v>
      </c>
      <c r="CO222" s="692" t="str">
        <f ca="1">IFERROR(VLOOKUP(INDEX(CK215:CK226,CN222),WSM,2,FALSE),"----")</f>
        <v>----</v>
      </c>
      <c r="CP222" s="691" t="e">
        <f t="shared" ca="1" si="3452"/>
        <v>#N/A</v>
      </c>
      <c r="CQ222" s="4" t="e">
        <f ca="1">IF(AND(INDEX(STM,CP222,4)&gt;=$AB215,INDEX(STM,CP222,5)&gt;=$S215,INDEX(STM,CP222,6)&gt;=$R215),1,0)</f>
        <v>#N/A</v>
      </c>
      <c r="CR222" s="4" t="e">
        <f t="shared" ref="CR222" ca="1" si="3565">MATCH(1,OFFSET(CQ215:CQ226,CS221,0,COUNT(CQ215:CQ226)-CS221),0)</f>
        <v>#REF!</v>
      </c>
      <c r="CS222" s="4" t="e">
        <f t="shared" ca="1" si="3454"/>
        <v>#REF!</v>
      </c>
      <c r="CT222" s="692" t="str">
        <f ca="1">IFERROR(VLOOKUP(INDEX(CP215:CP226,CS222),STM,2,FALSE),"----")</f>
        <v>----</v>
      </c>
      <c r="CU222" s="691" t="e">
        <f t="shared" ca="1" si="3455"/>
        <v>#N/A</v>
      </c>
      <c r="CV222" s="4" t="e">
        <f ca="1">IF(AND(INDEX(ELM,CU222,4)&gt;=$AB215,INDEX(ELM,CU222,5)&gt;=$S215,INDEX(ELM,CU222,6)&gt;=$R215),1,0)</f>
        <v>#N/A</v>
      </c>
      <c r="CW222" s="4" t="e">
        <f t="shared" ref="CW222" ca="1" si="3566">MATCH(1,OFFSET(CV215:CV226,CX221,0,COUNT(CV215:CV226)-CX221),0)</f>
        <v>#REF!</v>
      </c>
      <c r="CX222" s="4" t="e">
        <f t="shared" ca="1" si="3457"/>
        <v>#REF!</v>
      </c>
      <c r="CY222" s="692" t="str">
        <f ca="1">IFERROR(VLOOKUP(INDEX(CU215:CU226,CX222),ELM,2,FALSE),"----")</f>
        <v>----</v>
      </c>
      <c r="CZ222" s="691" t="e">
        <f t="shared" ca="1" si="3458"/>
        <v>#N/A</v>
      </c>
      <c r="DA222" s="4" t="e">
        <f ca="1">IF(LEFT($J215,7)="Clad Wo",IF(AND(INDEX(SPPWS,CZ222,4)&gt;=$AB215,INDEX(SPPWS,CZ222,5)&gt;=$S215,INDEX(SPPWS,CZ222,6)&gt;=$R215),1,0),IF(AND(INDEX(SPM,CZ222,4)&gt;=$AB215,INDEX(SPM,CZ222,5)&gt;=$S215,INDEX(SPM,CZ222,6)&gt;=$R215),1,0))</f>
        <v>#N/A</v>
      </c>
      <c r="DB222" s="4" t="e">
        <f t="shared" ref="DB222" ca="1" si="3567">MATCH(1,OFFSET(DA215:DA226,DC221,0,COUNT(DA215:DA226)-DC221),0)</f>
        <v>#REF!</v>
      </c>
      <c r="DC222" s="4" t="e">
        <f t="shared" ca="1" si="3460"/>
        <v>#REF!</v>
      </c>
      <c r="DD222" s="693" t="str">
        <f ca="1">IF(LEFT($J215,7)="Clad Wo",IFERROR(VLOOKUP(INDEX(CZ215:CZ226,DC222),SPPWS,2,FALSE),"----"),IFERROR(VLOOKUP(INDEX(CZ215:CZ226,DC222),SPM,2,FALSE),"----"))</f>
        <v>----</v>
      </c>
      <c r="DE222" s="691" t="e">
        <f t="shared" ca="1" si="3461"/>
        <v>#REF!</v>
      </c>
      <c r="DF222" s="4" t="e" cm="1">
        <f t="array" aca="1" ref="DF222" ca="1">IF(AND(INDEX(INDIRECT(BY215),DE222,4)&gt;=$AB221,INDEX(INDIRECT(BY215),DE222,5)&gt;=$S215,INDEX(INDIRECT(BY215),DE222,6)&gt;=$R215),1,0)</f>
        <v>#REF!</v>
      </c>
      <c r="DG222" s="4" t="e">
        <f t="shared" ref="DG222" ca="1" si="3568">MATCH(1,OFFSET(DF215:DF226,DH221,0,COUNT(DF215:DF226)-DH221),0)</f>
        <v>#REF!</v>
      </c>
      <c r="DH222" s="4" t="e">
        <f t="shared" ca="1" si="3463"/>
        <v>#REF!</v>
      </c>
      <c r="DI222" s="692" t="str" cm="1">
        <f t="array" aca="1" ref="DI222" ca="1">IFERROR(VLOOKUP(INDEX(DE215:DE226,DH222),INDIRECT(BY215),2,FALSE),"----")</f>
        <v>----</v>
      </c>
      <c r="DJ222" s="691" t="e">
        <f t="shared" ca="1" si="3464"/>
        <v>#N/A</v>
      </c>
      <c r="DK222" s="4" t="e">
        <f ca="1">IF(AND(INDEX(SSM,DJ222,4)&gt;=$AB221,INDEX(SSM,DJ222,5)&gt;=$S215,INDEX(SSM,DJ222,6)&gt;=$R215),1,0)</f>
        <v>#N/A</v>
      </c>
      <c r="DL222" s="4" t="e">
        <f t="shared" ref="DL222" ca="1" si="3569">MATCH(1,OFFSET(DK215:DK226,DM221,0,COUNT(DK215:DK226)-DM221),0)</f>
        <v>#REF!</v>
      </c>
      <c r="DM222" s="4" t="e">
        <f t="shared" ca="1" si="3466"/>
        <v>#REF!</v>
      </c>
      <c r="DN222" s="692" t="str">
        <f ca="1">IFERROR(IF(AD222="Nested Steel Stud (wood infill)",VLOOKUP(INDEX(DJ215:DJ226,DM222),SSW,2,FALSE),VLOOKUP(INDEX(DJ215:DJ226,DM222),SSM,2,FALSE)),"----")</f>
        <v>----</v>
      </c>
      <c r="DO222" s="691" t="e">
        <f t="shared" ca="1" si="3467"/>
        <v>#N/A</v>
      </c>
      <c r="DP222" s="4" t="e">
        <f ca="1">IF(AND(INDEX(WSM,DO222,4)&gt;=$AB221,INDEX(WSM,DO222,5)&gt;=$S215,INDEX(WSM,DO222,6)&gt;=$R215),1,0)</f>
        <v>#N/A</v>
      </c>
      <c r="DQ222" s="4" t="e">
        <f t="shared" ref="DQ222" ca="1" si="3570">MATCH(1,OFFSET(DP215:DP226,DR221,0,COUNT(DP215:DP226)-DR221),0)</f>
        <v>#REF!</v>
      </c>
      <c r="DR222" s="4" t="e">
        <f t="shared" ca="1" si="3469"/>
        <v>#REF!</v>
      </c>
      <c r="DS222" s="692" t="str">
        <f ca="1">IFERROR(VLOOKUP(INDEX(DO215:DO226,DR222),WSM,2,FALSE),"----")</f>
        <v>----</v>
      </c>
      <c r="DT222" s="691" t="e">
        <f t="shared" ca="1" si="3470"/>
        <v>#N/A</v>
      </c>
      <c r="DU222" s="4" t="e">
        <f ca="1">IF(AND(INDEX(STM,DT222,4)&gt;=$AB221,INDEX(STM,DT222,5)&gt;=$S215,INDEX(STM,DT222,6)&gt;=$R215),1,0)</f>
        <v>#N/A</v>
      </c>
      <c r="DV222" s="4" t="e">
        <f t="shared" ref="DV222" ca="1" si="3571">MATCH(1,OFFSET(DU215:DU226,DW221,0,COUNT(DU215:DU226)-DW221),0)</f>
        <v>#REF!</v>
      </c>
      <c r="DW222" s="4" t="e">
        <f t="shared" ca="1" si="3472"/>
        <v>#REF!</v>
      </c>
      <c r="DX222" s="692" t="str">
        <f ca="1">IFERROR(VLOOKUP(INDEX(DT215:DT226,DW222),STM,2,FALSE),"----")</f>
        <v>----</v>
      </c>
      <c r="DY222" s="691" t="e">
        <f t="shared" ca="1" si="3473"/>
        <v>#N/A</v>
      </c>
      <c r="DZ222" s="4" t="e">
        <f ca="1">IF(AND(INDEX(ELM,DY222,4)&gt;=$AB221,INDEX(ELM,DY222,5)&gt;=$S215,INDEX(ELM,DY222,6)&gt;=$R215),1,0)</f>
        <v>#N/A</v>
      </c>
      <c r="EA222" s="4" t="e">
        <f t="shared" ref="EA222" ca="1" si="3572">MATCH(1,OFFSET(DZ215:DZ226,EB221,0,COUNT(DZ215:DZ226)-EB221),0)</f>
        <v>#REF!</v>
      </c>
      <c r="EB222" s="4" t="e">
        <f t="shared" ca="1" si="3475"/>
        <v>#REF!</v>
      </c>
      <c r="EC222" s="692" t="str">
        <f ca="1">IFERROR(VLOOKUP(INDEX(DY215:DY226,EB222),ELM,2,FALSE),"----")</f>
        <v>----</v>
      </c>
      <c r="ED222" s="691" t="e">
        <f t="shared" ca="1" si="3476"/>
        <v>#N/A</v>
      </c>
      <c r="EE222" s="4" t="e">
        <f ca="1">IF(LEFT($J215,7)="Clad Wo",IF(AND(INDEX(SPPWS,ED222,4)&gt;=$AB221,INDEX(SPPWS,ED222,5)&gt;=$S215,INDEX(SPPWS,ED222,6)&gt;=$R215),1,0),IF(AND(INDEX(SPM,ED222,4)&gt;=$AB221,INDEX(SPM,ED222,5)&gt;=$S215,INDEX(SPM,ED222,6)&gt;=$R215),1,0))</f>
        <v>#N/A</v>
      </c>
      <c r="EF222" s="4" t="e">
        <f t="shared" ref="EF222" ca="1" si="3573">MATCH(1,OFFSET(EE215:EE226,EG221,0,COUNT(EE215:EE226)-EG221),0)</f>
        <v>#REF!</v>
      </c>
      <c r="EG222" s="4" t="e">
        <f t="shared" ca="1" si="3478"/>
        <v>#REF!</v>
      </c>
      <c r="EH222" s="692" t="str">
        <f ca="1">IF(LEFT($J215,7)="Clad Wo",IFERROR(VLOOKUP(INDEX(ED215:ED226,EG222),SPPWS,2,FALSE),"----"),IFERROR(VLOOKUP(INDEX(ED215:ED226,EG222),SPM,2,FALSE),"----"))</f>
        <v>----</v>
      </c>
    </row>
    <row r="223" spans="1:138" ht="15" customHeight="1" x14ac:dyDescent="0.25">
      <c r="A223" s="1085"/>
      <c r="B223" s="925"/>
      <c r="C223" s="926"/>
      <c r="D223" s="927"/>
      <c r="E223" s="995"/>
      <c r="F223" s="996"/>
      <c r="G223" s="997"/>
      <c r="H223" s="1062"/>
      <c r="I223" s="990"/>
      <c r="J223" s="902"/>
      <c r="K223" s="903"/>
      <c r="L223" s="1002"/>
      <c r="M223" s="923"/>
      <c r="N223" s="1042"/>
      <c r="O223" s="1018"/>
      <c r="P223" s="987"/>
      <c r="Q223" s="1015"/>
      <c r="R223" s="1012"/>
      <c r="S223" s="1006"/>
      <c r="T223" s="1007"/>
      <c r="U223" s="878"/>
      <c r="V223" s="881"/>
      <c r="W223" s="884"/>
      <c r="X223" s="884"/>
      <c r="Y223" s="887"/>
      <c r="Z223" s="887"/>
      <c r="AA223" s="887"/>
      <c r="AB223" s="1081"/>
      <c r="AC223" s="1078"/>
      <c r="AD223" s="1070" t="str">
        <f t="shared" si="3099"/>
        <v>Wood Stud Framing</v>
      </c>
      <c r="AE223" s="1071"/>
      <c r="AF223" s="1052"/>
      <c r="AG223" s="1053"/>
      <c r="AH223" s="1053"/>
      <c r="AI223" s="1066"/>
      <c r="AJ223" s="1067"/>
      <c r="AK223" s="156" t="str">
        <f t="shared" ca="1" si="2393"/>
        <v/>
      </c>
      <c r="AL223" s="1059"/>
      <c r="AM223" s="344" t="str">
        <f ca="1">IFERROR(Q215/12*ROUND(VLOOKUP(AF223,OFFSET(WSM,0,1),6,FALSE),2),"")</f>
        <v/>
      </c>
      <c r="AN223" t="str">
        <f t="shared" ca="1" si="2409"/>
        <v/>
      </c>
      <c r="AP223" s="122" t="str">
        <f t="shared" ref="AP223" si="3574">_xlfn.CONCAT(AR223,AS226)</f>
        <v/>
      </c>
      <c r="AQ223" s="683" t="str">
        <f t="shared" si="2617"/>
        <v/>
      </c>
      <c r="AR223" s="4" t="str">
        <f t="shared" si="2378"/>
        <v/>
      </c>
      <c r="AS223" s="4"/>
      <c r="AT223" s="697" t="str">
        <f>AL221</f>
        <v/>
      </c>
      <c r="AU223" s="694" t="e">
        <f t="shared" ca="1" si="2633"/>
        <v>#REF!</v>
      </c>
      <c r="AV223" s="686" t="str">
        <f ca="1">IFERROR(VLOOKUP(AU223,INDIRECT(AQ215),2,FALSE),"----")</f>
        <v>----</v>
      </c>
      <c r="AW223" s="694" t="e">
        <f t="shared" ca="1" si="2634"/>
        <v>#REF!</v>
      </c>
      <c r="AX223" s="686" t="str">
        <f ca="1">IFERROR(VLOOKUP(AW223,INDIRECT(AQ216),2,FALSE),"----")</f>
        <v>----</v>
      </c>
      <c r="AY223" s="694" t="e">
        <f t="shared" ca="1" si="3524"/>
        <v>#REF!</v>
      </c>
      <c r="AZ223" s="686" t="str">
        <f ca="1">IFERROR(VLOOKUP(AY223,INDIRECT(AQ217),2,FALSE),"----")</f>
        <v>----</v>
      </c>
      <c r="BA223" s="694" t="e">
        <f t="shared" ca="1" si="3525"/>
        <v>#REF!</v>
      </c>
      <c r="BB223" s="686" t="str">
        <f ca="1">IFERROR(VLOOKUP(BA223,INDIRECT(AQ218),2,FALSE),"----")</f>
        <v>----</v>
      </c>
      <c r="BC223" s="694" t="e">
        <f t="shared" ca="1" si="2635"/>
        <v>#REF!</v>
      </c>
      <c r="BD223" s="686" t="str">
        <f ca="1">IFERROR(VLOOKUP(BC223,INDIRECT(AQ219),2,FALSE),"----")</f>
        <v>----</v>
      </c>
      <c r="BE223" s="694" t="e">
        <f t="shared" ca="1" si="2636"/>
        <v>#REF!</v>
      </c>
      <c r="BF223" s="686" t="str">
        <f ca="1">IFERROR(VLOOKUP(BE223,INDIRECT(AQ220),2,FALSE),"----")</f>
        <v>----</v>
      </c>
      <c r="BG223" s="702" t="e">
        <f t="shared" ca="1" si="2637"/>
        <v>#REF!</v>
      </c>
      <c r="BH223" s="686" t="str">
        <f ca="1">IFERROR(VLOOKUP(BG223,INDIRECT(AQ221),2,FALSE),"----")</f>
        <v>----</v>
      </c>
      <c r="BI223" s="702" t="e">
        <f t="shared" ca="1" si="2638"/>
        <v>#REF!</v>
      </c>
      <c r="BJ223" s="686" t="str">
        <f ca="1">IFERROR(VLOOKUP(BI223,INDIRECT(AQ222),2,FALSE),"----")</f>
        <v>----</v>
      </c>
      <c r="BK223" s="702" t="e">
        <f t="shared" ca="1" si="2639"/>
        <v>#REF!</v>
      </c>
      <c r="BL223" s="686" t="str">
        <f ca="1">IFERROR(VLOOKUP(BK223,INDIRECT(AQ223),2,FALSE),"----")</f>
        <v>----</v>
      </c>
      <c r="BM223" s="702" t="e">
        <f t="shared" ca="1" si="2640"/>
        <v>#REF!</v>
      </c>
      <c r="BN223" s="686" t="str">
        <f ca="1">IFERROR(VLOOKUP(BM223,INDIRECT(AQ224),2,FALSE),"----")</f>
        <v>----</v>
      </c>
      <c r="BO223" s="702" t="e">
        <f t="shared" ca="1" si="2641"/>
        <v>#REF!</v>
      </c>
      <c r="BP223" s="686" t="str">
        <f ca="1">IFERROR(VLOOKUP(BO223,INDIRECT(AQ225),2,FALSE),"----")</f>
        <v>----</v>
      </c>
      <c r="BQ223" s="702" t="e">
        <f t="shared" ca="1" si="2642"/>
        <v>#REF!</v>
      </c>
      <c r="BR223" s="686" t="str">
        <f ca="1">IFERROR(VLOOKUP(BQ223,INDIRECT(AQ226),2,FALSE),"----")</f>
        <v>----</v>
      </c>
      <c r="BS223" s="695">
        <f>IF(AI223="",1,IF(COUNTIF(BL215:BL226,AI223)=0,2,1))</f>
        <v>1</v>
      </c>
      <c r="BT223" s="696">
        <f>IF(AF223="",1,IF(BL215=".",2,1))</f>
        <v>1</v>
      </c>
      <c r="BU223" s="706"/>
      <c r="BV223" s="155">
        <f ca="1">IF(COUNTIF(DS215:DS226,AF223)=0,IF(AF223&lt;&gt;"",0,1),1)</f>
        <v>1</v>
      </c>
      <c r="BW223" s="157">
        <f ca="1">IFERROR(MATCH(AF223,DS215:DS226,0),1)</f>
        <v>1</v>
      </c>
      <c r="BX223" s="769" t="e">
        <f t="shared" ref="BX223" si="3575">5*E215^3*W215/(384*X215)</f>
        <v>#VALUE!</v>
      </c>
      <c r="BY223" s="769" t="e">
        <f t="shared" ref="BY223" si="3576">W215*E215^3/(60*X215)</f>
        <v>#VALUE!</v>
      </c>
      <c r="BZ223" s="1110"/>
      <c r="CA223" s="691" t="e">
        <f t="shared" ca="1" si="3443"/>
        <v>#REF!</v>
      </c>
      <c r="CB223" s="4" t="e" cm="1">
        <f t="array" aca="1" ref="CB223" ca="1">IF(AND(INDEX(INDIRECT(BY215),CA223,4)&gt;=$AB215,INDEX(INDIRECT(BY215),CA223,5)&gt;=$S215,INDEX(INDIRECT(BY215),CA223,6)&gt;=$R215),1,0)</f>
        <v>#REF!</v>
      </c>
      <c r="CC223" s="4" t="e">
        <f t="shared" ref="CC223" ca="1" si="3577">MATCH(1,OFFSET(CB215:CB226,CD222,0,COUNT(CB215:CB226)-CD222),0)</f>
        <v>#REF!</v>
      </c>
      <c r="CD223" s="4" t="e">
        <f t="shared" ca="1" si="3445"/>
        <v>#REF!</v>
      </c>
      <c r="CE223" s="692" t="str" cm="1">
        <f t="array" aca="1" ref="CE223" ca="1">IFERROR(VLOOKUP(INDEX(CA215:CA226,CD223),INDIRECT(BY215),2,FALSE),"----")</f>
        <v>----</v>
      </c>
      <c r="CF223" s="691" t="e">
        <f t="shared" ca="1" si="3446"/>
        <v>#N/A</v>
      </c>
      <c r="CG223" s="4" t="e">
        <f ca="1">IF(AND(INDEX(SSM,CF223,4)&gt;=$AB215,INDEX(SSM,CF223,5)&gt;=$S215,INDEX(SSM,CF223,6)&gt;=$R215),1,0)</f>
        <v>#N/A</v>
      </c>
      <c r="CH223" s="4" t="e">
        <f t="shared" ref="CH223" ca="1" si="3578">MATCH(1,OFFSET(CG215:CG226,CI222,0,COUNT(CG215:CG226)-CI222),0)</f>
        <v>#REF!</v>
      </c>
      <c r="CI223" s="4" t="e">
        <f t="shared" ca="1" si="3448"/>
        <v>#REF!</v>
      </c>
      <c r="CJ223" s="692" t="str">
        <f ca="1">IFERROR(IF(AD216="Nested Steel Stud (wood infill)",VLOOKUP(INDEX(CF215:CF226,CI223),SSW,2,FALSE),VLOOKUP(INDEX(CF215:CF226,CI223),SSM,2,FALSE)),"----")</f>
        <v>----</v>
      </c>
      <c r="CK223" s="691" t="e">
        <f t="shared" ca="1" si="3449"/>
        <v>#N/A</v>
      </c>
      <c r="CL223" s="4" t="e">
        <f ca="1">IF(AND(INDEX(WSM,CK223,4)&gt;=$AB215,INDEX(WSM,CK223,5)&gt;=$S215,INDEX(WSM,CK223,6)&gt;=$R215),1,0)</f>
        <v>#N/A</v>
      </c>
      <c r="CM223" s="4" t="e">
        <f t="shared" ref="CM223" ca="1" si="3579">MATCH(1,OFFSET(CL215:CL226,CN222,0,COUNT(CL215:CL226)-CN222),0)</f>
        <v>#REF!</v>
      </c>
      <c r="CN223" s="4" t="e">
        <f t="shared" ca="1" si="3451"/>
        <v>#REF!</v>
      </c>
      <c r="CO223" s="692" t="str">
        <f ca="1">IFERROR(VLOOKUP(INDEX(CK215:CK226,CN223),WSM,2,FALSE),"----")</f>
        <v>----</v>
      </c>
      <c r="CP223" s="691" t="e">
        <f t="shared" ca="1" si="3452"/>
        <v>#N/A</v>
      </c>
      <c r="CQ223" s="4" t="e">
        <f ca="1">IF(AND(INDEX(STM,CP223,4)&gt;=$AB215,INDEX(STM,CP223,5)&gt;=$S215,INDEX(STM,CP223,6)&gt;=$R215),1,0)</f>
        <v>#N/A</v>
      </c>
      <c r="CR223" s="4" t="e">
        <f t="shared" ref="CR223" ca="1" si="3580">MATCH(1,OFFSET(CQ215:CQ226,CS222,0,COUNT(CQ215:CQ226)-CS222),0)</f>
        <v>#REF!</v>
      </c>
      <c r="CS223" s="4" t="e">
        <f t="shared" ca="1" si="3454"/>
        <v>#REF!</v>
      </c>
      <c r="CT223" s="692" t="str">
        <f ca="1">IFERROR(VLOOKUP(INDEX(CP215:CP226,CS223),STM,2,FALSE),"----")</f>
        <v>----</v>
      </c>
      <c r="CU223" s="691" t="e">
        <f t="shared" ca="1" si="3455"/>
        <v>#N/A</v>
      </c>
      <c r="CV223" s="4" t="e">
        <f ca="1">IF(AND(INDEX(ELM,CU223,4)&gt;=$AB215,INDEX(ELM,CU223,5)&gt;=$S215,INDEX(ELM,CU223,6)&gt;=$R215),1,0)</f>
        <v>#N/A</v>
      </c>
      <c r="CW223" s="4" t="e">
        <f t="shared" ref="CW223" ca="1" si="3581">MATCH(1,OFFSET(CV215:CV226,CX222,0,COUNT(CV215:CV226)-CX222),0)</f>
        <v>#REF!</v>
      </c>
      <c r="CX223" s="4" t="e">
        <f t="shared" ca="1" si="3457"/>
        <v>#REF!</v>
      </c>
      <c r="CY223" s="692" t="str">
        <f ca="1">IFERROR(VLOOKUP(INDEX(CU215:CU226,CX223),ELM,2,FALSE),"----")</f>
        <v>----</v>
      </c>
      <c r="CZ223" s="691" t="e">
        <f t="shared" ca="1" si="3458"/>
        <v>#N/A</v>
      </c>
      <c r="DA223" s="4" t="e">
        <f ca="1">IF(LEFT($J215,7)="Clad Wo",IF(AND(INDEX(SPPWS,CZ223,4)&gt;=$AB215,INDEX(SPPWS,CZ223,5)&gt;=$S215,INDEX(SPPWS,CZ223,6)&gt;=$R215),1,0),IF(AND(INDEX(SPM,CZ223,4)&gt;=$AB215,INDEX(SPM,CZ223,5)&gt;=$S215,INDEX(SPM,CZ223,6)&gt;=$R215),1,0))</f>
        <v>#N/A</v>
      </c>
      <c r="DB223" s="4" t="e">
        <f t="shared" ref="DB223" ca="1" si="3582">MATCH(1,OFFSET(DA215:DA226,DC222,0,COUNT(DA215:DA226)-DC222),0)</f>
        <v>#REF!</v>
      </c>
      <c r="DC223" s="4" t="e">
        <f t="shared" ca="1" si="3460"/>
        <v>#REF!</v>
      </c>
      <c r="DD223" s="693" t="str">
        <f ca="1">IF(LEFT($J215,7)="Clad Wo",IFERROR(VLOOKUP(INDEX(CZ215:CZ226,DC223),SPPWS,2,FALSE),"----"),IFERROR(VLOOKUP(INDEX(CZ215:CZ226,DC223),SPM,2,FALSE),"----"))</f>
        <v>----</v>
      </c>
      <c r="DE223" s="691" t="e">
        <f t="shared" ca="1" si="3461"/>
        <v>#REF!</v>
      </c>
      <c r="DF223" s="4" t="e" cm="1">
        <f t="array" aca="1" ref="DF223" ca="1">IF(AND(INDEX(INDIRECT(BY215),DE223,4)&gt;=$AB221,INDEX(INDIRECT(BY215),DE223,5)&gt;=$S215,INDEX(INDIRECT(BY215),DE223,6)&gt;=$R215),1,0)</f>
        <v>#REF!</v>
      </c>
      <c r="DG223" s="4" t="e">
        <f t="shared" ref="DG223" ca="1" si="3583">MATCH(1,OFFSET(DF215:DF226,DH222,0,COUNT(DF215:DF226)-DH222),0)</f>
        <v>#REF!</v>
      </c>
      <c r="DH223" s="4" t="e">
        <f t="shared" ca="1" si="3463"/>
        <v>#REF!</v>
      </c>
      <c r="DI223" s="692" t="str" cm="1">
        <f t="array" aca="1" ref="DI223" ca="1">IFERROR(VLOOKUP(INDEX(DE215:DE226,DH223),INDIRECT(BY215),2,FALSE),"----")</f>
        <v>----</v>
      </c>
      <c r="DJ223" s="691" t="e">
        <f t="shared" ca="1" si="3464"/>
        <v>#N/A</v>
      </c>
      <c r="DK223" s="4" t="e">
        <f ca="1">IF(AND(INDEX(SSM,DJ223,4)&gt;=$AB221,INDEX(SSM,DJ223,5)&gt;=$S215,INDEX(SSM,DJ223,6)&gt;=$R215),1,0)</f>
        <v>#N/A</v>
      </c>
      <c r="DL223" s="4" t="e">
        <f t="shared" ref="DL223" ca="1" si="3584">MATCH(1,OFFSET(DK215:DK226,DM222,0,COUNT(DK215:DK226)-DM222),0)</f>
        <v>#REF!</v>
      </c>
      <c r="DM223" s="4" t="e">
        <f t="shared" ca="1" si="3466"/>
        <v>#REF!</v>
      </c>
      <c r="DN223" s="692" t="str">
        <f ca="1">IFERROR(IF(AD222="Nested Steel Stud (wood infill)",VLOOKUP(INDEX(DJ215:DJ226,DM223),SSW,2,FALSE),VLOOKUP(INDEX(DJ215:DJ226,DM223),SSM,2,FALSE)),"----")</f>
        <v>----</v>
      </c>
      <c r="DO223" s="691" t="e">
        <f t="shared" ca="1" si="3467"/>
        <v>#N/A</v>
      </c>
      <c r="DP223" s="4" t="e">
        <f ca="1">IF(AND(INDEX(WSM,DO223,4)&gt;=$AB221,INDEX(WSM,DO223,5)&gt;=$S215,INDEX(WSM,DO223,6)&gt;=$R215),1,0)</f>
        <v>#N/A</v>
      </c>
      <c r="DQ223" s="4" t="e">
        <f t="shared" ref="DQ223" ca="1" si="3585">MATCH(1,OFFSET(DP215:DP226,DR222,0,COUNT(DP215:DP226)-DR222),0)</f>
        <v>#REF!</v>
      </c>
      <c r="DR223" s="4" t="e">
        <f t="shared" ca="1" si="3469"/>
        <v>#REF!</v>
      </c>
      <c r="DS223" s="692" t="str">
        <f ca="1">IFERROR(VLOOKUP(INDEX(DO215:DO226,DR223),WSM,2,FALSE),"----")</f>
        <v>----</v>
      </c>
      <c r="DT223" s="691" t="e">
        <f t="shared" ca="1" si="3470"/>
        <v>#N/A</v>
      </c>
      <c r="DU223" s="4" t="e">
        <f ca="1">IF(AND(INDEX(STM,DT223,4)&gt;=$AB221,INDEX(STM,DT223,5)&gt;=$S215,INDEX(STM,DT223,6)&gt;=$R215),1,0)</f>
        <v>#N/A</v>
      </c>
      <c r="DV223" s="4" t="e">
        <f t="shared" ref="DV223" ca="1" si="3586">MATCH(1,OFFSET(DU215:DU226,DW222,0,COUNT(DU215:DU226)-DW222),0)</f>
        <v>#REF!</v>
      </c>
      <c r="DW223" s="4" t="e">
        <f t="shared" ca="1" si="3472"/>
        <v>#REF!</v>
      </c>
      <c r="DX223" s="692" t="str">
        <f ca="1">IFERROR(VLOOKUP(INDEX(DT215:DT226,DW223),STM,2,FALSE),"----")</f>
        <v>----</v>
      </c>
      <c r="DY223" s="691" t="e">
        <f t="shared" ca="1" si="3473"/>
        <v>#N/A</v>
      </c>
      <c r="DZ223" s="4" t="e">
        <f ca="1">IF(AND(INDEX(ELM,DY223,4)&gt;=$AB221,INDEX(ELM,DY223,5)&gt;=$S215,INDEX(ELM,DY223,6)&gt;=$R215),1,0)</f>
        <v>#N/A</v>
      </c>
      <c r="EA223" s="4" t="e">
        <f t="shared" ref="EA223" ca="1" si="3587">MATCH(1,OFFSET(DZ215:DZ226,EB222,0,COUNT(DZ215:DZ226)-EB222),0)</f>
        <v>#REF!</v>
      </c>
      <c r="EB223" s="4" t="e">
        <f t="shared" ca="1" si="3475"/>
        <v>#REF!</v>
      </c>
      <c r="EC223" s="692" t="str">
        <f ca="1">IFERROR(VLOOKUP(INDEX(DY215:DY226,EB223),ELM,2,FALSE),"----")</f>
        <v>----</v>
      </c>
      <c r="ED223" s="691" t="e">
        <f t="shared" ca="1" si="3476"/>
        <v>#N/A</v>
      </c>
      <c r="EE223" s="4" t="e">
        <f ca="1">IF(LEFT($J215,7)="Clad Wo",IF(AND(INDEX(SPPWS,ED223,4)&gt;=$AB221,INDEX(SPPWS,ED223,5)&gt;=$S215,INDEX(SPPWS,ED223,6)&gt;=$R215),1,0),IF(AND(INDEX(SPM,ED223,4)&gt;=$AB221,INDEX(SPM,ED223,5)&gt;=$S215,INDEX(SPM,ED223,6)&gt;=$R215),1,0))</f>
        <v>#N/A</v>
      </c>
      <c r="EF223" s="4" t="e">
        <f t="shared" ref="EF223" ca="1" si="3588">MATCH(1,OFFSET(EE215:EE226,EG222,0,COUNT(EE215:EE226)-EG222),0)</f>
        <v>#REF!</v>
      </c>
      <c r="EG223" s="4" t="e">
        <f t="shared" ca="1" si="3478"/>
        <v>#REF!</v>
      </c>
      <c r="EH223" s="692" t="str">
        <f ca="1">IF(LEFT($J215,7)="Clad Wo",IFERROR(VLOOKUP(INDEX(ED215:ED226,EG223),SPPWS,2,FALSE),"----"),IFERROR(VLOOKUP(INDEX(ED215:ED226,EG223),SPM,2,FALSE),"----"))</f>
        <v>----</v>
      </c>
    </row>
    <row r="224" spans="1:138" ht="15" customHeight="1" x14ac:dyDescent="0.25">
      <c r="A224" s="1085"/>
      <c r="B224" s="925"/>
      <c r="C224" s="926"/>
      <c r="D224" s="927"/>
      <c r="E224" s="995"/>
      <c r="F224" s="996"/>
      <c r="G224" s="997"/>
      <c r="H224" s="1062"/>
      <c r="I224" s="990"/>
      <c r="J224" s="902"/>
      <c r="K224" s="903"/>
      <c r="L224" s="1002"/>
      <c r="M224" s="923"/>
      <c r="N224" s="1042"/>
      <c r="O224" s="1018"/>
      <c r="P224" s="987"/>
      <c r="Q224" s="1015"/>
      <c r="R224" s="1012"/>
      <c r="S224" s="1006"/>
      <c r="T224" s="1007"/>
      <c r="U224" s="878"/>
      <c r="V224" s="881"/>
      <c r="W224" s="884"/>
      <c r="X224" s="884"/>
      <c r="Y224" s="887"/>
      <c r="Z224" s="887"/>
      <c r="AA224" s="887"/>
      <c r="AB224" s="1081"/>
      <c r="AC224" s="1078"/>
      <c r="AD224" s="1070" t="str">
        <f t="shared" si="3099"/>
        <v>Steel Tube</v>
      </c>
      <c r="AE224" s="1071"/>
      <c r="AF224" s="1052"/>
      <c r="AG224" s="1053"/>
      <c r="AH224" s="1053"/>
      <c r="AI224" s="1066"/>
      <c r="AJ224" s="1067"/>
      <c r="AK224" s="156" t="str">
        <f t="shared" ca="1" si="2393"/>
        <v/>
      </c>
      <c r="AL224" s="1059"/>
      <c r="AM224" s="343" t="str">
        <f ca="1">IFERROR(Q215/12*ROUND(VLOOKUP(AF224,OFFSET(STM,0,1),6,FALSE),2),"")</f>
        <v/>
      </c>
      <c r="AN224" t="str">
        <f t="shared" ca="1" si="2409"/>
        <v/>
      </c>
      <c r="AP224" s="122" t="str">
        <f t="shared" ref="AP224" si="3589">_xlfn.CONCAT(AR224,AS226)</f>
        <v/>
      </c>
      <c r="AQ224" s="683" t="str">
        <f t="shared" si="2617"/>
        <v/>
      </c>
      <c r="AR224" s="4" t="str">
        <f t="shared" si="2378"/>
        <v/>
      </c>
      <c r="AS224" s="4"/>
      <c r="AT224" s="697" t="str">
        <f>AL221</f>
        <v/>
      </c>
      <c r="AU224" s="694" t="e">
        <f t="shared" ca="1" si="2633"/>
        <v>#REF!</v>
      </c>
      <c r="AV224" s="686" t="str">
        <f ca="1">IFERROR(VLOOKUP(AU224,INDIRECT(AQ215),2,FALSE),"----")</f>
        <v>----</v>
      </c>
      <c r="AW224" s="694" t="e">
        <f t="shared" ca="1" si="2634"/>
        <v>#REF!</v>
      </c>
      <c r="AX224" s="686" t="str">
        <f ca="1">IFERROR(VLOOKUP(AW224,INDIRECT(AQ216),2,FALSE),"----")</f>
        <v>----</v>
      </c>
      <c r="AY224" s="694" t="e">
        <f t="shared" ca="1" si="3352"/>
        <v>#REF!</v>
      </c>
      <c r="AZ224" s="686" t="str">
        <f ca="1">IFERROR(VLOOKUP(AY224,INDIRECT(AQ217),2,FALSE),"----")</f>
        <v>----</v>
      </c>
      <c r="BA224" s="694" t="e">
        <f t="shared" ca="1" si="3353"/>
        <v>#REF!</v>
      </c>
      <c r="BB224" s="686" t="str">
        <f ca="1">IFERROR(VLOOKUP(BA224,INDIRECT(AQ218),2,FALSE),"----")</f>
        <v>----</v>
      </c>
      <c r="BC224" s="694" t="e">
        <f t="shared" ca="1" si="2635"/>
        <v>#REF!</v>
      </c>
      <c r="BD224" s="686" t="str">
        <f ca="1">IFERROR(VLOOKUP(BC224,INDIRECT(AQ219),2,FALSE),"----")</f>
        <v>----</v>
      </c>
      <c r="BE224" s="694" t="e">
        <f t="shared" ca="1" si="2636"/>
        <v>#REF!</v>
      </c>
      <c r="BF224" s="686" t="str">
        <f ca="1">IFERROR(VLOOKUP(BE224,INDIRECT(AQ220),2,FALSE),"----")</f>
        <v>----</v>
      </c>
      <c r="BG224" s="702" t="e">
        <f t="shared" ca="1" si="2637"/>
        <v>#REF!</v>
      </c>
      <c r="BH224" s="686" t="str">
        <f ca="1">IFERROR(VLOOKUP(BG224,INDIRECT(AQ221),2,FALSE),"----")</f>
        <v>----</v>
      </c>
      <c r="BI224" s="702" t="e">
        <f t="shared" ca="1" si="2638"/>
        <v>#REF!</v>
      </c>
      <c r="BJ224" s="686" t="str">
        <f ca="1">IFERROR(VLOOKUP(BI224,INDIRECT(AQ222),2,FALSE),"----")</f>
        <v>----</v>
      </c>
      <c r="BK224" s="702" t="e">
        <f t="shared" ca="1" si="2639"/>
        <v>#REF!</v>
      </c>
      <c r="BL224" s="686" t="str">
        <f ca="1">IFERROR(VLOOKUP(BK224,INDIRECT(AQ223),2,FALSE),"----")</f>
        <v>----</v>
      </c>
      <c r="BM224" s="702" t="e">
        <f t="shared" ca="1" si="2640"/>
        <v>#REF!</v>
      </c>
      <c r="BN224" s="686" t="str">
        <f ca="1">IFERROR(VLOOKUP(BM224,INDIRECT(AQ224),2,FALSE),"----")</f>
        <v>----</v>
      </c>
      <c r="BO224" s="702" t="e">
        <f t="shared" ca="1" si="2641"/>
        <v>#REF!</v>
      </c>
      <c r="BP224" s="686" t="str">
        <f ca="1">IFERROR(VLOOKUP(BO224,INDIRECT(AQ225),2,FALSE),"----")</f>
        <v>----</v>
      </c>
      <c r="BQ224" s="702" t="e">
        <f t="shared" ca="1" si="2642"/>
        <v>#REF!</v>
      </c>
      <c r="BR224" s="686" t="str">
        <f ca="1">IFERROR(VLOOKUP(BQ224,INDIRECT(AQ226),2,FALSE),"----")</f>
        <v>----</v>
      </c>
      <c r="BS224" s="695">
        <f>IF(AI224="",1,IF(COUNTIF(BN215:BN226,AI224)=0,2,1))</f>
        <v>1</v>
      </c>
      <c r="BT224" s="696">
        <f>IF(AF224="",1,IF(BN215=".",2,1))</f>
        <v>1</v>
      </c>
      <c r="BU224" s="706"/>
      <c r="BV224" s="155">
        <f ca="1">IF(COUNTIF(DX215:DX226,AF224)=0,IF(AF224&lt;&gt;"",0,1),1)</f>
        <v>1</v>
      </c>
      <c r="BW224" s="157">
        <f ca="1">IFERROR(MATCH(AF224,DX215:DX226,0),1)</f>
        <v>1</v>
      </c>
      <c r="BX224" s="769" t="e">
        <f t="shared" ref="BX224" si="3590">5*E215^3*W221/(384*X215)</f>
        <v>#VALUE!</v>
      </c>
      <c r="BY224" s="769" t="e">
        <f t="shared" ref="BY224" si="3591">E215^3*W221/(60*X215)</f>
        <v>#VALUE!</v>
      </c>
      <c r="BZ224" s="1110"/>
      <c r="CA224" s="691" t="e">
        <f t="shared" ca="1" si="3443"/>
        <v>#REF!</v>
      </c>
      <c r="CB224" s="4" t="e" cm="1">
        <f t="array" aca="1" ref="CB224" ca="1">IF(AND(INDEX(INDIRECT(BY215),CA224,4)&gt;=$AB215,INDEX(INDIRECT(BY215),CA224,5)&gt;=$S215,INDEX(INDIRECT(BY215),CA224,6)&gt;=$R215),1,0)</f>
        <v>#REF!</v>
      </c>
      <c r="CC224" s="4" t="e">
        <f t="shared" ref="CC224" ca="1" si="3592">MATCH(1,OFFSET(CB215:CB226,CD223,0,COUNT(CB215:CB226)-CD223),0)</f>
        <v>#REF!</v>
      </c>
      <c r="CD224" s="4" t="e">
        <f t="shared" ca="1" si="3445"/>
        <v>#REF!</v>
      </c>
      <c r="CE224" s="692" t="str" cm="1">
        <f t="array" aca="1" ref="CE224" ca="1">IFERROR(VLOOKUP(INDEX(CA215:CA226,CD224),INDIRECT(BY215),2,FALSE),"----")</f>
        <v>----</v>
      </c>
      <c r="CF224" s="691" t="e">
        <f t="shared" ca="1" si="3446"/>
        <v>#N/A</v>
      </c>
      <c r="CG224" s="4" t="e">
        <f ca="1">IF(AND(INDEX(SSM,CF224,4)&gt;=$AB215,INDEX(SSM,CF224,5)&gt;=$S215,INDEX(SSM,CF224,6)&gt;=$R215),1,0)</f>
        <v>#N/A</v>
      </c>
      <c r="CH224" s="4" t="e">
        <f t="shared" ref="CH224" ca="1" si="3593">MATCH(1,OFFSET(CG215:CG226,CI223,0,COUNT(CG215:CG226)-CI223),0)</f>
        <v>#REF!</v>
      </c>
      <c r="CI224" s="4" t="e">
        <f t="shared" ca="1" si="3448"/>
        <v>#REF!</v>
      </c>
      <c r="CJ224" s="692" t="str">
        <f ca="1">IFERROR(IF(AD216="Nested Steel Stud (wood infill)",VLOOKUP(INDEX(CF215:CF226,CI224),SSW,2,FALSE),VLOOKUP(INDEX(CF215:CF226,CI224),SSM,2,FALSE)),"----")</f>
        <v>----</v>
      </c>
      <c r="CK224" s="691" t="e">
        <f t="shared" ca="1" si="3449"/>
        <v>#N/A</v>
      </c>
      <c r="CL224" s="4" t="e">
        <f ca="1">IF(AND(INDEX(WSM,CK224,4)&gt;=$AB215,INDEX(WSM,CK224,5)&gt;=$S215,INDEX(WSM,CK224,6)&gt;=$R215),1,0)</f>
        <v>#N/A</v>
      </c>
      <c r="CM224" s="4" t="e">
        <f t="shared" ref="CM224" ca="1" si="3594">MATCH(1,OFFSET(CL215:CL226,CN223,0,COUNT(CL215:CL226)-CN223),0)</f>
        <v>#REF!</v>
      </c>
      <c r="CN224" s="4" t="e">
        <f t="shared" ca="1" si="3451"/>
        <v>#REF!</v>
      </c>
      <c r="CO224" s="692" t="str">
        <f ca="1">IFERROR(VLOOKUP(INDEX(CK215:CK226,CN224),WSM,2,FALSE),"----")</f>
        <v>----</v>
      </c>
      <c r="CP224" s="691" t="e">
        <f t="shared" ca="1" si="3452"/>
        <v>#N/A</v>
      </c>
      <c r="CQ224" s="4" t="e">
        <f ca="1">IF(AND(INDEX(STM,CP224,4)&gt;=$AB215,INDEX(STM,CP224,5)&gt;=$S215,INDEX(STM,CP224,6)&gt;=$R215),1,0)</f>
        <v>#N/A</v>
      </c>
      <c r="CR224" s="4" t="e">
        <f t="shared" ref="CR224" ca="1" si="3595">MATCH(1,OFFSET(CQ215:CQ226,CS223,0,COUNT(CQ215:CQ226)-CS223),0)</f>
        <v>#REF!</v>
      </c>
      <c r="CS224" s="4" t="e">
        <f t="shared" ca="1" si="3454"/>
        <v>#REF!</v>
      </c>
      <c r="CT224" s="692" t="str">
        <f ca="1">IFERROR(VLOOKUP(INDEX(CP215:CP226,CS224),STM,2,FALSE),"----")</f>
        <v>----</v>
      </c>
      <c r="CU224" s="691" t="e">
        <f t="shared" ca="1" si="3455"/>
        <v>#N/A</v>
      </c>
      <c r="CV224" s="4" t="e">
        <f ca="1">IF(AND(INDEX(ELM,CU224,4)&gt;=$AB215,INDEX(ELM,CU224,5)&gt;=$S215,INDEX(ELM,CU224,6)&gt;=$R215),1,0)</f>
        <v>#N/A</v>
      </c>
      <c r="CW224" s="4" t="e">
        <f t="shared" ref="CW224" ca="1" si="3596">MATCH(1,OFFSET(CV215:CV226,CX223,0,COUNT(CV215:CV226)-CX223),0)</f>
        <v>#REF!</v>
      </c>
      <c r="CX224" s="4" t="e">
        <f t="shared" ca="1" si="3457"/>
        <v>#REF!</v>
      </c>
      <c r="CY224" s="692" t="str">
        <f ca="1">IFERROR(VLOOKUP(INDEX(CU215:CU226,CX224),ELM,2,FALSE),"----")</f>
        <v>----</v>
      </c>
      <c r="CZ224" s="691" t="e">
        <f t="shared" ca="1" si="3458"/>
        <v>#N/A</v>
      </c>
      <c r="DA224" s="4" t="e">
        <f ca="1">IF(LEFT($J215,7)="Clad Wo",IF(AND(INDEX(SPPWS,CZ224,4)&gt;=$AB215,INDEX(SPPWS,CZ224,5)&gt;=$S215,INDEX(SPPWS,CZ224,6)&gt;=$R215),1,0),IF(AND(INDEX(SPM,CZ224,4)&gt;=$AB215,INDEX(SPM,CZ224,5)&gt;=$S215,INDEX(SPM,CZ224,6)&gt;=$R215),1,0))</f>
        <v>#N/A</v>
      </c>
      <c r="DB224" s="4" t="e">
        <f t="shared" ref="DB224" ca="1" si="3597">MATCH(1,OFFSET(DA215:DA226,DC223,0,COUNT(DA215:DA226)-DC223),0)</f>
        <v>#REF!</v>
      </c>
      <c r="DC224" s="4" t="e">
        <f t="shared" ca="1" si="3460"/>
        <v>#REF!</v>
      </c>
      <c r="DD224" s="693" t="str">
        <f ca="1">IF(LEFT($J215,7)="Clad Wo",IFERROR(VLOOKUP(INDEX(CZ215:CZ226,DC224),SPPWS,2,FALSE),"----"),IFERROR(VLOOKUP(INDEX(CZ215:CZ226,DC224),SPM,2,FALSE),"----"))</f>
        <v>----</v>
      </c>
      <c r="DE224" s="691" t="e">
        <f t="shared" ca="1" si="3461"/>
        <v>#REF!</v>
      </c>
      <c r="DF224" s="4" t="e" cm="1">
        <f t="array" aca="1" ref="DF224" ca="1">IF(AND(INDEX(INDIRECT(BY215),DE224,4)&gt;=$AB221,INDEX(INDIRECT(BY215),DE224,5)&gt;=$S215,INDEX(INDIRECT(BY215),DE224,6)&gt;=$R215),1,0)</f>
        <v>#REF!</v>
      </c>
      <c r="DG224" s="4" t="e">
        <f t="shared" ref="DG224" ca="1" si="3598">MATCH(1,OFFSET(DF215:DF226,DH223,0,COUNT(DF215:DF226)-DH223),0)</f>
        <v>#REF!</v>
      </c>
      <c r="DH224" s="4" t="e">
        <f t="shared" ca="1" si="3463"/>
        <v>#REF!</v>
      </c>
      <c r="DI224" s="692" t="str" cm="1">
        <f t="array" aca="1" ref="DI224" ca="1">IFERROR(VLOOKUP(INDEX(DE215:DE226,DH224),INDIRECT(BY215),2,FALSE),"----")</f>
        <v>----</v>
      </c>
      <c r="DJ224" s="691" t="e">
        <f t="shared" ca="1" si="3464"/>
        <v>#N/A</v>
      </c>
      <c r="DK224" s="4" t="e">
        <f ca="1">IF(AND(INDEX(SSM,DJ224,4)&gt;=$AB221,INDEX(SSM,DJ224,5)&gt;=$S215,INDEX(SSM,DJ224,6)&gt;=$R215),1,0)</f>
        <v>#N/A</v>
      </c>
      <c r="DL224" s="4" t="e">
        <f t="shared" ref="DL224" ca="1" si="3599">MATCH(1,OFFSET(DK215:DK226,DM223,0,COUNT(DK215:DK226)-DM223),0)</f>
        <v>#REF!</v>
      </c>
      <c r="DM224" s="4" t="e">
        <f t="shared" ca="1" si="3466"/>
        <v>#REF!</v>
      </c>
      <c r="DN224" s="692" t="str">
        <f ca="1">IFERROR(IF(AD222="Nested Steel Stud (wood infill)",VLOOKUP(INDEX(DJ215:DJ226,DM224),SSW,2,FALSE),VLOOKUP(INDEX(DJ215:DJ226,DM224),SSM,2,FALSE)),"----")</f>
        <v>----</v>
      </c>
      <c r="DO224" s="691" t="e">
        <f t="shared" ca="1" si="3467"/>
        <v>#N/A</v>
      </c>
      <c r="DP224" s="4" t="e">
        <f ca="1">IF(AND(INDEX(WSM,DO224,4)&gt;=$AB221,INDEX(WSM,DO224,5)&gt;=$S215,INDEX(WSM,DO224,6)&gt;=$R215),1,0)</f>
        <v>#N/A</v>
      </c>
      <c r="DQ224" s="4" t="e">
        <f t="shared" ref="DQ224" ca="1" si="3600">MATCH(1,OFFSET(DP215:DP226,DR223,0,COUNT(DP215:DP226)-DR223),0)</f>
        <v>#REF!</v>
      </c>
      <c r="DR224" s="4" t="e">
        <f t="shared" ca="1" si="3469"/>
        <v>#REF!</v>
      </c>
      <c r="DS224" s="692" t="str">
        <f ca="1">IFERROR(VLOOKUP(INDEX(DO215:DO226,DR224),WSM,2,FALSE),"----")</f>
        <v>----</v>
      </c>
      <c r="DT224" s="691" t="e">
        <f t="shared" ca="1" si="3470"/>
        <v>#N/A</v>
      </c>
      <c r="DU224" s="4" t="e">
        <f ca="1">IF(AND(INDEX(STM,DT224,4)&gt;=$AB221,INDEX(STM,DT224,5)&gt;=$S215,INDEX(STM,DT224,6)&gt;=$R215),1,0)</f>
        <v>#N/A</v>
      </c>
      <c r="DV224" s="4" t="e">
        <f t="shared" ref="DV224" ca="1" si="3601">MATCH(1,OFFSET(DU215:DU226,DW223,0,COUNT(DU215:DU226)-DW223),0)</f>
        <v>#REF!</v>
      </c>
      <c r="DW224" s="4" t="e">
        <f t="shared" ca="1" si="3472"/>
        <v>#REF!</v>
      </c>
      <c r="DX224" s="692" t="str">
        <f ca="1">IFERROR(VLOOKUP(INDEX(DT215:DT226,DW224),STM,2,FALSE),"----")</f>
        <v>----</v>
      </c>
      <c r="DY224" s="691" t="e">
        <f t="shared" ca="1" si="3473"/>
        <v>#N/A</v>
      </c>
      <c r="DZ224" s="4" t="e">
        <f ca="1">IF(AND(INDEX(ELM,DY224,4)&gt;=$AB221,INDEX(ELM,DY224,5)&gt;=$S215,INDEX(ELM,DY224,6)&gt;=$R215),1,0)</f>
        <v>#N/A</v>
      </c>
      <c r="EA224" s="4" t="e">
        <f t="shared" ref="EA224" ca="1" si="3602">MATCH(1,OFFSET(DZ215:DZ226,EB223,0,COUNT(DZ215:DZ226)-EB223),0)</f>
        <v>#REF!</v>
      </c>
      <c r="EB224" s="4" t="e">
        <f t="shared" ca="1" si="3475"/>
        <v>#REF!</v>
      </c>
      <c r="EC224" s="692" t="str">
        <f ca="1">IFERROR(VLOOKUP(INDEX(DY215:DY226,EB224),ELM,2,FALSE),"----")</f>
        <v>----</v>
      </c>
      <c r="ED224" s="691" t="e">
        <f t="shared" ca="1" si="3476"/>
        <v>#N/A</v>
      </c>
      <c r="EE224" s="4" t="e">
        <f ca="1">IF(LEFT($J215,7)="Clad Wo",IF(AND(INDEX(SPPWS,ED224,4)&gt;=$AB221,INDEX(SPPWS,ED224,5)&gt;=$S215,INDEX(SPPWS,ED224,6)&gt;=$R215),1,0),IF(AND(INDEX(SPM,ED224,4)&gt;=$AB221,INDEX(SPM,ED224,5)&gt;=$S215,INDEX(SPM,ED224,6)&gt;=$R215),1,0))</f>
        <v>#N/A</v>
      </c>
      <c r="EF224" s="4" t="e">
        <f t="shared" ref="EF224" ca="1" si="3603">MATCH(1,OFFSET(EE215:EE226,EG223,0,COUNT(EE215:EE226)-EG223),0)</f>
        <v>#REF!</v>
      </c>
      <c r="EG224" s="4" t="e">
        <f t="shared" ca="1" si="3478"/>
        <v>#REF!</v>
      </c>
      <c r="EH224" s="692" t="str">
        <f ca="1">IF(LEFT($J215,7)="Clad Wo",IFERROR(VLOOKUP(INDEX(ED215:ED226,EG224),SPPWS,2,FALSE),"----"),IFERROR(VLOOKUP(INDEX(ED215:ED226,EG224),SPM,2,FALSE),"----"))</f>
        <v>----</v>
      </c>
    </row>
    <row r="225" spans="1:138" ht="15" customHeight="1" x14ac:dyDescent="0.25">
      <c r="A225" s="1085"/>
      <c r="B225" s="925"/>
      <c r="C225" s="926"/>
      <c r="D225" s="927"/>
      <c r="E225" s="995"/>
      <c r="F225" s="996"/>
      <c r="G225" s="997"/>
      <c r="H225" s="1062"/>
      <c r="I225" s="990"/>
      <c r="J225" s="902"/>
      <c r="K225" s="903"/>
      <c r="L225" s="1002"/>
      <c r="M225" s="923"/>
      <c r="N225" s="1042"/>
      <c r="O225" s="1018"/>
      <c r="P225" s="987"/>
      <c r="Q225" s="1015"/>
      <c r="R225" s="1012"/>
      <c r="S225" s="1006"/>
      <c r="T225" s="1007"/>
      <c r="U225" s="878"/>
      <c r="V225" s="881"/>
      <c r="W225" s="884"/>
      <c r="X225" s="884"/>
      <c r="Y225" s="887"/>
      <c r="Z225" s="887"/>
      <c r="AA225" s="887"/>
      <c r="AB225" s="1081"/>
      <c r="AC225" s="1078"/>
      <c r="AD225" s="1070" t="str">
        <f t="shared" si="3099"/>
        <v>Engineered Lumber</v>
      </c>
      <c r="AE225" s="1071"/>
      <c r="AF225" s="1052"/>
      <c r="AG225" s="1053"/>
      <c r="AH225" s="1053"/>
      <c r="AI225" s="1068"/>
      <c r="AJ225" s="1069"/>
      <c r="AK225" s="154" t="str">
        <f t="shared" ca="1" si="2393"/>
        <v/>
      </c>
      <c r="AL225" s="1059"/>
      <c r="AM225" s="344" t="str">
        <f ca="1">IFERROR(Q215/12*ROUND(VLOOKUP(AF225,OFFSET(ELM,0,1),6,FALSE),2),"")</f>
        <v/>
      </c>
      <c r="AN225" t="str">
        <f t="shared" ca="1" si="2409"/>
        <v/>
      </c>
      <c r="AP225" s="122" t="str">
        <f t="shared" ref="AP225" si="3604">_xlfn.CONCAT(AR225,AS226)</f>
        <v/>
      </c>
      <c r="AQ225" s="683" t="str">
        <f t="shared" si="2617"/>
        <v/>
      </c>
      <c r="AR225" s="4" t="str">
        <f t="shared" si="2378"/>
        <v/>
      </c>
      <c r="AS225" s="4"/>
      <c r="AT225" s="697" t="str">
        <f>AL221</f>
        <v/>
      </c>
      <c r="AU225" s="694" t="e">
        <f t="shared" ca="1" si="2633"/>
        <v>#REF!</v>
      </c>
      <c r="AV225" s="698" t="str">
        <f ca="1">IFERROR(VLOOKUP(AU225,INDIRECT(AQ215),2,FALSE),"----")</f>
        <v>----</v>
      </c>
      <c r="AW225" s="694" t="e">
        <f t="shared" ca="1" si="2634"/>
        <v>#REF!</v>
      </c>
      <c r="AX225" s="698" t="str">
        <f ca="1">IFERROR(VLOOKUP(AW225,INDIRECT(AQ216),2,FALSE),"----")</f>
        <v>----</v>
      </c>
      <c r="AY225" s="694" t="e">
        <f t="shared" ca="1" si="3352"/>
        <v>#REF!</v>
      </c>
      <c r="AZ225" s="698" t="str">
        <f ca="1">IFERROR(VLOOKUP(AY225,INDIRECT(AQ217),2,FALSE),"----")</f>
        <v>----</v>
      </c>
      <c r="BA225" s="694" t="e">
        <f t="shared" ca="1" si="3353"/>
        <v>#REF!</v>
      </c>
      <c r="BB225" s="698" t="str">
        <f ca="1">IFERROR(VLOOKUP(BA225,INDIRECT(AQ218),2,FALSE),"----")</f>
        <v>----</v>
      </c>
      <c r="BC225" s="694" t="e">
        <f t="shared" ca="1" si="2635"/>
        <v>#REF!</v>
      </c>
      <c r="BD225" s="698" t="str">
        <f ca="1">IFERROR(VLOOKUP(BC225,INDIRECT(AQ219),2,FALSE),"----")</f>
        <v>----</v>
      </c>
      <c r="BE225" s="694" t="e">
        <f t="shared" ca="1" si="2636"/>
        <v>#REF!</v>
      </c>
      <c r="BF225" s="698" t="str">
        <f ca="1">IFERROR(VLOOKUP(BE225,INDIRECT(AQ220),2,FALSE),"----")</f>
        <v>----</v>
      </c>
      <c r="BG225" s="702" t="e">
        <f t="shared" ca="1" si="2637"/>
        <v>#REF!</v>
      </c>
      <c r="BH225" s="686" t="str">
        <f ca="1">IFERROR(VLOOKUP(BG225,INDIRECT(AQ221),2,FALSE),"----")</f>
        <v>----</v>
      </c>
      <c r="BI225" s="702" t="e">
        <f t="shared" ca="1" si="2638"/>
        <v>#REF!</v>
      </c>
      <c r="BJ225" s="686" t="str">
        <f ca="1">IFERROR(VLOOKUP(BI225,INDIRECT(AQ222),2,FALSE),"----")</f>
        <v>----</v>
      </c>
      <c r="BK225" s="702" t="e">
        <f t="shared" ca="1" si="2639"/>
        <v>#REF!</v>
      </c>
      <c r="BL225" s="686" t="str">
        <f ca="1">IFERROR(VLOOKUP(BK225,INDIRECT(AQ223),2,FALSE),"----")</f>
        <v>----</v>
      </c>
      <c r="BM225" s="702" t="e">
        <f t="shared" ca="1" si="2640"/>
        <v>#REF!</v>
      </c>
      <c r="BN225" s="686" t="str">
        <f ca="1">IFERROR(VLOOKUP(BM225,INDIRECT(AQ224),2,FALSE),"----")</f>
        <v>----</v>
      </c>
      <c r="BO225" s="702" t="e">
        <f t="shared" ca="1" si="2641"/>
        <v>#REF!</v>
      </c>
      <c r="BP225" s="686" t="str">
        <f ca="1">IFERROR(VLOOKUP(BO225,INDIRECT(AQ225),2,FALSE),"----")</f>
        <v>----</v>
      </c>
      <c r="BQ225" s="702" t="e">
        <f t="shared" ca="1" si="2642"/>
        <v>#REF!</v>
      </c>
      <c r="BR225" s="686" t="str">
        <f ca="1">IFERROR(VLOOKUP(BQ225,INDIRECT(AQ226),2,FALSE),"----")</f>
        <v>----</v>
      </c>
      <c r="BS225" s="695">
        <f>IF(AI225="",1,IF(COUNTIF(BP215:BP226,AI225)=0,2,1))</f>
        <v>1</v>
      </c>
      <c r="BT225" s="696">
        <f>IF(AF225="",1,IF(BP215=".",2,1))</f>
        <v>1</v>
      </c>
      <c r="BU225" s="706"/>
      <c r="BV225" s="155">
        <f ca="1">IF(COUNTIF(EC215:EC226,AF225)=0,IF(AF225&lt;&gt;"",0,1),1)</f>
        <v>1</v>
      </c>
      <c r="BW225" s="157">
        <f ca="1">IFERROR(MATCH(AF225,EC215:EC226,0),1)</f>
        <v>1</v>
      </c>
      <c r="BX225" s="769"/>
      <c r="BY225" s="769"/>
      <c r="BZ225" s="1110"/>
      <c r="CA225" s="691" t="e">
        <f t="shared" ca="1" si="3443"/>
        <v>#REF!</v>
      </c>
      <c r="CB225" s="4" t="e" cm="1">
        <f t="array" aca="1" ref="CB225" ca="1">IF(AND(INDEX(INDIRECT(BY215),CA225,4)&gt;=$AB215,INDEX(INDIRECT(BY215),CA225,5)&gt;=$S215,INDEX(INDIRECT(BY215),CA225,6)&gt;=$R215),1,0)</f>
        <v>#REF!</v>
      </c>
      <c r="CC225" s="4" t="e">
        <f t="shared" ref="CC225" ca="1" si="3605">MATCH(1,OFFSET(CB215:CB226,CD224,0,COUNT(CB215:CB226)-CD224),0)</f>
        <v>#REF!</v>
      </c>
      <c r="CD225" s="4" t="e">
        <f t="shared" ca="1" si="3445"/>
        <v>#REF!</v>
      </c>
      <c r="CE225" s="692" t="str" cm="1">
        <f t="array" aca="1" ref="CE225" ca="1">IFERROR(VLOOKUP(INDEX(CA215:CA226,CD225),INDIRECT(BY215),2,FALSE),"----")</f>
        <v>----</v>
      </c>
      <c r="CF225" s="691" t="e">
        <f t="shared" ca="1" si="3446"/>
        <v>#N/A</v>
      </c>
      <c r="CG225" s="4" t="e">
        <f ca="1">IF(AND(INDEX(SSM,CF225,4)&gt;=$AB215,INDEX(SSM,CF225,5)&gt;=$S215,INDEX(SSM,CF225,6)&gt;=$R215),1,0)</f>
        <v>#N/A</v>
      </c>
      <c r="CH225" s="4" t="e">
        <f t="shared" ref="CH225" ca="1" si="3606">MATCH(1,OFFSET(CG215:CG226,CI224,0,COUNT(CG215:CG226)-CI224),0)</f>
        <v>#REF!</v>
      </c>
      <c r="CI225" s="4" t="e">
        <f t="shared" ca="1" si="3448"/>
        <v>#REF!</v>
      </c>
      <c r="CJ225" s="692" t="str">
        <f ca="1">IFERROR(IF(AD216="Nested Steel Stud (wood infill)",VLOOKUP(INDEX(CF215:CF226,CI225),SSW,2,FALSE),VLOOKUP(INDEX(CF215:CF226,CI225),SSM,2,FALSE)),"----")</f>
        <v>----</v>
      </c>
      <c r="CK225" s="691" t="e">
        <f t="shared" ca="1" si="3449"/>
        <v>#N/A</v>
      </c>
      <c r="CL225" s="4" t="e">
        <f ca="1">IF(AND(INDEX(WSM,CK225,4)&gt;=$AB215,INDEX(WSM,CK225,5)&gt;=$S215,INDEX(WSM,CK225,6)&gt;=$R215),1,0)</f>
        <v>#N/A</v>
      </c>
      <c r="CM225" s="4" t="e">
        <f t="shared" ref="CM225" ca="1" si="3607">MATCH(1,OFFSET(CL215:CL226,CN224,0,COUNT(CL215:CL226)-CN224),0)</f>
        <v>#REF!</v>
      </c>
      <c r="CN225" s="4" t="e">
        <f t="shared" ca="1" si="3451"/>
        <v>#REF!</v>
      </c>
      <c r="CO225" s="692" t="str">
        <f ca="1">IFERROR(VLOOKUP(INDEX(CK215:CK226,CN225),WSM,2,FALSE),"----")</f>
        <v>----</v>
      </c>
      <c r="CP225" s="691" t="e">
        <f t="shared" ca="1" si="3452"/>
        <v>#N/A</v>
      </c>
      <c r="CQ225" s="4" t="e">
        <f ca="1">IF(AND(INDEX(STM,CP225,4)&gt;=$AB215,INDEX(STM,CP225,5)&gt;=$S215,INDEX(STM,CP225,6)&gt;=$R215),1,0)</f>
        <v>#N/A</v>
      </c>
      <c r="CR225" s="4" t="e">
        <f t="shared" ref="CR225" ca="1" si="3608">MATCH(1,OFFSET(CQ215:CQ226,CS224,0,COUNT(CQ215:CQ226)-CS224),0)</f>
        <v>#REF!</v>
      </c>
      <c r="CS225" s="4" t="e">
        <f t="shared" ca="1" si="3454"/>
        <v>#REF!</v>
      </c>
      <c r="CT225" s="692" t="str">
        <f ca="1">IFERROR(VLOOKUP(INDEX(CP215:CP226,CS225),STM,2,FALSE),"----")</f>
        <v>----</v>
      </c>
      <c r="CU225" s="691" t="e">
        <f t="shared" ca="1" si="3455"/>
        <v>#N/A</v>
      </c>
      <c r="CV225" s="4" t="e">
        <f ca="1">IF(AND(INDEX(ELM,CU225,4)&gt;=$AB215,INDEX(ELM,CU225,5)&gt;=$S215,INDEX(ELM,CU225,6)&gt;=$R215),1,0)</f>
        <v>#N/A</v>
      </c>
      <c r="CW225" s="4" t="e">
        <f t="shared" ref="CW225" ca="1" si="3609">MATCH(1,OFFSET(CV215:CV226,CX224,0,COUNT(CV215:CV226)-CX224),0)</f>
        <v>#REF!</v>
      </c>
      <c r="CX225" s="4" t="e">
        <f t="shared" ca="1" si="3457"/>
        <v>#REF!</v>
      </c>
      <c r="CY225" s="692" t="str">
        <f ca="1">IFERROR(VLOOKUP(INDEX(CU215:CU226,CX225),ELM,2,FALSE),"----")</f>
        <v>----</v>
      </c>
      <c r="CZ225" s="691" t="e">
        <f t="shared" ca="1" si="3458"/>
        <v>#N/A</v>
      </c>
      <c r="DA225" s="4" t="e">
        <f ca="1">IF(LEFT($J215,7)="Clad Wo",IF(AND(INDEX(SPPWS,CZ225,4)&gt;=$AB215,INDEX(SPPWS,CZ225,5)&gt;=$S215,INDEX(SPPWS,CZ225,6)&gt;=$R215),1,0),IF(AND(INDEX(SPM,CZ225,4)&gt;=$AB215,INDEX(SPM,CZ225,5)&gt;=$S215,INDEX(SPM,CZ225,6)&gt;=$R215),1,0))</f>
        <v>#N/A</v>
      </c>
      <c r="DB225" s="4" t="e">
        <f t="shared" ref="DB225" ca="1" si="3610">MATCH(1,OFFSET(DA215:DA226,DC224,0,COUNT(DA215:DA226)-DC224),0)</f>
        <v>#REF!</v>
      </c>
      <c r="DC225" s="4" t="e">
        <f t="shared" ca="1" si="3460"/>
        <v>#REF!</v>
      </c>
      <c r="DD225" s="693" t="str">
        <f ca="1">IF(LEFT($J215,7)="Clad Wo",IFERROR(VLOOKUP(INDEX(CZ215:CZ226,DC225),SPPWS,2,FALSE),"----"),IFERROR(VLOOKUP(INDEX(CZ215:CZ226,DC225),SPM,2,FALSE),"----"))</f>
        <v>----</v>
      </c>
      <c r="DE225" s="691" t="e">
        <f t="shared" ca="1" si="3461"/>
        <v>#REF!</v>
      </c>
      <c r="DF225" s="4" t="e" cm="1">
        <f t="array" aca="1" ref="DF225" ca="1">IF(AND(INDEX(INDIRECT(BY215),DE225,4)&gt;=$AB221,INDEX(INDIRECT(BY215),DE225,5)&gt;=$S215,INDEX(INDIRECT(BY215),DE225,6)&gt;=$R215),1,0)</f>
        <v>#REF!</v>
      </c>
      <c r="DG225" s="4" t="e">
        <f t="shared" ref="DG225" ca="1" si="3611">MATCH(1,OFFSET(DF215:DF226,DH224,0,COUNT(DF215:DF226)-DH224),0)</f>
        <v>#REF!</v>
      </c>
      <c r="DH225" s="4" t="e">
        <f t="shared" ca="1" si="3463"/>
        <v>#REF!</v>
      </c>
      <c r="DI225" s="692" t="str" cm="1">
        <f t="array" aca="1" ref="DI225" ca="1">IFERROR(VLOOKUP(INDEX(DE215:DE226,DH225),INDIRECT(BY215),2,FALSE),"----")</f>
        <v>----</v>
      </c>
      <c r="DJ225" s="691" t="e">
        <f t="shared" ca="1" si="3464"/>
        <v>#N/A</v>
      </c>
      <c r="DK225" s="4" t="e">
        <f ca="1">IF(AND(INDEX(SSM,DJ225,4)&gt;=$AB221,INDEX(SSM,DJ225,5)&gt;=$S215,INDEX(SSM,DJ225,6)&gt;=$R215),1,0)</f>
        <v>#N/A</v>
      </c>
      <c r="DL225" s="4" t="e">
        <f t="shared" ref="DL225" ca="1" si="3612">MATCH(1,OFFSET(DK215:DK226,DM224,0,COUNT(DK215:DK226)-DM224),0)</f>
        <v>#REF!</v>
      </c>
      <c r="DM225" s="4" t="e">
        <f t="shared" ca="1" si="3466"/>
        <v>#REF!</v>
      </c>
      <c r="DN225" s="692" t="str">
        <f ca="1">IFERROR(IF(AD222="Nested Steel Stud (wood infill)",VLOOKUP(INDEX(DJ215:DJ226,DM225),SSW,2,FALSE),VLOOKUP(INDEX(DJ215:DJ226,DM225),SSM,2,FALSE)),"----")</f>
        <v>----</v>
      </c>
      <c r="DO225" s="691" t="e">
        <f t="shared" ca="1" si="3467"/>
        <v>#N/A</v>
      </c>
      <c r="DP225" s="4" t="e">
        <f ca="1">IF(AND(INDEX(WSM,DO225,4)&gt;=$AB221,INDEX(WSM,DO225,5)&gt;=$S215,INDEX(WSM,DO225,6)&gt;=$R215),1,0)</f>
        <v>#N/A</v>
      </c>
      <c r="DQ225" s="4" t="e">
        <f t="shared" ref="DQ225" ca="1" si="3613">MATCH(1,OFFSET(DP215:DP226,DR224,0,COUNT(DP215:DP226)-DR224),0)</f>
        <v>#REF!</v>
      </c>
      <c r="DR225" s="4" t="e">
        <f t="shared" ca="1" si="3469"/>
        <v>#REF!</v>
      </c>
      <c r="DS225" s="692" t="str">
        <f ca="1">IFERROR(VLOOKUP(INDEX(DO215:DO226,DR225),WSM,2,FALSE),"----")</f>
        <v>----</v>
      </c>
      <c r="DT225" s="691" t="e">
        <f t="shared" ca="1" si="3470"/>
        <v>#N/A</v>
      </c>
      <c r="DU225" s="4" t="e">
        <f ca="1">IF(AND(INDEX(STM,DT225,4)&gt;=$AB221,INDEX(STM,DT225,5)&gt;=$S215,INDEX(STM,DT225,6)&gt;=$R215),1,0)</f>
        <v>#N/A</v>
      </c>
      <c r="DV225" s="4" t="e">
        <f t="shared" ref="DV225" ca="1" si="3614">MATCH(1,OFFSET(DU215:DU226,DW224,0,COUNT(DU215:DU226)-DW224),0)</f>
        <v>#REF!</v>
      </c>
      <c r="DW225" s="4" t="e">
        <f t="shared" ca="1" si="3472"/>
        <v>#REF!</v>
      </c>
      <c r="DX225" s="692" t="str">
        <f ca="1">IFERROR(VLOOKUP(INDEX(DT215:DT226,DW225),STM,2,FALSE),"----")</f>
        <v>----</v>
      </c>
      <c r="DY225" s="691" t="e">
        <f t="shared" ca="1" si="3473"/>
        <v>#N/A</v>
      </c>
      <c r="DZ225" s="4" t="e">
        <f ca="1">IF(AND(INDEX(ELM,DY225,4)&gt;=$AB221,INDEX(ELM,DY225,5)&gt;=$S215,INDEX(ELM,DY225,6)&gt;=$R215),1,0)</f>
        <v>#N/A</v>
      </c>
      <c r="EA225" s="4" t="e">
        <f t="shared" ref="EA225" ca="1" si="3615">MATCH(1,OFFSET(DZ215:DZ226,EB224,0,COUNT(DZ215:DZ226)-EB224),0)</f>
        <v>#REF!</v>
      </c>
      <c r="EB225" s="4" t="e">
        <f t="shared" ca="1" si="3475"/>
        <v>#REF!</v>
      </c>
      <c r="EC225" s="692" t="str">
        <f ca="1">IFERROR(VLOOKUP(INDEX(DY215:DY226,EB225),ELM,2,FALSE),"----")</f>
        <v>----</v>
      </c>
      <c r="ED225" s="691" t="e">
        <f t="shared" ca="1" si="3476"/>
        <v>#N/A</v>
      </c>
      <c r="EE225" s="4" t="e">
        <f ca="1">IF(LEFT($J215,7)="Clad Wo",IF(AND(INDEX(SPPWS,ED225,4)&gt;=$AB221,INDEX(SPPWS,ED225,5)&gt;=$S215,INDEX(SPPWS,ED225,6)&gt;=$R215),1,0),IF(AND(INDEX(SPM,ED225,4)&gt;=$AB221,INDEX(SPM,ED225,5)&gt;=$S215,INDEX(SPM,ED225,6)&gt;=$R215),1,0))</f>
        <v>#N/A</v>
      </c>
      <c r="EF225" s="4" t="e">
        <f t="shared" ref="EF225" ca="1" si="3616">MATCH(1,OFFSET(EE215:EE226,EG224,0,COUNT(EE215:EE226)-EG224),0)</f>
        <v>#REF!</v>
      </c>
      <c r="EG225" s="4" t="e">
        <f t="shared" ca="1" si="3478"/>
        <v>#REF!</v>
      </c>
      <c r="EH225" s="692" t="str">
        <f ca="1">IF(LEFT($J215,7)="Clad Wo",IFERROR(VLOOKUP(INDEX(ED215:ED226,EG225),SPPWS,2,FALSE),"----"),IFERROR(VLOOKUP(INDEX(ED215:ED226,EG225),SPM,2,FALSE),"----"))</f>
        <v>----</v>
      </c>
    </row>
    <row r="226" spans="1:138" ht="15" customHeight="1" thickBot="1" x14ac:dyDescent="0.3">
      <c r="A226" s="1085"/>
      <c r="B226" s="928"/>
      <c r="C226" s="929"/>
      <c r="D226" s="930"/>
      <c r="E226" s="998"/>
      <c r="F226" s="999"/>
      <c r="G226" s="1000"/>
      <c r="H226" s="1063"/>
      <c r="I226" s="991"/>
      <c r="J226" s="904"/>
      <c r="K226" s="905"/>
      <c r="L226" s="1003"/>
      <c r="M226" s="1065"/>
      <c r="N226" s="1043"/>
      <c r="O226" s="1019"/>
      <c r="P226" s="988"/>
      <c r="Q226" s="1016"/>
      <c r="R226" s="1013"/>
      <c r="S226" s="1008"/>
      <c r="T226" s="1009"/>
      <c r="U226" s="879"/>
      <c r="V226" s="882"/>
      <c r="W226" s="885"/>
      <c r="X226" s="885"/>
      <c r="Y226" s="888"/>
      <c r="Z226" s="888"/>
      <c r="AA226" s="888"/>
      <c r="AB226" s="1082"/>
      <c r="AC226" s="1087"/>
      <c r="AD226" s="1098" t="str">
        <f t="shared" ref="AD226" si="3617">IF(LEFT(J215,7)="Clad Wo","Pella Wood Spr / Steel Pte","Steel Plate")</f>
        <v>Steel Plate</v>
      </c>
      <c r="AE226" s="1099"/>
      <c r="AF226" s="1096"/>
      <c r="AG226" s="1097"/>
      <c r="AH226" s="1097"/>
      <c r="AI226" s="1094"/>
      <c r="AJ226" s="1095"/>
      <c r="AK226" s="163" t="str">
        <f t="shared" ca="1" si="2393"/>
        <v/>
      </c>
      <c r="AL226" s="1060"/>
      <c r="AM226" s="345" t="str">
        <f ca="1">IFERROR(Q215/12*ROUND(VLOOKUP(AF226,OFFSET(SPM,0,1),6,FALSE),2),"")</f>
        <v/>
      </c>
      <c r="AN226" t="str">
        <f t="shared" ca="1" si="2409"/>
        <v/>
      </c>
      <c r="AP226" s="699" t="str">
        <f t="shared" ref="AP226" si="3618">_xlfn.CONCAT(AR226,AS226)</f>
        <v/>
      </c>
      <c r="AQ226" s="700" t="str">
        <f t="shared" si="2617"/>
        <v/>
      </c>
      <c r="AR226" s="160" t="str">
        <f t="shared" si="2378"/>
        <v/>
      </c>
      <c r="AS226" s="160" t="str">
        <f>IFERROR(VLOOKUP(J223, WallType,2,FALSE),"")</f>
        <v/>
      </c>
      <c r="AT226" s="707" t="str">
        <f>AL221</f>
        <v/>
      </c>
      <c r="AU226" s="708" t="e">
        <f t="shared" ca="1" si="2633"/>
        <v>#REF!</v>
      </c>
      <c r="AV226" s="709" t="str">
        <f ca="1">IFERROR(VLOOKUP(AU226,INDIRECT(AQ215),2,FALSE),"----")</f>
        <v>----</v>
      </c>
      <c r="AW226" s="710" t="e">
        <f t="shared" ca="1" si="2634"/>
        <v>#REF!</v>
      </c>
      <c r="AX226" s="709" t="str">
        <f ca="1">IFERROR(VLOOKUP(AW226,INDIRECT(AQ216),2,FALSE),"----")</f>
        <v>----</v>
      </c>
      <c r="AY226" s="710" t="e">
        <f t="shared" ca="1" si="3352"/>
        <v>#REF!</v>
      </c>
      <c r="AZ226" s="709" t="str">
        <f ca="1">IFERROR(VLOOKUP(AY226,INDIRECT(AQ217),2,FALSE),"----")</f>
        <v>----</v>
      </c>
      <c r="BA226" s="710" t="e">
        <f t="shared" ca="1" si="3353"/>
        <v>#REF!</v>
      </c>
      <c r="BB226" s="709" t="str">
        <f ca="1">IFERROR(VLOOKUP(BA226,INDIRECT(AQ218),2,FALSE),"----")</f>
        <v>----</v>
      </c>
      <c r="BC226" s="710" t="e">
        <f t="shared" ca="1" si="2635"/>
        <v>#REF!</v>
      </c>
      <c r="BD226" s="709" t="str">
        <f ca="1">IFERROR(VLOOKUP(BC226,INDIRECT(AQ219),2,FALSE),"----")</f>
        <v>----</v>
      </c>
      <c r="BE226" s="710" t="e">
        <f t="shared" ca="1" si="2636"/>
        <v>#REF!</v>
      </c>
      <c r="BF226" s="709" t="str">
        <f ca="1">IFERROR(VLOOKUP(BE226,INDIRECT(AQ220),2,FALSE),"----")</f>
        <v>----</v>
      </c>
      <c r="BG226" s="710" t="e">
        <f t="shared" ca="1" si="2637"/>
        <v>#REF!</v>
      </c>
      <c r="BH226" s="711" t="str">
        <f ca="1">IFERROR(VLOOKUP(BG226,INDIRECT(AQ221),2,FALSE),"----")</f>
        <v>----</v>
      </c>
      <c r="BI226" s="710" t="e">
        <f t="shared" ca="1" si="2638"/>
        <v>#REF!</v>
      </c>
      <c r="BJ226" s="711" t="str">
        <f ca="1">IFERROR(VLOOKUP(BI226,INDIRECT(AQ222),2,FALSE),"----")</f>
        <v>----</v>
      </c>
      <c r="BK226" s="710" t="e">
        <f t="shared" ca="1" si="2639"/>
        <v>#REF!</v>
      </c>
      <c r="BL226" s="711" t="str">
        <f ca="1">IFERROR(VLOOKUP(BK226,INDIRECT(AQ223),2,FALSE),"----")</f>
        <v>----</v>
      </c>
      <c r="BM226" s="710" t="e">
        <f t="shared" ca="1" si="2640"/>
        <v>#REF!</v>
      </c>
      <c r="BN226" s="711" t="str">
        <f ca="1">IFERROR(VLOOKUP(BM226,INDIRECT(AQ224),2,FALSE),"----")</f>
        <v>----</v>
      </c>
      <c r="BO226" s="710" t="e">
        <f t="shared" ca="1" si="2641"/>
        <v>#REF!</v>
      </c>
      <c r="BP226" s="711" t="str">
        <f ca="1">IFERROR(VLOOKUP(BO226,INDIRECT(AQ225),2,FALSE),"----")</f>
        <v>----</v>
      </c>
      <c r="BQ226" s="710" t="e">
        <f t="shared" ca="1" si="2642"/>
        <v>#REF!</v>
      </c>
      <c r="BR226" s="712" t="str">
        <f ca="1">IFERROR(VLOOKUP(BQ226,INDIRECT(AQ226),2,FALSE),"----")</f>
        <v>----</v>
      </c>
      <c r="BS226" s="695">
        <f>IF(AI226="",1,IF(COUNTIF(BR215:BR226,AI226)=0,2,1))</f>
        <v>1</v>
      </c>
      <c r="BT226" s="713">
        <f>IF(AF226="",1,IF(BR215=".",2,1))</f>
        <v>1</v>
      </c>
      <c r="BV226" s="155">
        <f ca="1">IF(COUNTIF(EH215:EH226,AF226)=0,IF(AF226&lt;&gt;"",0,1),1)</f>
        <v>1</v>
      </c>
      <c r="BW226" s="157">
        <f ca="1">IFERROR(MATCH(AF226,EH215:EH226,0),1)</f>
        <v>1</v>
      </c>
      <c r="BX226" s="718"/>
      <c r="BY226" s="777"/>
      <c r="BZ226" s="1110"/>
      <c r="CA226" s="714" t="e">
        <f t="shared" ca="1" si="3443"/>
        <v>#REF!</v>
      </c>
      <c r="CB226" s="715" t="e" cm="1">
        <f t="array" aca="1" ref="CB226" ca="1">IF(AND(INDEX(INDIRECT(BY215),CA226,4)&gt;=$AB215,INDEX(INDIRECT(BY215),CA226,5)&gt;=$S215,INDEX(INDIRECT(BY215),CA226,6)&gt;=$R215),1,0)</f>
        <v>#REF!</v>
      </c>
      <c r="CC226" s="715" t="e">
        <f t="shared" ref="CC226" ca="1" si="3619">MATCH(1,OFFSET(CB215:CB226,CD225,0,COUNT(CB215:CB226)-CD225),0)</f>
        <v>#REF!</v>
      </c>
      <c r="CD226" s="715" t="e">
        <f t="shared" ca="1" si="3445"/>
        <v>#REF!</v>
      </c>
      <c r="CE226" s="716" t="str" cm="1">
        <f t="array" aca="1" ref="CE226" ca="1">IFERROR(VLOOKUP(INDEX(CA215:CA226,CD226),INDIRECT(BY215),2,FALSE),"----")</f>
        <v>----</v>
      </c>
      <c r="CF226" s="714" t="e">
        <f t="shared" ca="1" si="3446"/>
        <v>#N/A</v>
      </c>
      <c r="CG226" s="715" t="e">
        <f ca="1">IF(AND(INDEX(SSM,CF226,4)&gt;=$AB215,INDEX(SSM,CF226,5)&gt;=$S215,INDEX(SSM,CF226,6)&gt;=$R215),1,0)</f>
        <v>#N/A</v>
      </c>
      <c r="CH226" s="715" t="e">
        <f t="shared" ref="CH226" ca="1" si="3620">MATCH(1,OFFSET(CG215:CG226,CI225,0,COUNT(CG215:CG226)-CI225),0)</f>
        <v>#REF!</v>
      </c>
      <c r="CI226" s="715" t="e">
        <f t="shared" ca="1" si="3448"/>
        <v>#REF!</v>
      </c>
      <c r="CJ226" s="716" t="str">
        <f ca="1">IFERROR(IF(AD216="Nested Steel Stud (wood infill)",VLOOKUP(INDEX(CF215:CF226,CI226),SSW,2,FALSE),VLOOKUP(INDEX(CF215:CF226,CI226),SSM,2,FALSE)),"----")</f>
        <v>----</v>
      </c>
      <c r="CK226" s="714" t="e">
        <f t="shared" ca="1" si="3449"/>
        <v>#N/A</v>
      </c>
      <c r="CL226" s="715" t="e">
        <f ca="1">IF(AND(INDEX(WSM,CK226,4)&gt;=$AB215,INDEX(WSM,CK226,5)&gt;=$S215,INDEX(WSM,CK226,6)&gt;=$R215),1,0)</f>
        <v>#N/A</v>
      </c>
      <c r="CM226" s="715" t="e">
        <f t="shared" ref="CM226" ca="1" si="3621">MATCH(1,OFFSET(CL215:CL226,CN225,0,COUNT(CL215:CL226)-CN225),0)</f>
        <v>#REF!</v>
      </c>
      <c r="CN226" s="715" t="e">
        <f t="shared" ca="1" si="3451"/>
        <v>#REF!</v>
      </c>
      <c r="CO226" s="716" t="str">
        <f ca="1">IFERROR(VLOOKUP(INDEX(CK215:CK226,CN226),WSM,2,FALSE),"----")</f>
        <v>----</v>
      </c>
      <c r="CP226" s="714" t="e">
        <f t="shared" ca="1" si="3452"/>
        <v>#N/A</v>
      </c>
      <c r="CQ226" s="715" t="e">
        <f ca="1">IF(AND(INDEX(STM,CP226,4)&gt;=$AB215,INDEX(STM,CP226,5)&gt;=$S215,INDEX(STM,CP226,6)&gt;=$R215),1,0)</f>
        <v>#N/A</v>
      </c>
      <c r="CR226" s="715" t="e">
        <f t="shared" ref="CR226" ca="1" si="3622">MATCH(1,OFFSET(CQ215:CQ226,CS225,0,COUNT(CQ215:CQ226)-CS225),0)</f>
        <v>#REF!</v>
      </c>
      <c r="CS226" s="715" t="e">
        <f t="shared" ca="1" si="3454"/>
        <v>#REF!</v>
      </c>
      <c r="CT226" s="716" t="str">
        <f ca="1">IFERROR(VLOOKUP(INDEX(CP215:CP226,CS226),STM,2,FALSE),"----")</f>
        <v>----</v>
      </c>
      <c r="CU226" s="714" t="e">
        <f t="shared" ca="1" si="3455"/>
        <v>#N/A</v>
      </c>
      <c r="CV226" s="715" t="e">
        <f ca="1">IF(AND(INDEX(ELM,CU226,4)&gt;=$AB215,INDEX(ELM,CU226,5)&gt;=$S215,INDEX(ELM,CU226,6)&gt;=$R215),1,0)</f>
        <v>#N/A</v>
      </c>
      <c r="CW226" s="715" t="e">
        <f t="shared" ref="CW226" ca="1" si="3623">MATCH(1,OFFSET(CV215:CV226,CX225,0,COUNT(CV215:CV226)-CX225),0)</f>
        <v>#REF!</v>
      </c>
      <c r="CX226" s="715" t="e">
        <f t="shared" ca="1" si="3457"/>
        <v>#REF!</v>
      </c>
      <c r="CY226" s="716" t="str">
        <f ca="1">IFERROR(VLOOKUP(INDEX(CU215:CU226,CX226),ELM,2,FALSE),"----")</f>
        <v>----</v>
      </c>
      <c r="CZ226" s="714" t="e">
        <f t="shared" ca="1" si="3458"/>
        <v>#N/A</v>
      </c>
      <c r="DA226" s="715" t="e">
        <f ca="1">IF(LEFT($J215,7)="Clad Wo",IF(AND(INDEX(SPPWS,CZ226,4)&gt;=$AB215,INDEX(SPPWS,CZ226,5)&gt;=$S215,INDEX(SPPWS,CZ226,6)&gt;=$R215),1,0),IF(AND(INDEX(SPM,CZ226,4)&gt;=$AB215,INDEX(SPM,CZ226,5)&gt;=$S215,INDEX(SPM,CZ226,6)&gt;=$R215),1,0))</f>
        <v>#N/A</v>
      </c>
      <c r="DB226" s="715" t="e">
        <f t="shared" ref="DB226" ca="1" si="3624">MATCH(1,OFFSET(DA215:DA226,DC225,0,COUNT(DA215:DA226)-DC225),0)</f>
        <v>#REF!</v>
      </c>
      <c r="DC226" s="715" t="e">
        <f t="shared" ca="1" si="3460"/>
        <v>#REF!</v>
      </c>
      <c r="DD226" s="717" t="str">
        <f ca="1">IF(LEFT($J215,7)="Clad Wo",IFERROR(VLOOKUP(INDEX(CZ215:CZ226,DC226),SPPWS,2,FALSE),"----"),IFERROR(VLOOKUP(INDEX(CZ215:CZ226,DC226),SPM,2,FALSE),"----"))</f>
        <v>----</v>
      </c>
      <c r="DE226" s="714" t="e">
        <f t="shared" ca="1" si="3461"/>
        <v>#REF!</v>
      </c>
      <c r="DF226" s="715" t="e" cm="1">
        <f t="array" aca="1" ref="DF226" ca="1">IF(AND(INDEX(INDIRECT(BY215),DE226,4)&gt;=$AB221,INDEX(INDIRECT(BY215),DE226,5)&gt;=$S215,INDEX(INDIRECT(BY215),DE226,6)&gt;=$R215),1,0)</f>
        <v>#REF!</v>
      </c>
      <c r="DG226" s="715" t="e">
        <f t="shared" ref="DG226" ca="1" si="3625">MATCH(1,OFFSET(DF215:DF226,DH225,0,COUNT(DF215:DF226)-DH225),0)</f>
        <v>#REF!</v>
      </c>
      <c r="DH226" s="715" t="e">
        <f t="shared" ca="1" si="3463"/>
        <v>#REF!</v>
      </c>
      <c r="DI226" s="716" t="str" cm="1">
        <f t="array" aca="1" ref="DI226" ca="1">IFERROR(VLOOKUP(INDEX(DE215:DE226,DH226),INDIRECT(BY215),2,FALSE),"----")</f>
        <v>----</v>
      </c>
      <c r="DJ226" s="714" t="e">
        <f t="shared" ca="1" si="3464"/>
        <v>#N/A</v>
      </c>
      <c r="DK226" s="715" t="e">
        <f ca="1">IF(AND(INDEX(SSM,DJ226,4)&gt;=$AB221,INDEX(SSM,DJ226,5)&gt;=$S215,INDEX(SSM,DJ226,6)&gt;=$R215),1,0)</f>
        <v>#N/A</v>
      </c>
      <c r="DL226" s="715" t="e">
        <f t="shared" ref="DL226" ca="1" si="3626">MATCH(1,OFFSET(DK215:DK226,DM225,0,COUNT(DK215:DK226)-DM225),0)</f>
        <v>#REF!</v>
      </c>
      <c r="DM226" s="715" t="e">
        <f t="shared" ca="1" si="3466"/>
        <v>#REF!</v>
      </c>
      <c r="DN226" s="716" t="str">
        <f ca="1">IFERROR(IF(AD222="Nested Steel Stud (wood infill)",VLOOKUP(INDEX(DJ215:DJ226,DM226),SSW,2,FALSE),VLOOKUP(INDEX(DJ215:DJ226,DM226),SSM,2,FALSE)),"----")</f>
        <v>----</v>
      </c>
      <c r="DO226" s="714" t="e">
        <f t="shared" ca="1" si="3467"/>
        <v>#N/A</v>
      </c>
      <c r="DP226" s="715" t="e">
        <f ca="1">IF(AND(INDEX(WSM,DO226,4)&gt;=$AB221,INDEX(WSM,DO226,5)&gt;=$S215,INDEX(WSM,DO226,6)&gt;=$R215),1,0)</f>
        <v>#N/A</v>
      </c>
      <c r="DQ226" s="715" t="e">
        <f t="shared" ref="DQ226" ca="1" si="3627">MATCH(1,OFFSET(DP215:DP226,DR225,0,COUNT(DP215:DP226)-DR225),0)</f>
        <v>#REF!</v>
      </c>
      <c r="DR226" s="715" t="e">
        <f t="shared" ca="1" si="3469"/>
        <v>#REF!</v>
      </c>
      <c r="DS226" s="716" t="str">
        <f ca="1">IFERROR(VLOOKUP(INDEX(DO215:DO226,DR226),WSM,2,FALSE),"----")</f>
        <v>----</v>
      </c>
      <c r="DT226" s="714" t="e">
        <f t="shared" ca="1" si="3470"/>
        <v>#N/A</v>
      </c>
      <c r="DU226" s="715" t="e">
        <f ca="1">IF(AND(INDEX(STM,DT226,4)&gt;=$AB221,INDEX(STM,DT226,5)&gt;=$S215,INDEX(STM,DT226,6)&gt;=$R215),1,0)</f>
        <v>#N/A</v>
      </c>
      <c r="DV226" s="715" t="e">
        <f t="shared" ref="DV226" ca="1" si="3628">MATCH(1,OFFSET(DU215:DU226,DW225,0,COUNT(DU215:DU226)-DW225),0)</f>
        <v>#REF!</v>
      </c>
      <c r="DW226" s="715" t="e">
        <f t="shared" ca="1" si="3472"/>
        <v>#REF!</v>
      </c>
      <c r="DX226" s="716" t="str">
        <f ca="1">IFERROR(VLOOKUP(INDEX(DT215:DT226,DW226),STM,2,FALSE),"----")</f>
        <v>----</v>
      </c>
      <c r="DY226" s="714" t="e">
        <f t="shared" ca="1" si="3473"/>
        <v>#N/A</v>
      </c>
      <c r="DZ226" s="715" t="e">
        <f ca="1">IF(AND(INDEX(ELM,DY226,4)&gt;=$AB221,INDEX(ELM,DY226,5)&gt;=$S215,INDEX(ELM,DY226,6)&gt;=$R215),1,0)</f>
        <v>#N/A</v>
      </c>
      <c r="EA226" s="715" t="e">
        <f t="shared" ref="EA226" ca="1" si="3629">MATCH(1,OFFSET(DZ215:DZ226,EB225,0,COUNT(DZ215:DZ226)-EB225),0)</f>
        <v>#REF!</v>
      </c>
      <c r="EB226" s="715" t="e">
        <f t="shared" ca="1" si="3475"/>
        <v>#REF!</v>
      </c>
      <c r="EC226" s="716" t="str">
        <f ca="1">IFERROR(VLOOKUP(INDEX(DY215:DY226,EB226),ELM,2,FALSE),"----")</f>
        <v>----</v>
      </c>
      <c r="ED226" s="714" t="e">
        <f t="shared" ca="1" si="3476"/>
        <v>#N/A</v>
      </c>
      <c r="EE226" s="715" t="e">
        <f ca="1">IF(LEFT($J215,7)="Clad Wo",IF(AND(INDEX(SPPWS,ED226,4)&gt;=$AB221,INDEX(SPPWS,ED226,5)&gt;=$S215,INDEX(SPPWS,ED226,6)&gt;=$R215),1,0),IF(AND(INDEX(SPM,ED226,4)&gt;=$AB221,INDEX(SPM,ED226,5)&gt;=$S215,INDEX(SPM,ED226,6)&gt;=$R215),1,0))</f>
        <v>#N/A</v>
      </c>
      <c r="EF226" s="715" t="e">
        <f t="shared" ref="EF226" ca="1" si="3630">MATCH(1,OFFSET(EE215:EE226,EG225,0,COUNT(EE215:EE226)-EG225),0)</f>
        <v>#REF!</v>
      </c>
      <c r="EG226" s="715" t="e">
        <f t="shared" ca="1" si="3478"/>
        <v>#REF!</v>
      </c>
      <c r="EH226" s="716" t="str">
        <f ca="1">IF(LEFT($J215,7)="Clad Wo",IFERROR(VLOOKUP(INDEX(ED215:ED226,EG226),SPPWS,2,FALSE),"----"),IFERROR(VLOOKUP(INDEX(ED215:ED226,EG226),SPM,2,FALSE),"----"))</f>
        <v>----</v>
      </c>
    </row>
    <row r="227" spans="1:138" ht="15" customHeight="1" thickTop="1" x14ac:dyDescent="0.25">
      <c r="A227" s="1085"/>
      <c r="B227" s="931" t="s">
        <v>92</v>
      </c>
      <c r="C227" s="932"/>
      <c r="D227" s="933"/>
      <c r="E227" s="992"/>
      <c r="F227" s="993"/>
      <c r="G227" s="994"/>
      <c r="H227" s="1061"/>
      <c r="I227" s="989"/>
      <c r="J227" s="906"/>
      <c r="K227" s="907"/>
      <c r="L227" s="1001">
        <f>$W$3</f>
        <v>4</v>
      </c>
      <c r="M227" s="923" t="str">
        <f t="shared" ref="M227" si="3631">IFERROR(IF($AE$13="",IF($AG$19="Wind Loading",MIN($V$31,IF(E$11="ASCE 7-05",$U$26,$V$7)*$V$9*(IF($E$12&lt;60,0.0771*LN(MAX(MIN(500,O227),10)) -1.2737,IF($E$11="ASCE 7-22",0.0524*LN(MAX(MIN(500,O227),50))-1.0278,0.0614*LN(MAX(MIN(500,O227),20)) -1.0829))-$V$8)),$V$7*IF(E$12&lt;60,$V$13*($V$15*0.0771*LN(MAX(MIN(500,O227),10))-1.2737-$V$16),$V$13*$V$15*((0.0524*LN(MAX(MIN(500,O227),20))-1.0278)-$V$16))),-ABS($AE$13)),"")</f>
        <v/>
      </c>
      <c r="N227" s="1042" t="str">
        <f t="shared" ref="N227" si="3632">IFERROR(IF($AE$15="",IF($AG$19="Wind Loading",MAX($U$31,IF(E$11="ASCE 7-05",$U$26,$V$7)*$V$9*((IF($E$12&lt;60,-0.077*LN(MAX(MIN(500,O227),10))+1.1737,IF($E$11="ASCE 7-22",-0.077*LN(MAX(MIN(500,O227),20))+1.0798,-0.093*LN(MAX(MIN(500,O227),20))+1.1776)))+$V$8)),$V$7*IF(E$12&lt;60,$V$13*($V$15*(-0.077*LN(MAX(MIN(500,O227),10))+1.1737)-$V$17),$V$13*$V$15*((-0.077*LN(MAX(MIN(500,O227),20))+1.0798)-$V$17))),ABS($AE$15)),"")</f>
        <v/>
      </c>
      <c r="O227" s="1017" t="str">
        <f>IF(BX234=0,"",IF(AG$14="Trapezoidal",BY234,BX234))</f>
        <v/>
      </c>
      <c r="P227" s="986"/>
      <c r="Q227" s="1014"/>
      <c r="R227" s="1011">
        <f>P227*Q227/8</f>
        <v>0</v>
      </c>
      <c r="S227" s="1004">
        <f t="shared" ref="S227" si="3633">IF(5*(P227*Q227^3/(384*0.125))=0,0,5*(P227*Q227^3/(384*0.125)))</f>
        <v>0</v>
      </c>
      <c r="T227" s="1005"/>
      <c r="U227" s="877" t="e">
        <f ca="1">VLOOKUP(J231,INDIRECT(VLOOKUP(J227,FrameStrength,2,FALSE)),3,FALSE)</f>
        <v>#N/A</v>
      </c>
      <c r="V227" s="880">
        <f t="shared" ref="V227" si="3634">(H227+I227)/2</f>
        <v>0</v>
      </c>
      <c r="W227" s="883" t="e">
        <f t="shared" ref="W227" si="3635">MAX(-M227,N227)*O227</f>
        <v>#VALUE!</v>
      </c>
      <c r="X227" s="883">
        <f t="shared" ref="X227" si="3636">IF(E227&gt;162,(E227/240+0.25),IF(AND(E227&lt;162,E227/175&lt;0.75),E227/175,0.75))</f>
        <v>0</v>
      </c>
      <c r="Y227" s="886">
        <f>IFERROR(IF(AG$14="Trapezoidal",BY235,BX235)+IF($E$17="4",(400*E227^3)/(48*X227),0),0)</f>
        <v>0</v>
      </c>
      <c r="Z227" s="886" t="e">
        <f t="shared" ref="Z227" si="3637">+($V227*MAX(-$M227,$N227)*$E227^2)/(144*8)+IF($E$17=4,(400*$E227)/4,0)</f>
        <v>#VALUE!</v>
      </c>
      <c r="AA227" s="886" t="e">
        <f ca="1">VLOOKUP(J231,INDIRECT(VLOOKUP(J227,FrameStrength,2,FALSE)),2,FALSE)</f>
        <v>#N/A</v>
      </c>
      <c r="AB227" s="1083" t="str">
        <f t="shared" ref="AB227" ca="1" si="3638">IFERROR(Z227-AA227,"")</f>
        <v/>
      </c>
      <c r="AC227" s="1077" t="str">
        <f t="shared" ref="AC227" ca="1" si="3639">IFERROR(Y227-U227,"")</f>
        <v/>
      </c>
      <c r="AD227" s="1100" t="str">
        <f>IFERROR(IF(LEFT(J231,2)="As",VLOOKUP(J231,EIMM,4,FALSE),VLOOKUP(J227,EIMM,4,FALSE)),IF(AND(ISNUMBER(SEARCH("Impervia",J227)),ISNUMBER(SEARCH("door",J231))),'New Lookup Cells'!AF$10,IF(ISNUMBER(SEARCH("Impervia",J227)),'New Lookup Cells'!AF$7,IF(AND(ISNUMBER(SEARCH("250",J227)),ISNUMBER(SEARCH("door",J231))),'New Lookup Cells'!AF$14,IF(ISNUMBER(SEARCH("250",J227)),'New Lookup Cells'!AF$13,"")))))</f>
        <v/>
      </c>
      <c r="AE227" s="1101"/>
      <c r="AF227" s="1050"/>
      <c r="AG227" s="1051"/>
      <c r="AH227" s="1051"/>
      <c r="AI227" s="1088"/>
      <c r="AJ227" s="1089"/>
      <c r="AK227" s="154" t="str">
        <f t="shared" ca="1" si="2393"/>
        <v/>
      </c>
      <c r="AL227" s="1038" t="str">
        <f t="shared" ref="AL227" si="3640">IFERROR(ROUND(SQRT(P227^2+(W227/2+IF($E$17=4,200,0))^2),0),"")</f>
        <v/>
      </c>
      <c r="AM227" s="342" t="s">
        <v>669</v>
      </c>
      <c r="AN227" t="str">
        <f t="shared" ca="1" si="2409"/>
        <v/>
      </c>
      <c r="AP227" s="122" t="str">
        <f t="shared" ref="AP227" si="3641">_xlfn.CONCAT(AR227,AS232)</f>
        <v/>
      </c>
      <c r="AQ227" s="683" t="str">
        <f t="shared" si="2617"/>
        <v/>
      </c>
      <c r="AR227" s="96" t="str">
        <f t="shared" ref="AR227:AR290" si="3642">IFERROR(VLOOKUP(AF227,MullList,2,FALSE),"")</f>
        <v/>
      </c>
      <c r="AS227" s="96" t="str">
        <f>IF(COUNTIF(imp_1,AF227)=1,"imp_1",IF(COUNTIF(imp_2,AF227)=1,"imp_2",IF(COUNTIF(imp_3,AF227)=1,"imp_3",IF(COUNTIF(impdoor,AF227)=1,"impdoor",""))))</f>
        <v/>
      </c>
      <c r="AT227" s="684" t="str">
        <f>AL227</f>
        <v/>
      </c>
      <c r="AU227" s="685" t="e">
        <f ca="1">MATCH(AL227,INDIRECT(AP227),-1)</f>
        <v>#REF!</v>
      </c>
      <c r="AV227" s="686" t="str">
        <f ca="1">IFERROR(VLOOKUP(AU227,INDIRECT(AQ227),2,FALSE),"----")</f>
        <v>----</v>
      </c>
      <c r="AW227" s="685" t="e">
        <f ca="1">MATCH(AL227,INDIRECT(AP228),-1)</f>
        <v>#REF!</v>
      </c>
      <c r="AX227" s="686" t="str">
        <f ca="1">IFERROR(VLOOKUP(AW227,INDIRECT(AQ228),2,FALSE),"----")</f>
        <v>----</v>
      </c>
      <c r="AY227" s="685" t="e">
        <f ca="1">MATCH(AL227,INDIRECT(AP229),-1)</f>
        <v>#REF!</v>
      </c>
      <c r="AZ227" s="686" t="str">
        <f ca="1">IFERROR(VLOOKUP(AY227,INDIRECT(AQ229),2,FALSE),"----")</f>
        <v>----</v>
      </c>
      <c r="BA227" s="685" t="e">
        <f ca="1">MATCH(AL227,INDIRECT(AP230),-1)</f>
        <v>#REF!</v>
      </c>
      <c r="BB227" s="686" t="str">
        <f ca="1">IFERROR(VLOOKUP(BA227,INDIRECT(AQ230),2,FALSE),"----")</f>
        <v>----</v>
      </c>
      <c r="BC227" s="685" t="e">
        <f ca="1">MATCH(AL227,INDIRECT(AP231),-1)</f>
        <v>#REF!</v>
      </c>
      <c r="BD227" s="686" t="str">
        <f ca="1">IFERROR(VLOOKUP(BC227,INDIRECT(AQ231),2,FALSE),"----")</f>
        <v>----</v>
      </c>
      <c r="BE227" s="685" t="e">
        <f ca="1">MATCH(AL227,INDIRECT(AP232),-1)</f>
        <v>#REF!</v>
      </c>
      <c r="BF227" s="686" t="str">
        <f ca="1">IFERROR(VLOOKUP(BE227,INDIRECT(AQ232),2,FALSE),"----")</f>
        <v>----</v>
      </c>
      <c r="BG227" s="685" t="e">
        <f ca="1">MATCH(AL233,INDIRECT(AP233),-1)</f>
        <v>#REF!</v>
      </c>
      <c r="BH227" s="686" t="str">
        <f ca="1">IFERROR(VLOOKUP(BG227,INDIRECT(AQ233),2,FALSE),"----")</f>
        <v>----</v>
      </c>
      <c r="BI227" s="685" t="e">
        <f ca="1">MATCH(AL233,INDIRECT(AP234),-1)</f>
        <v>#REF!</v>
      </c>
      <c r="BJ227" s="686" t="str">
        <f ca="1">IFERROR(VLOOKUP(BI227,INDIRECT(AQ234),2,FALSE),"----")</f>
        <v>----</v>
      </c>
      <c r="BK227" s="685" t="e">
        <f ca="1">MATCH(AL233,INDIRECT(AP235),-1)</f>
        <v>#REF!</v>
      </c>
      <c r="BL227" s="686" t="str">
        <f ca="1">IFERROR(VLOOKUP(BK227,INDIRECT(AQ235),2,FALSE),"----")</f>
        <v>----</v>
      </c>
      <c r="BM227" s="685" t="e">
        <f ca="1">MATCH(AL233,INDIRECT(AP236),-1)</f>
        <v>#REF!</v>
      </c>
      <c r="BN227" s="686" t="str">
        <f ca="1">IFERROR(VLOOKUP(BM227,INDIRECT(AQ236),2,FALSE),"----")</f>
        <v>----</v>
      </c>
      <c r="BO227" s="685" t="e">
        <f ca="1">MATCH(AL233,INDIRECT(AP237),-1)</f>
        <v>#REF!</v>
      </c>
      <c r="BP227" s="686" t="str">
        <f ca="1">IFERROR(VLOOKUP(BO227,INDIRECT(AQ237),2,FALSE),"----")</f>
        <v>----</v>
      </c>
      <c r="BQ227" s="685" t="e">
        <f ca="1">MATCH(AL233,INDIRECT(AP238),-1)</f>
        <v>#REF!</v>
      </c>
      <c r="BR227" s="686" t="str">
        <f ca="1">IFERROR(VLOOKUP(BQ227,INDIRECT(AQ238),2,FALSE),"----")</f>
        <v>----</v>
      </c>
      <c r="BS227" s="687">
        <f>IF(AI227="",1,IF(COUNTIF(AV227:AV238,AI227)=0,2,1))</f>
        <v>1</v>
      </c>
      <c r="BT227" s="688">
        <f>IF(AP227="1",1,IF(AF227="",1,IF(AV227=".",2,1)))</f>
        <v>1</v>
      </c>
      <c r="BU227" s="706"/>
      <c r="BV227" s="155">
        <f ca="1">IF(COUNTIF(CE227:CE238,AF227)=0,IF(AF227&lt;&gt;"",0,1),1)</f>
        <v>1</v>
      </c>
      <c r="BW227" s="157">
        <f ca="1">IFERROR(MATCH(AF227,CE227:CE238,0),1)</f>
        <v>1</v>
      </c>
      <c r="BX227" s="769" t="str">
        <f>IFERROR(IF(LEFT(J231,2)="As",VLOOKUP(J231,EIMM,2,FALSE),IF(AND(ISNUMBER(SEARCH("Impervia",J227)),ISNUMBER(SEARCH("door",J231))),VLOOKUP("Impervia Door",EIMM,2,FALSE),IF(AND(ISNUMBER(SEARCH("250",J227)),ISNUMBER(SEARCH("door",J231))),VLOOKUP("250 Series Door",EIMM,2,FALSE),VLOOKUP(J227,EIMM,2,FALSE)))),"")</f>
        <v/>
      </c>
      <c r="BY227" s="769" t="str">
        <f ca="1">IFERROR(VLOOKUP(BX227,OFFSET(EIMM,0,1),2,FALSE),"")</f>
        <v/>
      </c>
      <c r="BZ227" s="1110" t="e">
        <f ca="1">IF((COUNTIF(INDIRECT(SUBSTITUTE(J227," ","_")),J231))=0,IF(J231="",1,0),1)</f>
        <v>#REF!</v>
      </c>
      <c r="CA227" s="691" t="e">
        <f ca="1">MATCH(AC227,INDIRECT(BX227),-1)</f>
        <v>#REF!</v>
      </c>
      <c r="CB227" s="4" t="e" cm="1">
        <f t="array" aca="1" ref="CB227" ca="1">IF(AND(INDEX(INDIRECT(BY227),CA227,4)&gt;=$AB227,INDEX(INDIRECT(BY227),CA227,5)&gt;=$S227,INDEX(INDIRECT(BY227),CA227,6)&gt;=$R227),1,0)</f>
        <v>#REF!</v>
      </c>
      <c r="CC227" s="4" t="e">
        <f t="shared" ref="CC227" ca="1" si="3643">MATCH(1,OFFSET(CB227:CB238,$W$2,0,COUNT(CB227:CB238)-$W$2),0)</f>
        <v>#REF!</v>
      </c>
      <c r="CD227" s="4" t="e">
        <f t="shared" ref="CD227" ca="1" si="3644">$W$2+CC227</f>
        <v>#REF!</v>
      </c>
      <c r="CE227" s="692" t="str" cm="1">
        <f t="array" aca="1" ref="CE227" ca="1">IFERROR(VLOOKUP(INDEX(CA227:CA238,CD227),INDIRECT(BY227),2,FALSE),"----")</f>
        <v>----</v>
      </c>
      <c r="CF227" s="691" t="e">
        <f ca="1">MATCH($AC227,SSEI,-1)</f>
        <v>#N/A</v>
      </c>
      <c r="CG227" s="4" t="e">
        <f ca="1">IF(AND(INDEX(SSM,CF227,4)&gt;=$AB227,INDEX(SSM,CF227,5)&gt;=$S227,INDEX(SSM,CF227,6)&gt;=$R227),1,0)</f>
        <v>#N/A</v>
      </c>
      <c r="CH227" s="4" t="e">
        <f t="shared" ref="CH227" ca="1" si="3645">MATCH(1,OFFSET(CG227:CG238,$W$2,0,COUNT(CG227:CG238)-$W$2),0)</f>
        <v>#REF!</v>
      </c>
      <c r="CI227" s="4" t="e">
        <f t="shared" ref="CI227" ca="1" si="3646">$W$2+CH227</f>
        <v>#REF!</v>
      </c>
      <c r="CJ227" s="692" t="str">
        <f ca="1">IFERROR(IF(AD228="Nested Steel Stud (wood infill)",VLOOKUP(INDEX(CF227:CF238,CI227),SSW,2,FALSE),VLOOKUP(INDEX(CF227:CF238,CI227),SSM,2,FALSE)),"----")</f>
        <v>----</v>
      </c>
      <c r="CK227" s="691" t="e">
        <f ca="1">MATCH($AC227,WSEI,-1)</f>
        <v>#N/A</v>
      </c>
      <c r="CL227" s="4" t="e">
        <f ca="1">IF(AND(INDEX(WSM,CK227,4)&gt;=$AB227,INDEX(WSM,CK227,5)&gt;=$S227,INDEX(WSM,CK227,6)&gt;=$R227),1,0)</f>
        <v>#N/A</v>
      </c>
      <c r="CM227" s="4" t="e">
        <f t="shared" ref="CM227" ca="1" si="3647">MATCH(1,OFFSET(CL227:CL238,$W$2,0,COUNT(CL227:CL238)-$W$2),0)</f>
        <v>#REF!</v>
      </c>
      <c r="CN227" s="4" t="e">
        <f t="shared" ref="CN227" ca="1" si="3648">$W$2+CM227</f>
        <v>#REF!</v>
      </c>
      <c r="CO227" s="692" t="str">
        <f ca="1">IFERROR(VLOOKUP(INDEX(CK227:CK238,CN227),WSM,2,FALSE),"----")</f>
        <v>----</v>
      </c>
      <c r="CP227" s="691" t="e">
        <f ca="1">MATCH($AC227,STEI,-1)</f>
        <v>#N/A</v>
      </c>
      <c r="CQ227" s="4" t="e">
        <f ca="1">IF(AND(INDEX(STM,CP227,4)&gt;=$AB227,INDEX(STM,CP227,5)&gt;=$S227,INDEX(STM,CP227,6)&gt;=$R227),1,0)</f>
        <v>#N/A</v>
      </c>
      <c r="CR227" s="4" t="e">
        <f t="shared" ref="CR227" ca="1" si="3649">MATCH(1,OFFSET(CQ227:CQ238,$W$2,0,COUNT(CQ227:CQ238)-$W$2),0)</f>
        <v>#REF!</v>
      </c>
      <c r="CS227" s="4" t="e">
        <f t="shared" ref="CS227" ca="1" si="3650">$W$2+CR227</f>
        <v>#REF!</v>
      </c>
      <c r="CT227" s="692" t="str">
        <f ca="1">IFERROR(VLOOKUP(INDEX(CP227:CP238,CS227),STM,2,FALSE),"----")</f>
        <v>----</v>
      </c>
      <c r="CU227" s="691" t="e">
        <f ca="1">MATCH($AC227,ELEI,-1)</f>
        <v>#N/A</v>
      </c>
      <c r="CV227" s="4" t="e">
        <f ca="1">IF(AND(INDEX(ELM,CU227,4)&gt;=$AB227,INDEX(ELM,CU227,5)&gt;=$S227,INDEX(ELM,CU227,6)&gt;=$R227),1,0)</f>
        <v>#N/A</v>
      </c>
      <c r="CW227" s="4" t="e">
        <f t="shared" ref="CW227" ca="1" si="3651">MATCH(1,OFFSET(CV227:CV238,$W$2,0,COUNT(CV227:CV238)-$W$2),0)</f>
        <v>#REF!</v>
      </c>
      <c r="CX227" s="4" t="e">
        <f t="shared" ref="CX227" ca="1" si="3652">$W$2+CW227</f>
        <v>#REF!</v>
      </c>
      <c r="CY227" s="692" t="str">
        <f ca="1">IFERROR(VLOOKUP(INDEX(CU227:CU238,CX227),ELM,2,FALSE),"----")</f>
        <v>----</v>
      </c>
      <c r="CZ227" s="691" t="e">
        <f ca="1">IF(LEFT($J227,7)="Clad Wo",MATCH($AC227,SPEIW,-1),MATCH($AC227,SPEI,-1))</f>
        <v>#N/A</v>
      </c>
      <c r="DA227" s="4" t="e">
        <f ca="1">IF(LEFT($J227,7)="Clad Wo",IF(AND(INDEX(SPPWS,CZ227,4)&gt;=$AB227,INDEX(SPPWS,CZ227,5)&gt;=$S227,INDEX(SPPWS,CZ227,6)&gt;=$R227),1,0),IF(AND(INDEX(SPM,CZ227,4)&gt;=$AB227,INDEX(SPM,CZ227,5)&gt;=$S227,INDEX(SPM,CZ227,6)&gt;=$R227),1,0))</f>
        <v>#N/A</v>
      </c>
      <c r="DB227" s="4" t="e">
        <f t="shared" ref="DB227" ca="1" si="3653">MATCH(1,OFFSET(DA227:DA238,$W$2,0,COUNT(DA227:DA238)-$W$2),0)</f>
        <v>#REF!</v>
      </c>
      <c r="DC227" s="4" t="e">
        <f t="shared" ref="DC227" ca="1" si="3654">$W$2+DB227</f>
        <v>#REF!</v>
      </c>
      <c r="DD227" s="693" t="str">
        <f ca="1">IF(LEFT($J227,7)="Clad Wo",IFERROR(VLOOKUP(INDEX(CZ227:CZ238,DC227),SPPWS,2,FALSE),"----"),IFERROR(VLOOKUP(INDEX(CZ227:CZ238,DC227),SPM,2,FALSE),"----"))</f>
        <v>----</v>
      </c>
      <c r="DE227" s="691" t="e">
        <f ca="1">MATCH(AC233,INDIRECT(BX227),-1)</f>
        <v>#REF!</v>
      </c>
      <c r="DF227" s="4" t="e" cm="1">
        <f t="array" aca="1" ref="DF227" ca="1">IF(AND(INDEX(INDIRECT(BY227),DE227,4)&gt;=$AB233,INDEX(INDIRECT(BY227),DE227,5)&gt;=$S227,INDEX(INDIRECT(BY227),DE227,6)&gt;=$R227),1,0)</f>
        <v>#REF!</v>
      </c>
      <c r="DG227" s="4" t="e">
        <f t="shared" ref="DG227" ca="1" si="3655">MATCH(1,OFFSET(DF227:DF238,$W$2,0,COUNT(DF227:DF238)-$W$2),0)</f>
        <v>#REF!</v>
      </c>
      <c r="DH227" s="4" t="e">
        <f t="shared" ref="DH227" ca="1" si="3656">$W$2+DG227</f>
        <v>#REF!</v>
      </c>
      <c r="DI227" s="692" t="str" cm="1">
        <f t="array" aca="1" ref="DI227" ca="1">IFERROR(VLOOKUP(INDEX(DE227:DE238,DH227),INDIRECT(BY227),2,FALSE),"----")</f>
        <v>----</v>
      </c>
      <c r="DJ227" s="691" t="e">
        <f ca="1">MATCH($AC233,SSEI,-1)</f>
        <v>#N/A</v>
      </c>
      <c r="DK227" s="4" t="e">
        <f ca="1">IF(AND(INDEX(SSM,DJ227,4)&gt;=$AB233,INDEX(SSM,DJ227,5)&gt;=$S227,INDEX(SSM,DJ227,6)&gt;=$R227),1,0)</f>
        <v>#N/A</v>
      </c>
      <c r="DL227" s="4" t="e">
        <f t="shared" ref="DL227" ca="1" si="3657">MATCH(1,OFFSET(DK227:DK238,$W$2,0,COUNT(DK227:DK238)-$W$2),0)</f>
        <v>#REF!</v>
      </c>
      <c r="DM227" s="4" t="e">
        <f t="shared" ref="DM227" ca="1" si="3658">$W$2+DL227</f>
        <v>#REF!</v>
      </c>
      <c r="DN227" s="692" t="str">
        <f ca="1">IFERROR(IF(AD234="Nested Steel Stud (wood infill)",VLOOKUP(INDEX(DJ227:DJ238,DM227),SSW,2,FALSE),VLOOKUP(INDEX(DJ227:DJ238,DM227),SSM,2,FALSE)),"----")</f>
        <v>----</v>
      </c>
      <c r="DO227" s="691" t="e">
        <f ca="1">MATCH($AC233,WSEI,-1)</f>
        <v>#N/A</v>
      </c>
      <c r="DP227" s="4" t="e">
        <f ca="1">IF(AND(INDEX(WSM,DO227,4)&gt;=$AB233,INDEX(WSM,DO227,5)&gt;=$S227,INDEX(WSM,DO227,6)&gt;=$R227),1,0)</f>
        <v>#N/A</v>
      </c>
      <c r="DQ227" s="4" t="e">
        <f t="shared" ref="DQ227" ca="1" si="3659">MATCH(1,OFFSET(DP227:DP238,$W$2,0,COUNT(DP227:DP238)-$W$2),0)</f>
        <v>#REF!</v>
      </c>
      <c r="DR227" s="4" t="e">
        <f t="shared" ref="DR227" ca="1" si="3660">$W$2+DQ227</f>
        <v>#REF!</v>
      </c>
      <c r="DS227" s="692" t="str">
        <f ca="1">IFERROR(VLOOKUP(INDEX(DO227:DO238,DR227),WSM,2,FALSE),"----")</f>
        <v>----</v>
      </c>
      <c r="DT227" s="691" t="e">
        <f ca="1">MATCH($AC233,STEI,-1)</f>
        <v>#N/A</v>
      </c>
      <c r="DU227" s="4" t="e">
        <f ca="1">IF(AND(INDEX(STM,DT227,4)&gt;=$AB233,INDEX(STM,DT227,5)&gt;=$S227,INDEX(STM,DT227,6)&gt;=$R227),1,0)</f>
        <v>#N/A</v>
      </c>
      <c r="DV227" s="4" t="e">
        <f t="shared" ref="DV227" ca="1" si="3661">MATCH(1,OFFSET(DU227:DU238,$W$2,0,COUNT(DU227:DU238)-$W$2),0)</f>
        <v>#REF!</v>
      </c>
      <c r="DW227" s="4" t="e">
        <f t="shared" ref="DW227" ca="1" si="3662">$W$2+DV227</f>
        <v>#REF!</v>
      </c>
      <c r="DX227" s="692" t="str">
        <f ca="1">IFERROR(VLOOKUP(INDEX(DT227:DT238,DW227),STM,2,FALSE),"----")</f>
        <v>----</v>
      </c>
      <c r="DY227" s="691" t="e">
        <f ca="1">MATCH($AC233,ELEI,-1)</f>
        <v>#N/A</v>
      </c>
      <c r="DZ227" s="4" t="e">
        <f ca="1">IF(AND(INDEX(ELM,DY227,4)&gt;=$AB233,INDEX(ELM,DY227,5)&gt;=$S227,INDEX(ELM,DY227,6)&gt;=$R227),1,0)</f>
        <v>#N/A</v>
      </c>
      <c r="EA227" s="4" t="e">
        <f t="shared" ref="EA227" ca="1" si="3663">MATCH(1,OFFSET(DZ227:DZ238,$W$2,0,COUNT(DZ227:DZ238)-$W$2),0)</f>
        <v>#REF!</v>
      </c>
      <c r="EB227" s="4" t="e">
        <f t="shared" ref="EB227" ca="1" si="3664">EA227+$W$2</f>
        <v>#REF!</v>
      </c>
      <c r="EC227" s="692" t="str">
        <f ca="1">IFERROR(VLOOKUP(INDEX(DY227:DY238,EB227),ELM,2,FALSE),"----")</f>
        <v>----</v>
      </c>
      <c r="ED227" s="691" t="e">
        <f ca="1">IF(LEFT($J227,7)="Clad Wo",MATCH($AC233,SPEIW,-1),MATCH($AC233,SPEI,-1))</f>
        <v>#N/A</v>
      </c>
      <c r="EE227" s="4" t="e">
        <f ca="1">IF(LEFT($J227,7)="Clad Wo",IF(AND(INDEX(SPPWS,ED227,4)&gt;=$AB233,INDEX(SPPWS,ED227,5)&gt;=$S227,INDEX(SPPWS,ED227,6)&gt;=$R227),1,0),IF(AND(INDEX(SPM,ED227,4)&gt;=$AB233,INDEX(SPM,ED227,5)&gt;=$S227,INDEX(SPM,ED227,6)&gt;=$R227),1,0))</f>
        <v>#N/A</v>
      </c>
      <c r="EF227" s="4" t="e">
        <f t="shared" ref="EF227" ca="1" si="3665">MATCH(1,OFFSET(EE227:EE238,$W$2,0,COUNT(EE227:EE238)-$W$2),0)</f>
        <v>#REF!</v>
      </c>
      <c r="EG227" s="4" t="e">
        <f t="shared" ref="EG227" ca="1" si="3666">$W$2+EF227</f>
        <v>#REF!</v>
      </c>
      <c r="EH227" s="692" t="str">
        <f ca="1">IF(LEFT($J227,7)="Clad Wo",IFERROR(VLOOKUP(INDEX(ED227:ED238,EG227),SPPWS,2,FALSE),"----"),IFERROR(VLOOKUP(INDEX(ED227:ED238,EG227),SPM,2,FALSE),"----"))</f>
        <v>----</v>
      </c>
    </row>
    <row r="228" spans="1:138" ht="15" customHeight="1" x14ac:dyDescent="0.25">
      <c r="A228" s="1085"/>
      <c r="B228" s="925"/>
      <c r="C228" s="926"/>
      <c r="D228" s="927"/>
      <c r="E228" s="995"/>
      <c r="F228" s="996"/>
      <c r="G228" s="997"/>
      <c r="H228" s="1062"/>
      <c r="I228" s="990"/>
      <c r="J228" s="908"/>
      <c r="K228" s="909"/>
      <c r="L228" s="1002"/>
      <c r="M228" s="923"/>
      <c r="N228" s="1042"/>
      <c r="O228" s="1018"/>
      <c r="P228" s="987"/>
      <c r="Q228" s="1015"/>
      <c r="R228" s="1012"/>
      <c r="S228" s="1006"/>
      <c r="T228" s="1007"/>
      <c r="U228" s="878"/>
      <c r="V228" s="881"/>
      <c r="W228" s="884"/>
      <c r="X228" s="884"/>
      <c r="Y228" s="887"/>
      <c r="Z228" s="887"/>
      <c r="AA228" s="887"/>
      <c r="AB228" s="1081"/>
      <c r="AC228" s="1078"/>
      <c r="AD228" s="1102" t="s">
        <v>38</v>
      </c>
      <c r="AE228" s="1103"/>
      <c r="AF228" s="1052"/>
      <c r="AG228" s="1053"/>
      <c r="AH228" s="1053"/>
      <c r="AI228" s="1066"/>
      <c r="AJ228" s="1067"/>
      <c r="AK228" s="156" t="str">
        <f t="shared" ref="AK228:AK291" ca="1" si="3667">IFERROR(VLOOKUP(AI228,OFFSET(INDIRECT(AQ228),0,1),2,FALSE),"")</f>
        <v/>
      </c>
      <c r="AL228" s="1039"/>
      <c r="AM228" s="343" t="str">
        <f ca="1">IFERROR(Q227/12*ROUND(VLOOKUP(AF228,OFFSET(SSM,0,1),6,FALSE),2),"")</f>
        <v/>
      </c>
      <c r="AN228" t="str">
        <f t="shared" ca="1" si="2409"/>
        <v/>
      </c>
      <c r="AP228" s="122" t="str">
        <f t="shared" ref="AP228" si="3668">_xlfn.CONCAT(AR228,AS232)</f>
        <v/>
      </c>
      <c r="AQ228" s="683" t="str">
        <f t="shared" si="2617"/>
        <v/>
      </c>
      <c r="AR228" s="96" t="str">
        <f t="shared" si="3642"/>
        <v/>
      </c>
      <c r="AS228" s="96" t="str">
        <f>IF(COUNTIF(Vista_1,AF227)=1,"Vista_1",IF(COUNTIF(Vista_2,AF227)=1,"Vista_2",""))</f>
        <v/>
      </c>
      <c r="AT228" s="684" t="str">
        <f>AL227</f>
        <v/>
      </c>
      <c r="AU228" s="694" t="e">
        <f t="shared" ref="AU228" ca="1" si="3669">AU227-1</f>
        <v>#REF!</v>
      </c>
      <c r="AV228" s="686" t="str">
        <f ca="1">IFERROR(VLOOKUP(AU228,INDIRECT(AQ227),2,FALSE),"----")</f>
        <v>----</v>
      </c>
      <c r="AW228" s="694" t="e">
        <f t="shared" ref="AW228:AW229" ca="1" si="3670">AW227-1</f>
        <v>#REF!</v>
      </c>
      <c r="AX228" s="686" t="str">
        <f ca="1">IFERROR(VLOOKUP(AW228,INDIRECT(AQ228),2,FALSE),"----")</f>
        <v>----</v>
      </c>
      <c r="AY228" s="694" t="e">
        <f t="shared" ref="AY228:AY229" ca="1" si="3671">AY227-1</f>
        <v>#REF!</v>
      </c>
      <c r="AZ228" s="686" t="str">
        <f ca="1">IFERROR(VLOOKUP(AY228,INDIRECT(AQ229),2,FALSE),"----")</f>
        <v>----</v>
      </c>
      <c r="BA228" s="694" t="e">
        <f t="shared" ref="BA228:BA229" ca="1" si="3672">BA227-1</f>
        <v>#REF!</v>
      </c>
      <c r="BB228" s="686" t="str">
        <f ca="1">IFERROR(VLOOKUP(BA228,INDIRECT(AQ230),2,FALSE),"----")</f>
        <v>----</v>
      </c>
      <c r="BC228" s="694" t="e">
        <f t="shared" ref="BC228:BC229" ca="1" si="3673">BC227-1</f>
        <v>#REF!</v>
      </c>
      <c r="BD228" s="686" t="str">
        <f ca="1">IFERROR(VLOOKUP(BC228,INDIRECT(AQ231),2,FALSE),"----")</f>
        <v>----</v>
      </c>
      <c r="BE228" s="694" t="e">
        <f t="shared" ref="BE228" ca="1" si="3674">BE227-1</f>
        <v>#REF!</v>
      </c>
      <c r="BF228" s="686" t="str">
        <f ca="1">IFERROR(VLOOKUP(BE228,INDIRECT(AQ232),2,FALSE),"----")</f>
        <v>----</v>
      </c>
      <c r="BG228" s="694" t="e">
        <f t="shared" ref="BG228" ca="1" si="3675">BG227-1</f>
        <v>#REF!</v>
      </c>
      <c r="BH228" s="686" t="str">
        <f ca="1">IFERROR(VLOOKUP(BG228,INDIRECT(AQ233),2,FALSE),"----")</f>
        <v>----</v>
      </c>
      <c r="BI228" s="694" t="e">
        <f t="shared" ref="BI228:BI229" ca="1" si="3676">BI227-1</f>
        <v>#REF!</v>
      </c>
      <c r="BJ228" s="686" t="str">
        <f ca="1">IFERROR(VLOOKUP(BI228,INDIRECT(AQ234),2,FALSE),"----")</f>
        <v>----</v>
      </c>
      <c r="BK228" s="694" t="e">
        <f t="shared" ref="BK228:BK229" ca="1" si="3677">BK227-1</f>
        <v>#REF!</v>
      </c>
      <c r="BL228" s="686" t="str">
        <f ca="1">IFERROR(VLOOKUP(BK228,INDIRECT(AQ235),2,FALSE),"----")</f>
        <v>----</v>
      </c>
      <c r="BM228" s="694" t="e">
        <f t="shared" ref="BM228:BM229" ca="1" si="3678">BM227-1</f>
        <v>#REF!</v>
      </c>
      <c r="BN228" s="686" t="str">
        <f ca="1">IFERROR(VLOOKUP(BM228,INDIRECT(AQ236),2,FALSE),"----")</f>
        <v>----</v>
      </c>
      <c r="BO228" s="694" t="e">
        <f t="shared" ref="BO228:BO229" ca="1" si="3679">BO227-1</f>
        <v>#REF!</v>
      </c>
      <c r="BP228" s="686" t="str">
        <f ca="1">IFERROR(VLOOKUP(BO228,INDIRECT(AQ237),2,FALSE),"----")</f>
        <v>----</v>
      </c>
      <c r="BQ228" s="694" t="e">
        <f t="shared" ref="BQ228" ca="1" si="3680">BQ227-1</f>
        <v>#REF!</v>
      </c>
      <c r="BR228" s="686" t="str">
        <f ca="1">IFERROR(VLOOKUP(BQ228,INDIRECT(AQ238),2,FALSE),"----")</f>
        <v>----</v>
      </c>
      <c r="BS228" s="695">
        <f>IF(AI228="",1,IF(COUNTIF(AX227:AX238,AI228)=0,2,1))</f>
        <v>1</v>
      </c>
      <c r="BT228" s="696">
        <f>IF(AF228="",1,IF(AX227=".",2,1))</f>
        <v>1</v>
      </c>
      <c r="BU228" s="706"/>
      <c r="BV228" s="155">
        <f ca="1">IF(COUNTIF(CJ227:CJ238,AF228)=0,IF(AF228&lt;&gt;"",0,1),1)</f>
        <v>1</v>
      </c>
      <c r="BW228" s="157">
        <f ca="1">IFERROR(MATCH(AF228,CJ227:CJ238,0),1)</f>
        <v>1</v>
      </c>
      <c r="BX228" s="769"/>
      <c r="BY228" s="769"/>
      <c r="BZ228" s="1110"/>
      <c r="CA228" s="691" t="e">
        <f t="shared" ref="CA228:CA238" ca="1" si="3681">CA227-1</f>
        <v>#REF!</v>
      </c>
      <c r="CB228" s="4" t="e" cm="1">
        <f t="array" aca="1" ref="CB228" ca="1">IF(AND(INDEX(INDIRECT(BY227),CA228,4)&gt;=$AB227,INDEX(INDIRECT(BY227),CA228,5)&gt;=$S227,INDEX(INDIRECT(BY227),CA228,6)&gt;=$R227),1,0)</f>
        <v>#REF!</v>
      </c>
      <c r="CC228" s="4" t="e">
        <f t="shared" ref="CC228" ca="1" si="3682">MATCH(1,OFFSET(CB227:CB238,CD227,0,COUNT(CB227:CB238)-CD227),0)</f>
        <v>#REF!</v>
      </c>
      <c r="CD228" s="4" t="e">
        <f t="shared" ref="CD228:CD238" ca="1" si="3683">CD227+CC228</f>
        <v>#REF!</v>
      </c>
      <c r="CE228" s="692" t="str" cm="1">
        <f t="array" aca="1" ref="CE228" ca="1">IFERROR(VLOOKUP(INDEX(CA227:CA238,CD228),INDIRECT(BY227),2,FALSE),"----")</f>
        <v>----</v>
      </c>
      <c r="CF228" s="691" t="e">
        <f t="shared" ref="CF228:CF238" ca="1" si="3684">CF227-1</f>
        <v>#N/A</v>
      </c>
      <c r="CG228" s="4" t="e">
        <f ca="1">IF(AND(INDEX(SSM,CF228,4)&gt;=$AB227,INDEX(SSM,CF228,5)&gt;=$S227,INDEX(SSM,CF228,6)&gt;=$R227),1,0)</f>
        <v>#N/A</v>
      </c>
      <c r="CH228" s="4" t="e">
        <f t="shared" ref="CH228" ca="1" si="3685">MATCH(1,OFFSET(CG227:CG238,CI227,0,COUNT(CG227:CG238)-CI227),0)</f>
        <v>#REF!</v>
      </c>
      <c r="CI228" s="4" t="e">
        <f t="shared" ref="CI228:CI238" ca="1" si="3686">CI227+CH228</f>
        <v>#REF!</v>
      </c>
      <c r="CJ228" s="692" t="str">
        <f ca="1">IFERROR(IF(AD228="Nested Steel Stud (wood infill)",VLOOKUP(INDEX(CF227:CF238,CI228),SSW,2,FALSE),VLOOKUP(INDEX(CF227:CF238,CI228),SSM,2,FALSE)),"----")</f>
        <v>----</v>
      </c>
      <c r="CK228" s="691" t="e">
        <f t="shared" ref="CK228:CK238" ca="1" si="3687">CK227-1</f>
        <v>#N/A</v>
      </c>
      <c r="CL228" s="4" t="e">
        <f ca="1">IF(AND(INDEX(WSM,CK228,4)&gt;=$AB227,INDEX(WSM,CK228,5)&gt;=$S227,INDEX(WSM,CK228,6)&gt;=$R227),1,0)</f>
        <v>#N/A</v>
      </c>
      <c r="CM228" s="4" t="e">
        <f t="shared" ref="CM228" ca="1" si="3688">MATCH(1,OFFSET(CL227:CL238,CN227,0,COUNT(CL227:CL238)-CN227),0)</f>
        <v>#REF!</v>
      </c>
      <c r="CN228" s="4" t="e">
        <f t="shared" ref="CN228:CN238" ca="1" si="3689">CM228+CN227</f>
        <v>#REF!</v>
      </c>
      <c r="CO228" s="692" t="str">
        <f ca="1">IFERROR(VLOOKUP(INDEX(CK227:CK238,CN228),WSM,2,FALSE),"----")</f>
        <v>----</v>
      </c>
      <c r="CP228" s="691" t="e">
        <f t="shared" ref="CP228:CP238" ca="1" si="3690">CP227-1</f>
        <v>#N/A</v>
      </c>
      <c r="CQ228" s="4" t="e">
        <f ca="1">IF(AND(INDEX(STM,CP228,4)&gt;=$AB227,INDEX(STM,CP228,5)&gt;=$S227,INDEX(STM,CP228,6)&gt;=$R227),1,0)</f>
        <v>#N/A</v>
      </c>
      <c r="CR228" s="4" t="e">
        <f t="shared" ref="CR228" ca="1" si="3691">MATCH(1,OFFSET(CQ227:CQ238,CS227,0,COUNT(CQ227:CQ238)-CS227),0)</f>
        <v>#REF!</v>
      </c>
      <c r="CS228" s="4" t="e">
        <f t="shared" ref="CS228:CS238" ca="1" si="3692">CR228+CS227</f>
        <v>#REF!</v>
      </c>
      <c r="CT228" s="692" t="str">
        <f ca="1">IFERROR(VLOOKUP(INDEX(CP227:CP238,CS228),STM,2,FALSE),"----")</f>
        <v>----</v>
      </c>
      <c r="CU228" s="691" t="e">
        <f t="shared" ref="CU228:CU238" ca="1" si="3693">CU227-1</f>
        <v>#N/A</v>
      </c>
      <c r="CV228" s="4" t="e">
        <f ca="1">IF(AND(INDEX(ELM,CU228,4)&gt;=$AB227,INDEX(ELM,CU228,5)&gt;=$S227,INDEX(ELM,CU228,6)&gt;=$R227),1,0)</f>
        <v>#N/A</v>
      </c>
      <c r="CW228" s="4" t="e">
        <f t="shared" ref="CW228" ca="1" si="3694">MATCH(1,OFFSET(CV227:CV238,CX227,0,COUNT(CV227:CV238)-CX227),0)</f>
        <v>#REF!</v>
      </c>
      <c r="CX228" s="4" t="e">
        <f t="shared" ref="CX228:CX238" ca="1" si="3695">CW228+CX227</f>
        <v>#REF!</v>
      </c>
      <c r="CY228" s="692" t="str">
        <f ca="1">IFERROR(VLOOKUP(INDEX(CU227:CU238,CX228),ELM,2,FALSE),"----")</f>
        <v>----</v>
      </c>
      <c r="CZ228" s="691" t="e">
        <f t="shared" ref="CZ228:CZ238" ca="1" si="3696">CZ227-1</f>
        <v>#N/A</v>
      </c>
      <c r="DA228" s="4" t="e">
        <f ca="1">IF(LEFT($J227,7)="Clad Wo",IF(AND(INDEX(SPPWS,CZ228,4)&gt;=$AB227,INDEX(SPPWS,CZ228,5)&gt;=$S227,INDEX(SPPWS,CZ228,6)&gt;=$R227),1,0),IF(AND(INDEX(SPM,CZ228,4)&gt;=$AB227,INDEX(SPM,CZ228,5)&gt;=$S227,INDEX(SPM,CZ228,6)&gt;=$R227),1,0))</f>
        <v>#N/A</v>
      </c>
      <c r="DB228" s="4" t="e">
        <f t="shared" ref="DB228" ca="1" si="3697">MATCH(1,OFFSET(DA227:DA238,DC227,0,COUNT(DA227:DA238)-DC227),0)</f>
        <v>#REF!</v>
      </c>
      <c r="DC228" s="4" t="e">
        <f t="shared" ref="DC228:DC238" ca="1" si="3698">DC227+DB228</f>
        <v>#REF!</v>
      </c>
      <c r="DD228" s="693" t="str">
        <f ca="1">IF(LEFT($J227,7)="Clad Wo",IFERROR(VLOOKUP(INDEX(CZ227:CZ238,DC228),SPPWS,2,FALSE),"----"),IFERROR(VLOOKUP(INDEX(CZ227:CZ238,DC228),SPM,2,FALSE),"----"))</f>
        <v>----</v>
      </c>
      <c r="DE228" s="691" t="e">
        <f t="shared" ref="DE228:DE238" ca="1" si="3699">DE227-1</f>
        <v>#REF!</v>
      </c>
      <c r="DF228" s="4" t="e" cm="1">
        <f t="array" aca="1" ref="DF228" ca="1">IF(AND(INDEX(INDIRECT(BY227),DE228,4)&gt;=$AB233,INDEX(INDIRECT(BY227),DE228,5)&gt;=$S227,INDEX(INDIRECT(BY227),DE228,6)&gt;=$R227),1,0)</f>
        <v>#REF!</v>
      </c>
      <c r="DG228" s="4" t="e">
        <f t="shared" ref="DG228" ca="1" si="3700">MATCH(1,OFFSET(DF227:DF238,DH227,0,COUNT(DF227:DF238)-DH227),0)</f>
        <v>#REF!</v>
      </c>
      <c r="DH228" s="4" t="e">
        <f t="shared" ref="DH228:DH238" ca="1" si="3701">DH227+DG228</f>
        <v>#REF!</v>
      </c>
      <c r="DI228" s="692" t="str" cm="1">
        <f t="array" aca="1" ref="DI228" ca="1">IFERROR(VLOOKUP(INDEX(DE227:DE238,DH228),INDIRECT(BY227),2,FALSE),"----")</f>
        <v>----</v>
      </c>
      <c r="DJ228" s="691" t="e">
        <f t="shared" ref="DJ228:DJ238" ca="1" si="3702">DJ227-1</f>
        <v>#N/A</v>
      </c>
      <c r="DK228" s="4" t="e">
        <f ca="1">IF(AND(INDEX(SSM,DJ228,4)&gt;=$AB233,INDEX(SSM,DJ228,5)&gt;=$S227,INDEX(SSM,DJ228,6)&gt;=$R227),1,0)</f>
        <v>#N/A</v>
      </c>
      <c r="DL228" s="4" t="e">
        <f t="shared" ref="DL228" ca="1" si="3703">MATCH(1,OFFSET(DK227:DK238,DM227,0,COUNT(DK227:DK238)-DM227),0)</f>
        <v>#REF!</v>
      </c>
      <c r="DM228" s="4" t="e">
        <f t="shared" ref="DM228:DM238" ca="1" si="3704">DL228+DM227</f>
        <v>#REF!</v>
      </c>
      <c r="DN228" s="692" t="str">
        <f ca="1">IFERROR(IF(AD234="Nested Steel Stud (wood infill)",VLOOKUP(INDEX(DJ227:DJ238,DM228),SSW,2,FALSE),VLOOKUP(INDEX(DJ227:DJ238,DM228),SSM,2,FALSE)),"----")</f>
        <v>----</v>
      </c>
      <c r="DO228" s="691" t="e">
        <f t="shared" ref="DO228:DO238" ca="1" si="3705">DO227-1</f>
        <v>#N/A</v>
      </c>
      <c r="DP228" s="4" t="e">
        <f ca="1">IF(AND(INDEX(WSM,DO228,4)&gt;=$AB233,INDEX(WSM,DO228,5)&gt;=$S227,INDEX(WSM,DO228,6)&gt;=$R227),1,0)</f>
        <v>#N/A</v>
      </c>
      <c r="DQ228" s="4" t="e">
        <f t="shared" ref="DQ228" ca="1" si="3706">MATCH(1,OFFSET(DP227:DP238,DR227,0,COUNT(DP227:DP238)-DR227),0)</f>
        <v>#REF!</v>
      </c>
      <c r="DR228" s="4" t="e">
        <f t="shared" ref="DR228:DR238" ca="1" si="3707">DQ228+DR227</f>
        <v>#REF!</v>
      </c>
      <c r="DS228" s="692" t="str">
        <f ca="1">IFERROR(VLOOKUP(INDEX(DO227:DO238,DR228),WSM,2,FALSE),"----")</f>
        <v>----</v>
      </c>
      <c r="DT228" s="691" t="e">
        <f t="shared" ref="DT228:DT238" ca="1" si="3708">DT227-1</f>
        <v>#N/A</v>
      </c>
      <c r="DU228" s="4" t="e">
        <f ca="1">IF(AND(INDEX(STM,DT228,4)&gt;=$AB233,INDEX(STM,DT228,5)&gt;=$S227,INDEX(STM,DT228,6)&gt;=$R227),1,0)</f>
        <v>#N/A</v>
      </c>
      <c r="DV228" s="4" t="e">
        <f t="shared" ref="DV228" ca="1" si="3709">MATCH(1,OFFSET(DU227:DU238,DW227,0,COUNT(DU227:DU238)-DW227),0)</f>
        <v>#REF!</v>
      </c>
      <c r="DW228" s="4" t="e">
        <f t="shared" ref="DW228:DW238" ca="1" si="3710">DV228+DW227</f>
        <v>#REF!</v>
      </c>
      <c r="DX228" s="692" t="str">
        <f ca="1">IFERROR(VLOOKUP(INDEX(DT227:DT238,DW228),STM,2,FALSE),"----")</f>
        <v>----</v>
      </c>
      <c r="DY228" s="691" t="e">
        <f t="shared" ref="DY228:DY238" ca="1" si="3711">DY227-1</f>
        <v>#N/A</v>
      </c>
      <c r="DZ228" s="4" t="e">
        <f ca="1">IF(AND(INDEX(ELM,DY228,4)&gt;=$AB233,INDEX(ELM,DY228,5)&gt;=$S227,INDEX(ELM,DY228,6)&gt;=$R227),1,0)</f>
        <v>#N/A</v>
      </c>
      <c r="EA228" s="4" t="e">
        <f t="shared" ref="EA228" ca="1" si="3712">MATCH(1,OFFSET(DZ227:DZ238,EB227,0,COUNT(DZ227:DZ238)-EB227),0)</f>
        <v>#REF!</v>
      </c>
      <c r="EB228" s="4" t="e">
        <f t="shared" ref="EB228:EB238" ca="1" si="3713">EA228+EB227</f>
        <v>#REF!</v>
      </c>
      <c r="EC228" s="692" t="str">
        <f ca="1">IFERROR(VLOOKUP(INDEX(DY227:DY238,EB228),ELM,2,FALSE),"----")</f>
        <v>----</v>
      </c>
      <c r="ED228" s="691" t="e">
        <f t="shared" ref="ED228:ED238" ca="1" si="3714">ED227-1</f>
        <v>#N/A</v>
      </c>
      <c r="EE228" s="4" t="e">
        <f ca="1">IF(LEFT($J227,7)="Clad Wo",IF(AND(INDEX(SPPWS,ED228,4)&gt;=$AB233,INDEX(SPPWS,ED228,5)&gt;=$S227,INDEX(SPPWS,ED228,6)&gt;=$R227),1,0),IF(AND(INDEX(SPM,ED228,4)&gt;=$AB233,INDEX(SPM,ED228,5)&gt;=$S227,INDEX(SPM,ED228,6)&gt;=$R227),1,0))</f>
        <v>#N/A</v>
      </c>
      <c r="EF228" s="4" t="e">
        <f t="shared" ref="EF228" ca="1" si="3715">MATCH(1,OFFSET(EE227:EE238,EG227,0,COUNT(EE227:EE238)-EG227),0)</f>
        <v>#REF!</v>
      </c>
      <c r="EG228" s="4" t="e">
        <f t="shared" ref="EG228:EG238" ca="1" si="3716">EG227+EF228</f>
        <v>#REF!</v>
      </c>
      <c r="EH228" s="692" t="str">
        <f ca="1">IF(LEFT($J227,7)="Clad Wo",IFERROR(VLOOKUP(INDEX(ED227:ED238,EG228),SPPWS,2,FALSE),"----"),IFERROR(VLOOKUP(INDEX(ED227:ED238,EG228),SPM,2,FALSE),"----"))</f>
        <v>----</v>
      </c>
    </row>
    <row r="229" spans="1:138" ht="15" customHeight="1" x14ac:dyDescent="0.25">
      <c r="A229" s="1085"/>
      <c r="B229" s="925"/>
      <c r="C229" s="926"/>
      <c r="D229" s="927"/>
      <c r="E229" s="995"/>
      <c r="F229" s="996"/>
      <c r="G229" s="997"/>
      <c r="H229" s="1062"/>
      <c r="I229" s="990"/>
      <c r="J229" s="908"/>
      <c r="K229" s="909"/>
      <c r="L229" s="1002"/>
      <c r="M229" s="923"/>
      <c r="N229" s="1042"/>
      <c r="O229" s="1018"/>
      <c r="P229" s="987"/>
      <c r="Q229" s="1015"/>
      <c r="R229" s="1012"/>
      <c r="S229" s="1006"/>
      <c r="T229" s="1007"/>
      <c r="U229" s="878"/>
      <c r="V229" s="881"/>
      <c r="W229" s="884"/>
      <c r="X229" s="884"/>
      <c r="Y229" s="887"/>
      <c r="Z229" s="887"/>
      <c r="AA229" s="887"/>
      <c r="AB229" s="1081"/>
      <c r="AC229" s="1078"/>
      <c r="AD229" s="1070" t="s">
        <v>333</v>
      </c>
      <c r="AE229" s="1071"/>
      <c r="AF229" s="1052"/>
      <c r="AG229" s="1053"/>
      <c r="AH229" s="1053"/>
      <c r="AI229" s="1066"/>
      <c r="AJ229" s="1067"/>
      <c r="AK229" s="154" t="str">
        <f t="shared" ca="1" si="3667"/>
        <v/>
      </c>
      <c r="AL229" s="1039"/>
      <c r="AM229" s="344" t="str">
        <f ca="1">IFERROR(Q227/12*ROUND(VLOOKUP(AF229,OFFSET(WSM,0,1),6,FALSE),2),"")</f>
        <v/>
      </c>
      <c r="AN229" t="str">
        <f t="shared" ref="AN229:AN292" ca="1" si="3717">IF(BW229&gt;1,"Lighter Reinforcement Options Available","")</f>
        <v/>
      </c>
      <c r="AP229" s="122" t="str">
        <f t="shared" ref="AP229" si="3718">_xlfn.CONCAT(AR229,AS232)</f>
        <v/>
      </c>
      <c r="AQ229" s="683" t="str">
        <f t="shared" si="2617"/>
        <v/>
      </c>
      <c r="AR229" s="4" t="str">
        <f t="shared" si="3642"/>
        <v/>
      </c>
      <c r="AS229" s="4"/>
      <c r="AT229" s="697" t="str">
        <f>AL227</f>
        <v/>
      </c>
      <c r="AU229" s="694" t="e">
        <f t="shared" ca="1" si="2633"/>
        <v>#REF!</v>
      </c>
      <c r="AV229" s="686" t="str">
        <f ca="1">IFERROR(VLOOKUP(AU229,INDIRECT(AQ227),2,FALSE),"----")</f>
        <v>----</v>
      </c>
      <c r="AW229" s="694" t="e">
        <f t="shared" ca="1" si="3670"/>
        <v>#REF!</v>
      </c>
      <c r="AX229" s="686" t="str">
        <f ca="1">IFERROR(VLOOKUP(AW229,INDIRECT(AQ228),2,FALSE),"----")</f>
        <v>----</v>
      </c>
      <c r="AY229" s="694" t="e">
        <f t="shared" ca="1" si="3671"/>
        <v>#REF!</v>
      </c>
      <c r="AZ229" s="686" t="str">
        <f ca="1">IFERROR(VLOOKUP(AY229,INDIRECT(AQ229),2,FALSE),"----")</f>
        <v>----</v>
      </c>
      <c r="BA229" s="694" t="e">
        <f t="shared" ca="1" si="3672"/>
        <v>#REF!</v>
      </c>
      <c r="BB229" s="686" t="str">
        <f ca="1">IFERROR(VLOOKUP(BA229,INDIRECT(AQ230),2,FALSE),"----")</f>
        <v>----</v>
      </c>
      <c r="BC229" s="694" t="e">
        <f t="shared" ca="1" si="3673"/>
        <v>#REF!</v>
      </c>
      <c r="BD229" s="686" t="str">
        <f ca="1">IFERROR(VLOOKUP(BC229,INDIRECT(AQ231),2,FALSE),"----")</f>
        <v>----</v>
      </c>
      <c r="BE229" s="694" t="e">
        <f t="shared" ca="1" si="2636"/>
        <v>#REF!</v>
      </c>
      <c r="BF229" s="686" t="str">
        <f ca="1">IFERROR(VLOOKUP(BE229,INDIRECT(AQ232),2,FALSE),"----")</f>
        <v>----</v>
      </c>
      <c r="BG229" s="694" t="e">
        <f t="shared" ca="1" si="2637"/>
        <v>#REF!</v>
      </c>
      <c r="BH229" s="686" t="str">
        <f ca="1">IFERROR(VLOOKUP(BG229,INDIRECT(AQ233),2,FALSE),"----")</f>
        <v>----</v>
      </c>
      <c r="BI229" s="694" t="e">
        <f t="shared" ca="1" si="3676"/>
        <v>#REF!</v>
      </c>
      <c r="BJ229" s="686" t="str">
        <f ca="1">IFERROR(VLOOKUP(BI229,INDIRECT(AQ234),2,FALSE),"----")</f>
        <v>----</v>
      </c>
      <c r="BK229" s="694" t="e">
        <f t="shared" ca="1" si="3677"/>
        <v>#REF!</v>
      </c>
      <c r="BL229" s="686" t="str">
        <f ca="1">IFERROR(VLOOKUP(BK229,INDIRECT(AQ235),2,FALSE),"----")</f>
        <v>----</v>
      </c>
      <c r="BM229" s="694" t="e">
        <f t="shared" ca="1" si="3678"/>
        <v>#REF!</v>
      </c>
      <c r="BN229" s="686" t="str">
        <f ca="1">IFERROR(VLOOKUP(BM229,INDIRECT(AQ236),2,FALSE),"----")</f>
        <v>----</v>
      </c>
      <c r="BO229" s="694" t="e">
        <f t="shared" ca="1" si="3679"/>
        <v>#REF!</v>
      </c>
      <c r="BP229" s="686" t="str">
        <f ca="1">IFERROR(VLOOKUP(BO229,INDIRECT(AQ237),2,FALSE),"----")</f>
        <v>----</v>
      </c>
      <c r="BQ229" s="694" t="e">
        <f t="shared" ca="1" si="2642"/>
        <v>#REF!</v>
      </c>
      <c r="BR229" s="686" t="str">
        <f ca="1">IFERROR(VLOOKUP(BQ229,INDIRECT(AQ238),2,FALSE),"----")</f>
        <v>----</v>
      </c>
      <c r="BS229" s="695">
        <f>IF(AI229="",1,IF(COUNTIF(AZ227:AZ238,AI229)=0,2,1))</f>
        <v>1</v>
      </c>
      <c r="BT229" s="696">
        <f>IF(AF229="",1,IF(AZ227=".",2,1))</f>
        <v>1</v>
      </c>
      <c r="BU229" s="706"/>
      <c r="BV229" s="155">
        <f ca="1">IF(COUNTIF(CO227:CO238,AF229)=0,IF(AF229&lt;&gt;"",0,1),1)</f>
        <v>1</v>
      </c>
      <c r="BW229" s="157">
        <f ca="1">IFERROR(MATCH(AF229,CO227:CO238,0),1)</f>
        <v>1</v>
      </c>
      <c r="BX229" s="769"/>
      <c r="BY229" s="769"/>
      <c r="BZ229" s="1110"/>
      <c r="CA229" s="691" t="e">
        <f t="shared" ca="1" si="3681"/>
        <v>#REF!</v>
      </c>
      <c r="CB229" s="4" t="e" cm="1">
        <f t="array" aca="1" ref="CB229" ca="1">IF(AND(INDEX(INDIRECT(BY227),CA229,4)&gt;=$AB227,INDEX(INDIRECT(BY227),CA229,5)&gt;=$S227,INDEX(INDIRECT(BY227),CA229,6)&gt;=$R227),1,0)</f>
        <v>#REF!</v>
      </c>
      <c r="CC229" s="4" t="e">
        <f t="shared" ref="CC229" ca="1" si="3719">MATCH(1,OFFSET(CB227:CB238,CD228,0,COUNT(CB227:CB238)-CD228),0)</f>
        <v>#REF!</v>
      </c>
      <c r="CD229" s="4" t="e">
        <f t="shared" ca="1" si="3683"/>
        <v>#REF!</v>
      </c>
      <c r="CE229" s="692" t="str" cm="1">
        <f t="array" aca="1" ref="CE229" ca="1">IFERROR(VLOOKUP(INDEX(CA227:CA238,CD229),INDIRECT(BY227),2,FALSE),"----")</f>
        <v>----</v>
      </c>
      <c r="CF229" s="691" t="e">
        <f t="shared" ca="1" si="3684"/>
        <v>#N/A</v>
      </c>
      <c r="CG229" s="4" t="e">
        <f ca="1">IF(AND(INDEX(SSM,CF229,4)&gt;=$AB227,INDEX(SSM,CF229,5)&gt;=$S227,INDEX(SSM,CF229,6)&gt;=$R227),1,0)</f>
        <v>#N/A</v>
      </c>
      <c r="CH229" s="4" t="e">
        <f t="shared" ref="CH229" ca="1" si="3720">MATCH(1,OFFSET(CG227:CG238,CI228,0,COUNT(CG227:CG238)-CI228),0)</f>
        <v>#REF!</v>
      </c>
      <c r="CI229" s="4" t="e">
        <f t="shared" ca="1" si="3686"/>
        <v>#REF!</v>
      </c>
      <c r="CJ229" s="692" t="str">
        <f ca="1">IFERROR(IF(AD228="Nested Steel Stud (wood infill)",VLOOKUP(INDEX(CF227:CF238,CI229),SSW,2,FALSE),VLOOKUP(INDEX(CF227:CF238,CI229),SSM,2,FALSE)),"----")</f>
        <v>----</v>
      </c>
      <c r="CK229" s="691" t="e">
        <f t="shared" ca="1" si="3687"/>
        <v>#N/A</v>
      </c>
      <c r="CL229" s="4" t="e">
        <f ca="1">IF(AND(INDEX(WSM,CK229,4)&gt;=$AB227,INDEX(WSM,CK229,5)&gt;=$S227,INDEX(WSM,CK229,6)&gt;=$R227),1,0)</f>
        <v>#N/A</v>
      </c>
      <c r="CM229" s="4" t="e">
        <f t="shared" ref="CM229" ca="1" si="3721">MATCH(1,OFFSET(CL227:CL238,CN228,0,COUNT(CL227:CL238)-CN228),0)</f>
        <v>#REF!</v>
      </c>
      <c r="CN229" s="4" t="e">
        <f t="shared" ca="1" si="3689"/>
        <v>#REF!</v>
      </c>
      <c r="CO229" s="692" t="str">
        <f ca="1">IFERROR(VLOOKUP(INDEX(CK227:CK238,CN229),WSM,2,FALSE),"----")</f>
        <v>----</v>
      </c>
      <c r="CP229" s="691" t="e">
        <f t="shared" ca="1" si="3690"/>
        <v>#N/A</v>
      </c>
      <c r="CQ229" s="4" t="e">
        <f ca="1">IF(AND(INDEX(STM,CP229,4)&gt;=$AB227,INDEX(STM,CP229,5)&gt;=$S227,INDEX(STM,CP229,6)&gt;=$R227),1,0)</f>
        <v>#N/A</v>
      </c>
      <c r="CR229" s="4" t="e">
        <f t="shared" ref="CR229" ca="1" si="3722">MATCH(1,OFFSET(CQ227:CQ238,CS228,0,COUNT(CQ227:CQ238)-CS228),0)</f>
        <v>#REF!</v>
      </c>
      <c r="CS229" s="4" t="e">
        <f t="shared" ca="1" si="3692"/>
        <v>#REF!</v>
      </c>
      <c r="CT229" s="692" t="str">
        <f ca="1">IFERROR(VLOOKUP(INDEX(CP227:CP238,CS229),STM,2,FALSE),"----")</f>
        <v>----</v>
      </c>
      <c r="CU229" s="691" t="e">
        <f t="shared" ca="1" si="3693"/>
        <v>#N/A</v>
      </c>
      <c r="CV229" s="4" t="e">
        <f ca="1">IF(AND(INDEX(ELM,CU229,4)&gt;=$AB227,INDEX(ELM,CU229,5)&gt;=$S227,INDEX(ELM,CU229,6)&gt;=$R227),1,0)</f>
        <v>#N/A</v>
      </c>
      <c r="CW229" s="4" t="e">
        <f t="shared" ref="CW229" ca="1" si="3723">MATCH(1,OFFSET(CV227:CV238,CX228,0,COUNT(CV227:CV238)-CX228),0)</f>
        <v>#REF!</v>
      </c>
      <c r="CX229" s="4" t="e">
        <f t="shared" ca="1" si="3695"/>
        <v>#REF!</v>
      </c>
      <c r="CY229" s="692" t="str">
        <f ca="1">IFERROR(VLOOKUP(INDEX(CU227:CU238,CX229),ELM,2,FALSE),"----")</f>
        <v>----</v>
      </c>
      <c r="CZ229" s="691" t="e">
        <f t="shared" ca="1" si="3696"/>
        <v>#N/A</v>
      </c>
      <c r="DA229" s="4" t="e">
        <f ca="1">IF(LEFT($J227,7)="Clad Wo",IF(AND(INDEX(SPPWS,CZ229,4)&gt;=$AB227,INDEX(SPPWS,CZ229,5)&gt;=$S227,INDEX(SPPWS,CZ229,6)&gt;=$R227),1,0),IF(AND(INDEX(SPM,CZ229,4)&gt;=$AB227,INDEX(SPM,CZ229,5)&gt;=$S227,INDEX(SPM,CZ229,6)&gt;=$R227),1,0))</f>
        <v>#N/A</v>
      </c>
      <c r="DB229" s="4" t="e">
        <f t="shared" ref="DB229" ca="1" si="3724">MATCH(1,OFFSET(DA227:DA238,DC228,0,COUNT(DA227:DA238)-DC228),0)</f>
        <v>#REF!</v>
      </c>
      <c r="DC229" s="4" t="e">
        <f t="shared" ca="1" si="3698"/>
        <v>#REF!</v>
      </c>
      <c r="DD229" s="693" t="str">
        <f ca="1">IF(LEFT($J227,7)="Clad Wo",IFERROR(VLOOKUP(INDEX(CZ227:CZ238,DC229),SPPWS,2,FALSE),"----"),IFERROR(VLOOKUP(INDEX(CZ227:CZ238,DC229),SPM,2,FALSE),"----"))</f>
        <v>----</v>
      </c>
      <c r="DE229" s="691" t="e">
        <f t="shared" ca="1" si="3699"/>
        <v>#REF!</v>
      </c>
      <c r="DF229" s="4" t="e" cm="1">
        <f t="array" aca="1" ref="DF229" ca="1">IF(AND(INDEX(INDIRECT(BY227),DE229,4)&gt;=$AB233,INDEX(INDIRECT(BY227),DE229,5)&gt;=$S227,INDEX(INDIRECT(BY227),DE229,6)&gt;=$R227),1,0)</f>
        <v>#REF!</v>
      </c>
      <c r="DG229" s="4" t="e">
        <f t="shared" ref="DG229" ca="1" si="3725">MATCH(1,OFFSET(DF227:DF238,DH228,0,COUNT(DF227:DF238)-DH228),0)</f>
        <v>#REF!</v>
      </c>
      <c r="DH229" s="4" t="e">
        <f t="shared" ca="1" si="3701"/>
        <v>#REF!</v>
      </c>
      <c r="DI229" s="692" t="str" cm="1">
        <f t="array" aca="1" ref="DI229" ca="1">IFERROR(VLOOKUP(INDEX(DE227:DE238,DH229),INDIRECT(BY227),2,FALSE),"----")</f>
        <v>----</v>
      </c>
      <c r="DJ229" s="691" t="e">
        <f t="shared" ca="1" si="3702"/>
        <v>#N/A</v>
      </c>
      <c r="DK229" s="4" t="e">
        <f ca="1">IF(AND(INDEX(SSM,DJ229,4)&gt;=$AB233,INDEX(SSM,DJ229,5)&gt;=$S227,INDEX(SSM,DJ229,6)&gt;=$R227),1,0)</f>
        <v>#N/A</v>
      </c>
      <c r="DL229" s="4" t="e">
        <f t="shared" ref="DL229" ca="1" si="3726">MATCH(1,OFFSET(DK227:DK238,DM228,0,COUNT(DK227:DK238)-DM228),0)</f>
        <v>#REF!</v>
      </c>
      <c r="DM229" s="4" t="e">
        <f t="shared" ca="1" si="3704"/>
        <v>#REF!</v>
      </c>
      <c r="DN229" s="692" t="str">
        <f ca="1">IFERROR(IF(AD234="Nested Steel Stud (wood infill)",VLOOKUP(INDEX(DJ227:DJ238,DM229),SSW,2,FALSE),VLOOKUP(INDEX(DJ227:DJ238,DM229),SSM,2,FALSE)),"----")</f>
        <v>----</v>
      </c>
      <c r="DO229" s="691" t="e">
        <f t="shared" ca="1" si="3705"/>
        <v>#N/A</v>
      </c>
      <c r="DP229" s="4" t="e">
        <f ca="1">IF(AND(INDEX(WSM,DO229,4)&gt;=$AB233,INDEX(WSM,DO229,5)&gt;=$S227,INDEX(WSM,DO229,6)&gt;=$R227),1,0)</f>
        <v>#N/A</v>
      </c>
      <c r="DQ229" s="4" t="e">
        <f t="shared" ref="DQ229" ca="1" si="3727">MATCH(1,OFFSET(DP227:DP238,DR228,0,COUNT(DP227:DP238)-DR228),0)</f>
        <v>#REF!</v>
      </c>
      <c r="DR229" s="4" t="e">
        <f t="shared" ca="1" si="3707"/>
        <v>#REF!</v>
      </c>
      <c r="DS229" s="692" t="str">
        <f ca="1">IFERROR(VLOOKUP(INDEX(DO227:DO238,DR229),WSM,2,FALSE),"----")</f>
        <v>----</v>
      </c>
      <c r="DT229" s="691" t="e">
        <f t="shared" ca="1" si="3708"/>
        <v>#N/A</v>
      </c>
      <c r="DU229" s="4" t="e">
        <f ca="1">IF(AND(INDEX(STM,DT229,4)&gt;=$AB233,INDEX(STM,DT229,5)&gt;=$S227,INDEX(STM,DT229,6)&gt;=$R227),1,0)</f>
        <v>#N/A</v>
      </c>
      <c r="DV229" s="4" t="e">
        <f t="shared" ref="DV229" ca="1" si="3728">MATCH(1,OFFSET(DU227:DU238,DW228,0,COUNT(DU227:DU238)-DW228),0)</f>
        <v>#REF!</v>
      </c>
      <c r="DW229" s="4" t="e">
        <f t="shared" ca="1" si="3710"/>
        <v>#REF!</v>
      </c>
      <c r="DX229" s="692" t="str">
        <f ca="1">IFERROR(VLOOKUP(INDEX(DT227:DT238,DW229),STM,2,FALSE),"----")</f>
        <v>----</v>
      </c>
      <c r="DY229" s="691" t="e">
        <f t="shared" ca="1" si="3711"/>
        <v>#N/A</v>
      </c>
      <c r="DZ229" s="4" t="e">
        <f ca="1">IF(AND(INDEX(ELM,DY229,4)&gt;=$AB233,INDEX(ELM,DY229,5)&gt;=$S227,INDEX(ELM,DY229,6)&gt;=$R227),1,0)</f>
        <v>#N/A</v>
      </c>
      <c r="EA229" s="4" t="e">
        <f t="shared" ref="EA229" ca="1" si="3729">MATCH(1,OFFSET(DZ227:DZ238,EB228,0,COUNT(DZ227:DZ238)-EB228),0)</f>
        <v>#REF!</v>
      </c>
      <c r="EB229" s="4" t="e">
        <f t="shared" ca="1" si="3713"/>
        <v>#REF!</v>
      </c>
      <c r="EC229" s="692" t="str">
        <f ca="1">IFERROR(VLOOKUP(INDEX(DY227:DY238,EB229),ELM,2,FALSE),"----")</f>
        <v>----</v>
      </c>
      <c r="ED229" s="691" t="e">
        <f t="shared" ca="1" si="3714"/>
        <v>#N/A</v>
      </c>
      <c r="EE229" s="4" t="e">
        <f ca="1">IF(LEFT($J227,7)="Clad Wo",IF(AND(INDEX(SPPWS,ED229,4)&gt;=$AB233,INDEX(SPPWS,ED229,5)&gt;=$S227,INDEX(SPPWS,ED229,6)&gt;=$R227),1,0),IF(AND(INDEX(SPM,ED229,4)&gt;=$AB233,INDEX(SPM,ED229,5)&gt;=$S227,INDEX(SPM,ED229,6)&gt;=$R227),1,0))</f>
        <v>#N/A</v>
      </c>
      <c r="EF229" s="4" t="e">
        <f t="shared" ref="EF229" ca="1" si="3730">MATCH(1,OFFSET(EE227:EE238,EG228,0,COUNT(EE227:EE238)-EG228),0)</f>
        <v>#REF!</v>
      </c>
      <c r="EG229" s="4" t="e">
        <f t="shared" ca="1" si="3716"/>
        <v>#REF!</v>
      </c>
      <c r="EH229" s="692" t="str">
        <f ca="1">IF(LEFT($J227,7)="Clad Wo",IFERROR(VLOOKUP(INDEX(ED227:ED238,EG229),SPPWS,2,FALSE),"----"),IFERROR(VLOOKUP(INDEX(ED227:ED238,EG229),SPM,2,FALSE),"----"))</f>
        <v>----</v>
      </c>
    </row>
    <row r="230" spans="1:138" ht="15" customHeight="1" x14ac:dyDescent="0.25">
      <c r="A230" s="1085"/>
      <c r="B230" s="925"/>
      <c r="C230" s="926"/>
      <c r="D230" s="927"/>
      <c r="E230" s="995"/>
      <c r="F230" s="996"/>
      <c r="G230" s="997"/>
      <c r="H230" s="1062"/>
      <c r="I230" s="990"/>
      <c r="J230" s="908"/>
      <c r="K230" s="909"/>
      <c r="L230" s="1002"/>
      <c r="M230" s="923"/>
      <c r="N230" s="1042"/>
      <c r="O230" s="1018"/>
      <c r="P230" s="987"/>
      <c r="Q230" s="1015"/>
      <c r="R230" s="1012"/>
      <c r="S230" s="1006"/>
      <c r="T230" s="1007"/>
      <c r="U230" s="878"/>
      <c r="V230" s="881"/>
      <c r="W230" s="884"/>
      <c r="X230" s="884"/>
      <c r="Y230" s="887"/>
      <c r="Z230" s="887"/>
      <c r="AA230" s="887"/>
      <c r="AB230" s="1081"/>
      <c r="AC230" s="1078"/>
      <c r="AD230" s="1070" t="s">
        <v>37</v>
      </c>
      <c r="AE230" s="1071"/>
      <c r="AF230" s="1052"/>
      <c r="AG230" s="1053"/>
      <c r="AH230" s="1053"/>
      <c r="AI230" s="1066"/>
      <c r="AJ230" s="1067"/>
      <c r="AK230" s="156" t="str">
        <f t="shared" ca="1" si="3667"/>
        <v/>
      </c>
      <c r="AL230" s="1039"/>
      <c r="AM230" s="343" t="str">
        <f ca="1">IFERROR(Q227/12*ROUND(VLOOKUP(AF230,OFFSET(STM,0,1),6,FALSE),2),"")</f>
        <v/>
      </c>
      <c r="AN230" t="str">
        <f t="shared" ca="1" si="3717"/>
        <v/>
      </c>
      <c r="AP230" s="122" t="str">
        <f t="shared" ref="AP230" si="3731">_xlfn.CONCAT(AR230,AS232)</f>
        <v/>
      </c>
      <c r="AQ230" s="683" t="str">
        <f t="shared" si="2617"/>
        <v/>
      </c>
      <c r="AR230" s="4" t="str">
        <f t="shared" si="3642"/>
        <v/>
      </c>
      <c r="AS230" s="4"/>
      <c r="AT230" s="697" t="str">
        <f>AL227</f>
        <v/>
      </c>
      <c r="AU230" s="694" t="e">
        <f t="shared" ca="1" si="2633"/>
        <v>#REF!</v>
      </c>
      <c r="AV230" s="686" t="str">
        <f ca="1">IFERROR(VLOOKUP(AU230,INDIRECT(AQ227),2,FALSE),"----")</f>
        <v>----</v>
      </c>
      <c r="AW230" s="694" t="e">
        <f t="shared" ca="1" si="2634"/>
        <v>#REF!</v>
      </c>
      <c r="AX230" s="686" t="str">
        <f ca="1">IFERROR(VLOOKUP(AW230,INDIRECT(AQ228),2,FALSE),"----")</f>
        <v>----</v>
      </c>
      <c r="AY230" s="694" t="e">
        <f t="shared" ref="AY230" ca="1" si="3732">AY229-1</f>
        <v>#REF!</v>
      </c>
      <c r="AZ230" s="686" t="str">
        <f ca="1">IFERROR(VLOOKUP(AY230,INDIRECT(AQ229),2,FALSE),"----")</f>
        <v>----</v>
      </c>
      <c r="BA230" s="694" t="e">
        <f t="shared" ref="BA230" ca="1" si="3733">BA229-1</f>
        <v>#REF!</v>
      </c>
      <c r="BB230" s="686" t="str">
        <f ca="1">IFERROR(VLOOKUP(BA230,INDIRECT(AQ230),2,FALSE),"----")</f>
        <v>----</v>
      </c>
      <c r="BC230" s="694" t="e">
        <f t="shared" ca="1" si="2635"/>
        <v>#REF!</v>
      </c>
      <c r="BD230" s="686" t="str">
        <f ca="1">IFERROR(VLOOKUP(BC230,INDIRECT(AQ231),2,FALSE),"----")</f>
        <v>----</v>
      </c>
      <c r="BE230" s="694" t="e">
        <f t="shared" ca="1" si="2636"/>
        <v>#REF!</v>
      </c>
      <c r="BF230" s="686" t="str">
        <f ca="1">IFERROR(VLOOKUP(BE230,INDIRECT(AQ232),2,FALSE),"----")</f>
        <v>----</v>
      </c>
      <c r="BG230" s="694" t="e">
        <f t="shared" ca="1" si="2637"/>
        <v>#REF!</v>
      </c>
      <c r="BH230" s="686" t="str">
        <f ca="1">IFERROR(VLOOKUP(BG230,INDIRECT(AQ233),2,FALSE),"----")</f>
        <v>----</v>
      </c>
      <c r="BI230" s="694" t="e">
        <f t="shared" ca="1" si="2638"/>
        <v>#REF!</v>
      </c>
      <c r="BJ230" s="686" t="str">
        <f ca="1">IFERROR(VLOOKUP(BI230,INDIRECT(AQ234),2,FALSE),"----")</f>
        <v>----</v>
      </c>
      <c r="BK230" s="694" t="e">
        <f t="shared" ca="1" si="2639"/>
        <v>#REF!</v>
      </c>
      <c r="BL230" s="686" t="str">
        <f ca="1">IFERROR(VLOOKUP(BK230,INDIRECT(AQ235),2,FALSE),"----")</f>
        <v>----</v>
      </c>
      <c r="BM230" s="694" t="e">
        <f t="shared" ca="1" si="2640"/>
        <v>#REF!</v>
      </c>
      <c r="BN230" s="686" t="str">
        <f ca="1">IFERROR(VLOOKUP(BM230,INDIRECT(AQ236),2,FALSE),"----")</f>
        <v>----</v>
      </c>
      <c r="BO230" s="694" t="e">
        <f t="shared" ca="1" si="2641"/>
        <v>#REF!</v>
      </c>
      <c r="BP230" s="686" t="str">
        <f ca="1">IFERROR(VLOOKUP(BO230,INDIRECT(AQ237),2,FALSE),"----")</f>
        <v>----</v>
      </c>
      <c r="BQ230" s="694" t="e">
        <f t="shared" ca="1" si="2642"/>
        <v>#REF!</v>
      </c>
      <c r="BR230" s="686" t="str">
        <f ca="1">IFERROR(VLOOKUP(BQ230,INDIRECT(AQ238),2,FALSE),"----")</f>
        <v>----</v>
      </c>
      <c r="BS230" s="695">
        <f>IF(AI230="",1,IF(COUNTIF(BB227:BB238,AI230)=0,2,1))</f>
        <v>1</v>
      </c>
      <c r="BT230" s="696">
        <f>IF(AF230="",1,IF(BB227=".",2,1))</f>
        <v>1</v>
      </c>
      <c r="BU230" s="706"/>
      <c r="BV230" s="155">
        <f ca="1">IF(COUNTIF(CT227:CT238,AF230)=0,IF(AF230&lt;&gt;"",0,1),1)</f>
        <v>1</v>
      </c>
      <c r="BW230" s="157">
        <f ca="1">IFERROR(MATCH(AF230,CT227:CT238,0),1)</f>
        <v>1</v>
      </c>
      <c r="BX230" s="769"/>
      <c r="BY230" s="769"/>
      <c r="BZ230" s="1110"/>
      <c r="CA230" s="691" t="e">
        <f t="shared" ca="1" si="3681"/>
        <v>#REF!</v>
      </c>
      <c r="CB230" s="4" t="e" cm="1">
        <f t="array" aca="1" ref="CB230" ca="1">IF(AND(INDEX(INDIRECT(BY227),CA230,4)&gt;=$AB227,INDEX(INDIRECT(BY227),CA230,5)&gt;=$S227,INDEX(INDIRECT(BY227),CA230,6)&gt;=$R227),1,0)</f>
        <v>#REF!</v>
      </c>
      <c r="CC230" s="4" t="e">
        <f t="shared" ref="CC230" ca="1" si="3734">MATCH(1,OFFSET(CB227:CB238,CD229,0,COUNT(CB227:CB238)-CD229),0)</f>
        <v>#REF!</v>
      </c>
      <c r="CD230" s="4" t="e">
        <f t="shared" ca="1" si="3683"/>
        <v>#REF!</v>
      </c>
      <c r="CE230" s="692" t="str" cm="1">
        <f t="array" aca="1" ref="CE230" ca="1">IFERROR(VLOOKUP(INDEX(CA227:CA238,CD230),INDIRECT(BY227),2,FALSE),"----")</f>
        <v>----</v>
      </c>
      <c r="CF230" s="691" t="e">
        <f t="shared" ca="1" si="3684"/>
        <v>#N/A</v>
      </c>
      <c r="CG230" s="4" t="e">
        <f ca="1">IF(AND(INDEX(SSM,CF230,4)&gt;=$AB227,INDEX(SSM,CF230,5)&gt;=$S227,INDEX(SSM,CF230,6)&gt;=$R227),1,0)</f>
        <v>#N/A</v>
      </c>
      <c r="CH230" s="4" t="e">
        <f t="shared" ref="CH230" ca="1" si="3735">MATCH(1,OFFSET(CG227:CG238,CI229,0,COUNT(CG227:CG238)-CI229),0)</f>
        <v>#REF!</v>
      </c>
      <c r="CI230" s="4" t="e">
        <f t="shared" ca="1" si="3686"/>
        <v>#REF!</v>
      </c>
      <c r="CJ230" s="692" t="str">
        <f ca="1">IFERROR(IF(AD228="Nested Steel Stud (wood infill)",VLOOKUP(INDEX(CF227:CF238,CI230),SSW,2,FALSE),VLOOKUP(INDEX(CF227:CF238,CI230),SSM,2,FALSE)),"----")</f>
        <v>----</v>
      </c>
      <c r="CK230" s="691" t="e">
        <f t="shared" ca="1" si="3687"/>
        <v>#N/A</v>
      </c>
      <c r="CL230" s="4" t="e">
        <f ca="1">IF(AND(INDEX(WSM,CK230,4)&gt;=$AB227,INDEX(WSM,CK230,5)&gt;=$S227,INDEX(WSM,CK230,6)&gt;=$R227),1,0)</f>
        <v>#N/A</v>
      </c>
      <c r="CM230" s="4" t="e">
        <f t="shared" ref="CM230" ca="1" si="3736">MATCH(1,OFFSET(CL227:CL238,CN229,0,COUNT(CL227:CL238)-CN229),0)</f>
        <v>#REF!</v>
      </c>
      <c r="CN230" s="4" t="e">
        <f t="shared" ca="1" si="3689"/>
        <v>#REF!</v>
      </c>
      <c r="CO230" s="692" t="str">
        <f ca="1">IFERROR(VLOOKUP(INDEX(CK227:CK238,CN230),WSM,2,FALSE),"----")</f>
        <v>----</v>
      </c>
      <c r="CP230" s="691" t="e">
        <f t="shared" ca="1" si="3690"/>
        <v>#N/A</v>
      </c>
      <c r="CQ230" s="4" t="e">
        <f ca="1">IF(AND(INDEX(STM,CP230,4)&gt;=$AB227,INDEX(STM,CP230,5)&gt;=$S227,INDEX(STM,CP230,6)&gt;=$R227),1,0)</f>
        <v>#N/A</v>
      </c>
      <c r="CR230" s="4" t="e">
        <f t="shared" ref="CR230" ca="1" si="3737">MATCH(1,OFFSET(CQ227:CQ238,CS229,0,COUNT(CQ227:CQ238)-CS229),0)</f>
        <v>#REF!</v>
      </c>
      <c r="CS230" s="4" t="e">
        <f t="shared" ca="1" si="3692"/>
        <v>#REF!</v>
      </c>
      <c r="CT230" s="692" t="str">
        <f ca="1">IFERROR(VLOOKUP(INDEX(CP227:CP238,CS230),STM,2,FALSE),"----")</f>
        <v>----</v>
      </c>
      <c r="CU230" s="691" t="e">
        <f t="shared" ca="1" si="3693"/>
        <v>#N/A</v>
      </c>
      <c r="CV230" s="4" t="e">
        <f ca="1">IF(AND(INDEX(ELM,CU230,4)&gt;=$AB227,INDEX(ELM,CU230,5)&gt;=$S227,INDEX(ELM,CU230,6)&gt;=$R227),1,0)</f>
        <v>#N/A</v>
      </c>
      <c r="CW230" s="4" t="e">
        <f t="shared" ref="CW230" ca="1" si="3738">MATCH(1,OFFSET(CV227:CV238,CX229,0,COUNT(CV227:CV238)-CX229),0)</f>
        <v>#REF!</v>
      </c>
      <c r="CX230" s="4" t="e">
        <f t="shared" ca="1" si="3695"/>
        <v>#REF!</v>
      </c>
      <c r="CY230" s="692" t="str">
        <f ca="1">IFERROR(VLOOKUP(INDEX(CU227:CU238,CX230),ELM,2,FALSE),"----")</f>
        <v>----</v>
      </c>
      <c r="CZ230" s="691" t="e">
        <f t="shared" ca="1" si="3696"/>
        <v>#N/A</v>
      </c>
      <c r="DA230" s="4" t="e">
        <f ca="1">IF(LEFT($J227,7)="Clad Wo",IF(AND(INDEX(SPPWS,CZ230,4)&gt;=$AB227,INDEX(SPPWS,CZ230,5)&gt;=$S227,INDEX(SPPWS,CZ230,6)&gt;=$R227),1,0),IF(AND(INDEX(SPM,CZ230,4)&gt;=$AB227,INDEX(SPM,CZ230,5)&gt;=$S227,INDEX(SPM,CZ230,6)&gt;=$R227),1,0))</f>
        <v>#N/A</v>
      </c>
      <c r="DB230" s="4" t="e">
        <f t="shared" ref="DB230" ca="1" si="3739">MATCH(1,OFFSET(DA227:DA238,DC229,0,COUNT(DA227:DA238)-DC229),0)</f>
        <v>#REF!</v>
      </c>
      <c r="DC230" s="4" t="e">
        <f t="shared" ca="1" si="3698"/>
        <v>#REF!</v>
      </c>
      <c r="DD230" s="693" t="str">
        <f ca="1">IF(LEFT($J227,7)="Clad Wo",IFERROR(VLOOKUP(INDEX(CZ227:CZ238,DC230),SPPWS,2,FALSE),"----"),IFERROR(VLOOKUP(INDEX(CZ227:CZ238,DC230),SPM,2,FALSE),"----"))</f>
        <v>----</v>
      </c>
      <c r="DE230" s="691" t="e">
        <f t="shared" ca="1" si="3699"/>
        <v>#REF!</v>
      </c>
      <c r="DF230" s="4" t="e" cm="1">
        <f t="array" aca="1" ref="DF230" ca="1">IF(AND(INDEX(INDIRECT(BY227),DE230,4)&gt;=$AB233,INDEX(INDIRECT(BY227),DE230,5)&gt;=$S227,INDEX(INDIRECT(BY227),DE230,6)&gt;=$R227),1,0)</f>
        <v>#REF!</v>
      </c>
      <c r="DG230" s="4" t="e">
        <f t="shared" ref="DG230" ca="1" si="3740">MATCH(1,OFFSET(DF227:DF238,DH229,0,COUNT(DF227:DF238)-DH229),0)</f>
        <v>#REF!</v>
      </c>
      <c r="DH230" s="4" t="e">
        <f t="shared" ca="1" si="3701"/>
        <v>#REF!</v>
      </c>
      <c r="DI230" s="692" t="str" cm="1">
        <f t="array" aca="1" ref="DI230" ca="1">IFERROR(VLOOKUP(INDEX(DE227:DE238,DH230),INDIRECT(BY227),2,FALSE),"----")</f>
        <v>----</v>
      </c>
      <c r="DJ230" s="691" t="e">
        <f t="shared" ca="1" si="3702"/>
        <v>#N/A</v>
      </c>
      <c r="DK230" s="4" t="e">
        <f ca="1">IF(AND(INDEX(SSM,DJ230,4)&gt;=$AB233,INDEX(SSM,DJ230,5)&gt;=$S227,INDEX(SSM,DJ230,6)&gt;=$R227),1,0)</f>
        <v>#N/A</v>
      </c>
      <c r="DL230" s="4" t="e">
        <f t="shared" ref="DL230" ca="1" si="3741">MATCH(1,OFFSET(DK227:DK238,DM229,0,COUNT(DK227:DK238)-DM229),0)</f>
        <v>#REF!</v>
      </c>
      <c r="DM230" s="4" t="e">
        <f t="shared" ca="1" si="3704"/>
        <v>#REF!</v>
      </c>
      <c r="DN230" s="692" t="str">
        <f ca="1">IFERROR(IF(AD234="Nested Steel Stud (wood infill)",VLOOKUP(INDEX(DJ227:DJ238,DM230),SSW,2,FALSE),VLOOKUP(INDEX(DJ227:DJ238,DM230),SSM,2,FALSE)),"----")</f>
        <v>----</v>
      </c>
      <c r="DO230" s="691" t="e">
        <f t="shared" ca="1" si="3705"/>
        <v>#N/A</v>
      </c>
      <c r="DP230" s="4" t="e">
        <f ca="1">IF(AND(INDEX(WSM,DO230,4)&gt;=$AB233,INDEX(WSM,DO230,5)&gt;=$S227,INDEX(WSM,DO230,6)&gt;=$R227),1,0)</f>
        <v>#N/A</v>
      </c>
      <c r="DQ230" s="4" t="e">
        <f t="shared" ref="DQ230" ca="1" si="3742">MATCH(1,OFFSET(DP227:DP238,DR229,0,COUNT(DP227:DP238)-DR229),0)</f>
        <v>#REF!</v>
      </c>
      <c r="DR230" s="4" t="e">
        <f t="shared" ca="1" si="3707"/>
        <v>#REF!</v>
      </c>
      <c r="DS230" s="692" t="str">
        <f ca="1">IFERROR(VLOOKUP(INDEX(DO227:DO238,DR230),WSM,2,FALSE),"----")</f>
        <v>----</v>
      </c>
      <c r="DT230" s="691" t="e">
        <f t="shared" ca="1" si="3708"/>
        <v>#N/A</v>
      </c>
      <c r="DU230" s="4" t="e">
        <f ca="1">IF(AND(INDEX(STM,DT230,4)&gt;=$AB233,INDEX(STM,DT230,5)&gt;=$S227,INDEX(STM,DT230,6)&gt;=$R227),1,0)</f>
        <v>#N/A</v>
      </c>
      <c r="DV230" s="4" t="e">
        <f t="shared" ref="DV230" ca="1" si="3743">MATCH(1,OFFSET(DU227:DU238,DW229,0,COUNT(DU227:DU238)-DW229),0)</f>
        <v>#REF!</v>
      </c>
      <c r="DW230" s="4" t="e">
        <f t="shared" ca="1" si="3710"/>
        <v>#REF!</v>
      </c>
      <c r="DX230" s="692" t="str">
        <f ca="1">IFERROR(VLOOKUP(INDEX(DT227:DT238,DW230),STM,2,FALSE),"----")</f>
        <v>----</v>
      </c>
      <c r="DY230" s="691" t="e">
        <f t="shared" ca="1" si="3711"/>
        <v>#N/A</v>
      </c>
      <c r="DZ230" s="4" t="e">
        <f ca="1">IF(AND(INDEX(ELM,DY230,4)&gt;=$AB233,INDEX(ELM,DY230,5)&gt;=$S227,INDEX(ELM,DY230,6)&gt;=$R227),1,0)</f>
        <v>#N/A</v>
      </c>
      <c r="EA230" s="4" t="e">
        <f t="shared" ref="EA230" ca="1" si="3744">MATCH(1,OFFSET(DZ227:DZ238,EB229,0,COUNT(DZ227:DZ238)-EB229),0)</f>
        <v>#REF!</v>
      </c>
      <c r="EB230" s="4" t="e">
        <f t="shared" ca="1" si="3713"/>
        <v>#REF!</v>
      </c>
      <c r="EC230" s="692" t="str">
        <f ca="1">IFERROR(VLOOKUP(INDEX(DY227:DY238,EB230),ELM,2,FALSE),"----")</f>
        <v>----</v>
      </c>
      <c r="ED230" s="691" t="e">
        <f t="shared" ca="1" si="3714"/>
        <v>#N/A</v>
      </c>
      <c r="EE230" s="4" t="e">
        <f ca="1">IF(LEFT($J227,7)="Clad Wo",IF(AND(INDEX(SPPWS,ED230,4)&gt;=$AB233,INDEX(SPPWS,ED230,5)&gt;=$S227,INDEX(SPPWS,ED230,6)&gt;=$R227),1,0),IF(AND(INDEX(SPM,ED230,4)&gt;=$AB233,INDEX(SPM,ED230,5)&gt;=$S227,INDEX(SPM,ED230,6)&gt;=$R227),1,0))</f>
        <v>#N/A</v>
      </c>
      <c r="EF230" s="4" t="e">
        <f t="shared" ref="EF230" ca="1" si="3745">MATCH(1,OFFSET(EE227:EE238,EG229,0,COUNT(EE227:EE238)-EG229),0)</f>
        <v>#REF!</v>
      </c>
      <c r="EG230" s="4" t="e">
        <f t="shared" ca="1" si="3716"/>
        <v>#REF!</v>
      </c>
      <c r="EH230" s="692" t="str">
        <f ca="1">IF(LEFT($J227,7)="Clad Wo",IFERROR(VLOOKUP(INDEX(ED227:ED238,EG230),SPPWS,2,FALSE),"----"),IFERROR(VLOOKUP(INDEX(ED227:ED238,EG230),SPM,2,FALSE),"----"))</f>
        <v>----</v>
      </c>
    </row>
    <row r="231" spans="1:138" ht="15" customHeight="1" x14ac:dyDescent="0.25">
      <c r="A231" s="1085"/>
      <c r="B231" s="925"/>
      <c r="C231" s="926"/>
      <c r="D231" s="927"/>
      <c r="E231" s="995"/>
      <c r="F231" s="996"/>
      <c r="G231" s="997"/>
      <c r="H231" s="1062"/>
      <c r="I231" s="990"/>
      <c r="J231" s="910"/>
      <c r="K231" s="911"/>
      <c r="L231" s="1002"/>
      <c r="M231" s="923"/>
      <c r="N231" s="1042"/>
      <c r="O231" s="1018"/>
      <c r="P231" s="987"/>
      <c r="Q231" s="1015"/>
      <c r="R231" s="1012"/>
      <c r="S231" s="1006"/>
      <c r="T231" s="1007"/>
      <c r="U231" s="878"/>
      <c r="V231" s="881"/>
      <c r="W231" s="884"/>
      <c r="X231" s="884"/>
      <c r="Y231" s="887"/>
      <c r="Z231" s="887"/>
      <c r="AA231" s="887"/>
      <c r="AB231" s="1081"/>
      <c r="AC231" s="1078"/>
      <c r="AD231" s="1070" t="s">
        <v>39</v>
      </c>
      <c r="AE231" s="1071"/>
      <c r="AF231" s="1052"/>
      <c r="AG231" s="1053"/>
      <c r="AH231" s="1053"/>
      <c r="AI231" s="1068"/>
      <c r="AJ231" s="1069"/>
      <c r="AK231" s="154" t="str">
        <f t="shared" ca="1" si="3667"/>
        <v/>
      </c>
      <c r="AL231" s="1039"/>
      <c r="AM231" s="344" t="str">
        <f ca="1">IFERROR(Q227/12*ROUND(VLOOKUP(AF231,OFFSET(ELM,0,1),6,FALSE),2),"")</f>
        <v/>
      </c>
      <c r="AN231" t="str">
        <f t="shared" ca="1" si="3717"/>
        <v/>
      </c>
      <c r="AP231" s="122" t="str">
        <f t="shared" ref="AP231" si="3746">_xlfn.CONCAT(AR231,AS232)</f>
        <v/>
      </c>
      <c r="AQ231" s="683" t="str">
        <f t="shared" si="2617"/>
        <v/>
      </c>
      <c r="AR231" s="4" t="str">
        <f t="shared" si="3642"/>
        <v/>
      </c>
      <c r="AS231" s="4"/>
      <c r="AT231" s="697" t="str">
        <f>AL227</f>
        <v/>
      </c>
      <c r="AU231" s="694" t="e">
        <f t="shared" ca="1" si="2633"/>
        <v>#REF!</v>
      </c>
      <c r="AV231" s="698" t="str">
        <f ca="1">IFERROR(VLOOKUP(AU231,INDIRECT(AQ227),2,FALSE),"----")</f>
        <v>----</v>
      </c>
      <c r="AW231" s="694" t="e">
        <f t="shared" ca="1" si="2634"/>
        <v>#REF!</v>
      </c>
      <c r="AX231" s="698" t="str">
        <f ca="1">IFERROR(VLOOKUP(AW231,INDIRECT(AQ228),2,FALSE),"----")</f>
        <v>----</v>
      </c>
      <c r="AY231" s="694" t="e">
        <f t="shared" ref="AY231" ca="1" si="3747">AY230-1</f>
        <v>#REF!</v>
      </c>
      <c r="AZ231" s="698" t="str">
        <f ca="1">IFERROR(VLOOKUP(AY231,INDIRECT(AQ229),2,FALSE),"----")</f>
        <v>----</v>
      </c>
      <c r="BA231" s="694" t="e">
        <f t="shared" ref="BA231" ca="1" si="3748">BA230-1</f>
        <v>#REF!</v>
      </c>
      <c r="BB231" s="698" t="str">
        <f ca="1">IFERROR(VLOOKUP(BA231,INDIRECT(AQ230),2,FALSE),"----")</f>
        <v>----</v>
      </c>
      <c r="BC231" s="694" t="e">
        <f t="shared" ca="1" si="2635"/>
        <v>#REF!</v>
      </c>
      <c r="BD231" s="698" t="str">
        <f ca="1">IFERROR(VLOOKUP(BC231,INDIRECT(AQ231),2,FALSE),"----")</f>
        <v>----</v>
      </c>
      <c r="BE231" s="694" t="e">
        <f t="shared" ca="1" si="2636"/>
        <v>#REF!</v>
      </c>
      <c r="BF231" s="698" t="str">
        <f ca="1">IFERROR(VLOOKUP(BE231,INDIRECT(AQ232),2,FALSE),"----")</f>
        <v>----</v>
      </c>
      <c r="BG231" s="694" t="e">
        <f t="shared" ca="1" si="2637"/>
        <v>#REF!</v>
      </c>
      <c r="BH231" s="686" t="str">
        <f ca="1">IFERROR(VLOOKUP(BG231,INDIRECT(AQ233),2,FALSE),"----")</f>
        <v>----</v>
      </c>
      <c r="BI231" s="694" t="e">
        <f t="shared" ca="1" si="2638"/>
        <v>#REF!</v>
      </c>
      <c r="BJ231" s="686" t="str">
        <f ca="1">IFERROR(VLOOKUP(BI231,INDIRECT(AQ234),2,FALSE),"----")</f>
        <v>----</v>
      </c>
      <c r="BK231" s="694" t="e">
        <f t="shared" ca="1" si="2639"/>
        <v>#REF!</v>
      </c>
      <c r="BL231" s="686" t="str">
        <f ca="1">IFERROR(VLOOKUP(BK231,INDIRECT(AQ235),2,FALSE),"----")</f>
        <v>----</v>
      </c>
      <c r="BM231" s="694" t="e">
        <f t="shared" ca="1" si="2640"/>
        <v>#REF!</v>
      </c>
      <c r="BN231" s="686" t="str">
        <f ca="1">IFERROR(VLOOKUP(BM231,INDIRECT(AQ236),2,FALSE),"----")</f>
        <v>----</v>
      </c>
      <c r="BO231" s="694" t="e">
        <f t="shared" ca="1" si="2641"/>
        <v>#REF!</v>
      </c>
      <c r="BP231" s="686" t="str">
        <f ca="1">IFERROR(VLOOKUP(BO231,INDIRECT(AQ237),2,FALSE),"----")</f>
        <v>----</v>
      </c>
      <c r="BQ231" s="694" t="e">
        <f t="shared" ca="1" si="2642"/>
        <v>#REF!</v>
      </c>
      <c r="BR231" s="686" t="str">
        <f ca="1">IFERROR(VLOOKUP(BQ231,INDIRECT(AQ238),2,FALSE),"----")</f>
        <v>----</v>
      </c>
      <c r="BS231" s="695">
        <f>IF(AI231="",1,IF(COUNTIF(BD227:BD238,AI231)=0,2,1))</f>
        <v>1</v>
      </c>
      <c r="BT231" s="696">
        <f>IF(AF231="",1,IF(BD227=".",2,1))</f>
        <v>1</v>
      </c>
      <c r="BU231" s="706"/>
      <c r="BV231" s="155">
        <f ca="1">IF(COUNTIF(CY227:CY238,AF231)=0,IF(AF231&lt;&gt;"",0,1),1)</f>
        <v>1</v>
      </c>
      <c r="BW231" s="157">
        <f ca="1">IFERROR(MATCH(AF231,CY227:CY238,0),1)</f>
        <v>1</v>
      </c>
      <c r="BX231" s="769"/>
      <c r="BY231" s="769"/>
      <c r="BZ231" s="1110"/>
      <c r="CA231" s="691" t="e">
        <f t="shared" ca="1" si="3681"/>
        <v>#REF!</v>
      </c>
      <c r="CB231" s="4" t="e" cm="1">
        <f t="array" aca="1" ref="CB231" ca="1">IF(AND(INDEX(INDIRECT(BY227),CA231,4)&gt;=$AB227,INDEX(INDIRECT(BY227),CA231,5)&gt;=$S227,INDEX(INDIRECT(BY227),CA231,6)&gt;=$R227),1,0)</f>
        <v>#REF!</v>
      </c>
      <c r="CC231" s="4" t="e">
        <f t="shared" ref="CC231" ca="1" si="3749">MATCH(1,OFFSET(CB227:CB238,CD230,0,COUNT(CB227:CB238)-CD230),0)</f>
        <v>#REF!</v>
      </c>
      <c r="CD231" s="4" t="e">
        <f t="shared" ca="1" si="3683"/>
        <v>#REF!</v>
      </c>
      <c r="CE231" s="692" t="str" cm="1">
        <f t="array" aca="1" ref="CE231" ca="1">IFERROR(VLOOKUP(INDEX(CA227:CA238,CD231),INDIRECT(BY227),2,FALSE),"----")</f>
        <v>----</v>
      </c>
      <c r="CF231" s="691" t="e">
        <f t="shared" ca="1" si="3684"/>
        <v>#N/A</v>
      </c>
      <c r="CG231" s="4" t="e">
        <f ca="1">IF(AND(INDEX(SSM,CF231,4)&gt;=$AB227,INDEX(SSM,CF231,5)&gt;=$S227,INDEX(SSM,CF231,6)&gt;=$R227),1,0)</f>
        <v>#N/A</v>
      </c>
      <c r="CH231" s="4" t="e">
        <f t="shared" ref="CH231" ca="1" si="3750">MATCH(1,OFFSET(CG227:CG238,CI230,0,COUNT(CG227:CG238)-CI230),0)</f>
        <v>#REF!</v>
      </c>
      <c r="CI231" s="4" t="e">
        <f t="shared" ca="1" si="3686"/>
        <v>#REF!</v>
      </c>
      <c r="CJ231" s="692" t="str">
        <f ca="1">IFERROR(IF(AD228="Nested Steel Stud (wood infill)",VLOOKUP(INDEX(CF227:CF238,CI231),SSW,2,FALSE),VLOOKUP(INDEX(CF227:CF238,CI231),SSM,2,FALSE)),"----")</f>
        <v>----</v>
      </c>
      <c r="CK231" s="691" t="e">
        <f t="shared" ca="1" si="3687"/>
        <v>#N/A</v>
      </c>
      <c r="CL231" s="4" t="e">
        <f ca="1">IF(AND(INDEX(WSM,CK231,4)&gt;=$AB227,INDEX(WSM,CK231,5)&gt;=$S227,INDEX(WSM,CK231,6)&gt;=$R227),1,0)</f>
        <v>#N/A</v>
      </c>
      <c r="CM231" s="4" t="e">
        <f t="shared" ref="CM231" ca="1" si="3751">MATCH(1,OFFSET(CL227:CL238,CN230,0,COUNT(CL227:CL238)-CN230),0)</f>
        <v>#REF!</v>
      </c>
      <c r="CN231" s="4" t="e">
        <f t="shared" ca="1" si="3689"/>
        <v>#REF!</v>
      </c>
      <c r="CO231" s="692" t="str">
        <f ca="1">IFERROR(VLOOKUP(INDEX(CK227:CK238,CN231),WSM,2,FALSE),"----")</f>
        <v>----</v>
      </c>
      <c r="CP231" s="691" t="e">
        <f t="shared" ca="1" si="3690"/>
        <v>#N/A</v>
      </c>
      <c r="CQ231" s="4" t="e">
        <f ca="1">IF(AND(INDEX(STM,CP231,4)&gt;=$AB227,INDEX(STM,CP231,5)&gt;=$S227,INDEX(STM,CP231,6)&gt;=$R227),1,0)</f>
        <v>#N/A</v>
      </c>
      <c r="CR231" s="4" t="e">
        <f t="shared" ref="CR231" ca="1" si="3752">MATCH(1,OFFSET(CQ227:CQ238,CS230,0,COUNT(CQ227:CQ238)-CS230),0)</f>
        <v>#REF!</v>
      </c>
      <c r="CS231" s="4" t="e">
        <f t="shared" ca="1" si="3692"/>
        <v>#REF!</v>
      </c>
      <c r="CT231" s="692" t="str">
        <f ca="1">IFERROR(VLOOKUP(INDEX(CP227:CP238,CS231),STM,2,FALSE),"----")</f>
        <v>----</v>
      </c>
      <c r="CU231" s="691" t="e">
        <f t="shared" ca="1" si="3693"/>
        <v>#N/A</v>
      </c>
      <c r="CV231" s="4" t="e">
        <f ca="1">IF(AND(INDEX(ELM,CU231,4)&gt;=$AB227,INDEX(ELM,CU231,5)&gt;=$S227,INDEX(ELM,CU231,6)&gt;=$R227),1,0)</f>
        <v>#N/A</v>
      </c>
      <c r="CW231" s="4" t="e">
        <f t="shared" ref="CW231" ca="1" si="3753">MATCH(1,OFFSET(CV227:CV238,CX230,0,COUNT(CV227:CV238)-CX230),0)</f>
        <v>#REF!</v>
      </c>
      <c r="CX231" s="4" t="e">
        <f t="shared" ca="1" si="3695"/>
        <v>#REF!</v>
      </c>
      <c r="CY231" s="692" t="str">
        <f ca="1">IFERROR(VLOOKUP(INDEX(CU227:CU238,CX231),ELM,2,FALSE),"----")</f>
        <v>----</v>
      </c>
      <c r="CZ231" s="691" t="e">
        <f t="shared" ca="1" si="3696"/>
        <v>#N/A</v>
      </c>
      <c r="DA231" s="4" t="e">
        <f ca="1">IF(LEFT($J227,7)="Clad Wo",IF(AND(INDEX(SPPWS,CZ231,4)&gt;=$AB227,INDEX(SPPWS,CZ231,5)&gt;=$S227,INDEX(SPPWS,CZ231,6)&gt;=$R227),1,0),IF(AND(INDEX(SPM,CZ231,4)&gt;=$AB227,INDEX(SPM,CZ231,5)&gt;=$S227,INDEX(SPM,CZ231,6)&gt;=$R227),1,0))</f>
        <v>#N/A</v>
      </c>
      <c r="DB231" s="4" t="e">
        <f t="shared" ref="DB231" ca="1" si="3754">MATCH(1,OFFSET(DA227:DA238,DC230,0,COUNT(DA227:DA238)-DC230),0)</f>
        <v>#REF!</v>
      </c>
      <c r="DC231" s="4" t="e">
        <f t="shared" ca="1" si="3698"/>
        <v>#REF!</v>
      </c>
      <c r="DD231" s="693" t="str">
        <f ca="1">IF(LEFT($J227,7)="Clad Wo",IFERROR(VLOOKUP(INDEX(CZ227:CZ238,DC231),SPPWS,2,FALSE),"----"),IFERROR(VLOOKUP(INDEX(CZ227:CZ238,DC231),SPM,2,FALSE),"----"))</f>
        <v>----</v>
      </c>
      <c r="DE231" s="691" t="e">
        <f t="shared" ca="1" si="3699"/>
        <v>#REF!</v>
      </c>
      <c r="DF231" s="4" t="e" cm="1">
        <f t="array" aca="1" ref="DF231" ca="1">IF(AND(INDEX(INDIRECT(BY227),DE231,4)&gt;=$AB233,INDEX(INDIRECT(BY227),DE231,5)&gt;=$S227,INDEX(INDIRECT(BY227),DE231,6)&gt;=$R227),1,0)</f>
        <v>#REF!</v>
      </c>
      <c r="DG231" s="4" t="e">
        <f t="shared" ref="DG231" ca="1" si="3755">MATCH(1,OFFSET(DF227:DF238,DH230,0,COUNT(DF227:DF238)-DH230),0)</f>
        <v>#REF!</v>
      </c>
      <c r="DH231" s="4" t="e">
        <f t="shared" ca="1" si="3701"/>
        <v>#REF!</v>
      </c>
      <c r="DI231" s="692" t="str" cm="1">
        <f t="array" aca="1" ref="DI231" ca="1">IFERROR(VLOOKUP(INDEX(DE227:DE238,DH231),INDIRECT(BY227),2,FALSE),"----")</f>
        <v>----</v>
      </c>
      <c r="DJ231" s="691" t="e">
        <f t="shared" ca="1" si="3702"/>
        <v>#N/A</v>
      </c>
      <c r="DK231" s="4" t="e">
        <f ca="1">IF(AND(INDEX(SSM,DJ231,4)&gt;=$AB233,INDEX(SSM,DJ231,5)&gt;=$S227,INDEX(SSM,DJ231,6)&gt;=$R227),1,0)</f>
        <v>#N/A</v>
      </c>
      <c r="DL231" s="4" t="e">
        <f t="shared" ref="DL231" ca="1" si="3756">MATCH(1,OFFSET(DK227:DK238,DM230,0,COUNT(DK227:DK238)-DM230),0)</f>
        <v>#REF!</v>
      </c>
      <c r="DM231" s="4" t="e">
        <f t="shared" ca="1" si="3704"/>
        <v>#REF!</v>
      </c>
      <c r="DN231" s="692" t="str">
        <f ca="1">IFERROR(IF(AD234="Nested Steel Stud (wood infill)",VLOOKUP(INDEX(DJ227:DJ238,DM231),SSW,2,FALSE),VLOOKUP(INDEX(DJ227:DJ238,DM231),SSM,2,FALSE)),"----")</f>
        <v>----</v>
      </c>
      <c r="DO231" s="691" t="e">
        <f t="shared" ca="1" si="3705"/>
        <v>#N/A</v>
      </c>
      <c r="DP231" s="4" t="e">
        <f ca="1">IF(AND(INDEX(WSM,DO231,4)&gt;=$AB233,INDEX(WSM,DO231,5)&gt;=$S227,INDEX(WSM,DO231,6)&gt;=$R227),1,0)</f>
        <v>#N/A</v>
      </c>
      <c r="DQ231" s="4" t="e">
        <f t="shared" ref="DQ231" ca="1" si="3757">MATCH(1,OFFSET(DP227:DP238,DR230,0,COUNT(DP227:DP238)-DR230),0)</f>
        <v>#REF!</v>
      </c>
      <c r="DR231" s="4" t="e">
        <f t="shared" ca="1" si="3707"/>
        <v>#REF!</v>
      </c>
      <c r="DS231" s="692" t="str">
        <f ca="1">IFERROR(VLOOKUP(INDEX(DO227:DO238,DR231),WSM,2,FALSE),"----")</f>
        <v>----</v>
      </c>
      <c r="DT231" s="691" t="e">
        <f t="shared" ca="1" si="3708"/>
        <v>#N/A</v>
      </c>
      <c r="DU231" s="4" t="e">
        <f ca="1">IF(AND(INDEX(STM,DT231,4)&gt;=$AB233,INDEX(STM,DT231,5)&gt;=$S227,INDEX(STM,DT231,6)&gt;=$R227),1,0)</f>
        <v>#N/A</v>
      </c>
      <c r="DV231" s="4" t="e">
        <f t="shared" ref="DV231" ca="1" si="3758">MATCH(1,OFFSET(DU227:DU238,DW230,0,COUNT(DU227:DU238)-DW230),0)</f>
        <v>#REF!</v>
      </c>
      <c r="DW231" s="4" t="e">
        <f t="shared" ca="1" si="3710"/>
        <v>#REF!</v>
      </c>
      <c r="DX231" s="692" t="str">
        <f ca="1">IFERROR(VLOOKUP(INDEX(DT227:DT238,DW231),STM,2,FALSE),"----")</f>
        <v>----</v>
      </c>
      <c r="DY231" s="691" t="e">
        <f t="shared" ca="1" si="3711"/>
        <v>#N/A</v>
      </c>
      <c r="DZ231" s="4" t="e">
        <f ca="1">IF(AND(INDEX(ELM,DY231,4)&gt;=$AB233,INDEX(ELM,DY231,5)&gt;=$S227,INDEX(ELM,DY231,6)&gt;=$R227),1,0)</f>
        <v>#N/A</v>
      </c>
      <c r="EA231" s="4" t="e">
        <f t="shared" ref="EA231" ca="1" si="3759">MATCH(1,OFFSET(DZ227:DZ238,EB230,0,COUNT(DZ227:DZ238)-EB230),0)</f>
        <v>#REF!</v>
      </c>
      <c r="EB231" s="4" t="e">
        <f t="shared" ca="1" si="3713"/>
        <v>#REF!</v>
      </c>
      <c r="EC231" s="692" t="str">
        <f ca="1">IFERROR(VLOOKUP(INDEX(DY227:DY238,EB231),ELM,2,FALSE),"----")</f>
        <v>----</v>
      </c>
      <c r="ED231" s="691" t="e">
        <f t="shared" ca="1" si="3714"/>
        <v>#N/A</v>
      </c>
      <c r="EE231" s="4" t="e">
        <f ca="1">IF(LEFT($J227,7)="Clad Wo",IF(AND(INDEX(SPPWS,ED231,4)&gt;=$AB233,INDEX(SPPWS,ED231,5)&gt;=$S227,INDEX(SPPWS,ED231,6)&gt;=$R227),1,0),IF(AND(INDEX(SPM,ED231,4)&gt;=$AB233,INDEX(SPM,ED231,5)&gt;=$S227,INDEX(SPM,ED231,6)&gt;=$R227),1,0))</f>
        <v>#N/A</v>
      </c>
      <c r="EF231" s="4" t="e">
        <f t="shared" ref="EF231" ca="1" si="3760">MATCH(1,OFFSET(EE227:EE238,EG230,0,COUNT(EE227:EE238)-EG230),0)</f>
        <v>#REF!</v>
      </c>
      <c r="EG231" s="4" t="e">
        <f t="shared" ca="1" si="3716"/>
        <v>#REF!</v>
      </c>
      <c r="EH231" s="692" t="str">
        <f ca="1">IF(LEFT($J227,7)="Clad Wo",IFERROR(VLOOKUP(INDEX(ED227:ED238,EG231),SPPWS,2,FALSE),"----"),IFERROR(VLOOKUP(INDEX(ED227:ED238,EG231),SPM,2,FALSE),"----"))</f>
        <v>----</v>
      </c>
    </row>
    <row r="232" spans="1:138" ht="15" customHeight="1" thickBot="1" x14ac:dyDescent="0.3">
      <c r="A232" s="1085"/>
      <c r="B232" s="934"/>
      <c r="C232" s="935"/>
      <c r="D232" s="936"/>
      <c r="E232" s="995"/>
      <c r="F232" s="996"/>
      <c r="G232" s="997"/>
      <c r="H232" s="1062"/>
      <c r="I232" s="990"/>
      <c r="J232" s="908"/>
      <c r="K232" s="909"/>
      <c r="L232" s="1010"/>
      <c r="M232" s="924"/>
      <c r="N232" s="1044"/>
      <c r="O232" s="1018"/>
      <c r="P232" s="987"/>
      <c r="Q232" s="1015"/>
      <c r="R232" s="1012"/>
      <c r="S232" s="1006"/>
      <c r="T232" s="1007"/>
      <c r="U232" s="878"/>
      <c r="V232" s="881"/>
      <c r="W232" s="889"/>
      <c r="X232" s="884"/>
      <c r="Y232" s="890"/>
      <c r="Z232" s="890"/>
      <c r="AA232" s="887"/>
      <c r="AB232" s="1084"/>
      <c r="AC232" s="1079"/>
      <c r="AD232" s="1072" t="str">
        <f t="shared" ref="AD232" si="3761">IF(LEFT(J227,7)="Clad Wo","Pella Wood Spr / Steel Pte","Steel Plate")</f>
        <v>Steel Plate</v>
      </c>
      <c r="AE232" s="1073"/>
      <c r="AF232" s="1054"/>
      <c r="AG232" s="1055"/>
      <c r="AH232" s="1055"/>
      <c r="AI232" s="1092"/>
      <c r="AJ232" s="1093"/>
      <c r="AK232" s="159" t="str">
        <f t="shared" ca="1" si="3667"/>
        <v/>
      </c>
      <c r="AL232" s="1040"/>
      <c r="AM232" s="345" t="str">
        <f ca="1">IFERROR(Q227/12*ROUND(VLOOKUP(AF232,OFFSET(SPM,0,1),6,FALSE),2),"")</f>
        <v/>
      </c>
      <c r="AN232" t="str">
        <f t="shared" ca="1" si="3717"/>
        <v/>
      </c>
      <c r="AP232" s="699" t="str">
        <f t="shared" ref="AP232" si="3762">_xlfn.CONCAT(AR232,AS232)</f>
        <v/>
      </c>
      <c r="AQ232" s="700" t="str">
        <f t="shared" si="2617"/>
        <v/>
      </c>
      <c r="AR232" s="160" t="str">
        <f t="shared" si="3642"/>
        <v/>
      </c>
      <c r="AS232" s="160" t="str">
        <f>IFERROR(VLOOKUP(J235, WallType,2,FALSE),"")</f>
        <v/>
      </c>
      <c r="AT232" s="701" t="str">
        <f>AL227</f>
        <v/>
      </c>
      <c r="AU232" s="694" t="e">
        <f t="shared" ca="1" si="2633"/>
        <v>#REF!</v>
      </c>
      <c r="AV232" s="698" t="str">
        <f ca="1">IFERROR(VLOOKUP(AU232,INDIRECT(AQ227),2,FALSE),"----")</f>
        <v>----</v>
      </c>
      <c r="AW232" s="702" t="e">
        <f t="shared" ca="1" si="2634"/>
        <v>#REF!</v>
      </c>
      <c r="AX232" s="698" t="str">
        <f ca="1">IFERROR(VLOOKUP(AW232,INDIRECT(AQ228),2,FALSE),"----")</f>
        <v>----</v>
      </c>
      <c r="AY232" s="702" t="e">
        <f t="shared" ref="AY232" ca="1" si="3763">AY231-1</f>
        <v>#REF!</v>
      </c>
      <c r="AZ232" s="698" t="str">
        <f ca="1">IFERROR(VLOOKUP(AY232,INDIRECT(AQ229),2,FALSE),"----")</f>
        <v>----</v>
      </c>
      <c r="BA232" s="702" t="e">
        <f t="shared" ref="BA232" ca="1" si="3764">BA231-1</f>
        <v>#REF!</v>
      </c>
      <c r="BB232" s="698" t="str">
        <f ca="1">IFERROR(VLOOKUP(BA232,INDIRECT(AQ230),2,FALSE),"----")</f>
        <v>----</v>
      </c>
      <c r="BC232" s="702" t="e">
        <f t="shared" ca="1" si="2635"/>
        <v>#REF!</v>
      </c>
      <c r="BD232" s="698" t="str">
        <f ca="1">IFERROR(VLOOKUP(BC232,INDIRECT(AQ231),2,FALSE),"----")</f>
        <v>----</v>
      </c>
      <c r="BE232" s="702" t="e">
        <f t="shared" ca="1" si="2636"/>
        <v>#REF!</v>
      </c>
      <c r="BF232" s="698" t="str">
        <f ca="1">IFERROR(VLOOKUP(BE232,INDIRECT(AQ232),2,FALSE),"----")</f>
        <v>----</v>
      </c>
      <c r="BG232" s="702" t="e">
        <f t="shared" ca="1" si="2637"/>
        <v>#REF!</v>
      </c>
      <c r="BH232" s="686" t="str">
        <f ca="1">IFERROR(VLOOKUP(BG232,INDIRECT(AQ233),2,FALSE),"----")</f>
        <v>----</v>
      </c>
      <c r="BI232" s="702" t="e">
        <f t="shared" ca="1" si="2638"/>
        <v>#REF!</v>
      </c>
      <c r="BJ232" s="686" t="str">
        <f ca="1">IFERROR(VLOOKUP(BI232,INDIRECT(AQ234),2,FALSE),"----")</f>
        <v>----</v>
      </c>
      <c r="BK232" s="702" t="e">
        <f t="shared" ca="1" si="2639"/>
        <v>#REF!</v>
      </c>
      <c r="BL232" s="686" t="str">
        <f ca="1">IFERROR(VLOOKUP(BK232,INDIRECT(AQ235),2,FALSE),"----")</f>
        <v>----</v>
      </c>
      <c r="BM232" s="702" t="e">
        <f t="shared" ca="1" si="2640"/>
        <v>#REF!</v>
      </c>
      <c r="BN232" s="686" t="str">
        <f ca="1">IFERROR(VLOOKUP(BM232,INDIRECT(AQ236),2,FALSE),"----")</f>
        <v>----</v>
      </c>
      <c r="BO232" s="702" t="e">
        <f t="shared" ca="1" si="2641"/>
        <v>#REF!</v>
      </c>
      <c r="BP232" s="686" t="str">
        <f ca="1">IFERROR(VLOOKUP(BO232,INDIRECT(AQ237),2,FALSE),"----")</f>
        <v>----</v>
      </c>
      <c r="BQ232" s="702" t="e">
        <f t="shared" ca="1" si="2642"/>
        <v>#REF!</v>
      </c>
      <c r="BR232" s="686" t="str">
        <f ca="1">IFERROR(VLOOKUP(BQ232,INDIRECT(AQ238),2,FALSE),"----")</f>
        <v>----</v>
      </c>
      <c r="BS232" s="703">
        <f>IF(AI232="",1,IF(COUNTIF(BF227:BF238,AI232)=0,2,1))</f>
        <v>1</v>
      </c>
      <c r="BT232" s="704">
        <f>IF(AF232="",1,IF(BF227=".",2,1))</f>
        <v>1</v>
      </c>
      <c r="BV232" s="155">
        <f ca="1">IF(COUNTIF(DD227:DD238,AF232)=0,IF(AF232&lt;&gt;"",0,1),1)</f>
        <v>1</v>
      </c>
      <c r="BW232" s="157">
        <f ca="1">IFERROR(MATCH(AF232,DD227:DD238,0),1)</f>
        <v>1</v>
      </c>
      <c r="BX232" s="875" t="s">
        <v>1594</v>
      </c>
      <c r="BY232" s="876"/>
      <c r="BZ232" s="1110"/>
      <c r="CA232" s="691" t="e">
        <f t="shared" ca="1" si="3681"/>
        <v>#REF!</v>
      </c>
      <c r="CB232" s="4" t="e" cm="1">
        <f t="array" aca="1" ref="CB232" ca="1">IF(AND(INDEX(INDIRECT(BY227),CA232,4)&gt;=$AB227,INDEX(INDIRECT(BY227),CA232,5)&gt;=$S227,INDEX(INDIRECT(BY227),CA232,6)&gt;=$R227),1,0)</f>
        <v>#REF!</v>
      </c>
      <c r="CC232" s="4" t="e">
        <f t="shared" ref="CC232" ca="1" si="3765">MATCH(1,OFFSET(CB227:CB238,CD231,0,COUNT(CB227:CB238)-CD231),0)</f>
        <v>#REF!</v>
      </c>
      <c r="CD232" s="4" t="e">
        <f t="shared" ca="1" si="3683"/>
        <v>#REF!</v>
      </c>
      <c r="CE232" s="692" t="str" cm="1">
        <f t="array" aca="1" ref="CE232" ca="1">IFERROR(VLOOKUP(INDEX(CA227:CA238,CD232),INDIRECT(BY227),2,FALSE),"----")</f>
        <v>----</v>
      </c>
      <c r="CF232" s="691" t="e">
        <f t="shared" ca="1" si="3684"/>
        <v>#N/A</v>
      </c>
      <c r="CG232" s="4" t="e">
        <f ca="1">IF(AND(INDEX(SSM,CF232,4)&gt;=$AB227,INDEX(SSM,CF232,5)&gt;=$S227,INDEX(SSM,CF232,6)&gt;=$R227),1,0)</f>
        <v>#N/A</v>
      </c>
      <c r="CH232" s="4" t="e">
        <f t="shared" ref="CH232" ca="1" si="3766">MATCH(1,OFFSET(CG227:CG238,CI231,0,COUNT(CG227:CG238)-CI231),0)</f>
        <v>#REF!</v>
      </c>
      <c r="CI232" s="4" t="e">
        <f t="shared" ca="1" si="3686"/>
        <v>#REF!</v>
      </c>
      <c r="CJ232" s="692" t="str">
        <f ca="1">IFERROR(IF(AD228="Nested Steel Stud (wood infill)",VLOOKUP(INDEX(CF227:CF238,CI232),SSW,2,FALSE),VLOOKUP(INDEX(CF227:CF238,CI232),SSM,2,FALSE)),"----")</f>
        <v>----</v>
      </c>
      <c r="CK232" s="691" t="e">
        <f t="shared" ca="1" si="3687"/>
        <v>#N/A</v>
      </c>
      <c r="CL232" s="4" t="e">
        <f ca="1">IF(AND(INDEX(WSM,CK232,4)&gt;=$AB227,INDEX(WSM,CK232,5)&gt;=$S227,INDEX(WSM,CK232,6)&gt;=$R227),1,0)</f>
        <v>#N/A</v>
      </c>
      <c r="CM232" s="4" t="e">
        <f t="shared" ref="CM232" ca="1" si="3767">MATCH(1,OFFSET(CL227:CL238,CN231,0,COUNT(CL227:CL238)-CN231),0)</f>
        <v>#REF!</v>
      </c>
      <c r="CN232" s="4" t="e">
        <f t="shared" ca="1" si="3689"/>
        <v>#REF!</v>
      </c>
      <c r="CO232" s="692" t="str">
        <f ca="1">IFERROR(VLOOKUP(INDEX(CK227:CK238,CN232),WSM,2,FALSE),"----")</f>
        <v>----</v>
      </c>
      <c r="CP232" s="691" t="e">
        <f t="shared" ca="1" si="3690"/>
        <v>#N/A</v>
      </c>
      <c r="CQ232" s="4" t="e">
        <f ca="1">IF(AND(INDEX(STM,CP232,4)&gt;=$AB227,INDEX(STM,CP232,5)&gt;=$S227,INDEX(STM,CP232,6)&gt;=$R227),1,0)</f>
        <v>#N/A</v>
      </c>
      <c r="CR232" s="4" t="e">
        <f t="shared" ref="CR232" ca="1" si="3768">MATCH(1,OFFSET(CQ227:CQ238,CS231,0,COUNT(CQ227:CQ238)-CS231),0)</f>
        <v>#REF!</v>
      </c>
      <c r="CS232" s="4" t="e">
        <f t="shared" ca="1" si="3692"/>
        <v>#REF!</v>
      </c>
      <c r="CT232" s="692" t="str">
        <f ca="1">IFERROR(VLOOKUP(INDEX(CP227:CP238,CS232),STM,2,FALSE),"----")</f>
        <v>----</v>
      </c>
      <c r="CU232" s="691" t="e">
        <f t="shared" ca="1" si="3693"/>
        <v>#N/A</v>
      </c>
      <c r="CV232" s="4" t="e">
        <f ca="1">IF(AND(INDEX(ELM,CU232,4)&gt;=$AB227,INDEX(ELM,CU232,5)&gt;=$S227,INDEX(ELM,CU232,6)&gt;=$R227),1,0)</f>
        <v>#N/A</v>
      </c>
      <c r="CW232" s="4" t="e">
        <f t="shared" ref="CW232" ca="1" si="3769">MATCH(1,OFFSET(CV227:CV238,CX231,0,COUNT(CV227:CV238)-CX231),0)</f>
        <v>#REF!</v>
      </c>
      <c r="CX232" s="4" t="e">
        <f t="shared" ca="1" si="3695"/>
        <v>#REF!</v>
      </c>
      <c r="CY232" s="692" t="str">
        <f ca="1">IFERROR(VLOOKUP(INDEX(CU227:CU238,CX232),ELM,2,FALSE),"----")</f>
        <v>----</v>
      </c>
      <c r="CZ232" s="691" t="e">
        <f t="shared" ca="1" si="3696"/>
        <v>#N/A</v>
      </c>
      <c r="DA232" s="4" t="e">
        <f ca="1">IF(LEFT($J227,7)="Clad Wo",IF(AND(INDEX(SPPWS,CZ232,4)&gt;=$AB227,INDEX(SPPWS,CZ232,5)&gt;=$S227,INDEX(SPPWS,CZ232,6)&gt;=$R227),1,0),IF(AND(INDEX(SPM,CZ232,4)&gt;=$AB227,INDEX(SPM,CZ232,5)&gt;=$S227,INDEX(SPM,CZ232,6)&gt;=$R227),1,0))</f>
        <v>#N/A</v>
      </c>
      <c r="DB232" s="4" t="e">
        <f t="shared" ref="DB232" ca="1" si="3770">MATCH(1,OFFSET(DA227:DA238,DC231,0,COUNT(DA227:DA238)-DC231),0)</f>
        <v>#REF!</v>
      </c>
      <c r="DC232" s="4" t="e">
        <f t="shared" ca="1" si="3698"/>
        <v>#REF!</v>
      </c>
      <c r="DD232" s="693" t="str">
        <f ca="1">IF(LEFT($J227,7)="Clad Wo",IFERROR(VLOOKUP(INDEX(CZ227:CZ238,DC232),SPPWS,2,FALSE),"----"),IFERROR(VLOOKUP(INDEX(CZ227:CZ238,DC232),SPM,2,FALSE),"----"))</f>
        <v>----</v>
      </c>
      <c r="DE232" s="691" t="e">
        <f t="shared" ca="1" si="3699"/>
        <v>#REF!</v>
      </c>
      <c r="DF232" s="4" t="e" cm="1">
        <f t="array" aca="1" ref="DF232" ca="1">IF(AND(INDEX(INDIRECT(BY227),DE232,4)&gt;=$AB233,INDEX(INDIRECT(BY227),DE232,5)&gt;=$S227,INDEX(INDIRECT(BY227),DE232,6)&gt;=$R227),1,0)</f>
        <v>#REF!</v>
      </c>
      <c r="DG232" s="4" t="e">
        <f t="shared" ref="DG232" ca="1" si="3771">MATCH(1,OFFSET(DF227:DF238,DH231,0,COUNT(DF227:DF238)-DH231),0)</f>
        <v>#REF!</v>
      </c>
      <c r="DH232" s="4" t="e">
        <f t="shared" ca="1" si="3701"/>
        <v>#REF!</v>
      </c>
      <c r="DI232" s="692" t="str" cm="1">
        <f t="array" aca="1" ref="DI232" ca="1">IFERROR(VLOOKUP(INDEX(DE227:DE238,DH232),INDIRECT(BY227),2,FALSE),"----")</f>
        <v>----</v>
      </c>
      <c r="DJ232" s="691" t="e">
        <f t="shared" ca="1" si="3702"/>
        <v>#N/A</v>
      </c>
      <c r="DK232" s="4" t="e">
        <f ca="1">IF(AND(INDEX(SSM,DJ232,4)&gt;=$AB233,INDEX(SSM,DJ232,5)&gt;=$S227,INDEX(SSM,DJ232,6)&gt;=$R227),1,0)</f>
        <v>#N/A</v>
      </c>
      <c r="DL232" s="4" t="e">
        <f t="shared" ref="DL232" ca="1" si="3772">MATCH(1,OFFSET(DK227:DK238,DM231,0,COUNT(DK227:DK238)-DM231),0)</f>
        <v>#REF!</v>
      </c>
      <c r="DM232" s="4" t="e">
        <f t="shared" ca="1" si="3704"/>
        <v>#REF!</v>
      </c>
      <c r="DN232" s="692" t="str">
        <f ca="1">IFERROR(IF(AD234="Nested Steel Stud (wood infill)",VLOOKUP(INDEX(DJ227:DJ238,DM232),SSW,2,FALSE),VLOOKUP(INDEX(DJ227:DJ238,DM232),SSM,2,FALSE)),"----")</f>
        <v>----</v>
      </c>
      <c r="DO232" s="691" t="e">
        <f t="shared" ca="1" si="3705"/>
        <v>#N/A</v>
      </c>
      <c r="DP232" s="4" t="e">
        <f ca="1">IF(AND(INDEX(WSM,DO232,4)&gt;=$AB233,INDEX(WSM,DO232,5)&gt;=$S227,INDEX(WSM,DO232,6)&gt;=$R227),1,0)</f>
        <v>#N/A</v>
      </c>
      <c r="DQ232" s="4" t="e">
        <f t="shared" ref="DQ232" ca="1" si="3773">MATCH(1,OFFSET(DP227:DP238,DR231,0,COUNT(DP227:DP238)-DR231),0)</f>
        <v>#REF!</v>
      </c>
      <c r="DR232" s="4" t="e">
        <f t="shared" ca="1" si="3707"/>
        <v>#REF!</v>
      </c>
      <c r="DS232" s="692" t="str">
        <f ca="1">IFERROR(VLOOKUP(INDEX(DO227:DO238,DR232),WSM,2,FALSE),"----")</f>
        <v>----</v>
      </c>
      <c r="DT232" s="691" t="e">
        <f t="shared" ca="1" si="3708"/>
        <v>#N/A</v>
      </c>
      <c r="DU232" s="4" t="e">
        <f ca="1">IF(AND(INDEX(STM,DT232,4)&gt;=$AB233,INDEX(STM,DT232,5)&gt;=$S227,INDEX(STM,DT232,6)&gt;=$R227),1,0)</f>
        <v>#N/A</v>
      </c>
      <c r="DV232" s="4" t="e">
        <f t="shared" ref="DV232" ca="1" si="3774">MATCH(1,OFFSET(DU227:DU238,DW231,0,COUNT(DU227:DU238)-DW231),0)</f>
        <v>#REF!</v>
      </c>
      <c r="DW232" s="4" t="e">
        <f t="shared" ca="1" si="3710"/>
        <v>#REF!</v>
      </c>
      <c r="DX232" s="692" t="str">
        <f ca="1">IFERROR(VLOOKUP(INDEX(DT227:DT238,DW232),STM,2,FALSE),"----")</f>
        <v>----</v>
      </c>
      <c r="DY232" s="691" t="e">
        <f t="shared" ca="1" si="3711"/>
        <v>#N/A</v>
      </c>
      <c r="DZ232" s="4" t="e">
        <f ca="1">IF(AND(INDEX(ELM,DY232,4)&gt;=$AB233,INDEX(ELM,DY232,5)&gt;=$S227,INDEX(ELM,DY232,6)&gt;=$R227),1,0)</f>
        <v>#N/A</v>
      </c>
      <c r="EA232" s="4" t="e">
        <f t="shared" ref="EA232" ca="1" si="3775">MATCH(1,OFFSET(DZ227:DZ238,EB231,0,COUNT(DZ227:DZ238)-EB231),0)</f>
        <v>#REF!</v>
      </c>
      <c r="EB232" s="4" t="e">
        <f t="shared" ca="1" si="3713"/>
        <v>#REF!</v>
      </c>
      <c r="EC232" s="692" t="str">
        <f ca="1">IFERROR(VLOOKUP(INDEX(DY227:DY238,EB232),ELM,2,FALSE),"----")</f>
        <v>----</v>
      </c>
      <c r="ED232" s="691" t="e">
        <f t="shared" ca="1" si="3714"/>
        <v>#N/A</v>
      </c>
      <c r="EE232" s="4" t="e">
        <f ca="1">IF(LEFT($J227,7)="Clad Wo",IF(AND(INDEX(SPPWS,ED232,4)&gt;=$AB233,INDEX(SPPWS,ED232,5)&gt;=$S227,INDEX(SPPWS,ED232,6)&gt;=$R227),1,0),IF(AND(INDEX(SPM,ED232,4)&gt;=$AB233,INDEX(SPM,ED232,5)&gt;=$S227,INDEX(SPM,ED232,6)&gt;=$R227),1,0))</f>
        <v>#N/A</v>
      </c>
      <c r="EF232" s="4" t="e">
        <f t="shared" ref="EF232" ca="1" si="3776">MATCH(1,OFFSET(EE227:EE238,EG231,0,COUNT(EE227:EE238)-EG231),0)</f>
        <v>#REF!</v>
      </c>
      <c r="EG232" s="4" t="e">
        <f t="shared" ca="1" si="3716"/>
        <v>#REF!</v>
      </c>
      <c r="EH232" s="692" t="str">
        <f ca="1">IF(LEFT($J227,7)="Clad Wo",IFERROR(VLOOKUP(INDEX(ED227:ED238,EG232),SPPWS,2,FALSE),"----"),IFERROR(VLOOKUP(INDEX(ED227:ED238,EG232),SPM,2,FALSE),"----"))</f>
        <v>----</v>
      </c>
    </row>
    <row r="233" spans="1:138" ht="15" customHeight="1" x14ac:dyDescent="0.25">
      <c r="A233" s="1085"/>
      <c r="B233" s="925" t="s">
        <v>409</v>
      </c>
      <c r="C233" s="926"/>
      <c r="D233" s="927"/>
      <c r="E233" s="995"/>
      <c r="F233" s="996"/>
      <c r="G233" s="997"/>
      <c r="H233" s="1062"/>
      <c r="I233" s="990"/>
      <c r="J233" s="908"/>
      <c r="K233" s="909"/>
      <c r="L233" s="1001">
        <f>L227+1</f>
        <v>5</v>
      </c>
      <c r="M233" s="1064" t="str">
        <f t="shared" ref="M233" si="3777">IFERROR(IF($AE$17="",IF($AG$19="Wind Loading",MIN($V$31,IF(E$11="ASCE 7-05",$U$26,$V$7)*$V$9*(IF($E$12&lt;60,0.156*LN(MAX(MIN(500,O227),10)) -1.7618,IF($E$11="ASCE 7-22", 0.2026*LN(MAX(MIN(500,O227),20))-2.2638,0.2503*LN(MAX(MIN(500,O227),20)) -2.5526))-$V$8)),$V$7*IF(E$12&lt;60,$V$13*($V$15*(0.156*LN(MAX(MIN(500,O227),10)) -1.7618)-$V$16),$V$13*$V$15*((0.2026*LN(MAX(MIN(500,O227),20))-2.2638)-$V$16))),-ABS($AE$17)),"")</f>
        <v/>
      </c>
      <c r="N233" s="1041" t="str">
        <f t="shared" ref="N233" si="3778">IFERROR(IF($AE$19="",IF($AG$19="Wind Loading",MAX($U$31,IF(E$11="ASCE 7-05",$U$26,$V$7)*$V$9*((IF($E$12&lt;60,-0.077*LN(MAX(MIN(500,O227),10))+1.1737,IF($E$11="ASCE 7-22",-0.077*LN(MAX(MIN(500,O227),20))+1.0798,-0.093*LN(MAX(MIN(500,O227),20))+1.1776)))+$V$8)),$V$7*IF(E$12&lt;60,$V$13*($V$15*(-0.077*LN(MAX(MIN(500,O227),10))+1.1737)-$V$17),$V$13*$V$15*((-0.077*LN(MAX(MIN(500,O227),20))+1.0798)-$V$17))),ABS($AE$19)),"")</f>
        <v/>
      </c>
      <c r="O233" s="1018"/>
      <c r="P233" s="987"/>
      <c r="Q233" s="1015"/>
      <c r="R233" s="1012">
        <f>P233*Q233/8</f>
        <v>0</v>
      </c>
      <c r="S233" s="1006"/>
      <c r="T233" s="1007"/>
      <c r="U233" s="878"/>
      <c r="V233" s="881"/>
      <c r="W233" s="883" t="e">
        <f t="shared" ref="W233" si="3779">MAX(-M233,N233)*O227</f>
        <v>#VALUE!</v>
      </c>
      <c r="X233" s="884"/>
      <c r="Y233" s="886">
        <f>IFERROR(IF(AG$14="Trapezoidal",BY236,BX236)+IF($E$17="4",(400*E227^3)/(48*X227),0),0)</f>
        <v>0</v>
      </c>
      <c r="Z233" s="886" t="e">
        <f t="shared" ref="Z233" si="3780">+($V227*MAX(-$M233,$N233)*$E227^2)/(144*8)+IF($E$17=4,(400*$E227)/4,0)</f>
        <v>#VALUE!</v>
      </c>
      <c r="AA233" s="887"/>
      <c r="AB233" s="1080" t="str">
        <f t="shared" ref="AB233" ca="1" si="3781">IFERROR(Z233-AA227,"")</f>
        <v/>
      </c>
      <c r="AC233" s="1086" t="str">
        <f t="shared" ref="AC233" ca="1" si="3782">IFERROR(Y233-U227,"")</f>
        <v/>
      </c>
      <c r="AD233" s="1074" t="str">
        <f t="shared" ref="AD233" si="3783">AD227</f>
        <v/>
      </c>
      <c r="AE233" s="1075"/>
      <c r="AF233" s="1056"/>
      <c r="AG233" s="1057"/>
      <c r="AH233" s="1057"/>
      <c r="AI233" s="1088"/>
      <c r="AJ233" s="1089"/>
      <c r="AK233" s="162" t="str">
        <f t="shared" ca="1" si="3667"/>
        <v/>
      </c>
      <c r="AL233" s="1058" t="str">
        <f t="shared" ref="AL233" si="3784">IFERROR(ROUND(SQRT(P227^2+(W233/2+IF($E$17=4,200,0))^2),0),"")</f>
        <v/>
      </c>
      <c r="AM233" s="342" t="s">
        <v>669</v>
      </c>
      <c r="AN233" t="str">
        <f t="shared" ca="1" si="3717"/>
        <v/>
      </c>
      <c r="AP233" s="122" t="str">
        <f t="shared" ref="AP233" si="3785">_xlfn.CONCAT(AR233,AS238)</f>
        <v/>
      </c>
      <c r="AQ233" s="683" t="str">
        <f t="shared" si="2617"/>
        <v/>
      </c>
      <c r="AR233" s="96" t="str">
        <f t="shared" si="3642"/>
        <v/>
      </c>
      <c r="AS233" s="96" t="str">
        <f>IF(COUNTIF(imp_1,AF233)=1,"imp_1",IF(COUNTIF(imp_2,AF233)=1,"imp_2",IF(COUNTIF(imp_3,AF233)=1,"imp_3",IF(COUNTIF(impdoor,AF233)=1,"impdoor",""))))</f>
        <v/>
      </c>
      <c r="AT233" s="684" t="str">
        <f>AL233</f>
        <v/>
      </c>
      <c r="AU233" s="685" t="e">
        <f t="shared" ca="1" si="2633"/>
        <v>#REF!</v>
      </c>
      <c r="AV233" s="686" t="str">
        <f ca="1">IFERROR(VLOOKUP(AU233,INDIRECT(AQ227),2,FALSE),"----")</f>
        <v>----</v>
      </c>
      <c r="AW233" s="685" t="e">
        <f t="shared" ca="1" si="2634"/>
        <v>#REF!</v>
      </c>
      <c r="AX233" s="686" t="str">
        <f ca="1">IFERROR(VLOOKUP(AW233,INDIRECT(AQ228),2,FALSE),"----")</f>
        <v>----</v>
      </c>
      <c r="AY233" s="685" t="e">
        <f t="shared" ca="1" si="3524"/>
        <v>#REF!</v>
      </c>
      <c r="AZ233" s="686" t="str">
        <f ca="1">IFERROR(VLOOKUP(AY233,INDIRECT(AQ229),2,FALSE),"----")</f>
        <v>----</v>
      </c>
      <c r="BA233" s="685" t="e">
        <f t="shared" ca="1" si="3525"/>
        <v>#REF!</v>
      </c>
      <c r="BB233" s="686" t="str">
        <f ca="1">IFERROR(VLOOKUP(BA233,INDIRECT(AQ230),2,FALSE),"----")</f>
        <v>----</v>
      </c>
      <c r="BC233" s="685" t="e">
        <f t="shared" ca="1" si="2635"/>
        <v>#REF!</v>
      </c>
      <c r="BD233" s="686" t="str">
        <f ca="1">IFERROR(VLOOKUP(BC233,INDIRECT(AQ231),2,FALSE),"----")</f>
        <v>----</v>
      </c>
      <c r="BE233" s="685" t="e">
        <f t="shared" ca="1" si="2636"/>
        <v>#REF!</v>
      </c>
      <c r="BF233" s="686" t="str">
        <f ca="1">IFERROR(VLOOKUP(BE233,INDIRECT(AQ232),2,FALSE),"----")</f>
        <v>----</v>
      </c>
      <c r="BG233" s="702" t="e">
        <f t="shared" ca="1" si="2637"/>
        <v>#REF!</v>
      </c>
      <c r="BH233" s="686" t="str">
        <f ca="1">IFERROR(VLOOKUP(BG233,INDIRECT(AQ233),2,FALSE),"----")</f>
        <v>----</v>
      </c>
      <c r="BI233" s="702" t="e">
        <f t="shared" ca="1" si="2638"/>
        <v>#REF!</v>
      </c>
      <c r="BJ233" s="686" t="str">
        <f ca="1">IFERROR(VLOOKUP(BI233,INDIRECT(AQ234),2,FALSE),"----")</f>
        <v>----</v>
      </c>
      <c r="BK233" s="702" t="e">
        <f t="shared" ca="1" si="2639"/>
        <v>#REF!</v>
      </c>
      <c r="BL233" s="686" t="str">
        <f ca="1">IFERROR(VLOOKUP(BK233,INDIRECT(AQ235),2,FALSE),"----")</f>
        <v>----</v>
      </c>
      <c r="BM233" s="702" t="e">
        <f t="shared" ca="1" si="2640"/>
        <v>#REF!</v>
      </c>
      <c r="BN233" s="686" t="str">
        <f ca="1">IFERROR(VLOOKUP(BM233,INDIRECT(AQ236),2,FALSE),"----")</f>
        <v>----</v>
      </c>
      <c r="BO233" s="702" t="e">
        <f t="shared" ca="1" si="2641"/>
        <v>#REF!</v>
      </c>
      <c r="BP233" s="686" t="str">
        <f ca="1">IFERROR(VLOOKUP(BO233,INDIRECT(AQ237),2,FALSE),"----")</f>
        <v>----</v>
      </c>
      <c r="BQ233" s="702" t="e">
        <f t="shared" ca="1" si="2642"/>
        <v>#REF!</v>
      </c>
      <c r="BR233" s="686" t="str">
        <f ca="1">IFERROR(VLOOKUP(BQ233,INDIRECT(AQ238),2,FALSE),"----")</f>
        <v>----</v>
      </c>
      <c r="BS233" s="695">
        <f>IF(AI233="",1,IF(COUNTIF(BH227:BH238,AI233)=0,2,1))</f>
        <v>1</v>
      </c>
      <c r="BT233" s="696">
        <f>IF(AP233="1",1,IF(AF233="",1,IF(BH227=".",2,1)))</f>
        <v>1</v>
      </c>
      <c r="BU233" s="706"/>
      <c r="BV233" s="155">
        <f ca="1">IF(COUNTIF(DI227:DI238,AF233)=0,IF(AF233&lt;&gt;"",0,1),1)</f>
        <v>1</v>
      </c>
      <c r="BW233" s="157">
        <f ca="1">IFERROR(MATCH(AF233,DI227:DI238,0),1)</f>
        <v>1</v>
      </c>
      <c r="BX233" s="769" t="s">
        <v>1593</v>
      </c>
      <c r="BY233" s="769" t="s">
        <v>1629</v>
      </c>
      <c r="BZ233" s="1110"/>
      <c r="CA233" s="691" t="e">
        <f t="shared" ca="1" si="3681"/>
        <v>#REF!</v>
      </c>
      <c r="CB233" s="4" t="e" cm="1">
        <f t="array" aca="1" ref="CB233" ca="1">IF(AND(INDEX(INDIRECT(BY227),CA233,4)&gt;=$AB227,INDEX(INDIRECT(BY227),CA233,5)&gt;=$S227,INDEX(INDIRECT(BY227),CA233,6)&gt;=$R227),1,0)</f>
        <v>#REF!</v>
      </c>
      <c r="CC233" s="4" t="e">
        <f t="shared" ref="CC233" ca="1" si="3786">MATCH(1,OFFSET(CB227:CB238,CD232,0,COUNT(CB227:CB238)-CD232),0)</f>
        <v>#REF!</v>
      </c>
      <c r="CD233" s="4" t="e">
        <f t="shared" ca="1" si="3683"/>
        <v>#REF!</v>
      </c>
      <c r="CE233" s="692" t="str" cm="1">
        <f t="array" aca="1" ref="CE233" ca="1">IFERROR(VLOOKUP(INDEX(CA227:CA238,CD233),INDIRECT(BY227),2,FALSE),"----")</f>
        <v>----</v>
      </c>
      <c r="CF233" s="691" t="e">
        <f t="shared" ca="1" si="3684"/>
        <v>#N/A</v>
      </c>
      <c r="CG233" s="4" t="e">
        <f ca="1">IF(AND(INDEX(SSM,CF233,4)&gt;=$AB227,INDEX(SSM,CF233,5)&gt;=$S227,INDEX(SSM,CF233,6)&gt;=$R227),1,0)</f>
        <v>#N/A</v>
      </c>
      <c r="CH233" s="4" t="e">
        <f t="shared" ref="CH233" ca="1" si="3787">MATCH(1,OFFSET(CG227:CG238,CI232,0,COUNT(CG227:CG238)-CI232),0)</f>
        <v>#REF!</v>
      </c>
      <c r="CI233" s="4" t="e">
        <f t="shared" ca="1" si="3686"/>
        <v>#REF!</v>
      </c>
      <c r="CJ233" s="692" t="str">
        <f ca="1">IFERROR(IF(AD228="Nested Steel Stud (wood infill)",VLOOKUP(INDEX(CF227:CF238,CI233),SSW,2,FALSE),VLOOKUP(INDEX(CF227:CF238,CI233),SSM,2,FALSE)),"----")</f>
        <v>----</v>
      </c>
      <c r="CK233" s="691" t="e">
        <f t="shared" ca="1" si="3687"/>
        <v>#N/A</v>
      </c>
      <c r="CL233" s="4" t="e">
        <f ca="1">IF(AND(INDEX(WSM,CK233,4)&gt;=$AB227,INDEX(WSM,CK233,5)&gt;=$S227,INDEX(WSM,CK233,6)&gt;=$R227),1,0)</f>
        <v>#N/A</v>
      </c>
      <c r="CM233" s="4" t="e">
        <f t="shared" ref="CM233" ca="1" si="3788">MATCH(1,OFFSET(CL227:CL238,CN232,0,COUNT(CL227:CL238)-CN232),0)</f>
        <v>#REF!</v>
      </c>
      <c r="CN233" s="4" t="e">
        <f t="shared" ca="1" si="3689"/>
        <v>#REF!</v>
      </c>
      <c r="CO233" s="692" t="str">
        <f ca="1">IFERROR(VLOOKUP(INDEX(CK227:CK238,CN233),WSM,2,FALSE),"----")</f>
        <v>----</v>
      </c>
      <c r="CP233" s="691" t="e">
        <f t="shared" ca="1" si="3690"/>
        <v>#N/A</v>
      </c>
      <c r="CQ233" s="4" t="e">
        <f ca="1">IF(AND(INDEX(STM,CP233,4)&gt;=$AB227,INDEX(STM,CP233,5)&gt;=$S227,INDEX(STM,CP233,6)&gt;=$R227),1,0)</f>
        <v>#N/A</v>
      </c>
      <c r="CR233" s="4" t="e">
        <f t="shared" ref="CR233" ca="1" si="3789">MATCH(1,OFFSET(CQ227:CQ238,CS232,0,COUNT(CQ227:CQ238)-CS232),0)</f>
        <v>#REF!</v>
      </c>
      <c r="CS233" s="4" t="e">
        <f t="shared" ca="1" si="3692"/>
        <v>#REF!</v>
      </c>
      <c r="CT233" s="692" t="str">
        <f ca="1">IFERROR(VLOOKUP(INDEX(CP227:CP238,CS233),STM,2,FALSE),"----")</f>
        <v>----</v>
      </c>
      <c r="CU233" s="691" t="e">
        <f t="shared" ca="1" si="3693"/>
        <v>#N/A</v>
      </c>
      <c r="CV233" s="4" t="e">
        <f ca="1">IF(AND(INDEX(ELM,CU233,4)&gt;=$AB227,INDEX(ELM,CU233,5)&gt;=$S227,INDEX(ELM,CU233,6)&gt;=$R227),1,0)</f>
        <v>#N/A</v>
      </c>
      <c r="CW233" s="4" t="e">
        <f t="shared" ref="CW233" ca="1" si="3790">MATCH(1,OFFSET(CV227:CV238,CX232,0,COUNT(CV227:CV238)-CX232),0)</f>
        <v>#REF!</v>
      </c>
      <c r="CX233" s="4" t="e">
        <f t="shared" ca="1" si="3695"/>
        <v>#REF!</v>
      </c>
      <c r="CY233" s="692" t="str">
        <f ca="1">IFERROR(VLOOKUP(INDEX(CU227:CU238,CX233),ELM,2,FALSE),"----")</f>
        <v>----</v>
      </c>
      <c r="CZ233" s="691" t="e">
        <f t="shared" ca="1" si="3696"/>
        <v>#N/A</v>
      </c>
      <c r="DA233" s="4" t="e">
        <f ca="1">IF(LEFT($J227,7)="Clad Wo",IF(AND(INDEX(SPPWS,CZ233,4)&gt;=$AB227,INDEX(SPPWS,CZ233,5)&gt;=$S227,INDEX(SPPWS,CZ233,6)&gt;=$R227),1,0),IF(AND(INDEX(SPM,CZ233,4)&gt;=$AB227,INDEX(SPM,CZ233,5)&gt;=$S227,INDEX(SPM,CZ233,6)&gt;=$R227),1,0))</f>
        <v>#N/A</v>
      </c>
      <c r="DB233" s="4" t="e">
        <f t="shared" ref="DB233" ca="1" si="3791">MATCH(1,OFFSET(DA227:DA238,DC232,0,COUNT(DA227:DA238)-DC232),0)</f>
        <v>#REF!</v>
      </c>
      <c r="DC233" s="4" t="e">
        <f t="shared" ca="1" si="3698"/>
        <v>#REF!</v>
      </c>
      <c r="DD233" s="693" t="str">
        <f ca="1">IF(LEFT($J227,7)="Clad Wo",IFERROR(VLOOKUP(INDEX(CZ227:CZ238,DC233),SPPWS,2,FALSE),"----"),IFERROR(VLOOKUP(INDEX(CZ227:CZ238,DC233),SPM,2,FALSE),"----"))</f>
        <v>----</v>
      </c>
      <c r="DE233" s="691" t="e">
        <f t="shared" ca="1" si="3699"/>
        <v>#REF!</v>
      </c>
      <c r="DF233" s="4" t="e" cm="1">
        <f t="array" aca="1" ref="DF233" ca="1">IF(AND(INDEX(INDIRECT(BY227),DE233,4)&gt;=$AB233,INDEX(INDIRECT(BY227),DE233,5)&gt;=$S227,INDEX(INDIRECT(BY227),DE233,6)&gt;=$R227),1,0)</f>
        <v>#REF!</v>
      </c>
      <c r="DG233" s="4" t="e">
        <f t="shared" ref="DG233" ca="1" si="3792">MATCH(1,OFFSET(DF227:DF238,DH232,0,COUNT(DF227:DF238)-DH232),0)</f>
        <v>#REF!</v>
      </c>
      <c r="DH233" s="4" t="e">
        <f t="shared" ca="1" si="3701"/>
        <v>#REF!</v>
      </c>
      <c r="DI233" s="692" t="str" cm="1">
        <f t="array" aca="1" ref="DI233" ca="1">IFERROR(VLOOKUP(INDEX(DE227:DE238,DH233),INDIRECT(BY227),2,FALSE),"----")</f>
        <v>----</v>
      </c>
      <c r="DJ233" s="691" t="e">
        <f t="shared" ca="1" si="3702"/>
        <v>#N/A</v>
      </c>
      <c r="DK233" s="4" t="e">
        <f ca="1">IF(AND(INDEX(SSM,DJ233,4)&gt;=$AB233,INDEX(SSM,DJ233,5)&gt;=$S227,INDEX(SSM,DJ233,6)&gt;=$R227),1,0)</f>
        <v>#N/A</v>
      </c>
      <c r="DL233" s="4" t="e">
        <f t="shared" ref="DL233" ca="1" si="3793">MATCH(1,OFFSET(DK227:DK238,DM232,0,COUNT(DK227:DK238)-DM232),0)</f>
        <v>#REF!</v>
      </c>
      <c r="DM233" s="4" t="e">
        <f t="shared" ca="1" si="3704"/>
        <v>#REF!</v>
      </c>
      <c r="DN233" s="692" t="str">
        <f ca="1">IFERROR(IF(AD234="Nested Steel Stud (wood infill)",VLOOKUP(INDEX(DJ227:DJ238,DM233),SSW,2,FALSE),VLOOKUP(INDEX(DJ227:DJ238,DM233),SSM,2,FALSE)),"----")</f>
        <v>----</v>
      </c>
      <c r="DO233" s="691" t="e">
        <f t="shared" ca="1" si="3705"/>
        <v>#N/A</v>
      </c>
      <c r="DP233" s="4" t="e">
        <f ca="1">IF(AND(INDEX(WSM,DO233,4)&gt;=$AB233,INDEX(WSM,DO233,5)&gt;=$S227,INDEX(WSM,DO233,6)&gt;=$R227),1,0)</f>
        <v>#N/A</v>
      </c>
      <c r="DQ233" s="4" t="e">
        <f t="shared" ref="DQ233" ca="1" si="3794">MATCH(1,OFFSET(DP227:DP238,DR232,0,COUNT(DP227:DP238)-DR232),0)</f>
        <v>#REF!</v>
      </c>
      <c r="DR233" s="4" t="e">
        <f t="shared" ca="1" si="3707"/>
        <v>#REF!</v>
      </c>
      <c r="DS233" s="692" t="str">
        <f ca="1">IFERROR(VLOOKUP(INDEX(DO227:DO238,DR233),WSM,2,FALSE),"----")</f>
        <v>----</v>
      </c>
      <c r="DT233" s="691" t="e">
        <f t="shared" ca="1" si="3708"/>
        <v>#N/A</v>
      </c>
      <c r="DU233" s="4" t="e">
        <f ca="1">IF(AND(INDEX(STM,DT233,4)&gt;=$AB233,INDEX(STM,DT233,5)&gt;=$S227,INDEX(STM,DT233,6)&gt;=$R227),1,0)</f>
        <v>#N/A</v>
      </c>
      <c r="DV233" s="4" t="e">
        <f t="shared" ref="DV233" ca="1" si="3795">MATCH(1,OFFSET(DU227:DU238,DW232,0,COUNT(DU227:DU238)-DW232),0)</f>
        <v>#REF!</v>
      </c>
      <c r="DW233" s="4" t="e">
        <f t="shared" ca="1" si="3710"/>
        <v>#REF!</v>
      </c>
      <c r="DX233" s="692" t="str">
        <f ca="1">IFERROR(VLOOKUP(INDEX(DT227:DT238,DW233),STM,2,FALSE),"----")</f>
        <v>----</v>
      </c>
      <c r="DY233" s="691" t="e">
        <f t="shared" ca="1" si="3711"/>
        <v>#N/A</v>
      </c>
      <c r="DZ233" s="4" t="e">
        <f ca="1">IF(AND(INDEX(ELM,DY233,4)&gt;=$AB233,INDEX(ELM,DY233,5)&gt;=$S227,INDEX(ELM,DY233,6)&gt;=$R227),1,0)</f>
        <v>#N/A</v>
      </c>
      <c r="EA233" s="4" t="e">
        <f t="shared" ref="EA233" ca="1" si="3796">MATCH(1,OFFSET(DZ227:DZ238,EB232,0,COUNT(DZ227:DZ238)-EB232),0)</f>
        <v>#REF!</v>
      </c>
      <c r="EB233" s="4" t="e">
        <f t="shared" ca="1" si="3713"/>
        <v>#REF!</v>
      </c>
      <c r="EC233" s="692" t="str">
        <f ca="1">IFERROR(VLOOKUP(INDEX(DY227:DY238,EB233),ELM,2,FALSE),"----")</f>
        <v>----</v>
      </c>
      <c r="ED233" s="691" t="e">
        <f t="shared" ca="1" si="3714"/>
        <v>#N/A</v>
      </c>
      <c r="EE233" s="4" t="e">
        <f ca="1">IF(LEFT($J227,7)="Clad Wo",IF(AND(INDEX(SPPWS,ED233,4)&gt;=$AB233,INDEX(SPPWS,ED233,5)&gt;=$S227,INDEX(SPPWS,ED233,6)&gt;=$R227),1,0),IF(AND(INDEX(SPM,ED233,4)&gt;=$AB233,INDEX(SPM,ED233,5)&gt;=$S227,INDEX(SPM,ED233,6)&gt;=$R227),1,0))</f>
        <v>#N/A</v>
      </c>
      <c r="EF233" s="4" t="e">
        <f t="shared" ref="EF233" ca="1" si="3797">MATCH(1,OFFSET(EE227:EE238,EG232,0,COUNT(EE227:EE238)-EG232),0)</f>
        <v>#REF!</v>
      </c>
      <c r="EG233" s="4" t="e">
        <f t="shared" ca="1" si="3716"/>
        <v>#REF!</v>
      </c>
      <c r="EH233" s="692" t="str">
        <f ca="1">IF(LEFT($J227,7)="Clad Wo",IFERROR(VLOOKUP(INDEX(ED227:ED238,EG233),SPPWS,2,FALSE),"----"),IFERROR(VLOOKUP(INDEX(ED227:ED238,EG233),SPM,2,FALSE),"----"))</f>
        <v>----</v>
      </c>
    </row>
    <row r="234" spans="1:138" ht="15" customHeight="1" x14ac:dyDescent="0.25">
      <c r="A234" s="1085"/>
      <c r="B234" s="925"/>
      <c r="C234" s="926"/>
      <c r="D234" s="927"/>
      <c r="E234" s="995"/>
      <c r="F234" s="996"/>
      <c r="G234" s="997"/>
      <c r="H234" s="1062"/>
      <c r="I234" s="990"/>
      <c r="J234" s="912"/>
      <c r="K234" s="913"/>
      <c r="L234" s="1002"/>
      <c r="M234" s="923"/>
      <c r="N234" s="1042"/>
      <c r="O234" s="1018"/>
      <c r="P234" s="987"/>
      <c r="Q234" s="1015"/>
      <c r="R234" s="1012"/>
      <c r="S234" s="1006"/>
      <c r="T234" s="1007"/>
      <c r="U234" s="878"/>
      <c r="V234" s="881"/>
      <c r="W234" s="884"/>
      <c r="X234" s="884"/>
      <c r="Y234" s="887"/>
      <c r="Z234" s="887"/>
      <c r="AA234" s="887"/>
      <c r="AB234" s="1081"/>
      <c r="AC234" s="1078"/>
      <c r="AD234" s="1070" t="str">
        <f t="shared" ref="AD234" si="3798">IF(ISBLANK(AD228)=TRUE,"",AD228)</f>
        <v>Nested Steel Stud</v>
      </c>
      <c r="AE234" s="1071"/>
      <c r="AF234" s="1052"/>
      <c r="AG234" s="1053"/>
      <c r="AH234" s="1053"/>
      <c r="AI234" s="1066"/>
      <c r="AJ234" s="1067"/>
      <c r="AK234" s="156" t="str">
        <f t="shared" ca="1" si="3667"/>
        <v/>
      </c>
      <c r="AL234" s="1059"/>
      <c r="AM234" s="343" t="str">
        <f ca="1">IFERROR(Q227/12*ROUND(VLOOKUP(AF234,OFFSET(SSM,0,1),6,FALSE),2),"")</f>
        <v/>
      </c>
      <c r="AN234" t="str">
        <f t="shared" ca="1" si="3717"/>
        <v/>
      </c>
      <c r="AP234" s="122" t="str">
        <f t="shared" ref="AP234" si="3799">_xlfn.CONCAT(AR234,AS238)</f>
        <v/>
      </c>
      <c r="AQ234" s="683" t="str">
        <f t="shared" si="2617"/>
        <v/>
      </c>
      <c r="AR234" s="96" t="str">
        <f t="shared" si="3642"/>
        <v/>
      </c>
      <c r="AS234" s="96" t="str">
        <f>IF(COUNTIF(Vista_1,AF233)=1,"Vista_1",IF(COUNTIF(Vista_2,AF233)=1,"Vista_2",""))</f>
        <v/>
      </c>
      <c r="AT234" s="684" t="str">
        <f>AL233</f>
        <v/>
      </c>
      <c r="AU234" s="694" t="e">
        <f t="shared" ca="1" si="2633"/>
        <v>#REF!</v>
      </c>
      <c r="AV234" s="686" t="str">
        <f ca="1">IFERROR(VLOOKUP(AU234,INDIRECT(AQ227),2,FALSE),"----")</f>
        <v>----</v>
      </c>
      <c r="AW234" s="694" t="e">
        <f t="shared" ca="1" si="2634"/>
        <v>#REF!</v>
      </c>
      <c r="AX234" s="686" t="str">
        <f ca="1">IFERROR(VLOOKUP(AW234,INDIRECT(AQ228),2,FALSE),"----")</f>
        <v>----</v>
      </c>
      <c r="AY234" s="694" t="e">
        <f t="shared" ca="1" si="3524"/>
        <v>#REF!</v>
      </c>
      <c r="AZ234" s="686" t="str">
        <f ca="1">IFERROR(VLOOKUP(AY234,INDIRECT(AQ229),2,FALSE),"----")</f>
        <v>----</v>
      </c>
      <c r="BA234" s="694" t="e">
        <f t="shared" ca="1" si="3525"/>
        <v>#REF!</v>
      </c>
      <c r="BB234" s="686" t="str">
        <f ca="1">IFERROR(VLOOKUP(BA234,INDIRECT(AQ230),2,FALSE),"----")</f>
        <v>----</v>
      </c>
      <c r="BC234" s="694" t="e">
        <f t="shared" ca="1" si="2635"/>
        <v>#REF!</v>
      </c>
      <c r="BD234" s="686" t="str">
        <f ca="1">IFERROR(VLOOKUP(BC234,INDIRECT(AQ231),2,FALSE),"----")</f>
        <v>----</v>
      </c>
      <c r="BE234" s="694" t="e">
        <f t="shared" ca="1" si="2636"/>
        <v>#REF!</v>
      </c>
      <c r="BF234" s="686" t="str">
        <f ca="1">IFERROR(VLOOKUP(BE234,INDIRECT(AQ232),2,FALSE),"----")</f>
        <v>----</v>
      </c>
      <c r="BG234" s="702" t="e">
        <f t="shared" ca="1" si="2637"/>
        <v>#REF!</v>
      </c>
      <c r="BH234" s="686" t="str">
        <f ca="1">IFERROR(VLOOKUP(BG234,INDIRECT(AQ233),2,FALSE),"----")</f>
        <v>----</v>
      </c>
      <c r="BI234" s="702" t="e">
        <f t="shared" ca="1" si="2638"/>
        <v>#REF!</v>
      </c>
      <c r="BJ234" s="686" t="str">
        <f ca="1">IFERROR(VLOOKUP(BI234,INDIRECT(AQ234),2,FALSE),"----")</f>
        <v>----</v>
      </c>
      <c r="BK234" s="702" t="e">
        <f t="shared" ca="1" si="2639"/>
        <v>#REF!</v>
      </c>
      <c r="BL234" s="686" t="str">
        <f ca="1">IFERROR(VLOOKUP(BK234,INDIRECT(AQ235),2,FALSE),"----")</f>
        <v>----</v>
      </c>
      <c r="BM234" s="702" t="e">
        <f t="shared" ca="1" si="2640"/>
        <v>#REF!</v>
      </c>
      <c r="BN234" s="686" t="str">
        <f ca="1">IFERROR(VLOOKUP(BM234,INDIRECT(AQ236),2,FALSE),"----")</f>
        <v>----</v>
      </c>
      <c r="BO234" s="702" t="e">
        <f t="shared" ca="1" si="2641"/>
        <v>#REF!</v>
      </c>
      <c r="BP234" s="686" t="str">
        <f ca="1">IFERROR(VLOOKUP(BO234,INDIRECT(AQ237),2,FALSE),"----")</f>
        <v>----</v>
      </c>
      <c r="BQ234" s="702" t="e">
        <f t="shared" ca="1" si="2642"/>
        <v>#REF!</v>
      </c>
      <c r="BR234" s="686" t="str">
        <f ca="1">IFERROR(VLOOKUP(BQ234,INDIRECT(AQ238),2,FALSE),"----")</f>
        <v>----</v>
      </c>
      <c r="BS234" s="695">
        <f>IF(AI234="",1,IF(COUNTIF(BJ227:BJ238,AI234)=0,2,1))</f>
        <v>1</v>
      </c>
      <c r="BT234" s="696">
        <f>IF(AF234="",1,IF(BJ227=".",2,1))</f>
        <v>1</v>
      </c>
      <c r="BU234" s="706"/>
      <c r="BV234" s="155">
        <f ca="1">IF(COUNTIF(DN227:DN238,AF234)=0,IF(AF234&lt;&gt;"",0,1),1)</f>
        <v>1</v>
      </c>
      <c r="BW234" s="157">
        <f ca="1">IFERROR(MATCH(AF234,DN227:DN238,0),1)</f>
        <v>1</v>
      </c>
      <c r="BX234" s="769">
        <f t="shared" ref="BX234" si="3800">E227*(H227+I227)/144/2</f>
        <v>0</v>
      </c>
      <c r="BY234" s="769">
        <f>SUM(IF(H227&gt;E227,E227^2/4,(H227*E227/2)-(H227^2/4))/144,IF(I227&gt;E227,E227^2/4,(I227*E227/2)-(I227^2/4))/144)</f>
        <v>0</v>
      </c>
      <c r="BZ234" s="1110"/>
      <c r="CA234" s="691" t="e">
        <f t="shared" ca="1" si="3681"/>
        <v>#REF!</v>
      </c>
      <c r="CB234" s="4" t="e" cm="1">
        <f t="array" aca="1" ref="CB234" ca="1">IF(AND(INDEX(INDIRECT(BY227),CA234,4)&gt;=$AB227,INDEX(INDIRECT(BY227),CA234,5)&gt;=$S227,INDEX(INDIRECT(BY227),CA234,6)&gt;=$R227),1,0)</f>
        <v>#REF!</v>
      </c>
      <c r="CC234" s="4" t="e">
        <f t="shared" ref="CC234" ca="1" si="3801">MATCH(1,OFFSET(CB227:CB238,CD233,0,COUNT(CB227:CB238)-CD233),0)</f>
        <v>#REF!</v>
      </c>
      <c r="CD234" s="4" t="e">
        <f t="shared" ca="1" si="3683"/>
        <v>#REF!</v>
      </c>
      <c r="CE234" s="692" t="str" cm="1">
        <f t="array" aca="1" ref="CE234" ca="1">IFERROR(VLOOKUP(INDEX(CA227:CA238,CD234),INDIRECT(BY227),2,FALSE),"----")</f>
        <v>----</v>
      </c>
      <c r="CF234" s="691" t="e">
        <f t="shared" ca="1" si="3684"/>
        <v>#N/A</v>
      </c>
      <c r="CG234" s="4" t="e">
        <f ca="1">IF(AND(INDEX(SSM,CF234,4)&gt;=$AB227,INDEX(SSM,CF234,5)&gt;=$S227,INDEX(SSM,CF234,6)&gt;=$R227),1,0)</f>
        <v>#N/A</v>
      </c>
      <c r="CH234" s="4" t="e">
        <f t="shared" ref="CH234" ca="1" si="3802">MATCH(1,OFFSET(CG227:CG238,CI233,0,COUNT(CG227:CG238)-CI233),0)</f>
        <v>#REF!</v>
      </c>
      <c r="CI234" s="4" t="e">
        <f t="shared" ca="1" si="3686"/>
        <v>#REF!</v>
      </c>
      <c r="CJ234" s="692" t="str">
        <f ca="1">IFERROR(IF(AD228="Nested Steel Stud (wood infill)",VLOOKUP(INDEX(CF227:CF238,CI234),SSW,2,FALSE),VLOOKUP(INDEX(CF227:CF238,CI234),SSM,2,FALSE)),"----")</f>
        <v>----</v>
      </c>
      <c r="CK234" s="691" t="e">
        <f t="shared" ca="1" si="3687"/>
        <v>#N/A</v>
      </c>
      <c r="CL234" s="4" t="e">
        <f ca="1">IF(AND(INDEX(WSM,CK234,4)&gt;=$AB227,INDEX(WSM,CK234,5)&gt;=$S227,INDEX(WSM,CK234,6)&gt;=$R227),1,0)</f>
        <v>#N/A</v>
      </c>
      <c r="CM234" s="4" t="e">
        <f t="shared" ref="CM234" ca="1" si="3803">MATCH(1,OFFSET(CL227:CL238,CN233,0,COUNT(CL227:CL238)-CN233),0)</f>
        <v>#REF!</v>
      </c>
      <c r="CN234" s="4" t="e">
        <f t="shared" ca="1" si="3689"/>
        <v>#REF!</v>
      </c>
      <c r="CO234" s="692" t="str">
        <f ca="1">IFERROR(VLOOKUP(INDEX(CK227:CK238,CN234),WSM,2,FALSE),"----")</f>
        <v>----</v>
      </c>
      <c r="CP234" s="691" t="e">
        <f t="shared" ca="1" si="3690"/>
        <v>#N/A</v>
      </c>
      <c r="CQ234" s="4" t="e">
        <f ca="1">IF(AND(INDEX(STM,CP234,4)&gt;=$AB227,INDEX(STM,CP234,5)&gt;=$S227,INDEX(STM,CP234,6)&gt;=$R227),1,0)</f>
        <v>#N/A</v>
      </c>
      <c r="CR234" s="4" t="e">
        <f t="shared" ref="CR234" ca="1" si="3804">MATCH(1,OFFSET(CQ227:CQ238,CS233,0,COUNT(CQ227:CQ238)-CS233),0)</f>
        <v>#REF!</v>
      </c>
      <c r="CS234" s="4" t="e">
        <f t="shared" ca="1" si="3692"/>
        <v>#REF!</v>
      </c>
      <c r="CT234" s="692" t="str">
        <f ca="1">IFERROR(VLOOKUP(INDEX(CP227:CP238,CS234),STM,2,FALSE),"----")</f>
        <v>----</v>
      </c>
      <c r="CU234" s="691" t="e">
        <f t="shared" ca="1" si="3693"/>
        <v>#N/A</v>
      </c>
      <c r="CV234" s="4" t="e">
        <f ca="1">IF(AND(INDEX(ELM,CU234,4)&gt;=$AB227,INDEX(ELM,CU234,5)&gt;=$S227,INDEX(ELM,CU234,6)&gt;=$R227),1,0)</f>
        <v>#N/A</v>
      </c>
      <c r="CW234" s="4" t="e">
        <f t="shared" ref="CW234" ca="1" si="3805">MATCH(1,OFFSET(CV227:CV238,CX233,0,COUNT(CV227:CV238)-CX233),0)</f>
        <v>#REF!</v>
      </c>
      <c r="CX234" s="4" t="e">
        <f t="shared" ca="1" si="3695"/>
        <v>#REF!</v>
      </c>
      <c r="CY234" s="692" t="str">
        <f ca="1">IFERROR(VLOOKUP(INDEX(CU227:CU238,CX234),ELM,2,FALSE),"----")</f>
        <v>----</v>
      </c>
      <c r="CZ234" s="691" t="e">
        <f t="shared" ca="1" si="3696"/>
        <v>#N/A</v>
      </c>
      <c r="DA234" s="4" t="e">
        <f ca="1">IF(LEFT($J227,7)="Clad Wo",IF(AND(INDEX(SPPWS,CZ234,4)&gt;=$AB227,INDEX(SPPWS,CZ234,5)&gt;=$S227,INDEX(SPPWS,CZ234,6)&gt;=$R227),1,0),IF(AND(INDEX(SPM,CZ234,4)&gt;=$AB227,INDEX(SPM,CZ234,5)&gt;=$S227,INDEX(SPM,CZ234,6)&gt;=$R227),1,0))</f>
        <v>#N/A</v>
      </c>
      <c r="DB234" s="4" t="e">
        <f t="shared" ref="DB234" ca="1" si="3806">MATCH(1,OFFSET(DA227:DA238,DC233,0,COUNT(DA227:DA238)-DC233),0)</f>
        <v>#REF!</v>
      </c>
      <c r="DC234" s="4" t="e">
        <f t="shared" ca="1" si="3698"/>
        <v>#REF!</v>
      </c>
      <c r="DD234" s="693" t="str">
        <f ca="1">IF(LEFT($J227,7)="Clad Wo",IFERROR(VLOOKUP(INDEX(CZ227:CZ238,DC234),SPPWS,2,FALSE),"----"),IFERROR(VLOOKUP(INDEX(CZ227:CZ238,DC234),SPM,2,FALSE),"----"))</f>
        <v>----</v>
      </c>
      <c r="DE234" s="691" t="e">
        <f t="shared" ca="1" si="3699"/>
        <v>#REF!</v>
      </c>
      <c r="DF234" s="4" t="e" cm="1">
        <f t="array" aca="1" ref="DF234" ca="1">IF(AND(INDEX(INDIRECT(BY227),DE234,4)&gt;=$AB233,INDEX(INDIRECT(BY227),DE234,5)&gt;=$S227,INDEX(INDIRECT(BY227),DE234,6)&gt;=$R227),1,0)</f>
        <v>#REF!</v>
      </c>
      <c r="DG234" s="4" t="e">
        <f t="shared" ref="DG234" ca="1" si="3807">MATCH(1,OFFSET(DF227:DF238,DH233,0,COUNT(DF227:DF238)-DH233),0)</f>
        <v>#REF!</v>
      </c>
      <c r="DH234" s="4" t="e">
        <f t="shared" ca="1" si="3701"/>
        <v>#REF!</v>
      </c>
      <c r="DI234" s="692" t="str" cm="1">
        <f t="array" aca="1" ref="DI234" ca="1">IFERROR(VLOOKUP(INDEX(DE227:DE238,DH234),INDIRECT(BY227),2,FALSE),"----")</f>
        <v>----</v>
      </c>
      <c r="DJ234" s="691" t="e">
        <f t="shared" ca="1" si="3702"/>
        <v>#N/A</v>
      </c>
      <c r="DK234" s="4" t="e">
        <f ca="1">IF(AND(INDEX(SSM,DJ234,4)&gt;=$AB233,INDEX(SSM,DJ234,5)&gt;=$S227,INDEX(SSM,DJ234,6)&gt;=$R227),1,0)</f>
        <v>#N/A</v>
      </c>
      <c r="DL234" s="4" t="e">
        <f t="shared" ref="DL234" ca="1" si="3808">MATCH(1,OFFSET(DK227:DK238,DM233,0,COUNT(DK227:DK238)-DM233),0)</f>
        <v>#REF!</v>
      </c>
      <c r="DM234" s="4" t="e">
        <f t="shared" ca="1" si="3704"/>
        <v>#REF!</v>
      </c>
      <c r="DN234" s="692" t="str">
        <f ca="1">IFERROR(IF(AD234="Nested Steel Stud (wood infill)",VLOOKUP(INDEX(DJ227:DJ238,DM234),SSW,2,FALSE),VLOOKUP(INDEX(DJ227:DJ238,DM234),SSM,2,FALSE)),"----")</f>
        <v>----</v>
      </c>
      <c r="DO234" s="691" t="e">
        <f t="shared" ca="1" si="3705"/>
        <v>#N/A</v>
      </c>
      <c r="DP234" s="4" t="e">
        <f ca="1">IF(AND(INDEX(WSM,DO234,4)&gt;=$AB233,INDEX(WSM,DO234,5)&gt;=$S227,INDEX(WSM,DO234,6)&gt;=$R227),1,0)</f>
        <v>#N/A</v>
      </c>
      <c r="DQ234" s="4" t="e">
        <f t="shared" ref="DQ234" ca="1" si="3809">MATCH(1,OFFSET(DP227:DP238,DR233,0,COUNT(DP227:DP238)-DR233),0)</f>
        <v>#REF!</v>
      </c>
      <c r="DR234" s="4" t="e">
        <f t="shared" ca="1" si="3707"/>
        <v>#REF!</v>
      </c>
      <c r="DS234" s="692" t="str">
        <f ca="1">IFERROR(VLOOKUP(INDEX(DO227:DO238,DR234),WSM,2,FALSE),"----")</f>
        <v>----</v>
      </c>
      <c r="DT234" s="691" t="e">
        <f t="shared" ca="1" si="3708"/>
        <v>#N/A</v>
      </c>
      <c r="DU234" s="4" t="e">
        <f ca="1">IF(AND(INDEX(STM,DT234,4)&gt;=$AB233,INDEX(STM,DT234,5)&gt;=$S227,INDEX(STM,DT234,6)&gt;=$R227),1,0)</f>
        <v>#N/A</v>
      </c>
      <c r="DV234" s="4" t="e">
        <f t="shared" ref="DV234" ca="1" si="3810">MATCH(1,OFFSET(DU227:DU238,DW233,0,COUNT(DU227:DU238)-DW233),0)</f>
        <v>#REF!</v>
      </c>
      <c r="DW234" s="4" t="e">
        <f t="shared" ca="1" si="3710"/>
        <v>#REF!</v>
      </c>
      <c r="DX234" s="692" t="str">
        <f ca="1">IFERROR(VLOOKUP(INDEX(DT227:DT238,DW234),STM,2,FALSE),"----")</f>
        <v>----</v>
      </c>
      <c r="DY234" s="691" t="e">
        <f t="shared" ca="1" si="3711"/>
        <v>#N/A</v>
      </c>
      <c r="DZ234" s="4" t="e">
        <f ca="1">IF(AND(INDEX(ELM,DY234,4)&gt;=$AB233,INDEX(ELM,DY234,5)&gt;=$S227,INDEX(ELM,DY234,6)&gt;=$R227),1,0)</f>
        <v>#N/A</v>
      </c>
      <c r="EA234" s="4" t="e">
        <f t="shared" ref="EA234" ca="1" si="3811">MATCH(1,OFFSET(DZ227:DZ238,EB233,0,COUNT(DZ227:DZ238)-EB233),0)</f>
        <v>#REF!</v>
      </c>
      <c r="EB234" s="4" t="e">
        <f t="shared" ca="1" si="3713"/>
        <v>#REF!</v>
      </c>
      <c r="EC234" s="692" t="str">
        <f ca="1">IFERROR(VLOOKUP(INDEX(DY227:DY238,EB234),ELM,2,FALSE),"----")</f>
        <v>----</v>
      </c>
      <c r="ED234" s="691" t="e">
        <f t="shared" ca="1" si="3714"/>
        <v>#N/A</v>
      </c>
      <c r="EE234" s="4" t="e">
        <f ca="1">IF(LEFT($J227,7)="Clad Wo",IF(AND(INDEX(SPPWS,ED234,4)&gt;=$AB233,INDEX(SPPWS,ED234,5)&gt;=$S227,INDEX(SPPWS,ED234,6)&gt;=$R227),1,0),IF(AND(INDEX(SPM,ED234,4)&gt;=$AB233,INDEX(SPM,ED234,5)&gt;=$S227,INDEX(SPM,ED234,6)&gt;=$R227),1,0))</f>
        <v>#N/A</v>
      </c>
      <c r="EF234" s="4" t="e">
        <f t="shared" ref="EF234" ca="1" si="3812">MATCH(1,OFFSET(EE227:EE238,EG233,0,COUNT(EE227:EE238)-EG233),0)</f>
        <v>#REF!</v>
      </c>
      <c r="EG234" s="4" t="e">
        <f t="shared" ca="1" si="3716"/>
        <v>#REF!</v>
      </c>
      <c r="EH234" s="692" t="str">
        <f ca="1">IF(LEFT($J227,7)="Clad Wo",IFERROR(VLOOKUP(INDEX(ED227:ED238,EG234),SPPWS,2,FALSE),"----"),IFERROR(VLOOKUP(INDEX(ED227:ED238,EG234),SPM,2,FALSE),"----"))</f>
        <v>----</v>
      </c>
    </row>
    <row r="235" spans="1:138" ht="15" customHeight="1" x14ac:dyDescent="0.25">
      <c r="A235" s="1085"/>
      <c r="B235" s="925"/>
      <c r="C235" s="926"/>
      <c r="D235" s="927"/>
      <c r="E235" s="995"/>
      <c r="F235" s="996"/>
      <c r="G235" s="997"/>
      <c r="H235" s="1062"/>
      <c r="I235" s="990"/>
      <c r="J235" s="902"/>
      <c r="K235" s="903"/>
      <c r="L235" s="1002"/>
      <c r="M235" s="923"/>
      <c r="N235" s="1042"/>
      <c r="O235" s="1018"/>
      <c r="P235" s="987"/>
      <c r="Q235" s="1015"/>
      <c r="R235" s="1012"/>
      <c r="S235" s="1006"/>
      <c r="T235" s="1007"/>
      <c r="U235" s="878"/>
      <c r="V235" s="881"/>
      <c r="W235" s="884"/>
      <c r="X235" s="884"/>
      <c r="Y235" s="887"/>
      <c r="Z235" s="887"/>
      <c r="AA235" s="887"/>
      <c r="AB235" s="1081"/>
      <c r="AC235" s="1078"/>
      <c r="AD235" s="1070" t="str">
        <f t="shared" si="3099"/>
        <v>Wood Stud Framing</v>
      </c>
      <c r="AE235" s="1071"/>
      <c r="AF235" s="1052"/>
      <c r="AG235" s="1053"/>
      <c r="AH235" s="1053"/>
      <c r="AI235" s="1066"/>
      <c r="AJ235" s="1067"/>
      <c r="AK235" s="156" t="str">
        <f t="shared" ca="1" si="3667"/>
        <v/>
      </c>
      <c r="AL235" s="1059"/>
      <c r="AM235" s="344" t="str">
        <f ca="1">IFERROR(Q227/12*ROUND(VLOOKUP(AF235,OFFSET(WSM,0,1),6,FALSE),2),"")</f>
        <v/>
      </c>
      <c r="AN235" t="str">
        <f t="shared" ca="1" si="3717"/>
        <v/>
      </c>
      <c r="AP235" s="122" t="str">
        <f t="shared" ref="AP235" si="3813">_xlfn.CONCAT(AR235,AS238)</f>
        <v/>
      </c>
      <c r="AQ235" s="683" t="str">
        <f t="shared" si="2617"/>
        <v/>
      </c>
      <c r="AR235" s="4" t="str">
        <f t="shared" si="3642"/>
        <v/>
      </c>
      <c r="AS235" s="4"/>
      <c r="AT235" s="697" t="str">
        <f>AL233</f>
        <v/>
      </c>
      <c r="AU235" s="694" t="e">
        <f t="shared" ca="1" si="2633"/>
        <v>#REF!</v>
      </c>
      <c r="AV235" s="686" t="str">
        <f ca="1">IFERROR(VLOOKUP(AU235,INDIRECT(AQ227),2,FALSE),"----")</f>
        <v>----</v>
      </c>
      <c r="AW235" s="694" t="e">
        <f t="shared" ca="1" si="2634"/>
        <v>#REF!</v>
      </c>
      <c r="AX235" s="686" t="str">
        <f ca="1">IFERROR(VLOOKUP(AW235,INDIRECT(AQ228),2,FALSE),"----")</f>
        <v>----</v>
      </c>
      <c r="AY235" s="694" t="e">
        <f t="shared" ca="1" si="3524"/>
        <v>#REF!</v>
      </c>
      <c r="AZ235" s="686" t="str">
        <f ca="1">IFERROR(VLOOKUP(AY235,INDIRECT(AQ229),2,FALSE),"----")</f>
        <v>----</v>
      </c>
      <c r="BA235" s="694" t="e">
        <f t="shared" ca="1" si="3525"/>
        <v>#REF!</v>
      </c>
      <c r="BB235" s="686" t="str">
        <f ca="1">IFERROR(VLOOKUP(BA235,INDIRECT(AQ230),2,FALSE),"----")</f>
        <v>----</v>
      </c>
      <c r="BC235" s="694" t="e">
        <f t="shared" ca="1" si="2635"/>
        <v>#REF!</v>
      </c>
      <c r="BD235" s="686" t="str">
        <f ca="1">IFERROR(VLOOKUP(BC235,INDIRECT(AQ231),2,FALSE),"----")</f>
        <v>----</v>
      </c>
      <c r="BE235" s="694" t="e">
        <f t="shared" ca="1" si="2636"/>
        <v>#REF!</v>
      </c>
      <c r="BF235" s="686" t="str">
        <f ca="1">IFERROR(VLOOKUP(BE235,INDIRECT(AQ232),2,FALSE),"----")</f>
        <v>----</v>
      </c>
      <c r="BG235" s="702" t="e">
        <f t="shared" ca="1" si="2637"/>
        <v>#REF!</v>
      </c>
      <c r="BH235" s="686" t="str">
        <f ca="1">IFERROR(VLOOKUP(BG235,INDIRECT(AQ233),2,FALSE),"----")</f>
        <v>----</v>
      </c>
      <c r="BI235" s="702" t="e">
        <f t="shared" ca="1" si="2638"/>
        <v>#REF!</v>
      </c>
      <c r="BJ235" s="686" t="str">
        <f ca="1">IFERROR(VLOOKUP(BI235,INDIRECT(AQ234),2,FALSE),"----")</f>
        <v>----</v>
      </c>
      <c r="BK235" s="702" t="e">
        <f t="shared" ca="1" si="2639"/>
        <v>#REF!</v>
      </c>
      <c r="BL235" s="686" t="str">
        <f ca="1">IFERROR(VLOOKUP(BK235,INDIRECT(AQ235),2,FALSE),"----")</f>
        <v>----</v>
      </c>
      <c r="BM235" s="702" t="e">
        <f t="shared" ca="1" si="2640"/>
        <v>#REF!</v>
      </c>
      <c r="BN235" s="686" t="str">
        <f ca="1">IFERROR(VLOOKUP(BM235,INDIRECT(AQ236),2,FALSE),"----")</f>
        <v>----</v>
      </c>
      <c r="BO235" s="702" t="e">
        <f t="shared" ca="1" si="2641"/>
        <v>#REF!</v>
      </c>
      <c r="BP235" s="686" t="str">
        <f ca="1">IFERROR(VLOOKUP(BO235,INDIRECT(AQ237),2,FALSE),"----")</f>
        <v>----</v>
      </c>
      <c r="BQ235" s="702" t="e">
        <f t="shared" ca="1" si="2642"/>
        <v>#REF!</v>
      </c>
      <c r="BR235" s="686" t="str">
        <f ca="1">IFERROR(VLOOKUP(BQ235,INDIRECT(AQ238),2,FALSE),"----")</f>
        <v>----</v>
      </c>
      <c r="BS235" s="695">
        <f>IF(AI235="",1,IF(COUNTIF(BL227:BL238,AI235)=0,2,1))</f>
        <v>1</v>
      </c>
      <c r="BT235" s="696">
        <f>IF(AF235="",1,IF(BL227=".",2,1))</f>
        <v>1</v>
      </c>
      <c r="BU235" s="706"/>
      <c r="BV235" s="155">
        <f ca="1">IF(COUNTIF(DS227:DS238,AF235)=0,IF(AF235&lt;&gt;"",0,1),1)</f>
        <v>1</v>
      </c>
      <c r="BW235" s="157">
        <f ca="1">IFERROR(MATCH(AF235,DS227:DS238,0),1)</f>
        <v>1</v>
      </c>
      <c r="BX235" s="769" t="e">
        <f t="shared" ref="BX235" si="3814">5*E227^3*W227/(384*X227)</f>
        <v>#VALUE!</v>
      </c>
      <c r="BY235" s="769" t="e">
        <f t="shared" ref="BY235" si="3815">W227*E227^3/(60*X227)</f>
        <v>#VALUE!</v>
      </c>
      <c r="BZ235" s="1110"/>
      <c r="CA235" s="691" t="e">
        <f t="shared" ca="1" si="3681"/>
        <v>#REF!</v>
      </c>
      <c r="CB235" s="4" t="e" cm="1">
        <f t="array" aca="1" ref="CB235" ca="1">IF(AND(INDEX(INDIRECT(BY227),CA235,4)&gt;=$AB227,INDEX(INDIRECT(BY227),CA235,5)&gt;=$S227,INDEX(INDIRECT(BY227),CA235,6)&gt;=$R227),1,0)</f>
        <v>#REF!</v>
      </c>
      <c r="CC235" s="4" t="e">
        <f t="shared" ref="CC235" ca="1" si="3816">MATCH(1,OFFSET(CB227:CB238,CD234,0,COUNT(CB227:CB238)-CD234),0)</f>
        <v>#REF!</v>
      </c>
      <c r="CD235" s="4" t="e">
        <f t="shared" ca="1" si="3683"/>
        <v>#REF!</v>
      </c>
      <c r="CE235" s="692" t="str" cm="1">
        <f t="array" aca="1" ref="CE235" ca="1">IFERROR(VLOOKUP(INDEX(CA227:CA238,CD235),INDIRECT(BY227),2,FALSE),"----")</f>
        <v>----</v>
      </c>
      <c r="CF235" s="691" t="e">
        <f t="shared" ca="1" si="3684"/>
        <v>#N/A</v>
      </c>
      <c r="CG235" s="4" t="e">
        <f ca="1">IF(AND(INDEX(SSM,CF235,4)&gt;=$AB227,INDEX(SSM,CF235,5)&gt;=$S227,INDEX(SSM,CF235,6)&gt;=$R227),1,0)</f>
        <v>#N/A</v>
      </c>
      <c r="CH235" s="4" t="e">
        <f t="shared" ref="CH235" ca="1" si="3817">MATCH(1,OFFSET(CG227:CG238,CI234,0,COUNT(CG227:CG238)-CI234),0)</f>
        <v>#REF!</v>
      </c>
      <c r="CI235" s="4" t="e">
        <f t="shared" ca="1" si="3686"/>
        <v>#REF!</v>
      </c>
      <c r="CJ235" s="692" t="str">
        <f ca="1">IFERROR(IF(AD228="Nested Steel Stud (wood infill)",VLOOKUP(INDEX(CF227:CF238,CI235),SSW,2,FALSE),VLOOKUP(INDEX(CF227:CF238,CI235),SSM,2,FALSE)),"----")</f>
        <v>----</v>
      </c>
      <c r="CK235" s="691" t="e">
        <f t="shared" ca="1" si="3687"/>
        <v>#N/A</v>
      </c>
      <c r="CL235" s="4" t="e">
        <f ca="1">IF(AND(INDEX(WSM,CK235,4)&gt;=$AB227,INDEX(WSM,CK235,5)&gt;=$S227,INDEX(WSM,CK235,6)&gt;=$R227),1,0)</f>
        <v>#N/A</v>
      </c>
      <c r="CM235" s="4" t="e">
        <f t="shared" ref="CM235" ca="1" si="3818">MATCH(1,OFFSET(CL227:CL238,CN234,0,COUNT(CL227:CL238)-CN234),0)</f>
        <v>#REF!</v>
      </c>
      <c r="CN235" s="4" t="e">
        <f t="shared" ca="1" si="3689"/>
        <v>#REF!</v>
      </c>
      <c r="CO235" s="692" t="str">
        <f ca="1">IFERROR(VLOOKUP(INDEX(CK227:CK238,CN235),WSM,2,FALSE),"----")</f>
        <v>----</v>
      </c>
      <c r="CP235" s="691" t="e">
        <f t="shared" ca="1" si="3690"/>
        <v>#N/A</v>
      </c>
      <c r="CQ235" s="4" t="e">
        <f ca="1">IF(AND(INDEX(STM,CP235,4)&gt;=$AB227,INDEX(STM,CP235,5)&gt;=$S227,INDEX(STM,CP235,6)&gt;=$R227),1,0)</f>
        <v>#N/A</v>
      </c>
      <c r="CR235" s="4" t="e">
        <f t="shared" ref="CR235" ca="1" si="3819">MATCH(1,OFFSET(CQ227:CQ238,CS234,0,COUNT(CQ227:CQ238)-CS234),0)</f>
        <v>#REF!</v>
      </c>
      <c r="CS235" s="4" t="e">
        <f t="shared" ca="1" si="3692"/>
        <v>#REF!</v>
      </c>
      <c r="CT235" s="692" t="str">
        <f ca="1">IFERROR(VLOOKUP(INDEX(CP227:CP238,CS235),STM,2,FALSE),"----")</f>
        <v>----</v>
      </c>
      <c r="CU235" s="691" t="e">
        <f t="shared" ca="1" si="3693"/>
        <v>#N/A</v>
      </c>
      <c r="CV235" s="4" t="e">
        <f ca="1">IF(AND(INDEX(ELM,CU235,4)&gt;=$AB227,INDEX(ELM,CU235,5)&gt;=$S227,INDEX(ELM,CU235,6)&gt;=$R227),1,0)</f>
        <v>#N/A</v>
      </c>
      <c r="CW235" s="4" t="e">
        <f t="shared" ref="CW235" ca="1" si="3820">MATCH(1,OFFSET(CV227:CV238,CX234,0,COUNT(CV227:CV238)-CX234),0)</f>
        <v>#REF!</v>
      </c>
      <c r="CX235" s="4" t="e">
        <f t="shared" ca="1" si="3695"/>
        <v>#REF!</v>
      </c>
      <c r="CY235" s="692" t="str">
        <f ca="1">IFERROR(VLOOKUP(INDEX(CU227:CU238,CX235),ELM,2,FALSE),"----")</f>
        <v>----</v>
      </c>
      <c r="CZ235" s="691" t="e">
        <f t="shared" ca="1" si="3696"/>
        <v>#N/A</v>
      </c>
      <c r="DA235" s="4" t="e">
        <f ca="1">IF(LEFT($J227,7)="Clad Wo",IF(AND(INDEX(SPPWS,CZ235,4)&gt;=$AB227,INDEX(SPPWS,CZ235,5)&gt;=$S227,INDEX(SPPWS,CZ235,6)&gt;=$R227),1,0),IF(AND(INDEX(SPM,CZ235,4)&gt;=$AB227,INDEX(SPM,CZ235,5)&gt;=$S227,INDEX(SPM,CZ235,6)&gt;=$R227),1,0))</f>
        <v>#N/A</v>
      </c>
      <c r="DB235" s="4" t="e">
        <f t="shared" ref="DB235" ca="1" si="3821">MATCH(1,OFFSET(DA227:DA238,DC234,0,COUNT(DA227:DA238)-DC234),0)</f>
        <v>#REF!</v>
      </c>
      <c r="DC235" s="4" t="e">
        <f t="shared" ca="1" si="3698"/>
        <v>#REF!</v>
      </c>
      <c r="DD235" s="693" t="str">
        <f ca="1">IF(LEFT($J227,7)="Clad Wo",IFERROR(VLOOKUP(INDEX(CZ227:CZ238,DC235),SPPWS,2,FALSE),"----"),IFERROR(VLOOKUP(INDEX(CZ227:CZ238,DC235),SPM,2,FALSE),"----"))</f>
        <v>----</v>
      </c>
      <c r="DE235" s="691" t="e">
        <f t="shared" ca="1" si="3699"/>
        <v>#REF!</v>
      </c>
      <c r="DF235" s="4" t="e" cm="1">
        <f t="array" aca="1" ref="DF235" ca="1">IF(AND(INDEX(INDIRECT(BY227),DE235,4)&gt;=$AB233,INDEX(INDIRECT(BY227),DE235,5)&gt;=$S227,INDEX(INDIRECT(BY227),DE235,6)&gt;=$R227),1,0)</f>
        <v>#REF!</v>
      </c>
      <c r="DG235" s="4" t="e">
        <f t="shared" ref="DG235" ca="1" si="3822">MATCH(1,OFFSET(DF227:DF238,DH234,0,COUNT(DF227:DF238)-DH234),0)</f>
        <v>#REF!</v>
      </c>
      <c r="DH235" s="4" t="e">
        <f t="shared" ca="1" si="3701"/>
        <v>#REF!</v>
      </c>
      <c r="DI235" s="692" t="str" cm="1">
        <f t="array" aca="1" ref="DI235" ca="1">IFERROR(VLOOKUP(INDEX(DE227:DE238,DH235),INDIRECT(BY227),2,FALSE),"----")</f>
        <v>----</v>
      </c>
      <c r="DJ235" s="691" t="e">
        <f t="shared" ca="1" si="3702"/>
        <v>#N/A</v>
      </c>
      <c r="DK235" s="4" t="e">
        <f ca="1">IF(AND(INDEX(SSM,DJ235,4)&gt;=$AB233,INDEX(SSM,DJ235,5)&gt;=$S227,INDEX(SSM,DJ235,6)&gt;=$R227),1,0)</f>
        <v>#N/A</v>
      </c>
      <c r="DL235" s="4" t="e">
        <f t="shared" ref="DL235" ca="1" si="3823">MATCH(1,OFFSET(DK227:DK238,DM234,0,COUNT(DK227:DK238)-DM234),0)</f>
        <v>#REF!</v>
      </c>
      <c r="DM235" s="4" t="e">
        <f t="shared" ca="1" si="3704"/>
        <v>#REF!</v>
      </c>
      <c r="DN235" s="692" t="str">
        <f ca="1">IFERROR(IF(AD234="Nested Steel Stud (wood infill)",VLOOKUP(INDEX(DJ227:DJ238,DM235),SSW,2,FALSE),VLOOKUP(INDEX(DJ227:DJ238,DM235),SSM,2,FALSE)),"----")</f>
        <v>----</v>
      </c>
      <c r="DO235" s="691" t="e">
        <f t="shared" ca="1" si="3705"/>
        <v>#N/A</v>
      </c>
      <c r="DP235" s="4" t="e">
        <f ca="1">IF(AND(INDEX(WSM,DO235,4)&gt;=$AB233,INDEX(WSM,DO235,5)&gt;=$S227,INDEX(WSM,DO235,6)&gt;=$R227),1,0)</f>
        <v>#N/A</v>
      </c>
      <c r="DQ235" s="4" t="e">
        <f t="shared" ref="DQ235" ca="1" si="3824">MATCH(1,OFFSET(DP227:DP238,DR234,0,COUNT(DP227:DP238)-DR234),0)</f>
        <v>#REF!</v>
      </c>
      <c r="DR235" s="4" t="e">
        <f t="shared" ca="1" si="3707"/>
        <v>#REF!</v>
      </c>
      <c r="DS235" s="692" t="str">
        <f ca="1">IFERROR(VLOOKUP(INDEX(DO227:DO238,DR235),WSM,2,FALSE),"----")</f>
        <v>----</v>
      </c>
      <c r="DT235" s="691" t="e">
        <f t="shared" ca="1" si="3708"/>
        <v>#N/A</v>
      </c>
      <c r="DU235" s="4" t="e">
        <f ca="1">IF(AND(INDEX(STM,DT235,4)&gt;=$AB233,INDEX(STM,DT235,5)&gt;=$S227,INDEX(STM,DT235,6)&gt;=$R227),1,0)</f>
        <v>#N/A</v>
      </c>
      <c r="DV235" s="4" t="e">
        <f t="shared" ref="DV235" ca="1" si="3825">MATCH(1,OFFSET(DU227:DU238,DW234,0,COUNT(DU227:DU238)-DW234),0)</f>
        <v>#REF!</v>
      </c>
      <c r="DW235" s="4" t="e">
        <f t="shared" ca="1" si="3710"/>
        <v>#REF!</v>
      </c>
      <c r="DX235" s="692" t="str">
        <f ca="1">IFERROR(VLOOKUP(INDEX(DT227:DT238,DW235),STM,2,FALSE),"----")</f>
        <v>----</v>
      </c>
      <c r="DY235" s="691" t="e">
        <f t="shared" ca="1" si="3711"/>
        <v>#N/A</v>
      </c>
      <c r="DZ235" s="4" t="e">
        <f ca="1">IF(AND(INDEX(ELM,DY235,4)&gt;=$AB233,INDEX(ELM,DY235,5)&gt;=$S227,INDEX(ELM,DY235,6)&gt;=$R227),1,0)</f>
        <v>#N/A</v>
      </c>
      <c r="EA235" s="4" t="e">
        <f t="shared" ref="EA235" ca="1" si="3826">MATCH(1,OFFSET(DZ227:DZ238,EB234,0,COUNT(DZ227:DZ238)-EB234),0)</f>
        <v>#REF!</v>
      </c>
      <c r="EB235" s="4" t="e">
        <f t="shared" ca="1" si="3713"/>
        <v>#REF!</v>
      </c>
      <c r="EC235" s="692" t="str">
        <f ca="1">IFERROR(VLOOKUP(INDEX(DY227:DY238,EB235),ELM,2,FALSE),"----")</f>
        <v>----</v>
      </c>
      <c r="ED235" s="691" t="e">
        <f t="shared" ca="1" si="3714"/>
        <v>#N/A</v>
      </c>
      <c r="EE235" s="4" t="e">
        <f ca="1">IF(LEFT($J227,7)="Clad Wo",IF(AND(INDEX(SPPWS,ED235,4)&gt;=$AB233,INDEX(SPPWS,ED235,5)&gt;=$S227,INDEX(SPPWS,ED235,6)&gt;=$R227),1,0),IF(AND(INDEX(SPM,ED235,4)&gt;=$AB233,INDEX(SPM,ED235,5)&gt;=$S227,INDEX(SPM,ED235,6)&gt;=$R227),1,0))</f>
        <v>#N/A</v>
      </c>
      <c r="EF235" s="4" t="e">
        <f t="shared" ref="EF235" ca="1" si="3827">MATCH(1,OFFSET(EE227:EE238,EG234,0,COUNT(EE227:EE238)-EG234),0)</f>
        <v>#REF!</v>
      </c>
      <c r="EG235" s="4" t="e">
        <f t="shared" ca="1" si="3716"/>
        <v>#REF!</v>
      </c>
      <c r="EH235" s="692" t="str">
        <f ca="1">IF(LEFT($J227,7)="Clad Wo",IFERROR(VLOOKUP(INDEX(ED227:ED238,EG235),SPPWS,2,FALSE),"----"),IFERROR(VLOOKUP(INDEX(ED227:ED238,EG235),SPM,2,FALSE),"----"))</f>
        <v>----</v>
      </c>
    </row>
    <row r="236" spans="1:138" ht="15" customHeight="1" x14ac:dyDescent="0.25">
      <c r="A236" s="1085"/>
      <c r="B236" s="925"/>
      <c r="C236" s="926"/>
      <c r="D236" s="927"/>
      <c r="E236" s="995"/>
      <c r="F236" s="996"/>
      <c r="G236" s="997"/>
      <c r="H236" s="1062"/>
      <c r="I236" s="990"/>
      <c r="J236" s="902"/>
      <c r="K236" s="903"/>
      <c r="L236" s="1002"/>
      <c r="M236" s="923"/>
      <c r="N236" s="1042"/>
      <c r="O236" s="1018"/>
      <c r="P236" s="987"/>
      <c r="Q236" s="1015"/>
      <c r="R236" s="1012"/>
      <c r="S236" s="1006"/>
      <c r="T236" s="1007"/>
      <c r="U236" s="878"/>
      <c r="V236" s="881"/>
      <c r="W236" s="884"/>
      <c r="X236" s="884"/>
      <c r="Y236" s="887"/>
      <c r="Z236" s="887"/>
      <c r="AA236" s="887"/>
      <c r="AB236" s="1081"/>
      <c r="AC236" s="1078"/>
      <c r="AD236" s="1070" t="str">
        <f t="shared" si="3099"/>
        <v>Steel Tube</v>
      </c>
      <c r="AE236" s="1071"/>
      <c r="AF236" s="1052"/>
      <c r="AG236" s="1053"/>
      <c r="AH236" s="1053"/>
      <c r="AI236" s="1066"/>
      <c r="AJ236" s="1067"/>
      <c r="AK236" s="156" t="str">
        <f t="shared" ca="1" si="3667"/>
        <v/>
      </c>
      <c r="AL236" s="1059"/>
      <c r="AM236" s="343" t="str">
        <f ca="1">IFERROR(Q227/12*ROUND(VLOOKUP(AF236,OFFSET(STM,0,1),6,FALSE),2),"")</f>
        <v/>
      </c>
      <c r="AN236" t="str">
        <f t="shared" ca="1" si="3717"/>
        <v/>
      </c>
      <c r="AP236" s="122" t="str">
        <f t="shared" ref="AP236" si="3828">_xlfn.CONCAT(AR236,AS238)</f>
        <v/>
      </c>
      <c r="AQ236" s="683" t="str">
        <f t="shared" si="2617"/>
        <v/>
      </c>
      <c r="AR236" s="4" t="str">
        <f t="shared" si="3642"/>
        <v/>
      </c>
      <c r="AS236" s="4"/>
      <c r="AT236" s="697" t="str">
        <f>AL233</f>
        <v/>
      </c>
      <c r="AU236" s="694" t="e">
        <f t="shared" ca="1" si="2633"/>
        <v>#REF!</v>
      </c>
      <c r="AV236" s="686" t="str">
        <f ca="1">IFERROR(VLOOKUP(AU236,INDIRECT(AQ227),2,FALSE),"----")</f>
        <v>----</v>
      </c>
      <c r="AW236" s="694" t="e">
        <f t="shared" ca="1" si="2634"/>
        <v>#REF!</v>
      </c>
      <c r="AX236" s="686" t="str">
        <f ca="1">IFERROR(VLOOKUP(AW236,INDIRECT(AQ228),2,FALSE),"----")</f>
        <v>----</v>
      </c>
      <c r="AY236" s="694" t="e">
        <f t="shared" ca="1" si="3352"/>
        <v>#REF!</v>
      </c>
      <c r="AZ236" s="686" t="str">
        <f ca="1">IFERROR(VLOOKUP(AY236,INDIRECT(AQ229),2,FALSE),"----")</f>
        <v>----</v>
      </c>
      <c r="BA236" s="694" t="e">
        <f t="shared" ca="1" si="3353"/>
        <v>#REF!</v>
      </c>
      <c r="BB236" s="686" t="str">
        <f ca="1">IFERROR(VLOOKUP(BA236,INDIRECT(AQ230),2,FALSE),"----")</f>
        <v>----</v>
      </c>
      <c r="BC236" s="694" t="e">
        <f t="shared" ca="1" si="2635"/>
        <v>#REF!</v>
      </c>
      <c r="BD236" s="686" t="str">
        <f ca="1">IFERROR(VLOOKUP(BC236,INDIRECT(AQ231),2,FALSE),"----")</f>
        <v>----</v>
      </c>
      <c r="BE236" s="694" t="e">
        <f t="shared" ca="1" si="2636"/>
        <v>#REF!</v>
      </c>
      <c r="BF236" s="686" t="str">
        <f ca="1">IFERROR(VLOOKUP(BE236,INDIRECT(AQ232),2,FALSE),"----")</f>
        <v>----</v>
      </c>
      <c r="BG236" s="702" t="e">
        <f t="shared" ca="1" si="2637"/>
        <v>#REF!</v>
      </c>
      <c r="BH236" s="686" t="str">
        <f ca="1">IFERROR(VLOOKUP(BG236,INDIRECT(AQ233),2,FALSE),"----")</f>
        <v>----</v>
      </c>
      <c r="BI236" s="702" t="e">
        <f t="shared" ca="1" si="2638"/>
        <v>#REF!</v>
      </c>
      <c r="BJ236" s="686" t="str">
        <f ca="1">IFERROR(VLOOKUP(BI236,INDIRECT(AQ234),2,FALSE),"----")</f>
        <v>----</v>
      </c>
      <c r="BK236" s="702" t="e">
        <f t="shared" ca="1" si="2639"/>
        <v>#REF!</v>
      </c>
      <c r="BL236" s="686" t="str">
        <f ca="1">IFERROR(VLOOKUP(BK236,INDIRECT(AQ235),2,FALSE),"----")</f>
        <v>----</v>
      </c>
      <c r="BM236" s="702" t="e">
        <f t="shared" ca="1" si="2640"/>
        <v>#REF!</v>
      </c>
      <c r="BN236" s="686" t="str">
        <f ca="1">IFERROR(VLOOKUP(BM236,INDIRECT(AQ236),2,FALSE),"----")</f>
        <v>----</v>
      </c>
      <c r="BO236" s="702" t="e">
        <f t="shared" ca="1" si="2641"/>
        <v>#REF!</v>
      </c>
      <c r="BP236" s="686" t="str">
        <f ca="1">IFERROR(VLOOKUP(BO236,INDIRECT(AQ237),2,FALSE),"----")</f>
        <v>----</v>
      </c>
      <c r="BQ236" s="702" t="e">
        <f t="shared" ca="1" si="2642"/>
        <v>#REF!</v>
      </c>
      <c r="BR236" s="686" t="str">
        <f ca="1">IFERROR(VLOOKUP(BQ236,INDIRECT(AQ238),2,FALSE),"----")</f>
        <v>----</v>
      </c>
      <c r="BS236" s="695">
        <f>IF(AI236="",1,IF(COUNTIF(BN227:BN238,AI236)=0,2,1))</f>
        <v>1</v>
      </c>
      <c r="BT236" s="696">
        <f>IF(AF236="",1,IF(BN227=".",2,1))</f>
        <v>1</v>
      </c>
      <c r="BU236" s="706"/>
      <c r="BV236" s="155">
        <f ca="1">IF(COUNTIF(DX227:DX238,AF236)=0,IF(AF236&lt;&gt;"",0,1),1)</f>
        <v>1</v>
      </c>
      <c r="BW236" s="157">
        <f ca="1">IFERROR(MATCH(AF236,DX227:DX238,0),1)</f>
        <v>1</v>
      </c>
      <c r="BX236" s="769" t="e">
        <f t="shared" ref="BX236" si="3829">5*E227^3*W233/(384*X227)</f>
        <v>#VALUE!</v>
      </c>
      <c r="BY236" s="769" t="e">
        <f t="shared" ref="BY236" si="3830">E227^3*W233/(60*X227)</f>
        <v>#VALUE!</v>
      </c>
      <c r="BZ236" s="1110"/>
      <c r="CA236" s="691" t="e">
        <f t="shared" ca="1" si="3681"/>
        <v>#REF!</v>
      </c>
      <c r="CB236" s="4" t="e" cm="1">
        <f t="array" aca="1" ref="CB236" ca="1">IF(AND(INDEX(INDIRECT(BY227),CA236,4)&gt;=$AB227,INDEX(INDIRECT(BY227),CA236,5)&gt;=$S227,INDEX(INDIRECT(BY227),CA236,6)&gt;=$R227),1,0)</f>
        <v>#REF!</v>
      </c>
      <c r="CC236" s="4" t="e">
        <f t="shared" ref="CC236" ca="1" si="3831">MATCH(1,OFFSET(CB227:CB238,CD235,0,COUNT(CB227:CB238)-CD235),0)</f>
        <v>#REF!</v>
      </c>
      <c r="CD236" s="4" t="e">
        <f t="shared" ca="1" si="3683"/>
        <v>#REF!</v>
      </c>
      <c r="CE236" s="692" t="str" cm="1">
        <f t="array" aca="1" ref="CE236" ca="1">IFERROR(VLOOKUP(INDEX(CA227:CA238,CD236),INDIRECT(BY227),2,FALSE),"----")</f>
        <v>----</v>
      </c>
      <c r="CF236" s="691" t="e">
        <f t="shared" ca="1" si="3684"/>
        <v>#N/A</v>
      </c>
      <c r="CG236" s="4" t="e">
        <f ca="1">IF(AND(INDEX(SSM,CF236,4)&gt;=$AB227,INDEX(SSM,CF236,5)&gt;=$S227,INDEX(SSM,CF236,6)&gt;=$R227),1,0)</f>
        <v>#N/A</v>
      </c>
      <c r="CH236" s="4" t="e">
        <f t="shared" ref="CH236" ca="1" si="3832">MATCH(1,OFFSET(CG227:CG238,CI235,0,COUNT(CG227:CG238)-CI235),0)</f>
        <v>#REF!</v>
      </c>
      <c r="CI236" s="4" t="e">
        <f t="shared" ca="1" si="3686"/>
        <v>#REF!</v>
      </c>
      <c r="CJ236" s="692" t="str">
        <f ca="1">IFERROR(IF(AD228="Nested Steel Stud (wood infill)",VLOOKUP(INDEX(CF227:CF238,CI236),SSW,2,FALSE),VLOOKUP(INDEX(CF227:CF238,CI236),SSM,2,FALSE)),"----")</f>
        <v>----</v>
      </c>
      <c r="CK236" s="691" t="e">
        <f t="shared" ca="1" si="3687"/>
        <v>#N/A</v>
      </c>
      <c r="CL236" s="4" t="e">
        <f ca="1">IF(AND(INDEX(WSM,CK236,4)&gt;=$AB227,INDEX(WSM,CK236,5)&gt;=$S227,INDEX(WSM,CK236,6)&gt;=$R227),1,0)</f>
        <v>#N/A</v>
      </c>
      <c r="CM236" s="4" t="e">
        <f t="shared" ref="CM236" ca="1" si="3833">MATCH(1,OFFSET(CL227:CL238,CN235,0,COUNT(CL227:CL238)-CN235),0)</f>
        <v>#REF!</v>
      </c>
      <c r="CN236" s="4" t="e">
        <f t="shared" ca="1" si="3689"/>
        <v>#REF!</v>
      </c>
      <c r="CO236" s="692" t="str">
        <f ca="1">IFERROR(VLOOKUP(INDEX(CK227:CK238,CN236),WSM,2,FALSE),"----")</f>
        <v>----</v>
      </c>
      <c r="CP236" s="691" t="e">
        <f t="shared" ca="1" si="3690"/>
        <v>#N/A</v>
      </c>
      <c r="CQ236" s="4" t="e">
        <f ca="1">IF(AND(INDEX(STM,CP236,4)&gt;=$AB227,INDEX(STM,CP236,5)&gt;=$S227,INDEX(STM,CP236,6)&gt;=$R227),1,0)</f>
        <v>#N/A</v>
      </c>
      <c r="CR236" s="4" t="e">
        <f t="shared" ref="CR236" ca="1" si="3834">MATCH(1,OFFSET(CQ227:CQ238,CS235,0,COUNT(CQ227:CQ238)-CS235),0)</f>
        <v>#REF!</v>
      </c>
      <c r="CS236" s="4" t="e">
        <f t="shared" ca="1" si="3692"/>
        <v>#REF!</v>
      </c>
      <c r="CT236" s="692" t="str">
        <f ca="1">IFERROR(VLOOKUP(INDEX(CP227:CP238,CS236),STM,2,FALSE),"----")</f>
        <v>----</v>
      </c>
      <c r="CU236" s="691" t="e">
        <f t="shared" ca="1" si="3693"/>
        <v>#N/A</v>
      </c>
      <c r="CV236" s="4" t="e">
        <f ca="1">IF(AND(INDEX(ELM,CU236,4)&gt;=$AB227,INDEX(ELM,CU236,5)&gt;=$S227,INDEX(ELM,CU236,6)&gt;=$R227),1,0)</f>
        <v>#N/A</v>
      </c>
      <c r="CW236" s="4" t="e">
        <f t="shared" ref="CW236" ca="1" si="3835">MATCH(1,OFFSET(CV227:CV238,CX235,0,COUNT(CV227:CV238)-CX235),0)</f>
        <v>#REF!</v>
      </c>
      <c r="CX236" s="4" t="e">
        <f t="shared" ca="1" si="3695"/>
        <v>#REF!</v>
      </c>
      <c r="CY236" s="692" t="str">
        <f ca="1">IFERROR(VLOOKUP(INDEX(CU227:CU238,CX236),ELM,2,FALSE),"----")</f>
        <v>----</v>
      </c>
      <c r="CZ236" s="691" t="e">
        <f t="shared" ca="1" si="3696"/>
        <v>#N/A</v>
      </c>
      <c r="DA236" s="4" t="e">
        <f ca="1">IF(LEFT($J227,7)="Clad Wo",IF(AND(INDEX(SPPWS,CZ236,4)&gt;=$AB227,INDEX(SPPWS,CZ236,5)&gt;=$S227,INDEX(SPPWS,CZ236,6)&gt;=$R227),1,0),IF(AND(INDEX(SPM,CZ236,4)&gt;=$AB227,INDEX(SPM,CZ236,5)&gt;=$S227,INDEX(SPM,CZ236,6)&gt;=$R227),1,0))</f>
        <v>#N/A</v>
      </c>
      <c r="DB236" s="4" t="e">
        <f t="shared" ref="DB236" ca="1" si="3836">MATCH(1,OFFSET(DA227:DA238,DC235,0,COUNT(DA227:DA238)-DC235),0)</f>
        <v>#REF!</v>
      </c>
      <c r="DC236" s="4" t="e">
        <f t="shared" ca="1" si="3698"/>
        <v>#REF!</v>
      </c>
      <c r="DD236" s="693" t="str">
        <f ca="1">IF(LEFT($J227,7)="Clad Wo",IFERROR(VLOOKUP(INDEX(CZ227:CZ238,DC236),SPPWS,2,FALSE),"----"),IFERROR(VLOOKUP(INDEX(CZ227:CZ238,DC236),SPM,2,FALSE),"----"))</f>
        <v>----</v>
      </c>
      <c r="DE236" s="691" t="e">
        <f t="shared" ca="1" si="3699"/>
        <v>#REF!</v>
      </c>
      <c r="DF236" s="4" t="e" cm="1">
        <f t="array" aca="1" ref="DF236" ca="1">IF(AND(INDEX(INDIRECT(BY227),DE236,4)&gt;=$AB233,INDEX(INDIRECT(BY227),DE236,5)&gt;=$S227,INDEX(INDIRECT(BY227),DE236,6)&gt;=$R227),1,0)</f>
        <v>#REF!</v>
      </c>
      <c r="DG236" s="4" t="e">
        <f t="shared" ref="DG236" ca="1" si="3837">MATCH(1,OFFSET(DF227:DF238,DH235,0,COUNT(DF227:DF238)-DH235),0)</f>
        <v>#REF!</v>
      </c>
      <c r="DH236" s="4" t="e">
        <f t="shared" ca="1" si="3701"/>
        <v>#REF!</v>
      </c>
      <c r="DI236" s="692" t="str" cm="1">
        <f t="array" aca="1" ref="DI236" ca="1">IFERROR(VLOOKUP(INDEX(DE227:DE238,DH236),INDIRECT(BY227),2,FALSE),"----")</f>
        <v>----</v>
      </c>
      <c r="DJ236" s="691" t="e">
        <f t="shared" ca="1" si="3702"/>
        <v>#N/A</v>
      </c>
      <c r="DK236" s="4" t="e">
        <f ca="1">IF(AND(INDEX(SSM,DJ236,4)&gt;=$AB233,INDEX(SSM,DJ236,5)&gt;=$S227,INDEX(SSM,DJ236,6)&gt;=$R227),1,0)</f>
        <v>#N/A</v>
      </c>
      <c r="DL236" s="4" t="e">
        <f t="shared" ref="DL236" ca="1" si="3838">MATCH(1,OFFSET(DK227:DK238,DM235,0,COUNT(DK227:DK238)-DM235),0)</f>
        <v>#REF!</v>
      </c>
      <c r="DM236" s="4" t="e">
        <f t="shared" ca="1" si="3704"/>
        <v>#REF!</v>
      </c>
      <c r="DN236" s="692" t="str">
        <f ca="1">IFERROR(IF(AD234="Nested Steel Stud (wood infill)",VLOOKUP(INDEX(DJ227:DJ238,DM236),SSW,2,FALSE),VLOOKUP(INDEX(DJ227:DJ238,DM236),SSM,2,FALSE)),"----")</f>
        <v>----</v>
      </c>
      <c r="DO236" s="691" t="e">
        <f t="shared" ca="1" si="3705"/>
        <v>#N/A</v>
      </c>
      <c r="DP236" s="4" t="e">
        <f ca="1">IF(AND(INDEX(WSM,DO236,4)&gt;=$AB233,INDEX(WSM,DO236,5)&gt;=$S227,INDEX(WSM,DO236,6)&gt;=$R227),1,0)</f>
        <v>#N/A</v>
      </c>
      <c r="DQ236" s="4" t="e">
        <f t="shared" ref="DQ236" ca="1" si="3839">MATCH(1,OFFSET(DP227:DP238,DR235,0,COUNT(DP227:DP238)-DR235),0)</f>
        <v>#REF!</v>
      </c>
      <c r="DR236" s="4" t="e">
        <f t="shared" ca="1" si="3707"/>
        <v>#REF!</v>
      </c>
      <c r="DS236" s="692" t="str">
        <f ca="1">IFERROR(VLOOKUP(INDEX(DO227:DO238,DR236),WSM,2,FALSE),"----")</f>
        <v>----</v>
      </c>
      <c r="DT236" s="691" t="e">
        <f t="shared" ca="1" si="3708"/>
        <v>#N/A</v>
      </c>
      <c r="DU236" s="4" t="e">
        <f ca="1">IF(AND(INDEX(STM,DT236,4)&gt;=$AB233,INDEX(STM,DT236,5)&gt;=$S227,INDEX(STM,DT236,6)&gt;=$R227),1,0)</f>
        <v>#N/A</v>
      </c>
      <c r="DV236" s="4" t="e">
        <f t="shared" ref="DV236" ca="1" si="3840">MATCH(1,OFFSET(DU227:DU238,DW235,0,COUNT(DU227:DU238)-DW235),0)</f>
        <v>#REF!</v>
      </c>
      <c r="DW236" s="4" t="e">
        <f t="shared" ca="1" si="3710"/>
        <v>#REF!</v>
      </c>
      <c r="DX236" s="692" t="str">
        <f ca="1">IFERROR(VLOOKUP(INDEX(DT227:DT238,DW236),STM,2,FALSE),"----")</f>
        <v>----</v>
      </c>
      <c r="DY236" s="691" t="e">
        <f t="shared" ca="1" si="3711"/>
        <v>#N/A</v>
      </c>
      <c r="DZ236" s="4" t="e">
        <f ca="1">IF(AND(INDEX(ELM,DY236,4)&gt;=$AB233,INDEX(ELM,DY236,5)&gt;=$S227,INDEX(ELM,DY236,6)&gt;=$R227),1,0)</f>
        <v>#N/A</v>
      </c>
      <c r="EA236" s="4" t="e">
        <f t="shared" ref="EA236" ca="1" si="3841">MATCH(1,OFFSET(DZ227:DZ238,EB235,0,COUNT(DZ227:DZ238)-EB235),0)</f>
        <v>#REF!</v>
      </c>
      <c r="EB236" s="4" t="e">
        <f t="shared" ca="1" si="3713"/>
        <v>#REF!</v>
      </c>
      <c r="EC236" s="692" t="str">
        <f ca="1">IFERROR(VLOOKUP(INDEX(DY227:DY238,EB236),ELM,2,FALSE),"----")</f>
        <v>----</v>
      </c>
      <c r="ED236" s="691" t="e">
        <f t="shared" ca="1" si="3714"/>
        <v>#N/A</v>
      </c>
      <c r="EE236" s="4" t="e">
        <f ca="1">IF(LEFT($J227,7)="Clad Wo",IF(AND(INDEX(SPPWS,ED236,4)&gt;=$AB233,INDEX(SPPWS,ED236,5)&gt;=$S227,INDEX(SPPWS,ED236,6)&gt;=$R227),1,0),IF(AND(INDEX(SPM,ED236,4)&gt;=$AB233,INDEX(SPM,ED236,5)&gt;=$S227,INDEX(SPM,ED236,6)&gt;=$R227),1,0))</f>
        <v>#N/A</v>
      </c>
      <c r="EF236" s="4" t="e">
        <f t="shared" ref="EF236" ca="1" si="3842">MATCH(1,OFFSET(EE227:EE238,EG235,0,COUNT(EE227:EE238)-EG235),0)</f>
        <v>#REF!</v>
      </c>
      <c r="EG236" s="4" t="e">
        <f t="shared" ca="1" si="3716"/>
        <v>#REF!</v>
      </c>
      <c r="EH236" s="692" t="str">
        <f ca="1">IF(LEFT($J227,7)="Clad Wo",IFERROR(VLOOKUP(INDEX(ED227:ED238,EG236),SPPWS,2,FALSE),"----"),IFERROR(VLOOKUP(INDEX(ED227:ED238,EG236),SPM,2,FALSE),"----"))</f>
        <v>----</v>
      </c>
    </row>
    <row r="237" spans="1:138" ht="15" customHeight="1" x14ac:dyDescent="0.25">
      <c r="A237" s="1085"/>
      <c r="B237" s="925"/>
      <c r="C237" s="926"/>
      <c r="D237" s="927"/>
      <c r="E237" s="995"/>
      <c r="F237" s="996"/>
      <c r="G237" s="997"/>
      <c r="H237" s="1062"/>
      <c r="I237" s="990"/>
      <c r="J237" s="902"/>
      <c r="K237" s="903"/>
      <c r="L237" s="1002"/>
      <c r="M237" s="923"/>
      <c r="N237" s="1042"/>
      <c r="O237" s="1018"/>
      <c r="P237" s="987"/>
      <c r="Q237" s="1015"/>
      <c r="R237" s="1012"/>
      <c r="S237" s="1006"/>
      <c r="T237" s="1007"/>
      <c r="U237" s="878"/>
      <c r="V237" s="881"/>
      <c r="W237" s="884"/>
      <c r="X237" s="884"/>
      <c r="Y237" s="887"/>
      <c r="Z237" s="887"/>
      <c r="AA237" s="887"/>
      <c r="AB237" s="1081"/>
      <c r="AC237" s="1078"/>
      <c r="AD237" s="1070" t="str">
        <f t="shared" si="3099"/>
        <v>Engineered Lumber</v>
      </c>
      <c r="AE237" s="1071"/>
      <c r="AF237" s="1052"/>
      <c r="AG237" s="1053"/>
      <c r="AH237" s="1053"/>
      <c r="AI237" s="1068"/>
      <c r="AJ237" s="1069"/>
      <c r="AK237" s="154" t="str">
        <f t="shared" ca="1" si="3667"/>
        <v/>
      </c>
      <c r="AL237" s="1059"/>
      <c r="AM237" s="344" t="str">
        <f ca="1">IFERROR(Q227/12*ROUND(VLOOKUP(AF237,OFFSET(ELM,0,1),6,FALSE),2),"")</f>
        <v/>
      </c>
      <c r="AN237" t="str">
        <f t="shared" ca="1" si="3717"/>
        <v/>
      </c>
      <c r="AP237" s="122" t="str">
        <f t="shared" ref="AP237" si="3843">_xlfn.CONCAT(AR237,AS238)</f>
        <v/>
      </c>
      <c r="AQ237" s="683" t="str">
        <f t="shared" si="2617"/>
        <v/>
      </c>
      <c r="AR237" s="4" t="str">
        <f t="shared" si="3642"/>
        <v/>
      </c>
      <c r="AS237" s="4"/>
      <c r="AT237" s="697" t="str">
        <f>AL233</f>
        <v/>
      </c>
      <c r="AU237" s="694" t="e">
        <f t="shared" ca="1" si="2633"/>
        <v>#REF!</v>
      </c>
      <c r="AV237" s="698" t="str">
        <f ca="1">IFERROR(VLOOKUP(AU237,INDIRECT(AQ227),2,FALSE),"----")</f>
        <v>----</v>
      </c>
      <c r="AW237" s="694" t="e">
        <f t="shared" ca="1" si="2634"/>
        <v>#REF!</v>
      </c>
      <c r="AX237" s="698" t="str">
        <f ca="1">IFERROR(VLOOKUP(AW237,INDIRECT(AQ228),2,FALSE),"----")</f>
        <v>----</v>
      </c>
      <c r="AY237" s="694" t="e">
        <f t="shared" ca="1" si="3352"/>
        <v>#REF!</v>
      </c>
      <c r="AZ237" s="698" t="str">
        <f ca="1">IFERROR(VLOOKUP(AY237,INDIRECT(AQ229),2,FALSE),"----")</f>
        <v>----</v>
      </c>
      <c r="BA237" s="694" t="e">
        <f t="shared" ca="1" si="3353"/>
        <v>#REF!</v>
      </c>
      <c r="BB237" s="698" t="str">
        <f ca="1">IFERROR(VLOOKUP(BA237,INDIRECT(AQ230),2,FALSE),"----")</f>
        <v>----</v>
      </c>
      <c r="BC237" s="694" t="e">
        <f t="shared" ca="1" si="2635"/>
        <v>#REF!</v>
      </c>
      <c r="BD237" s="698" t="str">
        <f ca="1">IFERROR(VLOOKUP(BC237,INDIRECT(AQ231),2,FALSE),"----")</f>
        <v>----</v>
      </c>
      <c r="BE237" s="694" t="e">
        <f t="shared" ca="1" si="2636"/>
        <v>#REF!</v>
      </c>
      <c r="BF237" s="698" t="str">
        <f ca="1">IFERROR(VLOOKUP(BE237,INDIRECT(AQ232),2,FALSE),"----")</f>
        <v>----</v>
      </c>
      <c r="BG237" s="702" t="e">
        <f t="shared" ca="1" si="2637"/>
        <v>#REF!</v>
      </c>
      <c r="BH237" s="686" t="str">
        <f ca="1">IFERROR(VLOOKUP(BG237,INDIRECT(AQ233),2,FALSE),"----")</f>
        <v>----</v>
      </c>
      <c r="BI237" s="702" t="e">
        <f t="shared" ca="1" si="2638"/>
        <v>#REF!</v>
      </c>
      <c r="BJ237" s="686" t="str">
        <f ca="1">IFERROR(VLOOKUP(BI237,INDIRECT(AQ234),2,FALSE),"----")</f>
        <v>----</v>
      </c>
      <c r="BK237" s="702" t="e">
        <f t="shared" ca="1" si="2639"/>
        <v>#REF!</v>
      </c>
      <c r="BL237" s="686" t="str">
        <f ca="1">IFERROR(VLOOKUP(BK237,INDIRECT(AQ235),2,FALSE),"----")</f>
        <v>----</v>
      </c>
      <c r="BM237" s="702" t="e">
        <f t="shared" ca="1" si="2640"/>
        <v>#REF!</v>
      </c>
      <c r="BN237" s="686" t="str">
        <f ca="1">IFERROR(VLOOKUP(BM237,INDIRECT(AQ236),2,FALSE),"----")</f>
        <v>----</v>
      </c>
      <c r="BO237" s="702" t="e">
        <f t="shared" ca="1" si="2641"/>
        <v>#REF!</v>
      </c>
      <c r="BP237" s="686" t="str">
        <f ca="1">IFERROR(VLOOKUP(BO237,INDIRECT(AQ237),2,FALSE),"----")</f>
        <v>----</v>
      </c>
      <c r="BQ237" s="702" t="e">
        <f t="shared" ca="1" si="2642"/>
        <v>#REF!</v>
      </c>
      <c r="BR237" s="686" t="str">
        <f ca="1">IFERROR(VLOOKUP(BQ237,INDIRECT(AQ238),2,FALSE),"----")</f>
        <v>----</v>
      </c>
      <c r="BS237" s="695">
        <f>IF(AI237="",1,IF(COUNTIF(BP227:BP238,AI237)=0,2,1))</f>
        <v>1</v>
      </c>
      <c r="BT237" s="696">
        <f>IF(AF237="",1,IF(BP227=".",2,1))</f>
        <v>1</v>
      </c>
      <c r="BU237" s="706"/>
      <c r="BV237" s="155">
        <f ca="1">IF(COUNTIF(EC227:EC238,AF237)=0,IF(AF237&lt;&gt;"",0,1),1)</f>
        <v>1</v>
      </c>
      <c r="BW237" s="157">
        <f ca="1">IFERROR(MATCH(AF237,EC227:EC238,0),1)</f>
        <v>1</v>
      </c>
      <c r="BX237" s="769"/>
      <c r="BY237" s="769"/>
      <c r="BZ237" s="1110"/>
      <c r="CA237" s="691" t="e">
        <f t="shared" ca="1" si="3681"/>
        <v>#REF!</v>
      </c>
      <c r="CB237" s="4" t="e" cm="1">
        <f t="array" aca="1" ref="CB237" ca="1">IF(AND(INDEX(INDIRECT(BY227),CA237,4)&gt;=$AB227,INDEX(INDIRECT(BY227),CA237,5)&gt;=$S227,INDEX(INDIRECT(BY227),CA237,6)&gt;=$R227),1,0)</f>
        <v>#REF!</v>
      </c>
      <c r="CC237" s="4" t="e">
        <f t="shared" ref="CC237" ca="1" si="3844">MATCH(1,OFFSET(CB227:CB238,CD236,0,COUNT(CB227:CB238)-CD236),0)</f>
        <v>#REF!</v>
      </c>
      <c r="CD237" s="4" t="e">
        <f t="shared" ca="1" si="3683"/>
        <v>#REF!</v>
      </c>
      <c r="CE237" s="692" t="str" cm="1">
        <f t="array" aca="1" ref="CE237" ca="1">IFERROR(VLOOKUP(INDEX(CA227:CA238,CD237),INDIRECT(BY227),2,FALSE),"----")</f>
        <v>----</v>
      </c>
      <c r="CF237" s="691" t="e">
        <f t="shared" ca="1" si="3684"/>
        <v>#N/A</v>
      </c>
      <c r="CG237" s="4" t="e">
        <f ca="1">IF(AND(INDEX(SSM,CF237,4)&gt;=$AB227,INDEX(SSM,CF237,5)&gt;=$S227,INDEX(SSM,CF237,6)&gt;=$R227),1,0)</f>
        <v>#N/A</v>
      </c>
      <c r="CH237" s="4" t="e">
        <f t="shared" ref="CH237" ca="1" si="3845">MATCH(1,OFFSET(CG227:CG238,CI236,0,COUNT(CG227:CG238)-CI236),0)</f>
        <v>#REF!</v>
      </c>
      <c r="CI237" s="4" t="e">
        <f t="shared" ca="1" si="3686"/>
        <v>#REF!</v>
      </c>
      <c r="CJ237" s="692" t="str">
        <f ca="1">IFERROR(IF(AD228="Nested Steel Stud (wood infill)",VLOOKUP(INDEX(CF227:CF238,CI237),SSW,2,FALSE),VLOOKUP(INDEX(CF227:CF238,CI237),SSM,2,FALSE)),"----")</f>
        <v>----</v>
      </c>
      <c r="CK237" s="691" t="e">
        <f t="shared" ca="1" si="3687"/>
        <v>#N/A</v>
      </c>
      <c r="CL237" s="4" t="e">
        <f ca="1">IF(AND(INDEX(WSM,CK237,4)&gt;=$AB227,INDEX(WSM,CK237,5)&gt;=$S227,INDEX(WSM,CK237,6)&gt;=$R227),1,0)</f>
        <v>#N/A</v>
      </c>
      <c r="CM237" s="4" t="e">
        <f t="shared" ref="CM237" ca="1" si="3846">MATCH(1,OFFSET(CL227:CL238,CN236,0,COUNT(CL227:CL238)-CN236),0)</f>
        <v>#REF!</v>
      </c>
      <c r="CN237" s="4" t="e">
        <f t="shared" ca="1" si="3689"/>
        <v>#REF!</v>
      </c>
      <c r="CO237" s="692" t="str">
        <f ca="1">IFERROR(VLOOKUP(INDEX(CK227:CK238,CN237),WSM,2,FALSE),"----")</f>
        <v>----</v>
      </c>
      <c r="CP237" s="691" t="e">
        <f t="shared" ca="1" si="3690"/>
        <v>#N/A</v>
      </c>
      <c r="CQ237" s="4" t="e">
        <f ca="1">IF(AND(INDEX(STM,CP237,4)&gt;=$AB227,INDEX(STM,CP237,5)&gt;=$S227,INDEX(STM,CP237,6)&gt;=$R227),1,0)</f>
        <v>#N/A</v>
      </c>
      <c r="CR237" s="4" t="e">
        <f t="shared" ref="CR237" ca="1" si="3847">MATCH(1,OFFSET(CQ227:CQ238,CS236,0,COUNT(CQ227:CQ238)-CS236),0)</f>
        <v>#REF!</v>
      </c>
      <c r="CS237" s="4" t="e">
        <f t="shared" ca="1" si="3692"/>
        <v>#REF!</v>
      </c>
      <c r="CT237" s="692" t="str">
        <f ca="1">IFERROR(VLOOKUP(INDEX(CP227:CP238,CS237),STM,2,FALSE),"----")</f>
        <v>----</v>
      </c>
      <c r="CU237" s="691" t="e">
        <f t="shared" ca="1" si="3693"/>
        <v>#N/A</v>
      </c>
      <c r="CV237" s="4" t="e">
        <f ca="1">IF(AND(INDEX(ELM,CU237,4)&gt;=$AB227,INDEX(ELM,CU237,5)&gt;=$S227,INDEX(ELM,CU237,6)&gt;=$R227),1,0)</f>
        <v>#N/A</v>
      </c>
      <c r="CW237" s="4" t="e">
        <f t="shared" ref="CW237" ca="1" si="3848">MATCH(1,OFFSET(CV227:CV238,CX236,0,COUNT(CV227:CV238)-CX236),0)</f>
        <v>#REF!</v>
      </c>
      <c r="CX237" s="4" t="e">
        <f t="shared" ca="1" si="3695"/>
        <v>#REF!</v>
      </c>
      <c r="CY237" s="692" t="str">
        <f ca="1">IFERROR(VLOOKUP(INDEX(CU227:CU238,CX237),ELM,2,FALSE),"----")</f>
        <v>----</v>
      </c>
      <c r="CZ237" s="691" t="e">
        <f t="shared" ca="1" si="3696"/>
        <v>#N/A</v>
      </c>
      <c r="DA237" s="4" t="e">
        <f ca="1">IF(LEFT($J227,7)="Clad Wo",IF(AND(INDEX(SPPWS,CZ237,4)&gt;=$AB227,INDEX(SPPWS,CZ237,5)&gt;=$S227,INDEX(SPPWS,CZ237,6)&gt;=$R227),1,0),IF(AND(INDEX(SPM,CZ237,4)&gt;=$AB227,INDEX(SPM,CZ237,5)&gt;=$S227,INDEX(SPM,CZ237,6)&gt;=$R227),1,0))</f>
        <v>#N/A</v>
      </c>
      <c r="DB237" s="4" t="e">
        <f t="shared" ref="DB237" ca="1" si="3849">MATCH(1,OFFSET(DA227:DA238,DC236,0,COUNT(DA227:DA238)-DC236),0)</f>
        <v>#REF!</v>
      </c>
      <c r="DC237" s="4" t="e">
        <f t="shared" ca="1" si="3698"/>
        <v>#REF!</v>
      </c>
      <c r="DD237" s="693" t="str">
        <f ca="1">IF(LEFT($J227,7)="Clad Wo",IFERROR(VLOOKUP(INDEX(CZ227:CZ238,DC237),SPPWS,2,FALSE),"----"),IFERROR(VLOOKUP(INDEX(CZ227:CZ238,DC237),SPM,2,FALSE),"----"))</f>
        <v>----</v>
      </c>
      <c r="DE237" s="691" t="e">
        <f t="shared" ca="1" si="3699"/>
        <v>#REF!</v>
      </c>
      <c r="DF237" s="4" t="e" cm="1">
        <f t="array" aca="1" ref="DF237" ca="1">IF(AND(INDEX(INDIRECT(BY227),DE237,4)&gt;=$AB233,INDEX(INDIRECT(BY227),DE237,5)&gt;=$S227,INDEX(INDIRECT(BY227),DE237,6)&gt;=$R227),1,0)</f>
        <v>#REF!</v>
      </c>
      <c r="DG237" s="4" t="e">
        <f t="shared" ref="DG237" ca="1" si="3850">MATCH(1,OFFSET(DF227:DF238,DH236,0,COUNT(DF227:DF238)-DH236),0)</f>
        <v>#REF!</v>
      </c>
      <c r="DH237" s="4" t="e">
        <f t="shared" ca="1" si="3701"/>
        <v>#REF!</v>
      </c>
      <c r="DI237" s="692" t="str" cm="1">
        <f t="array" aca="1" ref="DI237" ca="1">IFERROR(VLOOKUP(INDEX(DE227:DE238,DH237),INDIRECT(BY227),2,FALSE),"----")</f>
        <v>----</v>
      </c>
      <c r="DJ237" s="691" t="e">
        <f t="shared" ca="1" si="3702"/>
        <v>#N/A</v>
      </c>
      <c r="DK237" s="4" t="e">
        <f ca="1">IF(AND(INDEX(SSM,DJ237,4)&gt;=$AB233,INDEX(SSM,DJ237,5)&gt;=$S227,INDEX(SSM,DJ237,6)&gt;=$R227),1,0)</f>
        <v>#N/A</v>
      </c>
      <c r="DL237" s="4" t="e">
        <f t="shared" ref="DL237" ca="1" si="3851">MATCH(1,OFFSET(DK227:DK238,DM236,0,COUNT(DK227:DK238)-DM236),0)</f>
        <v>#REF!</v>
      </c>
      <c r="DM237" s="4" t="e">
        <f t="shared" ca="1" si="3704"/>
        <v>#REF!</v>
      </c>
      <c r="DN237" s="692" t="str">
        <f ca="1">IFERROR(IF(AD234="Nested Steel Stud (wood infill)",VLOOKUP(INDEX(DJ227:DJ238,DM237),SSW,2,FALSE),VLOOKUP(INDEX(DJ227:DJ238,DM237),SSM,2,FALSE)),"----")</f>
        <v>----</v>
      </c>
      <c r="DO237" s="691" t="e">
        <f t="shared" ca="1" si="3705"/>
        <v>#N/A</v>
      </c>
      <c r="DP237" s="4" t="e">
        <f ca="1">IF(AND(INDEX(WSM,DO237,4)&gt;=$AB233,INDEX(WSM,DO237,5)&gt;=$S227,INDEX(WSM,DO237,6)&gt;=$R227),1,0)</f>
        <v>#N/A</v>
      </c>
      <c r="DQ237" s="4" t="e">
        <f t="shared" ref="DQ237" ca="1" si="3852">MATCH(1,OFFSET(DP227:DP238,DR236,0,COUNT(DP227:DP238)-DR236),0)</f>
        <v>#REF!</v>
      </c>
      <c r="DR237" s="4" t="e">
        <f t="shared" ca="1" si="3707"/>
        <v>#REF!</v>
      </c>
      <c r="DS237" s="692" t="str">
        <f ca="1">IFERROR(VLOOKUP(INDEX(DO227:DO238,DR237),WSM,2,FALSE),"----")</f>
        <v>----</v>
      </c>
      <c r="DT237" s="691" t="e">
        <f t="shared" ca="1" si="3708"/>
        <v>#N/A</v>
      </c>
      <c r="DU237" s="4" t="e">
        <f ca="1">IF(AND(INDEX(STM,DT237,4)&gt;=$AB233,INDEX(STM,DT237,5)&gt;=$S227,INDEX(STM,DT237,6)&gt;=$R227),1,0)</f>
        <v>#N/A</v>
      </c>
      <c r="DV237" s="4" t="e">
        <f t="shared" ref="DV237" ca="1" si="3853">MATCH(1,OFFSET(DU227:DU238,DW236,0,COUNT(DU227:DU238)-DW236),0)</f>
        <v>#REF!</v>
      </c>
      <c r="DW237" s="4" t="e">
        <f t="shared" ca="1" si="3710"/>
        <v>#REF!</v>
      </c>
      <c r="DX237" s="692" t="str">
        <f ca="1">IFERROR(VLOOKUP(INDEX(DT227:DT238,DW237),STM,2,FALSE),"----")</f>
        <v>----</v>
      </c>
      <c r="DY237" s="691" t="e">
        <f t="shared" ca="1" si="3711"/>
        <v>#N/A</v>
      </c>
      <c r="DZ237" s="4" t="e">
        <f ca="1">IF(AND(INDEX(ELM,DY237,4)&gt;=$AB233,INDEX(ELM,DY237,5)&gt;=$S227,INDEX(ELM,DY237,6)&gt;=$R227),1,0)</f>
        <v>#N/A</v>
      </c>
      <c r="EA237" s="4" t="e">
        <f t="shared" ref="EA237" ca="1" si="3854">MATCH(1,OFFSET(DZ227:DZ238,EB236,0,COUNT(DZ227:DZ238)-EB236),0)</f>
        <v>#REF!</v>
      </c>
      <c r="EB237" s="4" t="e">
        <f t="shared" ca="1" si="3713"/>
        <v>#REF!</v>
      </c>
      <c r="EC237" s="692" t="str">
        <f ca="1">IFERROR(VLOOKUP(INDEX(DY227:DY238,EB237),ELM,2,FALSE),"----")</f>
        <v>----</v>
      </c>
      <c r="ED237" s="691" t="e">
        <f t="shared" ca="1" si="3714"/>
        <v>#N/A</v>
      </c>
      <c r="EE237" s="4" t="e">
        <f ca="1">IF(LEFT($J227,7)="Clad Wo",IF(AND(INDEX(SPPWS,ED237,4)&gt;=$AB233,INDEX(SPPWS,ED237,5)&gt;=$S227,INDEX(SPPWS,ED237,6)&gt;=$R227),1,0),IF(AND(INDEX(SPM,ED237,4)&gt;=$AB233,INDEX(SPM,ED237,5)&gt;=$S227,INDEX(SPM,ED237,6)&gt;=$R227),1,0))</f>
        <v>#N/A</v>
      </c>
      <c r="EF237" s="4" t="e">
        <f t="shared" ref="EF237" ca="1" si="3855">MATCH(1,OFFSET(EE227:EE238,EG236,0,COUNT(EE227:EE238)-EG236),0)</f>
        <v>#REF!</v>
      </c>
      <c r="EG237" s="4" t="e">
        <f t="shared" ca="1" si="3716"/>
        <v>#REF!</v>
      </c>
      <c r="EH237" s="692" t="str">
        <f ca="1">IF(LEFT($J227,7)="Clad Wo",IFERROR(VLOOKUP(INDEX(ED227:ED238,EG237),SPPWS,2,FALSE),"----"),IFERROR(VLOOKUP(INDEX(ED227:ED238,EG237),SPM,2,FALSE),"----"))</f>
        <v>----</v>
      </c>
    </row>
    <row r="238" spans="1:138" ht="15" customHeight="1" thickBot="1" x14ac:dyDescent="0.3">
      <c r="A238" s="1085"/>
      <c r="B238" s="928"/>
      <c r="C238" s="929"/>
      <c r="D238" s="930"/>
      <c r="E238" s="998"/>
      <c r="F238" s="999"/>
      <c r="G238" s="1000"/>
      <c r="H238" s="1063"/>
      <c r="I238" s="991"/>
      <c r="J238" s="904"/>
      <c r="K238" s="905"/>
      <c r="L238" s="1003"/>
      <c r="M238" s="1065"/>
      <c r="N238" s="1043"/>
      <c r="O238" s="1019"/>
      <c r="P238" s="988"/>
      <c r="Q238" s="1016"/>
      <c r="R238" s="1013"/>
      <c r="S238" s="1008"/>
      <c r="T238" s="1009"/>
      <c r="U238" s="879"/>
      <c r="V238" s="882"/>
      <c r="W238" s="885"/>
      <c r="X238" s="885"/>
      <c r="Y238" s="888"/>
      <c r="Z238" s="888"/>
      <c r="AA238" s="888"/>
      <c r="AB238" s="1082"/>
      <c r="AC238" s="1087"/>
      <c r="AD238" s="1098" t="str">
        <f t="shared" ref="AD238" si="3856">IF(LEFT(J227,7)="Clad Wo","Pella Wood Spr / Steel Pte","Steel Plate")</f>
        <v>Steel Plate</v>
      </c>
      <c r="AE238" s="1099"/>
      <c r="AF238" s="1096"/>
      <c r="AG238" s="1097"/>
      <c r="AH238" s="1097"/>
      <c r="AI238" s="1094"/>
      <c r="AJ238" s="1095"/>
      <c r="AK238" s="163" t="str">
        <f t="shared" ca="1" si="3667"/>
        <v/>
      </c>
      <c r="AL238" s="1060"/>
      <c r="AM238" s="345" t="str">
        <f ca="1">IFERROR(Q227/12*ROUND(VLOOKUP(AF238,OFFSET(SPM,0,1),6,FALSE),2),"")</f>
        <v/>
      </c>
      <c r="AN238" t="str">
        <f t="shared" ca="1" si="3717"/>
        <v/>
      </c>
      <c r="AP238" s="699" t="str">
        <f t="shared" ref="AP238" si="3857">_xlfn.CONCAT(AR238,AS238)</f>
        <v/>
      </c>
      <c r="AQ238" s="700" t="str">
        <f t="shared" si="2617"/>
        <v/>
      </c>
      <c r="AR238" s="160" t="str">
        <f t="shared" si="3642"/>
        <v/>
      </c>
      <c r="AS238" s="160" t="str">
        <f>IFERROR(VLOOKUP(J235, WallType,2,FALSE),"")</f>
        <v/>
      </c>
      <c r="AT238" s="707" t="str">
        <f>AL233</f>
        <v/>
      </c>
      <c r="AU238" s="708" t="e">
        <f t="shared" ca="1" si="2633"/>
        <v>#REF!</v>
      </c>
      <c r="AV238" s="709" t="str">
        <f ca="1">IFERROR(VLOOKUP(AU238,INDIRECT(AQ227),2,FALSE),"----")</f>
        <v>----</v>
      </c>
      <c r="AW238" s="710" t="e">
        <f t="shared" ca="1" si="2634"/>
        <v>#REF!</v>
      </c>
      <c r="AX238" s="709" t="str">
        <f ca="1">IFERROR(VLOOKUP(AW238,INDIRECT(AQ228),2,FALSE),"----")</f>
        <v>----</v>
      </c>
      <c r="AY238" s="710" t="e">
        <f t="shared" ca="1" si="3352"/>
        <v>#REF!</v>
      </c>
      <c r="AZ238" s="709" t="str">
        <f ca="1">IFERROR(VLOOKUP(AY238,INDIRECT(AQ229),2,FALSE),"----")</f>
        <v>----</v>
      </c>
      <c r="BA238" s="710" t="e">
        <f t="shared" ca="1" si="3353"/>
        <v>#REF!</v>
      </c>
      <c r="BB238" s="709" t="str">
        <f ca="1">IFERROR(VLOOKUP(BA238,INDIRECT(AQ230),2,FALSE),"----")</f>
        <v>----</v>
      </c>
      <c r="BC238" s="710" t="e">
        <f t="shared" ca="1" si="2635"/>
        <v>#REF!</v>
      </c>
      <c r="BD238" s="709" t="str">
        <f ca="1">IFERROR(VLOOKUP(BC238,INDIRECT(AQ231),2,FALSE),"----")</f>
        <v>----</v>
      </c>
      <c r="BE238" s="710" t="e">
        <f t="shared" ca="1" si="2636"/>
        <v>#REF!</v>
      </c>
      <c r="BF238" s="709" t="str">
        <f ca="1">IFERROR(VLOOKUP(BE238,INDIRECT(AQ232),2,FALSE),"----")</f>
        <v>----</v>
      </c>
      <c r="BG238" s="710" t="e">
        <f t="shared" ca="1" si="2637"/>
        <v>#REF!</v>
      </c>
      <c r="BH238" s="711" t="str">
        <f ca="1">IFERROR(VLOOKUP(BG238,INDIRECT(AQ233),2,FALSE),"----")</f>
        <v>----</v>
      </c>
      <c r="BI238" s="710" t="e">
        <f t="shared" ca="1" si="2638"/>
        <v>#REF!</v>
      </c>
      <c r="BJ238" s="711" t="str">
        <f ca="1">IFERROR(VLOOKUP(BI238,INDIRECT(AQ234),2,FALSE),"----")</f>
        <v>----</v>
      </c>
      <c r="BK238" s="710" t="e">
        <f t="shared" ca="1" si="2639"/>
        <v>#REF!</v>
      </c>
      <c r="BL238" s="711" t="str">
        <f ca="1">IFERROR(VLOOKUP(BK238,INDIRECT(AQ235),2,FALSE),"----")</f>
        <v>----</v>
      </c>
      <c r="BM238" s="710" t="e">
        <f t="shared" ca="1" si="2640"/>
        <v>#REF!</v>
      </c>
      <c r="BN238" s="711" t="str">
        <f ca="1">IFERROR(VLOOKUP(BM238,INDIRECT(AQ236),2,FALSE),"----")</f>
        <v>----</v>
      </c>
      <c r="BO238" s="710" t="e">
        <f t="shared" ca="1" si="2641"/>
        <v>#REF!</v>
      </c>
      <c r="BP238" s="711" t="str">
        <f ca="1">IFERROR(VLOOKUP(BO238,INDIRECT(AQ237),2,FALSE),"----")</f>
        <v>----</v>
      </c>
      <c r="BQ238" s="710" t="e">
        <f t="shared" ca="1" si="2642"/>
        <v>#REF!</v>
      </c>
      <c r="BR238" s="712" t="str">
        <f ca="1">IFERROR(VLOOKUP(BQ238,INDIRECT(AQ238),2,FALSE),"----")</f>
        <v>----</v>
      </c>
      <c r="BS238" s="695">
        <f>IF(AI238="",1,IF(COUNTIF(BR227:BR238,AI238)=0,2,1))</f>
        <v>1</v>
      </c>
      <c r="BT238" s="713">
        <f>IF(AF238="",1,IF(BR227=".",2,1))</f>
        <v>1</v>
      </c>
      <c r="BV238" s="155">
        <f ca="1">IF(COUNTIF(EH227:EH238,AF238)=0,IF(AF238&lt;&gt;"",0,1),1)</f>
        <v>1</v>
      </c>
      <c r="BW238" s="157">
        <f ca="1">IFERROR(MATCH(AF238,EH227:EH238,0),1)</f>
        <v>1</v>
      </c>
      <c r="BX238" s="718"/>
      <c r="BY238" s="777"/>
      <c r="BZ238" s="1110"/>
      <c r="CA238" s="714" t="e">
        <f t="shared" ca="1" si="3681"/>
        <v>#REF!</v>
      </c>
      <c r="CB238" s="715" t="e" cm="1">
        <f t="array" aca="1" ref="CB238" ca="1">IF(AND(INDEX(INDIRECT(BY227),CA238,4)&gt;=$AB227,INDEX(INDIRECT(BY227),CA238,5)&gt;=$S227,INDEX(INDIRECT(BY227),CA238,6)&gt;=$R227),1,0)</f>
        <v>#REF!</v>
      </c>
      <c r="CC238" s="715" t="e">
        <f t="shared" ref="CC238" ca="1" si="3858">MATCH(1,OFFSET(CB227:CB238,CD237,0,COUNT(CB227:CB238)-CD237),0)</f>
        <v>#REF!</v>
      </c>
      <c r="CD238" s="715" t="e">
        <f t="shared" ca="1" si="3683"/>
        <v>#REF!</v>
      </c>
      <c r="CE238" s="716" t="str" cm="1">
        <f t="array" aca="1" ref="CE238" ca="1">IFERROR(VLOOKUP(INDEX(CA227:CA238,CD238),INDIRECT(BY227),2,FALSE),"----")</f>
        <v>----</v>
      </c>
      <c r="CF238" s="714" t="e">
        <f t="shared" ca="1" si="3684"/>
        <v>#N/A</v>
      </c>
      <c r="CG238" s="715" t="e">
        <f ca="1">IF(AND(INDEX(SSM,CF238,4)&gt;=$AB227,INDEX(SSM,CF238,5)&gt;=$S227,INDEX(SSM,CF238,6)&gt;=$R227),1,0)</f>
        <v>#N/A</v>
      </c>
      <c r="CH238" s="715" t="e">
        <f t="shared" ref="CH238" ca="1" si="3859">MATCH(1,OFFSET(CG227:CG238,CI237,0,COUNT(CG227:CG238)-CI237),0)</f>
        <v>#REF!</v>
      </c>
      <c r="CI238" s="715" t="e">
        <f t="shared" ca="1" si="3686"/>
        <v>#REF!</v>
      </c>
      <c r="CJ238" s="716" t="str">
        <f ca="1">IFERROR(IF(AD228="Nested Steel Stud (wood infill)",VLOOKUP(INDEX(CF227:CF238,CI238),SSW,2,FALSE),VLOOKUP(INDEX(CF227:CF238,CI238),SSM,2,FALSE)),"----")</f>
        <v>----</v>
      </c>
      <c r="CK238" s="714" t="e">
        <f t="shared" ca="1" si="3687"/>
        <v>#N/A</v>
      </c>
      <c r="CL238" s="715" t="e">
        <f ca="1">IF(AND(INDEX(WSM,CK238,4)&gt;=$AB227,INDEX(WSM,CK238,5)&gt;=$S227,INDEX(WSM,CK238,6)&gt;=$R227),1,0)</f>
        <v>#N/A</v>
      </c>
      <c r="CM238" s="715" t="e">
        <f t="shared" ref="CM238" ca="1" si="3860">MATCH(1,OFFSET(CL227:CL238,CN237,0,COUNT(CL227:CL238)-CN237),0)</f>
        <v>#REF!</v>
      </c>
      <c r="CN238" s="715" t="e">
        <f t="shared" ca="1" si="3689"/>
        <v>#REF!</v>
      </c>
      <c r="CO238" s="716" t="str">
        <f ca="1">IFERROR(VLOOKUP(INDEX(CK227:CK238,CN238),WSM,2,FALSE),"----")</f>
        <v>----</v>
      </c>
      <c r="CP238" s="714" t="e">
        <f t="shared" ca="1" si="3690"/>
        <v>#N/A</v>
      </c>
      <c r="CQ238" s="715" t="e">
        <f ca="1">IF(AND(INDEX(STM,CP238,4)&gt;=$AB227,INDEX(STM,CP238,5)&gt;=$S227,INDEX(STM,CP238,6)&gt;=$R227),1,0)</f>
        <v>#N/A</v>
      </c>
      <c r="CR238" s="715" t="e">
        <f t="shared" ref="CR238" ca="1" si="3861">MATCH(1,OFFSET(CQ227:CQ238,CS237,0,COUNT(CQ227:CQ238)-CS237),0)</f>
        <v>#REF!</v>
      </c>
      <c r="CS238" s="715" t="e">
        <f t="shared" ca="1" si="3692"/>
        <v>#REF!</v>
      </c>
      <c r="CT238" s="716" t="str">
        <f ca="1">IFERROR(VLOOKUP(INDEX(CP227:CP238,CS238),STM,2,FALSE),"----")</f>
        <v>----</v>
      </c>
      <c r="CU238" s="714" t="e">
        <f t="shared" ca="1" si="3693"/>
        <v>#N/A</v>
      </c>
      <c r="CV238" s="715" t="e">
        <f ca="1">IF(AND(INDEX(ELM,CU238,4)&gt;=$AB227,INDEX(ELM,CU238,5)&gt;=$S227,INDEX(ELM,CU238,6)&gt;=$R227),1,0)</f>
        <v>#N/A</v>
      </c>
      <c r="CW238" s="715" t="e">
        <f t="shared" ref="CW238" ca="1" si="3862">MATCH(1,OFFSET(CV227:CV238,CX237,0,COUNT(CV227:CV238)-CX237),0)</f>
        <v>#REF!</v>
      </c>
      <c r="CX238" s="715" t="e">
        <f t="shared" ca="1" si="3695"/>
        <v>#REF!</v>
      </c>
      <c r="CY238" s="716" t="str">
        <f ca="1">IFERROR(VLOOKUP(INDEX(CU227:CU238,CX238),ELM,2,FALSE),"----")</f>
        <v>----</v>
      </c>
      <c r="CZ238" s="714" t="e">
        <f t="shared" ca="1" si="3696"/>
        <v>#N/A</v>
      </c>
      <c r="DA238" s="715" t="e">
        <f ca="1">IF(LEFT($J227,7)="Clad Wo",IF(AND(INDEX(SPPWS,CZ238,4)&gt;=$AB227,INDEX(SPPWS,CZ238,5)&gt;=$S227,INDEX(SPPWS,CZ238,6)&gt;=$R227),1,0),IF(AND(INDEX(SPM,CZ238,4)&gt;=$AB227,INDEX(SPM,CZ238,5)&gt;=$S227,INDEX(SPM,CZ238,6)&gt;=$R227),1,0))</f>
        <v>#N/A</v>
      </c>
      <c r="DB238" s="715" t="e">
        <f t="shared" ref="DB238" ca="1" si="3863">MATCH(1,OFFSET(DA227:DA238,DC237,0,COUNT(DA227:DA238)-DC237),0)</f>
        <v>#REF!</v>
      </c>
      <c r="DC238" s="715" t="e">
        <f t="shared" ca="1" si="3698"/>
        <v>#REF!</v>
      </c>
      <c r="DD238" s="717" t="str">
        <f ca="1">IF(LEFT($J227,7)="Clad Wo",IFERROR(VLOOKUP(INDEX(CZ227:CZ238,DC238),SPPWS,2,FALSE),"----"),IFERROR(VLOOKUP(INDEX(CZ227:CZ238,DC238),SPM,2,FALSE),"----"))</f>
        <v>----</v>
      </c>
      <c r="DE238" s="714" t="e">
        <f t="shared" ca="1" si="3699"/>
        <v>#REF!</v>
      </c>
      <c r="DF238" s="715" t="e" cm="1">
        <f t="array" aca="1" ref="DF238" ca="1">IF(AND(INDEX(INDIRECT(BY227),DE238,4)&gt;=$AB233,INDEX(INDIRECT(BY227),DE238,5)&gt;=$S227,INDEX(INDIRECT(BY227),DE238,6)&gt;=$R227),1,0)</f>
        <v>#REF!</v>
      </c>
      <c r="DG238" s="715" t="e">
        <f t="shared" ref="DG238" ca="1" si="3864">MATCH(1,OFFSET(DF227:DF238,DH237,0,COUNT(DF227:DF238)-DH237),0)</f>
        <v>#REF!</v>
      </c>
      <c r="DH238" s="715" t="e">
        <f t="shared" ca="1" si="3701"/>
        <v>#REF!</v>
      </c>
      <c r="DI238" s="716" t="str" cm="1">
        <f t="array" aca="1" ref="DI238" ca="1">IFERROR(VLOOKUP(INDEX(DE227:DE238,DH238),INDIRECT(BY227),2,FALSE),"----")</f>
        <v>----</v>
      </c>
      <c r="DJ238" s="714" t="e">
        <f t="shared" ca="1" si="3702"/>
        <v>#N/A</v>
      </c>
      <c r="DK238" s="715" t="e">
        <f ca="1">IF(AND(INDEX(SSM,DJ238,4)&gt;=$AB233,INDEX(SSM,DJ238,5)&gt;=$S227,INDEX(SSM,DJ238,6)&gt;=$R227),1,0)</f>
        <v>#N/A</v>
      </c>
      <c r="DL238" s="715" t="e">
        <f t="shared" ref="DL238" ca="1" si="3865">MATCH(1,OFFSET(DK227:DK238,DM237,0,COUNT(DK227:DK238)-DM237),0)</f>
        <v>#REF!</v>
      </c>
      <c r="DM238" s="715" t="e">
        <f t="shared" ca="1" si="3704"/>
        <v>#REF!</v>
      </c>
      <c r="DN238" s="716" t="str">
        <f ca="1">IFERROR(IF(AD234="Nested Steel Stud (wood infill)",VLOOKUP(INDEX(DJ227:DJ238,DM238),SSW,2,FALSE),VLOOKUP(INDEX(DJ227:DJ238,DM238),SSM,2,FALSE)),"----")</f>
        <v>----</v>
      </c>
      <c r="DO238" s="714" t="e">
        <f t="shared" ca="1" si="3705"/>
        <v>#N/A</v>
      </c>
      <c r="DP238" s="715" t="e">
        <f ca="1">IF(AND(INDEX(WSM,DO238,4)&gt;=$AB233,INDEX(WSM,DO238,5)&gt;=$S227,INDEX(WSM,DO238,6)&gt;=$R227),1,0)</f>
        <v>#N/A</v>
      </c>
      <c r="DQ238" s="715" t="e">
        <f t="shared" ref="DQ238" ca="1" si="3866">MATCH(1,OFFSET(DP227:DP238,DR237,0,COUNT(DP227:DP238)-DR237),0)</f>
        <v>#REF!</v>
      </c>
      <c r="DR238" s="715" t="e">
        <f t="shared" ca="1" si="3707"/>
        <v>#REF!</v>
      </c>
      <c r="DS238" s="716" t="str">
        <f ca="1">IFERROR(VLOOKUP(INDEX(DO227:DO238,DR238),WSM,2,FALSE),"----")</f>
        <v>----</v>
      </c>
      <c r="DT238" s="714" t="e">
        <f t="shared" ca="1" si="3708"/>
        <v>#N/A</v>
      </c>
      <c r="DU238" s="715" t="e">
        <f ca="1">IF(AND(INDEX(STM,DT238,4)&gt;=$AB233,INDEX(STM,DT238,5)&gt;=$S227,INDEX(STM,DT238,6)&gt;=$R227),1,0)</f>
        <v>#N/A</v>
      </c>
      <c r="DV238" s="715" t="e">
        <f t="shared" ref="DV238" ca="1" si="3867">MATCH(1,OFFSET(DU227:DU238,DW237,0,COUNT(DU227:DU238)-DW237),0)</f>
        <v>#REF!</v>
      </c>
      <c r="DW238" s="715" t="e">
        <f t="shared" ca="1" si="3710"/>
        <v>#REF!</v>
      </c>
      <c r="DX238" s="716" t="str">
        <f ca="1">IFERROR(VLOOKUP(INDEX(DT227:DT238,DW238),STM,2,FALSE),"----")</f>
        <v>----</v>
      </c>
      <c r="DY238" s="714" t="e">
        <f t="shared" ca="1" si="3711"/>
        <v>#N/A</v>
      </c>
      <c r="DZ238" s="715" t="e">
        <f ca="1">IF(AND(INDEX(ELM,DY238,4)&gt;=$AB233,INDEX(ELM,DY238,5)&gt;=$S227,INDEX(ELM,DY238,6)&gt;=$R227),1,0)</f>
        <v>#N/A</v>
      </c>
      <c r="EA238" s="715" t="e">
        <f t="shared" ref="EA238" ca="1" si="3868">MATCH(1,OFFSET(DZ227:DZ238,EB237,0,COUNT(DZ227:DZ238)-EB237),0)</f>
        <v>#REF!</v>
      </c>
      <c r="EB238" s="715" t="e">
        <f t="shared" ca="1" si="3713"/>
        <v>#REF!</v>
      </c>
      <c r="EC238" s="716" t="str">
        <f ca="1">IFERROR(VLOOKUP(INDEX(DY227:DY238,EB238),ELM,2,FALSE),"----")</f>
        <v>----</v>
      </c>
      <c r="ED238" s="714" t="e">
        <f t="shared" ca="1" si="3714"/>
        <v>#N/A</v>
      </c>
      <c r="EE238" s="715" t="e">
        <f ca="1">IF(LEFT($J227,7)="Clad Wo",IF(AND(INDEX(SPPWS,ED238,4)&gt;=$AB233,INDEX(SPPWS,ED238,5)&gt;=$S227,INDEX(SPPWS,ED238,6)&gt;=$R227),1,0),IF(AND(INDEX(SPM,ED238,4)&gt;=$AB233,INDEX(SPM,ED238,5)&gt;=$S227,INDEX(SPM,ED238,6)&gt;=$R227),1,0))</f>
        <v>#N/A</v>
      </c>
      <c r="EF238" s="715" t="e">
        <f t="shared" ref="EF238" ca="1" si="3869">MATCH(1,OFFSET(EE227:EE238,EG237,0,COUNT(EE227:EE238)-EG237),0)</f>
        <v>#REF!</v>
      </c>
      <c r="EG238" s="715" t="e">
        <f t="shared" ca="1" si="3716"/>
        <v>#REF!</v>
      </c>
      <c r="EH238" s="716" t="str">
        <f ca="1">IF(LEFT($J227,7)="Clad Wo",IFERROR(VLOOKUP(INDEX(ED227:ED238,EG238),SPPWS,2,FALSE),"----"),IFERROR(VLOOKUP(INDEX(ED227:ED238,EG238),SPM,2,FALSE),"----"))</f>
        <v>----</v>
      </c>
    </row>
    <row r="239" spans="1:138" ht="15" customHeight="1" thickTop="1" x14ac:dyDescent="0.25">
      <c r="A239" s="1085"/>
      <c r="B239" s="931" t="s">
        <v>92</v>
      </c>
      <c r="C239" s="932"/>
      <c r="D239" s="933"/>
      <c r="E239" s="992"/>
      <c r="F239" s="993"/>
      <c r="G239" s="994"/>
      <c r="H239" s="1061"/>
      <c r="I239" s="989"/>
      <c r="J239" s="906"/>
      <c r="K239" s="907"/>
      <c r="L239" s="1001">
        <f>$W$3</f>
        <v>4</v>
      </c>
      <c r="M239" s="923" t="str">
        <f t="shared" ref="M239" si="3870">IFERROR(IF($AE$13="",IF($AG$19="Wind Loading",MIN($V$31,IF(E$11="ASCE 7-05",$U$26,$V$7)*$V$9*(IF($E$12&lt;60,0.0771*LN(MAX(MIN(500,O239),10)) -1.2737,IF($E$11="ASCE 7-22",0.0524*LN(MAX(MIN(500,O239),50))-1.0278,0.0614*LN(MAX(MIN(500,O239),20)) -1.0829))-$V$8)),$V$7*IF(E$12&lt;60,$V$13*($V$15*0.0771*LN(MAX(MIN(500,O239),10))-1.2737-$V$16),$V$13*$V$15*((0.0524*LN(MAX(MIN(500,O239),20))-1.0278)-$V$16))),-ABS($AE$13)),"")</f>
        <v/>
      </c>
      <c r="N239" s="1042" t="str">
        <f t="shared" ref="N239" si="3871">IFERROR(IF($AE$15="",IF($AG$19="Wind Loading",MAX($U$31,IF(E$11="ASCE 7-05",$U$26,$V$7)*$V$9*((IF($E$12&lt;60,-0.077*LN(MAX(MIN(500,O239),10))+1.1737,IF($E$11="ASCE 7-22",-0.077*LN(MAX(MIN(500,O239),20))+1.0798,-0.093*LN(MAX(MIN(500,O239),20))+1.1776)))+$V$8)),$V$7*IF(E$12&lt;60,$V$13*($V$15*(-0.077*LN(MAX(MIN(500,O239),10))+1.1737)-$V$17),$V$13*$V$15*((-0.077*LN(MAX(MIN(500,O239),20))+1.0798)-$V$17))),ABS($AE$15)),"")</f>
        <v/>
      </c>
      <c r="O239" s="1017" t="str">
        <f>IF(BX246=0,"",IF(AG$14="Trapezoidal",BY246,BX246))</f>
        <v/>
      </c>
      <c r="P239" s="986"/>
      <c r="Q239" s="1014"/>
      <c r="R239" s="1011">
        <f>P239*Q239/8</f>
        <v>0</v>
      </c>
      <c r="S239" s="1004">
        <f t="shared" ref="S239" si="3872">IF(5*(P239*Q239^3/(384*0.125))=0,0,5*(P239*Q239^3/(384*0.125)))</f>
        <v>0</v>
      </c>
      <c r="T239" s="1005"/>
      <c r="U239" s="877" t="e">
        <f ca="1">VLOOKUP(J243,INDIRECT(VLOOKUP(J239,FrameStrength,2,FALSE)),3,FALSE)</f>
        <v>#N/A</v>
      </c>
      <c r="V239" s="880">
        <f t="shared" ref="V239" si="3873">(H239+I239)/2</f>
        <v>0</v>
      </c>
      <c r="W239" s="883" t="e">
        <f t="shared" ref="W239" si="3874">MAX(-M239,N239)*O239</f>
        <v>#VALUE!</v>
      </c>
      <c r="X239" s="883">
        <f t="shared" ref="X239" si="3875">IF(E239&gt;162,(E239/240+0.25),IF(AND(E239&lt;162,E239/175&lt;0.75),E239/175,0.75))</f>
        <v>0</v>
      </c>
      <c r="Y239" s="886">
        <f>IFERROR(IF(AG$14="Trapezoidal",BY247,BX247)+IF($E$17="4",(400*E239^3)/(48*X239),0),0)</f>
        <v>0</v>
      </c>
      <c r="Z239" s="886" t="e">
        <f t="shared" ref="Z239" si="3876">+($V239*MAX(-$M239,$N239)*$E239^2)/(144*8)+IF($E$17=4,(400*$E239)/4,0)</f>
        <v>#VALUE!</v>
      </c>
      <c r="AA239" s="886" t="e">
        <f ca="1">VLOOKUP(J243,INDIRECT(VLOOKUP(J239,FrameStrength,2,FALSE)),2,FALSE)</f>
        <v>#N/A</v>
      </c>
      <c r="AB239" s="1083" t="str">
        <f t="shared" ref="AB239" ca="1" si="3877">IFERROR(Z239-AA239,"")</f>
        <v/>
      </c>
      <c r="AC239" s="1077" t="str">
        <f t="shared" ref="AC239" ca="1" si="3878">IFERROR(Y239-U239,"")</f>
        <v/>
      </c>
      <c r="AD239" s="1100" t="str">
        <f>IFERROR(IF(LEFT(J243,2)="As",VLOOKUP(J243,EIMM,4,FALSE),VLOOKUP(J239,EIMM,4,FALSE)),IF(AND(ISNUMBER(SEARCH("Impervia",J239)),ISNUMBER(SEARCH("door",J243))),'New Lookup Cells'!AF$10,IF(ISNUMBER(SEARCH("Impervia",J239)),'New Lookup Cells'!AF$7,IF(AND(ISNUMBER(SEARCH("250",J239)),ISNUMBER(SEARCH("door",J243))),'New Lookup Cells'!AF$14,IF(ISNUMBER(SEARCH("250",J239)),'New Lookup Cells'!AF$13,"")))))</f>
        <v/>
      </c>
      <c r="AE239" s="1101"/>
      <c r="AF239" s="1050"/>
      <c r="AG239" s="1051"/>
      <c r="AH239" s="1051"/>
      <c r="AI239" s="1088"/>
      <c r="AJ239" s="1089"/>
      <c r="AK239" s="154" t="str">
        <f t="shared" ca="1" si="3667"/>
        <v/>
      </c>
      <c r="AL239" s="1038" t="str">
        <f t="shared" ref="AL239" si="3879">IFERROR(ROUND(SQRT(P239^2+(W239/2+IF($E$17=4,200,0))^2),0),"")</f>
        <v/>
      </c>
      <c r="AM239" s="342" t="s">
        <v>669</v>
      </c>
      <c r="AN239" t="str">
        <f t="shared" ca="1" si="3717"/>
        <v/>
      </c>
      <c r="AP239" s="122" t="str">
        <f t="shared" ref="AP239" si="3880">_xlfn.CONCAT(AR239,AS244)</f>
        <v/>
      </c>
      <c r="AQ239" s="683" t="str">
        <f t="shared" ref="AQ239:AQ302" si="3881">IFERROR(LEFT(AP239,LEN(AP239)-1),"")</f>
        <v/>
      </c>
      <c r="AR239" s="96" t="str">
        <f t="shared" si="3642"/>
        <v/>
      </c>
      <c r="AS239" s="96" t="str">
        <f>IF(COUNTIF(imp_1,AF239)=1,"imp_1",IF(COUNTIF(imp_2,AF239)=1,"imp_2",IF(COUNTIF(imp_3,AF239)=1,"imp_3",IF(COUNTIF(impdoor,AF239)=1,"impdoor",""))))</f>
        <v/>
      </c>
      <c r="AT239" s="684" t="str">
        <f>AL239</f>
        <v/>
      </c>
      <c r="AU239" s="685" t="e">
        <f ca="1">MATCH(AL239,INDIRECT(AP239),-1)</f>
        <v>#REF!</v>
      </c>
      <c r="AV239" s="686" t="str">
        <f ca="1">IFERROR(VLOOKUP(AU239,INDIRECT(AQ239),2,FALSE),"----")</f>
        <v>----</v>
      </c>
      <c r="AW239" s="685" t="e">
        <f ca="1">MATCH(AL239,INDIRECT(AP240),-1)</f>
        <v>#REF!</v>
      </c>
      <c r="AX239" s="686" t="str">
        <f ca="1">IFERROR(VLOOKUP(AW239,INDIRECT(AQ240),2,FALSE),"----")</f>
        <v>----</v>
      </c>
      <c r="AY239" s="685" t="e">
        <f ca="1">MATCH(AL239,INDIRECT(AP241),-1)</f>
        <v>#REF!</v>
      </c>
      <c r="AZ239" s="686" t="str">
        <f ca="1">IFERROR(VLOOKUP(AY239,INDIRECT(AQ241),2,FALSE),"----")</f>
        <v>----</v>
      </c>
      <c r="BA239" s="685" t="e">
        <f ca="1">MATCH(AL239,INDIRECT(AP242),-1)</f>
        <v>#REF!</v>
      </c>
      <c r="BB239" s="686" t="str">
        <f ca="1">IFERROR(VLOOKUP(BA239,INDIRECT(AQ242),2,FALSE),"----")</f>
        <v>----</v>
      </c>
      <c r="BC239" s="685" t="e">
        <f ca="1">MATCH(AL239,INDIRECT(AP243),-1)</f>
        <v>#REF!</v>
      </c>
      <c r="BD239" s="686" t="str">
        <f ca="1">IFERROR(VLOOKUP(BC239,INDIRECT(AQ243),2,FALSE),"----")</f>
        <v>----</v>
      </c>
      <c r="BE239" s="685" t="e">
        <f ca="1">MATCH(AL239,INDIRECT(AP244),-1)</f>
        <v>#REF!</v>
      </c>
      <c r="BF239" s="686" t="str">
        <f ca="1">IFERROR(VLOOKUP(BE239,INDIRECT(AQ244),2,FALSE),"----")</f>
        <v>----</v>
      </c>
      <c r="BG239" s="685" t="e">
        <f ca="1">MATCH(AL245,INDIRECT(AP245),-1)</f>
        <v>#REF!</v>
      </c>
      <c r="BH239" s="686" t="str">
        <f ca="1">IFERROR(VLOOKUP(BG239,INDIRECT(AQ245),2,FALSE),"----")</f>
        <v>----</v>
      </c>
      <c r="BI239" s="685" t="e">
        <f ca="1">MATCH(AL245,INDIRECT(AP246),-1)</f>
        <v>#REF!</v>
      </c>
      <c r="BJ239" s="686" t="str">
        <f ca="1">IFERROR(VLOOKUP(BI239,INDIRECT(AQ246),2,FALSE),"----")</f>
        <v>----</v>
      </c>
      <c r="BK239" s="685" t="e">
        <f ca="1">MATCH(AL245,INDIRECT(AP247),-1)</f>
        <v>#REF!</v>
      </c>
      <c r="BL239" s="686" t="str">
        <f ca="1">IFERROR(VLOOKUP(BK239,INDIRECT(AQ247),2,FALSE),"----")</f>
        <v>----</v>
      </c>
      <c r="BM239" s="685" t="e">
        <f ca="1">MATCH(AL245,INDIRECT(AP248),-1)</f>
        <v>#REF!</v>
      </c>
      <c r="BN239" s="686" t="str">
        <f ca="1">IFERROR(VLOOKUP(BM239,INDIRECT(AQ248),2,FALSE),"----")</f>
        <v>----</v>
      </c>
      <c r="BO239" s="685" t="e">
        <f ca="1">MATCH(AL245,INDIRECT(AP249),-1)</f>
        <v>#REF!</v>
      </c>
      <c r="BP239" s="686" t="str">
        <f ca="1">IFERROR(VLOOKUP(BO239,INDIRECT(AQ249),2,FALSE),"----")</f>
        <v>----</v>
      </c>
      <c r="BQ239" s="685" t="e">
        <f ca="1">MATCH(AL245,INDIRECT(AP250),-1)</f>
        <v>#REF!</v>
      </c>
      <c r="BR239" s="686" t="str">
        <f ca="1">IFERROR(VLOOKUP(BQ239,INDIRECT(AQ250),2,FALSE),"----")</f>
        <v>----</v>
      </c>
      <c r="BS239" s="687">
        <f>IF(AI239="",1,IF(COUNTIF(AV239:AV250,AI239)=0,2,1))</f>
        <v>1</v>
      </c>
      <c r="BT239" s="688">
        <f>IF(AP239="1",1,IF(AF239="",1,IF(AV239=".",2,1)))</f>
        <v>1</v>
      </c>
      <c r="BU239" s="706"/>
      <c r="BV239" s="155">
        <f ca="1">IF(COUNTIF(CE239:CE250,AF239)=0,IF(AF239&lt;&gt;"",0,1),1)</f>
        <v>1</v>
      </c>
      <c r="BW239" s="157">
        <f ca="1">IFERROR(MATCH(AF239,CE239:CE250,0),1)</f>
        <v>1</v>
      </c>
      <c r="BX239" s="769" t="str">
        <f>IFERROR(IF(LEFT(J243,2)="As",VLOOKUP(J243,EIMM,2,FALSE),IF(AND(ISNUMBER(SEARCH("Impervia",J239)),ISNUMBER(SEARCH("door",J243))),VLOOKUP("Impervia Door",EIMM,2,FALSE),IF(AND(ISNUMBER(SEARCH("250",J239)),ISNUMBER(SEARCH("door",J243))),VLOOKUP("250 Series Door",EIMM,2,FALSE),VLOOKUP(J239,EIMM,2,FALSE)))),"")</f>
        <v/>
      </c>
      <c r="BY239" s="769" t="str">
        <f ca="1">IFERROR(VLOOKUP(BX239,OFFSET(EIMM,0,1),2,FALSE),"")</f>
        <v/>
      </c>
      <c r="BZ239" s="1110" t="e">
        <f ca="1">IF((COUNTIF(INDIRECT(SUBSTITUTE(J239," ","_")),J243))=0,IF(J243="",1,0),1)</f>
        <v>#REF!</v>
      </c>
      <c r="CA239" s="691" t="e">
        <f ca="1">MATCH(AC239,INDIRECT(BX239),-1)</f>
        <v>#REF!</v>
      </c>
      <c r="CB239" s="4" t="e" cm="1">
        <f t="array" aca="1" ref="CB239" ca="1">IF(AND(INDEX(INDIRECT(BY239),CA239,4)&gt;=$AB239,INDEX(INDIRECT(BY239),CA239,5)&gt;=$S239,INDEX(INDIRECT(BY239),CA239,6)&gt;=$R239),1,0)</f>
        <v>#REF!</v>
      </c>
      <c r="CC239" s="4" t="e">
        <f t="shared" ref="CC239" ca="1" si="3882">MATCH(1,OFFSET(CB239:CB250,$W$2,0,COUNT(CB239:CB250)-$W$2),0)</f>
        <v>#REF!</v>
      </c>
      <c r="CD239" s="4" t="e">
        <f t="shared" ref="CD239" ca="1" si="3883">$W$2+CC239</f>
        <v>#REF!</v>
      </c>
      <c r="CE239" s="692" t="str" cm="1">
        <f t="array" aca="1" ref="CE239" ca="1">IFERROR(VLOOKUP(INDEX(CA239:CA250,CD239),INDIRECT(BY239),2,FALSE),"----")</f>
        <v>----</v>
      </c>
      <c r="CF239" s="691" t="e">
        <f ca="1">MATCH($AC239,SSEI,-1)</f>
        <v>#N/A</v>
      </c>
      <c r="CG239" s="4" t="e">
        <f ca="1">IF(AND(INDEX(SSM,CF239,4)&gt;=$AB239,INDEX(SSM,CF239,5)&gt;=$S239,INDEX(SSM,CF239,6)&gt;=$R239),1,0)</f>
        <v>#N/A</v>
      </c>
      <c r="CH239" s="4" t="e">
        <f t="shared" ref="CH239" ca="1" si="3884">MATCH(1,OFFSET(CG239:CG250,$W$2,0,COUNT(CG239:CG250)-$W$2),0)</f>
        <v>#REF!</v>
      </c>
      <c r="CI239" s="4" t="e">
        <f t="shared" ref="CI239" ca="1" si="3885">$W$2+CH239</f>
        <v>#REF!</v>
      </c>
      <c r="CJ239" s="692" t="str">
        <f ca="1">IFERROR(IF(AD240="Nested Steel Stud (wood infill)",VLOOKUP(INDEX(CF239:CF250,CI239),SSW,2,FALSE),VLOOKUP(INDEX(CF239:CF250,CI239),SSM,2,FALSE)),"----")</f>
        <v>----</v>
      </c>
      <c r="CK239" s="691" t="e">
        <f ca="1">MATCH($AC239,WSEI,-1)</f>
        <v>#N/A</v>
      </c>
      <c r="CL239" s="4" t="e">
        <f ca="1">IF(AND(INDEX(WSM,CK239,4)&gt;=$AB239,INDEX(WSM,CK239,5)&gt;=$S239,INDEX(WSM,CK239,6)&gt;=$R239),1,0)</f>
        <v>#N/A</v>
      </c>
      <c r="CM239" s="4" t="e">
        <f t="shared" ref="CM239" ca="1" si="3886">MATCH(1,OFFSET(CL239:CL250,$W$2,0,COUNT(CL239:CL250)-$W$2),0)</f>
        <v>#REF!</v>
      </c>
      <c r="CN239" s="4" t="e">
        <f t="shared" ref="CN239" ca="1" si="3887">$W$2+CM239</f>
        <v>#REF!</v>
      </c>
      <c r="CO239" s="692" t="str">
        <f ca="1">IFERROR(VLOOKUP(INDEX(CK239:CK250,CN239),WSM,2,FALSE),"----")</f>
        <v>----</v>
      </c>
      <c r="CP239" s="691" t="e">
        <f ca="1">MATCH($AC239,STEI,-1)</f>
        <v>#N/A</v>
      </c>
      <c r="CQ239" s="4" t="e">
        <f ca="1">IF(AND(INDEX(STM,CP239,4)&gt;=$AB239,INDEX(STM,CP239,5)&gt;=$S239,INDEX(STM,CP239,6)&gt;=$R239),1,0)</f>
        <v>#N/A</v>
      </c>
      <c r="CR239" s="4" t="e">
        <f t="shared" ref="CR239" ca="1" si="3888">MATCH(1,OFFSET(CQ239:CQ250,$W$2,0,COUNT(CQ239:CQ250)-$W$2),0)</f>
        <v>#REF!</v>
      </c>
      <c r="CS239" s="4" t="e">
        <f t="shared" ref="CS239" ca="1" si="3889">$W$2+CR239</f>
        <v>#REF!</v>
      </c>
      <c r="CT239" s="692" t="str">
        <f ca="1">IFERROR(VLOOKUP(INDEX(CP239:CP250,CS239),STM,2,FALSE),"----")</f>
        <v>----</v>
      </c>
      <c r="CU239" s="691" t="e">
        <f ca="1">MATCH($AC239,ELEI,-1)</f>
        <v>#N/A</v>
      </c>
      <c r="CV239" s="4" t="e">
        <f ca="1">IF(AND(INDEX(ELM,CU239,4)&gt;=$AB239,INDEX(ELM,CU239,5)&gt;=$S239,INDEX(ELM,CU239,6)&gt;=$R239),1,0)</f>
        <v>#N/A</v>
      </c>
      <c r="CW239" s="4" t="e">
        <f t="shared" ref="CW239" ca="1" si="3890">MATCH(1,OFFSET(CV239:CV250,$W$2,0,COUNT(CV239:CV250)-$W$2),0)</f>
        <v>#REF!</v>
      </c>
      <c r="CX239" s="4" t="e">
        <f t="shared" ref="CX239" ca="1" si="3891">$W$2+CW239</f>
        <v>#REF!</v>
      </c>
      <c r="CY239" s="692" t="str">
        <f ca="1">IFERROR(VLOOKUP(INDEX(CU239:CU250,CX239),ELM,2,FALSE),"----")</f>
        <v>----</v>
      </c>
      <c r="CZ239" s="691" t="e">
        <f ca="1">IF(LEFT($J239,7)="Clad Wo",MATCH($AC239,SPEIW,-1),MATCH($AC239,SPEI,-1))</f>
        <v>#N/A</v>
      </c>
      <c r="DA239" s="4" t="e">
        <f ca="1">IF(LEFT($J239,7)="Clad Wo",IF(AND(INDEX(SPPWS,CZ239,4)&gt;=$AB239,INDEX(SPPWS,CZ239,5)&gt;=$S239,INDEX(SPPWS,CZ239,6)&gt;=$R239),1,0),IF(AND(INDEX(SPM,CZ239,4)&gt;=$AB239,INDEX(SPM,CZ239,5)&gt;=$S239,INDEX(SPM,CZ239,6)&gt;=$R239),1,0))</f>
        <v>#N/A</v>
      </c>
      <c r="DB239" s="4" t="e">
        <f t="shared" ref="DB239" ca="1" si="3892">MATCH(1,OFFSET(DA239:DA250,$W$2,0,COUNT(DA239:DA250)-$W$2),0)</f>
        <v>#REF!</v>
      </c>
      <c r="DC239" s="4" t="e">
        <f t="shared" ref="DC239" ca="1" si="3893">$W$2+DB239</f>
        <v>#REF!</v>
      </c>
      <c r="DD239" s="693" t="str">
        <f ca="1">IF(LEFT($J239,7)="Clad Wo",IFERROR(VLOOKUP(INDEX(CZ239:CZ250,DC239),SPPWS,2,FALSE),"----"),IFERROR(VLOOKUP(INDEX(CZ239:CZ250,DC239),SPM,2,FALSE),"----"))</f>
        <v>----</v>
      </c>
      <c r="DE239" s="691" t="e">
        <f ca="1">MATCH(AC245,INDIRECT(BX239),-1)</f>
        <v>#REF!</v>
      </c>
      <c r="DF239" s="4" t="e" cm="1">
        <f t="array" aca="1" ref="DF239" ca="1">IF(AND(INDEX(INDIRECT(BY239),DE239,4)&gt;=$AB245,INDEX(INDIRECT(BY239),DE239,5)&gt;=$S239,INDEX(INDIRECT(BY239),DE239,6)&gt;=$R239),1,0)</f>
        <v>#REF!</v>
      </c>
      <c r="DG239" s="4" t="e">
        <f t="shared" ref="DG239" ca="1" si="3894">MATCH(1,OFFSET(DF239:DF250,$W$2,0,COUNT(DF239:DF250)-$W$2),0)</f>
        <v>#REF!</v>
      </c>
      <c r="DH239" s="4" t="e">
        <f t="shared" ref="DH239" ca="1" si="3895">$W$2+DG239</f>
        <v>#REF!</v>
      </c>
      <c r="DI239" s="692" t="str" cm="1">
        <f t="array" aca="1" ref="DI239" ca="1">IFERROR(VLOOKUP(INDEX(DE239:DE250,DH239),INDIRECT(BY239),2,FALSE),"----")</f>
        <v>----</v>
      </c>
      <c r="DJ239" s="691" t="e">
        <f ca="1">MATCH($AC245,SSEI,-1)</f>
        <v>#N/A</v>
      </c>
      <c r="DK239" s="4" t="e">
        <f ca="1">IF(AND(INDEX(SSM,DJ239,4)&gt;=$AB245,INDEX(SSM,DJ239,5)&gt;=$S239,INDEX(SSM,DJ239,6)&gt;=$R239),1,0)</f>
        <v>#N/A</v>
      </c>
      <c r="DL239" s="4" t="e">
        <f t="shared" ref="DL239" ca="1" si="3896">MATCH(1,OFFSET(DK239:DK250,$W$2,0,COUNT(DK239:DK250)-$W$2),0)</f>
        <v>#REF!</v>
      </c>
      <c r="DM239" s="4" t="e">
        <f t="shared" ref="DM239" ca="1" si="3897">$W$2+DL239</f>
        <v>#REF!</v>
      </c>
      <c r="DN239" s="692" t="str">
        <f ca="1">IFERROR(IF(AD246="Nested Steel Stud (wood infill)",VLOOKUP(INDEX(DJ239:DJ250,DM239),SSW,2,FALSE),VLOOKUP(INDEX(DJ239:DJ250,DM239),SSM,2,FALSE)),"----")</f>
        <v>----</v>
      </c>
      <c r="DO239" s="691" t="e">
        <f ca="1">MATCH($AC245,WSEI,-1)</f>
        <v>#N/A</v>
      </c>
      <c r="DP239" s="4" t="e">
        <f ca="1">IF(AND(INDEX(WSM,DO239,4)&gt;=$AB245,INDEX(WSM,DO239,5)&gt;=$S239,INDEX(WSM,DO239,6)&gt;=$R239),1,0)</f>
        <v>#N/A</v>
      </c>
      <c r="DQ239" s="4" t="e">
        <f t="shared" ref="DQ239" ca="1" si="3898">MATCH(1,OFFSET(DP239:DP250,$W$2,0,COUNT(DP239:DP250)-$W$2),0)</f>
        <v>#REF!</v>
      </c>
      <c r="DR239" s="4" t="e">
        <f t="shared" ref="DR239" ca="1" si="3899">$W$2+DQ239</f>
        <v>#REF!</v>
      </c>
      <c r="DS239" s="692" t="str">
        <f ca="1">IFERROR(VLOOKUP(INDEX(DO239:DO250,DR239),WSM,2,FALSE),"----")</f>
        <v>----</v>
      </c>
      <c r="DT239" s="691" t="e">
        <f ca="1">MATCH($AC245,STEI,-1)</f>
        <v>#N/A</v>
      </c>
      <c r="DU239" s="4" t="e">
        <f ca="1">IF(AND(INDEX(STM,DT239,4)&gt;=$AB245,INDEX(STM,DT239,5)&gt;=$S239,INDEX(STM,DT239,6)&gt;=$R239),1,0)</f>
        <v>#N/A</v>
      </c>
      <c r="DV239" s="4" t="e">
        <f t="shared" ref="DV239" ca="1" si="3900">MATCH(1,OFFSET(DU239:DU250,$W$2,0,COUNT(DU239:DU250)-$W$2),0)</f>
        <v>#REF!</v>
      </c>
      <c r="DW239" s="4" t="e">
        <f t="shared" ref="DW239" ca="1" si="3901">$W$2+DV239</f>
        <v>#REF!</v>
      </c>
      <c r="DX239" s="692" t="str">
        <f ca="1">IFERROR(VLOOKUP(INDEX(DT239:DT250,DW239),STM,2,FALSE),"----")</f>
        <v>----</v>
      </c>
      <c r="DY239" s="691" t="e">
        <f ca="1">MATCH($AC245,ELEI,-1)</f>
        <v>#N/A</v>
      </c>
      <c r="DZ239" s="4" t="e">
        <f ca="1">IF(AND(INDEX(ELM,DY239,4)&gt;=$AB245,INDEX(ELM,DY239,5)&gt;=$S239,INDEX(ELM,DY239,6)&gt;=$R239),1,0)</f>
        <v>#N/A</v>
      </c>
      <c r="EA239" s="4" t="e">
        <f t="shared" ref="EA239" ca="1" si="3902">MATCH(1,OFFSET(DZ239:DZ250,$W$2,0,COUNT(DZ239:DZ250)-$W$2),0)</f>
        <v>#REF!</v>
      </c>
      <c r="EB239" s="4" t="e">
        <f t="shared" ref="EB239" ca="1" si="3903">EA239+$W$2</f>
        <v>#REF!</v>
      </c>
      <c r="EC239" s="692" t="str">
        <f ca="1">IFERROR(VLOOKUP(INDEX(DY239:DY250,EB239),ELM,2,FALSE),"----")</f>
        <v>----</v>
      </c>
      <c r="ED239" s="691" t="e">
        <f ca="1">IF(LEFT($J239,7)="Clad Wo",MATCH($AC245,SPEIW,-1),MATCH($AC245,SPEI,-1))</f>
        <v>#N/A</v>
      </c>
      <c r="EE239" s="4" t="e">
        <f ca="1">IF(LEFT($J239,7)="Clad Wo",IF(AND(INDEX(SPPWS,ED239,4)&gt;=$AB245,INDEX(SPPWS,ED239,5)&gt;=$S239,INDEX(SPPWS,ED239,6)&gt;=$R239),1,0),IF(AND(INDEX(SPM,ED239,4)&gt;=$AB245,INDEX(SPM,ED239,5)&gt;=$S239,INDEX(SPM,ED239,6)&gt;=$R239),1,0))</f>
        <v>#N/A</v>
      </c>
      <c r="EF239" s="4" t="e">
        <f t="shared" ref="EF239" ca="1" si="3904">MATCH(1,OFFSET(EE239:EE250,$W$2,0,COUNT(EE239:EE250)-$W$2),0)</f>
        <v>#REF!</v>
      </c>
      <c r="EG239" s="4" t="e">
        <f t="shared" ref="EG239" ca="1" si="3905">$W$2+EF239</f>
        <v>#REF!</v>
      </c>
      <c r="EH239" s="692" t="str">
        <f ca="1">IF(LEFT($J239,7)="Clad Wo",IFERROR(VLOOKUP(INDEX(ED239:ED250,EG239),SPPWS,2,FALSE),"----"),IFERROR(VLOOKUP(INDEX(ED239:ED250,EG239),SPM,2,FALSE),"----"))</f>
        <v>----</v>
      </c>
    </row>
    <row r="240" spans="1:138" ht="15" customHeight="1" x14ac:dyDescent="0.25">
      <c r="A240" s="1085"/>
      <c r="B240" s="925"/>
      <c r="C240" s="926"/>
      <c r="D240" s="927"/>
      <c r="E240" s="995"/>
      <c r="F240" s="996"/>
      <c r="G240" s="997"/>
      <c r="H240" s="1062"/>
      <c r="I240" s="990"/>
      <c r="J240" s="908"/>
      <c r="K240" s="909"/>
      <c r="L240" s="1002"/>
      <c r="M240" s="923"/>
      <c r="N240" s="1042"/>
      <c r="O240" s="1018"/>
      <c r="P240" s="987"/>
      <c r="Q240" s="1015"/>
      <c r="R240" s="1012"/>
      <c r="S240" s="1006"/>
      <c r="T240" s="1007"/>
      <c r="U240" s="878"/>
      <c r="V240" s="881"/>
      <c r="W240" s="884"/>
      <c r="X240" s="884"/>
      <c r="Y240" s="887"/>
      <c r="Z240" s="887"/>
      <c r="AA240" s="887"/>
      <c r="AB240" s="1081"/>
      <c r="AC240" s="1078"/>
      <c r="AD240" s="1102" t="s">
        <v>38</v>
      </c>
      <c r="AE240" s="1103"/>
      <c r="AF240" s="1052"/>
      <c r="AG240" s="1053"/>
      <c r="AH240" s="1053"/>
      <c r="AI240" s="1066"/>
      <c r="AJ240" s="1067"/>
      <c r="AK240" s="156" t="str">
        <f t="shared" ca="1" si="3667"/>
        <v/>
      </c>
      <c r="AL240" s="1039"/>
      <c r="AM240" s="343" t="str">
        <f ca="1">IFERROR(Q239/12*ROUND(VLOOKUP(AF240,OFFSET(SSM,0,1),6,FALSE),2),"")</f>
        <v/>
      </c>
      <c r="AN240" t="str">
        <f t="shared" ca="1" si="3717"/>
        <v/>
      </c>
      <c r="AP240" s="122" t="str">
        <f t="shared" ref="AP240" si="3906">_xlfn.CONCAT(AR240,AS244)</f>
        <v/>
      </c>
      <c r="AQ240" s="683" t="str">
        <f t="shared" si="3881"/>
        <v/>
      </c>
      <c r="AR240" s="96" t="str">
        <f t="shared" si="3642"/>
        <v/>
      </c>
      <c r="AS240" s="96" t="str">
        <f>IF(COUNTIF(Vista_1,AF239)=1,"Vista_1",IF(COUNTIF(Vista_2,AF239)=1,"Vista_2",""))</f>
        <v/>
      </c>
      <c r="AT240" s="684" t="str">
        <f>AL239</f>
        <v/>
      </c>
      <c r="AU240" s="694" t="e">
        <f t="shared" ref="AU240:AU303" ca="1" si="3907">AU239-1</f>
        <v>#REF!</v>
      </c>
      <c r="AV240" s="686" t="str">
        <f ca="1">IFERROR(VLOOKUP(AU240,INDIRECT(AQ239),2,FALSE),"----")</f>
        <v>----</v>
      </c>
      <c r="AW240" s="694" t="e">
        <f t="shared" ref="AW240:AW303" ca="1" si="3908">AW239-1</f>
        <v>#REF!</v>
      </c>
      <c r="AX240" s="686" t="str">
        <f ca="1">IFERROR(VLOOKUP(AW240,INDIRECT(AQ240),2,FALSE),"----")</f>
        <v>----</v>
      </c>
      <c r="AY240" s="694" t="e">
        <f t="shared" ref="AY240:AY241" ca="1" si="3909">AY239-1</f>
        <v>#REF!</v>
      </c>
      <c r="AZ240" s="686" t="str">
        <f ca="1">IFERROR(VLOOKUP(AY240,INDIRECT(AQ241),2,FALSE),"----")</f>
        <v>----</v>
      </c>
      <c r="BA240" s="694" t="e">
        <f t="shared" ref="BA240:BA241" ca="1" si="3910">BA239-1</f>
        <v>#REF!</v>
      </c>
      <c r="BB240" s="686" t="str">
        <f ca="1">IFERROR(VLOOKUP(BA240,INDIRECT(AQ242),2,FALSE),"----")</f>
        <v>----</v>
      </c>
      <c r="BC240" s="694" t="e">
        <f t="shared" ref="BC240:BC303" ca="1" si="3911">BC239-1</f>
        <v>#REF!</v>
      </c>
      <c r="BD240" s="686" t="str">
        <f ca="1">IFERROR(VLOOKUP(BC240,INDIRECT(AQ243),2,FALSE),"----")</f>
        <v>----</v>
      </c>
      <c r="BE240" s="694" t="e">
        <f t="shared" ref="BE240:BE303" ca="1" si="3912">BE239-1</f>
        <v>#REF!</v>
      </c>
      <c r="BF240" s="686" t="str">
        <f ca="1">IFERROR(VLOOKUP(BE240,INDIRECT(AQ244),2,FALSE),"----")</f>
        <v>----</v>
      </c>
      <c r="BG240" s="694" t="e">
        <f t="shared" ref="BG240:BG303" ca="1" si="3913">BG239-1</f>
        <v>#REF!</v>
      </c>
      <c r="BH240" s="686" t="str">
        <f ca="1">IFERROR(VLOOKUP(BG240,INDIRECT(AQ245),2,FALSE),"----")</f>
        <v>----</v>
      </c>
      <c r="BI240" s="694" t="e">
        <f t="shared" ref="BI240:BI303" ca="1" si="3914">BI239-1</f>
        <v>#REF!</v>
      </c>
      <c r="BJ240" s="686" t="str">
        <f ca="1">IFERROR(VLOOKUP(BI240,INDIRECT(AQ246),2,FALSE),"----")</f>
        <v>----</v>
      </c>
      <c r="BK240" s="694" t="e">
        <f t="shared" ref="BK240:BK303" ca="1" si="3915">BK239-1</f>
        <v>#REF!</v>
      </c>
      <c r="BL240" s="686" t="str">
        <f ca="1">IFERROR(VLOOKUP(BK240,INDIRECT(AQ247),2,FALSE),"----")</f>
        <v>----</v>
      </c>
      <c r="BM240" s="694" t="e">
        <f t="shared" ref="BM240:BM303" ca="1" si="3916">BM239-1</f>
        <v>#REF!</v>
      </c>
      <c r="BN240" s="686" t="str">
        <f ca="1">IFERROR(VLOOKUP(BM240,INDIRECT(AQ248),2,FALSE),"----")</f>
        <v>----</v>
      </c>
      <c r="BO240" s="694" t="e">
        <f t="shared" ref="BO240:BO303" ca="1" si="3917">BO239-1</f>
        <v>#REF!</v>
      </c>
      <c r="BP240" s="686" t="str">
        <f ca="1">IFERROR(VLOOKUP(BO240,INDIRECT(AQ249),2,FALSE),"----")</f>
        <v>----</v>
      </c>
      <c r="BQ240" s="694" t="e">
        <f t="shared" ref="BQ240:BQ303" ca="1" si="3918">BQ239-1</f>
        <v>#REF!</v>
      </c>
      <c r="BR240" s="686" t="str">
        <f ca="1">IFERROR(VLOOKUP(BQ240,INDIRECT(AQ250),2,FALSE),"----")</f>
        <v>----</v>
      </c>
      <c r="BS240" s="695">
        <f>IF(AI240="",1,IF(COUNTIF(AX239:AX250,AI240)=0,2,1))</f>
        <v>1</v>
      </c>
      <c r="BT240" s="696">
        <f>IF(AF240="",1,IF(AX239=".",2,1))</f>
        <v>1</v>
      </c>
      <c r="BU240" s="706"/>
      <c r="BV240" s="155">
        <f ca="1">IF(COUNTIF(CJ239:CJ250,AF240)=0,IF(AF240&lt;&gt;"",0,1),1)</f>
        <v>1</v>
      </c>
      <c r="BW240" s="157">
        <f ca="1">IFERROR(MATCH(AF240,CJ239:CJ250,0),1)</f>
        <v>1</v>
      </c>
      <c r="BX240" s="769"/>
      <c r="BY240" s="769"/>
      <c r="BZ240" s="1110"/>
      <c r="CA240" s="691" t="e">
        <f t="shared" ref="CA240:CA250" ca="1" si="3919">CA239-1</f>
        <v>#REF!</v>
      </c>
      <c r="CB240" s="4" t="e" cm="1">
        <f t="array" aca="1" ref="CB240" ca="1">IF(AND(INDEX(INDIRECT(BY239),CA240,4)&gt;=$AB239,INDEX(INDIRECT(BY239),CA240,5)&gt;=$S239,INDEX(INDIRECT(BY239),CA240,6)&gt;=$R239),1,0)</f>
        <v>#REF!</v>
      </c>
      <c r="CC240" s="4" t="e">
        <f t="shared" ref="CC240" ca="1" si="3920">MATCH(1,OFFSET(CB239:CB250,CD239,0,COUNT(CB239:CB250)-CD239),0)</f>
        <v>#REF!</v>
      </c>
      <c r="CD240" s="4" t="e">
        <f t="shared" ref="CD240:CD250" ca="1" si="3921">CD239+CC240</f>
        <v>#REF!</v>
      </c>
      <c r="CE240" s="692" t="str" cm="1">
        <f t="array" aca="1" ref="CE240" ca="1">IFERROR(VLOOKUP(INDEX(CA239:CA250,CD240),INDIRECT(BY239),2,FALSE),"----")</f>
        <v>----</v>
      </c>
      <c r="CF240" s="691" t="e">
        <f t="shared" ref="CF240:CF250" ca="1" si="3922">CF239-1</f>
        <v>#N/A</v>
      </c>
      <c r="CG240" s="4" t="e">
        <f ca="1">IF(AND(INDEX(SSM,CF240,4)&gt;=$AB239,INDEX(SSM,CF240,5)&gt;=$S239,INDEX(SSM,CF240,6)&gt;=$R239),1,0)</f>
        <v>#N/A</v>
      </c>
      <c r="CH240" s="4" t="e">
        <f t="shared" ref="CH240" ca="1" si="3923">MATCH(1,OFFSET(CG239:CG250,CI239,0,COUNT(CG239:CG250)-CI239),0)</f>
        <v>#REF!</v>
      </c>
      <c r="CI240" s="4" t="e">
        <f t="shared" ref="CI240:CI250" ca="1" si="3924">CI239+CH240</f>
        <v>#REF!</v>
      </c>
      <c r="CJ240" s="692" t="str">
        <f ca="1">IFERROR(IF(AD240="Nested Steel Stud (wood infill)",VLOOKUP(INDEX(CF239:CF250,CI240),SSW,2,FALSE),VLOOKUP(INDEX(CF239:CF250,CI240),SSM,2,FALSE)),"----")</f>
        <v>----</v>
      </c>
      <c r="CK240" s="691" t="e">
        <f t="shared" ref="CK240:CK250" ca="1" si="3925">CK239-1</f>
        <v>#N/A</v>
      </c>
      <c r="CL240" s="4" t="e">
        <f ca="1">IF(AND(INDEX(WSM,CK240,4)&gt;=$AB239,INDEX(WSM,CK240,5)&gt;=$S239,INDEX(WSM,CK240,6)&gt;=$R239),1,0)</f>
        <v>#N/A</v>
      </c>
      <c r="CM240" s="4" t="e">
        <f t="shared" ref="CM240" ca="1" si="3926">MATCH(1,OFFSET(CL239:CL250,CN239,0,COUNT(CL239:CL250)-CN239),0)</f>
        <v>#REF!</v>
      </c>
      <c r="CN240" s="4" t="e">
        <f t="shared" ref="CN240:CN250" ca="1" si="3927">CM240+CN239</f>
        <v>#REF!</v>
      </c>
      <c r="CO240" s="692" t="str">
        <f ca="1">IFERROR(VLOOKUP(INDEX(CK239:CK250,CN240),WSM,2,FALSE),"----")</f>
        <v>----</v>
      </c>
      <c r="CP240" s="691" t="e">
        <f t="shared" ref="CP240:CP250" ca="1" si="3928">CP239-1</f>
        <v>#N/A</v>
      </c>
      <c r="CQ240" s="4" t="e">
        <f ca="1">IF(AND(INDEX(STM,CP240,4)&gt;=$AB239,INDEX(STM,CP240,5)&gt;=$S239,INDEX(STM,CP240,6)&gt;=$R239),1,0)</f>
        <v>#N/A</v>
      </c>
      <c r="CR240" s="4" t="e">
        <f t="shared" ref="CR240" ca="1" si="3929">MATCH(1,OFFSET(CQ239:CQ250,CS239,0,COUNT(CQ239:CQ250)-CS239),0)</f>
        <v>#REF!</v>
      </c>
      <c r="CS240" s="4" t="e">
        <f t="shared" ref="CS240:CS250" ca="1" si="3930">CR240+CS239</f>
        <v>#REF!</v>
      </c>
      <c r="CT240" s="692" t="str">
        <f ca="1">IFERROR(VLOOKUP(INDEX(CP239:CP250,CS240),STM,2,FALSE),"----")</f>
        <v>----</v>
      </c>
      <c r="CU240" s="691" t="e">
        <f t="shared" ref="CU240:CU250" ca="1" si="3931">CU239-1</f>
        <v>#N/A</v>
      </c>
      <c r="CV240" s="4" t="e">
        <f ca="1">IF(AND(INDEX(ELM,CU240,4)&gt;=$AB239,INDEX(ELM,CU240,5)&gt;=$S239,INDEX(ELM,CU240,6)&gt;=$R239),1,0)</f>
        <v>#N/A</v>
      </c>
      <c r="CW240" s="4" t="e">
        <f t="shared" ref="CW240" ca="1" si="3932">MATCH(1,OFFSET(CV239:CV250,CX239,0,COUNT(CV239:CV250)-CX239),0)</f>
        <v>#REF!</v>
      </c>
      <c r="CX240" s="4" t="e">
        <f t="shared" ref="CX240:CX250" ca="1" si="3933">CW240+CX239</f>
        <v>#REF!</v>
      </c>
      <c r="CY240" s="692" t="str">
        <f ca="1">IFERROR(VLOOKUP(INDEX(CU239:CU250,CX240),ELM,2,FALSE),"----")</f>
        <v>----</v>
      </c>
      <c r="CZ240" s="691" t="e">
        <f t="shared" ref="CZ240:CZ250" ca="1" si="3934">CZ239-1</f>
        <v>#N/A</v>
      </c>
      <c r="DA240" s="4" t="e">
        <f ca="1">IF(LEFT($J239,7)="Clad Wo",IF(AND(INDEX(SPPWS,CZ240,4)&gt;=$AB239,INDEX(SPPWS,CZ240,5)&gt;=$S239,INDEX(SPPWS,CZ240,6)&gt;=$R239),1,0),IF(AND(INDEX(SPM,CZ240,4)&gt;=$AB239,INDEX(SPM,CZ240,5)&gt;=$S239,INDEX(SPM,CZ240,6)&gt;=$R239),1,0))</f>
        <v>#N/A</v>
      </c>
      <c r="DB240" s="4" t="e">
        <f t="shared" ref="DB240" ca="1" si="3935">MATCH(1,OFFSET(DA239:DA250,DC239,0,COUNT(DA239:DA250)-DC239),0)</f>
        <v>#REF!</v>
      </c>
      <c r="DC240" s="4" t="e">
        <f t="shared" ref="DC240:DC250" ca="1" si="3936">DC239+DB240</f>
        <v>#REF!</v>
      </c>
      <c r="DD240" s="693" t="str">
        <f ca="1">IF(LEFT($J239,7)="Clad Wo",IFERROR(VLOOKUP(INDEX(CZ239:CZ250,DC240),SPPWS,2,FALSE),"----"),IFERROR(VLOOKUP(INDEX(CZ239:CZ250,DC240),SPM,2,FALSE),"----"))</f>
        <v>----</v>
      </c>
      <c r="DE240" s="691" t="e">
        <f t="shared" ref="DE240:DE250" ca="1" si="3937">DE239-1</f>
        <v>#REF!</v>
      </c>
      <c r="DF240" s="4" t="e" cm="1">
        <f t="array" aca="1" ref="DF240" ca="1">IF(AND(INDEX(INDIRECT(BY239),DE240,4)&gt;=$AB245,INDEX(INDIRECT(BY239),DE240,5)&gt;=$S239,INDEX(INDIRECT(BY239),DE240,6)&gt;=$R239),1,0)</f>
        <v>#REF!</v>
      </c>
      <c r="DG240" s="4" t="e">
        <f t="shared" ref="DG240" ca="1" si="3938">MATCH(1,OFFSET(DF239:DF250,DH239,0,COUNT(DF239:DF250)-DH239),0)</f>
        <v>#REF!</v>
      </c>
      <c r="DH240" s="4" t="e">
        <f t="shared" ref="DH240:DH250" ca="1" si="3939">DH239+DG240</f>
        <v>#REF!</v>
      </c>
      <c r="DI240" s="692" t="str" cm="1">
        <f t="array" aca="1" ref="DI240" ca="1">IFERROR(VLOOKUP(INDEX(DE239:DE250,DH240),INDIRECT(BY239),2,FALSE),"----")</f>
        <v>----</v>
      </c>
      <c r="DJ240" s="691" t="e">
        <f t="shared" ref="DJ240:DJ250" ca="1" si="3940">DJ239-1</f>
        <v>#N/A</v>
      </c>
      <c r="DK240" s="4" t="e">
        <f ca="1">IF(AND(INDEX(SSM,DJ240,4)&gt;=$AB245,INDEX(SSM,DJ240,5)&gt;=$S239,INDEX(SSM,DJ240,6)&gt;=$R239),1,0)</f>
        <v>#N/A</v>
      </c>
      <c r="DL240" s="4" t="e">
        <f t="shared" ref="DL240" ca="1" si="3941">MATCH(1,OFFSET(DK239:DK250,DM239,0,COUNT(DK239:DK250)-DM239),0)</f>
        <v>#REF!</v>
      </c>
      <c r="DM240" s="4" t="e">
        <f t="shared" ref="DM240:DM250" ca="1" si="3942">DL240+DM239</f>
        <v>#REF!</v>
      </c>
      <c r="DN240" s="692" t="str">
        <f ca="1">IFERROR(IF(AD246="Nested Steel Stud (wood infill)",VLOOKUP(INDEX(DJ239:DJ250,DM240),SSW,2,FALSE),VLOOKUP(INDEX(DJ239:DJ250,DM240),SSM,2,FALSE)),"----")</f>
        <v>----</v>
      </c>
      <c r="DO240" s="691" t="e">
        <f t="shared" ref="DO240:DO250" ca="1" si="3943">DO239-1</f>
        <v>#N/A</v>
      </c>
      <c r="DP240" s="4" t="e">
        <f ca="1">IF(AND(INDEX(WSM,DO240,4)&gt;=$AB245,INDEX(WSM,DO240,5)&gt;=$S239,INDEX(WSM,DO240,6)&gt;=$R239),1,0)</f>
        <v>#N/A</v>
      </c>
      <c r="DQ240" s="4" t="e">
        <f t="shared" ref="DQ240" ca="1" si="3944">MATCH(1,OFFSET(DP239:DP250,DR239,0,COUNT(DP239:DP250)-DR239),0)</f>
        <v>#REF!</v>
      </c>
      <c r="DR240" s="4" t="e">
        <f t="shared" ref="DR240:DR250" ca="1" si="3945">DQ240+DR239</f>
        <v>#REF!</v>
      </c>
      <c r="DS240" s="692" t="str">
        <f ca="1">IFERROR(VLOOKUP(INDEX(DO239:DO250,DR240),WSM,2,FALSE),"----")</f>
        <v>----</v>
      </c>
      <c r="DT240" s="691" t="e">
        <f t="shared" ref="DT240:DT250" ca="1" si="3946">DT239-1</f>
        <v>#N/A</v>
      </c>
      <c r="DU240" s="4" t="e">
        <f ca="1">IF(AND(INDEX(STM,DT240,4)&gt;=$AB245,INDEX(STM,DT240,5)&gt;=$S239,INDEX(STM,DT240,6)&gt;=$R239),1,0)</f>
        <v>#N/A</v>
      </c>
      <c r="DV240" s="4" t="e">
        <f t="shared" ref="DV240" ca="1" si="3947">MATCH(1,OFFSET(DU239:DU250,DW239,0,COUNT(DU239:DU250)-DW239),0)</f>
        <v>#REF!</v>
      </c>
      <c r="DW240" s="4" t="e">
        <f t="shared" ref="DW240:DW250" ca="1" si="3948">DV240+DW239</f>
        <v>#REF!</v>
      </c>
      <c r="DX240" s="692" t="str">
        <f ca="1">IFERROR(VLOOKUP(INDEX(DT239:DT250,DW240),STM,2,FALSE),"----")</f>
        <v>----</v>
      </c>
      <c r="DY240" s="691" t="e">
        <f t="shared" ref="DY240:DY250" ca="1" si="3949">DY239-1</f>
        <v>#N/A</v>
      </c>
      <c r="DZ240" s="4" t="e">
        <f ca="1">IF(AND(INDEX(ELM,DY240,4)&gt;=$AB245,INDEX(ELM,DY240,5)&gt;=$S239,INDEX(ELM,DY240,6)&gt;=$R239),1,0)</f>
        <v>#N/A</v>
      </c>
      <c r="EA240" s="4" t="e">
        <f t="shared" ref="EA240" ca="1" si="3950">MATCH(1,OFFSET(DZ239:DZ250,EB239,0,COUNT(DZ239:DZ250)-EB239),0)</f>
        <v>#REF!</v>
      </c>
      <c r="EB240" s="4" t="e">
        <f t="shared" ref="EB240:EB250" ca="1" si="3951">EA240+EB239</f>
        <v>#REF!</v>
      </c>
      <c r="EC240" s="692" t="str">
        <f ca="1">IFERROR(VLOOKUP(INDEX(DY239:DY250,EB240),ELM,2,FALSE),"----")</f>
        <v>----</v>
      </c>
      <c r="ED240" s="691" t="e">
        <f t="shared" ref="ED240:ED250" ca="1" si="3952">ED239-1</f>
        <v>#N/A</v>
      </c>
      <c r="EE240" s="4" t="e">
        <f ca="1">IF(LEFT($J239,7)="Clad Wo",IF(AND(INDEX(SPPWS,ED240,4)&gt;=$AB245,INDEX(SPPWS,ED240,5)&gt;=$S239,INDEX(SPPWS,ED240,6)&gt;=$R239),1,0),IF(AND(INDEX(SPM,ED240,4)&gt;=$AB245,INDEX(SPM,ED240,5)&gt;=$S239,INDEX(SPM,ED240,6)&gt;=$R239),1,0))</f>
        <v>#N/A</v>
      </c>
      <c r="EF240" s="4" t="e">
        <f t="shared" ref="EF240" ca="1" si="3953">MATCH(1,OFFSET(EE239:EE250,EG239,0,COUNT(EE239:EE250)-EG239),0)</f>
        <v>#REF!</v>
      </c>
      <c r="EG240" s="4" t="e">
        <f t="shared" ref="EG240:EG250" ca="1" si="3954">EG239+EF240</f>
        <v>#REF!</v>
      </c>
      <c r="EH240" s="692" t="str">
        <f ca="1">IF(LEFT($J239,7)="Clad Wo",IFERROR(VLOOKUP(INDEX(ED239:ED250,EG240),SPPWS,2,FALSE),"----"),IFERROR(VLOOKUP(INDEX(ED239:ED250,EG240),SPM,2,FALSE),"----"))</f>
        <v>----</v>
      </c>
    </row>
    <row r="241" spans="1:138" ht="15" customHeight="1" x14ac:dyDescent="0.25">
      <c r="A241" s="1085"/>
      <c r="B241" s="925"/>
      <c r="C241" s="926"/>
      <c r="D241" s="927"/>
      <c r="E241" s="995"/>
      <c r="F241" s="996"/>
      <c r="G241" s="997"/>
      <c r="H241" s="1062"/>
      <c r="I241" s="990"/>
      <c r="J241" s="908"/>
      <c r="K241" s="909"/>
      <c r="L241" s="1002"/>
      <c r="M241" s="923"/>
      <c r="N241" s="1042"/>
      <c r="O241" s="1018"/>
      <c r="P241" s="987"/>
      <c r="Q241" s="1015"/>
      <c r="R241" s="1012"/>
      <c r="S241" s="1006"/>
      <c r="T241" s="1007"/>
      <c r="U241" s="878"/>
      <c r="V241" s="881"/>
      <c r="W241" s="884"/>
      <c r="X241" s="884"/>
      <c r="Y241" s="887"/>
      <c r="Z241" s="887"/>
      <c r="AA241" s="887"/>
      <c r="AB241" s="1081"/>
      <c r="AC241" s="1078"/>
      <c r="AD241" s="1070" t="s">
        <v>333</v>
      </c>
      <c r="AE241" s="1071"/>
      <c r="AF241" s="1052"/>
      <c r="AG241" s="1053"/>
      <c r="AH241" s="1053"/>
      <c r="AI241" s="1066"/>
      <c r="AJ241" s="1067"/>
      <c r="AK241" s="154" t="str">
        <f t="shared" ca="1" si="3667"/>
        <v/>
      </c>
      <c r="AL241" s="1039"/>
      <c r="AM241" s="344" t="str">
        <f ca="1">IFERROR(Q239/12*ROUND(VLOOKUP(AF241,OFFSET(WSM,0,1),6,FALSE),2),"")</f>
        <v/>
      </c>
      <c r="AN241" t="str">
        <f t="shared" ca="1" si="3717"/>
        <v/>
      </c>
      <c r="AP241" s="122" t="str">
        <f t="shared" ref="AP241" si="3955">_xlfn.CONCAT(AR241,AS244)</f>
        <v/>
      </c>
      <c r="AQ241" s="683" t="str">
        <f t="shared" si="3881"/>
        <v/>
      </c>
      <c r="AR241" s="4" t="str">
        <f t="shared" si="3642"/>
        <v/>
      </c>
      <c r="AS241" s="4"/>
      <c r="AT241" s="697" t="str">
        <f>AL239</f>
        <v/>
      </c>
      <c r="AU241" s="694" t="e">
        <f t="shared" ca="1" si="3907"/>
        <v>#REF!</v>
      </c>
      <c r="AV241" s="686" t="str">
        <f ca="1">IFERROR(VLOOKUP(AU241,INDIRECT(AQ239),2,FALSE),"----")</f>
        <v>----</v>
      </c>
      <c r="AW241" s="694" t="e">
        <f t="shared" ca="1" si="3908"/>
        <v>#REF!</v>
      </c>
      <c r="AX241" s="686" t="str">
        <f ca="1">IFERROR(VLOOKUP(AW241,INDIRECT(AQ240),2,FALSE),"----")</f>
        <v>----</v>
      </c>
      <c r="AY241" s="694" t="e">
        <f t="shared" ca="1" si="3909"/>
        <v>#REF!</v>
      </c>
      <c r="AZ241" s="686" t="str">
        <f ca="1">IFERROR(VLOOKUP(AY241,INDIRECT(AQ241),2,FALSE),"----")</f>
        <v>----</v>
      </c>
      <c r="BA241" s="694" t="e">
        <f t="shared" ca="1" si="3910"/>
        <v>#REF!</v>
      </c>
      <c r="BB241" s="686" t="str">
        <f ca="1">IFERROR(VLOOKUP(BA241,INDIRECT(AQ242),2,FALSE),"----")</f>
        <v>----</v>
      </c>
      <c r="BC241" s="694" t="e">
        <f t="shared" ca="1" si="3911"/>
        <v>#REF!</v>
      </c>
      <c r="BD241" s="686" t="str">
        <f ca="1">IFERROR(VLOOKUP(BC241,INDIRECT(AQ243),2,FALSE),"----")</f>
        <v>----</v>
      </c>
      <c r="BE241" s="694" t="e">
        <f t="shared" ca="1" si="3912"/>
        <v>#REF!</v>
      </c>
      <c r="BF241" s="686" t="str">
        <f ca="1">IFERROR(VLOOKUP(BE241,INDIRECT(AQ244),2,FALSE),"----")</f>
        <v>----</v>
      </c>
      <c r="BG241" s="694" t="e">
        <f t="shared" ca="1" si="3913"/>
        <v>#REF!</v>
      </c>
      <c r="BH241" s="686" t="str">
        <f ca="1">IFERROR(VLOOKUP(BG241,INDIRECT(AQ245),2,FALSE),"----")</f>
        <v>----</v>
      </c>
      <c r="BI241" s="694" t="e">
        <f t="shared" ca="1" si="3914"/>
        <v>#REF!</v>
      </c>
      <c r="BJ241" s="686" t="str">
        <f ca="1">IFERROR(VLOOKUP(BI241,INDIRECT(AQ246),2,FALSE),"----")</f>
        <v>----</v>
      </c>
      <c r="BK241" s="694" t="e">
        <f t="shared" ca="1" si="3915"/>
        <v>#REF!</v>
      </c>
      <c r="BL241" s="686" t="str">
        <f ca="1">IFERROR(VLOOKUP(BK241,INDIRECT(AQ247),2,FALSE),"----")</f>
        <v>----</v>
      </c>
      <c r="BM241" s="694" t="e">
        <f t="shared" ca="1" si="3916"/>
        <v>#REF!</v>
      </c>
      <c r="BN241" s="686" t="str">
        <f ca="1">IFERROR(VLOOKUP(BM241,INDIRECT(AQ248),2,FALSE),"----")</f>
        <v>----</v>
      </c>
      <c r="BO241" s="694" t="e">
        <f t="shared" ca="1" si="3917"/>
        <v>#REF!</v>
      </c>
      <c r="BP241" s="686" t="str">
        <f ca="1">IFERROR(VLOOKUP(BO241,INDIRECT(AQ249),2,FALSE),"----")</f>
        <v>----</v>
      </c>
      <c r="BQ241" s="694" t="e">
        <f t="shared" ca="1" si="3918"/>
        <v>#REF!</v>
      </c>
      <c r="BR241" s="686" t="str">
        <f ca="1">IFERROR(VLOOKUP(BQ241,INDIRECT(AQ250),2,FALSE),"----")</f>
        <v>----</v>
      </c>
      <c r="BS241" s="695">
        <f>IF(AI241="",1,IF(COUNTIF(AZ239:AZ250,AI241)=0,2,1))</f>
        <v>1</v>
      </c>
      <c r="BT241" s="696">
        <f>IF(AF241="",1,IF(AZ239=".",2,1))</f>
        <v>1</v>
      </c>
      <c r="BU241" s="706"/>
      <c r="BV241" s="155">
        <f ca="1">IF(COUNTIF(CO239:CO250,AF241)=0,IF(AF241&lt;&gt;"",0,1),1)</f>
        <v>1</v>
      </c>
      <c r="BW241" s="157">
        <f ca="1">IFERROR(MATCH(AF241,CO239:CO250,0),1)</f>
        <v>1</v>
      </c>
      <c r="BX241" s="769"/>
      <c r="BY241" s="769"/>
      <c r="BZ241" s="1110"/>
      <c r="CA241" s="691" t="e">
        <f t="shared" ca="1" si="3919"/>
        <v>#REF!</v>
      </c>
      <c r="CB241" s="4" t="e" cm="1">
        <f t="array" aca="1" ref="CB241" ca="1">IF(AND(INDEX(INDIRECT(BY239),CA241,4)&gt;=$AB239,INDEX(INDIRECT(BY239),CA241,5)&gt;=$S239,INDEX(INDIRECT(BY239),CA241,6)&gt;=$R239),1,0)</f>
        <v>#REF!</v>
      </c>
      <c r="CC241" s="4" t="e">
        <f t="shared" ref="CC241" ca="1" si="3956">MATCH(1,OFFSET(CB239:CB250,CD240,0,COUNT(CB239:CB250)-CD240),0)</f>
        <v>#REF!</v>
      </c>
      <c r="CD241" s="4" t="e">
        <f t="shared" ca="1" si="3921"/>
        <v>#REF!</v>
      </c>
      <c r="CE241" s="692" t="str" cm="1">
        <f t="array" aca="1" ref="CE241" ca="1">IFERROR(VLOOKUP(INDEX(CA239:CA250,CD241),INDIRECT(BY239),2,FALSE),"----")</f>
        <v>----</v>
      </c>
      <c r="CF241" s="691" t="e">
        <f t="shared" ca="1" si="3922"/>
        <v>#N/A</v>
      </c>
      <c r="CG241" s="4" t="e">
        <f ca="1">IF(AND(INDEX(SSM,CF241,4)&gt;=$AB239,INDEX(SSM,CF241,5)&gt;=$S239,INDEX(SSM,CF241,6)&gt;=$R239),1,0)</f>
        <v>#N/A</v>
      </c>
      <c r="CH241" s="4" t="e">
        <f t="shared" ref="CH241" ca="1" si="3957">MATCH(1,OFFSET(CG239:CG250,CI240,0,COUNT(CG239:CG250)-CI240),0)</f>
        <v>#REF!</v>
      </c>
      <c r="CI241" s="4" t="e">
        <f t="shared" ca="1" si="3924"/>
        <v>#REF!</v>
      </c>
      <c r="CJ241" s="692" t="str">
        <f ca="1">IFERROR(IF(AD240="Nested Steel Stud (wood infill)",VLOOKUP(INDEX(CF239:CF250,CI241),SSW,2,FALSE),VLOOKUP(INDEX(CF239:CF250,CI241),SSM,2,FALSE)),"----")</f>
        <v>----</v>
      </c>
      <c r="CK241" s="691" t="e">
        <f t="shared" ca="1" si="3925"/>
        <v>#N/A</v>
      </c>
      <c r="CL241" s="4" t="e">
        <f ca="1">IF(AND(INDEX(WSM,CK241,4)&gt;=$AB239,INDEX(WSM,CK241,5)&gt;=$S239,INDEX(WSM,CK241,6)&gt;=$R239),1,0)</f>
        <v>#N/A</v>
      </c>
      <c r="CM241" s="4" t="e">
        <f t="shared" ref="CM241" ca="1" si="3958">MATCH(1,OFFSET(CL239:CL250,CN240,0,COUNT(CL239:CL250)-CN240),0)</f>
        <v>#REF!</v>
      </c>
      <c r="CN241" s="4" t="e">
        <f t="shared" ca="1" si="3927"/>
        <v>#REF!</v>
      </c>
      <c r="CO241" s="692" t="str">
        <f ca="1">IFERROR(VLOOKUP(INDEX(CK239:CK250,CN241),WSM,2,FALSE),"----")</f>
        <v>----</v>
      </c>
      <c r="CP241" s="691" t="e">
        <f t="shared" ca="1" si="3928"/>
        <v>#N/A</v>
      </c>
      <c r="CQ241" s="4" t="e">
        <f ca="1">IF(AND(INDEX(STM,CP241,4)&gt;=$AB239,INDEX(STM,CP241,5)&gt;=$S239,INDEX(STM,CP241,6)&gt;=$R239),1,0)</f>
        <v>#N/A</v>
      </c>
      <c r="CR241" s="4" t="e">
        <f t="shared" ref="CR241" ca="1" si="3959">MATCH(1,OFFSET(CQ239:CQ250,CS240,0,COUNT(CQ239:CQ250)-CS240),0)</f>
        <v>#REF!</v>
      </c>
      <c r="CS241" s="4" t="e">
        <f t="shared" ca="1" si="3930"/>
        <v>#REF!</v>
      </c>
      <c r="CT241" s="692" t="str">
        <f ca="1">IFERROR(VLOOKUP(INDEX(CP239:CP250,CS241),STM,2,FALSE),"----")</f>
        <v>----</v>
      </c>
      <c r="CU241" s="691" t="e">
        <f t="shared" ca="1" si="3931"/>
        <v>#N/A</v>
      </c>
      <c r="CV241" s="4" t="e">
        <f ca="1">IF(AND(INDEX(ELM,CU241,4)&gt;=$AB239,INDEX(ELM,CU241,5)&gt;=$S239,INDEX(ELM,CU241,6)&gt;=$R239),1,0)</f>
        <v>#N/A</v>
      </c>
      <c r="CW241" s="4" t="e">
        <f t="shared" ref="CW241" ca="1" si="3960">MATCH(1,OFFSET(CV239:CV250,CX240,0,COUNT(CV239:CV250)-CX240),0)</f>
        <v>#REF!</v>
      </c>
      <c r="CX241" s="4" t="e">
        <f t="shared" ca="1" si="3933"/>
        <v>#REF!</v>
      </c>
      <c r="CY241" s="692" t="str">
        <f ca="1">IFERROR(VLOOKUP(INDEX(CU239:CU250,CX241),ELM,2,FALSE),"----")</f>
        <v>----</v>
      </c>
      <c r="CZ241" s="691" t="e">
        <f t="shared" ca="1" si="3934"/>
        <v>#N/A</v>
      </c>
      <c r="DA241" s="4" t="e">
        <f ca="1">IF(LEFT($J239,7)="Clad Wo",IF(AND(INDEX(SPPWS,CZ241,4)&gt;=$AB239,INDEX(SPPWS,CZ241,5)&gt;=$S239,INDEX(SPPWS,CZ241,6)&gt;=$R239),1,0),IF(AND(INDEX(SPM,CZ241,4)&gt;=$AB239,INDEX(SPM,CZ241,5)&gt;=$S239,INDEX(SPM,CZ241,6)&gt;=$R239),1,0))</f>
        <v>#N/A</v>
      </c>
      <c r="DB241" s="4" t="e">
        <f t="shared" ref="DB241" ca="1" si="3961">MATCH(1,OFFSET(DA239:DA250,DC240,0,COUNT(DA239:DA250)-DC240),0)</f>
        <v>#REF!</v>
      </c>
      <c r="DC241" s="4" t="e">
        <f t="shared" ca="1" si="3936"/>
        <v>#REF!</v>
      </c>
      <c r="DD241" s="693" t="str">
        <f ca="1">IF(LEFT($J239,7)="Clad Wo",IFERROR(VLOOKUP(INDEX(CZ239:CZ250,DC241),SPPWS,2,FALSE),"----"),IFERROR(VLOOKUP(INDEX(CZ239:CZ250,DC241),SPM,2,FALSE),"----"))</f>
        <v>----</v>
      </c>
      <c r="DE241" s="691" t="e">
        <f t="shared" ca="1" si="3937"/>
        <v>#REF!</v>
      </c>
      <c r="DF241" s="4" t="e" cm="1">
        <f t="array" aca="1" ref="DF241" ca="1">IF(AND(INDEX(INDIRECT(BY239),DE241,4)&gt;=$AB245,INDEX(INDIRECT(BY239),DE241,5)&gt;=$S239,INDEX(INDIRECT(BY239),DE241,6)&gt;=$R239),1,0)</f>
        <v>#REF!</v>
      </c>
      <c r="DG241" s="4" t="e">
        <f t="shared" ref="DG241" ca="1" si="3962">MATCH(1,OFFSET(DF239:DF250,DH240,0,COUNT(DF239:DF250)-DH240),0)</f>
        <v>#REF!</v>
      </c>
      <c r="DH241" s="4" t="e">
        <f t="shared" ca="1" si="3939"/>
        <v>#REF!</v>
      </c>
      <c r="DI241" s="692" t="str" cm="1">
        <f t="array" aca="1" ref="DI241" ca="1">IFERROR(VLOOKUP(INDEX(DE239:DE250,DH241),INDIRECT(BY239),2,FALSE),"----")</f>
        <v>----</v>
      </c>
      <c r="DJ241" s="691" t="e">
        <f t="shared" ca="1" si="3940"/>
        <v>#N/A</v>
      </c>
      <c r="DK241" s="4" t="e">
        <f ca="1">IF(AND(INDEX(SSM,DJ241,4)&gt;=$AB245,INDEX(SSM,DJ241,5)&gt;=$S239,INDEX(SSM,DJ241,6)&gt;=$R239),1,0)</f>
        <v>#N/A</v>
      </c>
      <c r="DL241" s="4" t="e">
        <f t="shared" ref="DL241" ca="1" si="3963">MATCH(1,OFFSET(DK239:DK250,DM240,0,COUNT(DK239:DK250)-DM240),0)</f>
        <v>#REF!</v>
      </c>
      <c r="DM241" s="4" t="e">
        <f t="shared" ca="1" si="3942"/>
        <v>#REF!</v>
      </c>
      <c r="DN241" s="692" t="str">
        <f ca="1">IFERROR(IF(AD246="Nested Steel Stud (wood infill)",VLOOKUP(INDEX(DJ239:DJ250,DM241),SSW,2,FALSE),VLOOKUP(INDEX(DJ239:DJ250,DM241),SSM,2,FALSE)),"----")</f>
        <v>----</v>
      </c>
      <c r="DO241" s="691" t="e">
        <f t="shared" ca="1" si="3943"/>
        <v>#N/A</v>
      </c>
      <c r="DP241" s="4" t="e">
        <f ca="1">IF(AND(INDEX(WSM,DO241,4)&gt;=$AB245,INDEX(WSM,DO241,5)&gt;=$S239,INDEX(WSM,DO241,6)&gt;=$R239),1,0)</f>
        <v>#N/A</v>
      </c>
      <c r="DQ241" s="4" t="e">
        <f t="shared" ref="DQ241" ca="1" si="3964">MATCH(1,OFFSET(DP239:DP250,DR240,0,COUNT(DP239:DP250)-DR240),0)</f>
        <v>#REF!</v>
      </c>
      <c r="DR241" s="4" t="e">
        <f t="shared" ca="1" si="3945"/>
        <v>#REF!</v>
      </c>
      <c r="DS241" s="692" t="str">
        <f ca="1">IFERROR(VLOOKUP(INDEX(DO239:DO250,DR241),WSM,2,FALSE),"----")</f>
        <v>----</v>
      </c>
      <c r="DT241" s="691" t="e">
        <f t="shared" ca="1" si="3946"/>
        <v>#N/A</v>
      </c>
      <c r="DU241" s="4" t="e">
        <f ca="1">IF(AND(INDEX(STM,DT241,4)&gt;=$AB245,INDEX(STM,DT241,5)&gt;=$S239,INDEX(STM,DT241,6)&gt;=$R239),1,0)</f>
        <v>#N/A</v>
      </c>
      <c r="DV241" s="4" t="e">
        <f t="shared" ref="DV241" ca="1" si="3965">MATCH(1,OFFSET(DU239:DU250,DW240,0,COUNT(DU239:DU250)-DW240),0)</f>
        <v>#REF!</v>
      </c>
      <c r="DW241" s="4" t="e">
        <f t="shared" ca="1" si="3948"/>
        <v>#REF!</v>
      </c>
      <c r="DX241" s="692" t="str">
        <f ca="1">IFERROR(VLOOKUP(INDEX(DT239:DT250,DW241),STM,2,FALSE),"----")</f>
        <v>----</v>
      </c>
      <c r="DY241" s="691" t="e">
        <f t="shared" ca="1" si="3949"/>
        <v>#N/A</v>
      </c>
      <c r="DZ241" s="4" t="e">
        <f ca="1">IF(AND(INDEX(ELM,DY241,4)&gt;=$AB245,INDEX(ELM,DY241,5)&gt;=$S239,INDEX(ELM,DY241,6)&gt;=$R239),1,0)</f>
        <v>#N/A</v>
      </c>
      <c r="EA241" s="4" t="e">
        <f t="shared" ref="EA241" ca="1" si="3966">MATCH(1,OFFSET(DZ239:DZ250,EB240,0,COUNT(DZ239:DZ250)-EB240),0)</f>
        <v>#REF!</v>
      </c>
      <c r="EB241" s="4" t="e">
        <f t="shared" ca="1" si="3951"/>
        <v>#REF!</v>
      </c>
      <c r="EC241" s="692" t="str">
        <f ca="1">IFERROR(VLOOKUP(INDEX(DY239:DY250,EB241),ELM,2,FALSE),"----")</f>
        <v>----</v>
      </c>
      <c r="ED241" s="691" t="e">
        <f t="shared" ca="1" si="3952"/>
        <v>#N/A</v>
      </c>
      <c r="EE241" s="4" t="e">
        <f ca="1">IF(LEFT($J239,7)="Clad Wo",IF(AND(INDEX(SPPWS,ED241,4)&gt;=$AB245,INDEX(SPPWS,ED241,5)&gt;=$S239,INDEX(SPPWS,ED241,6)&gt;=$R239),1,0),IF(AND(INDEX(SPM,ED241,4)&gt;=$AB245,INDEX(SPM,ED241,5)&gt;=$S239,INDEX(SPM,ED241,6)&gt;=$R239),1,0))</f>
        <v>#N/A</v>
      </c>
      <c r="EF241" s="4" t="e">
        <f t="shared" ref="EF241" ca="1" si="3967">MATCH(1,OFFSET(EE239:EE250,EG240,0,COUNT(EE239:EE250)-EG240),0)</f>
        <v>#REF!</v>
      </c>
      <c r="EG241" s="4" t="e">
        <f t="shared" ca="1" si="3954"/>
        <v>#REF!</v>
      </c>
      <c r="EH241" s="692" t="str">
        <f ca="1">IF(LEFT($J239,7)="Clad Wo",IFERROR(VLOOKUP(INDEX(ED239:ED250,EG241),SPPWS,2,FALSE),"----"),IFERROR(VLOOKUP(INDEX(ED239:ED250,EG241),SPM,2,FALSE),"----"))</f>
        <v>----</v>
      </c>
    </row>
    <row r="242" spans="1:138" ht="15" customHeight="1" x14ac:dyDescent="0.25">
      <c r="A242" s="1085"/>
      <c r="B242" s="925"/>
      <c r="C242" s="926"/>
      <c r="D242" s="927"/>
      <c r="E242" s="995"/>
      <c r="F242" s="996"/>
      <c r="G242" s="997"/>
      <c r="H242" s="1062"/>
      <c r="I242" s="990"/>
      <c r="J242" s="908"/>
      <c r="K242" s="909"/>
      <c r="L242" s="1002"/>
      <c r="M242" s="923"/>
      <c r="N242" s="1042"/>
      <c r="O242" s="1018"/>
      <c r="P242" s="987"/>
      <c r="Q242" s="1015"/>
      <c r="R242" s="1012"/>
      <c r="S242" s="1006"/>
      <c r="T242" s="1007"/>
      <c r="U242" s="878"/>
      <c r="V242" s="881"/>
      <c r="W242" s="884"/>
      <c r="X242" s="884"/>
      <c r="Y242" s="887"/>
      <c r="Z242" s="887"/>
      <c r="AA242" s="887"/>
      <c r="AB242" s="1081"/>
      <c r="AC242" s="1078"/>
      <c r="AD242" s="1070" t="s">
        <v>37</v>
      </c>
      <c r="AE242" s="1071"/>
      <c r="AF242" s="1052"/>
      <c r="AG242" s="1053"/>
      <c r="AH242" s="1053"/>
      <c r="AI242" s="1066"/>
      <c r="AJ242" s="1067"/>
      <c r="AK242" s="156" t="str">
        <f t="shared" ca="1" si="3667"/>
        <v/>
      </c>
      <c r="AL242" s="1039"/>
      <c r="AM242" s="343" t="str">
        <f ca="1">IFERROR(Q239/12*ROUND(VLOOKUP(AF242,OFFSET(STM,0,1),6,FALSE),2),"")</f>
        <v/>
      </c>
      <c r="AN242" t="str">
        <f t="shared" ca="1" si="3717"/>
        <v/>
      </c>
      <c r="AP242" s="122" t="str">
        <f t="shared" ref="AP242" si="3968">_xlfn.CONCAT(AR242,AS244)</f>
        <v/>
      </c>
      <c r="AQ242" s="683" t="str">
        <f t="shared" si="3881"/>
        <v/>
      </c>
      <c r="AR242" s="4" t="str">
        <f t="shared" si="3642"/>
        <v/>
      </c>
      <c r="AS242" s="4"/>
      <c r="AT242" s="697" t="str">
        <f>AL239</f>
        <v/>
      </c>
      <c r="AU242" s="694" t="e">
        <f t="shared" ca="1" si="3907"/>
        <v>#REF!</v>
      </c>
      <c r="AV242" s="686" t="str">
        <f ca="1">IFERROR(VLOOKUP(AU242,INDIRECT(AQ239),2,FALSE),"----")</f>
        <v>----</v>
      </c>
      <c r="AW242" s="694" t="e">
        <f t="shared" ca="1" si="3908"/>
        <v>#REF!</v>
      </c>
      <c r="AX242" s="686" t="str">
        <f ca="1">IFERROR(VLOOKUP(AW242,INDIRECT(AQ240),2,FALSE),"----")</f>
        <v>----</v>
      </c>
      <c r="AY242" s="694" t="e">
        <f t="shared" ref="AY242" ca="1" si="3969">AY241-1</f>
        <v>#REF!</v>
      </c>
      <c r="AZ242" s="686" t="str">
        <f ca="1">IFERROR(VLOOKUP(AY242,INDIRECT(AQ241),2,FALSE),"----")</f>
        <v>----</v>
      </c>
      <c r="BA242" s="694" t="e">
        <f t="shared" ref="BA242" ca="1" si="3970">BA241-1</f>
        <v>#REF!</v>
      </c>
      <c r="BB242" s="686" t="str">
        <f ca="1">IFERROR(VLOOKUP(BA242,INDIRECT(AQ242),2,FALSE),"----")</f>
        <v>----</v>
      </c>
      <c r="BC242" s="694" t="e">
        <f t="shared" ca="1" si="3911"/>
        <v>#REF!</v>
      </c>
      <c r="BD242" s="686" t="str">
        <f ca="1">IFERROR(VLOOKUP(BC242,INDIRECT(AQ243),2,FALSE),"----")</f>
        <v>----</v>
      </c>
      <c r="BE242" s="694" t="e">
        <f t="shared" ca="1" si="3912"/>
        <v>#REF!</v>
      </c>
      <c r="BF242" s="686" t="str">
        <f ca="1">IFERROR(VLOOKUP(BE242,INDIRECT(AQ244),2,FALSE),"----")</f>
        <v>----</v>
      </c>
      <c r="BG242" s="694" t="e">
        <f t="shared" ca="1" si="3913"/>
        <v>#REF!</v>
      </c>
      <c r="BH242" s="686" t="str">
        <f ca="1">IFERROR(VLOOKUP(BG242,INDIRECT(AQ245),2,FALSE),"----")</f>
        <v>----</v>
      </c>
      <c r="BI242" s="694" t="e">
        <f t="shared" ca="1" si="3914"/>
        <v>#REF!</v>
      </c>
      <c r="BJ242" s="686" t="str">
        <f ca="1">IFERROR(VLOOKUP(BI242,INDIRECT(AQ246),2,FALSE),"----")</f>
        <v>----</v>
      </c>
      <c r="BK242" s="694" t="e">
        <f t="shared" ca="1" si="3915"/>
        <v>#REF!</v>
      </c>
      <c r="BL242" s="686" t="str">
        <f ca="1">IFERROR(VLOOKUP(BK242,INDIRECT(AQ247),2,FALSE),"----")</f>
        <v>----</v>
      </c>
      <c r="BM242" s="694" t="e">
        <f t="shared" ca="1" si="3916"/>
        <v>#REF!</v>
      </c>
      <c r="BN242" s="686" t="str">
        <f ca="1">IFERROR(VLOOKUP(BM242,INDIRECT(AQ248),2,FALSE),"----")</f>
        <v>----</v>
      </c>
      <c r="BO242" s="694" t="e">
        <f t="shared" ca="1" si="3917"/>
        <v>#REF!</v>
      </c>
      <c r="BP242" s="686" t="str">
        <f ca="1">IFERROR(VLOOKUP(BO242,INDIRECT(AQ249),2,FALSE),"----")</f>
        <v>----</v>
      </c>
      <c r="BQ242" s="694" t="e">
        <f t="shared" ca="1" si="3918"/>
        <v>#REF!</v>
      </c>
      <c r="BR242" s="686" t="str">
        <f ca="1">IFERROR(VLOOKUP(BQ242,INDIRECT(AQ250),2,FALSE),"----")</f>
        <v>----</v>
      </c>
      <c r="BS242" s="695">
        <f>IF(AI242="",1,IF(COUNTIF(BB239:BB250,AI242)=0,2,1))</f>
        <v>1</v>
      </c>
      <c r="BT242" s="696">
        <f>IF(AF242="",1,IF(BB239=".",2,1))</f>
        <v>1</v>
      </c>
      <c r="BU242" s="706"/>
      <c r="BV242" s="155">
        <f ca="1">IF(COUNTIF(CT239:CT250,AF242)=0,IF(AF242&lt;&gt;"",0,1),1)</f>
        <v>1</v>
      </c>
      <c r="BW242" s="157">
        <f ca="1">IFERROR(MATCH(AF242,CT239:CT250,0),1)</f>
        <v>1</v>
      </c>
      <c r="BX242" s="769"/>
      <c r="BY242" s="769"/>
      <c r="BZ242" s="1110"/>
      <c r="CA242" s="691" t="e">
        <f t="shared" ca="1" si="3919"/>
        <v>#REF!</v>
      </c>
      <c r="CB242" s="4" t="e" cm="1">
        <f t="array" aca="1" ref="CB242" ca="1">IF(AND(INDEX(INDIRECT(BY239),CA242,4)&gt;=$AB239,INDEX(INDIRECT(BY239),CA242,5)&gt;=$S239,INDEX(INDIRECT(BY239),CA242,6)&gt;=$R239),1,0)</f>
        <v>#REF!</v>
      </c>
      <c r="CC242" s="4" t="e">
        <f t="shared" ref="CC242" ca="1" si="3971">MATCH(1,OFFSET(CB239:CB250,CD241,0,COUNT(CB239:CB250)-CD241),0)</f>
        <v>#REF!</v>
      </c>
      <c r="CD242" s="4" t="e">
        <f t="shared" ca="1" si="3921"/>
        <v>#REF!</v>
      </c>
      <c r="CE242" s="692" t="str" cm="1">
        <f t="array" aca="1" ref="CE242" ca="1">IFERROR(VLOOKUP(INDEX(CA239:CA250,CD242),INDIRECT(BY239),2,FALSE),"----")</f>
        <v>----</v>
      </c>
      <c r="CF242" s="691" t="e">
        <f t="shared" ca="1" si="3922"/>
        <v>#N/A</v>
      </c>
      <c r="CG242" s="4" t="e">
        <f ca="1">IF(AND(INDEX(SSM,CF242,4)&gt;=$AB239,INDEX(SSM,CF242,5)&gt;=$S239,INDEX(SSM,CF242,6)&gt;=$R239),1,0)</f>
        <v>#N/A</v>
      </c>
      <c r="CH242" s="4" t="e">
        <f t="shared" ref="CH242" ca="1" si="3972">MATCH(1,OFFSET(CG239:CG250,CI241,0,COUNT(CG239:CG250)-CI241),0)</f>
        <v>#REF!</v>
      </c>
      <c r="CI242" s="4" t="e">
        <f t="shared" ca="1" si="3924"/>
        <v>#REF!</v>
      </c>
      <c r="CJ242" s="692" t="str">
        <f ca="1">IFERROR(IF(AD240="Nested Steel Stud (wood infill)",VLOOKUP(INDEX(CF239:CF250,CI242),SSW,2,FALSE),VLOOKUP(INDEX(CF239:CF250,CI242),SSM,2,FALSE)),"----")</f>
        <v>----</v>
      </c>
      <c r="CK242" s="691" t="e">
        <f t="shared" ca="1" si="3925"/>
        <v>#N/A</v>
      </c>
      <c r="CL242" s="4" t="e">
        <f ca="1">IF(AND(INDEX(WSM,CK242,4)&gt;=$AB239,INDEX(WSM,CK242,5)&gt;=$S239,INDEX(WSM,CK242,6)&gt;=$R239),1,0)</f>
        <v>#N/A</v>
      </c>
      <c r="CM242" s="4" t="e">
        <f t="shared" ref="CM242" ca="1" si="3973">MATCH(1,OFFSET(CL239:CL250,CN241,0,COUNT(CL239:CL250)-CN241),0)</f>
        <v>#REF!</v>
      </c>
      <c r="CN242" s="4" t="e">
        <f t="shared" ca="1" si="3927"/>
        <v>#REF!</v>
      </c>
      <c r="CO242" s="692" t="str">
        <f ca="1">IFERROR(VLOOKUP(INDEX(CK239:CK250,CN242),WSM,2,FALSE),"----")</f>
        <v>----</v>
      </c>
      <c r="CP242" s="691" t="e">
        <f t="shared" ca="1" si="3928"/>
        <v>#N/A</v>
      </c>
      <c r="CQ242" s="4" t="e">
        <f ca="1">IF(AND(INDEX(STM,CP242,4)&gt;=$AB239,INDEX(STM,CP242,5)&gt;=$S239,INDEX(STM,CP242,6)&gt;=$R239),1,0)</f>
        <v>#N/A</v>
      </c>
      <c r="CR242" s="4" t="e">
        <f t="shared" ref="CR242" ca="1" si="3974">MATCH(1,OFFSET(CQ239:CQ250,CS241,0,COUNT(CQ239:CQ250)-CS241),0)</f>
        <v>#REF!</v>
      </c>
      <c r="CS242" s="4" t="e">
        <f t="shared" ca="1" si="3930"/>
        <v>#REF!</v>
      </c>
      <c r="CT242" s="692" t="str">
        <f ca="1">IFERROR(VLOOKUP(INDEX(CP239:CP250,CS242),STM,2,FALSE),"----")</f>
        <v>----</v>
      </c>
      <c r="CU242" s="691" t="e">
        <f t="shared" ca="1" si="3931"/>
        <v>#N/A</v>
      </c>
      <c r="CV242" s="4" t="e">
        <f ca="1">IF(AND(INDEX(ELM,CU242,4)&gt;=$AB239,INDEX(ELM,CU242,5)&gt;=$S239,INDEX(ELM,CU242,6)&gt;=$R239),1,0)</f>
        <v>#N/A</v>
      </c>
      <c r="CW242" s="4" t="e">
        <f t="shared" ref="CW242" ca="1" si="3975">MATCH(1,OFFSET(CV239:CV250,CX241,0,COUNT(CV239:CV250)-CX241),0)</f>
        <v>#REF!</v>
      </c>
      <c r="CX242" s="4" t="e">
        <f t="shared" ca="1" si="3933"/>
        <v>#REF!</v>
      </c>
      <c r="CY242" s="692" t="str">
        <f ca="1">IFERROR(VLOOKUP(INDEX(CU239:CU250,CX242),ELM,2,FALSE),"----")</f>
        <v>----</v>
      </c>
      <c r="CZ242" s="691" t="e">
        <f t="shared" ca="1" si="3934"/>
        <v>#N/A</v>
      </c>
      <c r="DA242" s="4" t="e">
        <f ca="1">IF(LEFT($J239,7)="Clad Wo",IF(AND(INDEX(SPPWS,CZ242,4)&gt;=$AB239,INDEX(SPPWS,CZ242,5)&gt;=$S239,INDEX(SPPWS,CZ242,6)&gt;=$R239),1,0),IF(AND(INDEX(SPM,CZ242,4)&gt;=$AB239,INDEX(SPM,CZ242,5)&gt;=$S239,INDEX(SPM,CZ242,6)&gt;=$R239),1,0))</f>
        <v>#N/A</v>
      </c>
      <c r="DB242" s="4" t="e">
        <f t="shared" ref="DB242" ca="1" si="3976">MATCH(1,OFFSET(DA239:DA250,DC241,0,COUNT(DA239:DA250)-DC241),0)</f>
        <v>#REF!</v>
      </c>
      <c r="DC242" s="4" t="e">
        <f t="shared" ca="1" si="3936"/>
        <v>#REF!</v>
      </c>
      <c r="DD242" s="693" t="str">
        <f ca="1">IF(LEFT($J239,7)="Clad Wo",IFERROR(VLOOKUP(INDEX(CZ239:CZ250,DC242),SPPWS,2,FALSE),"----"),IFERROR(VLOOKUP(INDEX(CZ239:CZ250,DC242),SPM,2,FALSE),"----"))</f>
        <v>----</v>
      </c>
      <c r="DE242" s="691" t="e">
        <f t="shared" ca="1" si="3937"/>
        <v>#REF!</v>
      </c>
      <c r="DF242" s="4" t="e" cm="1">
        <f t="array" aca="1" ref="DF242" ca="1">IF(AND(INDEX(INDIRECT(BY239),DE242,4)&gt;=$AB245,INDEX(INDIRECT(BY239),DE242,5)&gt;=$S239,INDEX(INDIRECT(BY239),DE242,6)&gt;=$R239),1,0)</f>
        <v>#REF!</v>
      </c>
      <c r="DG242" s="4" t="e">
        <f t="shared" ref="DG242" ca="1" si="3977">MATCH(1,OFFSET(DF239:DF250,DH241,0,COUNT(DF239:DF250)-DH241),0)</f>
        <v>#REF!</v>
      </c>
      <c r="DH242" s="4" t="e">
        <f t="shared" ca="1" si="3939"/>
        <v>#REF!</v>
      </c>
      <c r="DI242" s="692" t="str" cm="1">
        <f t="array" aca="1" ref="DI242" ca="1">IFERROR(VLOOKUP(INDEX(DE239:DE250,DH242),INDIRECT(BY239),2,FALSE),"----")</f>
        <v>----</v>
      </c>
      <c r="DJ242" s="691" t="e">
        <f t="shared" ca="1" si="3940"/>
        <v>#N/A</v>
      </c>
      <c r="DK242" s="4" t="e">
        <f ca="1">IF(AND(INDEX(SSM,DJ242,4)&gt;=$AB245,INDEX(SSM,DJ242,5)&gt;=$S239,INDEX(SSM,DJ242,6)&gt;=$R239),1,0)</f>
        <v>#N/A</v>
      </c>
      <c r="DL242" s="4" t="e">
        <f t="shared" ref="DL242" ca="1" si="3978">MATCH(1,OFFSET(DK239:DK250,DM241,0,COUNT(DK239:DK250)-DM241),0)</f>
        <v>#REF!</v>
      </c>
      <c r="DM242" s="4" t="e">
        <f t="shared" ca="1" si="3942"/>
        <v>#REF!</v>
      </c>
      <c r="DN242" s="692" t="str">
        <f ca="1">IFERROR(IF(AD246="Nested Steel Stud (wood infill)",VLOOKUP(INDEX(DJ239:DJ250,DM242),SSW,2,FALSE),VLOOKUP(INDEX(DJ239:DJ250,DM242),SSM,2,FALSE)),"----")</f>
        <v>----</v>
      </c>
      <c r="DO242" s="691" t="e">
        <f t="shared" ca="1" si="3943"/>
        <v>#N/A</v>
      </c>
      <c r="DP242" s="4" t="e">
        <f ca="1">IF(AND(INDEX(WSM,DO242,4)&gt;=$AB245,INDEX(WSM,DO242,5)&gt;=$S239,INDEX(WSM,DO242,6)&gt;=$R239),1,0)</f>
        <v>#N/A</v>
      </c>
      <c r="DQ242" s="4" t="e">
        <f t="shared" ref="DQ242" ca="1" si="3979">MATCH(1,OFFSET(DP239:DP250,DR241,0,COUNT(DP239:DP250)-DR241),0)</f>
        <v>#REF!</v>
      </c>
      <c r="DR242" s="4" t="e">
        <f t="shared" ca="1" si="3945"/>
        <v>#REF!</v>
      </c>
      <c r="DS242" s="692" t="str">
        <f ca="1">IFERROR(VLOOKUP(INDEX(DO239:DO250,DR242),WSM,2,FALSE),"----")</f>
        <v>----</v>
      </c>
      <c r="DT242" s="691" t="e">
        <f t="shared" ca="1" si="3946"/>
        <v>#N/A</v>
      </c>
      <c r="DU242" s="4" t="e">
        <f ca="1">IF(AND(INDEX(STM,DT242,4)&gt;=$AB245,INDEX(STM,DT242,5)&gt;=$S239,INDEX(STM,DT242,6)&gt;=$R239),1,0)</f>
        <v>#N/A</v>
      </c>
      <c r="DV242" s="4" t="e">
        <f t="shared" ref="DV242" ca="1" si="3980">MATCH(1,OFFSET(DU239:DU250,DW241,0,COUNT(DU239:DU250)-DW241),0)</f>
        <v>#REF!</v>
      </c>
      <c r="DW242" s="4" t="e">
        <f t="shared" ca="1" si="3948"/>
        <v>#REF!</v>
      </c>
      <c r="DX242" s="692" t="str">
        <f ca="1">IFERROR(VLOOKUP(INDEX(DT239:DT250,DW242),STM,2,FALSE),"----")</f>
        <v>----</v>
      </c>
      <c r="DY242" s="691" t="e">
        <f t="shared" ca="1" si="3949"/>
        <v>#N/A</v>
      </c>
      <c r="DZ242" s="4" t="e">
        <f ca="1">IF(AND(INDEX(ELM,DY242,4)&gt;=$AB245,INDEX(ELM,DY242,5)&gt;=$S239,INDEX(ELM,DY242,6)&gt;=$R239),1,0)</f>
        <v>#N/A</v>
      </c>
      <c r="EA242" s="4" t="e">
        <f t="shared" ref="EA242" ca="1" si="3981">MATCH(1,OFFSET(DZ239:DZ250,EB241,0,COUNT(DZ239:DZ250)-EB241),0)</f>
        <v>#REF!</v>
      </c>
      <c r="EB242" s="4" t="e">
        <f t="shared" ca="1" si="3951"/>
        <v>#REF!</v>
      </c>
      <c r="EC242" s="692" t="str">
        <f ca="1">IFERROR(VLOOKUP(INDEX(DY239:DY250,EB242),ELM,2,FALSE),"----")</f>
        <v>----</v>
      </c>
      <c r="ED242" s="691" t="e">
        <f t="shared" ca="1" si="3952"/>
        <v>#N/A</v>
      </c>
      <c r="EE242" s="4" t="e">
        <f ca="1">IF(LEFT($J239,7)="Clad Wo",IF(AND(INDEX(SPPWS,ED242,4)&gt;=$AB245,INDEX(SPPWS,ED242,5)&gt;=$S239,INDEX(SPPWS,ED242,6)&gt;=$R239),1,0),IF(AND(INDEX(SPM,ED242,4)&gt;=$AB245,INDEX(SPM,ED242,5)&gt;=$S239,INDEX(SPM,ED242,6)&gt;=$R239),1,0))</f>
        <v>#N/A</v>
      </c>
      <c r="EF242" s="4" t="e">
        <f t="shared" ref="EF242" ca="1" si="3982">MATCH(1,OFFSET(EE239:EE250,EG241,0,COUNT(EE239:EE250)-EG241),0)</f>
        <v>#REF!</v>
      </c>
      <c r="EG242" s="4" t="e">
        <f t="shared" ca="1" si="3954"/>
        <v>#REF!</v>
      </c>
      <c r="EH242" s="692" t="str">
        <f ca="1">IF(LEFT($J239,7)="Clad Wo",IFERROR(VLOOKUP(INDEX(ED239:ED250,EG242),SPPWS,2,FALSE),"----"),IFERROR(VLOOKUP(INDEX(ED239:ED250,EG242),SPM,2,FALSE),"----"))</f>
        <v>----</v>
      </c>
    </row>
    <row r="243" spans="1:138" ht="15" customHeight="1" x14ac:dyDescent="0.25">
      <c r="A243" s="1085"/>
      <c r="B243" s="925"/>
      <c r="C243" s="926"/>
      <c r="D243" s="927"/>
      <c r="E243" s="995"/>
      <c r="F243" s="996"/>
      <c r="G243" s="997"/>
      <c r="H243" s="1062"/>
      <c r="I243" s="990"/>
      <c r="J243" s="910"/>
      <c r="K243" s="911"/>
      <c r="L243" s="1002"/>
      <c r="M243" s="923"/>
      <c r="N243" s="1042"/>
      <c r="O243" s="1018"/>
      <c r="P243" s="987"/>
      <c r="Q243" s="1015"/>
      <c r="R243" s="1012"/>
      <c r="S243" s="1006"/>
      <c r="T243" s="1007"/>
      <c r="U243" s="878"/>
      <c r="V243" s="881"/>
      <c r="W243" s="884"/>
      <c r="X243" s="884"/>
      <c r="Y243" s="887"/>
      <c r="Z243" s="887"/>
      <c r="AA243" s="887"/>
      <c r="AB243" s="1081"/>
      <c r="AC243" s="1078"/>
      <c r="AD243" s="1070" t="s">
        <v>39</v>
      </c>
      <c r="AE243" s="1071"/>
      <c r="AF243" s="1052"/>
      <c r="AG243" s="1053"/>
      <c r="AH243" s="1053"/>
      <c r="AI243" s="1068"/>
      <c r="AJ243" s="1069"/>
      <c r="AK243" s="154" t="str">
        <f t="shared" ca="1" si="3667"/>
        <v/>
      </c>
      <c r="AL243" s="1039"/>
      <c r="AM243" s="344" t="str">
        <f ca="1">IFERROR(Q239/12*ROUND(VLOOKUP(AF243,OFFSET(ELM,0,1),6,FALSE),2),"")</f>
        <v/>
      </c>
      <c r="AN243" t="str">
        <f t="shared" ca="1" si="3717"/>
        <v/>
      </c>
      <c r="AP243" s="122" t="str">
        <f t="shared" ref="AP243" si="3983">_xlfn.CONCAT(AR243,AS244)</f>
        <v/>
      </c>
      <c r="AQ243" s="683" t="str">
        <f t="shared" si="3881"/>
        <v/>
      </c>
      <c r="AR243" s="4" t="str">
        <f t="shared" si="3642"/>
        <v/>
      </c>
      <c r="AS243" s="4"/>
      <c r="AT243" s="697" t="str">
        <f>AL239</f>
        <v/>
      </c>
      <c r="AU243" s="694" t="e">
        <f t="shared" ca="1" si="3907"/>
        <v>#REF!</v>
      </c>
      <c r="AV243" s="698" t="str">
        <f ca="1">IFERROR(VLOOKUP(AU243,INDIRECT(AQ239),2,FALSE),"----")</f>
        <v>----</v>
      </c>
      <c r="AW243" s="694" t="e">
        <f t="shared" ca="1" si="3908"/>
        <v>#REF!</v>
      </c>
      <c r="AX243" s="698" t="str">
        <f ca="1">IFERROR(VLOOKUP(AW243,INDIRECT(AQ240),2,FALSE),"----")</f>
        <v>----</v>
      </c>
      <c r="AY243" s="694" t="e">
        <f t="shared" ref="AY243" ca="1" si="3984">AY242-1</f>
        <v>#REF!</v>
      </c>
      <c r="AZ243" s="698" t="str">
        <f ca="1">IFERROR(VLOOKUP(AY243,INDIRECT(AQ241),2,FALSE),"----")</f>
        <v>----</v>
      </c>
      <c r="BA243" s="694" t="e">
        <f t="shared" ref="BA243" ca="1" si="3985">BA242-1</f>
        <v>#REF!</v>
      </c>
      <c r="BB243" s="698" t="str">
        <f ca="1">IFERROR(VLOOKUP(BA243,INDIRECT(AQ242),2,FALSE),"----")</f>
        <v>----</v>
      </c>
      <c r="BC243" s="694" t="e">
        <f t="shared" ca="1" si="3911"/>
        <v>#REF!</v>
      </c>
      <c r="BD243" s="698" t="str">
        <f ca="1">IFERROR(VLOOKUP(BC243,INDIRECT(AQ243),2,FALSE),"----")</f>
        <v>----</v>
      </c>
      <c r="BE243" s="694" t="e">
        <f t="shared" ca="1" si="3912"/>
        <v>#REF!</v>
      </c>
      <c r="BF243" s="698" t="str">
        <f ca="1">IFERROR(VLOOKUP(BE243,INDIRECT(AQ244),2,FALSE),"----")</f>
        <v>----</v>
      </c>
      <c r="BG243" s="694" t="e">
        <f t="shared" ca="1" si="3913"/>
        <v>#REF!</v>
      </c>
      <c r="BH243" s="686" t="str">
        <f ca="1">IFERROR(VLOOKUP(BG243,INDIRECT(AQ245),2,FALSE),"----")</f>
        <v>----</v>
      </c>
      <c r="BI243" s="694" t="e">
        <f t="shared" ca="1" si="3914"/>
        <v>#REF!</v>
      </c>
      <c r="BJ243" s="686" t="str">
        <f ca="1">IFERROR(VLOOKUP(BI243,INDIRECT(AQ246),2,FALSE),"----")</f>
        <v>----</v>
      </c>
      <c r="BK243" s="694" t="e">
        <f t="shared" ca="1" si="3915"/>
        <v>#REF!</v>
      </c>
      <c r="BL243" s="686" t="str">
        <f ca="1">IFERROR(VLOOKUP(BK243,INDIRECT(AQ247),2,FALSE),"----")</f>
        <v>----</v>
      </c>
      <c r="BM243" s="694" t="e">
        <f t="shared" ca="1" si="3916"/>
        <v>#REF!</v>
      </c>
      <c r="BN243" s="686" t="str">
        <f ca="1">IFERROR(VLOOKUP(BM243,INDIRECT(AQ248),2,FALSE),"----")</f>
        <v>----</v>
      </c>
      <c r="BO243" s="694" t="e">
        <f t="shared" ca="1" si="3917"/>
        <v>#REF!</v>
      </c>
      <c r="BP243" s="686" t="str">
        <f ca="1">IFERROR(VLOOKUP(BO243,INDIRECT(AQ249),2,FALSE),"----")</f>
        <v>----</v>
      </c>
      <c r="BQ243" s="694" t="e">
        <f t="shared" ca="1" si="3918"/>
        <v>#REF!</v>
      </c>
      <c r="BR243" s="686" t="str">
        <f ca="1">IFERROR(VLOOKUP(BQ243,INDIRECT(AQ250),2,FALSE),"----")</f>
        <v>----</v>
      </c>
      <c r="BS243" s="695">
        <f>IF(AI243="",1,IF(COUNTIF(BD239:BD250,AI243)=0,2,1))</f>
        <v>1</v>
      </c>
      <c r="BT243" s="696">
        <f>IF(AF243="",1,IF(BD239=".",2,1))</f>
        <v>1</v>
      </c>
      <c r="BU243" s="706"/>
      <c r="BV243" s="155">
        <f ca="1">IF(COUNTIF(CY239:CY250,AF243)=0,IF(AF243&lt;&gt;"",0,1),1)</f>
        <v>1</v>
      </c>
      <c r="BW243" s="157">
        <f ca="1">IFERROR(MATCH(AF243,CY239:CY250,0),1)</f>
        <v>1</v>
      </c>
      <c r="BX243" s="769"/>
      <c r="BY243" s="769"/>
      <c r="BZ243" s="1110"/>
      <c r="CA243" s="691" t="e">
        <f t="shared" ca="1" si="3919"/>
        <v>#REF!</v>
      </c>
      <c r="CB243" s="4" t="e" cm="1">
        <f t="array" aca="1" ref="CB243" ca="1">IF(AND(INDEX(INDIRECT(BY239),CA243,4)&gt;=$AB239,INDEX(INDIRECT(BY239),CA243,5)&gt;=$S239,INDEX(INDIRECT(BY239),CA243,6)&gt;=$R239),1,0)</f>
        <v>#REF!</v>
      </c>
      <c r="CC243" s="4" t="e">
        <f t="shared" ref="CC243" ca="1" si="3986">MATCH(1,OFFSET(CB239:CB250,CD242,0,COUNT(CB239:CB250)-CD242),0)</f>
        <v>#REF!</v>
      </c>
      <c r="CD243" s="4" t="e">
        <f t="shared" ca="1" si="3921"/>
        <v>#REF!</v>
      </c>
      <c r="CE243" s="692" t="str" cm="1">
        <f t="array" aca="1" ref="CE243" ca="1">IFERROR(VLOOKUP(INDEX(CA239:CA250,CD243),INDIRECT(BY239),2,FALSE),"----")</f>
        <v>----</v>
      </c>
      <c r="CF243" s="691" t="e">
        <f t="shared" ca="1" si="3922"/>
        <v>#N/A</v>
      </c>
      <c r="CG243" s="4" t="e">
        <f ca="1">IF(AND(INDEX(SSM,CF243,4)&gt;=$AB239,INDEX(SSM,CF243,5)&gt;=$S239,INDEX(SSM,CF243,6)&gt;=$R239),1,0)</f>
        <v>#N/A</v>
      </c>
      <c r="CH243" s="4" t="e">
        <f t="shared" ref="CH243" ca="1" si="3987">MATCH(1,OFFSET(CG239:CG250,CI242,0,COUNT(CG239:CG250)-CI242),0)</f>
        <v>#REF!</v>
      </c>
      <c r="CI243" s="4" t="e">
        <f t="shared" ca="1" si="3924"/>
        <v>#REF!</v>
      </c>
      <c r="CJ243" s="692" t="str">
        <f ca="1">IFERROR(IF(AD240="Nested Steel Stud (wood infill)",VLOOKUP(INDEX(CF239:CF250,CI243),SSW,2,FALSE),VLOOKUP(INDEX(CF239:CF250,CI243),SSM,2,FALSE)),"----")</f>
        <v>----</v>
      </c>
      <c r="CK243" s="691" t="e">
        <f t="shared" ca="1" si="3925"/>
        <v>#N/A</v>
      </c>
      <c r="CL243" s="4" t="e">
        <f ca="1">IF(AND(INDEX(WSM,CK243,4)&gt;=$AB239,INDEX(WSM,CK243,5)&gt;=$S239,INDEX(WSM,CK243,6)&gt;=$R239),1,0)</f>
        <v>#N/A</v>
      </c>
      <c r="CM243" s="4" t="e">
        <f t="shared" ref="CM243" ca="1" si="3988">MATCH(1,OFFSET(CL239:CL250,CN242,0,COUNT(CL239:CL250)-CN242),0)</f>
        <v>#REF!</v>
      </c>
      <c r="CN243" s="4" t="e">
        <f t="shared" ca="1" si="3927"/>
        <v>#REF!</v>
      </c>
      <c r="CO243" s="692" t="str">
        <f ca="1">IFERROR(VLOOKUP(INDEX(CK239:CK250,CN243),WSM,2,FALSE),"----")</f>
        <v>----</v>
      </c>
      <c r="CP243" s="691" t="e">
        <f t="shared" ca="1" si="3928"/>
        <v>#N/A</v>
      </c>
      <c r="CQ243" s="4" t="e">
        <f ca="1">IF(AND(INDEX(STM,CP243,4)&gt;=$AB239,INDEX(STM,CP243,5)&gt;=$S239,INDEX(STM,CP243,6)&gt;=$R239),1,0)</f>
        <v>#N/A</v>
      </c>
      <c r="CR243" s="4" t="e">
        <f t="shared" ref="CR243" ca="1" si="3989">MATCH(1,OFFSET(CQ239:CQ250,CS242,0,COUNT(CQ239:CQ250)-CS242),0)</f>
        <v>#REF!</v>
      </c>
      <c r="CS243" s="4" t="e">
        <f t="shared" ca="1" si="3930"/>
        <v>#REF!</v>
      </c>
      <c r="CT243" s="692" t="str">
        <f ca="1">IFERROR(VLOOKUP(INDEX(CP239:CP250,CS243),STM,2,FALSE),"----")</f>
        <v>----</v>
      </c>
      <c r="CU243" s="691" t="e">
        <f t="shared" ca="1" si="3931"/>
        <v>#N/A</v>
      </c>
      <c r="CV243" s="4" t="e">
        <f ca="1">IF(AND(INDEX(ELM,CU243,4)&gt;=$AB239,INDEX(ELM,CU243,5)&gt;=$S239,INDEX(ELM,CU243,6)&gt;=$R239),1,0)</f>
        <v>#N/A</v>
      </c>
      <c r="CW243" s="4" t="e">
        <f t="shared" ref="CW243" ca="1" si="3990">MATCH(1,OFFSET(CV239:CV250,CX242,0,COUNT(CV239:CV250)-CX242),0)</f>
        <v>#REF!</v>
      </c>
      <c r="CX243" s="4" t="e">
        <f t="shared" ca="1" si="3933"/>
        <v>#REF!</v>
      </c>
      <c r="CY243" s="692" t="str">
        <f ca="1">IFERROR(VLOOKUP(INDEX(CU239:CU250,CX243),ELM,2,FALSE),"----")</f>
        <v>----</v>
      </c>
      <c r="CZ243" s="691" t="e">
        <f t="shared" ca="1" si="3934"/>
        <v>#N/A</v>
      </c>
      <c r="DA243" s="4" t="e">
        <f ca="1">IF(LEFT($J239,7)="Clad Wo",IF(AND(INDEX(SPPWS,CZ243,4)&gt;=$AB239,INDEX(SPPWS,CZ243,5)&gt;=$S239,INDEX(SPPWS,CZ243,6)&gt;=$R239),1,0),IF(AND(INDEX(SPM,CZ243,4)&gt;=$AB239,INDEX(SPM,CZ243,5)&gt;=$S239,INDEX(SPM,CZ243,6)&gt;=$R239),1,0))</f>
        <v>#N/A</v>
      </c>
      <c r="DB243" s="4" t="e">
        <f t="shared" ref="DB243" ca="1" si="3991">MATCH(1,OFFSET(DA239:DA250,DC242,0,COUNT(DA239:DA250)-DC242),0)</f>
        <v>#REF!</v>
      </c>
      <c r="DC243" s="4" t="e">
        <f t="shared" ca="1" si="3936"/>
        <v>#REF!</v>
      </c>
      <c r="DD243" s="693" t="str">
        <f ca="1">IF(LEFT($J239,7)="Clad Wo",IFERROR(VLOOKUP(INDEX(CZ239:CZ250,DC243),SPPWS,2,FALSE),"----"),IFERROR(VLOOKUP(INDEX(CZ239:CZ250,DC243),SPM,2,FALSE),"----"))</f>
        <v>----</v>
      </c>
      <c r="DE243" s="691" t="e">
        <f t="shared" ca="1" si="3937"/>
        <v>#REF!</v>
      </c>
      <c r="DF243" s="4" t="e" cm="1">
        <f t="array" aca="1" ref="DF243" ca="1">IF(AND(INDEX(INDIRECT(BY239),DE243,4)&gt;=$AB245,INDEX(INDIRECT(BY239),DE243,5)&gt;=$S239,INDEX(INDIRECT(BY239),DE243,6)&gt;=$R239),1,0)</f>
        <v>#REF!</v>
      </c>
      <c r="DG243" s="4" t="e">
        <f t="shared" ref="DG243" ca="1" si="3992">MATCH(1,OFFSET(DF239:DF250,DH242,0,COUNT(DF239:DF250)-DH242),0)</f>
        <v>#REF!</v>
      </c>
      <c r="DH243" s="4" t="e">
        <f t="shared" ca="1" si="3939"/>
        <v>#REF!</v>
      </c>
      <c r="DI243" s="692" t="str" cm="1">
        <f t="array" aca="1" ref="DI243" ca="1">IFERROR(VLOOKUP(INDEX(DE239:DE250,DH243),INDIRECT(BY239),2,FALSE),"----")</f>
        <v>----</v>
      </c>
      <c r="DJ243" s="691" t="e">
        <f t="shared" ca="1" si="3940"/>
        <v>#N/A</v>
      </c>
      <c r="DK243" s="4" t="e">
        <f ca="1">IF(AND(INDEX(SSM,DJ243,4)&gt;=$AB245,INDEX(SSM,DJ243,5)&gt;=$S239,INDEX(SSM,DJ243,6)&gt;=$R239),1,0)</f>
        <v>#N/A</v>
      </c>
      <c r="DL243" s="4" t="e">
        <f t="shared" ref="DL243" ca="1" si="3993">MATCH(1,OFFSET(DK239:DK250,DM242,0,COUNT(DK239:DK250)-DM242),0)</f>
        <v>#REF!</v>
      </c>
      <c r="DM243" s="4" t="e">
        <f t="shared" ca="1" si="3942"/>
        <v>#REF!</v>
      </c>
      <c r="DN243" s="692" t="str">
        <f ca="1">IFERROR(IF(AD246="Nested Steel Stud (wood infill)",VLOOKUP(INDEX(DJ239:DJ250,DM243),SSW,2,FALSE),VLOOKUP(INDEX(DJ239:DJ250,DM243),SSM,2,FALSE)),"----")</f>
        <v>----</v>
      </c>
      <c r="DO243" s="691" t="e">
        <f t="shared" ca="1" si="3943"/>
        <v>#N/A</v>
      </c>
      <c r="DP243" s="4" t="e">
        <f ca="1">IF(AND(INDEX(WSM,DO243,4)&gt;=$AB245,INDEX(WSM,DO243,5)&gt;=$S239,INDEX(WSM,DO243,6)&gt;=$R239),1,0)</f>
        <v>#N/A</v>
      </c>
      <c r="DQ243" s="4" t="e">
        <f t="shared" ref="DQ243" ca="1" si="3994">MATCH(1,OFFSET(DP239:DP250,DR242,0,COUNT(DP239:DP250)-DR242),0)</f>
        <v>#REF!</v>
      </c>
      <c r="DR243" s="4" t="e">
        <f t="shared" ca="1" si="3945"/>
        <v>#REF!</v>
      </c>
      <c r="DS243" s="692" t="str">
        <f ca="1">IFERROR(VLOOKUP(INDEX(DO239:DO250,DR243),WSM,2,FALSE),"----")</f>
        <v>----</v>
      </c>
      <c r="DT243" s="691" t="e">
        <f t="shared" ca="1" si="3946"/>
        <v>#N/A</v>
      </c>
      <c r="DU243" s="4" t="e">
        <f ca="1">IF(AND(INDEX(STM,DT243,4)&gt;=$AB245,INDEX(STM,DT243,5)&gt;=$S239,INDEX(STM,DT243,6)&gt;=$R239),1,0)</f>
        <v>#N/A</v>
      </c>
      <c r="DV243" s="4" t="e">
        <f t="shared" ref="DV243" ca="1" si="3995">MATCH(1,OFFSET(DU239:DU250,DW242,0,COUNT(DU239:DU250)-DW242),0)</f>
        <v>#REF!</v>
      </c>
      <c r="DW243" s="4" t="e">
        <f t="shared" ca="1" si="3948"/>
        <v>#REF!</v>
      </c>
      <c r="DX243" s="692" t="str">
        <f ca="1">IFERROR(VLOOKUP(INDEX(DT239:DT250,DW243),STM,2,FALSE),"----")</f>
        <v>----</v>
      </c>
      <c r="DY243" s="691" t="e">
        <f t="shared" ca="1" si="3949"/>
        <v>#N/A</v>
      </c>
      <c r="DZ243" s="4" t="e">
        <f ca="1">IF(AND(INDEX(ELM,DY243,4)&gt;=$AB245,INDEX(ELM,DY243,5)&gt;=$S239,INDEX(ELM,DY243,6)&gt;=$R239),1,0)</f>
        <v>#N/A</v>
      </c>
      <c r="EA243" s="4" t="e">
        <f t="shared" ref="EA243" ca="1" si="3996">MATCH(1,OFFSET(DZ239:DZ250,EB242,0,COUNT(DZ239:DZ250)-EB242),0)</f>
        <v>#REF!</v>
      </c>
      <c r="EB243" s="4" t="e">
        <f t="shared" ca="1" si="3951"/>
        <v>#REF!</v>
      </c>
      <c r="EC243" s="692" t="str">
        <f ca="1">IFERROR(VLOOKUP(INDEX(DY239:DY250,EB243),ELM,2,FALSE),"----")</f>
        <v>----</v>
      </c>
      <c r="ED243" s="691" t="e">
        <f t="shared" ca="1" si="3952"/>
        <v>#N/A</v>
      </c>
      <c r="EE243" s="4" t="e">
        <f ca="1">IF(LEFT($J239,7)="Clad Wo",IF(AND(INDEX(SPPWS,ED243,4)&gt;=$AB245,INDEX(SPPWS,ED243,5)&gt;=$S239,INDEX(SPPWS,ED243,6)&gt;=$R239),1,0),IF(AND(INDEX(SPM,ED243,4)&gt;=$AB245,INDEX(SPM,ED243,5)&gt;=$S239,INDEX(SPM,ED243,6)&gt;=$R239),1,0))</f>
        <v>#N/A</v>
      </c>
      <c r="EF243" s="4" t="e">
        <f t="shared" ref="EF243" ca="1" si="3997">MATCH(1,OFFSET(EE239:EE250,EG242,0,COUNT(EE239:EE250)-EG242),0)</f>
        <v>#REF!</v>
      </c>
      <c r="EG243" s="4" t="e">
        <f t="shared" ca="1" si="3954"/>
        <v>#REF!</v>
      </c>
      <c r="EH243" s="692" t="str">
        <f ca="1">IF(LEFT($J239,7)="Clad Wo",IFERROR(VLOOKUP(INDEX(ED239:ED250,EG243),SPPWS,2,FALSE),"----"),IFERROR(VLOOKUP(INDEX(ED239:ED250,EG243),SPM,2,FALSE),"----"))</f>
        <v>----</v>
      </c>
    </row>
    <row r="244" spans="1:138" ht="15" customHeight="1" thickBot="1" x14ac:dyDescent="0.3">
      <c r="A244" s="1085"/>
      <c r="B244" s="934"/>
      <c r="C244" s="935"/>
      <c r="D244" s="936"/>
      <c r="E244" s="995"/>
      <c r="F244" s="996"/>
      <c r="G244" s="997"/>
      <c r="H244" s="1062"/>
      <c r="I244" s="990"/>
      <c r="J244" s="908"/>
      <c r="K244" s="909"/>
      <c r="L244" s="1010"/>
      <c r="M244" s="924"/>
      <c r="N244" s="1044"/>
      <c r="O244" s="1018"/>
      <c r="P244" s="987"/>
      <c r="Q244" s="1015"/>
      <c r="R244" s="1012"/>
      <c r="S244" s="1006"/>
      <c r="T244" s="1007"/>
      <c r="U244" s="878"/>
      <c r="V244" s="881"/>
      <c r="W244" s="889"/>
      <c r="X244" s="884"/>
      <c r="Y244" s="890"/>
      <c r="Z244" s="890"/>
      <c r="AA244" s="887"/>
      <c r="AB244" s="1084"/>
      <c r="AC244" s="1079"/>
      <c r="AD244" s="1072" t="str">
        <f t="shared" ref="AD244" si="3998">IF(LEFT(J239,7)="Clad Wo","Pella Wood Spr / Steel Pte","Steel Plate")</f>
        <v>Steel Plate</v>
      </c>
      <c r="AE244" s="1073"/>
      <c r="AF244" s="1054"/>
      <c r="AG244" s="1055"/>
      <c r="AH244" s="1055"/>
      <c r="AI244" s="1092"/>
      <c r="AJ244" s="1093"/>
      <c r="AK244" s="159" t="str">
        <f t="shared" ca="1" si="3667"/>
        <v/>
      </c>
      <c r="AL244" s="1040"/>
      <c r="AM244" s="345" t="str">
        <f ca="1">IFERROR(Q239/12*ROUND(VLOOKUP(AF244,OFFSET(SPM,0,1),6,FALSE),2),"")</f>
        <v/>
      </c>
      <c r="AN244" t="str">
        <f t="shared" ca="1" si="3717"/>
        <v/>
      </c>
      <c r="AP244" s="699" t="str">
        <f t="shared" ref="AP244" si="3999">_xlfn.CONCAT(AR244,AS244)</f>
        <v/>
      </c>
      <c r="AQ244" s="700" t="str">
        <f t="shared" si="3881"/>
        <v/>
      </c>
      <c r="AR244" s="160" t="str">
        <f t="shared" si="3642"/>
        <v/>
      </c>
      <c r="AS244" s="160" t="str">
        <f>IFERROR(VLOOKUP(J247, WallType,2,FALSE),"")</f>
        <v/>
      </c>
      <c r="AT244" s="701" t="str">
        <f>AL239</f>
        <v/>
      </c>
      <c r="AU244" s="694" t="e">
        <f t="shared" ca="1" si="3907"/>
        <v>#REF!</v>
      </c>
      <c r="AV244" s="698" t="str">
        <f ca="1">IFERROR(VLOOKUP(AU244,INDIRECT(AQ239),2,FALSE),"----")</f>
        <v>----</v>
      </c>
      <c r="AW244" s="702" t="e">
        <f t="shared" ca="1" si="3908"/>
        <v>#REF!</v>
      </c>
      <c r="AX244" s="698" t="str">
        <f ca="1">IFERROR(VLOOKUP(AW244,INDIRECT(AQ240),2,FALSE),"----")</f>
        <v>----</v>
      </c>
      <c r="AY244" s="702" t="e">
        <f t="shared" ref="AY244:AY259" ca="1" si="4000">AY243-1</f>
        <v>#REF!</v>
      </c>
      <c r="AZ244" s="698" t="str">
        <f ca="1">IFERROR(VLOOKUP(AY244,INDIRECT(AQ241),2,FALSE),"----")</f>
        <v>----</v>
      </c>
      <c r="BA244" s="702" t="e">
        <f t="shared" ref="BA244:BA259" ca="1" si="4001">BA243-1</f>
        <v>#REF!</v>
      </c>
      <c r="BB244" s="698" t="str">
        <f ca="1">IFERROR(VLOOKUP(BA244,INDIRECT(AQ242),2,FALSE),"----")</f>
        <v>----</v>
      </c>
      <c r="BC244" s="702" t="e">
        <f t="shared" ca="1" si="3911"/>
        <v>#REF!</v>
      </c>
      <c r="BD244" s="698" t="str">
        <f ca="1">IFERROR(VLOOKUP(BC244,INDIRECT(AQ243),2,FALSE),"----")</f>
        <v>----</v>
      </c>
      <c r="BE244" s="702" t="e">
        <f t="shared" ca="1" si="3912"/>
        <v>#REF!</v>
      </c>
      <c r="BF244" s="698" t="str">
        <f ca="1">IFERROR(VLOOKUP(BE244,INDIRECT(AQ244),2,FALSE),"----")</f>
        <v>----</v>
      </c>
      <c r="BG244" s="702" t="e">
        <f t="shared" ca="1" si="3913"/>
        <v>#REF!</v>
      </c>
      <c r="BH244" s="686" t="str">
        <f ca="1">IFERROR(VLOOKUP(BG244,INDIRECT(AQ245),2,FALSE),"----")</f>
        <v>----</v>
      </c>
      <c r="BI244" s="702" t="e">
        <f t="shared" ca="1" si="3914"/>
        <v>#REF!</v>
      </c>
      <c r="BJ244" s="686" t="str">
        <f ca="1">IFERROR(VLOOKUP(BI244,INDIRECT(AQ246),2,FALSE),"----")</f>
        <v>----</v>
      </c>
      <c r="BK244" s="702" t="e">
        <f t="shared" ca="1" si="3915"/>
        <v>#REF!</v>
      </c>
      <c r="BL244" s="686" t="str">
        <f ca="1">IFERROR(VLOOKUP(BK244,INDIRECT(AQ247),2,FALSE),"----")</f>
        <v>----</v>
      </c>
      <c r="BM244" s="702" t="e">
        <f t="shared" ca="1" si="3916"/>
        <v>#REF!</v>
      </c>
      <c r="BN244" s="686" t="str">
        <f ca="1">IFERROR(VLOOKUP(BM244,INDIRECT(AQ248),2,FALSE),"----")</f>
        <v>----</v>
      </c>
      <c r="BO244" s="702" t="e">
        <f t="shared" ca="1" si="3917"/>
        <v>#REF!</v>
      </c>
      <c r="BP244" s="686" t="str">
        <f ca="1">IFERROR(VLOOKUP(BO244,INDIRECT(AQ249),2,FALSE),"----")</f>
        <v>----</v>
      </c>
      <c r="BQ244" s="702" t="e">
        <f t="shared" ca="1" si="3918"/>
        <v>#REF!</v>
      </c>
      <c r="BR244" s="686" t="str">
        <f ca="1">IFERROR(VLOOKUP(BQ244,INDIRECT(AQ250),2,FALSE),"----")</f>
        <v>----</v>
      </c>
      <c r="BS244" s="703">
        <f>IF(AI244="",1,IF(COUNTIF(BF239:BF250,AI244)=0,2,1))</f>
        <v>1</v>
      </c>
      <c r="BT244" s="704">
        <f>IF(AF244="",1,IF(BF239=".",2,1))</f>
        <v>1</v>
      </c>
      <c r="BV244" s="155">
        <f ca="1">IF(COUNTIF(DD239:DD250,AF244)=0,IF(AF244&lt;&gt;"",0,1),1)</f>
        <v>1</v>
      </c>
      <c r="BW244" s="157">
        <f ca="1">IFERROR(MATCH(AF244,DD239:DD250,0),1)</f>
        <v>1</v>
      </c>
      <c r="BX244" s="875" t="s">
        <v>1594</v>
      </c>
      <c r="BY244" s="876"/>
      <c r="BZ244" s="1110"/>
      <c r="CA244" s="691" t="e">
        <f t="shared" ca="1" si="3919"/>
        <v>#REF!</v>
      </c>
      <c r="CB244" s="4" t="e" cm="1">
        <f t="array" aca="1" ref="CB244" ca="1">IF(AND(INDEX(INDIRECT(BY239),CA244,4)&gt;=$AB239,INDEX(INDIRECT(BY239),CA244,5)&gt;=$S239,INDEX(INDIRECT(BY239),CA244,6)&gt;=$R239),1,0)</f>
        <v>#REF!</v>
      </c>
      <c r="CC244" s="4" t="e">
        <f t="shared" ref="CC244" ca="1" si="4002">MATCH(1,OFFSET(CB239:CB250,CD243,0,COUNT(CB239:CB250)-CD243),0)</f>
        <v>#REF!</v>
      </c>
      <c r="CD244" s="4" t="e">
        <f t="shared" ca="1" si="3921"/>
        <v>#REF!</v>
      </c>
      <c r="CE244" s="692" t="str" cm="1">
        <f t="array" aca="1" ref="CE244" ca="1">IFERROR(VLOOKUP(INDEX(CA239:CA250,CD244),INDIRECT(BY239),2,FALSE),"----")</f>
        <v>----</v>
      </c>
      <c r="CF244" s="691" t="e">
        <f t="shared" ca="1" si="3922"/>
        <v>#N/A</v>
      </c>
      <c r="CG244" s="4" t="e">
        <f ca="1">IF(AND(INDEX(SSM,CF244,4)&gt;=$AB239,INDEX(SSM,CF244,5)&gt;=$S239,INDEX(SSM,CF244,6)&gt;=$R239),1,0)</f>
        <v>#N/A</v>
      </c>
      <c r="CH244" s="4" t="e">
        <f t="shared" ref="CH244" ca="1" si="4003">MATCH(1,OFFSET(CG239:CG250,CI243,0,COUNT(CG239:CG250)-CI243),0)</f>
        <v>#REF!</v>
      </c>
      <c r="CI244" s="4" t="e">
        <f t="shared" ca="1" si="3924"/>
        <v>#REF!</v>
      </c>
      <c r="CJ244" s="692" t="str">
        <f ca="1">IFERROR(IF(AD240="Nested Steel Stud (wood infill)",VLOOKUP(INDEX(CF239:CF250,CI244),SSW,2,FALSE),VLOOKUP(INDEX(CF239:CF250,CI244),SSM,2,FALSE)),"----")</f>
        <v>----</v>
      </c>
      <c r="CK244" s="691" t="e">
        <f t="shared" ca="1" si="3925"/>
        <v>#N/A</v>
      </c>
      <c r="CL244" s="4" t="e">
        <f ca="1">IF(AND(INDEX(WSM,CK244,4)&gt;=$AB239,INDEX(WSM,CK244,5)&gt;=$S239,INDEX(WSM,CK244,6)&gt;=$R239),1,0)</f>
        <v>#N/A</v>
      </c>
      <c r="CM244" s="4" t="e">
        <f t="shared" ref="CM244" ca="1" si="4004">MATCH(1,OFFSET(CL239:CL250,CN243,0,COUNT(CL239:CL250)-CN243),0)</f>
        <v>#REF!</v>
      </c>
      <c r="CN244" s="4" t="e">
        <f t="shared" ca="1" si="3927"/>
        <v>#REF!</v>
      </c>
      <c r="CO244" s="692" t="str">
        <f ca="1">IFERROR(VLOOKUP(INDEX(CK239:CK250,CN244),WSM,2,FALSE),"----")</f>
        <v>----</v>
      </c>
      <c r="CP244" s="691" t="e">
        <f t="shared" ca="1" si="3928"/>
        <v>#N/A</v>
      </c>
      <c r="CQ244" s="4" t="e">
        <f ca="1">IF(AND(INDEX(STM,CP244,4)&gt;=$AB239,INDEX(STM,CP244,5)&gt;=$S239,INDEX(STM,CP244,6)&gt;=$R239),1,0)</f>
        <v>#N/A</v>
      </c>
      <c r="CR244" s="4" t="e">
        <f t="shared" ref="CR244" ca="1" si="4005">MATCH(1,OFFSET(CQ239:CQ250,CS243,0,COUNT(CQ239:CQ250)-CS243),0)</f>
        <v>#REF!</v>
      </c>
      <c r="CS244" s="4" t="e">
        <f t="shared" ca="1" si="3930"/>
        <v>#REF!</v>
      </c>
      <c r="CT244" s="692" t="str">
        <f ca="1">IFERROR(VLOOKUP(INDEX(CP239:CP250,CS244),STM,2,FALSE),"----")</f>
        <v>----</v>
      </c>
      <c r="CU244" s="691" t="e">
        <f t="shared" ca="1" si="3931"/>
        <v>#N/A</v>
      </c>
      <c r="CV244" s="4" t="e">
        <f ca="1">IF(AND(INDEX(ELM,CU244,4)&gt;=$AB239,INDEX(ELM,CU244,5)&gt;=$S239,INDEX(ELM,CU244,6)&gt;=$R239),1,0)</f>
        <v>#N/A</v>
      </c>
      <c r="CW244" s="4" t="e">
        <f t="shared" ref="CW244" ca="1" si="4006">MATCH(1,OFFSET(CV239:CV250,CX243,0,COUNT(CV239:CV250)-CX243),0)</f>
        <v>#REF!</v>
      </c>
      <c r="CX244" s="4" t="e">
        <f t="shared" ca="1" si="3933"/>
        <v>#REF!</v>
      </c>
      <c r="CY244" s="692" t="str">
        <f ca="1">IFERROR(VLOOKUP(INDEX(CU239:CU250,CX244),ELM,2,FALSE),"----")</f>
        <v>----</v>
      </c>
      <c r="CZ244" s="691" t="e">
        <f t="shared" ca="1" si="3934"/>
        <v>#N/A</v>
      </c>
      <c r="DA244" s="4" t="e">
        <f ca="1">IF(LEFT($J239,7)="Clad Wo",IF(AND(INDEX(SPPWS,CZ244,4)&gt;=$AB239,INDEX(SPPWS,CZ244,5)&gt;=$S239,INDEX(SPPWS,CZ244,6)&gt;=$R239),1,0),IF(AND(INDEX(SPM,CZ244,4)&gt;=$AB239,INDEX(SPM,CZ244,5)&gt;=$S239,INDEX(SPM,CZ244,6)&gt;=$R239),1,0))</f>
        <v>#N/A</v>
      </c>
      <c r="DB244" s="4" t="e">
        <f t="shared" ref="DB244" ca="1" si="4007">MATCH(1,OFFSET(DA239:DA250,DC243,0,COUNT(DA239:DA250)-DC243),0)</f>
        <v>#REF!</v>
      </c>
      <c r="DC244" s="4" t="e">
        <f t="shared" ca="1" si="3936"/>
        <v>#REF!</v>
      </c>
      <c r="DD244" s="693" t="str">
        <f ca="1">IF(LEFT($J239,7)="Clad Wo",IFERROR(VLOOKUP(INDEX(CZ239:CZ250,DC244),SPPWS,2,FALSE),"----"),IFERROR(VLOOKUP(INDEX(CZ239:CZ250,DC244),SPM,2,FALSE),"----"))</f>
        <v>----</v>
      </c>
      <c r="DE244" s="691" t="e">
        <f t="shared" ca="1" si="3937"/>
        <v>#REF!</v>
      </c>
      <c r="DF244" s="4" t="e" cm="1">
        <f t="array" aca="1" ref="DF244" ca="1">IF(AND(INDEX(INDIRECT(BY239),DE244,4)&gt;=$AB245,INDEX(INDIRECT(BY239),DE244,5)&gt;=$S239,INDEX(INDIRECT(BY239),DE244,6)&gt;=$R239),1,0)</f>
        <v>#REF!</v>
      </c>
      <c r="DG244" s="4" t="e">
        <f t="shared" ref="DG244" ca="1" si="4008">MATCH(1,OFFSET(DF239:DF250,DH243,0,COUNT(DF239:DF250)-DH243),0)</f>
        <v>#REF!</v>
      </c>
      <c r="DH244" s="4" t="e">
        <f t="shared" ca="1" si="3939"/>
        <v>#REF!</v>
      </c>
      <c r="DI244" s="692" t="str" cm="1">
        <f t="array" aca="1" ref="DI244" ca="1">IFERROR(VLOOKUP(INDEX(DE239:DE250,DH244),INDIRECT(BY239),2,FALSE),"----")</f>
        <v>----</v>
      </c>
      <c r="DJ244" s="691" t="e">
        <f t="shared" ca="1" si="3940"/>
        <v>#N/A</v>
      </c>
      <c r="DK244" s="4" t="e">
        <f ca="1">IF(AND(INDEX(SSM,DJ244,4)&gt;=$AB245,INDEX(SSM,DJ244,5)&gt;=$S239,INDEX(SSM,DJ244,6)&gt;=$R239),1,0)</f>
        <v>#N/A</v>
      </c>
      <c r="DL244" s="4" t="e">
        <f t="shared" ref="DL244" ca="1" si="4009">MATCH(1,OFFSET(DK239:DK250,DM243,0,COUNT(DK239:DK250)-DM243),0)</f>
        <v>#REF!</v>
      </c>
      <c r="DM244" s="4" t="e">
        <f t="shared" ca="1" si="3942"/>
        <v>#REF!</v>
      </c>
      <c r="DN244" s="692" t="str">
        <f ca="1">IFERROR(IF(AD246="Nested Steel Stud (wood infill)",VLOOKUP(INDEX(DJ239:DJ250,DM244),SSW,2,FALSE),VLOOKUP(INDEX(DJ239:DJ250,DM244),SSM,2,FALSE)),"----")</f>
        <v>----</v>
      </c>
      <c r="DO244" s="691" t="e">
        <f t="shared" ca="1" si="3943"/>
        <v>#N/A</v>
      </c>
      <c r="DP244" s="4" t="e">
        <f ca="1">IF(AND(INDEX(WSM,DO244,4)&gt;=$AB245,INDEX(WSM,DO244,5)&gt;=$S239,INDEX(WSM,DO244,6)&gt;=$R239),1,0)</f>
        <v>#N/A</v>
      </c>
      <c r="DQ244" s="4" t="e">
        <f t="shared" ref="DQ244" ca="1" si="4010">MATCH(1,OFFSET(DP239:DP250,DR243,0,COUNT(DP239:DP250)-DR243),0)</f>
        <v>#REF!</v>
      </c>
      <c r="DR244" s="4" t="e">
        <f t="shared" ca="1" si="3945"/>
        <v>#REF!</v>
      </c>
      <c r="DS244" s="692" t="str">
        <f ca="1">IFERROR(VLOOKUP(INDEX(DO239:DO250,DR244),WSM,2,FALSE),"----")</f>
        <v>----</v>
      </c>
      <c r="DT244" s="691" t="e">
        <f t="shared" ca="1" si="3946"/>
        <v>#N/A</v>
      </c>
      <c r="DU244" s="4" t="e">
        <f ca="1">IF(AND(INDEX(STM,DT244,4)&gt;=$AB245,INDEX(STM,DT244,5)&gt;=$S239,INDEX(STM,DT244,6)&gt;=$R239),1,0)</f>
        <v>#N/A</v>
      </c>
      <c r="DV244" s="4" t="e">
        <f t="shared" ref="DV244" ca="1" si="4011">MATCH(1,OFFSET(DU239:DU250,DW243,0,COUNT(DU239:DU250)-DW243),0)</f>
        <v>#REF!</v>
      </c>
      <c r="DW244" s="4" t="e">
        <f t="shared" ca="1" si="3948"/>
        <v>#REF!</v>
      </c>
      <c r="DX244" s="692" t="str">
        <f ca="1">IFERROR(VLOOKUP(INDEX(DT239:DT250,DW244),STM,2,FALSE),"----")</f>
        <v>----</v>
      </c>
      <c r="DY244" s="691" t="e">
        <f t="shared" ca="1" si="3949"/>
        <v>#N/A</v>
      </c>
      <c r="DZ244" s="4" t="e">
        <f ca="1">IF(AND(INDEX(ELM,DY244,4)&gt;=$AB245,INDEX(ELM,DY244,5)&gt;=$S239,INDEX(ELM,DY244,6)&gt;=$R239),1,0)</f>
        <v>#N/A</v>
      </c>
      <c r="EA244" s="4" t="e">
        <f t="shared" ref="EA244" ca="1" si="4012">MATCH(1,OFFSET(DZ239:DZ250,EB243,0,COUNT(DZ239:DZ250)-EB243),0)</f>
        <v>#REF!</v>
      </c>
      <c r="EB244" s="4" t="e">
        <f t="shared" ca="1" si="3951"/>
        <v>#REF!</v>
      </c>
      <c r="EC244" s="692" t="str">
        <f ca="1">IFERROR(VLOOKUP(INDEX(DY239:DY250,EB244),ELM,2,FALSE),"----")</f>
        <v>----</v>
      </c>
      <c r="ED244" s="691" t="e">
        <f t="shared" ca="1" si="3952"/>
        <v>#N/A</v>
      </c>
      <c r="EE244" s="4" t="e">
        <f ca="1">IF(LEFT($J239,7)="Clad Wo",IF(AND(INDEX(SPPWS,ED244,4)&gt;=$AB245,INDEX(SPPWS,ED244,5)&gt;=$S239,INDEX(SPPWS,ED244,6)&gt;=$R239),1,0),IF(AND(INDEX(SPM,ED244,4)&gt;=$AB245,INDEX(SPM,ED244,5)&gt;=$S239,INDEX(SPM,ED244,6)&gt;=$R239),1,0))</f>
        <v>#N/A</v>
      </c>
      <c r="EF244" s="4" t="e">
        <f t="shared" ref="EF244" ca="1" si="4013">MATCH(1,OFFSET(EE239:EE250,EG243,0,COUNT(EE239:EE250)-EG243),0)</f>
        <v>#REF!</v>
      </c>
      <c r="EG244" s="4" t="e">
        <f t="shared" ca="1" si="3954"/>
        <v>#REF!</v>
      </c>
      <c r="EH244" s="692" t="str">
        <f ca="1">IF(LEFT($J239,7)="Clad Wo",IFERROR(VLOOKUP(INDEX(ED239:ED250,EG244),SPPWS,2,FALSE),"----"),IFERROR(VLOOKUP(INDEX(ED239:ED250,EG244),SPM,2,FALSE),"----"))</f>
        <v>----</v>
      </c>
    </row>
    <row r="245" spans="1:138" ht="15" customHeight="1" x14ac:dyDescent="0.25">
      <c r="A245" s="1085"/>
      <c r="B245" s="925" t="s">
        <v>409</v>
      </c>
      <c r="C245" s="926"/>
      <c r="D245" s="927"/>
      <c r="E245" s="995"/>
      <c r="F245" s="996"/>
      <c r="G245" s="997"/>
      <c r="H245" s="1062"/>
      <c r="I245" s="990"/>
      <c r="J245" s="908"/>
      <c r="K245" s="909"/>
      <c r="L245" s="1001">
        <f>L239+1</f>
        <v>5</v>
      </c>
      <c r="M245" s="1064" t="str">
        <f t="shared" ref="M245" si="4014">IFERROR(IF($AE$17="",IF($AG$19="Wind Loading",MIN($V$31,IF(E$11="ASCE 7-05",$U$26,$V$7)*$V$9*(IF($E$12&lt;60,0.156*LN(MAX(MIN(500,O239),10)) -1.7618,IF($E$11="ASCE 7-22", 0.2026*LN(MAX(MIN(500,O239),20))-2.2638,0.2503*LN(MAX(MIN(500,O239),20)) -2.5526))-$V$8)),$V$7*IF(E$12&lt;60,$V$13*($V$15*(0.156*LN(MAX(MIN(500,O239),10)) -1.7618)-$V$16),$V$13*$V$15*((0.2026*LN(MAX(MIN(500,O239),20))-2.2638)-$V$16))),-ABS($AE$17)),"")</f>
        <v/>
      </c>
      <c r="N245" s="1041" t="str">
        <f t="shared" ref="N245" si="4015">IFERROR(IF($AE$19="",IF($AG$19="Wind Loading",MAX($U$31,IF(E$11="ASCE 7-05",$U$26,$V$7)*$V$9*((IF($E$12&lt;60,-0.077*LN(MAX(MIN(500,O239),10))+1.1737,IF($E$11="ASCE 7-22",-0.077*LN(MAX(MIN(500,O239),20))+1.0798,-0.093*LN(MAX(MIN(500,O239),20))+1.1776)))+$V$8)),$V$7*IF(E$12&lt;60,$V$13*($V$15*(-0.077*LN(MAX(MIN(500,O239),10))+1.1737)-$V$17),$V$13*$V$15*((-0.077*LN(MAX(MIN(500,O239),20))+1.0798)-$V$17))),ABS($AE$19)),"")</f>
        <v/>
      </c>
      <c r="O245" s="1018"/>
      <c r="P245" s="987"/>
      <c r="Q245" s="1015"/>
      <c r="R245" s="1012">
        <f>P245*Q245/8</f>
        <v>0</v>
      </c>
      <c r="S245" s="1006"/>
      <c r="T245" s="1007"/>
      <c r="U245" s="878"/>
      <c r="V245" s="881"/>
      <c r="W245" s="883" t="e">
        <f t="shared" ref="W245" si="4016">MAX(-M245,N245)*O239</f>
        <v>#VALUE!</v>
      </c>
      <c r="X245" s="884"/>
      <c r="Y245" s="886">
        <f>IFERROR(IF(AG$14="Trapezoidal",BY248,BX248)+IF($E$17="4",(400*E239^3)/(48*X239),0),0)</f>
        <v>0</v>
      </c>
      <c r="Z245" s="886" t="e">
        <f t="shared" ref="Z245" si="4017">+($V239*MAX(-$M245,$N245)*$E239^2)/(144*8)+IF($E$17=4,(400*$E239)/4,0)</f>
        <v>#VALUE!</v>
      </c>
      <c r="AA245" s="887"/>
      <c r="AB245" s="1080" t="str">
        <f t="shared" ref="AB245" ca="1" si="4018">IFERROR(Z245-AA239,"")</f>
        <v/>
      </c>
      <c r="AC245" s="1086" t="str">
        <f t="shared" ref="AC245" ca="1" si="4019">IFERROR(Y245-U239,"")</f>
        <v/>
      </c>
      <c r="AD245" s="1074" t="str">
        <f t="shared" ref="AD245" si="4020">AD239</f>
        <v/>
      </c>
      <c r="AE245" s="1075"/>
      <c r="AF245" s="1056"/>
      <c r="AG245" s="1057"/>
      <c r="AH245" s="1057"/>
      <c r="AI245" s="1088"/>
      <c r="AJ245" s="1089"/>
      <c r="AK245" s="162" t="str">
        <f t="shared" ca="1" si="3667"/>
        <v/>
      </c>
      <c r="AL245" s="1058" t="str">
        <f t="shared" ref="AL245" si="4021">IFERROR(ROUND(SQRT(P239^2+(W245/2+IF($E$17=4,200,0))^2),0),"")</f>
        <v/>
      </c>
      <c r="AM245" s="342" t="s">
        <v>669</v>
      </c>
      <c r="AN245" t="str">
        <f t="shared" ca="1" si="3717"/>
        <v/>
      </c>
      <c r="AP245" s="122" t="str">
        <f t="shared" ref="AP245" si="4022">_xlfn.CONCAT(AR245,AS250)</f>
        <v/>
      </c>
      <c r="AQ245" s="683" t="str">
        <f t="shared" si="3881"/>
        <v/>
      </c>
      <c r="AR245" s="96" t="str">
        <f t="shared" si="3642"/>
        <v/>
      </c>
      <c r="AS245" s="96" t="str">
        <f>IF(COUNTIF(imp_1,AF245)=1,"imp_1",IF(COUNTIF(imp_2,AF245)=1,"imp_2",IF(COUNTIF(imp_3,AF245)=1,"imp_3",IF(COUNTIF(impdoor,AF245)=1,"impdoor",""))))</f>
        <v/>
      </c>
      <c r="AT245" s="684" t="str">
        <f>AL245</f>
        <v/>
      </c>
      <c r="AU245" s="685" t="e">
        <f t="shared" ca="1" si="3907"/>
        <v>#REF!</v>
      </c>
      <c r="AV245" s="686" t="str">
        <f ca="1">IFERROR(VLOOKUP(AU245,INDIRECT(AQ239),2,FALSE),"----")</f>
        <v>----</v>
      </c>
      <c r="AW245" s="685" t="e">
        <f t="shared" ca="1" si="3908"/>
        <v>#REF!</v>
      </c>
      <c r="AX245" s="686" t="str">
        <f ca="1">IFERROR(VLOOKUP(AW245,INDIRECT(AQ240),2,FALSE),"----")</f>
        <v>----</v>
      </c>
      <c r="AY245" s="685" t="e">
        <f t="shared" ca="1" si="4000"/>
        <v>#REF!</v>
      </c>
      <c r="AZ245" s="686" t="str">
        <f ca="1">IFERROR(VLOOKUP(AY245,INDIRECT(AQ241),2,FALSE),"----")</f>
        <v>----</v>
      </c>
      <c r="BA245" s="685" t="e">
        <f t="shared" ca="1" si="4001"/>
        <v>#REF!</v>
      </c>
      <c r="BB245" s="686" t="str">
        <f ca="1">IFERROR(VLOOKUP(BA245,INDIRECT(AQ242),2,FALSE),"----")</f>
        <v>----</v>
      </c>
      <c r="BC245" s="685" t="e">
        <f t="shared" ca="1" si="3911"/>
        <v>#REF!</v>
      </c>
      <c r="BD245" s="686" t="str">
        <f ca="1">IFERROR(VLOOKUP(BC245,INDIRECT(AQ243),2,FALSE),"----")</f>
        <v>----</v>
      </c>
      <c r="BE245" s="685" t="e">
        <f t="shared" ca="1" si="3912"/>
        <v>#REF!</v>
      </c>
      <c r="BF245" s="686" t="str">
        <f ca="1">IFERROR(VLOOKUP(BE245,INDIRECT(AQ244),2,FALSE),"----")</f>
        <v>----</v>
      </c>
      <c r="BG245" s="702" t="e">
        <f t="shared" ca="1" si="3913"/>
        <v>#REF!</v>
      </c>
      <c r="BH245" s="686" t="str">
        <f ca="1">IFERROR(VLOOKUP(BG245,INDIRECT(AQ245),2,FALSE),"----")</f>
        <v>----</v>
      </c>
      <c r="BI245" s="702" t="e">
        <f t="shared" ca="1" si="3914"/>
        <v>#REF!</v>
      </c>
      <c r="BJ245" s="686" t="str">
        <f ca="1">IFERROR(VLOOKUP(BI245,INDIRECT(AQ246),2,FALSE),"----")</f>
        <v>----</v>
      </c>
      <c r="BK245" s="702" t="e">
        <f t="shared" ca="1" si="3915"/>
        <v>#REF!</v>
      </c>
      <c r="BL245" s="686" t="str">
        <f ca="1">IFERROR(VLOOKUP(BK245,INDIRECT(AQ247),2,FALSE),"----")</f>
        <v>----</v>
      </c>
      <c r="BM245" s="702" t="e">
        <f t="shared" ca="1" si="3916"/>
        <v>#REF!</v>
      </c>
      <c r="BN245" s="686" t="str">
        <f ca="1">IFERROR(VLOOKUP(BM245,INDIRECT(AQ248),2,FALSE),"----")</f>
        <v>----</v>
      </c>
      <c r="BO245" s="702" t="e">
        <f t="shared" ca="1" si="3917"/>
        <v>#REF!</v>
      </c>
      <c r="BP245" s="686" t="str">
        <f ca="1">IFERROR(VLOOKUP(BO245,INDIRECT(AQ249),2,FALSE),"----")</f>
        <v>----</v>
      </c>
      <c r="BQ245" s="702" t="e">
        <f t="shared" ca="1" si="3918"/>
        <v>#REF!</v>
      </c>
      <c r="BR245" s="686" t="str">
        <f ca="1">IFERROR(VLOOKUP(BQ245,INDIRECT(AQ250),2,FALSE),"----")</f>
        <v>----</v>
      </c>
      <c r="BS245" s="695">
        <f>IF(AI245="",1,IF(COUNTIF(BH239:BH250,AI245)=0,2,1))</f>
        <v>1</v>
      </c>
      <c r="BT245" s="696">
        <f>IF(AP245="1",1,IF(AF245="",1,IF(BH239=".",2,1)))</f>
        <v>1</v>
      </c>
      <c r="BU245" s="706"/>
      <c r="BV245" s="155">
        <f ca="1">IF(COUNTIF(DI239:DI250,AF245)=0,IF(AF245&lt;&gt;"",0,1),1)</f>
        <v>1</v>
      </c>
      <c r="BW245" s="157">
        <f ca="1">IFERROR(MATCH(AF245,DI239:DI250,0),1)</f>
        <v>1</v>
      </c>
      <c r="BX245" s="769" t="s">
        <v>1593</v>
      </c>
      <c r="BY245" s="769" t="s">
        <v>1629</v>
      </c>
      <c r="BZ245" s="1110"/>
      <c r="CA245" s="691" t="e">
        <f t="shared" ca="1" si="3919"/>
        <v>#REF!</v>
      </c>
      <c r="CB245" s="4" t="e" cm="1">
        <f t="array" aca="1" ref="CB245" ca="1">IF(AND(INDEX(INDIRECT(BY239),CA245,4)&gt;=$AB239,INDEX(INDIRECT(BY239),CA245,5)&gt;=$S239,INDEX(INDIRECT(BY239),CA245,6)&gt;=$R239),1,0)</f>
        <v>#REF!</v>
      </c>
      <c r="CC245" s="4" t="e">
        <f t="shared" ref="CC245" ca="1" si="4023">MATCH(1,OFFSET(CB239:CB250,CD244,0,COUNT(CB239:CB250)-CD244),0)</f>
        <v>#REF!</v>
      </c>
      <c r="CD245" s="4" t="e">
        <f t="shared" ca="1" si="3921"/>
        <v>#REF!</v>
      </c>
      <c r="CE245" s="692" t="str" cm="1">
        <f t="array" aca="1" ref="CE245" ca="1">IFERROR(VLOOKUP(INDEX(CA239:CA250,CD245),INDIRECT(BY239),2,FALSE),"----")</f>
        <v>----</v>
      </c>
      <c r="CF245" s="691" t="e">
        <f t="shared" ca="1" si="3922"/>
        <v>#N/A</v>
      </c>
      <c r="CG245" s="4" t="e">
        <f ca="1">IF(AND(INDEX(SSM,CF245,4)&gt;=$AB239,INDEX(SSM,CF245,5)&gt;=$S239,INDEX(SSM,CF245,6)&gt;=$R239),1,0)</f>
        <v>#N/A</v>
      </c>
      <c r="CH245" s="4" t="e">
        <f t="shared" ref="CH245" ca="1" si="4024">MATCH(1,OFFSET(CG239:CG250,CI244,0,COUNT(CG239:CG250)-CI244),0)</f>
        <v>#REF!</v>
      </c>
      <c r="CI245" s="4" t="e">
        <f t="shared" ca="1" si="3924"/>
        <v>#REF!</v>
      </c>
      <c r="CJ245" s="692" t="str">
        <f ca="1">IFERROR(IF(AD240="Nested Steel Stud (wood infill)",VLOOKUP(INDEX(CF239:CF250,CI245),SSW,2,FALSE),VLOOKUP(INDEX(CF239:CF250,CI245),SSM,2,FALSE)),"----")</f>
        <v>----</v>
      </c>
      <c r="CK245" s="691" t="e">
        <f t="shared" ca="1" si="3925"/>
        <v>#N/A</v>
      </c>
      <c r="CL245" s="4" t="e">
        <f ca="1">IF(AND(INDEX(WSM,CK245,4)&gt;=$AB239,INDEX(WSM,CK245,5)&gt;=$S239,INDEX(WSM,CK245,6)&gt;=$R239),1,0)</f>
        <v>#N/A</v>
      </c>
      <c r="CM245" s="4" t="e">
        <f t="shared" ref="CM245" ca="1" si="4025">MATCH(1,OFFSET(CL239:CL250,CN244,0,COUNT(CL239:CL250)-CN244),0)</f>
        <v>#REF!</v>
      </c>
      <c r="CN245" s="4" t="e">
        <f t="shared" ca="1" si="3927"/>
        <v>#REF!</v>
      </c>
      <c r="CO245" s="692" t="str">
        <f ca="1">IFERROR(VLOOKUP(INDEX(CK239:CK250,CN245),WSM,2,FALSE),"----")</f>
        <v>----</v>
      </c>
      <c r="CP245" s="691" t="e">
        <f t="shared" ca="1" si="3928"/>
        <v>#N/A</v>
      </c>
      <c r="CQ245" s="4" t="e">
        <f ca="1">IF(AND(INDEX(STM,CP245,4)&gt;=$AB239,INDEX(STM,CP245,5)&gt;=$S239,INDEX(STM,CP245,6)&gt;=$R239),1,0)</f>
        <v>#N/A</v>
      </c>
      <c r="CR245" s="4" t="e">
        <f t="shared" ref="CR245" ca="1" si="4026">MATCH(1,OFFSET(CQ239:CQ250,CS244,0,COUNT(CQ239:CQ250)-CS244),0)</f>
        <v>#REF!</v>
      </c>
      <c r="CS245" s="4" t="e">
        <f t="shared" ca="1" si="3930"/>
        <v>#REF!</v>
      </c>
      <c r="CT245" s="692" t="str">
        <f ca="1">IFERROR(VLOOKUP(INDEX(CP239:CP250,CS245),STM,2,FALSE),"----")</f>
        <v>----</v>
      </c>
      <c r="CU245" s="691" t="e">
        <f t="shared" ca="1" si="3931"/>
        <v>#N/A</v>
      </c>
      <c r="CV245" s="4" t="e">
        <f ca="1">IF(AND(INDEX(ELM,CU245,4)&gt;=$AB239,INDEX(ELM,CU245,5)&gt;=$S239,INDEX(ELM,CU245,6)&gt;=$R239),1,0)</f>
        <v>#N/A</v>
      </c>
      <c r="CW245" s="4" t="e">
        <f t="shared" ref="CW245" ca="1" si="4027">MATCH(1,OFFSET(CV239:CV250,CX244,0,COUNT(CV239:CV250)-CX244),0)</f>
        <v>#REF!</v>
      </c>
      <c r="CX245" s="4" t="e">
        <f t="shared" ca="1" si="3933"/>
        <v>#REF!</v>
      </c>
      <c r="CY245" s="692" t="str">
        <f ca="1">IFERROR(VLOOKUP(INDEX(CU239:CU250,CX245),ELM,2,FALSE),"----")</f>
        <v>----</v>
      </c>
      <c r="CZ245" s="691" t="e">
        <f t="shared" ca="1" si="3934"/>
        <v>#N/A</v>
      </c>
      <c r="DA245" s="4" t="e">
        <f ca="1">IF(LEFT($J239,7)="Clad Wo",IF(AND(INDEX(SPPWS,CZ245,4)&gt;=$AB239,INDEX(SPPWS,CZ245,5)&gt;=$S239,INDEX(SPPWS,CZ245,6)&gt;=$R239),1,0),IF(AND(INDEX(SPM,CZ245,4)&gt;=$AB239,INDEX(SPM,CZ245,5)&gt;=$S239,INDEX(SPM,CZ245,6)&gt;=$R239),1,0))</f>
        <v>#N/A</v>
      </c>
      <c r="DB245" s="4" t="e">
        <f t="shared" ref="DB245" ca="1" si="4028">MATCH(1,OFFSET(DA239:DA250,DC244,0,COUNT(DA239:DA250)-DC244),0)</f>
        <v>#REF!</v>
      </c>
      <c r="DC245" s="4" t="e">
        <f t="shared" ca="1" si="3936"/>
        <v>#REF!</v>
      </c>
      <c r="DD245" s="693" t="str">
        <f ca="1">IF(LEFT($J239,7)="Clad Wo",IFERROR(VLOOKUP(INDEX(CZ239:CZ250,DC245),SPPWS,2,FALSE),"----"),IFERROR(VLOOKUP(INDEX(CZ239:CZ250,DC245),SPM,2,FALSE),"----"))</f>
        <v>----</v>
      </c>
      <c r="DE245" s="691" t="e">
        <f t="shared" ca="1" si="3937"/>
        <v>#REF!</v>
      </c>
      <c r="DF245" s="4" t="e" cm="1">
        <f t="array" aca="1" ref="DF245" ca="1">IF(AND(INDEX(INDIRECT(BY239),DE245,4)&gt;=$AB245,INDEX(INDIRECT(BY239),DE245,5)&gt;=$S239,INDEX(INDIRECT(BY239),DE245,6)&gt;=$R239),1,0)</f>
        <v>#REF!</v>
      </c>
      <c r="DG245" s="4" t="e">
        <f t="shared" ref="DG245" ca="1" si="4029">MATCH(1,OFFSET(DF239:DF250,DH244,0,COUNT(DF239:DF250)-DH244),0)</f>
        <v>#REF!</v>
      </c>
      <c r="DH245" s="4" t="e">
        <f t="shared" ca="1" si="3939"/>
        <v>#REF!</v>
      </c>
      <c r="DI245" s="692" t="str" cm="1">
        <f t="array" aca="1" ref="DI245" ca="1">IFERROR(VLOOKUP(INDEX(DE239:DE250,DH245),INDIRECT(BY239),2,FALSE),"----")</f>
        <v>----</v>
      </c>
      <c r="DJ245" s="691" t="e">
        <f t="shared" ca="1" si="3940"/>
        <v>#N/A</v>
      </c>
      <c r="DK245" s="4" t="e">
        <f ca="1">IF(AND(INDEX(SSM,DJ245,4)&gt;=$AB245,INDEX(SSM,DJ245,5)&gt;=$S239,INDEX(SSM,DJ245,6)&gt;=$R239),1,0)</f>
        <v>#N/A</v>
      </c>
      <c r="DL245" s="4" t="e">
        <f t="shared" ref="DL245" ca="1" si="4030">MATCH(1,OFFSET(DK239:DK250,DM244,0,COUNT(DK239:DK250)-DM244),0)</f>
        <v>#REF!</v>
      </c>
      <c r="DM245" s="4" t="e">
        <f t="shared" ca="1" si="3942"/>
        <v>#REF!</v>
      </c>
      <c r="DN245" s="692" t="str">
        <f ca="1">IFERROR(IF(AD246="Nested Steel Stud (wood infill)",VLOOKUP(INDEX(DJ239:DJ250,DM245),SSW,2,FALSE),VLOOKUP(INDEX(DJ239:DJ250,DM245),SSM,2,FALSE)),"----")</f>
        <v>----</v>
      </c>
      <c r="DO245" s="691" t="e">
        <f t="shared" ca="1" si="3943"/>
        <v>#N/A</v>
      </c>
      <c r="DP245" s="4" t="e">
        <f ca="1">IF(AND(INDEX(WSM,DO245,4)&gt;=$AB245,INDEX(WSM,DO245,5)&gt;=$S239,INDEX(WSM,DO245,6)&gt;=$R239),1,0)</f>
        <v>#N/A</v>
      </c>
      <c r="DQ245" s="4" t="e">
        <f t="shared" ref="DQ245" ca="1" si="4031">MATCH(1,OFFSET(DP239:DP250,DR244,0,COUNT(DP239:DP250)-DR244),0)</f>
        <v>#REF!</v>
      </c>
      <c r="DR245" s="4" t="e">
        <f t="shared" ca="1" si="3945"/>
        <v>#REF!</v>
      </c>
      <c r="DS245" s="692" t="str">
        <f ca="1">IFERROR(VLOOKUP(INDEX(DO239:DO250,DR245),WSM,2,FALSE),"----")</f>
        <v>----</v>
      </c>
      <c r="DT245" s="691" t="e">
        <f t="shared" ca="1" si="3946"/>
        <v>#N/A</v>
      </c>
      <c r="DU245" s="4" t="e">
        <f ca="1">IF(AND(INDEX(STM,DT245,4)&gt;=$AB245,INDEX(STM,DT245,5)&gt;=$S239,INDEX(STM,DT245,6)&gt;=$R239),1,0)</f>
        <v>#N/A</v>
      </c>
      <c r="DV245" s="4" t="e">
        <f t="shared" ref="DV245" ca="1" si="4032">MATCH(1,OFFSET(DU239:DU250,DW244,0,COUNT(DU239:DU250)-DW244),0)</f>
        <v>#REF!</v>
      </c>
      <c r="DW245" s="4" t="e">
        <f t="shared" ca="1" si="3948"/>
        <v>#REF!</v>
      </c>
      <c r="DX245" s="692" t="str">
        <f ca="1">IFERROR(VLOOKUP(INDEX(DT239:DT250,DW245),STM,2,FALSE),"----")</f>
        <v>----</v>
      </c>
      <c r="DY245" s="691" t="e">
        <f t="shared" ca="1" si="3949"/>
        <v>#N/A</v>
      </c>
      <c r="DZ245" s="4" t="e">
        <f ca="1">IF(AND(INDEX(ELM,DY245,4)&gt;=$AB245,INDEX(ELM,DY245,5)&gt;=$S239,INDEX(ELM,DY245,6)&gt;=$R239),1,0)</f>
        <v>#N/A</v>
      </c>
      <c r="EA245" s="4" t="e">
        <f t="shared" ref="EA245" ca="1" si="4033">MATCH(1,OFFSET(DZ239:DZ250,EB244,0,COUNT(DZ239:DZ250)-EB244),0)</f>
        <v>#REF!</v>
      </c>
      <c r="EB245" s="4" t="e">
        <f t="shared" ca="1" si="3951"/>
        <v>#REF!</v>
      </c>
      <c r="EC245" s="692" t="str">
        <f ca="1">IFERROR(VLOOKUP(INDEX(DY239:DY250,EB245),ELM,2,FALSE),"----")</f>
        <v>----</v>
      </c>
      <c r="ED245" s="691" t="e">
        <f t="shared" ca="1" si="3952"/>
        <v>#N/A</v>
      </c>
      <c r="EE245" s="4" t="e">
        <f ca="1">IF(LEFT($J239,7)="Clad Wo",IF(AND(INDEX(SPPWS,ED245,4)&gt;=$AB245,INDEX(SPPWS,ED245,5)&gt;=$S239,INDEX(SPPWS,ED245,6)&gt;=$R239),1,0),IF(AND(INDEX(SPM,ED245,4)&gt;=$AB245,INDEX(SPM,ED245,5)&gt;=$S239,INDEX(SPM,ED245,6)&gt;=$R239),1,0))</f>
        <v>#N/A</v>
      </c>
      <c r="EF245" s="4" t="e">
        <f t="shared" ref="EF245" ca="1" si="4034">MATCH(1,OFFSET(EE239:EE250,EG244,0,COUNT(EE239:EE250)-EG244),0)</f>
        <v>#REF!</v>
      </c>
      <c r="EG245" s="4" t="e">
        <f t="shared" ca="1" si="3954"/>
        <v>#REF!</v>
      </c>
      <c r="EH245" s="692" t="str">
        <f ca="1">IF(LEFT($J239,7)="Clad Wo",IFERROR(VLOOKUP(INDEX(ED239:ED250,EG245),SPPWS,2,FALSE),"----"),IFERROR(VLOOKUP(INDEX(ED239:ED250,EG245),SPM,2,FALSE),"----"))</f>
        <v>----</v>
      </c>
    </row>
    <row r="246" spans="1:138" ht="15" customHeight="1" x14ac:dyDescent="0.25">
      <c r="A246" s="1085"/>
      <c r="B246" s="925"/>
      <c r="C246" s="926"/>
      <c r="D246" s="927"/>
      <c r="E246" s="995"/>
      <c r="F246" s="996"/>
      <c r="G246" s="997"/>
      <c r="H246" s="1062"/>
      <c r="I246" s="990"/>
      <c r="J246" s="912"/>
      <c r="K246" s="913"/>
      <c r="L246" s="1002"/>
      <c r="M246" s="923"/>
      <c r="N246" s="1042"/>
      <c r="O246" s="1018"/>
      <c r="P246" s="987"/>
      <c r="Q246" s="1015"/>
      <c r="R246" s="1012"/>
      <c r="S246" s="1006"/>
      <c r="T246" s="1007"/>
      <c r="U246" s="878"/>
      <c r="V246" s="881"/>
      <c r="W246" s="884"/>
      <c r="X246" s="884"/>
      <c r="Y246" s="887"/>
      <c r="Z246" s="887"/>
      <c r="AA246" s="887"/>
      <c r="AB246" s="1081"/>
      <c r="AC246" s="1078"/>
      <c r="AD246" s="1070" t="str">
        <f t="shared" ref="AD246" si="4035">IF(ISBLANK(AD240)=TRUE,"",AD240)</f>
        <v>Nested Steel Stud</v>
      </c>
      <c r="AE246" s="1071"/>
      <c r="AF246" s="1052"/>
      <c r="AG246" s="1053"/>
      <c r="AH246" s="1053"/>
      <c r="AI246" s="1066"/>
      <c r="AJ246" s="1067"/>
      <c r="AK246" s="156" t="str">
        <f ca="1">IFERROR(VLOOKUP(AI246,OFFSET(INDIRECT(AQ246),0,1),2,FALSE),"")</f>
        <v/>
      </c>
      <c r="AL246" s="1059"/>
      <c r="AM246" s="343" t="str">
        <f ca="1">IFERROR(Q239/12*ROUND(VLOOKUP(AF246,OFFSET(SSM,0,1),6,FALSE),2),"")</f>
        <v/>
      </c>
      <c r="AN246" t="str">
        <f t="shared" ca="1" si="3717"/>
        <v/>
      </c>
      <c r="AP246" s="122" t="str">
        <f t="shared" ref="AP246" si="4036">_xlfn.CONCAT(AR246,AS250)</f>
        <v/>
      </c>
      <c r="AQ246" s="683" t="str">
        <f t="shared" si="3881"/>
        <v/>
      </c>
      <c r="AR246" s="96" t="str">
        <f t="shared" si="3642"/>
        <v/>
      </c>
      <c r="AS246" s="96" t="str">
        <f>IF(COUNTIF(Vista_1,AF245)=1,"Vista_1",IF(COUNTIF(Vista_2,AF245)=1,"Vista_2",""))</f>
        <v/>
      </c>
      <c r="AT246" s="684" t="str">
        <f>AL245</f>
        <v/>
      </c>
      <c r="AU246" s="694" t="e">
        <f t="shared" ca="1" si="3907"/>
        <v>#REF!</v>
      </c>
      <c r="AV246" s="686" t="str">
        <f ca="1">IFERROR(VLOOKUP(AU246,INDIRECT(AQ239),2,FALSE),"----")</f>
        <v>----</v>
      </c>
      <c r="AW246" s="694" t="e">
        <f t="shared" ca="1" si="3908"/>
        <v>#REF!</v>
      </c>
      <c r="AX246" s="686" t="str">
        <f ca="1">IFERROR(VLOOKUP(AW246,INDIRECT(AQ240),2,FALSE),"----")</f>
        <v>----</v>
      </c>
      <c r="AY246" s="694" t="e">
        <f t="shared" ca="1" si="4000"/>
        <v>#REF!</v>
      </c>
      <c r="AZ246" s="686" t="str">
        <f ca="1">IFERROR(VLOOKUP(AY246,INDIRECT(AQ241),2,FALSE),"----")</f>
        <v>----</v>
      </c>
      <c r="BA246" s="694" t="e">
        <f t="shared" ca="1" si="4001"/>
        <v>#REF!</v>
      </c>
      <c r="BB246" s="686" t="str">
        <f ca="1">IFERROR(VLOOKUP(BA246,INDIRECT(AQ242),2,FALSE),"----")</f>
        <v>----</v>
      </c>
      <c r="BC246" s="694" t="e">
        <f t="shared" ca="1" si="3911"/>
        <v>#REF!</v>
      </c>
      <c r="BD246" s="686" t="str">
        <f ca="1">IFERROR(VLOOKUP(BC246,INDIRECT(AQ243),2,FALSE),"----")</f>
        <v>----</v>
      </c>
      <c r="BE246" s="694" t="e">
        <f t="shared" ca="1" si="3912"/>
        <v>#REF!</v>
      </c>
      <c r="BF246" s="686" t="str">
        <f ca="1">IFERROR(VLOOKUP(BE246,INDIRECT(AQ244),2,FALSE),"----")</f>
        <v>----</v>
      </c>
      <c r="BG246" s="702" t="e">
        <f t="shared" ca="1" si="3913"/>
        <v>#REF!</v>
      </c>
      <c r="BH246" s="686" t="str">
        <f ca="1">IFERROR(VLOOKUP(BG246,INDIRECT(AQ245),2,FALSE),"----")</f>
        <v>----</v>
      </c>
      <c r="BI246" s="702" t="e">
        <f t="shared" ca="1" si="3914"/>
        <v>#REF!</v>
      </c>
      <c r="BJ246" s="686" t="str">
        <f ca="1">IFERROR(VLOOKUP(BI246,INDIRECT(AQ246),2,FALSE),"----")</f>
        <v>----</v>
      </c>
      <c r="BK246" s="702" t="e">
        <f t="shared" ca="1" si="3915"/>
        <v>#REF!</v>
      </c>
      <c r="BL246" s="686" t="str">
        <f ca="1">IFERROR(VLOOKUP(BK246,INDIRECT(AQ247),2,FALSE),"----")</f>
        <v>----</v>
      </c>
      <c r="BM246" s="702" t="e">
        <f t="shared" ca="1" si="3916"/>
        <v>#REF!</v>
      </c>
      <c r="BN246" s="686" t="str">
        <f ca="1">IFERROR(VLOOKUP(BM246,INDIRECT(AQ248),2,FALSE),"----")</f>
        <v>----</v>
      </c>
      <c r="BO246" s="702" t="e">
        <f t="shared" ca="1" si="3917"/>
        <v>#REF!</v>
      </c>
      <c r="BP246" s="686" t="str">
        <f ca="1">IFERROR(VLOOKUP(BO246,INDIRECT(AQ249),2,FALSE),"----")</f>
        <v>----</v>
      </c>
      <c r="BQ246" s="702" t="e">
        <f t="shared" ca="1" si="3918"/>
        <v>#REF!</v>
      </c>
      <c r="BR246" s="686" t="str">
        <f ca="1">IFERROR(VLOOKUP(BQ246,INDIRECT(AQ250),2,FALSE),"----")</f>
        <v>----</v>
      </c>
      <c r="BS246" s="695">
        <f>IF(AI246="",1,IF(COUNTIF(BJ239:BJ250,AI246)=0,2,1))</f>
        <v>1</v>
      </c>
      <c r="BT246" s="696">
        <f>IF(AF246="",1,IF(BJ239=".",2,1))</f>
        <v>1</v>
      </c>
      <c r="BU246" s="706"/>
      <c r="BV246" s="155">
        <f ca="1">IF(COUNTIF(DN239:DN250,AF246)=0,IF(AF246&lt;&gt;"",0,1),1)</f>
        <v>1</v>
      </c>
      <c r="BW246" s="157">
        <f ca="1">IFERROR(MATCH(AF246,DN239:DN250,0),1)</f>
        <v>1</v>
      </c>
      <c r="BX246" s="769">
        <f t="shared" ref="BX246" si="4037">E239*(H239+I239)/144/2</f>
        <v>0</v>
      </c>
      <c r="BY246" s="769">
        <f>SUM(IF(H239&gt;E239,E239^2/4,(H239*E239/2)-(H239^2/4))/144,IF(I239&gt;E239,E239^2/4,(I239*E239/2)-(I239^2/4))/144)</f>
        <v>0</v>
      </c>
      <c r="BZ246" s="1110"/>
      <c r="CA246" s="691" t="e">
        <f t="shared" ca="1" si="3919"/>
        <v>#REF!</v>
      </c>
      <c r="CB246" s="4" t="e" cm="1">
        <f t="array" aca="1" ref="CB246" ca="1">IF(AND(INDEX(INDIRECT(BY239),CA246,4)&gt;=$AB239,INDEX(INDIRECT(BY239),CA246,5)&gt;=$S239,INDEX(INDIRECT(BY239),CA246,6)&gt;=$R239),1,0)</f>
        <v>#REF!</v>
      </c>
      <c r="CC246" s="4" t="e">
        <f t="shared" ref="CC246" ca="1" si="4038">MATCH(1,OFFSET(CB239:CB250,CD245,0,COUNT(CB239:CB250)-CD245),0)</f>
        <v>#REF!</v>
      </c>
      <c r="CD246" s="4" t="e">
        <f t="shared" ca="1" si="3921"/>
        <v>#REF!</v>
      </c>
      <c r="CE246" s="692" t="str" cm="1">
        <f t="array" aca="1" ref="CE246" ca="1">IFERROR(VLOOKUP(INDEX(CA239:CA250,CD246),INDIRECT(BY239),2,FALSE),"----")</f>
        <v>----</v>
      </c>
      <c r="CF246" s="691" t="e">
        <f t="shared" ca="1" si="3922"/>
        <v>#N/A</v>
      </c>
      <c r="CG246" s="4" t="e">
        <f ca="1">IF(AND(INDEX(SSM,CF246,4)&gt;=$AB239,INDEX(SSM,CF246,5)&gt;=$S239,INDEX(SSM,CF246,6)&gt;=$R239),1,0)</f>
        <v>#N/A</v>
      </c>
      <c r="CH246" s="4" t="e">
        <f t="shared" ref="CH246" ca="1" si="4039">MATCH(1,OFFSET(CG239:CG250,CI245,0,COUNT(CG239:CG250)-CI245),0)</f>
        <v>#REF!</v>
      </c>
      <c r="CI246" s="4" t="e">
        <f t="shared" ca="1" si="3924"/>
        <v>#REF!</v>
      </c>
      <c r="CJ246" s="692" t="str">
        <f ca="1">IFERROR(IF(AD240="Nested Steel Stud (wood infill)",VLOOKUP(INDEX(CF239:CF250,CI246),SSW,2,FALSE),VLOOKUP(INDEX(CF239:CF250,CI246),SSM,2,FALSE)),"----")</f>
        <v>----</v>
      </c>
      <c r="CK246" s="691" t="e">
        <f t="shared" ca="1" si="3925"/>
        <v>#N/A</v>
      </c>
      <c r="CL246" s="4" t="e">
        <f ca="1">IF(AND(INDEX(WSM,CK246,4)&gt;=$AB239,INDEX(WSM,CK246,5)&gt;=$S239,INDEX(WSM,CK246,6)&gt;=$R239),1,0)</f>
        <v>#N/A</v>
      </c>
      <c r="CM246" s="4" t="e">
        <f t="shared" ref="CM246" ca="1" si="4040">MATCH(1,OFFSET(CL239:CL250,CN245,0,COUNT(CL239:CL250)-CN245),0)</f>
        <v>#REF!</v>
      </c>
      <c r="CN246" s="4" t="e">
        <f t="shared" ca="1" si="3927"/>
        <v>#REF!</v>
      </c>
      <c r="CO246" s="692" t="str">
        <f ca="1">IFERROR(VLOOKUP(INDEX(CK239:CK250,CN246),WSM,2,FALSE),"----")</f>
        <v>----</v>
      </c>
      <c r="CP246" s="691" t="e">
        <f t="shared" ca="1" si="3928"/>
        <v>#N/A</v>
      </c>
      <c r="CQ246" s="4" t="e">
        <f ca="1">IF(AND(INDEX(STM,CP246,4)&gt;=$AB239,INDEX(STM,CP246,5)&gt;=$S239,INDEX(STM,CP246,6)&gt;=$R239),1,0)</f>
        <v>#N/A</v>
      </c>
      <c r="CR246" s="4" t="e">
        <f t="shared" ref="CR246" ca="1" si="4041">MATCH(1,OFFSET(CQ239:CQ250,CS245,0,COUNT(CQ239:CQ250)-CS245),0)</f>
        <v>#REF!</v>
      </c>
      <c r="CS246" s="4" t="e">
        <f t="shared" ca="1" si="3930"/>
        <v>#REF!</v>
      </c>
      <c r="CT246" s="692" t="str">
        <f ca="1">IFERROR(VLOOKUP(INDEX(CP239:CP250,CS246),STM,2,FALSE),"----")</f>
        <v>----</v>
      </c>
      <c r="CU246" s="691" t="e">
        <f t="shared" ca="1" si="3931"/>
        <v>#N/A</v>
      </c>
      <c r="CV246" s="4" t="e">
        <f ca="1">IF(AND(INDEX(ELM,CU246,4)&gt;=$AB239,INDEX(ELM,CU246,5)&gt;=$S239,INDEX(ELM,CU246,6)&gt;=$R239),1,0)</f>
        <v>#N/A</v>
      </c>
      <c r="CW246" s="4" t="e">
        <f t="shared" ref="CW246" ca="1" si="4042">MATCH(1,OFFSET(CV239:CV250,CX245,0,COUNT(CV239:CV250)-CX245),0)</f>
        <v>#REF!</v>
      </c>
      <c r="CX246" s="4" t="e">
        <f t="shared" ca="1" si="3933"/>
        <v>#REF!</v>
      </c>
      <c r="CY246" s="692" t="str">
        <f ca="1">IFERROR(VLOOKUP(INDEX(CU239:CU250,CX246),ELM,2,FALSE),"----")</f>
        <v>----</v>
      </c>
      <c r="CZ246" s="691" t="e">
        <f t="shared" ca="1" si="3934"/>
        <v>#N/A</v>
      </c>
      <c r="DA246" s="4" t="e">
        <f ca="1">IF(LEFT($J239,7)="Clad Wo",IF(AND(INDEX(SPPWS,CZ246,4)&gt;=$AB239,INDEX(SPPWS,CZ246,5)&gt;=$S239,INDEX(SPPWS,CZ246,6)&gt;=$R239),1,0),IF(AND(INDEX(SPM,CZ246,4)&gt;=$AB239,INDEX(SPM,CZ246,5)&gt;=$S239,INDEX(SPM,CZ246,6)&gt;=$R239),1,0))</f>
        <v>#N/A</v>
      </c>
      <c r="DB246" s="4" t="e">
        <f t="shared" ref="DB246" ca="1" si="4043">MATCH(1,OFFSET(DA239:DA250,DC245,0,COUNT(DA239:DA250)-DC245),0)</f>
        <v>#REF!</v>
      </c>
      <c r="DC246" s="4" t="e">
        <f t="shared" ca="1" si="3936"/>
        <v>#REF!</v>
      </c>
      <c r="DD246" s="693" t="str">
        <f ca="1">IF(LEFT($J239,7)="Clad Wo",IFERROR(VLOOKUP(INDEX(CZ239:CZ250,DC246),SPPWS,2,FALSE),"----"),IFERROR(VLOOKUP(INDEX(CZ239:CZ250,DC246),SPM,2,FALSE),"----"))</f>
        <v>----</v>
      </c>
      <c r="DE246" s="691" t="e">
        <f t="shared" ca="1" si="3937"/>
        <v>#REF!</v>
      </c>
      <c r="DF246" s="4" t="e" cm="1">
        <f t="array" aca="1" ref="DF246" ca="1">IF(AND(INDEX(INDIRECT(BY239),DE246,4)&gt;=$AB245,INDEX(INDIRECT(BY239),DE246,5)&gt;=$S239,INDEX(INDIRECT(BY239),DE246,6)&gt;=$R239),1,0)</f>
        <v>#REF!</v>
      </c>
      <c r="DG246" s="4" t="e">
        <f t="shared" ref="DG246" ca="1" si="4044">MATCH(1,OFFSET(DF239:DF250,DH245,0,COUNT(DF239:DF250)-DH245),0)</f>
        <v>#REF!</v>
      </c>
      <c r="DH246" s="4" t="e">
        <f t="shared" ca="1" si="3939"/>
        <v>#REF!</v>
      </c>
      <c r="DI246" s="692" t="str" cm="1">
        <f t="array" aca="1" ref="DI246" ca="1">IFERROR(VLOOKUP(INDEX(DE239:DE250,DH246),INDIRECT(BY239),2,FALSE),"----")</f>
        <v>----</v>
      </c>
      <c r="DJ246" s="691" t="e">
        <f t="shared" ca="1" si="3940"/>
        <v>#N/A</v>
      </c>
      <c r="DK246" s="4" t="e">
        <f ca="1">IF(AND(INDEX(SSM,DJ246,4)&gt;=$AB245,INDEX(SSM,DJ246,5)&gt;=$S239,INDEX(SSM,DJ246,6)&gt;=$R239),1,0)</f>
        <v>#N/A</v>
      </c>
      <c r="DL246" s="4" t="e">
        <f t="shared" ref="DL246" ca="1" si="4045">MATCH(1,OFFSET(DK239:DK250,DM245,0,COUNT(DK239:DK250)-DM245),0)</f>
        <v>#REF!</v>
      </c>
      <c r="DM246" s="4" t="e">
        <f t="shared" ca="1" si="3942"/>
        <v>#REF!</v>
      </c>
      <c r="DN246" s="692" t="str">
        <f ca="1">IFERROR(IF(AD246="Nested Steel Stud (wood infill)",VLOOKUP(INDEX(DJ239:DJ250,DM246),SSW,2,FALSE),VLOOKUP(INDEX(DJ239:DJ250,DM246),SSM,2,FALSE)),"----")</f>
        <v>----</v>
      </c>
      <c r="DO246" s="691" t="e">
        <f t="shared" ca="1" si="3943"/>
        <v>#N/A</v>
      </c>
      <c r="DP246" s="4" t="e">
        <f ca="1">IF(AND(INDEX(WSM,DO246,4)&gt;=$AB245,INDEX(WSM,DO246,5)&gt;=$S239,INDEX(WSM,DO246,6)&gt;=$R239),1,0)</f>
        <v>#N/A</v>
      </c>
      <c r="DQ246" s="4" t="e">
        <f t="shared" ref="DQ246" ca="1" si="4046">MATCH(1,OFFSET(DP239:DP250,DR245,0,COUNT(DP239:DP250)-DR245),0)</f>
        <v>#REF!</v>
      </c>
      <c r="DR246" s="4" t="e">
        <f t="shared" ca="1" si="3945"/>
        <v>#REF!</v>
      </c>
      <c r="DS246" s="692" t="str">
        <f ca="1">IFERROR(VLOOKUP(INDEX(DO239:DO250,DR246),WSM,2,FALSE),"----")</f>
        <v>----</v>
      </c>
      <c r="DT246" s="691" t="e">
        <f t="shared" ca="1" si="3946"/>
        <v>#N/A</v>
      </c>
      <c r="DU246" s="4" t="e">
        <f ca="1">IF(AND(INDEX(STM,DT246,4)&gt;=$AB245,INDEX(STM,DT246,5)&gt;=$S239,INDEX(STM,DT246,6)&gt;=$R239),1,0)</f>
        <v>#N/A</v>
      </c>
      <c r="DV246" s="4" t="e">
        <f t="shared" ref="DV246" ca="1" si="4047">MATCH(1,OFFSET(DU239:DU250,DW245,0,COUNT(DU239:DU250)-DW245),0)</f>
        <v>#REF!</v>
      </c>
      <c r="DW246" s="4" t="e">
        <f t="shared" ca="1" si="3948"/>
        <v>#REF!</v>
      </c>
      <c r="DX246" s="692" t="str">
        <f ca="1">IFERROR(VLOOKUP(INDEX(DT239:DT250,DW246),STM,2,FALSE),"----")</f>
        <v>----</v>
      </c>
      <c r="DY246" s="691" t="e">
        <f t="shared" ca="1" si="3949"/>
        <v>#N/A</v>
      </c>
      <c r="DZ246" s="4" t="e">
        <f ca="1">IF(AND(INDEX(ELM,DY246,4)&gt;=$AB245,INDEX(ELM,DY246,5)&gt;=$S239,INDEX(ELM,DY246,6)&gt;=$R239),1,0)</f>
        <v>#N/A</v>
      </c>
      <c r="EA246" s="4" t="e">
        <f t="shared" ref="EA246" ca="1" si="4048">MATCH(1,OFFSET(DZ239:DZ250,EB245,0,COUNT(DZ239:DZ250)-EB245),0)</f>
        <v>#REF!</v>
      </c>
      <c r="EB246" s="4" t="e">
        <f t="shared" ca="1" si="3951"/>
        <v>#REF!</v>
      </c>
      <c r="EC246" s="692" t="str">
        <f ca="1">IFERROR(VLOOKUP(INDEX(DY239:DY250,EB246),ELM,2,FALSE),"----")</f>
        <v>----</v>
      </c>
      <c r="ED246" s="691" t="e">
        <f t="shared" ca="1" si="3952"/>
        <v>#N/A</v>
      </c>
      <c r="EE246" s="4" t="e">
        <f ca="1">IF(LEFT($J239,7)="Clad Wo",IF(AND(INDEX(SPPWS,ED246,4)&gt;=$AB245,INDEX(SPPWS,ED246,5)&gt;=$S239,INDEX(SPPWS,ED246,6)&gt;=$R239),1,0),IF(AND(INDEX(SPM,ED246,4)&gt;=$AB245,INDEX(SPM,ED246,5)&gt;=$S239,INDEX(SPM,ED246,6)&gt;=$R239),1,0))</f>
        <v>#N/A</v>
      </c>
      <c r="EF246" s="4" t="e">
        <f t="shared" ref="EF246" ca="1" si="4049">MATCH(1,OFFSET(EE239:EE250,EG245,0,COUNT(EE239:EE250)-EG245),0)</f>
        <v>#REF!</v>
      </c>
      <c r="EG246" s="4" t="e">
        <f t="shared" ca="1" si="3954"/>
        <v>#REF!</v>
      </c>
      <c r="EH246" s="692" t="str">
        <f ca="1">IF(LEFT($J239,7)="Clad Wo",IFERROR(VLOOKUP(INDEX(ED239:ED250,EG246),SPPWS,2,FALSE),"----"),IFERROR(VLOOKUP(INDEX(ED239:ED250,EG246),SPM,2,FALSE),"----"))</f>
        <v>----</v>
      </c>
    </row>
    <row r="247" spans="1:138" ht="15" customHeight="1" x14ac:dyDescent="0.25">
      <c r="A247" s="1085"/>
      <c r="B247" s="925"/>
      <c r="C247" s="926"/>
      <c r="D247" s="927"/>
      <c r="E247" s="995"/>
      <c r="F247" s="996"/>
      <c r="G247" s="997"/>
      <c r="H247" s="1062"/>
      <c r="I247" s="990"/>
      <c r="J247" s="902"/>
      <c r="K247" s="903"/>
      <c r="L247" s="1002"/>
      <c r="M247" s="923"/>
      <c r="N247" s="1042"/>
      <c r="O247" s="1018"/>
      <c r="P247" s="987"/>
      <c r="Q247" s="1015"/>
      <c r="R247" s="1012"/>
      <c r="S247" s="1006"/>
      <c r="T247" s="1007"/>
      <c r="U247" s="878"/>
      <c r="V247" s="881"/>
      <c r="W247" s="884"/>
      <c r="X247" s="884"/>
      <c r="Y247" s="887"/>
      <c r="Z247" s="887"/>
      <c r="AA247" s="887"/>
      <c r="AB247" s="1081"/>
      <c r="AC247" s="1078"/>
      <c r="AD247" s="1070" t="str">
        <f t="shared" si="3099"/>
        <v>Wood Stud Framing</v>
      </c>
      <c r="AE247" s="1071"/>
      <c r="AF247" s="1052"/>
      <c r="AG247" s="1053"/>
      <c r="AH247" s="1053"/>
      <c r="AI247" s="1066"/>
      <c r="AJ247" s="1067"/>
      <c r="AK247" s="156" t="str">
        <f t="shared" ca="1" si="3667"/>
        <v/>
      </c>
      <c r="AL247" s="1059"/>
      <c r="AM247" s="344" t="str">
        <f ca="1">IFERROR(Q239/12*ROUND(VLOOKUP(AF247,OFFSET(WSM,0,1),6,FALSE),2),"")</f>
        <v/>
      </c>
      <c r="AN247" t="str">
        <f t="shared" ca="1" si="3717"/>
        <v/>
      </c>
      <c r="AP247" s="122" t="str">
        <f t="shared" ref="AP247" si="4050">_xlfn.CONCAT(AR247,AS250)</f>
        <v/>
      </c>
      <c r="AQ247" s="683" t="str">
        <f t="shared" si="3881"/>
        <v/>
      </c>
      <c r="AR247" s="4" t="str">
        <f t="shared" si="3642"/>
        <v/>
      </c>
      <c r="AS247" s="4"/>
      <c r="AT247" s="697" t="str">
        <f>AL245</f>
        <v/>
      </c>
      <c r="AU247" s="694" t="e">
        <f t="shared" ca="1" si="3907"/>
        <v>#REF!</v>
      </c>
      <c r="AV247" s="686" t="str">
        <f ca="1">IFERROR(VLOOKUP(AU247,INDIRECT(AQ239),2,FALSE),"----")</f>
        <v>----</v>
      </c>
      <c r="AW247" s="694" t="e">
        <f t="shared" ca="1" si="3908"/>
        <v>#REF!</v>
      </c>
      <c r="AX247" s="686" t="str">
        <f ca="1">IFERROR(VLOOKUP(AW247,INDIRECT(AQ240),2,FALSE),"----")</f>
        <v>----</v>
      </c>
      <c r="AY247" s="694" t="e">
        <f t="shared" ca="1" si="4000"/>
        <v>#REF!</v>
      </c>
      <c r="AZ247" s="686" t="str">
        <f ca="1">IFERROR(VLOOKUP(AY247,INDIRECT(AQ241),2,FALSE),"----")</f>
        <v>----</v>
      </c>
      <c r="BA247" s="694" t="e">
        <f t="shared" ca="1" si="4001"/>
        <v>#REF!</v>
      </c>
      <c r="BB247" s="686" t="str">
        <f ca="1">IFERROR(VLOOKUP(BA247,INDIRECT(AQ242),2,FALSE),"----")</f>
        <v>----</v>
      </c>
      <c r="BC247" s="694" t="e">
        <f t="shared" ca="1" si="3911"/>
        <v>#REF!</v>
      </c>
      <c r="BD247" s="686" t="str">
        <f ca="1">IFERROR(VLOOKUP(BC247,INDIRECT(AQ243),2,FALSE),"----")</f>
        <v>----</v>
      </c>
      <c r="BE247" s="694" t="e">
        <f t="shared" ca="1" si="3912"/>
        <v>#REF!</v>
      </c>
      <c r="BF247" s="686" t="str">
        <f ca="1">IFERROR(VLOOKUP(BE247,INDIRECT(AQ244),2,FALSE),"----")</f>
        <v>----</v>
      </c>
      <c r="BG247" s="702" t="e">
        <f t="shared" ca="1" si="3913"/>
        <v>#REF!</v>
      </c>
      <c r="BH247" s="686" t="str">
        <f ca="1">IFERROR(VLOOKUP(BG247,INDIRECT(AQ245),2,FALSE),"----")</f>
        <v>----</v>
      </c>
      <c r="BI247" s="702" t="e">
        <f t="shared" ca="1" si="3914"/>
        <v>#REF!</v>
      </c>
      <c r="BJ247" s="686" t="str">
        <f ca="1">IFERROR(VLOOKUP(BI247,INDIRECT(AQ246),2,FALSE),"----")</f>
        <v>----</v>
      </c>
      <c r="BK247" s="702" t="e">
        <f t="shared" ca="1" si="3915"/>
        <v>#REF!</v>
      </c>
      <c r="BL247" s="686" t="str">
        <f ca="1">IFERROR(VLOOKUP(BK247,INDIRECT(AQ247),2,FALSE),"----")</f>
        <v>----</v>
      </c>
      <c r="BM247" s="702" t="e">
        <f t="shared" ca="1" si="3916"/>
        <v>#REF!</v>
      </c>
      <c r="BN247" s="686" t="str">
        <f ca="1">IFERROR(VLOOKUP(BM247,INDIRECT(AQ248),2,FALSE),"----")</f>
        <v>----</v>
      </c>
      <c r="BO247" s="702" t="e">
        <f t="shared" ca="1" si="3917"/>
        <v>#REF!</v>
      </c>
      <c r="BP247" s="686" t="str">
        <f ca="1">IFERROR(VLOOKUP(BO247,INDIRECT(AQ249),2,FALSE),"----")</f>
        <v>----</v>
      </c>
      <c r="BQ247" s="702" t="e">
        <f t="shared" ca="1" si="3918"/>
        <v>#REF!</v>
      </c>
      <c r="BR247" s="686" t="str">
        <f ca="1">IFERROR(VLOOKUP(BQ247,INDIRECT(AQ250),2,FALSE),"----")</f>
        <v>----</v>
      </c>
      <c r="BS247" s="695">
        <f>IF(AI247="",1,IF(COUNTIF(BL239:BL250,AI247)=0,2,1))</f>
        <v>1</v>
      </c>
      <c r="BT247" s="696">
        <f>IF(AF247="",1,IF(BL239=".",2,1))</f>
        <v>1</v>
      </c>
      <c r="BU247" s="706"/>
      <c r="BV247" s="155">
        <f ca="1">IF(COUNTIF(DS239:DS250,AF247)=0,IF(AF247&lt;&gt;"",0,1),1)</f>
        <v>1</v>
      </c>
      <c r="BW247" s="157">
        <f ca="1">IFERROR(MATCH(AF247,DS239:DS250,0),1)</f>
        <v>1</v>
      </c>
      <c r="BX247" s="769" t="e">
        <f t="shared" ref="BX247" si="4051">5*E239^3*W239/(384*X239)</f>
        <v>#VALUE!</v>
      </c>
      <c r="BY247" s="769" t="e">
        <f t="shared" ref="BY247" si="4052">W239*E239^3/(60*X239)</f>
        <v>#VALUE!</v>
      </c>
      <c r="BZ247" s="1110"/>
      <c r="CA247" s="691" t="e">
        <f t="shared" ca="1" si="3919"/>
        <v>#REF!</v>
      </c>
      <c r="CB247" s="4" t="e" cm="1">
        <f t="array" aca="1" ref="CB247" ca="1">IF(AND(INDEX(INDIRECT(BY239),CA247,4)&gt;=$AB239,INDEX(INDIRECT(BY239),CA247,5)&gt;=$S239,INDEX(INDIRECT(BY239),CA247,6)&gt;=$R239),1,0)</f>
        <v>#REF!</v>
      </c>
      <c r="CC247" s="4" t="e">
        <f t="shared" ref="CC247" ca="1" si="4053">MATCH(1,OFFSET(CB239:CB250,CD246,0,COUNT(CB239:CB250)-CD246),0)</f>
        <v>#REF!</v>
      </c>
      <c r="CD247" s="4" t="e">
        <f t="shared" ca="1" si="3921"/>
        <v>#REF!</v>
      </c>
      <c r="CE247" s="692" t="str" cm="1">
        <f t="array" aca="1" ref="CE247" ca="1">IFERROR(VLOOKUP(INDEX(CA239:CA250,CD247),INDIRECT(BY239),2,FALSE),"----")</f>
        <v>----</v>
      </c>
      <c r="CF247" s="691" t="e">
        <f t="shared" ca="1" si="3922"/>
        <v>#N/A</v>
      </c>
      <c r="CG247" s="4" t="e">
        <f ca="1">IF(AND(INDEX(SSM,CF247,4)&gt;=$AB239,INDEX(SSM,CF247,5)&gt;=$S239,INDEX(SSM,CF247,6)&gt;=$R239),1,0)</f>
        <v>#N/A</v>
      </c>
      <c r="CH247" s="4" t="e">
        <f t="shared" ref="CH247" ca="1" si="4054">MATCH(1,OFFSET(CG239:CG250,CI246,0,COUNT(CG239:CG250)-CI246),0)</f>
        <v>#REF!</v>
      </c>
      <c r="CI247" s="4" t="e">
        <f t="shared" ca="1" si="3924"/>
        <v>#REF!</v>
      </c>
      <c r="CJ247" s="692" t="str">
        <f ca="1">IFERROR(IF(AD240="Nested Steel Stud (wood infill)",VLOOKUP(INDEX(CF239:CF250,CI247),SSW,2,FALSE),VLOOKUP(INDEX(CF239:CF250,CI247),SSM,2,FALSE)),"----")</f>
        <v>----</v>
      </c>
      <c r="CK247" s="691" t="e">
        <f t="shared" ca="1" si="3925"/>
        <v>#N/A</v>
      </c>
      <c r="CL247" s="4" t="e">
        <f ca="1">IF(AND(INDEX(WSM,CK247,4)&gt;=$AB239,INDEX(WSM,CK247,5)&gt;=$S239,INDEX(WSM,CK247,6)&gt;=$R239),1,0)</f>
        <v>#N/A</v>
      </c>
      <c r="CM247" s="4" t="e">
        <f t="shared" ref="CM247" ca="1" si="4055">MATCH(1,OFFSET(CL239:CL250,CN246,0,COUNT(CL239:CL250)-CN246),0)</f>
        <v>#REF!</v>
      </c>
      <c r="CN247" s="4" t="e">
        <f t="shared" ca="1" si="3927"/>
        <v>#REF!</v>
      </c>
      <c r="CO247" s="692" t="str">
        <f ca="1">IFERROR(VLOOKUP(INDEX(CK239:CK250,CN247),WSM,2,FALSE),"----")</f>
        <v>----</v>
      </c>
      <c r="CP247" s="691" t="e">
        <f t="shared" ca="1" si="3928"/>
        <v>#N/A</v>
      </c>
      <c r="CQ247" s="4" t="e">
        <f ca="1">IF(AND(INDEX(STM,CP247,4)&gt;=$AB239,INDEX(STM,CP247,5)&gt;=$S239,INDEX(STM,CP247,6)&gt;=$R239),1,0)</f>
        <v>#N/A</v>
      </c>
      <c r="CR247" s="4" t="e">
        <f t="shared" ref="CR247" ca="1" si="4056">MATCH(1,OFFSET(CQ239:CQ250,CS246,0,COUNT(CQ239:CQ250)-CS246),0)</f>
        <v>#REF!</v>
      </c>
      <c r="CS247" s="4" t="e">
        <f t="shared" ca="1" si="3930"/>
        <v>#REF!</v>
      </c>
      <c r="CT247" s="692" t="str">
        <f ca="1">IFERROR(VLOOKUP(INDEX(CP239:CP250,CS247),STM,2,FALSE),"----")</f>
        <v>----</v>
      </c>
      <c r="CU247" s="691" t="e">
        <f t="shared" ca="1" si="3931"/>
        <v>#N/A</v>
      </c>
      <c r="CV247" s="4" t="e">
        <f ca="1">IF(AND(INDEX(ELM,CU247,4)&gt;=$AB239,INDEX(ELM,CU247,5)&gt;=$S239,INDEX(ELM,CU247,6)&gt;=$R239),1,0)</f>
        <v>#N/A</v>
      </c>
      <c r="CW247" s="4" t="e">
        <f t="shared" ref="CW247" ca="1" si="4057">MATCH(1,OFFSET(CV239:CV250,CX246,0,COUNT(CV239:CV250)-CX246),0)</f>
        <v>#REF!</v>
      </c>
      <c r="CX247" s="4" t="e">
        <f t="shared" ca="1" si="3933"/>
        <v>#REF!</v>
      </c>
      <c r="CY247" s="692" t="str">
        <f ca="1">IFERROR(VLOOKUP(INDEX(CU239:CU250,CX247),ELM,2,FALSE),"----")</f>
        <v>----</v>
      </c>
      <c r="CZ247" s="691" t="e">
        <f t="shared" ca="1" si="3934"/>
        <v>#N/A</v>
      </c>
      <c r="DA247" s="4" t="e">
        <f ca="1">IF(LEFT($J239,7)="Clad Wo",IF(AND(INDEX(SPPWS,CZ247,4)&gt;=$AB239,INDEX(SPPWS,CZ247,5)&gt;=$S239,INDEX(SPPWS,CZ247,6)&gt;=$R239),1,0),IF(AND(INDEX(SPM,CZ247,4)&gt;=$AB239,INDEX(SPM,CZ247,5)&gt;=$S239,INDEX(SPM,CZ247,6)&gt;=$R239),1,0))</f>
        <v>#N/A</v>
      </c>
      <c r="DB247" s="4" t="e">
        <f t="shared" ref="DB247" ca="1" si="4058">MATCH(1,OFFSET(DA239:DA250,DC246,0,COUNT(DA239:DA250)-DC246),0)</f>
        <v>#REF!</v>
      </c>
      <c r="DC247" s="4" t="e">
        <f t="shared" ca="1" si="3936"/>
        <v>#REF!</v>
      </c>
      <c r="DD247" s="693" t="str">
        <f ca="1">IF(LEFT($J239,7)="Clad Wo",IFERROR(VLOOKUP(INDEX(CZ239:CZ250,DC247),SPPWS,2,FALSE),"----"),IFERROR(VLOOKUP(INDEX(CZ239:CZ250,DC247),SPM,2,FALSE),"----"))</f>
        <v>----</v>
      </c>
      <c r="DE247" s="691" t="e">
        <f t="shared" ca="1" si="3937"/>
        <v>#REF!</v>
      </c>
      <c r="DF247" s="4" t="e" cm="1">
        <f t="array" aca="1" ref="DF247" ca="1">IF(AND(INDEX(INDIRECT(BY239),DE247,4)&gt;=$AB245,INDEX(INDIRECT(BY239),DE247,5)&gt;=$S239,INDEX(INDIRECT(BY239),DE247,6)&gt;=$R239),1,0)</f>
        <v>#REF!</v>
      </c>
      <c r="DG247" s="4" t="e">
        <f t="shared" ref="DG247" ca="1" si="4059">MATCH(1,OFFSET(DF239:DF250,DH246,0,COUNT(DF239:DF250)-DH246),0)</f>
        <v>#REF!</v>
      </c>
      <c r="DH247" s="4" t="e">
        <f t="shared" ca="1" si="3939"/>
        <v>#REF!</v>
      </c>
      <c r="DI247" s="692" t="str" cm="1">
        <f t="array" aca="1" ref="DI247" ca="1">IFERROR(VLOOKUP(INDEX(DE239:DE250,DH247),INDIRECT(BY239),2,FALSE),"----")</f>
        <v>----</v>
      </c>
      <c r="DJ247" s="691" t="e">
        <f t="shared" ca="1" si="3940"/>
        <v>#N/A</v>
      </c>
      <c r="DK247" s="4" t="e">
        <f ca="1">IF(AND(INDEX(SSM,DJ247,4)&gt;=$AB245,INDEX(SSM,DJ247,5)&gt;=$S239,INDEX(SSM,DJ247,6)&gt;=$R239),1,0)</f>
        <v>#N/A</v>
      </c>
      <c r="DL247" s="4" t="e">
        <f t="shared" ref="DL247" ca="1" si="4060">MATCH(1,OFFSET(DK239:DK250,DM246,0,COUNT(DK239:DK250)-DM246),0)</f>
        <v>#REF!</v>
      </c>
      <c r="DM247" s="4" t="e">
        <f t="shared" ca="1" si="3942"/>
        <v>#REF!</v>
      </c>
      <c r="DN247" s="692" t="str">
        <f ca="1">IFERROR(IF(AD246="Nested Steel Stud (wood infill)",VLOOKUP(INDEX(DJ239:DJ250,DM247),SSW,2,FALSE),VLOOKUP(INDEX(DJ239:DJ250,DM247),SSM,2,FALSE)),"----")</f>
        <v>----</v>
      </c>
      <c r="DO247" s="691" t="e">
        <f t="shared" ca="1" si="3943"/>
        <v>#N/A</v>
      </c>
      <c r="DP247" s="4" t="e">
        <f ca="1">IF(AND(INDEX(WSM,DO247,4)&gt;=$AB245,INDEX(WSM,DO247,5)&gt;=$S239,INDEX(WSM,DO247,6)&gt;=$R239),1,0)</f>
        <v>#N/A</v>
      </c>
      <c r="DQ247" s="4" t="e">
        <f t="shared" ref="DQ247" ca="1" si="4061">MATCH(1,OFFSET(DP239:DP250,DR246,0,COUNT(DP239:DP250)-DR246),0)</f>
        <v>#REF!</v>
      </c>
      <c r="DR247" s="4" t="e">
        <f t="shared" ca="1" si="3945"/>
        <v>#REF!</v>
      </c>
      <c r="DS247" s="692" t="str">
        <f ca="1">IFERROR(VLOOKUP(INDEX(DO239:DO250,DR247),WSM,2,FALSE),"----")</f>
        <v>----</v>
      </c>
      <c r="DT247" s="691" t="e">
        <f t="shared" ca="1" si="3946"/>
        <v>#N/A</v>
      </c>
      <c r="DU247" s="4" t="e">
        <f ca="1">IF(AND(INDEX(STM,DT247,4)&gt;=$AB245,INDEX(STM,DT247,5)&gt;=$S239,INDEX(STM,DT247,6)&gt;=$R239),1,0)</f>
        <v>#N/A</v>
      </c>
      <c r="DV247" s="4" t="e">
        <f t="shared" ref="DV247" ca="1" si="4062">MATCH(1,OFFSET(DU239:DU250,DW246,0,COUNT(DU239:DU250)-DW246),0)</f>
        <v>#REF!</v>
      </c>
      <c r="DW247" s="4" t="e">
        <f t="shared" ca="1" si="3948"/>
        <v>#REF!</v>
      </c>
      <c r="DX247" s="692" t="str">
        <f ca="1">IFERROR(VLOOKUP(INDEX(DT239:DT250,DW247),STM,2,FALSE),"----")</f>
        <v>----</v>
      </c>
      <c r="DY247" s="691" t="e">
        <f t="shared" ca="1" si="3949"/>
        <v>#N/A</v>
      </c>
      <c r="DZ247" s="4" t="e">
        <f ca="1">IF(AND(INDEX(ELM,DY247,4)&gt;=$AB245,INDEX(ELM,DY247,5)&gt;=$S239,INDEX(ELM,DY247,6)&gt;=$R239),1,0)</f>
        <v>#N/A</v>
      </c>
      <c r="EA247" s="4" t="e">
        <f t="shared" ref="EA247" ca="1" si="4063">MATCH(1,OFFSET(DZ239:DZ250,EB246,0,COUNT(DZ239:DZ250)-EB246),0)</f>
        <v>#REF!</v>
      </c>
      <c r="EB247" s="4" t="e">
        <f t="shared" ca="1" si="3951"/>
        <v>#REF!</v>
      </c>
      <c r="EC247" s="692" t="str">
        <f ca="1">IFERROR(VLOOKUP(INDEX(DY239:DY250,EB247),ELM,2,FALSE),"----")</f>
        <v>----</v>
      </c>
      <c r="ED247" s="691" t="e">
        <f t="shared" ca="1" si="3952"/>
        <v>#N/A</v>
      </c>
      <c r="EE247" s="4" t="e">
        <f ca="1">IF(LEFT($J239,7)="Clad Wo",IF(AND(INDEX(SPPWS,ED247,4)&gt;=$AB245,INDEX(SPPWS,ED247,5)&gt;=$S239,INDEX(SPPWS,ED247,6)&gt;=$R239),1,0),IF(AND(INDEX(SPM,ED247,4)&gt;=$AB245,INDEX(SPM,ED247,5)&gt;=$S239,INDEX(SPM,ED247,6)&gt;=$R239),1,0))</f>
        <v>#N/A</v>
      </c>
      <c r="EF247" s="4" t="e">
        <f t="shared" ref="EF247" ca="1" si="4064">MATCH(1,OFFSET(EE239:EE250,EG246,0,COUNT(EE239:EE250)-EG246),0)</f>
        <v>#REF!</v>
      </c>
      <c r="EG247" s="4" t="e">
        <f t="shared" ca="1" si="3954"/>
        <v>#REF!</v>
      </c>
      <c r="EH247" s="692" t="str">
        <f ca="1">IF(LEFT($J239,7)="Clad Wo",IFERROR(VLOOKUP(INDEX(ED239:ED250,EG247),SPPWS,2,FALSE),"----"),IFERROR(VLOOKUP(INDEX(ED239:ED250,EG247),SPM,2,FALSE),"----"))</f>
        <v>----</v>
      </c>
    </row>
    <row r="248" spans="1:138" ht="15" customHeight="1" x14ac:dyDescent="0.25">
      <c r="A248" s="1085"/>
      <c r="B248" s="925"/>
      <c r="C248" s="926"/>
      <c r="D248" s="927"/>
      <c r="E248" s="995"/>
      <c r="F248" s="996"/>
      <c r="G248" s="997"/>
      <c r="H248" s="1062"/>
      <c r="I248" s="990"/>
      <c r="J248" s="902"/>
      <c r="K248" s="903"/>
      <c r="L248" s="1002"/>
      <c r="M248" s="923"/>
      <c r="N248" s="1042"/>
      <c r="O248" s="1018"/>
      <c r="P248" s="987"/>
      <c r="Q248" s="1015"/>
      <c r="R248" s="1012"/>
      <c r="S248" s="1006"/>
      <c r="T248" s="1007"/>
      <c r="U248" s="878"/>
      <c r="V248" s="881"/>
      <c r="W248" s="884"/>
      <c r="X248" s="884"/>
      <c r="Y248" s="887"/>
      <c r="Z248" s="887"/>
      <c r="AA248" s="887"/>
      <c r="AB248" s="1081"/>
      <c r="AC248" s="1078"/>
      <c r="AD248" s="1070" t="str">
        <f t="shared" si="3099"/>
        <v>Steel Tube</v>
      </c>
      <c r="AE248" s="1071"/>
      <c r="AF248" s="1052"/>
      <c r="AG248" s="1053"/>
      <c r="AH248" s="1053"/>
      <c r="AI248" s="1066"/>
      <c r="AJ248" s="1067"/>
      <c r="AK248" s="156" t="str">
        <f t="shared" ca="1" si="3667"/>
        <v/>
      </c>
      <c r="AL248" s="1059"/>
      <c r="AM248" s="343" t="str">
        <f ca="1">IFERROR(Q239/12*ROUND(VLOOKUP(AF248,OFFSET(STM,0,1),6,FALSE),2),"")</f>
        <v/>
      </c>
      <c r="AN248" t="str">
        <f t="shared" ca="1" si="3717"/>
        <v/>
      </c>
      <c r="AP248" s="122" t="str">
        <f t="shared" ref="AP248" si="4065">_xlfn.CONCAT(AR248,AS250)</f>
        <v/>
      </c>
      <c r="AQ248" s="683" t="str">
        <f t="shared" si="3881"/>
        <v/>
      </c>
      <c r="AR248" s="4" t="str">
        <f t="shared" si="3642"/>
        <v/>
      </c>
      <c r="AS248" s="4"/>
      <c r="AT248" s="697" t="str">
        <f>AL245</f>
        <v/>
      </c>
      <c r="AU248" s="694" t="e">
        <f t="shared" ca="1" si="3907"/>
        <v>#REF!</v>
      </c>
      <c r="AV248" s="686" t="str">
        <f ca="1">IFERROR(VLOOKUP(AU248,INDIRECT(AQ239),2,FALSE),"----")</f>
        <v>----</v>
      </c>
      <c r="AW248" s="694" t="e">
        <f t="shared" ca="1" si="3908"/>
        <v>#REF!</v>
      </c>
      <c r="AX248" s="686" t="str">
        <f ca="1">IFERROR(VLOOKUP(AW248,INDIRECT(AQ240),2,FALSE),"----")</f>
        <v>----</v>
      </c>
      <c r="AY248" s="694" t="e">
        <f t="shared" ca="1" si="3352"/>
        <v>#REF!</v>
      </c>
      <c r="AZ248" s="686" t="str">
        <f ca="1">IFERROR(VLOOKUP(AY248,INDIRECT(AQ241),2,FALSE),"----")</f>
        <v>----</v>
      </c>
      <c r="BA248" s="694" t="e">
        <f t="shared" ca="1" si="3353"/>
        <v>#REF!</v>
      </c>
      <c r="BB248" s="686" t="str">
        <f ca="1">IFERROR(VLOOKUP(BA248,INDIRECT(AQ242),2,FALSE),"----")</f>
        <v>----</v>
      </c>
      <c r="BC248" s="694" t="e">
        <f t="shared" ca="1" si="3911"/>
        <v>#REF!</v>
      </c>
      <c r="BD248" s="686" t="str">
        <f ca="1">IFERROR(VLOOKUP(BC248,INDIRECT(AQ243),2,FALSE),"----")</f>
        <v>----</v>
      </c>
      <c r="BE248" s="694" t="e">
        <f t="shared" ca="1" si="3912"/>
        <v>#REF!</v>
      </c>
      <c r="BF248" s="686" t="str">
        <f ca="1">IFERROR(VLOOKUP(BE248,INDIRECT(AQ244),2,FALSE),"----")</f>
        <v>----</v>
      </c>
      <c r="BG248" s="702" t="e">
        <f t="shared" ca="1" si="3913"/>
        <v>#REF!</v>
      </c>
      <c r="BH248" s="686" t="str">
        <f ca="1">IFERROR(VLOOKUP(BG248,INDIRECT(AQ245),2,FALSE),"----")</f>
        <v>----</v>
      </c>
      <c r="BI248" s="702" t="e">
        <f t="shared" ca="1" si="3914"/>
        <v>#REF!</v>
      </c>
      <c r="BJ248" s="686" t="str">
        <f ca="1">IFERROR(VLOOKUP(BI248,INDIRECT(AQ246),2,FALSE),"----")</f>
        <v>----</v>
      </c>
      <c r="BK248" s="702" t="e">
        <f t="shared" ca="1" si="3915"/>
        <v>#REF!</v>
      </c>
      <c r="BL248" s="686" t="str">
        <f ca="1">IFERROR(VLOOKUP(BK248,INDIRECT(AQ247),2,FALSE),"----")</f>
        <v>----</v>
      </c>
      <c r="BM248" s="702" t="e">
        <f t="shared" ca="1" si="3916"/>
        <v>#REF!</v>
      </c>
      <c r="BN248" s="686" t="str">
        <f ca="1">IFERROR(VLOOKUP(BM248,INDIRECT(AQ248),2,FALSE),"----")</f>
        <v>----</v>
      </c>
      <c r="BO248" s="702" t="e">
        <f t="shared" ca="1" si="3917"/>
        <v>#REF!</v>
      </c>
      <c r="BP248" s="686" t="str">
        <f ca="1">IFERROR(VLOOKUP(BO248,INDIRECT(AQ249),2,FALSE),"----")</f>
        <v>----</v>
      </c>
      <c r="BQ248" s="702" t="e">
        <f t="shared" ca="1" si="3918"/>
        <v>#REF!</v>
      </c>
      <c r="BR248" s="686" t="str">
        <f ca="1">IFERROR(VLOOKUP(BQ248,INDIRECT(AQ250),2,FALSE),"----")</f>
        <v>----</v>
      </c>
      <c r="BS248" s="695">
        <f>IF(AI248="",1,IF(COUNTIF(BN239:BN250,AI248)=0,2,1))</f>
        <v>1</v>
      </c>
      <c r="BT248" s="696">
        <f>IF(AF248="",1,IF(BN239=".",2,1))</f>
        <v>1</v>
      </c>
      <c r="BU248" s="706"/>
      <c r="BV248" s="155">
        <f ca="1">IF(COUNTIF(DX239:DX250,AF248)=0,IF(AF248&lt;&gt;"",0,1),1)</f>
        <v>1</v>
      </c>
      <c r="BW248" s="157">
        <f ca="1">IFERROR(MATCH(AF248,DX239:DX250,0),1)</f>
        <v>1</v>
      </c>
      <c r="BX248" s="769" t="e">
        <f t="shared" ref="BX248" si="4066">5*E239^3*W245/(384*X239)</f>
        <v>#VALUE!</v>
      </c>
      <c r="BY248" s="769" t="e">
        <f t="shared" ref="BY248" si="4067">E239^3*W245/(60*X239)</f>
        <v>#VALUE!</v>
      </c>
      <c r="BZ248" s="1110"/>
      <c r="CA248" s="691" t="e">
        <f t="shared" ca="1" si="3919"/>
        <v>#REF!</v>
      </c>
      <c r="CB248" s="4" t="e" cm="1">
        <f t="array" aca="1" ref="CB248" ca="1">IF(AND(INDEX(INDIRECT(BY239),CA248,4)&gt;=$AB239,INDEX(INDIRECT(BY239),CA248,5)&gt;=$S239,INDEX(INDIRECT(BY239),CA248,6)&gt;=$R239),1,0)</f>
        <v>#REF!</v>
      </c>
      <c r="CC248" s="4" t="e">
        <f t="shared" ref="CC248" ca="1" si="4068">MATCH(1,OFFSET(CB239:CB250,CD247,0,COUNT(CB239:CB250)-CD247),0)</f>
        <v>#REF!</v>
      </c>
      <c r="CD248" s="4" t="e">
        <f t="shared" ca="1" si="3921"/>
        <v>#REF!</v>
      </c>
      <c r="CE248" s="692" t="str" cm="1">
        <f t="array" aca="1" ref="CE248" ca="1">IFERROR(VLOOKUP(INDEX(CA239:CA250,CD248),INDIRECT(BY239),2,FALSE),"----")</f>
        <v>----</v>
      </c>
      <c r="CF248" s="691" t="e">
        <f t="shared" ca="1" si="3922"/>
        <v>#N/A</v>
      </c>
      <c r="CG248" s="4" t="e">
        <f ca="1">IF(AND(INDEX(SSM,CF248,4)&gt;=$AB239,INDEX(SSM,CF248,5)&gt;=$S239,INDEX(SSM,CF248,6)&gt;=$R239),1,0)</f>
        <v>#N/A</v>
      </c>
      <c r="CH248" s="4" t="e">
        <f t="shared" ref="CH248" ca="1" si="4069">MATCH(1,OFFSET(CG239:CG250,CI247,0,COUNT(CG239:CG250)-CI247),0)</f>
        <v>#REF!</v>
      </c>
      <c r="CI248" s="4" t="e">
        <f t="shared" ca="1" si="3924"/>
        <v>#REF!</v>
      </c>
      <c r="CJ248" s="692" t="str">
        <f ca="1">IFERROR(IF(AD240="Nested Steel Stud (wood infill)",VLOOKUP(INDEX(CF239:CF250,CI248),SSW,2,FALSE),VLOOKUP(INDEX(CF239:CF250,CI248),SSM,2,FALSE)),"----")</f>
        <v>----</v>
      </c>
      <c r="CK248" s="691" t="e">
        <f t="shared" ca="1" si="3925"/>
        <v>#N/A</v>
      </c>
      <c r="CL248" s="4" t="e">
        <f ca="1">IF(AND(INDEX(WSM,CK248,4)&gt;=$AB239,INDEX(WSM,CK248,5)&gt;=$S239,INDEX(WSM,CK248,6)&gt;=$R239),1,0)</f>
        <v>#N/A</v>
      </c>
      <c r="CM248" s="4" t="e">
        <f t="shared" ref="CM248" ca="1" si="4070">MATCH(1,OFFSET(CL239:CL250,CN247,0,COUNT(CL239:CL250)-CN247),0)</f>
        <v>#REF!</v>
      </c>
      <c r="CN248" s="4" t="e">
        <f t="shared" ca="1" si="3927"/>
        <v>#REF!</v>
      </c>
      <c r="CO248" s="692" t="str">
        <f ca="1">IFERROR(VLOOKUP(INDEX(CK239:CK250,CN248),WSM,2,FALSE),"----")</f>
        <v>----</v>
      </c>
      <c r="CP248" s="691" t="e">
        <f t="shared" ca="1" si="3928"/>
        <v>#N/A</v>
      </c>
      <c r="CQ248" s="4" t="e">
        <f ca="1">IF(AND(INDEX(STM,CP248,4)&gt;=$AB239,INDEX(STM,CP248,5)&gt;=$S239,INDEX(STM,CP248,6)&gt;=$R239),1,0)</f>
        <v>#N/A</v>
      </c>
      <c r="CR248" s="4" t="e">
        <f t="shared" ref="CR248" ca="1" si="4071">MATCH(1,OFFSET(CQ239:CQ250,CS247,0,COUNT(CQ239:CQ250)-CS247),0)</f>
        <v>#REF!</v>
      </c>
      <c r="CS248" s="4" t="e">
        <f t="shared" ca="1" si="3930"/>
        <v>#REF!</v>
      </c>
      <c r="CT248" s="692" t="str">
        <f ca="1">IFERROR(VLOOKUP(INDEX(CP239:CP250,CS248),STM,2,FALSE),"----")</f>
        <v>----</v>
      </c>
      <c r="CU248" s="691" t="e">
        <f t="shared" ca="1" si="3931"/>
        <v>#N/A</v>
      </c>
      <c r="CV248" s="4" t="e">
        <f ca="1">IF(AND(INDEX(ELM,CU248,4)&gt;=$AB239,INDEX(ELM,CU248,5)&gt;=$S239,INDEX(ELM,CU248,6)&gt;=$R239),1,0)</f>
        <v>#N/A</v>
      </c>
      <c r="CW248" s="4" t="e">
        <f t="shared" ref="CW248" ca="1" si="4072">MATCH(1,OFFSET(CV239:CV250,CX247,0,COUNT(CV239:CV250)-CX247),0)</f>
        <v>#REF!</v>
      </c>
      <c r="CX248" s="4" t="e">
        <f t="shared" ca="1" si="3933"/>
        <v>#REF!</v>
      </c>
      <c r="CY248" s="692" t="str">
        <f ca="1">IFERROR(VLOOKUP(INDEX(CU239:CU250,CX248),ELM,2,FALSE),"----")</f>
        <v>----</v>
      </c>
      <c r="CZ248" s="691" t="e">
        <f t="shared" ca="1" si="3934"/>
        <v>#N/A</v>
      </c>
      <c r="DA248" s="4" t="e">
        <f ca="1">IF(LEFT($J239,7)="Clad Wo",IF(AND(INDEX(SPPWS,CZ248,4)&gt;=$AB239,INDEX(SPPWS,CZ248,5)&gt;=$S239,INDEX(SPPWS,CZ248,6)&gt;=$R239),1,0),IF(AND(INDEX(SPM,CZ248,4)&gt;=$AB239,INDEX(SPM,CZ248,5)&gt;=$S239,INDEX(SPM,CZ248,6)&gt;=$R239),1,0))</f>
        <v>#N/A</v>
      </c>
      <c r="DB248" s="4" t="e">
        <f t="shared" ref="DB248" ca="1" si="4073">MATCH(1,OFFSET(DA239:DA250,DC247,0,COUNT(DA239:DA250)-DC247),0)</f>
        <v>#REF!</v>
      </c>
      <c r="DC248" s="4" t="e">
        <f t="shared" ca="1" si="3936"/>
        <v>#REF!</v>
      </c>
      <c r="DD248" s="693" t="str">
        <f ca="1">IF(LEFT($J239,7)="Clad Wo",IFERROR(VLOOKUP(INDEX(CZ239:CZ250,DC248),SPPWS,2,FALSE),"----"),IFERROR(VLOOKUP(INDEX(CZ239:CZ250,DC248),SPM,2,FALSE),"----"))</f>
        <v>----</v>
      </c>
      <c r="DE248" s="691" t="e">
        <f t="shared" ca="1" si="3937"/>
        <v>#REF!</v>
      </c>
      <c r="DF248" s="4" t="e" cm="1">
        <f t="array" aca="1" ref="DF248" ca="1">IF(AND(INDEX(INDIRECT(BY239),DE248,4)&gt;=$AB245,INDEX(INDIRECT(BY239),DE248,5)&gt;=$S239,INDEX(INDIRECT(BY239),DE248,6)&gt;=$R239),1,0)</f>
        <v>#REF!</v>
      </c>
      <c r="DG248" s="4" t="e">
        <f t="shared" ref="DG248" ca="1" si="4074">MATCH(1,OFFSET(DF239:DF250,DH247,0,COUNT(DF239:DF250)-DH247),0)</f>
        <v>#REF!</v>
      </c>
      <c r="DH248" s="4" t="e">
        <f t="shared" ca="1" si="3939"/>
        <v>#REF!</v>
      </c>
      <c r="DI248" s="692" t="str" cm="1">
        <f t="array" aca="1" ref="DI248" ca="1">IFERROR(VLOOKUP(INDEX(DE239:DE250,DH248),INDIRECT(BY239),2,FALSE),"----")</f>
        <v>----</v>
      </c>
      <c r="DJ248" s="691" t="e">
        <f t="shared" ca="1" si="3940"/>
        <v>#N/A</v>
      </c>
      <c r="DK248" s="4" t="e">
        <f ca="1">IF(AND(INDEX(SSM,DJ248,4)&gt;=$AB245,INDEX(SSM,DJ248,5)&gt;=$S239,INDEX(SSM,DJ248,6)&gt;=$R239),1,0)</f>
        <v>#N/A</v>
      </c>
      <c r="DL248" s="4" t="e">
        <f t="shared" ref="DL248" ca="1" si="4075">MATCH(1,OFFSET(DK239:DK250,DM247,0,COUNT(DK239:DK250)-DM247),0)</f>
        <v>#REF!</v>
      </c>
      <c r="DM248" s="4" t="e">
        <f t="shared" ca="1" si="3942"/>
        <v>#REF!</v>
      </c>
      <c r="DN248" s="692" t="str">
        <f ca="1">IFERROR(IF(AD246="Nested Steel Stud (wood infill)",VLOOKUP(INDEX(DJ239:DJ250,DM248),SSW,2,FALSE),VLOOKUP(INDEX(DJ239:DJ250,DM248),SSM,2,FALSE)),"----")</f>
        <v>----</v>
      </c>
      <c r="DO248" s="691" t="e">
        <f t="shared" ca="1" si="3943"/>
        <v>#N/A</v>
      </c>
      <c r="DP248" s="4" t="e">
        <f ca="1">IF(AND(INDEX(WSM,DO248,4)&gt;=$AB245,INDEX(WSM,DO248,5)&gt;=$S239,INDEX(WSM,DO248,6)&gt;=$R239),1,0)</f>
        <v>#N/A</v>
      </c>
      <c r="DQ248" s="4" t="e">
        <f t="shared" ref="DQ248" ca="1" si="4076">MATCH(1,OFFSET(DP239:DP250,DR247,0,COUNT(DP239:DP250)-DR247),0)</f>
        <v>#REF!</v>
      </c>
      <c r="DR248" s="4" t="e">
        <f t="shared" ca="1" si="3945"/>
        <v>#REF!</v>
      </c>
      <c r="DS248" s="692" t="str">
        <f ca="1">IFERROR(VLOOKUP(INDEX(DO239:DO250,DR248),WSM,2,FALSE),"----")</f>
        <v>----</v>
      </c>
      <c r="DT248" s="691" t="e">
        <f t="shared" ca="1" si="3946"/>
        <v>#N/A</v>
      </c>
      <c r="DU248" s="4" t="e">
        <f ca="1">IF(AND(INDEX(STM,DT248,4)&gt;=$AB245,INDEX(STM,DT248,5)&gt;=$S239,INDEX(STM,DT248,6)&gt;=$R239),1,0)</f>
        <v>#N/A</v>
      </c>
      <c r="DV248" s="4" t="e">
        <f t="shared" ref="DV248" ca="1" si="4077">MATCH(1,OFFSET(DU239:DU250,DW247,0,COUNT(DU239:DU250)-DW247),0)</f>
        <v>#REF!</v>
      </c>
      <c r="DW248" s="4" t="e">
        <f t="shared" ca="1" si="3948"/>
        <v>#REF!</v>
      </c>
      <c r="DX248" s="692" t="str">
        <f ca="1">IFERROR(VLOOKUP(INDEX(DT239:DT250,DW248),STM,2,FALSE),"----")</f>
        <v>----</v>
      </c>
      <c r="DY248" s="691" t="e">
        <f t="shared" ca="1" si="3949"/>
        <v>#N/A</v>
      </c>
      <c r="DZ248" s="4" t="e">
        <f ca="1">IF(AND(INDEX(ELM,DY248,4)&gt;=$AB245,INDEX(ELM,DY248,5)&gt;=$S239,INDEX(ELM,DY248,6)&gt;=$R239),1,0)</f>
        <v>#N/A</v>
      </c>
      <c r="EA248" s="4" t="e">
        <f t="shared" ref="EA248" ca="1" si="4078">MATCH(1,OFFSET(DZ239:DZ250,EB247,0,COUNT(DZ239:DZ250)-EB247),0)</f>
        <v>#REF!</v>
      </c>
      <c r="EB248" s="4" t="e">
        <f t="shared" ca="1" si="3951"/>
        <v>#REF!</v>
      </c>
      <c r="EC248" s="692" t="str">
        <f ca="1">IFERROR(VLOOKUP(INDEX(DY239:DY250,EB248),ELM,2,FALSE),"----")</f>
        <v>----</v>
      </c>
      <c r="ED248" s="691" t="e">
        <f t="shared" ca="1" si="3952"/>
        <v>#N/A</v>
      </c>
      <c r="EE248" s="4" t="e">
        <f ca="1">IF(LEFT($J239,7)="Clad Wo",IF(AND(INDEX(SPPWS,ED248,4)&gt;=$AB245,INDEX(SPPWS,ED248,5)&gt;=$S239,INDEX(SPPWS,ED248,6)&gt;=$R239),1,0),IF(AND(INDEX(SPM,ED248,4)&gt;=$AB245,INDEX(SPM,ED248,5)&gt;=$S239,INDEX(SPM,ED248,6)&gt;=$R239),1,0))</f>
        <v>#N/A</v>
      </c>
      <c r="EF248" s="4" t="e">
        <f t="shared" ref="EF248" ca="1" si="4079">MATCH(1,OFFSET(EE239:EE250,EG247,0,COUNT(EE239:EE250)-EG247),0)</f>
        <v>#REF!</v>
      </c>
      <c r="EG248" s="4" t="e">
        <f t="shared" ca="1" si="3954"/>
        <v>#REF!</v>
      </c>
      <c r="EH248" s="692" t="str">
        <f ca="1">IF(LEFT($J239,7)="Clad Wo",IFERROR(VLOOKUP(INDEX(ED239:ED250,EG248),SPPWS,2,FALSE),"----"),IFERROR(VLOOKUP(INDEX(ED239:ED250,EG248),SPM,2,FALSE),"----"))</f>
        <v>----</v>
      </c>
    </row>
    <row r="249" spans="1:138" ht="15" customHeight="1" x14ac:dyDescent="0.25">
      <c r="A249" s="1085"/>
      <c r="B249" s="925"/>
      <c r="C249" s="926"/>
      <c r="D249" s="927"/>
      <c r="E249" s="995"/>
      <c r="F249" s="996"/>
      <c r="G249" s="997"/>
      <c r="H249" s="1062"/>
      <c r="I249" s="990"/>
      <c r="J249" s="902"/>
      <c r="K249" s="903"/>
      <c r="L249" s="1002"/>
      <c r="M249" s="923"/>
      <c r="N249" s="1042"/>
      <c r="O249" s="1018"/>
      <c r="P249" s="987"/>
      <c r="Q249" s="1015"/>
      <c r="R249" s="1012"/>
      <c r="S249" s="1006"/>
      <c r="T249" s="1007"/>
      <c r="U249" s="878"/>
      <c r="V249" s="881"/>
      <c r="W249" s="884"/>
      <c r="X249" s="884"/>
      <c r="Y249" s="887"/>
      <c r="Z249" s="887"/>
      <c r="AA249" s="887"/>
      <c r="AB249" s="1081"/>
      <c r="AC249" s="1078"/>
      <c r="AD249" s="1070" t="str">
        <f t="shared" si="3099"/>
        <v>Engineered Lumber</v>
      </c>
      <c r="AE249" s="1071"/>
      <c r="AF249" s="1052"/>
      <c r="AG249" s="1053"/>
      <c r="AH249" s="1053"/>
      <c r="AI249" s="1068"/>
      <c r="AJ249" s="1069"/>
      <c r="AK249" s="154" t="str">
        <f t="shared" ca="1" si="3667"/>
        <v/>
      </c>
      <c r="AL249" s="1059"/>
      <c r="AM249" s="344" t="str">
        <f ca="1">IFERROR(Q239/12*ROUND(VLOOKUP(AF249,OFFSET(ELM,0,1),6,FALSE),2),"")</f>
        <v/>
      </c>
      <c r="AN249" t="str">
        <f t="shared" ca="1" si="3717"/>
        <v/>
      </c>
      <c r="AP249" s="122" t="str">
        <f t="shared" ref="AP249" si="4080">_xlfn.CONCAT(AR249,AS250)</f>
        <v/>
      </c>
      <c r="AQ249" s="683" t="str">
        <f t="shared" si="3881"/>
        <v/>
      </c>
      <c r="AR249" s="4" t="str">
        <f t="shared" si="3642"/>
        <v/>
      </c>
      <c r="AS249" s="4"/>
      <c r="AT249" s="697" t="str">
        <f>AL245</f>
        <v/>
      </c>
      <c r="AU249" s="694" t="e">
        <f t="shared" ca="1" si="3907"/>
        <v>#REF!</v>
      </c>
      <c r="AV249" s="698" t="str">
        <f ca="1">IFERROR(VLOOKUP(AU249,INDIRECT(AQ239),2,FALSE),"----")</f>
        <v>----</v>
      </c>
      <c r="AW249" s="694" t="e">
        <f t="shared" ca="1" si="3908"/>
        <v>#REF!</v>
      </c>
      <c r="AX249" s="698" t="str">
        <f ca="1">IFERROR(VLOOKUP(AW249,INDIRECT(AQ240),2,FALSE),"----")</f>
        <v>----</v>
      </c>
      <c r="AY249" s="694" t="e">
        <f t="shared" ca="1" si="3352"/>
        <v>#REF!</v>
      </c>
      <c r="AZ249" s="698" t="str">
        <f ca="1">IFERROR(VLOOKUP(AY249,INDIRECT(AQ241),2,FALSE),"----")</f>
        <v>----</v>
      </c>
      <c r="BA249" s="694" t="e">
        <f t="shared" ca="1" si="3353"/>
        <v>#REF!</v>
      </c>
      <c r="BB249" s="698" t="str">
        <f ca="1">IFERROR(VLOOKUP(BA249,INDIRECT(AQ242),2,FALSE),"----")</f>
        <v>----</v>
      </c>
      <c r="BC249" s="694" t="e">
        <f t="shared" ca="1" si="3911"/>
        <v>#REF!</v>
      </c>
      <c r="BD249" s="698" t="str">
        <f ca="1">IFERROR(VLOOKUP(BC249,INDIRECT(AQ243),2,FALSE),"----")</f>
        <v>----</v>
      </c>
      <c r="BE249" s="694" t="e">
        <f t="shared" ca="1" si="3912"/>
        <v>#REF!</v>
      </c>
      <c r="BF249" s="698" t="str">
        <f ca="1">IFERROR(VLOOKUP(BE249,INDIRECT(AQ244),2,FALSE),"----")</f>
        <v>----</v>
      </c>
      <c r="BG249" s="702" t="e">
        <f t="shared" ca="1" si="3913"/>
        <v>#REF!</v>
      </c>
      <c r="BH249" s="686" t="str">
        <f ca="1">IFERROR(VLOOKUP(BG249,INDIRECT(AQ245),2,FALSE),"----")</f>
        <v>----</v>
      </c>
      <c r="BI249" s="702" t="e">
        <f t="shared" ca="1" si="3914"/>
        <v>#REF!</v>
      </c>
      <c r="BJ249" s="686" t="str">
        <f ca="1">IFERROR(VLOOKUP(BI249,INDIRECT(AQ246),2,FALSE),"----")</f>
        <v>----</v>
      </c>
      <c r="BK249" s="702" t="e">
        <f t="shared" ca="1" si="3915"/>
        <v>#REF!</v>
      </c>
      <c r="BL249" s="686" t="str">
        <f ca="1">IFERROR(VLOOKUP(BK249,INDIRECT(AQ247),2,FALSE),"----")</f>
        <v>----</v>
      </c>
      <c r="BM249" s="702" t="e">
        <f t="shared" ca="1" si="3916"/>
        <v>#REF!</v>
      </c>
      <c r="BN249" s="686" t="str">
        <f ca="1">IFERROR(VLOOKUP(BM249,INDIRECT(AQ248),2,FALSE),"----")</f>
        <v>----</v>
      </c>
      <c r="BO249" s="702" t="e">
        <f t="shared" ca="1" si="3917"/>
        <v>#REF!</v>
      </c>
      <c r="BP249" s="686" t="str">
        <f ca="1">IFERROR(VLOOKUP(BO249,INDIRECT(AQ249),2,FALSE),"----")</f>
        <v>----</v>
      </c>
      <c r="BQ249" s="702" t="e">
        <f t="shared" ca="1" si="3918"/>
        <v>#REF!</v>
      </c>
      <c r="BR249" s="686" t="str">
        <f ca="1">IFERROR(VLOOKUP(BQ249,INDIRECT(AQ250),2,FALSE),"----")</f>
        <v>----</v>
      </c>
      <c r="BS249" s="695">
        <f>IF(AI249="",1,IF(COUNTIF(BP239:BP250,AI249)=0,2,1))</f>
        <v>1</v>
      </c>
      <c r="BT249" s="696">
        <f>IF(AF249="",1,IF(BP239=".",2,1))</f>
        <v>1</v>
      </c>
      <c r="BU249" s="706"/>
      <c r="BV249" s="155">
        <f ca="1">IF(COUNTIF(EC239:EC250,AF249)=0,IF(AF249&lt;&gt;"",0,1),1)</f>
        <v>1</v>
      </c>
      <c r="BW249" s="157">
        <f ca="1">IFERROR(MATCH(AF249,EC239:EC250,0),1)</f>
        <v>1</v>
      </c>
      <c r="BX249" s="769"/>
      <c r="BY249" s="769"/>
      <c r="BZ249" s="1110"/>
      <c r="CA249" s="691" t="e">
        <f t="shared" ca="1" si="3919"/>
        <v>#REF!</v>
      </c>
      <c r="CB249" s="4" t="e" cm="1">
        <f t="array" aca="1" ref="CB249" ca="1">IF(AND(INDEX(INDIRECT(BY239),CA249,4)&gt;=$AB239,INDEX(INDIRECT(BY239),CA249,5)&gt;=$S239,INDEX(INDIRECT(BY239),CA249,6)&gt;=$R239),1,0)</f>
        <v>#REF!</v>
      </c>
      <c r="CC249" s="4" t="e">
        <f t="shared" ref="CC249" ca="1" si="4081">MATCH(1,OFFSET(CB239:CB250,CD248,0,COUNT(CB239:CB250)-CD248),0)</f>
        <v>#REF!</v>
      </c>
      <c r="CD249" s="4" t="e">
        <f t="shared" ca="1" si="3921"/>
        <v>#REF!</v>
      </c>
      <c r="CE249" s="692" t="str" cm="1">
        <f t="array" aca="1" ref="CE249" ca="1">IFERROR(VLOOKUP(INDEX(CA239:CA250,CD249),INDIRECT(BY239),2,FALSE),"----")</f>
        <v>----</v>
      </c>
      <c r="CF249" s="691" t="e">
        <f t="shared" ca="1" si="3922"/>
        <v>#N/A</v>
      </c>
      <c r="CG249" s="4" t="e">
        <f ca="1">IF(AND(INDEX(SSM,CF249,4)&gt;=$AB239,INDEX(SSM,CF249,5)&gt;=$S239,INDEX(SSM,CF249,6)&gt;=$R239),1,0)</f>
        <v>#N/A</v>
      </c>
      <c r="CH249" s="4" t="e">
        <f t="shared" ref="CH249" ca="1" si="4082">MATCH(1,OFFSET(CG239:CG250,CI248,0,COUNT(CG239:CG250)-CI248),0)</f>
        <v>#REF!</v>
      </c>
      <c r="CI249" s="4" t="e">
        <f t="shared" ca="1" si="3924"/>
        <v>#REF!</v>
      </c>
      <c r="CJ249" s="692" t="str">
        <f ca="1">IFERROR(IF(AD240="Nested Steel Stud (wood infill)",VLOOKUP(INDEX(CF239:CF250,CI249),SSW,2,FALSE),VLOOKUP(INDEX(CF239:CF250,CI249),SSM,2,FALSE)),"----")</f>
        <v>----</v>
      </c>
      <c r="CK249" s="691" t="e">
        <f t="shared" ca="1" si="3925"/>
        <v>#N/A</v>
      </c>
      <c r="CL249" s="4" t="e">
        <f ca="1">IF(AND(INDEX(WSM,CK249,4)&gt;=$AB239,INDEX(WSM,CK249,5)&gt;=$S239,INDEX(WSM,CK249,6)&gt;=$R239),1,0)</f>
        <v>#N/A</v>
      </c>
      <c r="CM249" s="4" t="e">
        <f t="shared" ref="CM249" ca="1" si="4083">MATCH(1,OFFSET(CL239:CL250,CN248,0,COUNT(CL239:CL250)-CN248),0)</f>
        <v>#REF!</v>
      </c>
      <c r="CN249" s="4" t="e">
        <f t="shared" ca="1" si="3927"/>
        <v>#REF!</v>
      </c>
      <c r="CO249" s="692" t="str">
        <f ca="1">IFERROR(VLOOKUP(INDEX(CK239:CK250,CN249),WSM,2,FALSE),"----")</f>
        <v>----</v>
      </c>
      <c r="CP249" s="691" t="e">
        <f t="shared" ca="1" si="3928"/>
        <v>#N/A</v>
      </c>
      <c r="CQ249" s="4" t="e">
        <f ca="1">IF(AND(INDEX(STM,CP249,4)&gt;=$AB239,INDEX(STM,CP249,5)&gt;=$S239,INDEX(STM,CP249,6)&gt;=$R239),1,0)</f>
        <v>#N/A</v>
      </c>
      <c r="CR249" s="4" t="e">
        <f t="shared" ref="CR249" ca="1" si="4084">MATCH(1,OFFSET(CQ239:CQ250,CS248,0,COUNT(CQ239:CQ250)-CS248),0)</f>
        <v>#REF!</v>
      </c>
      <c r="CS249" s="4" t="e">
        <f t="shared" ca="1" si="3930"/>
        <v>#REF!</v>
      </c>
      <c r="CT249" s="692" t="str">
        <f ca="1">IFERROR(VLOOKUP(INDEX(CP239:CP250,CS249),STM,2,FALSE),"----")</f>
        <v>----</v>
      </c>
      <c r="CU249" s="691" t="e">
        <f t="shared" ca="1" si="3931"/>
        <v>#N/A</v>
      </c>
      <c r="CV249" s="4" t="e">
        <f ca="1">IF(AND(INDEX(ELM,CU249,4)&gt;=$AB239,INDEX(ELM,CU249,5)&gt;=$S239,INDEX(ELM,CU249,6)&gt;=$R239),1,0)</f>
        <v>#N/A</v>
      </c>
      <c r="CW249" s="4" t="e">
        <f t="shared" ref="CW249" ca="1" si="4085">MATCH(1,OFFSET(CV239:CV250,CX248,0,COUNT(CV239:CV250)-CX248),0)</f>
        <v>#REF!</v>
      </c>
      <c r="CX249" s="4" t="e">
        <f t="shared" ca="1" si="3933"/>
        <v>#REF!</v>
      </c>
      <c r="CY249" s="692" t="str">
        <f ca="1">IFERROR(VLOOKUP(INDEX(CU239:CU250,CX249),ELM,2,FALSE),"----")</f>
        <v>----</v>
      </c>
      <c r="CZ249" s="691" t="e">
        <f t="shared" ca="1" si="3934"/>
        <v>#N/A</v>
      </c>
      <c r="DA249" s="4" t="e">
        <f ca="1">IF(LEFT($J239,7)="Clad Wo",IF(AND(INDEX(SPPWS,CZ249,4)&gt;=$AB239,INDEX(SPPWS,CZ249,5)&gt;=$S239,INDEX(SPPWS,CZ249,6)&gt;=$R239),1,0),IF(AND(INDEX(SPM,CZ249,4)&gt;=$AB239,INDEX(SPM,CZ249,5)&gt;=$S239,INDEX(SPM,CZ249,6)&gt;=$R239),1,0))</f>
        <v>#N/A</v>
      </c>
      <c r="DB249" s="4" t="e">
        <f t="shared" ref="DB249" ca="1" si="4086">MATCH(1,OFFSET(DA239:DA250,DC248,0,COUNT(DA239:DA250)-DC248),0)</f>
        <v>#REF!</v>
      </c>
      <c r="DC249" s="4" t="e">
        <f t="shared" ca="1" si="3936"/>
        <v>#REF!</v>
      </c>
      <c r="DD249" s="693" t="str">
        <f ca="1">IF(LEFT($J239,7)="Clad Wo",IFERROR(VLOOKUP(INDEX(CZ239:CZ250,DC249),SPPWS,2,FALSE),"----"),IFERROR(VLOOKUP(INDEX(CZ239:CZ250,DC249),SPM,2,FALSE),"----"))</f>
        <v>----</v>
      </c>
      <c r="DE249" s="691" t="e">
        <f t="shared" ca="1" si="3937"/>
        <v>#REF!</v>
      </c>
      <c r="DF249" s="4" t="e" cm="1">
        <f t="array" aca="1" ref="DF249" ca="1">IF(AND(INDEX(INDIRECT(BY239),DE249,4)&gt;=$AB245,INDEX(INDIRECT(BY239),DE249,5)&gt;=$S239,INDEX(INDIRECT(BY239),DE249,6)&gt;=$R239),1,0)</f>
        <v>#REF!</v>
      </c>
      <c r="DG249" s="4" t="e">
        <f t="shared" ref="DG249" ca="1" si="4087">MATCH(1,OFFSET(DF239:DF250,DH248,0,COUNT(DF239:DF250)-DH248),0)</f>
        <v>#REF!</v>
      </c>
      <c r="DH249" s="4" t="e">
        <f t="shared" ca="1" si="3939"/>
        <v>#REF!</v>
      </c>
      <c r="DI249" s="692" t="str" cm="1">
        <f t="array" aca="1" ref="DI249" ca="1">IFERROR(VLOOKUP(INDEX(DE239:DE250,DH249),INDIRECT(BY239),2,FALSE),"----")</f>
        <v>----</v>
      </c>
      <c r="DJ249" s="691" t="e">
        <f t="shared" ca="1" si="3940"/>
        <v>#N/A</v>
      </c>
      <c r="DK249" s="4" t="e">
        <f ca="1">IF(AND(INDEX(SSM,DJ249,4)&gt;=$AB245,INDEX(SSM,DJ249,5)&gt;=$S239,INDEX(SSM,DJ249,6)&gt;=$R239),1,0)</f>
        <v>#N/A</v>
      </c>
      <c r="DL249" s="4" t="e">
        <f t="shared" ref="DL249" ca="1" si="4088">MATCH(1,OFFSET(DK239:DK250,DM248,0,COUNT(DK239:DK250)-DM248),0)</f>
        <v>#REF!</v>
      </c>
      <c r="DM249" s="4" t="e">
        <f t="shared" ca="1" si="3942"/>
        <v>#REF!</v>
      </c>
      <c r="DN249" s="692" t="str">
        <f ca="1">IFERROR(IF(AD246="Nested Steel Stud (wood infill)",VLOOKUP(INDEX(DJ239:DJ250,DM249),SSW,2,FALSE),VLOOKUP(INDEX(DJ239:DJ250,DM249),SSM,2,FALSE)),"----")</f>
        <v>----</v>
      </c>
      <c r="DO249" s="691" t="e">
        <f t="shared" ca="1" si="3943"/>
        <v>#N/A</v>
      </c>
      <c r="DP249" s="4" t="e">
        <f ca="1">IF(AND(INDEX(WSM,DO249,4)&gt;=$AB245,INDEX(WSM,DO249,5)&gt;=$S239,INDEX(WSM,DO249,6)&gt;=$R239),1,0)</f>
        <v>#N/A</v>
      </c>
      <c r="DQ249" s="4" t="e">
        <f t="shared" ref="DQ249" ca="1" si="4089">MATCH(1,OFFSET(DP239:DP250,DR248,0,COUNT(DP239:DP250)-DR248),0)</f>
        <v>#REF!</v>
      </c>
      <c r="DR249" s="4" t="e">
        <f t="shared" ca="1" si="3945"/>
        <v>#REF!</v>
      </c>
      <c r="DS249" s="692" t="str">
        <f ca="1">IFERROR(VLOOKUP(INDEX(DO239:DO250,DR249),WSM,2,FALSE),"----")</f>
        <v>----</v>
      </c>
      <c r="DT249" s="691" t="e">
        <f t="shared" ca="1" si="3946"/>
        <v>#N/A</v>
      </c>
      <c r="DU249" s="4" t="e">
        <f ca="1">IF(AND(INDEX(STM,DT249,4)&gt;=$AB245,INDEX(STM,DT249,5)&gt;=$S239,INDEX(STM,DT249,6)&gt;=$R239),1,0)</f>
        <v>#N/A</v>
      </c>
      <c r="DV249" s="4" t="e">
        <f t="shared" ref="DV249" ca="1" si="4090">MATCH(1,OFFSET(DU239:DU250,DW248,0,COUNT(DU239:DU250)-DW248),0)</f>
        <v>#REF!</v>
      </c>
      <c r="DW249" s="4" t="e">
        <f t="shared" ca="1" si="3948"/>
        <v>#REF!</v>
      </c>
      <c r="DX249" s="692" t="str">
        <f ca="1">IFERROR(VLOOKUP(INDEX(DT239:DT250,DW249),STM,2,FALSE),"----")</f>
        <v>----</v>
      </c>
      <c r="DY249" s="691" t="e">
        <f t="shared" ca="1" si="3949"/>
        <v>#N/A</v>
      </c>
      <c r="DZ249" s="4" t="e">
        <f ca="1">IF(AND(INDEX(ELM,DY249,4)&gt;=$AB245,INDEX(ELM,DY249,5)&gt;=$S239,INDEX(ELM,DY249,6)&gt;=$R239),1,0)</f>
        <v>#N/A</v>
      </c>
      <c r="EA249" s="4" t="e">
        <f t="shared" ref="EA249" ca="1" si="4091">MATCH(1,OFFSET(DZ239:DZ250,EB248,0,COUNT(DZ239:DZ250)-EB248),0)</f>
        <v>#REF!</v>
      </c>
      <c r="EB249" s="4" t="e">
        <f t="shared" ca="1" si="3951"/>
        <v>#REF!</v>
      </c>
      <c r="EC249" s="692" t="str">
        <f ca="1">IFERROR(VLOOKUP(INDEX(DY239:DY250,EB249),ELM,2,FALSE),"----")</f>
        <v>----</v>
      </c>
      <c r="ED249" s="691" t="e">
        <f t="shared" ca="1" si="3952"/>
        <v>#N/A</v>
      </c>
      <c r="EE249" s="4" t="e">
        <f ca="1">IF(LEFT($J239,7)="Clad Wo",IF(AND(INDEX(SPPWS,ED249,4)&gt;=$AB245,INDEX(SPPWS,ED249,5)&gt;=$S239,INDEX(SPPWS,ED249,6)&gt;=$R239),1,0),IF(AND(INDEX(SPM,ED249,4)&gt;=$AB245,INDEX(SPM,ED249,5)&gt;=$S239,INDEX(SPM,ED249,6)&gt;=$R239),1,0))</f>
        <v>#N/A</v>
      </c>
      <c r="EF249" s="4" t="e">
        <f t="shared" ref="EF249" ca="1" si="4092">MATCH(1,OFFSET(EE239:EE250,EG248,0,COUNT(EE239:EE250)-EG248),0)</f>
        <v>#REF!</v>
      </c>
      <c r="EG249" s="4" t="e">
        <f t="shared" ca="1" si="3954"/>
        <v>#REF!</v>
      </c>
      <c r="EH249" s="692" t="str">
        <f ca="1">IF(LEFT($J239,7)="Clad Wo",IFERROR(VLOOKUP(INDEX(ED239:ED250,EG249),SPPWS,2,FALSE),"----"),IFERROR(VLOOKUP(INDEX(ED239:ED250,EG249),SPM,2,FALSE),"----"))</f>
        <v>----</v>
      </c>
    </row>
    <row r="250" spans="1:138" ht="15" customHeight="1" thickBot="1" x14ac:dyDescent="0.3">
      <c r="A250" s="1085"/>
      <c r="B250" s="928"/>
      <c r="C250" s="929"/>
      <c r="D250" s="930"/>
      <c r="E250" s="998"/>
      <c r="F250" s="999"/>
      <c r="G250" s="1000"/>
      <c r="H250" s="1063"/>
      <c r="I250" s="991"/>
      <c r="J250" s="904"/>
      <c r="K250" s="905"/>
      <c r="L250" s="1003"/>
      <c r="M250" s="1065"/>
      <c r="N250" s="1043"/>
      <c r="O250" s="1019"/>
      <c r="P250" s="988"/>
      <c r="Q250" s="1016"/>
      <c r="R250" s="1013"/>
      <c r="S250" s="1008"/>
      <c r="T250" s="1009"/>
      <c r="U250" s="879"/>
      <c r="V250" s="882"/>
      <c r="W250" s="885"/>
      <c r="X250" s="885"/>
      <c r="Y250" s="888"/>
      <c r="Z250" s="888"/>
      <c r="AA250" s="888"/>
      <c r="AB250" s="1082"/>
      <c r="AC250" s="1087"/>
      <c r="AD250" s="1098" t="str">
        <f t="shared" ref="AD250" si="4093">IF(LEFT(J239,7)="Clad Wo","Pella Wood Spr / Steel Pte","Steel Plate")</f>
        <v>Steel Plate</v>
      </c>
      <c r="AE250" s="1099"/>
      <c r="AF250" s="1096"/>
      <c r="AG250" s="1097"/>
      <c r="AH250" s="1097"/>
      <c r="AI250" s="1094"/>
      <c r="AJ250" s="1095"/>
      <c r="AK250" s="163" t="str">
        <f t="shared" ca="1" si="3667"/>
        <v/>
      </c>
      <c r="AL250" s="1060"/>
      <c r="AM250" s="345" t="str">
        <f ca="1">IFERROR(Q239/12*ROUND(VLOOKUP(AF250,OFFSET(SPM,0,1),6,FALSE),2),"")</f>
        <v/>
      </c>
      <c r="AN250" t="str">
        <f t="shared" ca="1" si="3717"/>
        <v/>
      </c>
      <c r="AP250" s="699" t="str">
        <f t="shared" ref="AP250" si="4094">_xlfn.CONCAT(AR250,AS250)</f>
        <v/>
      </c>
      <c r="AQ250" s="700" t="str">
        <f t="shared" si="3881"/>
        <v/>
      </c>
      <c r="AR250" s="160" t="str">
        <f t="shared" si="3642"/>
        <v/>
      </c>
      <c r="AS250" s="160" t="str">
        <f>IFERROR(VLOOKUP(J247, WallType,2,FALSE),"")</f>
        <v/>
      </c>
      <c r="AT250" s="707" t="str">
        <f>AL245</f>
        <v/>
      </c>
      <c r="AU250" s="708" t="e">
        <f t="shared" ca="1" si="3907"/>
        <v>#REF!</v>
      </c>
      <c r="AV250" s="709" t="str">
        <f ca="1">IFERROR(VLOOKUP(AU250,INDIRECT(AQ239),2,FALSE),"----")</f>
        <v>----</v>
      </c>
      <c r="AW250" s="710" t="e">
        <f t="shared" ca="1" si="3908"/>
        <v>#REF!</v>
      </c>
      <c r="AX250" s="709" t="str">
        <f ca="1">IFERROR(VLOOKUP(AW250,INDIRECT(AQ240),2,FALSE),"----")</f>
        <v>----</v>
      </c>
      <c r="AY250" s="710" t="e">
        <f t="shared" ca="1" si="3352"/>
        <v>#REF!</v>
      </c>
      <c r="AZ250" s="709" t="str">
        <f ca="1">IFERROR(VLOOKUP(AY250,INDIRECT(AQ241),2,FALSE),"----")</f>
        <v>----</v>
      </c>
      <c r="BA250" s="710" t="e">
        <f t="shared" ca="1" si="3353"/>
        <v>#REF!</v>
      </c>
      <c r="BB250" s="709" t="str">
        <f ca="1">IFERROR(VLOOKUP(BA250,INDIRECT(AQ242),2,FALSE),"----")</f>
        <v>----</v>
      </c>
      <c r="BC250" s="710" t="e">
        <f t="shared" ca="1" si="3911"/>
        <v>#REF!</v>
      </c>
      <c r="BD250" s="709" t="str">
        <f ca="1">IFERROR(VLOOKUP(BC250,INDIRECT(AQ243),2,FALSE),"----")</f>
        <v>----</v>
      </c>
      <c r="BE250" s="710" t="e">
        <f t="shared" ca="1" si="3912"/>
        <v>#REF!</v>
      </c>
      <c r="BF250" s="709" t="str">
        <f ca="1">IFERROR(VLOOKUP(BE250,INDIRECT(AQ244),2,FALSE),"----")</f>
        <v>----</v>
      </c>
      <c r="BG250" s="710" t="e">
        <f t="shared" ca="1" si="3913"/>
        <v>#REF!</v>
      </c>
      <c r="BH250" s="711" t="str">
        <f ca="1">IFERROR(VLOOKUP(BG250,INDIRECT(AQ245),2,FALSE),"----")</f>
        <v>----</v>
      </c>
      <c r="BI250" s="710" t="e">
        <f t="shared" ca="1" si="3914"/>
        <v>#REF!</v>
      </c>
      <c r="BJ250" s="711" t="str">
        <f ca="1">IFERROR(VLOOKUP(BI250,INDIRECT(AQ246),2,FALSE),"----")</f>
        <v>----</v>
      </c>
      <c r="BK250" s="710" t="e">
        <f t="shared" ca="1" si="3915"/>
        <v>#REF!</v>
      </c>
      <c r="BL250" s="711" t="str">
        <f ca="1">IFERROR(VLOOKUP(BK250,INDIRECT(AQ247),2,FALSE),"----")</f>
        <v>----</v>
      </c>
      <c r="BM250" s="710" t="e">
        <f t="shared" ca="1" si="3916"/>
        <v>#REF!</v>
      </c>
      <c r="BN250" s="711" t="str">
        <f ca="1">IFERROR(VLOOKUP(BM250,INDIRECT(AQ248),2,FALSE),"----")</f>
        <v>----</v>
      </c>
      <c r="BO250" s="710" t="e">
        <f t="shared" ca="1" si="3917"/>
        <v>#REF!</v>
      </c>
      <c r="BP250" s="711" t="str">
        <f ca="1">IFERROR(VLOOKUP(BO250,INDIRECT(AQ249),2,FALSE),"----")</f>
        <v>----</v>
      </c>
      <c r="BQ250" s="710" t="e">
        <f t="shared" ca="1" si="3918"/>
        <v>#REF!</v>
      </c>
      <c r="BR250" s="712" t="str">
        <f ca="1">IFERROR(VLOOKUP(BQ250,INDIRECT(AQ250),2,FALSE),"----")</f>
        <v>----</v>
      </c>
      <c r="BS250" s="695">
        <f>IF(AI250="",1,IF(COUNTIF(BR239:BR250,AI250)=0,2,1))</f>
        <v>1</v>
      </c>
      <c r="BT250" s="713">
        <f>IF(AF250="",1,IF(BR239=".",2,1))</f>
        <v>1</v>
      </c>
      <c r="BV250" s="155">
        <f ca="1">IF(COUNTIF(EH239:EH250,AF250)=0,IF(AF250&lt;&gt;"",0,1),1)</f>
        <v>1</v>
      </c>
      <c r="BW250" s="157">
        <f ca="1">IFERROR(MATCH(AF250,EH239:EH250,0),1)</f>
        <v>1</v>
      </c>
      <c r="BX250" s="718"/>
      <c r="BY250" s="777"/>
      <c r="BZ250" s="1110"/>
      <c r="CA250" s="714" t="e">
        <f t="shared" ca="1" si="3919"/>
        <v>#REF!</v>
      </c>
      <c r="CB250" s="715" t="e" cm="1">
        <f t="array" aca="1" ref="CB250" ca="1">IF(AND(INDEX(INDIRECT(BY239),CA250,4)&gt;=$AB239,INDEX(INDIRECT(BY239),CA250,5)&gt;=$S239,INDEX(INDIRECT(BY239),CA250,6)&gt;=$R239),1,0)</f>
        <v>#REF!</v>
      </c>
      <c r="CC250" s="715" t="e">
        <f t="shared" ref="CC250" ca="1" si="4095">MATCH(1,OFFSET(CB239:CB250,CD249,0,COUNT(CB239:CB250)-CD249),0)</f>
        <v>#REF!</v>
      </c>
      <c r="CD250" s="715" t="e">
        <f t="shared" ca="1" si="3921"/>
        <v>#REF!</v>
      </c>
      <c r="CE250" s="716" t="str" cm="1">
        <f t="array" aca="1" ref="CE250" ca="1">IFERROR(VLOOKUP(INDEX(CA239:CA250,CD250),INDIRECT(BY239),2,FALSE),"----")</f>
        <v>----</v>
      </c>
      <c r="CF250" s="714" t="e">
        <f t="shared" ca="1" si="3922"/>
        <v>#N/A</v>
      </c>
      <c r="CG250" s="715" t="e">
        <f ca="1">IF(AND(INDEX(SSM,CF250,4)&gt;=$AB239,INDEX(SSM,CF250,5)&gt;=$S239,INDEX(SSM,CF250,6)&gt;=$R239),1,0)</f>
        <v>#N/A</v>
      </c>
      <c r="CH250" s="715" t="e">
        <f t="shared" ref="CH250" ca="1" si="4096">MATCH(1,OFFSET(CG239:CG250,CI249,0,COUNT(CG239:CG250)-CI249),0)</f>
        <v>#REF!</v>
      </c>
      <c r="CI250" s="715" t="e">
        <f t="shared" ca="1" si="3924"/>
        <v>#REF!</v>
      </c>
      <c r="CJ250" s="716" t="str">
        <f ca="1">IFERROR(IF(AD240="Nested Steel Stud (wood infill)",VLOOKUP(INDEX(CF239:CF250,CI250),SSW,2,FALSE),VLOOKUP(INDEX(CF239:CF250,CI250),SSM,2,FALSE)),"----")</f>
        <v>----</v>
      </c>
      <c r="CK250" s="714" t="e">
        <f t="shared" ca="1" si="3925"/>
        <v>#N/A</v>
      </c>
      <c r="CL250" s="715" t="e">
        <f ca="1">IF(AND(INDEX(WSM,CK250,4)&gt;=$AB239,INDEX(WSM,CK250,5)&gt;=$S239,INDEX(WSM,CK250,6)&gt;=$R239),1,0)</f>
        <v>#N/A</v>
      </c>
      <c r="CM250" s="715" t="e">
        <f t="shared" ref="CM250" ca="1" si="4097">MATCH(1,OFFSET(CL239:CL250,CN249,0,COUNT(CL239:CL250)-CN249),0)</f>
        <v>#REF!</v>
      </c>
      <c r="CN250" s="715" t="e">
        <f t="shared" ca="1" si="3927"/>
        <v>#REF!</v>
      </c>
      <c r="CO250" s="716" t="str">
        <f ca="1">IFERROR(VLOOKUP(INDEX(CK239:CK250,CN250),WSM,2,FALSE),"----")</f>
        <v>----</v>
      </c>
      <c r="CP250" s="714" t="e">
        <f t="shared" ca="1" si="3928"/>
        <v>#N/A</v>
      </c>
      <c r="CQ250" s="715" t="e">
        <f ca="1">IF(AND(INDEX(STM,CP250,4)&gt;=$AB239,INDEX(STM,CP250,5)&gt;=$S239,INDEX(STM,CP250,6)&gt;=$R239),1,0)</f>
        <v>#N/A</v>
      </c>
      <c r="CR250" s="715" t="e">
        <f t="shared" ref="CR250" ca="1" si="4098">MATCH(1,OFFSET(CQ239:CQ250,CS249,0,COUNT(CQ239:CQ250)-CS249),0)</f>
        <v>#REF!</v>
      </c>
      <c r="CS250" s="715" t="e">
        <f t="shared" ca="1" si="3930"/>
        <v>#REF!</v>
      </c>
      <c r="CT250" s="716" t="str">
        <f ca="1">IFERROR(VLOOKUP(INDEX(CP239:CP250,CS250),STM,2,FALSE),"----")</f>
        <v>----</v>
      </c>
      <c r="CU250" s="714" t="e">
        <f t="shared" ca="1" si="3931"/>
        <v>#N/A</v>
      </c>
      <c r="CV250" s="715" t="e">
        <f ca="1">IF(AND(INDEX(ELM,CU250,4)&gt;=$AB239,INDEX(ELM,CU250,5)&gt;=$S239,INDEX(ELM,CU250,6)&gt;=$R239),1,0)</f>
        <v>#N/A</v>
      </c>
      <c r="CW250" s="715" t="e">
        <f t="shared" ref="CW250" ca="1" si="4099">MATCH(1,OFFSET(CV239:CV250,CX249,0,COUNT(CV239:CV250)-CX249),0)</f>
        <v>#REF!</v>
      </c>
      <c r="CX250" s="715" t="e">
        <f t="shared" ca="1" si="3933"/>
        <v>#REF!</v>
      </c>
      <c r="CY250" s="716" t="str">
        <f ca="1">IFERROR(VLOOKUP(INDEX(CU239:CU250,CX250),ELM,2,FALSE),"----")</f>
        <v>----</v>
      </c>
      <c r="CZ250" s="714" t="e">
        <f t="shared" ca="1" si="3934"/>
        <v>#N/A</v>
      </c>
      <c r="DA250" s="715" t="e">
        <f ca="1">IF(LEFT($J239,7)="Clad Wo",IF(AND(INDEX(SPPWS,CZ250,4)&gt;=$AB239,INDEX(SPPWS,CZ250,5)&gt;=$S239,INDEX(SPPWS,CZ250,6)&gt;=$R239),1,0),IF(AND(INDEX(SPM,CZ250,4)&gt;=$AB239,INDEX(SPM,CZ250,5)&gt;=$S239,INDEX(SPM,CZ250,6)&gt;=$R239),1,0))</f>
        <v>#N/A</v>
      </c>
      <c r="DB250" s="715" t="e">
        <f t="shared" ref="DB250" ca="1" si="4100">MATCH(1,OFFSET(DA239:DA250,DC249,0,COUNT(DA239:DA250)-DC249),0)</f>
        <v>#REF!</v>
      </c>
      <c r="DC250" s="715" t="e">
        <f t="shared" ca="1" si="3936"/>
        <v>#REF!</v>
      </c>
      <c r="DD250" s="717" t="str">
        <f ca="1">IF(LEFT($J239,7)="Clad Wo",IFERROR(VLOOKUP(INDEX(CZ239:CZ250,DC250),SPPWS,2,FALSE),"----"),IFERROR(VLOOKUP(INDEX(CZ239:CZ250,DC250),SPM,2,FALSE),"----"))</f>
        <v>----</v>
      </c>
      <c r="DE250" s="714" t="e">
        <f t="shared" ca="1" si="3937"/>
        <v>#REF!</v>
      </c>
      <c r="DF250" s="715" t="e" cm="1">
        <f t="array" aca="1" ref="DF250" ca="1">IF(AND(INDEX(INDIRECT(BY239),DE250,4)&gt;=$AB245,INDEX(INDIRECT(BY239),DE250,5)&gt;=$S239,INDEX(INDIRECT(BY239),DE250,6)&gt;=$R239),1,0)</f>
        <v>#REF!</v>
      </c>
      <c r="DG250" s="715" t="e">
        <f t="shared" ref="DG250" ca="1" si="4101">MATCH(1,OFFSET(DF239:DF250,DH249,0,COUNT(DF239:DF250)-DH249),0)</f>
        <v>#REF!</v>
      </c>
      <c r="DH250" s="715" t="e">
        <f t="shared" ca="1" si="3939"/>
        <v>#REF!</v>
      </c>
      <c r="DI250" s="716" t="str" cm="1">
        <f t="array" aca="1" ref="DI250" ca="1">IFERROR(VLOOKUP(INDEX(DE239:DE250,DH250),INDIRECT(BY239),2,FALSE),"----")</f>
        <v>----</v>
      </c>
      <c r="DJ250" s="714" t="e">
        <f t="shared" ca="1" si="3940"/>
        <v>#N/A</v>
      </c>
      <c r="DK250" s="715" t="e">
        <f ca="1">IF(AND(INDEX(SSM,DJ250,4)&gt;=$AB245,INDEX(SSM,DJ250,5)&gt;=$S239,INDEX(SSM,DJ250,6)&gt;=$R239),1,0)</f>
        <v>#N/A</v>
      </c>
      <c r="DL250" s="715" t="e">
        <f t="shared" ref="DL250" ca="1" si="4102">MATCH(1,OFFSET(DK239:DK250,DM249,0,COUNT(DK239:DK250)-DM249),0)</f>
        <v>#REF!</v>
      </c>
      <c r="DM250" s="715" t="e">
        <f t="shared" ca="1" si="3942"/>
        <v>#REF!</v>
      </c>
      <c r="DN250" s="716" t="str">
        <f ca="1">IFERROR(IF(AD246="Nested Steel Stud (wood infill)",VLOOKUP(INDEX(DJ239:DJ250,DM250),SSW,2,FALSE),VLOOKUP(INDEX(DJ239:DJ250,DM250),SSM,2,FALSE)),"----")</f>
        <v>----</v>
      </c>
      <c r="DO250" s="714" t="e">
        <f t="shared" ca="1" si="3943"/>
        <v>#N/A</v>
      </c>
      <c r="DP250" s="715" t="e">
        <f ca="1">IF(AND(INDEX(WSM,DO250,4)&gt;=$AB245,INDEX(WSM,DO250,5)&gt;=$S239,INDEX(WSM,DO250,6)&gt;=$R239),1,0)</f>
        <v>#N/A</v>
      </c>
      <c r="DQ250" s="715" t="e">
        <f t="shared" ref="DQ250" ca="1" si="4103">MATCH(1,OFFSET(DP239:DP250,DR249,0,COUNT(DP239:DP250)-DR249),0)</f>
        <v>#REF!</v>
      </c>
      <c r="DR250" s="715" t="e">
        <f t="shared" ca="1" si="3945"/>
        <v>#REF!</v>
      </c>
      <c r="DS250" s="716" t="str">
        <f ca="1">IFERROR(VLOOKUP(INDEX(DO239:DO250,DR250),WSM,2,FALSE),"----")</f>
        <v>----</v>
      </c>
      <c r="DT250" s="714" t="e">
        <f t="shared" ca="1" si="3946"/>
        <v>#N/A</v>
      </c>
      <c r="DU250" s="715" t="e">
        <f ca="1">IF(AND(INDEX(STM,DT250,4)&gt;=$AB245,INDEX(STM,DT250,5)&gt;=$S239,INDEX(STM,DT250,6)&gt;=$R239),1,0)</f>
        <v>#N/A</v>
      </c>
      <c r="DV250" s="715" t="e">
        <f t="shared" ref="DV250" ca="1" si="4104">MATCH(1,OFFSET(DU239:DU250,DW249,0,COUNT(DU239:DU250)-DW249),0)</f>
        <v>#REF!</v>
      </c>
      <c r="DW250" s="715" t="e">
        <f t="shared" ca="1" si="3948"/>
        <v>#REF!</v>
      </c>
      <c r="DX250" s="716" t="str">
        <f ca="1">IFERROR(VLOOKUP(INDEX(DT239:DT250,DW250),STM,2,FALSE),"----")</f>
        <v>----</v>
      </c>
      <c r="DY250" s="714" t="e">
        <f t="shared" ca="1" si="3949"/>
        <v>#N/A</v>
      </c>
      <c r="DZ250" s="715" t="e">
        <f ca="1">IF(AND(INDEX(ELM,DY250,4)&gt;=$AB245,INDEX(ELM,DY250,5)&gt;=$S239,INDEX(ELM,DY250,6)&gt;=$R239),1,0)</f>
        <v>#N/A</v>
      </c>
      <c r="EA250" s="715" t="e">
        <f t="shared" ref="EA250" ca="1" si="4105">MATCH(1,OFFSET(DZ239:DZ250,EB249,0,COUNT(DZ239:DZ250)-EB249),0)</f>
        <v>#REF!</v>
      </c>
      <c r="EB250" s="715" t="e">
        <f t="shared" ca="1" si="3951"/>
        <v>#REF!</v>
      </c>
      <c r="EC250" s="716" t="str">
        <f ca="1">IFERROR(VLOOKUP(INDEX(DY239:DY250,EB250),ELM,2,FALSE),"----")</f>
        <v>----</v>
      </c>
      <c r="ED250" s="714" t="e">
        <f t="shared" ca="1" si="3952"/>
        <v>#N/A</v>
      </c>
      <c r="EE250" s="715" t="e">
        <f ca="1">IF(LEFT($J239,7)="Clad Wo",IF(AND(INDEX(SPPWS,ED250,4)&gt;=$AB245,INDEX(SPPWS,ED250,5)&gt;=$S239,INDEX(SPPWS,ED250,6)&gt;=$R239),1,0),IF(AND(INDEX(SPM,ED250,4)&gt;=$AB245,INDEX(SPM,ED250,5)&gt;=$S239,INDEX(SPM,ED250,6)&gt;=$R239),1,0))</f>
        <v>#N/A</v>
      </c>
      <c r="EF250" s="715" t="e">
        <f t="shared" ref="EF250" ca="1" si="4106">MATCH(1,OFFSET(EE239:EE250,EG249,0,COUNT(EE239:EE250)-EG249),0)</f>
        <v>#REF!</v>
      </c>
      <c r="EG250" s="715" t="e">
        <f t="shared" ca="1" si="3954"/>
        <v>#REF!</v>
      </c>
      <c r="EH250" s="716" t="str">
        <f ca="1">IF(LEFT($J239,7)="Clad Wo",IFERROR(VLOOKUP(INDEX(ED239:ED250,EG250),SPPWS,2,FALSE),"----"),IFERROR(VLOOKUP(INDEX(ED239:ED250,EG250),SPM,2,FALSE),"----"))</f>
        <v>----</v>
      </c>
    </row>
    <row r="251" spans="1:138" ht="15" customHeight="1" thickTop="1" x14ac:dyDescent="0.25">
      <c r="A251" s="1085"/>
      <c r="B251" s="931" t="s">
        <v>92</v>
      </c>
      <c r="C251" s="932"/>
      <c r="D251" s="933"/>
      <c r="E251" s="992"/>
      <c r="F251" s="993"/>
      <c r="G251" s="994"/>
      <c r="H251" s="1061"/>
      <c r="I251" s="989"/>
      <c r="J251" s="906"/>
      <c r="K251" s="907"/>
      <c r="L251" s="1001">
        <f>$W$3</f>
        <v>4</v>
      </c>
      <c r="M251" s="923" t="str">
        <f t="shared" ref="M251" si="4107">IFERROR(IF($AE$13="",IF($AG$19="Wind Loading",MIN($V$31,IF(E$11="ASCE 7-05",$U$26,$V$7)*$V$9*(IF($E$12&lt;60,0.0771*LN(MAX(MIN(500,O251),10)) -1.2737,IF($E$11="ASCE 7-22",0.0524*LN(MAX(MIN(500,O251),50))-1.0278,0.0614*LN(MAX(MIN(500,O251),20)) -1.0829))-$V$8)),$V$7*IF(E$12&lt;60,$V$13*($V$15*0.0771*LN(MAX(MIN(500,O251),10))-1.2737-$V$16),$V$13*$V$15*((0.0524*LN(MAX(MIN(500,O251),20))-1.0278)-$V$16))),-ABS($AE$13)),"")</f>
        <v/>
      </c>
      <c r="N251" s="1042" t="str">
        <f t="shared" ref="N251" si="4108">IFERROR(IF($AE$15="",IF($AG$19="Wind Loading",MAX($U$31,IF(E$11="ASCE 7-05",$U$26,$V$7)*$V$9*((IF($E$12&lt;60,-0.077*LN(MAX(MIN(500,O251),10))+1.1737,IF($E$11="ASCE 7-22",-0.077*LN(MAX(MIN(500,O251),20))+1.0798,-0.093*LN(MAX(MIN(500,O251),20))+1.1776)))+$V$8)),$V$7*IF(E$12&lt;60,$V$13*($V$15*(-0.077*LN(MAX(MIN(500,O251),10))+1.1737)-$V$17),$V$13*$V$15*((-0.077*LN(MAX(MIN(500,O251),20))+1.0798)-$V$17))),ABS($AE$15)),"")</f>
        <v/>
      </c>
      <c r="O251" s="1017" t="str">
        <f>IF(BX258=0,"",IF(AG$14="Trapezoidal",BY258,BX258))</f>
        <v/>
      </c>
      <c r="P251" s="986"/>
      <c r="Q251" s="1014"/>
      <c r="R251" s="1011">
        <f>P251*Q251/8</f>
        <v>0</v>
      </c>
      <c r="S251" s="1004">
        <f t="shared" ref="S251" si="4109">IF(5*(P251*Q251^3/(384*0.125))=0,0,5*(P251*Q251^3/(384*0.125)))</f>
        <v>0</v>
      </c>
      <c r="T251" s="1005"/>
      <c r="U251" s="877" t="e">
        <f ca="1">VLOOKUP(J255,INDIRECT(VLOOKUP(J251,FrameStrength,2,FALSE)),3,FALSE)</f>
        <v>#N/A</v>
      </c>
      <c r="V251" s="880">
        <f t="shared" ref="V251" si="4110">(H251+I251)/2</f>
        <v>0</v>
      </c>
      <c r="W251" s="883" t="e">
        <f t="shared" ref="W251" si="4111">MAX(-M251,N251)*O251</f>
        <v>#VALUE!</v>
      </c>
      <c r="X251" s="883">
        <f t="shared" ref="X251" si="4112">IF(E251&gt;162,(E251/240+0.25),IF(AND(E251&lt;162,E251/175&lt;0.75),E251/175,0.75))</f>
        <v>0</v>
      </c>
      <c r="Y251" s="886">
        <f>IFERROR(IF(AG$14="Trapezoidal",BY259,BX259)+IF($E$17="4",(400*E251^3)/(48*X251),0),0)</f>
        <v>0</v>
      </c>
      <c r="Z251" s="886" t="e">
        <f t="shared" ref="Z251" si="4113">+($V251*MAX(-$M251,$N251)*$E251^2)/(144*8)+IF($E$17=4,(400*$E251)/4,0)</f>
        <v>#VALUE!</v>
      </c>
      <c r="AA251" s="886" t="e">
        <f ca="1">VLOOKUP(J255,INDIRECT(VLOOKUP(J251,FrameStrength,2,FALSE)),2,FALSE)</f>
        <v>#N/A</v>
      </c>
      <c r="AB251" s="1083" t="str">
        <f t="shared" ref="AB251" ca="1" si="4114">IFERROR(Z251-AA251,"")</f>
        <v/>
      </c>
      <c r="AC251" s="1077" t="str">
        <f t="shared" ref="AC251" ca="1" si="4115">IFERROR(Y251-U251,"")</f>
        <v/>
      </c>
      <c r="AD251" s="1100" t="str">
        <f>IFERROR(IF(LEFT(J255,2)="As",VLOOKUP(J255,EIMM,4,FALSE),VLOOKUP(J251,EIMM,4,FALSE)),IF(AND(ISNUMBER(SEARCH("Impervia",J251)),ISNUMBER(SEARCH("door",J255))),'New Lookup Cells'!AF$10,IF(ISNUMBER(SEARCH("Impervia",J251)),'New Lookup Cells'!AF$7,IF(AND(ISNUMBER(SEARCH("250",J251)),ISNUMBER(SEARCH("door",J255))),'New Lookup Cells'!AF$14,IF(ISNUMBER(SEARCH("250",J251)),'New Lookup Cells'!AF$13,"")))))</f>
        <v/>
      </c>
      <c r="AE251" s="1101"/>
      <c r="AF251" s="1050"/>
      <c r="AG251" s="1051"/>
      <c r="AH251" s="1051"/>
      <c r="AI251" s="1088"/>
      <c r="AJ251" s="1089"/>
      <c r="AK251" s="154" t="str">
        <f t="shared" ca="1" si="3667"/>
        <v/>
      </c>
      <c r="AL251" s="1038" t="str">
        <f t="shared" ref="AL251" si="4116">IFERROR(ROUND(SQRT(P251^2+(W251/2+IF($E$17=4,200,0))^2),0),"")</f>
        <v/>
      </c>
      <c r="AM251" s="342" t="s">
        <v>669</v>
      </c>
      <c r="AN251" t="str">
        <f t="shared" ca="1" si="3717"/>
        <v/>
      </c>
      <c r="AP251" s="122" t="str">
        <f t="shared" ref="AP251" si="4117">_xlfn.CONCAT(AR251,AS256)</f>
        <v/>
      </c>
      <c r="AQ251" s="683" t="str">
        <f t="shared" si="3881"/>
        <v/>
      </c>
      <c r="AR251" s="96" t="str">
        <f t="shared" si="3642"/>
        <v/>
      </c>
      <c r="AS251" s="96" t="str">
        <f>IF(COUNTIF(imp_1,AF251)=1,"imp_1",IF(COUNTIF(imp_2,AF251)=1,"imp_2",IF(COUNTIF(imp_3,AF251)=1,"imp_3",IF(COUNTIF(impdoor,AF251)=1,"impdoor",""))))</f>
        <v/>
      </c>
      <c r="AT251" s="684" t="str">
        <f>AL251</f>
        <v/>
      </c>
      <c r="AU251" s="685" t="e">
        <f ca="1">MATCH(AL251,INDIRECT(AP251),-1)</f>
        <v>#REF!</v>
      </c>
      <c r="AV251" s="686" t="str">
        <f ca="1">IFERROR(VLOOKUP(AU251,INDIRECT(AQ251),2,FALSE),"----")</f>
        <v>----</v>
      </c>
      <c r="AW251" s="685" t="e">
        <f ca="1">MATCH(AL251,INDIRECT(AP252),-1)</f>
        <v>#REF!</v>
      </c>
      <c r="AX251" s="686" t="str">
        <f ca="1">IFERROR(VLOOKUP(AW251,INDIRECT(AQ252),2,FALSE),"----")</f>
        <v>----</v>
      </c>
      <c r="AY251" s="685" t="e">
        <f ca="1">MATCH(AL251,INDIRECT(AP253),-1)</f>
        <v>#REF!</v>
      </c>
      <c r="AZ251" s="686" t="str">
        <f ca="1">IFERROR(VLOOKUP(AY251,INDIRECT(AQ253),2,FALSE),"----")</f>
        <v>----</v>
      </c>
      <c r="BA251" s="685" t="e">
        <f ca="1">MATCH(AL251,INDIRECT(AP254),-1)</f>
        <v>#REF!</v>
      </c>
      <c r="BB251" s="686" t="str">
        <f ca="1">IFERROR(VLOOKUP(BA251,INDIRECT(AQ254),2,FALSE),"----")</f>
        <v>----</v>
      </c>
      <c r="BC251" s="685" t="e">
        <f ca="1">MATCH(AL251,INDIRECT(AP255),-1)</f>
        <v>#REF!</v>
      </c>
      <c r="BD251" s="686" t="str">
        <f ca="1">IFERROR(VLOOKUP(BC251,INDIRECT(AQ255),2,FALSE),"----")</f>
        <v>----</v>
      </c>
      <c r="BE251" s="685" t="e">
        <f ca="1">MATCH(AL251,INDIRECT(AP256),-1)</f>
        <v>#REF!</v>
      </c>
      <c r="BF251" s="686" t="str">
        <f ca="1">IFERROR(VLOOKUP(BE251,INDIRECT(AQ256),2,FALSE),"----")</f>
        <v>----</v>
      </c>
      <c r="BG251" s="685" t="e">
        <f ca="1">MATCH(AL257,INDIRECT(AP257),-1)</f>
        <v>#REF!</v>
      </c>
      <c r="BH251" s="686" t="str">
        <f ca="1">IFERROR(VLOOKUP(BG251,INDIRECT(AQ257),2,FALSE),"----")</f>
        <v>----</v>
      </c>
      <c r="BI251" s="685" t="e">
        <f ca="1">MATCH(AL257,INDIRECT(AP258),-1)</f>
        <v>#REF!</v>
      </c>
      <c r="BJ251" s="686" t="str">
        <f ca="1">IFERROR(VLOOKUP(BI251,INDIRECT(AQ258),2,FALSE),"----")</f>
        <v>----</v>
      </c>
      <c r="BK251" s="685" t="e">
        <f ca="1">MATCH(AL257,INDIRECT(AP259),-1)</f>
        <v>#REF!</v>
      </c>
      <c r="BL251" s="686" t="str">
        <f ca="1">IFERROR(VLOOKUP(BK251,INDIRECT(AQ259),2,FALSE),"----")</f>
        <v>----</v>
      </c>
      <c r="BM251" s="685" t="e">
        <f ca="1">MATCH(AL257,INDIRECT(AP260),-1)</f>
        <v>#REF!</v>
      </c>
      <c r="BN251" s="686" t="str">
        <f ca="1">IFERROR(VLOOKUP(BM251,INDIRECT(AQ260),2,FALSE),"----")</f>
        <v>----</v>
      </c>
      <c r="BO251" s="685" t="e">
        <f ca="1">MATCH(AL257,INDIRECT(AP261),-1)</f>
        <v>#REF!</v>
      </c>
      <c r="BP251" s="686" t="str">
        <f ca="1">IFERROR(VLOOKUP(BO251,INDIRECT(AQ261),2,FALSE),"----")</f>
        <v>----</v>
      </c>
      <c r="BQ251" s="685" t="e">
        <f ca="1">MATCH(AL257,INDIRECT(AP262),-1)</f>
        <v>#REF!</v>
      </c>
      <c r="BR251" s="686" t="str">
        <f ca="1">IFERROR(VLOOKUP(BQ251,INDIRECT(AQ262),2,FALSE),"----")</f>
        <v>----</v>
      </c>
      <c r="BS251" s="687">
        <f>IF(AI251="",1,IF(COUNTIF(AV251:AV262,AI251)=0,2,1))</f>
        <v>1</v>
      </c>
      <c r="BT251" s="688">
        <f>IF(AP251="1",1,IF(AF251="",1,IF(AV251=".",2,1)))</f>
        <v>1</v>
      </c>
      <c r="BU251" s="706"/>
      <c r="BV251" s="155">
        <f ca="1">IF(COUNTIF(CE251:CE262,AF251)=0,IF(AF251&lt;&gt;"",0,1),1)</f>
        <v>1</v>
      </c>
      <c r="BW251" s="157">
        <f ca="1">IFERROR(MATCH(AF251,CE251:CE262,0),1)</f>
        <v>1</v>
      </c>
      <c r="BX251" s="769" t="str">
        <f>IFERROR(IF(LEFT(J255,2)="As",VLOOKUP(J255,EIMM,2,FALSE),IF(AND(ISNUMBER(SEARCH("Impervia",J251)),ISNUMBER(SEARCH("door",J255))),VLOOKUP("Impervia Door",EIMM,2,FALSE),IF(AND(ISNUMBER(SEARCH("250",J251)),ISNUMBER(SEARCH("door",J255))),VLOOKUP("250 Series Door",EIMM,2,FALSE),VLOOKUP(J251,EIMM,2,FALSE)))),"")</f>
        <v/>
      </c>
      <c r="BY251" s="769" t="str">
        <f ca="1">IFERROR(VLOOKUP(BX251,OFFSET(EIMM,0,1),2,FALSE),"")</f>
        <v/>
      </c>
      <c r="BZ251" s="1110" t="e">
        <f ca="1">IF((COUNTIF(INDIRECT(SUBSTITUTE(J251," ","_")),J255))=0,IF(J255="",1,0),1)</f>
        <v>#REF!</v>
      </c>
      <c r="CA251" s="691" t="e">
        <f ca="1">MATCH(AC251,INDIRECT(BX251),-1)</f>
        <v>#REF!</v>
      </c>
      <c r="CB251" s="4" t="e" cm="1">
        <f t="array" aca="1" ref="CB251" ca="1">IF(AND(INDEX(INDIRECT(BY251),CA251,4)&gt;=$AB251,INDEX(INDIRECT(BY251),CA251,5)&gt;=$S251,INDEX(INDIRECT(BY251),CA251,6)&gt;=$R251),1,0)</f>
        <v>#REF!</v>
      </c>
      <c r="CC251" s="4" t="e">
        <f t="shared" ref="CC251" ca="1" si="4118">MATCH(1,OFFSET(CB251:CB262,$W$2,0,COUNT(CB251:CB262)-$W$2),0)</f>
        <v>#REF!</v>
      </c>
      <c r="CD251" s="4" t="e">
        <f t="shared" ref="CD251" ca="1" si="4119">$W$2+CC251</f>
        <v>#REF!</v>
      </c>
      <c r="CE251" s="692" t="str" cm="1">
        <f t="array" aca="1" ref="CE251" ca="1">IFERROR(VLOOKUP(INDEX(CA251:CA262,CD251),INDIRECT(BY251),2,FALSE),"----")</f>
        <v>----</v>
      </c>
      <c r="CF251" s="691" t="e">
        <f ca="1">MATCH($AC251,SSEI,-1)</f>
        <v>#N/A</v>
      </c>
      <c r="CG251" s="4" t="e">
        <f ca="1">IF(AND(INDEX(SSM,CF251,4)&gt;=$AB251,INDEX(SSM,CF251,5)&gt;=$S251,INDEX(SSM,CF251,6)&gt;=$R251),1,0)</f>
        <v>#N/A</v>
      </c>
      <c r="CH251" s="4" t="e">
        <f t="shared" ref="CH251" ca="1" si="4120">MATCH(1,OFFSET(CG251:CG262,$W$2,0,COUNT(CG251:CG262)-$W$2),0)</f>
        <v>#REF!</v>
      </c>
      <c r="CI251" s="4" t="e">
        <f t="shared" ref="CI251" ca="1" si="4121">$W$2+CH251</f>
        <v>#REF!</v>
      </c>
      <c r="CJ251" s="692" t="str">
        <f ca="1">IFERROR(IF(AD252="Nested Steel Stud (wood infill)",VLOOKUP(INDEX(CF251:CF262,CI251),SSW,2,FALSE),VLOOKUP(INDEX(CF251:CF262,CI251),SSM,2,FALSE)),"----")</f>
        <v>----</v>
      </c>
      <c r="CK251" s="691" t="e">
        <f ca="1">MATCH($AC251,WSEI,-1)</f>
        <v>#N/A</v>
      </c>
      <c r="CL251" s="4" t="e">
        <f ca="1">IF(AND(INDEX(WSM,CK251,4)&gt;=$AB251,INDEX(WSM,CK251,5)&gt;=$S251,INDEX(WSM,CK251,6)&gt;=$R251),1,0)</f>
        <v>#N/A</v>
      </c>
      <c r="CM251" s="4" t="e">
        <f t="shared" ref="CM251" ca="1" si="4122">MATCH(1,OFFSET(CL251:CL262,$W$2,0,COUNT(CL251:CL262)-$W$2),0)</f>
        <v>#REF!</v>
      </c>
      <c r="CN251" s="4" t="e">
        <f t="shared" ref="CN251" ca="1" si="4123">$W$2+CM251</f>
        <v>#REF!</v>
      </c>
      <c r="CO251" s="692" t="str">
        <f ca="1">IFERROR(VLOOKUP(INDEX(CK251:CK262,CN251),WSM,2,FALSE),"----")</f>
        <v>----</v>
      </c>
      <c r="CP251" s="691" t="e">
        <f ca="1">MATCH($AC251,STEI,-1)</f>
        <v>#N/A</v>
      </c>
      <c r="CQ251" s="4" t="e">
        <f ca="1">IF(AND(INDEX(STM,CP251,4)&gt;=$AB251,INDEX(STM,CP251,5)&gt;=$S251,INDEX(STM,CP251,6)&gt;=$R251),1,0)</f>
        <v>#N/A</v>
      </c>
      <c r="CR251" s="4" t="e">
        <f t="shared" ref="CR251" ca="1" si="4124">MATCH(1,OFFSET(CQ251:CQ262,$W$2,0,COUNT(CQ251:CQ262)-$W$2),0)</f>
        <v>#REF!</v>
      </c>
      <c r="CS251" s="4" t="e">
        <f t="shared" ref="CS251" ca="1" si="4125">$W$2+CR251</f>
        <v>#REF!</v>
      </c>
      <c r="CT251" s="692" t="str">
        <f ca="1">IFERROR(VLOOKUP(INDEX(CP251:CP262,CS251),STM,2,FALSE),"----")</f>
        <v>----</v>
      </c>
      <c r="CU251" s="691" t="e">
        <f ca="1">MATCH($AC251,ELEI,-1)</f>
        <v>#N/A</v>
      </c>
      <c r="CV251" s="4" t="e">
        <f ca="1">IF(AND(INDEX(ELM,CU251,4)&gt;=$AB251,INDEX(ELM,CU251,5)&gt;=$S251,INDEX(ELM,CU251,6)&gt;=$R251),1,0)</f>
        <v>#N/A</v>
      </c>
      <c r="CW251" s="4" t="e">
        <f t="shared" ref="CW251" ca="1" si="4126">MATCH(1,OFFSET(CV251:CV262,$W$2,0,COUNT(CV251:CV262)-$W$2),0)</f>
        <v>#REF!</v>
      </c>
      <c r="CX251" s="4" t="e">
        <f t="shared" ref="CX251" ca="1" si="4127">$W$2+CW251</f>
        <v>#REF!</v>
      </c>
      <c r="CY251" s="692" t="str">
        <f ca="1">IFERROR(VLOOKUP(INDEX(CU251:CU262,CX251),ELM,2,FALSE),"----")</f>
        <v>----</v>
      </c>
      <c r="CZ251" s="691" t="e">
        <f ca="1">IF(LEFT($J251,7)="Clad Wo",MATCH($AC251,SPEIW,-1),MATCH($AC251,SPEI,-1))</f>
        <v>#N/A</v>
      </c>
      <c r="DA251" s="4" t="e">
        <f ca="1">IF(LEFT($J251,7)="Clad Wo",IF(AND(INDEX(SPPWS,CZ251,4)&gt;=$AB251,INDEX(SPPWS,CZ251,5)&gt;=$S251,INDEX(SPPWS,CZ251,6)&gt;=$R251),1,0),IF(AND(INDEX(SPM,CZ251,4)&gt;=$AB251,INDEX(SPM,CZ251,5)&gt;=$S251,INDEX(SPM,CZ251,6)&gt;=$R251),1,0))</f>
        <v>#N/A</v>
      </c>
      <c r="DB251" s="4" t="e">
        <f t="shared" ref="DB251" ca="1" si="4128">MATCH(1,OFFSET(DA251:DA262,$W$2,0,COUNT(DA251:DA262)-$W$2),0)</f>
        <v>#REF!</v>
      </c>
      <c r="DC251" s="4" t="e">
        <f t="shared" ref="DC251" ca="1" si="4129">$W$2+DB251</f>
        <v>#REF!</v>
      </c>
      <c r="DD251" s="693" t="str">
        <f ca="1">IF(LEFT($J251,7)="Clad Wo",IFERROR(VLOOKUP(INDEX(CZ251:CZ262,DC251),SPPWS,2,FALSE),"----"),IFERROR(VLOOKUP(INDEX(CZ251:CZ262,DC251),SPM,2,FALSE),"----"))</f>
        <v>----</v>
      </c>
      <c r="DE251" s="691" t="e">
        <f ca="1">MATCH(AC257,INDIRECT(BX251),-1)</f>
        <v>#REF!</v>
      </c>
      <c r="DF251" s="4" t="e" cm="1">
        <f t="array" aca="1" ref="DF251" ca="1">IF(AND(INDEX(INDIRECT(BY251),DE251,4)&gt;=$AB257,INDEX(INDIRECT(BY251),DE251,5)&gt;=$S251,INDEX(INDIRECT(BY251),DE251,6)&gt;=$R251),1,0)</f>
        <v>#REF!</v>
      </c>
      <c r="DG251" s="4" t="e">
        <f t="shared" ref="DG251" ca="1" si="4130">MATCH(1,OFFSET(DF251:DF262,$W$2,0,COUNT(DF251:DF262)-$W$2),0)</f>
        <v>#REF!</v>
      </c>
      <c r="DH251" s="4" t="e">
        <f t="shared" ref="DH251" ca="1" si="4131">$W$2+DG251</f>
        <v>#REF!</v>
      </c>
      <c r="DI251" s="692" t="str" cm="1">
        <f t="array" aca="1" ref="DI251" ca="1">IFERROR(VLOOKUP(INDEX(DE251:DE262,DH251),INDIRECT(BY251),2,FALSE),"----")</f>
        <v>----</v>
      </c>
      <c r="DJ251" s="691" t="e">
        <f ca="1">MATCH($AC257,SSEI,-1)</f>
        <v>#N/A</v>
      </c>
      <c r="DK251" s="4" t="e">
        <f ca="1">IF(AND(INDEX(SSM,DJ251,4)&gt;=$AB257,INDEX(SSM,DJ251,5)&gt;=$S251,INDEX(SSM,DJ251,6)&gt;=$R251),1,0)</f>
        <v>#N/A</v>
      </c>
      <c r="DL251" s="4" t="e">
        <f t="shared" ref="DL251" ca="1" si="4132">MATCH(1,OFFSET(DK251:DK262,$W$2,0,COUNT(DK251:DK262)-$W$2),0)</f>
        <v>#REF!</v>
      </c>
      <c r="DM251" s="4" t="e">
        <f t="shared" ref="DM251" ca="1" si="4133">$W$2+DL251</f>
        <v>#REF!</v>
      </c>
      <c r="DN251" s="692" t="str">
        <f ca="1">IFERROR(IF(AD258="Nested Steel Stud (wood infill)",VLOOKUP(INDEX(DJ251:DJ262,DM251),SSW,2,FALSE),VLOOKUP(INDEX(DJ251:DJ262,DM251),SSM,2,FALSE)),"----")</f>
        <v>----</v>
      </c>
      <c r="DO251" s="691" t="e">
        <f ca="1">MATCH($AC257,WSEI,-1)</f>
        <v>#N/A</v>
      </c>
      <c r="DP251" s="4" t="e">
        <f ca="1">IF(AND(INDEX(WSM,DO251,4)&gt;=$AB257,INDEX(WSM,DO251,5)&gt;=$S251,INDEX(WSM,DO251,6)&gt;=$R251),1,0)</f>
        <v>#N/A</v>
      </c>
      <c r="DQ251" s="4" t="e">
        <f t="shared" ref="DQ251" ca="1" si="4134">MATCH(1,OFFSET(DP251:DP262,$W$2,0,COUNT(DP251:DP262)-$W$2),0)</f>
        <v>#REF!</v>
      </c>
      <c r="DR251" s="4" t="e">
        <f t="shared" ref="DR251" ca="1" si="4135">$W$2+DQ251</f>
        <v>#REF!</v>
      </c>
      <c r="DS251" s="692" t="str">
        <f ca="1">IFERROR(VLOOKUP(INDEX(DO251:DO262,DR251),WSM,2,FALSE),"----")</f>
        <v>----</v>
      </c>
      <c r="DT251" s="691" t="e">
        <f ca="1">MATCH($AC257,STEI,-1)</f>
        <v>#N/A</v>
      </c>
      <c r="DU251" s="4" t="e">
        <f ca="1">IF(AND(INDEX(STM,DT251,4)&gt;=$AB257,INDEX(STM,DT251,5)&gt;=$S251,INDEX(STM,DT251,6)&gt;=$R251),1,0)</f>
        <v>#N/A</v>
      </c>
      <c r="DV251" s="4" t="e">
        <f t="shared" ref="DV251" ca="1" si="4136">MATCH(1,OFFSET(DU251:DU262,$W$2,0,COUNT(DU251:DU262)-$W$2),0)</f>
        <v>#REF!</v>
      </c>
      <c r="DW251" s="4" t="e">
        <f t="shared" ref="DW251" ca="1" si="4137">$W$2+DV251</f>
        <v>#REF!</v>
      </c>
      <c r="DX251" s="692" t="str">
        <f ca="1">IFERROR(VLOOKUP(INDEX(DT251:DT262,DW251),STM,2,FALSE),"----")</f>
        <v>----</v>
      </c>
      <c r="DY251" s="691" t="e">
        <f ca="1">MATCH($AC257,ELEI,-1)</f>
        <v>#N/A</v>
      </c>
      <c r="DZ251" s="4" t="e">
        <f ca="1">IF(AND(INDEX(ELM,DY251,4)&gt;=$AB257,INDEX(ELM,DY251,5)&gt;=$S251,INDEX(ELM,DY251,6)&gt;=$R251),1,0)</f>
        <v>#N/A</v>
      </c>
      <c r="EA251" s="4" t="e">
        <f t="shared" ref="EA251" ca="1" si="4138">MATCH(1,OFFSET(DZ251:DZ262,$W$2,0,COUNT(DZ251:DZ262)-$W$2),0)</f>
        <v>#REF!</v>
      </c>
      <c r="EB251" s="4" t="e">
        <f t="shared" ref="EB251" ca="1" si="4139">EA251+$W$2</f>
        <v>#REF!</v>
      </c>
      <c r="EC251" s="692" t="str">
        <f ca="1">IFERROR(VLOOKUP(INDEX(DY251:DY262,EB251),ELM,2,FALSE),"----")</f>
        <v>----</v>
      </c>
      <c r="ED251" s="691" t="e">
        <f ca="1">IF(LEFT($J251,7)="Clad Wo",MATCH($AC257,SPEIW,-1),MATCH($AC257,SPEI,-1))</f>
        <v>#N/A</v>
      </c>
      <c r="EE251" s="4" t="e">
        <f ca="1">IF(LEFT($J251,7)="Clad Wo",IF(AND(INDEX(SPPWS,ED251,4)&gt;=$AB257,INDEX(SPPWS,ED251,5)&gt;=$S251,INDEX(SPPWS,ED251,6)&gt;=$R251),1,0),IF(AND(INDEX(SPM,ED251,4)&gt;=$AB257,INDEX(SPM,ED251,5)&gt;=$S251,INDEX(SPM,ED251,6)&gt;=$R251),1,0))</f>
        <v>#N/A</v>
      </c>
      <c r="EF251" s="4" t="e">
        <f t="shared" ref="EF251" ca="1" si="4140">MATCH(1,OFFSET(EE251:EE262,$W$2,0,COUNT(EE251:EE262)-$W$2),0)</f>
        <v>#REF!</v>
      </c>
      <c r="EG251" s="4" t="e">
        <f t="shared" ref="EG251" ca="1" si="4141">$W$2+EF251</f>
        <v>#REF!</v>
      </c>
      <c r="EH251" s="692" t="str">
        <f ca="1">IF(LEFT($J251,7)="Clad Wo",IFERROR(VLOOKUP(INDEX(ED251:ED262,EG251),SPPWS,2,FALSE),"----"),IFERROR(VLOOKUP(INDEX(ED251:ED262,EG251),SPM,2,FALSE),"----"))</f>
        <v>----</v>
      </c>
    </row>
    <row r="252" spans="1:138" ht="15" customHeight="1" x14ac:dyDescent="0.25">
      <c r="A252" s="1085"/>
      <c r="B252" s="925"/>
      <c r="C252" s="926"/>
      <c r="D252" s="927"/>
      <c r="E252" s="995"/>
      <c r="F252" s="996"/>
      <c r="G252" s="997"/>
      <c r="H252" s="1062"/>
      <c r="I252" s="990"/>
      <c r="J252" s="908"/>
      <c r="K252" s="909"/>
      <c r="L252" s="1002"/>
      <c r="M252" s="923"/>
      <c r="N252" s="1042"/>
      <c r="O252" s="1018"/>
      <c r="P252" s="987"/>
      <c r="Q252" s="1015"/>
      <c r="R252" s="1012"/>
      <c r="S252" s="1006"/>
      <c r="T252" s="1007"/>
      <c r="U252" s="878"/>
      <c r="V252" s="881"/>
      <c r="W252" s="884"/>
      <c r="X252" s="884"/>
      <c r="Y252" s="887"/>
      <c r="Z252" s="887"/>
      <c r="AA252" s="887"/>
      <c r="AB252" s="1081"/>
      <c r="AC252" s="1078"/>
      <c r="AD252" s="1102" t="s">
        <v>38</v>
      </c>
      <c r="AE252" s="1103"/>
      <c r="AF252" s="1052"/>
      <c r="AG252" s="1053"/>
      <c r="AH252" s="1053"/>
      <c r="AI252" s="1066"/>
      <c r="AJ252" s="1067"/>
      <c r="AK252" s="156" t="str">
        <f t="shared" ca="1" si="3667"/>
        <v/>
      </c>
      <c r="AL252" s="1039"/>
      <c r="AM252" s="343" t="str">
        <f ca="1">IFERROR(Q251/12*ROUND(VLOOKUP(AF252,OFFSET(SSM,0,1),6,FALSE),2),"")</f>
        <v/>
      </c>
      <c r="AN252" t="str">
        <f t="shared" ca="1" si="3717"/>
        <v/>
      </c>
      <c r="AP252" s="122" t="str">
        <f t="shared" ref="AP252" si="4142">_xlfn.CONCAT(AR252,AS256)</f>
        <v/>
      </c>
      <c r="AQ252" s="683" t="str">
        <f t="shared" si="3881"/>
        <v/>
      </c>
      <c r="AR252" s="96" t="str">
        <f t="shared" si="3642"/>
        <v/>
      </c>
      <c r="AS252" s="96" t="str">
        <f>IF(COUNTIF(Vista_1,AF251)=1,"Vista_1",IF(COUNTIF(Vista_2,AF251)=1,"Vista_2",""))</f>
        <v/>
      </c>
      <c r="AT252" s="684" t="str">
        <f>AL251</f>
        <v/>
      </c>
      <c r="AU252" s="694" t="e">
        <f t="shared" ref="AU252" ca="1" si="4143">AU251-1</f>
        <v>#REF!</v>
      </c>
      <c r="AV252" s="686" t="str">
        <f ca="1">IFERROR(VLOOKUP(AU252,INDIRECT(AQ251),2,FALSE),"----")</f>
        <v>----</v>
      </c>
      <c r="AW252" s="694" t="e">
        <f t="shared" ref="AW252:AW253" ca="1" si="4144">AW251-1</f>
        <v>#REF!</v>
      </c>
      <c r="AX252" s="686" t="str">
        <f ca="1">IFERROR(VLOOKUP(AW252,INDIRECT(AQ252),2,FALSE),"----")</f>
        <v>----</v>
      </c>
      <c r="AY252" s="694" t="e">
        <f t="shared" ref="AY252:AY253" ca="1" si="4145">AY251-1</f>
        <v>#REF!</v>
      </c>
      <c r="AZ252" s="686" t="str">
        <f ca="1">IFERROR(VLOOKUP(AY252,INDIRECT(AQ253),2,FALSE),"----")</f>
        <v>----</v>
      </c>
      <c r="BA252" s="694" t="e">
        <f t="shared" ref="BA252:BA253" ca="1" si="4146">BA251-1</f>
        <v>#REF!</v>
      </c>
      <c r="BB252" s="686" t="str">
        <f ca="1">IFERROR(VLOOKUP(BA252,INDIRECT(AQ254),2,FALSE),"----")</f>
        <v>----</v>
      </c>
      <c r="BC252" s="694" t="e">
        <f t="shared" ref="BC252:BC253" ca="1" si="4147">BC251-1</f>
        <v>#REF!</v>
      </c>
      <c r="BD252" s="686" t="str">
        <f ca="1">IFERROR(VLOOKUP(BC252,INDIRECT(AQ255),2,FALSE),"----")</f>
        <v>----</v>
      </c>
      <c r="BE252" s="694" t="e">
        <f t="shared" ref="BE252" ca="1" si="4148">BE251-1</f>
        <v>#REF!</v>
      </c>
      <c r="BF252" s="686" t="str">
        <f ca="1">IFERROR(VLOOKUP(BE252,INDIRECT(AQ256),2,FALSE),"----")</f>
        <v>----</v>
      </c>
      <c r="BG252" s="694" t="e">
        <f t="shared" ref="BG252" ca="1" si="4149">BG251-1</f>
        <v>#REF!</v>
      </c>
      <c r="BH252" s="686" t="str">
        <f ca="1">IFERROR(VLOOKUP(BG252,INDIRECT(AQ257),2,FALSE),"----")</f>
        <v>----</v>
      </c>
      <c r="BI252" s="694" t="e">
        <f t="shared" ref="BI252:BI253" ca="1" si="4150">BI251-1</f>
        <v>#REF!</v>
      </c>
      <c r="BJ252" s="686" t="str">
        <f ca="1">IFERROR(VLOOKUP(BI252,INDIRECT(AQ258),2,FALSE),"----")</f>
        <v>----</v>
      </c>
      <c r="BK252" s="694" t="e">
        <f t="shared" ref="BK252:BK253" ca="1" si="4151">BK251-1</f>
        <v>#REF!</v>
      </c>
      <c r="BL252" s="686" t="str">
        <f ca="1">IFERROR(VLOOKUP(BK252,INDIRECT(AQ259),2,FALSE),"----")</f>
        <v>----</v>
      </c>
      <c r="BM252" s="694" t="e">
        <f t="shared" ref="BM252:BM253" ca="1" si="4152">BM251-1</f>
        <v>#REF!</v>
      </c>
      <c r="BN252" s="686" t="str">
        <f ca="1">IFERROR(VLOOKUP(BM252,INDIRECT(AQ260),2,FALSE),"----")</f>
        <v>----</v>
      </c>
      <c r="BO252" s="694" t="e">
        <f t="shared" ref="BO252:BO253" ca="1" si="4153">BO251-1</f>
        <v>#REF!</v>
      </c>
      <c r="BP252" s="686" t="str">
        <f ca="1">IFERROR(VLOOKUP(BO252,INDIRECT(AQ261),2,FALSE),"----")</f>
        <v>----</v>
      </c>
      <c r="BQ252" s="694" t="e">
        <f t="shared" ref="BQ252" ca="1" si="4154">BQ251-1</f>
        <v>#REF!</v>
      </c>
      <c r="BR252" s="686" t="str">
        <f ca="1">IFERROR(VLOOKUP(BQ252,INDIRECT(AQ262),2,FALSE),"----")</f>
        <v>----</v>
      </c>
      <c r="BS252" s="695">
        <f>IF(AI252="",1,IF(COUNTIF(AX251:AX262,AI252)=0,2,1))</f>
        <v>1</v>
      </c>
      <c r="BT252" s="696">
        <f>IF(AF252="",1,IF(AX251=".",2,1))</f>
        <v>1</v>
      </c>
      <c r="BU252" s="706"/>
      <c r="BV252" s="155">
        <f ca="1">IF(COUNTIF(CJ251:CJ262,AF252)=0,IF(AF252&lt;&gt;"",0,1),1)</f>
        <v>1</v>
      </c>
      <c r="BW252" s="157">
        <f ca="1">IFERROR(MATCH(AF252,CJ251:CJ262,0),1)</f>
        <v>1</v>
      </c>
      <c r="BX252" s="769"/>
      <c r="BY252" s="769"/>
      <c r="BZ252" s="1110"/>
      <c r="CA252" s="691" t="e">
        <f t="shared" ref="CA252:CA262" ca="1" si="4155">CA251-1</f>
        <v>#REF!</v>
      </c>
      <c r="CB252" s="4" t="e" cm="1">
        <f t="array" aca="1" ref="CB252" ca="1">IF(AND(INDEX(INDIRECT(BY251),CA252,4)&gt;=$AB251,INDEX(INDIRECT(BY251),CA252,5)&gt;=$S251,INDEX(INDIRECT(BY251),CA252,6)&gt;=$R251),1,0)</f>
        <v>#REF!</v>
      </c>
      <c r="CC252" s="4" t="e">
        <f t="shared" ref="CC252" ca="1" si="4156">MATCH(1,OFFSET(CB251:CB262,CD251,0,COUNT(CB251:CB262)-CD251),0)</f>
        <v>#REF!</v>
      </c>
      <c r="CD252" s="4" t="e">
        <f t="shared" ref="CD252:CD262" ca="1" si="4157">CD251+CC252</f>
        <v>#REF!</v>
      </c>
      <c r="CE252" s="692" t="str" cm="1">
        <f t="array" aca="1" ref="CE252" ca="1">IFERROR(VLOOKUP(INDEX(CA251:CA262,CD252),INDIRECT(BY251),2,FALSE),"----")</f>
        <v>----</v>
      </c>
      <c r="CF252" s="691" t="e">
        <f t="shared" ref="CF252:CF262" ca="1" si="4158">CF251-1</f>
        <v>#N/A</v>
      </c>
      <c r="CG252" s="4" t="e">
        <f ca="1">IF(AND(INDEX(SSM,CF252,4)&gt;=$AB251,INDEX(SSM,CF252,5)&gt;=$S251,INDEX(SSM,CF252,6)&gt;=$R251),1,0)</f>
        <v>#N/A</v>
      </c>
      <c r="CH252" s="4" t="e">
        <f t="shared" ref="CH252" ca="1" si="4159">MATCH(1,OFFSET(CG251:CG262,CI251,0,COUNT(CG251:CG262)-CI251),0)</f>
        <v>#REF!</v>
      </c>
      <c r="CI252" s="4" t="e">
        <f t="shared" ref="CI252:CI262" ca="1" si="4160">CI251+CH252</f>
        <v>#REF!</v>
      </c>
      <c r="CJ252" s="692" t="str">
        <f ca="1">IFERROR(IF(AD252="Nested Steel Stud (wood infill)",VLOOKUP(INDEX(CF251:CF262,CI252),SSW,2,FALSE),VLOOKUP(INDEX(CF251:CF262,CI252),SSM,2,FALSE)),"----")</f>
        <v>----</v>
      </c>
      <c r="CK252" s="691" t="e">
        <f t="shared" ref="CK252:CK262" ca="1" si="4161">CK251-1</f>
        <v>#N/A</v>
      </c>
      <c r="CL252" s="4" t="e">
        <f ca="1">IF(AND(INDEX(WSM,CK252,4)&gt;=$AB251,INDEX(WSM,CK252,5)&gt;=$S251,INDEX(WSM,CK252,6)&gt;=$R251),1,0)</f>
        <v>#N/A</v>
      </c>
      <c r="CM252" s="4" t="e">
        <f t="shared" ref="CM252" ca="1" si="4162">MATCH(1,OFFSET(CL251:CL262,CN251,0,COUNT(CL251:CL262)-CN251),0)</f>
        <v>#REF!</v>
      </c>
      <c r="CN252" s="4" t="e">
        <f t="shared" ref="CN252:CN262" ca="1" si="4163">CM252+CN251</f>
        <v>#REF!</v>
      </c>
      <c r="CO252" s="692" t="str">
        <f ca="1">IFERROR(VLOOKUP(INDEX(CK251:CK262,CN252),WSM,2,FALSE),"----")</f>
        <v>----</v>
      </c>
      <c r="CP252" s="691" t="e">
        <f t="shared" ref="CP252:CP262" ca="1" si="4164">CP251-1</f>
        <v>#N/A</v>
      </c>
      <c r="CQ252" s="4" t="e">
        <f ca="1">IF(AND(INDEX(STM,CP252,4)&gt;=$AB251,INDEX(STM,CP252,5)&gt;=$S251,INDEX(STM,CP252,6)&gt;=$R251),1,0)</f>
        <v>#N/A</v>
      </c>
      <c r="CR252" s="4" t="e">
        <f t="shared" ref="CR252" ca="1" si="4165">MATCH(1,OFFSET(CQ251:CQ262,CS251,0,COUNT(CQ251:CQ262)-CS251),0)</f>
        <v>#REF!</v>
      </c>
      <c r="CS252" s="4" t="e">
        <f t="shared" ref="CS252:CS262" ca="1" si="4166">CR252+CS251</f>
        <v>#REF!</v>
      </c>
      <c r="CT252" s="692" t="str">
        <f ca="1">IFERROR(VLOOKUP(INDEX(CP251:CP262,CS252),STM,2,FALSE),"----")</f>
        <v>----</v>
      </c>
      <c r="CU252" s="691" t="e">
        <f t="shared" ref="CU252:CU262" ca="1" si="4167">CU251-1</f>
        <v>#N/A</v>
      </c>
      <c r="CV252" s="4" t="e">
        <f ca="1">IF(AND(INDEX(ELM,CU252,4)&gt;=$AB251,INDEX(ELM,CU252,5)&gt;=$S251,INDEX(ELM,CU252,6)&gt;=$R251),1,0)</f>
        <v>#N/A</v>
      </c>
      <c r="CW252" s="4" t="e">
        <f t="shared" ref="CW252" ca="1" si="4168">MATCH(1,OFFSET(CV251:CV262,CX251,0,COUNT(CV251:CV262)-CX251),0)</f>
        <v>#REF!</v>
      </c>
      <c r="CX252" s="4" t="e">
        <f t="shared" ref="CX252:CX262" ca="1" si="4169">CW252+CX251</f>
        <v>#REF!</v>
      </c>
      <c r="CY252" s="692" t="str">
        <f ca="1">IFERROR(VLOOKUP(INDEX(CU251:CU262,CX252),ELM,2,FALSE),"----")</f>
        <v>----</v>
      </c>
      <c r="CZ252" s="691" t="e">
        <f t="shared" ref="CZ252:CZ262" ca="1" si="4170">CZ251-1</f>
        <v>#N/A</v>
      </c>
      <c r="DA252" s="4" t="e">
        <f ca="1">IF(LEFT($J251,7)="Clad Wo",IF(AND(INDEX(SPPWS,CZ252,4)&gt;=$AB251,INDEX(SPPWS,CZ252,5)&gt;=$S251,INDEX(SPPWS,CZ252,6)&gt;=$R251),1,0),IF(AND(INDEX(SPM,CZ252,4)&gt;=$AB251,INDEX(SPM,CZ252,5)&gt;=$S251,INDEX(SPM,CZ252,6)&gt;=$R251),1,0))</f>
        <v>#N/A</v>
      </c>
      <c r="DB252" s="4" t="e">
        <f t="shared" ref="DB252" ca="1" si="4171">MATCH(1,OFFSET(DA251:DA262,DC251,0,COUNT(DA251:DA262)-DC251),0)</f>
        <v>#REF!</v>
      </c>
      <c r="DC252" s="4" t="e">
        <f t="shared" ref="DC252:DC262" ca="1" si="4172">DC251+DB252</f>
        <v>#REF!</v>
      </c>
      <c r="DD252" s="693" t="str">
        <f ca="1">IF(LEFT($J251,7)="Clad Wo",IFERROR(VLOOKUP(INDEX(CZ251:CZ262,DC252),SPPWS,2,FALSE),"----"),IFERROR(VLOOKUP(INDEX(CZ251:CZ262,DC252),SPM,2,FALSE),"----"))</f>
        <v>----</v>
      </c>
      <c r="DE252" s="691" t="e">
        <f t="shared" ref="DE252:DE262" ca="1" si="4173">DE251-1</f>
        <v>#REF!</v>
      </c>
      <c r="DF252" s="4" t="e" cm="1">
        <f t="array" aca="1" ref="DF252" ca="1">IF(AND(INDEX(INDIRECT(BY251),DE252,4)&gt;=$AB257,INDEX(INDIRECT(BY251),DE252,5)&gt;=$S251,INDEX(INDIRECT(BY251),DE252,6)&gt;=$R251),1,0)</f>
        <v>#REF!</v>
      </c>
      <c r="DG252" s="4" t="e">
        <f t="shared" ref="DG252" ca="1" si="4174">MATCH(1,OFFSET(DF251:DF262,DH251,0,COUNT(DF251:DF262)-DH251),0)</f>
        <v>#REF!</v>
      </c>
      <c r="DH252" s="4" t="e">
        <f t="shared" ref="DH252:DH262" ca="1" si="4175">DH251+DG252</f>
        <v>#REF!</v>
      </c>
      <c r="DI252" s="692" t="str" cm="1">
        <f t="array" aca="1" ref="DI252" ca="1">IFERROR(VLOOKUP(INDEX(DE251:DE262,DH252),INDIRECT(BY251),2,FALSE),"----")</f>
        <v>----</v>
      </c>
      <c r="DJ252" s="691" t="e">
        <f t="shared" ref="DJ252:DJ262" ca="1" si="4176">DJ251-1</f>
        <v>#N/A</v>
      </c>
      <c r="DK252" s="4" t="e">
        <f ca="1">IF(AND(INDEX(SSM,DJ252,4)&gt;=$AB257,INDEX(SSM,DJ252,5)&gt;=$S251,INDEX(SSM,DJ252,6)&gt;=$R251),1,0)</f>
        <v>#N/A</v>
      </c>
      <c r="DL252" s="4" t="e">
        <f t="shared" ref="DL252" ca="1" si="4177">MATCH(1,OFFSET(DK251:DK262,DM251,0,COUNT(DK251:DK262)-DM251),0)</f>
        <v>#REF!</v>
      </c>
      <c r="DM252" s="4" t="e">
        <f t="shared" ref="DM252:DM262" ca="1" si="4178">DL252+DM251</f>
        <v>#REF!</v>
      </c>
      <c r="DN252" s="692" t="str">
        <f ca="1">IFERROR(IF(AD258="Nested Steel Stud (wood infill)",VLOOKUP(INDEX(DJ251:DJ262,DM252),SSW,2,FALSE),VLOOKUP(INDEX(DJ251:DJ262,DM252),SSM,2,FALSE)),"----")</f>
        <v>----</v>
      </c>
      <c r="DO252" s="691" t="e">
        <f t="shared" ref="DO252:DO262" ca="1" si="4179">DO251-1</f>
        <v>#N/A</v>
      </c>
      <c r="DP252" s="4" t="e">
        <f ca="1">IF(AND(INDEX(WSM,DO252,4)&gt;=$AB257,INDEX(WSM,DO252,5)&gt;=$S251,INDEX(WSM,DO252,6)&gt;=$R251),1,0)</f>
        <v>#N/A</v>
      </c>
      <c r="DQ252" s="4" t="e">
        <f t="shared" ref="DQ252" ca="1" si="4180">MATCH(1,OFFSET(DP251:DP262,DR251,0,COUNT(DP251:DP262)-DR251),0)</f>
        <v>#REF!</v>
      </c>
      <c r="DR252" s="4" t="e">
        <f t="shared" ref="DR252:DR262" ca="1" si="4181">DQ252+DR251</f>
        <v>#REF!</v>
      </c>
      <c r="DS252" s="692" t="str">
        <f ca="1">IFERROR(VLOOKUP(INDEX(DO251:DO262,DR252),WSM,2,FALSE),"----")</f>
        <v>----</v>
      </c>
      <c r="DT252" s="691" t="e">
        <f t="shared" ref="DT252:DT262" ca="1" si="4182">DT251-1</f>
        <v>#N/A</v>
      </c>
      <c r="DU252" s="4" t="e">
        <f ca="1">IF(AND(INDEX(STM,DT252,4)&gt;=$AB257,INDEX(STM,DT252,5)&gt;=$S251,INDEX(STM,DT252,6)&gt;=$R251),1,0)</f>
        <v>#N/A</v>
      </c>
      <c r="DV252" s="4" t="e">
        <f t="shared" ref="DV252" ca="1" si="4183">MATCH(1,OFFSET(DU251:DU262,DW251,0,COUNT(DU251:DU262)-DW251),0)</f>
        <v>#REF!</v>
      </c>
      <c r="DW252" s="4" t="e">
        <f t="shared" ref="DW252:DW262" ca="1" si="4184">DV252+DW251</f>
        <v>#REF!</v>
      </c>
      <c r="DX252" s="692" t="str">
        <f ca="1">IFERROR(VLOOKUP(INDEX(DT251:DT262,DW252),STM,2,FALSE),"----")</f>
        <v>----</v>
      </c>
      <c r="DY252" s="691" t="e">
        <f t="shared" ref="DY252:DY262" ca="1" si="4185">DY251-1</f>
        <v>#N/A</v>
      </c>
      <c r="DZ252" s="4" t="e">
        <f ca="1">IF(AND(INDEX(ELM,DY252,4)&gt;=$AB257,INDEX(ELM,DY252,5)&gt;=$S251,INDEX(ELM,DY252,6)&gt;=$R251),1,0)</f>
        <v>#N/A</v>
      </c>
      <c r="EA252" s="4" t="e">
        <f t="shared" ref="EA252" ca="1" si="4186">MATCH(1,OFFSET(DZ251:DZ262,EB251,0,COUNT(DZ251:DZ262)-EB251),0)</f>
        <v>#REF!</v>
      </c>
      <c r="EB252" s="4" t="e">
        <f t="shared" ref="EB252:EB262" ca="1" si="4187">EA252+EB251</f>
        <v>#REF!</v>
      </c>
      <c r="EC252" s="692" t="str">
        <f ca="1">IFERROR(VLOOKUP(INDEX(DY251:DY262,EB252),ELM,2,FALSE),"----")</f>
        <v>----</v>
      </c>
      <c r="ED252" s="691" t="e">
        <f t="shared" ref="ED252:ED262" ca="1" si="4188">ED251-1</f>
        <v>#N/A</v>
      </c>
      <c r="EE252" s="4" t="e">
        <f ca="1">IF(LEFT($J251,7)="Clad Wo",IF(AND(INDEX(SPPWS,ED252,4)&gt;=$AB257,INDEX(SPPWS,ED252,5)&gt;=$S251,INDEX(SPPWS,ED252,6)&gt;=$R251),1,0),IF(AND(INDEX(SPM,ED252,4)&gt;=$AB257,INDEX(SPM,ED252,5)&gt;=$S251,INDEX(SPM,ED252,6)&gt;=$R251),1,0))</f>
        <v>#N/A</v>
      </c>
      <c r="EF252" s="4" t="e">
        <f t="shared" ref="EF252" ca="1" si="4189">MATCH(1,OFFSET(EE251:EE262,EG251,0,COUNT(EE251:EE262)-EG251),0)</f>
        <v>#REF!</v>
      </c>
      <c r="EG252" s="4" t="e">
        <f t="shared" ref="EG252:EG262" ca="1" si="4190">EG251+EF252</f>
        <v>#REF!</v>
      </c>
      <c r="EH252" s="692" t="str">
        <f ca="1">IF(LEFT($J251,7)="Clad Wo",IFERROR(VLOOKUP(INDEX(ED251:ED262,EG252),SPPWS,2,FALSE),"----"),IFERROR(VLOOKUP(INDEX(ED251:ED262,EG252),SPM,2,FALSE),"----"))</f>
        <v>----</v>
      </c>
    </row>
    <row r="253" spans="1:138" ht="15" customHeight="1" x14ac:dyDescent="0.25">
      <c r="A253" s="1085"/>
      <c r="B253" s="925"/>
      <c r="C253" s="926"/>
      <c r="D253" s="927"/>
      <c r="E253" s="995"/>
      <c r="F253" s="996"/>
      <c r="G253" s="997"/>
      <c r="H253" s="1062"/>
      <c r="I253" s="990"/>
      <c r="J253" s="908"/>
      <c r="K253" s="909"/>
      <c r="L253" s="1002"/>
      <c r="M253" s="923"/>
      <c r="N253" s="1042"/>
      <c r="O253" s="1018"/>
      <c r="P253" s="987"/>
      <c r="Q253" s="1015"/>
      <c r="R253" s="1012"/>
      <c r="S253" s="1006"/>
      <c r="T253" s="1007"/>
      <c r="U253" s="878"/>
      <c r="V253" s="881"/>
      <c r="W253" s="884"/>
      <c r="X253" s="884"/>
      <c r="Y253" s="887"/>
      <c r="Z253" s="887"/>
      <c r="AA253" s="887"/>
      <c r="AB253" s="1081"/>
      <c r="AC253" s="1078"/>
      <c r="AD253" s="1070" t="s">
        <v>333</v>
      </c>
      <c r="AE253" s="1071"/>
      <c r="AF253" s="1052"/>
      <c r="AG253" s="1053"/>
      <c r="AH253" s="1053"/>
      <c r="AI253" s="1066"/>
      <c r="AJ253" s="1067"/>
      <c r="AK253" s="154" t="str">
        <f t="shared" ca="1" si="3667"/>
        <v/>
      </c>
      <c r="AL253" s="1039"/>
      <c r="AM253" s="344" t="str">
        <f ca="1">IFERROR(Q251/12*ROUND(VLOOKUP(AF253,OFFSET(WSM,0,1),6,FALSE),2),"")</f>
        <v/>
      </c>
      <c r="AN253" t="str">
        <f t="shared" ca="1" si="3717"/>
        <v/>
      </c>
      <c r="AP253" s="122" t="str">
        <f t="shared" ref="AP253" si="4191">_xlfn.CONCAT(AR253,AS256)</f>
        <v/>
      </c>
      <c r="AQ253" s="683" t="str">
        <f t="shared" si="3881"/>
        <v/>
      </c>
      <c r="AR253" s="4" t="str">
        <f t="shared" si="3642"/>
        <v/>
      </c>
      <c r="AS253" s="4"/>
      <c r="AT253" s="697" t="str">
        <f>AL251</f>
        <v/>
      </c>
      <c r="AU253" s="694" t="e">
        <f t="shared" ca="1" si="3907"/>
        <v>#REF!</v>
      </c>
      <c r="AV253" s="686" t="str">
        <f ca="1">IFERROR(VLOOKUP(AU253,INDIRECT(AQ251),2,FALSE),"----")</f>
        <v>----</v>
      </c>
      <c r="AW253" s="694" t="e">
        <f t="shared" ca="1" si="4144"/>
        <v>#REF!</v>
      </c>
      <c r="AX253" s="686" t="str">
        <f ca="1">IFERROR(VLOOKUP(AW253,INDIRECT(AQ252),2,FALSE),"----")</f>
        <v>----</v>
      </c>
      <c r="AY253" s="694" t="e">
        <f t="shared" ca="1" si="4145"/>
        <v>#REF!</v>
      </c>
      <c r="AZ253" s="686" t="str">
        <f ca="1">IFERROR(VLOOKUP(AY253,INDIRECT(AQ253),2,FALSE),"----")</f>
        <v>----</v>
      </c>
      <c r="BA253" s="694" t="e">
        <f t="shared" ca="1" si="4146"/>
        <v>#REF!</v>
      </c>
      <c r="BB253" s="686" t="str">
        <f ca="1">IFERROR(VLOOKUP(BA253,INDIRECT(AQ254),2,FALSE),"----")</f>
        <v>----</v>
      </c>
      <c r="BC253" s="694" t="e">
        <f t="shared" ca="1" si="4147"/>
        <v>#REF!</v>
      </c>
      <c r="BD253" s="686" t="str">
        <f ca="1">IFERROR(VLOOKUP(BC253,INDIRECT(AQ255),2,FALSE),"----")</f>
        <v>----</v>
      </c>
      <c r="BE253" s="694" t="e">
        <f t="shared" ca="1" si="3912"/>
        <v>#REF!</v>
      </c>
      <c r="BF253" s="686" t="str">
        <f ca="1">IFERROR(VLOOKUP(BE253,INDIRECT(AQ256),2,FALSE),"----")</f>
        <v>----</v>
      </c>
      <c r="BG253" s="694" t="e">
        <f t="shared" ca="1" si="3913"/>
        <v>#REF!</v>
      </c>
      <c r="BH253" s="686" t="str">
        <f ca="1">IFERROR(VLOOKUP(BG253,INDIRECT(AQ257),2,FALSE),"----")</f>
        <v>----</v>
      </c>
      <c r="BI253" s="694" t="e">
        <f t="shared" ca="1" si="4150"/>
        <v>#REF!</v>
      </c>
      <c r="BJ253" s="686" t="str">
        <f ca="1">IFERROR(VLOOKUP(BI253,INDIRECT(AQ258),2,FALSE),"----")</f>
        <v>----</v>
      </c>
      <c r="BK253" s="694" t="e">
        <f t="shared" ca="1" si="4151"/>
        <v>#REF!</v>
      </c>
      <c r="BL253" s="686" t="str">
        <f ca="1">IFERROR(VLOOKUP(BK253,INDIRECT(AQ259),2,FALSE),"----")</f>
        <v>----</v>
      </c>
      <c r="BM253" s="694" t="e">
        <f t="shared" ca="1" si="4152"/>
        <v>#REF!</v>
      </c>
      <c r="BN253" s="686" t="str">
        <f ca="1">IFERROR(VLOOKUP(BM253,INDIRECT(AQ260),2,FALSE),"----")</f>
        <v>----</v>
      </c>
      <c r="BO253" s="694" t="e">
        <f t="shared" ca="1" si="4153"/>
        <v>#REF!</v>
      </c>
      <c r="BP253" s="686" t="str">
        <f ca="1">IFERROR(VLOOKUP(BO253,INDIRECT(AQ261),2,FALSE),"----")</f>
        <v>----</v>
      </c>
      <c r="BQ253" s="694" t="e">
        <f t="shared" ca="1" si="3918"/>
        <v>#REF!</v>
      </c>
      <c r="BR253" s="686" t="str">
        <f ca="1">IFERROR(VLOOKUP(BQ253,INDIRECT(AQ262),2,FALSE),"----")</f>
        <v>----</v>
      </c>
      <c r="BS253" s="695">
        <f>IF(AI253="",1,IF(COUNTIF(AZ251:AZ262,AI253)=0,2,1))</f>
        <v>1</v>
      </c>
      <c r="BT253" s="696">
        <f>IF(AF253="",1,IF(AZ251=".",2,1))</f>
        <v>1</v>
      </c>
      <c r="BU253" s="706"/>
      <c r="BV253" s="155">
        <f ca="1">IF(COUNTIF(CO251:CO262,AF253)=0,IF(AF253&lt;&gt;"",0,1),1)</f>
        <v>1</v>
      </c>
      <c r="BW253" s="157">
        <f ca="1">IFERROR(MATCH(AF253,CO251:CO262,0),1)</f>
        <v>1</v>
      </c>
      <c r="BX253" s="769"/>
      <c r="BY253" s="769"/>
      <c r="BZ253" s="1110"/>
      <c r="CA253" s="691" t="e">
        <f t="shared" ca="1" si="4155"/>
        <v>#REF!</v>
      </c>
      <c r="CB253" s="4" t="e" cm="1">
        <f t="array" aca="1" ref="CB253" ca="1">IF(AND(INDEX(INDIRECT(BY251),CA253,4)&gt;=$AB251,INDEX(INDIRECT(BY251),CA253,5)&gt;=$S251,INDEX(INDIRECT(BY251),CA253,6)&gt;=$R251),1,0)</f>
        <v>#REF!</v>
      </c>
      <c r="CC253" s="4" t="e">
        <f t="shared" ref="CC253" ca="1" si="4192">MATCH(1,OFFSET(CB251:CB262,CD252,0,COUNT(CB251:CB262)-CD252),0)</f>
        <v>#REF!</v>
      </c>
      <c r="CD253" s="4" t="e">
        <f t="shared" ca="1" si="4157"/>
        <v>#REF!</v>
      </c>
      <c r="CE253" s="692" t="str" cm="1">
        <f t="array" aca="1" ref="CE253" ca="1">IFERROR(VLOOKUP(INDEX(CA251:CA262,CD253),INDIRECT(BY251),2,FALSE),"----")</f>
        <v>----</v>
      </c>
      <c r="CF253" s="691" t="e">
        <f t="shared" ca="1" si="4158"/>
        <v>#N/A</v>
      </c>
      <c r="CG253" s="4" t="e">
        <f ca="1">IF(AND(INDEX(SSM,CF253,4)&gt;=$AB251,INDEX(SSM,CF253,5)&gt;=$S251,INDEX(SSM,CF253,6)&gt;=$R251),1,0)</f>
        <v>#N/A</v>
      </c>
      <c r="CH253" s="4" t="e">
        <f t="shared" ref="CH253" ca="1" si="4193">MATCH(1,OFFSET(CG251:CG262,CI252,0,COUNT(CG251:CG262)-CI252),0)</f>
        <v>#REF!</v>
      </c>
      <c r="CI253" s="4" t="e">
        <f t="shared" ca="1" si="4160"/>
        <v>#REF!</v>
      </c>
      <c r="CJ253" s="692" t="str">
        <f ca="1">IFERROR(IF(AD252="Nested Steel Stud (wood infill)",VLOOKUP(INDEX(CF251:CF262,CI253),SSW,2,FALSE),VLOOKUP(INDEX(CF251:CF262,CI253),SSM,2,FALSE)),"----")</f>
        <v>----</v>
      </c>
      <c r="CK253" s="691" t="e">
        <f t="shared" ca="1" si="4161"/>
        <v>#N/A</v>
      </c>
      <c r="CL253" s="4" t="e">
        <f ca="1">IF(AND(INDEX(WSM,CK253,4)&gt;=$AB251,INDEX(WSM,CK253,5)&gt;=$S251,INDEX(WSM,CK253,6)&gt;=$R251),1,0)</f>
        <v>#N/A</v>
      </c>
      <c r="CM253" s="4" t="e">
        <f t="shared" ref="CM253" ca="1" si="4194">MATCH(1,OFFSET(CL251:CL262,CN252,0,COUNT(CL251:CL262)-CN252),0)</f>
        <v>#REF!</v>
      </c>
      <c r="CN253" s="4" t="e">
        <f t="shared" ca="1" si="4163"/>
        <v>#REF!</v>
      </c>
      <c r="CO253" s="692" t="str">
        <f ca="1">IFERROR(VLOOKUP(INDEX(CK251:CK262,CN253),WSM,2,FALSE),"----")</f>
        <v>----</v>
      </c>
      <c r="CP253" s="691" t="e">
        <f t="shared" ca="1" si="4164"/>
        <v>#N/A</v>
      </c>
      <c r="CQ253" s="4" t="e">
        <f ca="1">IF(AND(INDEX(STM,CP253,4)&gt;=$AB251,INDEX(STM,CP253,5)&gt;=$S251,INDEX(STM,CP253,6)&gt;=$R251),1,0)</f>
        <v>#N/A</v>
      </c>
      <c r="CR253" s="4" t="e">
        <f t="shared" ref="CR253" ca="1" si="4195">MATCH(1,OFFSET(CQ251:CQ262,CS252,0,COUNT(CQ251:CQ262)-CS252),0)</f>
        <v>#REF!</v>
      </c>
      <c r="CS253" s="4" t="e">
        <f t="shared" ca="1" si="4166"/>
        <v>#REF!</v>
      </c>
      <c r="CT253" s="692" t="str">
        <f ca="1">IFERROR(VLOOKUP(INDEX(CP251:CP262,CS253),STM,2,FALSE),"----")</f>
        <v>----</v>
      </c>
      <c r="CU253" s="691" t="e">
        <f t="shared" ca="1" si="4167"/>
        <v>#N/A</v>
      </c>
      <c r="CV253" s="4" t="e">
        <f ca="1">IF(AND(INDEX(ELM,CU253,4)&gt;=$AB251,INDEX(ELM,CU253,5)&gt;=$S251,INDEX(ELM,CU253,6)&gt;=$R251),1,0)</f>
        <v>#N/A</v>
      </c>
      <c r="CW253" s="4" t="e">
        <f t="shared" ref="CW253" ca="1" si="4196">MATCH(1,OFFSET(CV251:CV262,CX252,0,COUNT(CV251:CV262)-CX252),0)</f>
        <v>#REF!</v>
      </c>
      <c r="CX253" s="4" t="e">
        <f t="shared" ca="1" si="4169"/>
        <v>#REF!</v>
      </c>
      <c r="CY253" s="692" t="str">
        <f ca="1">IFERROR(VLOOKUP(INDEX(CU251:CU262,CX253),ELM,2,FALSE),"----")</f>
        <v>----</v>
      </c>
      <c r="CZ253" s="691" t="e">
        <f t="shared" ca="1" si="4170"/>
        <v>#N/A</v>
      </c>
      <c r="DA253" s="4" t="e">
        <f ca="1">IF(LEFT($J251,7)="Clad Wo",IF(AND(INDEX(SPPWS,CZ253,4)&gt;=$AB251,INDEX(SPPWS,CZ253,5)&gt;=$S251,INDEX(SPPWS,CZ253,6)&gt;=$R251),1,0),IF(AND(INDEX(SPM,CZ253,4)&gt;=$AB251,INDEX(SPM,CZ253,5)&gt;=$S251,INDEX(SPM,CZ253,6)&gt;=$R251),1,0))</f>
        <v>#N/A</v>
      </c>
      <c r="DB253" s="4" t="e">
        <f t="shared" ref="DB253" ca="1" si="4197">MATCH(1,OFFSET(DA251:DA262,DC252,0,COUNT(DA251:DA262)-DC252),0)</f>
        <v>#REF!</v>
      </c>
      <c r="DC253" s="4" t="e">
        <f t="shared" ca="1" si="4172"/>
        <v>#REF!</v>
      </c>
      <c r="DD253" s="693" t="str">
        <f ca="1">IF(LEFT($J251,7)="Clad Wo",IFERROR(VLOOKUP(INDEX(CZ251:CZ262,DC253),SPPWS,2,FALSE),"----"),IFERROR(VLOOKUP(INDEX(CZ251:CZ262,DC253),SPM,2,FALSE),"----"))</f>
        <v>----</v>
      </c>
      <c r="DE253" s="691" t="e">
        <f t="shared" ca="1" si="4173"/>
        <v>#REF!</v>
      </c>
      <c r="DF253" s="4" t="e" cm="1">
        <f t="array" aca="1" ref="DF253" ca="1">IF(AND(INDEX(INDIRECT(BY251),DE253,4)&gt;=$AB257,INDEX(INDIRECT(BY251),DE253,5)&gt;=$S251,INDEX(INDIRECT(BY251),DE253,6)&gt;=$R251),1,0)</f>
        <v>#REF!</v>
      </c>
      <c r="DG253" s="4" t="e">
        <f t="shared" ref="DG253" ca="1" si="4198">MATCH(1,OFFSET(DF251:DF262,DH252,0,COUNT(DF251:DF262)-DH252),0)</f>
        <v>#REF!</v>
      </c>
      <c r="DH253" s="4" t="e">
        <f t="shared" ca="1" si="4175"/>
        <v>#REF!</v>
      </c>
      <c r="DI253" s="692" t="str" cm="1">
        <f t="array" aca="1" ref="DI253" ca="1">IFERROR(VLOOKUP(INDEX(DE251:DE262,DH253),INDIRECT(BY251),2,FALSE),"----")</f>
        <v>----</v>
      </c>
      <c r="DJ253" s="691" t="e">
        <f t="shared" ca="1" si="4176"/>
        <v>#N/A</v>
      </c>
      <c r="DK253" s="4" t="e">
        <f ca="1">IF(AND(INDEX(SSM,DJ253,4)&gt;=$AB257,INDEX(SSM,DJ253,5)&gt;=$S251,INDEX(SSM,DJ253,6)&gt;=$R251),1,0)</f>
        <v>#N/A</v>
      </c>
      <c r="DL253" s="4" t="e">
        <f t="shared" ref="DL253" ca="1" si="4199">MATCH(1,OFFSET(DK251:DK262,DM252,0,COUNT(DK251:DK262)-DM252),0)</f>
        <v>#REF!</v>
      </c>
      <c r="DM253" s="4" t="e">
        <f t="shared" ca="1" si="4178"/>
        <v>#REF!</v>
      </c>
      <c r="DN253" s="692" t="str">
        <f ca="1">IFERROR(IF(AD258="Nested Steel Stud (wood infill)",VLOOKUP(INDEX(DJ251:DJ262,DM253),SSW,2,FALSE),VLOOKUP(INDEX(DJ251:DJ262,DM253),SSM,2,FALSE)),"----")</f>
        <v>----</v>
      </c>
      <c r="DO253" s="691" t="e">
        <f t="shared" ca="1" si="4179"/>
        <v>#N/A</v>
      </c>
      <c r="DP253" s="4" t="e">
        <f ca="1">IF(AND(INDEX(WSM,DO253,4)&gt;=$AB257,INDEX(WSM,DO253,5)&gt;=$S251,INDEX(WSM,DO253,6)&gt;=$R251),1,0)</f>
        <v>#N/A</v>
      </c>
      <c r="DQ253" s="4" t="e">
        <f t="shared" ref="DQ253" ca="1" si="4200">MATCH(1,OFFSET(DP251:DP262,DR252,0,COUNT(DP251:DP262)-DR252),0)</f>
        <v>#REF!</v>
      </c>
      <c r="DR253" s="4" t="e">
        <f t="shared" ca="1" si="4181"/>
        <v>#REF!</v>
      </c>
      <c r="DS253" s="692" t="str">
        <f ca="1">IFERROR(VLOOKUP(INDEX(DO251:DO262,DR253),WSM,2,FALSE),"----")</f>
        <v>----</v>
      </c>
      <c r="DT253" s="691" t="e">
        <f t="shared" ca="1" si="4182"/>
        <v>#N/A</v>
      </c>
      <c r="DU253" s="4" t="e">
        <f ca="1">IF(AND(INDEX(STM,DT253,4)&gt;=$AB257,INDEX(STM,DT253,5)&gt;=$S251,INDEX(STM,DT253,6)&gt;=$R251),1,0)</f>
        <v>#N/A</v>
      </c>
      <c r="DV253" s="4" t="e">
        <f t="shared" ref="DV253" ca="1" si="4201">MATCH(1,OFFSET(DU251:DU262,DW252,0,COUNT(DU251:DU262)-DW252),0)</f>
        <v>#REF!</v>
      </c>
      <c r="DW253" s="4" t="e">
        <f t="shared" ca="1" si="4184"/>
        <v>#REF!</v>
      </c>
      <c r="DX253" s="692" t="str">
        <f ca="1">IFERROR(VLOOKUP(INDEX(DT251:DT262,DW253),STM,2,FALSE),"----")</f>
        <v>----</v>
      </c>
      <c r="DY253" s="691" t="e">
        <f t="shared" ca="1" si="4185"/>
        <v>#N/A</v>
      </c>
      <c r="DZ253" s="4" t="e">
        <f ca="1">IF(AND(INDEX(ELM,DY253,4)&gt;=$AB257,INDEX(ELM,DY253,5)&gt;=$S251,INDEX(ELM,DY253,6)&gt;=$R251),1,0)</f>
        <v>#N/A</v>
      </c>
      <c r="EA253" s="4" t="e">
        <f t="shared" ref="EA253" ca="1" si="4202">MATCH(1,OFFSET(DZ251:DZ262,EB252,0,COUNT(DZ251:DZ262)-EB252),0)</f>
        <v>#REF!</v>
      </c>
      <c r="EB253" s="4" t="e">
        <f t="shared" ca="1" si="4187"/>
        <v>#REF!</v>
      </c>
      <c r="EC253" s="692" t="str">
        <f ca="1">IFERROR(VLOOKUP(INDEX(DY251:DY262,EB253),ELM,2,FALSE),"----")</f>
        <v>----</v>
      </c>
      <c r="ED253" s="691" t="e">
        <f t="shared" ca="1" si="4188"/>
        <v>#N/A</v>
      </c>
      <c r="EE253" s="4" t="e">
        <f ca="1">IF(LEFT($J251,7)="Clad Wo",IF(AND(INDEX(SPPWS,ED253,4)&gt;=$AB257,INDEX(SPPWS,ED253,5)&gt;=$S251,INDEX(SPPWS,ED253,6)&gt;=$R251),1,0),IF(AND(INDEX(SPM,ED253,4)&gt;=$AB257,INDEX(SPM,ED253,5)&gt;=$S251,INDEX(SPM,ED253,6)&gt;=$R251),1,0))</f>
        <v>#N/A</v>
      </c>
      <c r="EF253" s="4" t="e">
        <f t="shared" ref="EF253" ca="1" si="4203">MATCH(1,OFFSET(EE251:EE262,EG252,0,COUNT(EE251:EE262)-EG252),0)</f>
        <v>#REF!</v>
      </c>
      <c r="EG253" s="4" t="e">
        <f t="shared" ca="1" si="4190"/>
        <v>#REF!</v>
      </c>
      <c r="EH253" s="692" t="str">
        <f ca="1">IF(LEFT($J251,7)="Clad Wo",IFERROR(VLOOKUP(INDEX(ED251:ED262,EG253),SPPWS,2,FALSE),"----"),IFERROR(VLOOKUP(INDEX(ED251:ED262,EG253),SPM,2,FALSE),"----"))</f>
        <v>----</v>
      </c>
    </row>
    <row r="254" spans="1:138" ht="15" customHeight="1" x14ac:dyDescent="0.25">
      <c r="A254" s="1085"/>
      <c r="B254" s="925"/>
      <c r="C254" s="926"/>
      <c r="D254" s="927"/>
      <c r="E254" s="995"/>
      <c r="F254" s="996"/>
      <c r="G254" s="997"/>
      <c r="H254" s="1062"/>
      <c r="I254" s="990"/>
      <c r="J254" s="908"/>
      <c r="K254" s="909"/>
      <c r="L254" s="1002"/>
      <c r="M254" s="923"/>
      <c r="N254" s="1042"/>
      <c r="O254" s="1018"/>
      <c r="P254" s="987"/>
      <c r="Q254" s="1015"/>
      <c r="R254" s="1012"/>
      <c r="S254" s="1006"/>
      <c r="T254" s="1007"/>
      <c r="U254" s="878"/>
      <c r="V254" s="881"/>
      <c r="W254" s="884"/>
      <c r="X254" s="884"/>
      <c r="Y254" s="887"/>
      <c r="Z254" s="887"/>
      <c r="AA254" s="887"/>
      <c r="AB254" s="1081"/>
      <c r="AC254" s="1078"/>
      <c r="AD254" s="1070" t="s">
        <v>37</v>
      </c>
      <c r="AE254" s="1071"/>
      <c r="AF254" s="1052"/>
      <c r="AG254" s="1053"/>
      <c r="AH254" s="1053"/>
      <c r="AI254" s="1066"/>
      <c r="AJ254" s="1067"/>
      <c r="AK254" s="156" t="str">
        <f t="shared" ca="1" si="3667"/>
        <v/>
      </c>
      <c r="AL254" s="1039"/>
      <c r="AM254" s="343" t="str">
        <f ca="1">IFERROR(Q251/12*ROUND(VLOOKUP(AF254,OFFSET(STM,0,1),6,FALSE),2),"")</f>
        <v/>
      </c>
      <c r="AN254" t="str">
        <f t="shared" ca="1" si="3717"/>
        <v/>
      </c>
      <c r="AP254" s="122" t="str">
        <f t="shared" ref="AP254" si="4204">_xlfn.CONCAT(AR254,AS256)</f>
        <v/>
      </c>
      <c r="AQ254" s="683" t="str">
        <f t="shared" si="3881"/>
        <v/>
      </c>
      <c r="AR254" s="4" t="str">
        <f t="shared" si="3642"/>
        <v/>
      </c>
      <c r="AS254" s="4"/>
      <c r="AT254" s="697" t="str">
        <f>AL251</f>
        <v/>
      </c>
      <c r="AU254" s="694" t="e">
        <f t="shared" ca="1" si="3907"/>
        <v>#REF!</v>
      </c>
      <c r="AV254" s="686" t="str">
        <f ca="1">IFERROR(VLOOKUP(AU254,INDIRECT(AQ251),2,FALSE),"----")</f>
        <v>----</v>
      </c>
      <c r="AW254" s="694" t="e">
        <f t="shared" ca="1" si="3908"/>
        <v>#REF!</v>
      </c>
      <c r="AX254" s="686" t="str">
        <f ca="1">IFERROR(VLOOKUP(AW254,INDIRECT(AQ252),2,FALSE),"----")</f>
        <v>----</v>
      </c>
      <c r="AY254" s="694" t="e">
        <f t="shared" ref="AY254" ca="1" si="4205">AY253-1</f>
        <v>#REF!</v>
      </c>
      <c r="AZ254" s="686" t="str">
        <f ca="1">IFERROR(VLOOKUP(AY254,INDIRECT(AQ253),2,FALSE),"----")</f>
        <v>----</v>
      </c>
      <c r="BA254" s="694" t="e">
        <f t="shared" ref="BA254" ca="1" si="4206">BA253-1</f>
        <v>#REF!</v>
      </c>
      <c r="BB254" s="686" t="str">
        <f ca="1">IFERROR(VLOOKUP(BA254,INDIRECT(AQ254),2,FALSE),"----")</f>
        <v>----</v>
      </c>
      <c r="BC254" s="694" t="e">
        <f t="shared" ca="1" si="3911"/>
        <v>#REF!</v>
      </c>
      <c r="BD254" s="686" t="str">
        <f ca="1">IFERROR(VLOOKUP(BC254,INDIRECT(AQ255),2,FALSE),"----")</f>
        <v>----</v>
      </c>
      <c r="BE254" s="694" t="e">
        <f t="shared" ca="1" si="3912"/>
        <v>#REF!</v>
      </c>
      <c r="BF254" s="686" t="str">
        <f ca="1">IFERROR(VLOOKUP(BE254,INDIRECT(AQ256),2,FALSE),"----")</f>
        <v>----</v>
      </c>
      <c r="BG254" s="694" t="e">
        <f t="shared" ca="1" si="3913"/>
        <v>#REF!</v>
      </c>
      <c r="BH254" s="686" t="str">
        <f ca="1">IFERROR(VLOOKUP(BG254,INDIRECT(AQ257),2,FALSE),"----")</f>
        <v>----</v>
      </c>
      <c r="BI254" s="694" t="e">
        <f t="shared" ca="1" si="3914"/>
        <v>#REF!</v>
      </c>
      <c r="BJ254" s="686" t="str">
        <f ca="1">IFERROR(VLOOKUP(BI254,INDIRECT(AQ258),2,FALSE),"----")</f>
        <v>----</v>
      </c>
      <c r="BK254" s="694" t="e">
        <f t="shared" ca="1" si="3915"/>
        <v>#REF!</v>
      </c>
      <c r="BL254" s="686" t="str">
        <f ca="1">IFERROR(VLOOKUP(BK254,INDIRECT(AQ259),2,FALSE),"----")</f>
        <v>----</v>
      </c>
      <c r="BM254" s="694" t="e">
        <f t="shared" ca="1" si="3916"/>
        <v>#REF!</v>
      </c>
      <c r="BN254" s="686" t="str">
        <f ca="1">IFERROR(VLOOKUP(BM254,INDIRECT(AQ260),2,FALSE),"----")</f>
        <v>----</v>
      </c>
      <c r="BO254" s="694" t="e">
        <f t="shared" ca="1" si="3917"/>
        <v>#REF!</v>
      </c>
      <c r="BP254" s="686" t="str">
        <f ca="1">IFERROR(VLOOKUP(BO254,INDIRECT(AQ261),2,FALSE),"----")</f>
        <v>----</v>
      </c>
      <c r="BQ254" s="694" t="e">
        <f t="shared" ca="1" si="3918"/>
        <v>#REF!</v>
      </c>
      <c r="BR254" s="686" t="str">
        <f ca="1">IFERROR(VLOOKUP(BQ254,INDIRECT(AQ262),2,FALSE),"----")</f>
        <v>----</v>
      </c>
      <c r="BS254" s="695">
        <f>IF(AI254="",1,IF(COUNTIF(BB251:BB262,AI254)=0,2,1))</f>
        <v>1</v>
      </c>
      <c r="BT254" s="696">
        <f>IF(AF254="",1,IF(BB251=".",2,1))</f>
        <v>1</v>
      </c>
      <c r="BU254" s="706"/>
      <c r="BV254" s="155">
        <f ca="1">IF(COUNTIF(CT251:CT262,AF254)=0,IF(AF254&lt;&gt;"",0,1),1)</f>
        <v>1</v>
      </c>
      <c r="BW254" s="157">
        <f ca="1">IFERROR(MATCH(AF254,CT251:CT262,0),1)</f>
        <v>1</v>
      </c>
      <c r="BX254" s="769"/>
      <c r="BY254" s="769"/>
      <c r="BZ254" s="1110"/>
      <c r="CA254" s="691" t="e">
        <f t="shared" ca="1" si="4155"/>
        <v>#REF!</v>
      </c>
      <c r="CB254" s="4" t="e" cm="1">
        <f t="array" aca="1" ref="CB254" ca="1">IF(AND(INDEX(INDIRECT(BY251),CA254,4)&gt;=$AB251,INDEX(INDIRECT(BY251),CA254,5)&gt;=$S251,INDEX(INDIRECT(BY251),CA254,6)&gt;=$R251),1,0)</f>
        <v>#REF!</v>
      </c>
      <c r="CC254" s="4" t="e">
        <f t="shared" ref="CC254" ca="1" si="4207">MATCH(1,OFFSET(CB251:CB262,CD253,0,COUNT(CB251:CB262)-CD253),0)</f>
        <v>#REF!</v>
      </c>
      <c r="CD254" s="4" t="e">
        <f t="shared" ca="1" si="4157"/>
        <v>#REF!</v>
      </c>
      <c r="CE254" s="692" t="str" cm="1">
        <f t="array" aca="1" ref="CE254" ca="1">IFERROR(VLOOKUP(INDEX(CA251:CA262,CD254),INDIRECT(BY251),2,FALSE),"----")</f>
        <v>----</v>
      </c>
      <c r="CF254" s="691" t="e">
        <f t="shared" ca="1" si="4158"/>
        <v>#N/A</v>
      </c>
      <c r="CG254" s="4" t="e">
        <f ca="1">IF(AND(INDEX(SSM,CF254,4)&gt;=$AB251,INDEX(SSM,CF254,5)&gt;=$S251,INDEX(SSM,CF254,6)&gt;=$R251),1,0)</f>
        <v>#N/A</v>
      </c>
      <c r="CH254" s="4" t="e">
        <f t="shared" ref="CH254" ca="1" si="4208">MATCH(1,OFFSET(CG251:CG262,CI253,0,COUNT(CG251:CG262)-CI253),0)</f>
        <v>#REF!</v>
      </c>
      <c r="CI254" s="4" t="e">
        <f t="shared" ca="1" si="4160"/>
        <v>#REF!</v>
      </c>
      <c r="CJ254" s="692" t="str">
        <f ca="1">IFERROR(IF(AD252="Nested Steel Stud (wood infill)",VLOOKUP(INDEX(CF251:CF262,CI254),SSW,2,FALSE),VLOOKUP(INDEX(CF251:CF262,CI254),SSM,2,FALSE)),"----")</f>
        <v>----</v>
      </c>
      <c r="CK254" s="691" t="e">
        <f t="shared" ca="1" si="4161"/>
        <v>#N/A</v>
      </c>
      <c r="CL254" s="4" t="e">
        <f ca="1">IF(AND(INDEX(WSM,CK254,4)&gt;=$AB251,INDEX(WSM,CK254,5)&gt;=$S251,INDEX(WSM,CK254,6)&gt;=$R251),1,0)</f>
        <v>#N/A</v>
      </c>
      <c r="CM254" s="4" t="e">
        <f t="shared" ref="CM254" ca="1" si="4209">MATCH(1,OFFSET(CL251:CL262,CN253,0,COUNT(CL251:CL262)-CN253),0)</f>
        <v>#REF!</v>
      </c>
      <c r="CN254" s="4" t="e">
        <f t="shared" ca="1" si="4163"/>
        <v>#REF!</v>
      </c>
      <c r="CO254" s="692" t="str">
        <f ca="1">IFERROR(VLOOKUP(INDEX(CK251:CK262,CN254),WSM,2,FALSE),"----")</f>
        <v>----</v>
      </c>
      <c r="CP254" s="691" t="e">
        <f t="shared" ca="1" si="4164"/>
        <v>#N/A</v>
      </c>
      <c r="CQ254" s="4" t="e">
        <f ca="1">IF(AND(INDEX(STM,CP254,4)&gt;=$AB251,INDEX(STM,CP254,5)&gt;=$S251,INDEX(STM,CP254,6)&gt;=$R251),1,0)</f>
        <v>#N/A</v>
      </c>
      <c r="CR254" s="4" t="e">
        <f t="shared" ref="CR254" ca="1" si="4210">MATCH(1,OFFSET(CQ251:CQ262,CS253,0,COUNT(CQ251:CQ262)-CS253),0)</f>
        <v>#REF!</v>
      </c>
      <c r="CS254" s="4" t="e">
        <f t="shared" ca="1" si="4166"/>
        <v>#REF!</v>
      </c>
      <c r="CT254" s="692" t="str">
        <f ca="1">IFERROR(VLOOKUP(INDEX(CP251:CP262,CS254),STM,2,FALSE),"----")</f>
        <v>----</v>
      </c>
      <c r="CU254" s="691" t="e">
        <f t="shared" ca="1" si="4167"/>
        <v>#N/A</v>
      </c>
      <c r="CV254" s="4" t="e">
        <f ca="1">IF(AND(INDEX(ELM,CU254,4)&gt;=$AB251,INDEX(ELM,CU254,5)&gt;=$S251,INDEX(ELM,CU254,6)&gt;=$R251),1,0)</f>
        <v>#N/A</v>
      </c>
      <c r="CW254" s="4" t="e">
        <f t="shared" ref="CW254" ca="1" si="4211">MATCH(1,OFFSET(CV251:CV262,CX253,0,COUNT(CV251:CV262)-CX253),0)</f>
        <v>#REF!</v>
      </c>
      <c r="CX254" s="4" t="e">
        <f t="shared" ca="1" si="4169"/>
        <v>#REF!</v>
      </c>
      <c r="CY254" s="692" t="str">
        <f ca="1">IFERROR(VLOOKUP(INDEX(CU251:CU262,CX254),ELM,2,FALSE),"----")</f>
        <v>----</v>
      </c>
      <c r="CZ254" s="691" t="e">
        <f t="shared" ca="1" si="4170"/>
        <v>#N/A</v>
      </c>
      <c r="DA254" s="4" t="e">
        <f ca="1">IF(LEFT($J251,7)="Clad Wo",IF(AND(INDEX(SPPWS,CZ254,4)&gt;=$AB251,INDEX(SPPWS,CZ254,5)&gt;=$S251,INDEX(SPPWS,CZ254,6)&gt;=$R251),1,0),IF(AND(INDEX(SPM,CZ254,4)&gt;=$AB251,INDEX(SPM,CZ254,5)&gt;=$S251,INDEX(SPM,CZ254,6)&gt;=$R251),1,0))</f>
        <v>#N/A</v>
      </c>
      <c r="DB254" s="4" t="e">
        <f t="shared" ref="DB254" ca="1" si="4212">MATCH(1,OFFSET(DA251:DA262,DC253,0,COUNT(DA251:DA262)-DC253),0)</f>
        <v>#REF!</v>
      </c>
      <c r="DC254" s="4" t="e">
        <f t="shared" ca="1" si="4172"/>
        <v>#REF!</v>
      </c>
      <c r="DD254" s="693" t="str">
        <f ca="1">IF(LEFT($J251,7)="Clad Wo",IFERROR(VLOOKUP(INDEX(CZ251:CZ262,DC254),SPPWS,2,FALSE),"----"),IFERROR(VLOOKUP(INDEX(CZ251:CZ262,DC254),SPM,2,FALSE),"----"))</f>
        <v>----</v>
      </c>
      <c r="DE254" s="691" t="e">
        <f t="shared" ca="1" si="4173"/>
        <v>#REF!</v>
      </c>
      <c r="DF254" s="4" t="e" cm="1">
        <f t="array" aca="1" ref="DF254" ca="1">IF(AND(INDEX(INDIRECT(BY251),DE254,4)&gt;=$AB257,INDEX(INDIRECT(BY251),DE254,5)&gt;=$S251,INDEX(INDIRECT(BY251),DE254,6)&gt;=$R251),1,0)</f>
        <v>#REF!</v>
      </c>
      <c r="DG254" s="4" t="e">
        <f t="shared" ref="DG254" ca="1" si="4213">MATCH(1,OFFSET(DF251:DF262,DH253,0,COUNT(DF251:DF262)-DH253),0)</f>
        <v>#REF!</v>
      </c>
      <c r="DH254" s="4" t="e">
        <f t="shared" ca="1" si="4175"/>
        <v>#REF!</v>
      </c>
      <c r="DI254" s="692" t="str" cm="1">
        <f t="array" aca="1" ref="DI254" ca="1">IFERROR(VLOOKUP(INDEX(DE251:DE262,DH254),INDIRECT(BY251),2,FALSE),"----")</f>
        <v>----</v>
      </c>
      <c r="DJ254" s="691" t="e">
        <f t="shared" ca="1" si="4176"/>
        <v>#N/A</v>
      </c>
      <c r="DK254" s="4" t="e">
        <f ca="1">IF(AND(INDEX(SSM,DJ254,4)&gt;=$AB257,INDEX(SSM,DJ254,5)&gt;=$S251,INDEX(SSM,DJ254,6)&gt;=$R251),1,0)</f>
        <v>#N/A</v>
      </c>
      <c r="DL254" s="4" t="e">
        <f t="shared" ref="DL254" ca="1" si="4214">MATCH(1,OFFSET(DK251:DK262,DM253,0,COUNT(DK251:DK262)-DM253),0)</f>
        <v>#REF!</v>
      </c>
      <c r="DM254" s="4" t="e">
        <f t="shared" ca="1" si="4178"/>
        <v>#REF!</v>
      </c>
      <c r="DN254" s="692" t="str">
        <f ca="1">IFERROR(IF(AD258="Nested Steel Stud (wood infill)",VLOOKUP(INDEX(DJ251:DJ262,DM254),SSW,2,FALSE),VLOOKUP(INDEX(DJ251:DJ262,DM254),SSM,2,FALSE)),"----")</f>
        <v>----</v>
      </c>
      <c r="DO254" s="691" t="e">
        <f t="shared" ca="1" si="4179"/>
        <v>#N/A</v>
      </c>
      <c r="DP254" s="4" t="e">
        <f ca="1">IF(AND(INDEX(WSM,DO254,4)&gt;=$AB257,INDEX(WSM,DO254,5)&gt;=$S251,INDEX(WSM,DO254,6)&gt;=$R251),1,0)</f>
        <v>#N/A</v>
      </c>
      <c r="DQ254" s="4" t="e">
        <f t="shared" ref="DQ254" ca="1" si="4215">MATCH(1,OFFSET(DP251:DP262,DR253,0,COUNT(DP251:DP262)-DR253),0)</f>
        <v>#REF!</v>
      </c>
      <c r="DR254" s="4" t="e">
        <f t="shared" ca="1" si="4181"/>
        <v>#REF!</v>
      </c>
      <c r="DS254" s="692" t="str">
        <f ca="1">IFERROR(VLOOKUP(INDEX(DO251:DO262,DR254),WSM,2,FALSE),"----")</f>
        <v>----</v>
      </c>
      <c r="DT254" s="691" t="e">
        <f t="shared" ca="1" si="4182"/>
        <v>#N/A</v>
      </c>
      <c r="DU254" s="4" t="e">
        <f ca="1">IF(AND(INDEX(STM,DT254,4)&gt;=$AB257,INDEX(STM,DT254,5)&gt;=$S251,INDEX(STM,DT254,6)&gt;=$R251),1,0)</f>
        <v>#N/A</v>
      </c>
      <c r="DV254" s="4" t="e">
        <f t="shared" ref="DV254" ca="1" si="4216">MATCH(1,OFFSET(DU251:DU262,DW253,0,COUNT(DU251:DU262)-DW253),0)</f>
        <v>#REF!</v>
      </c>
      <c r="DW254" s="4" t="e">
        <f t="shared" ca="1" si="4184"/>
        <v>#REF!</v>
      </c>
      <c r="DX254" s="692" t="str">
        <f ca="1">IFERROR(VLOOKUP(INDEX(DT251:DT262,DW254),STM,2,FALSE),"----")</f>
        <v>----</v>
      </c>
      <c r="DY254" s="691" t="e">
        <f t="shared" ca="1" si="4185"/>
        <v>#N/A</v>
      </c>
      <c r="DZ254" s="4" t="e">
        <f ca="1">IF(AND(INDEX(ELM,DY254,4)&gt;=$AB257,INDEX(ELM,DY254,5)&gt;=$S251,INDEX(ELM,DY254,6)&gt;=$R251),1,0)</f>
        <v>#N/A</v>
      </c>
      <c r="EA254" s="4" t="e">
        <f t="shared" ref="EA254" ca="1" si="4217">MATCH(1,OFFSET(DZ251:DZ262,EB253,0,COUNT(DZ251:DZ262)-EB253),0)</f>
        <v>#REF!</v>
      </c>
      <c r="EB254" s="4" t="e">
        <f t="shared" ca="1" si="4187"/>
        <v>#REF!</v>
      </c>
      <c r="EC254" s="692" t="str">
        <f ca="1">IFERROR(VLOOKUP(INDEX(DY251:DY262,EB254),ELM,2,FALSE),"----")</f>
        <v>----</v>
      </c>
      <c r="ED254" s="691" t="e">
        <f t="shared" ca="1" si="4188"/>
        <v>#N/A</v>
      </c>
      <c r="EE254" s="4" t="e">
        <f ca="1">IF(LEFT($J251,7)="Clad Wo",IF(AND(INDEX(SPPWS,ED254,4)&gt;=$AB257,INDEX(SPPWS,ED254,5)&gt;=$S251,INDEX(SPPWS,ED254,6)&gt;=$R251),1,0),IF(AND(INDEX(SPM,ED254,4)&gt;=$AB257,INDEX(SPM,ED254,5)&gt;=$S251,INDEX(SPM,ED254,6)&gt;=$R251),1,0))</f>
        <v>#N/A</v>
      </c>
      <c r="EF254" s="4" t="e">
        <f t="shared" ref="EF254" ca="1" si="4218">MATCH(1,OFFSET(EE251:EE262,EG253,0,COUNT(EE251:EE262)-EG253),0)</f>
        <v>#REF!</v>
      </c>
      <c r="EG254" s="4" t="e">
        <f t="shared" ca="1" si="4190"/>
        <v>#REF!</v>
      </c>
      <c r="EH254" s="692" t="str">
        <f ca="1">IF(LEFT($J251,7)="Clad Wo",IFERROR(VLOOKUP(INDEX(ED251:ED262,EG254),SPPWS,2,FALSE),"----"),IFERROR(VLOOKUP(INDEX(ED251:ED262,EG254),SPM,2,FALSE),"----"))</f>
        <v>----</v>
      </c>
    </row>
    <row r="255" spans="1:138" ht="15" customHeight="1" x14ac:dyDescent="0.25">
      <c r="A255" s="1085"/>
      <c r="B255" s="925"/>
      <c r="C255" s="926"/>
      <c r="D255" s="927"/>
      <c r="E255" s="995"/>
      <c r="F255" s="996"/>
      <c r="G255" s="997"/>
      <c r="H255" s="1062"/>
      <c r="I255" s="990"/>
      <c r="J255" s="910"/>
      <c r="K255" s="911"/>
      <c r="L255" s="1002"/>
      <c r="M255" s="923"/>
      <c r="N255" s="1042"/>
      <c r="O255" s="1018"/>
      <c r="P255" s="987"/>
      <c r="Q255" s="1015"/>
      <c r="R255" s="1012"/>
      <c r="S255" s="1006"/>
      <c r="T255" s="1007"/>
      <c r="U255" s="878"/>
      <c r="V255" s="881"/>
      <c r="W255" s="884"/>
      <c r="X255" s="884"/>
      <c r="Y255" s="887"/>
      <c r="Z255" s="887"/>
      <c r="AA255" s="887"/>
      <c r="AB255" s="1081"/>
      <c r="AC255" s="1078"/>
      <c r="AD255" s="1070" t="s">
        <v>39</v>
      </c>
      <c r="AE255" s="1071"/>
      <c r="AF255" s="1052"/>
      <c r="AG255" s="1053"/>
      <c r="AH255" s="1053"/>
      <c r="AI255" s="1068"/>
      <c r="AJ255" s="1069"/>
      <c r="AK255" s="154" t="str">
        <f t="shared" ca="1" si="3667"/>
        <v/>
      </c>
      <c r="AL255" s="1039"/>
      <c r="AM255" s="344" t="str">
        <f ca="1">IFERROR(Q251/12*ROUND(VLOOKUP(AF255,OFFSET(ELM,0,1),6,FALSE),2),"")</f>
        <v/>
      </c>
      <c r="AN255" t="str">
        <f t="shared" ca="1" si="3717"/>
        <v/>
      </c>
      <c r="AP255" s="122" t="str">
        <f t="shared" ref="AP255" si="4219">_xlfn.CONCAT(AR255,AS256)</f>
        <v/>
      </c>
      <c r="AQ255" s="683" t="str">
        <f t="shared" si="3881"/>
        <v/>
      </c>
      <c r="AR255" s="4" t="str">
        <f t="shared" si="3642"/>
        <v/>
      </c>
      <c r="AS255" s="4"/>
      <c r="AT255" s="697" t="str">
        <f>AL251</f>
        <v/>
      </c>
      <c r="AU255" s="694" t="e">
        <f t="shared" ca="1" si="3907"/>
        <v>#REF!</v>
      </c>
      <c r="AV255" s="698" t="str">
        <f ca="1">IFERROR(VLOOKUP(AU255,INDIRECT(AQ251),2,FALSE),"----")</f>
        <v>----</v>
      </c>
      <c r="AW255" s="694" t="e">
        <f t="shared" ca="1" si="3908"/>
        <v>#REF!</v>
      </c>
      <c r="AX255" s="698" t="str">
        <f ca="1">IFERROR(VLOOKUP(AW255,INDIRECT(AQ252),2,FALSE),"----")</f>
        <v>----</v>
      </c>
      <c r="AY255" s="694" t="e">
        <f t="shared" ref="AY255" ca="1" si="4220">AY254-1</f>
        <v>#REF!</v>
      </c>
      <c r="AZ255" s="698" t="str">
        <f ca="1">IFERROR(VLOOKUP(AY255,INDIRECT(AQ253),2,FALSE),"----")</f>
        <v>----</v>
      </c>
      <c r="BA255" s="694" t="e">
        <f t="shared" ref="BA255" ca="1" si="4221">BA254-1</f>
        <v>#REF!</v>
      </c>
      <c r="BB255" s="698" t="str">
        <f ca="1">IFERROR(VLOOKUP(BA255,INDIRECT(AQ254),2,FALSE),"----")</f>
        <v>----</v>
      </c>
      <c r="BC255" s="694" t="e">
        <f t="shared" ca="1" si="3911"/>
        <v>#REF!</v>
      </c>
      <c r="BD255" s="698" t="str">
        <f ca="1">IFERROR(VLOOKUP(BC255,INDIRECT(AQ255),2,FALSE),"----")</f>
        <v>----</v>
      </c>
      <c r="BE255" s="694" t="e">
        <f t="shared" ca="1" si="3912"/>
        <v>#REF!</v>
      </c>
      <c r="BF255" s="698" t="str">
        <f ca="1">IFERROR(VLOOKUP(BE255,INDIRECT(AQ256),2,FALSE),"----")</f>
        <v>----</v>
      </c>
      <c r="BG255" s="694" t="e">
        <f t="shared" ca="1" si="3913"/>
        <v>#REF!</v>
      </c>
      <c r="BH255" s="686" t="str">
        <f ca="1">IFERROR(VLOOKUP(BG255,INDIRECT(AQ257),2,FALSE),"----")</f>
        <v>----</v>
      </c>
      <c r="BI255" s="694" t="e">
        <f t="shared" ca="1" si="3914"/>
        <v>#REF!</v>
      </c>
      <c r="BJ255" s="686" t="str">
        <f ca="1">IFERROR(VLOOKUP(BI255,INDIRECT(AQ258),2,FALSE),"----")</f>
        <v>----</v>
      </c>
      <c r="BK255" s="694" t="e">
        <f t="shared" ca="1" si="3915"/>
        <v>#REF!</v>
      </c>
      <c r="BL255" s="686" t="str">
        <f ca="1">IFERROR(VLOOKUP(BK255,INDIRECT(AQ259),2,FALSE),"----")</f>
        <v>----</v>
      </c>
      <c r="BM255" s="694" t="e">
        <f t="shared" ca="1" si="3916"/>
        <v>#REF!</v>
      </c>
      <c r="BN255" s="686" t="str">
        <f ca="1">IFERROR(VLOOKUP(BM255,INDIRECT(AQ260),2,FALSE),"----")</f>
        <v>----</v>
      </c>
      <c r="BO255" s="694" t="e">
        <f t="shared" ca="1" si="3917"/>
        <v>#REF!</v>
      </c>
      <c r="BP255" s="686" t="str">
        <f ca="1">IFERROR(VLOOKUP(BO255,INDIRECT(AQ261),2,FALSE),"----")</f>
        <v>----</v>
      </c>
      <c r="BQ255" s="694" t="e">
        <f t="shared" ca="1" si="3918"/>
        <v>#REF!</v>
      </c>
      <c r="BR255" s="686" t="str">
        <f ca="1">IFERROR(VLOOKUP(BQ255,INDIRECT(AQ262),2,FALSE),"----")</f>
        <v>----</v>
      </c>
      <c r="BS255" s="695">
        <f>IF(AI255="",1,IF(COUNTIF(BD251:BD262,AI255)=0,2,1))</f>
        <v>1</v>
      </c>
      <c r="BT255" s="696">
        <f>IF(AF255="",1,IF(BD251=".",2,1))</f>
        <v>1</v>
      </c>
      <c r="BU255" s="706"/>
      <c r="BV255" s="155">
        <f ca="1">IF(COUNTIF(CY251:CY262,AF255)=0,IF(AF255&lt;&gt;"",0,1),1)</f>
        <v>1</v>
      </c>
      <c r="BW255" s="157">
        <f ca="1">IFERROR(MATCH(AF255,CY251:CY262,0),1)</f>
        <v>1</v>
      </c>
      <c r="BX255" s="769"/>
      <c r="BY255" s="769"/>
      <c r="BZ255" s="1110"/>
      <c r="CA255" s="691" t="e">
        <f t="shared" ca="1" si="4155"/>
        <v>#REF!</v>
      </c>
      <c r="CB255" s="4" t="e" cm="1">
        <f t="array" aca="1" ref="CB255" ca="1">IF(AND(INDEX(INDIRECT(BY251),CA255,4)&gt;=$AB251,INDEX(INDIRECT(BY251),CA255,5)&gt;=$S251,INDEX(INDIRECT(BY251),CA255,6)&gt;=$R251),1,0)</f>
        <v>#REF!</v>
      </c>
      <c r="CC255" s="4" t="e">
        <f t="shared" ref="CC255" ca="1" si="4222">MATCH(1,OFFSET(CB251:CB262,CD254,0,COUNT(CB251:CB262)-CD254),0)</f>
        <v>#REF!</v>
      </c>
      <c r="CD255" s="4" t="e">
        <f t="shared" ca="1" si="4157"/>
        <v>#REF!</v>
      </c>
      <c r="CE255" s="692" t="str" cm="1">
        <f t="array" aca="1" ref="CE255" ca="1">IFERROR(VLOOKUP(INDEX(CA251:CA262,CD255),INDIRECT(BY251),2,FALSE),"----")</f>
        <v>----</v>
      </c>
      <c r="CF255" s="691" t="e">
        <f t="shared" ca="1" si="4158"/>
        <v>#N/A</v>
      </c>
      <c r="CG255" s="4" t="e">
        <f ca="1">IF(AND(INDEX(SSM,CF255,4)&gt;=$AB251,INDEX(SSM,CF255,5)&gt;=$S251,INDEX(SSM,CF255,6)&gt;=$R251),1,0)</f>
        <v>#N/A</v>
      </c>
      <c r="CH255" s="4" t="e">
        <f t="shared" ref="CH255" ca="1" si="4223">MATCH(1,OFFSET(CG251:CG262,CI254,0,COUNT(CG251:CG262)-CI254),0)</f>
        <v>#REF!</v>
      </c>
      <c r="CI255" s="4" t="e">
        <f t="shared" ca="1" si="4160"/>
        <v>#REF!</v>
      </c>
      <c r="CJ255" s="692" t="str">
        <f ca="1">IFERROR(IF(AD252="Nested Steel Stud (wood infill)",VLOOKUP(INDEX(CF251:CF262,CI255),SSW,2,FALSE),VLOOKUP(INDEX(CF251:CF262,CI255),SSM,2,FALSE)),"----")</f>
        <v>----</v>
      </c>
      <c r="CK255" s="691" t="e">
        <f t="shared" ca="1" si="4161"/>
        <v>#N/A</v>
      </c>
      <c r="CL255" s="4" t="e">
        <f ca="1">IF(AND(INDEX(WSM,CK255,4)&gt;=$AB251,INDEX(WSM,CK255,5)&gt;=$S251,INDEX(WSM,CK255,6)&gt;=$R251),1,0)</f>
        <v>#N/A</v>
      </c>
      <c r="CM255" s="4" t="e">
        <f t="shared" ref="CM255" ca="1" si="4224">MATCH(1,OFFSET(CL251:CL262,CN254,0,COUNT(CL251:CL262)-CN254),0)</f>
        <v>#REF!</v>
      </c>
      <c r="CN255" s="4" t="e">
        <f t="shared" ca="1" si="4163"/>
        <v>#REF!</v>
      </c>
      <c r="CO255" s="692" t="str">
        <f ca="1">IFERROR(VLOOKUP(INDEX(CK251:CK262,CN255),WSM,2,FALSE),"----")</f>
        <v>----</v>
      </c>
      <c r="CP255" s="691" t="e">
        <f t="shared" ca="1" si="4164"/>
        <v>#N/A</v>
      </c>
      <c r="CQ255" s="4" t="e">
        <f ca="1">IF(AND(INDEX(STM,CP255,4)&gt;=$AB251,INDEX(STM,CP255,5)&gt;=$S251,INDEX(STM,CP255,6)&gt;=$R251),1,0)</f>
        <v>#N/A</v>
      </c>
      <c r="CR255" s="4" t="e">
        <f t="shared" ref="CR255" ca="1" si="4225">MATCH(1,OFFSET(CQ251:CQ262,CS254,0,COUNT(CQ251:CQ262)-CS254),0)</f>
        <v>#REF!</v>
      </c>
      <c r="CS255" s="4" t="e">
        <f t="shared" ca="1" si="4166"/>
        <v>#REF!</v>
      </c>
      <c r="CT255" s="692" t="str">
        <f ca="1">IFERROR(VLOOKUP(INDEX(CP251:CP262,CS255),STM,2,FALSE),"----")</f>
        <v>----</v>
      </c>
      <c r="CU255" s="691" t="e">
        <f t="shared" ca="1" si="4167"/>
        <v>#N/A</v>
      </c>
      <c r="CV255" s="4" t="e">
        <f ca="1">IF(AND(INDEX(ELM,CU255,4)&gt;=$AB251,INDEX(ELM,CU255,5)&gt;=$S251,INDEX(ELM,CU255,6)&gt;=$R251),1,0)</f>
        <v>#N/A</v>
      </c>
      <c r="CW255" s="4" t="e">
        <f t="shared" ref="CW255" ca="1" si="4226">MATCH(1,OFFSET(CV251:CV262,CX254,0,COUNT(CV251:CV262)-CX254),0)</f>
        <v>#REF!</v>
      </c>
      <c r="CX255" s="4" t="e">
        <f t="shared" ca="1" si="4169"/>
        <v>#REF!</v>
      </c>
      <c r="CY255" s="692" t="str">
        <f ca="1">IFERROR(VLOOKUP(INDEX(CU251:CU262,CX255),ELM,2,FALSE),"----")</f>
        <v>----</v>
      </c>
      <c r="CZ255" s="691" t="e">
        <f t="shared" ca="1" si="4170"/>
        <v>#N/A</v>
      </c>
      <c r="DA255" s="4" t="e">
        <f ca="1">IF(LEFT($J251,7)="Clad Wo",IF(AND(INDEX(SPPWS,CZ255,4)&gt;=$AB251,INDEX(SPPWS,CZ255,5)&gt;=$S251,INDEX(SPPWS,CZ255,6)&gt;=$R251),1,0),IF(AND(INDEX(SPM,CZ255,4)&gt;=$AB251,INDEX(SPM,CZ255,5)&gt;=$S251,INDEX(SPM,CZ255,6)&gt;=$R251),1,0))</f>
        <v>#N/A</v>
      </c>
      <c r="DB255" s="4" t="e">
        <f t="shared" ref="DB255" ca="1" si="4227">MATCH(1,OFFSET(DA251:DA262,DC254,0,COUNT(DA251:DA262)-DC254),0)</f>
        <v>#REF!</v>
      </c>
      <c r="DC255" s="4" t="e">
        <f t="shared" ca="1" si="4172"/>
        <v>#REF!</v>
      </c>
      <c r="DD255" s="693" t="str">
        <f ca="1">IF(LEFT($J251,7)="Clad Wo",IFERROR(VLOOKUP(INDEX(CZ251:CZ262,DC255),SPPWS,2,FALSE),"----"),IFERROR(VLOOKUP(INDEX(CZ251:CZ262,DC255),SPM,2,FALSE),"----"))</f>
        <v>----</v>
      </c>
      <c r="DE255" s="691" t="e">
        <f t="shared" ca="1" si="4173"/>
        <v>#REF!</v>
      </c>
      <c r="DF255" s="4" t="e" cm="1">
        <f t="array" aca="1" ref="DF255" ca="1">IF(AND(INDEX(INDIRECT(BY251),DE255,4)&gt;=$AB257,INDEX(INDIRECT(BY251),DE255,5)&gt;=$S251,INDEX(INDIRECT(BY251),DE255,6)&gt;=$R251),1,0)</f>
        <v>#REF!</v>
      </c>
      <c r="DG255" s="4" t="e">
        <f t="shared" ref="DG255" ca="1" si="4228">MATCH(1,OFFSET(DF251:DF262,DH254,0,COUNT(DF251:DF262)-DH254),0)</f>
        <v>#REF!</v>
      </c>
      <c r="DH255" s="4" t="e">
        <f t="shared" ca="1" si="4175"/>
        <v>#REF!</v>
      </c>
      <c r="DI255" s="692" t="str" cm="1">
        <f t="array" aca="1" ref="DI255" ca="1">IFERROR(VLOOKUP(INDEX(DE251:DE262,DH255),INDIRECT(BY251),2,FALSE),"----")</f>
        <v>----</v>
      </c>
      <c r="DJ255" s="691" t="e">
        <f t="shared" ca="1" si="4176"/>
        <v>#N/A</v>
      </c>
      <c r="DK255" s="4" t="e">
        <f ca="1">IF(AND(INDEX(SSM,DJ255,4)&gt;=$AB257,INDEX(SSM,DJ255,5)&gt;=$S251,INDEX(SSM,DJ255,6)&gt;=$R251),1,0)</f>
        <v>#N/A</v>
      </c>
      <c r="DL255" s="4" t="e">
        <f t="shared" ref="DL255" ca="1" si="4229">MATCH(1,OFFSET(DK251:DK262,DM254,0,COUNT(DK251:DK262)-DM254),0)</f>
        <v>#REF!</v>
      </c>
      <c r="DM255" s="4" t="e">
        <f t="shared" ca="1" si="4178"/>
        <v>#REF!</v>
      </c>
      <c r="DN255" s="692" t="str">
        <f ca="1">IFERROR(IF(AD258="Nested Steel Stud (wood infill)",VLOOKUP(INDEX(DJ251:DJ262,DM255),SSW,2,FALSE),VLOOKUP(INDEX(DJ251:DJ262,DM255),SSM,2,FALSE)),"----")</f>
        <v>----</v>
      </c>
      <c r="DO255" s="691" t="e">
        <f t="shared" ca="1" si="4179"/>
        <v>#N/A</v>
      </c>
      <c r="DP255" s="4" t="e">
        <f ca="1">IF(AND(INDEX(WSM,DO255,4)&gt;=$AB257,INDEX(WSM,DO255,5)&gt;=$S251,INDEX(WSM,DO255,6)&gt;=$R251),1,0)</f>
        <v>#N/A</v>
      </c>
      <c r="DQ255" s="4" t="e">
        <f t="shared" ref="DQ255" ca="1" si="4230">MATCH(1,OFFSET(DP251:DP262,DR254,0,COUNT(DP251:DP262)-DR254),0)</f>
        <v>#REF!</v>
      </c>
      <c r="DR255" s="4" t="e">
        <f t="shared" ca="1" si="4181"/>
        <v>#REF!</v>
      </c>
      <c r="DS255" s="692" t="str">
        <f ca="1">IFERROR(VLOOKUP(INDEX(DO251:DO262,DR255),WSM,2,FALSE),"----")</f>
        <v>----</v>
      </c>
      <c r="DT255" s="691" t="e">
        <f t="shared" ca="1" si="4182"/>
        <v>#N/A</v>
      </c>
      <c r="DU255" s="4" t="e">
        <f ca="1">IF(AND(INDEX(STM,DT255,4)&gt;=$AB257,INDEX(STM,DT255,5)&gt;=$S251,INDEX(STM,DT255,6)&gt;=$R251),1,0)</f>
        <v>#N/A</v>
      </c>
      <c r="DV255" s="4" t="e">
        <f t="shared" ref="DV255" ca="1" si="4231">MATCH(1,OFFSET(DU251:DU262,DW254,0,COUNT(DU251:DU262)-DW254),0)</f>
        <v>#REF!</v>
      </c>
      <c r="DW255" s="4" t="e">
        <f t="shared" ca="1" si="4184"/>
        <v>#REF!</v>
      </c>
      <c r="DX255" s="692" t="str">
        <f ca="1">IFERROR(VLOOKUP(INDEX(DT251:DT262,DW255),STM,2,FALSE),"----")</f>
        <v>----</v>
      </c>
      <c r="DY255" s="691" t="e">
        <f t="shared" ca="1" si="4185"/>
        <v>#N/A</v>
      </c>
      <c r="DZ255" s="4" t="e">
        <f ca="1">IF(AND(INDEX(ELM,DY255,4)&gt;=$AB257,INDEX(ELM,DY255,5)&gt;=$S251,INDEX(ELM,DY255,6)&gt;=$R251),1,0)</f>
        <v>#N/A</v>
      </c>
      <c r="EA255" s="4" t="e">
        <f t="shared" ref="EA255" ca="1" si="4232">MATCH(1,OFFSET(DZ251:DZ262,EB254,0,COUNT(DZ251:DZ262)-EB254),0)</f>
        <v>#REF!</v>
      </c>
      <c r="EB255" s="4" t="e">
        <f t="shared" ca="1" si="4187"/>
        <v>#REF!</v>
      </c>
      <c r="EC255" s="692" t="str">
        <f ca="1">IFERROR(VLOOKUP(INDEX(DY251:DY262,EB255),ELM,2,FALSE),"----")</f>
        <v>----</v>
      </c>
      <c r="ED255" s="691" t="e">
        <f t="shared" ca="1" si="4188"/>
        <v>#N/A</v>
      </c>
      <c r="EE255" s="4" t="e">
        <f ca="1">IF(LEFT($J251,7)="Clad Wo",IF(AND(INDEX(SPPWS,ED255,4)&gt;=$AB257,INDEX(SPPWS,ED255,5)&gt;=$S251,INDEX(SPPWS,ED255,6)&gt;=$R251),1,0),IF(AND(INDEX(SPM,ED255,4)&gt;=$AB257,INDEX(SPM,ED255,5)&gt;=$S251,INDEX(SPM,ED255,6)&gt;=$R251),1,0))</f>
        <v>#N/A</v>
      </c>
      <c r="EF255" s="4" t="e">
        <f t="shared" ref="EF255" ca="1" si="4233">MATCH(1,OFFSET(EE251:EE262,EG254,0,COUNT(EE251:EE262)-EG254),0)</f>
        <v>#REF!</v>
      </c>
      <c r="EG255" s="4" t="e">
        <f t="shared" ca="1" si="4190"/>
        <v>#REF!</v>
      </c>
      <c r="EH255" s="692" t="str">
        <f ca="1">IF(LEFT($J251,7)="Clad Wo",IFERROR(VLOOKUP(INDEX(ED251:ED262,EG255),SPPWS,2,FALSE),"----"),IFERROR(VLOOKUP(INDEX(ED251:ED262,EG255),SPM,2,FALSE),"----"))</f>
        <v>----</v>
      </c>
    </row>
    <row r="256" spans="1:138" ht="15" customHeight="1" thickBot="1" x14ac:dyDescent="0.3">
      <c r="A256" s="1085"/>
      <c r="B256" s="934"/>
      <c r="C256" s="935"/>
      <c r="D256" s="936"/>
      <c r="E256" s="995"/>
      <c r="F256" s="996"/>
      <c r="G256" s="997"/>
      <c r="H256" s="1062"/>
      <c r="I256" s="990"/>
      <c r="J256" s="908"/>
      <c r="K256" s="909"/>
      <c r="L256" s="1010"/>
      <c r="M256" s="924"/>
      <c r="N256" s="1044"/>
      <c r="O256" s="1018"/>
      <c r="P256" s="987"/>
      <c r="Q256" s="1015"/>
      <c r="R256" s="1012"/>
      <c r="S256" s="1006"/>
      <c r="T256" s="1007"/>
      <c r="U256" s="878"/>
      <c r="V256" s="881"/>
      <c r="W256" s="889"/>
      <c r="X256" s="884"/>
      <c r="Y256" s="890"/>
      <c r="Z256" s="890"/>
      <c r="AA256" s="887"/>
      <c r="AB256" s="1084"/>
      <c r="AC256" s="1079"/>
      <c r="AD256" s="1072" t="str">
        <f t="shared" ref="AD256" si="4234">IF(LEFT(J251,7)="Clad Wo","Pella Wood Spr / Steel Pte","Steel Plate")</f>
        <v>Steel Plate</v>
      </c>
      <c r="AE256" s="1073"/>
      <c r="AF256" s="1054"/>
      <c r="AG256" s="1055"/>
      <c r="AH256" s="1055"/>
      <c r="AI256" s="1092"/>
      <c r="AJ256" s="1093"/>
      <c r="AK256" s="159" t="str">
        <f t="shared" ca="1" si="3667"/>
        <v/>
      </c>
      <c r="AL256" s="1040"/>
      <c r="AM256" s="345" t="str">
        <f ca="1">IFERROR(Q251/12*ROUND(VLOOKUP(AF256,OFFSET(SPM,0,1),6,FALSE),2),"")</f>
        <v/>
      </c>
      <c r="AN256" t="str">
        <f t="shared" ca="1" si="3717"/>
        <v/>
      </c>
      <c r="AP256" s="699" t="str">
        <f t="shared" ref="AP256" si="4235">_xlfn.CONCAT(AR256,AS256)</f>
        <v/>
      </c>
      <c r="AQ256" s="700" t="str">
        <f t="shared" si="3881"/>
        <v/>
      </c>
      <c r="AR256" s="160" t="str">
        <f t="shared" si="3642"/>
        <v/>
      </c>
      <c r="AS256" s="160" t="str">
        <f>IFERROR(VLOOKUP(J259, WallType,2,FALSE),"")</f>
        <v/>
      </c>
      <c r="AT256" s="701" t="str">
        <f>AL251</f>
        <v/>
      </c>
      <c r="AU256" s="694" t="e">
        <f t="shared" ca="1" si="3907"/>
        <v>#REF!</v>
      </c>
      <c r="AV256" s="698" t="str">
        <f ca="1">IFERROR(VLOOKUP(AU256,INDIRECT(AQ251),2,FALSE),"----")</f>
        <v>----</v>
      </c>
      <c r="AW256" s="702" t="e">
        <f t="shared" ca="1" si="3908"/>
        <v>#REF!</v>
      </c>
      <c r="AX256" s="698" t="str">
        <f ca="1">IFERROR(VLOOKUP(AW256,INDIRECT(AQ252),2,FALSE),"----")</f>
        <v>----</v>
      </c>
      <c r="AY256" s="702" t="e">
        <f t="shared" ref="AY256" ca="1" si="4236">AY255-1</f>
        <v>#REF!</v>
      </c>
      <c r="AZ256" s="698" t="str">
        <f ca="1">IFERROR(VLOOKUP(AY256,INDIRECT(AQ253),2,FALSE),"----")</f>
        <v>----</v>
      </c>
      <c r="BA256" s="702" t="e">
        <f t="shared" ref="BA256" ca="1" si="4237">BA255-1</f>
        <v>#REF!</v>
      </c>
      <c r="BB256" s="698" t="str">
        <f ca="1">IFERROR(VLOOKUP(BA256,INDIRECT(AQ254),2,FALSE),"----")</f>
        <v>----</v>
      </c>
      <c r="BC256" s="702" t="e">
        <f t="shared" ca="1" si="3911"/>
        <v>#REF!</v>
      </c>
      <c r="BD256" s="698" t="str">
        <f ca="1">IFERROR(VLOOKUP(BC256,INDIRECT(AQ255),2,FALSE),"----")</f>
        <v>----</v>
      </c>
      <c r="BE256" s="702" t="e">
        <f t="shared" ca="1" si="3912"/>
        <v>#REF!</v>
      </c>
      <c r="BF256" s="698" t="str">
        <f ca="1">IFERROR(VLOOKUP(BE256,INDIRECT(AQ256),2,FALSE),"----")</f>
        <v>----</v>
      </c>
      <c r="BG256" s="702" t="e">
        <f t="shared" ca="1" si="3913"/>
        <v>#REF!</v>
      </c>
      <c r="BH256" s="686" t="str">
        <f ca="1">IFERROR(VLOOKUP(BG256,INDIRECT(AQ257),2,FALSE),"----")</f>
        <v>----</v>
      </c>
      <c r="BI256" s="702" t="e">
        <f t="shared" ca="1" si="3914"/>
        <v>#REF!</v>
      </c>
      <c r="BJ256" s="686" t="str">
        <f ca="1">IFERROR(VLOOKUP(BI256,INDIRECT(AQ258),2,FALSE),"----")</f>
        <v>----</v>
      </c>
      <c r="BK256" s="702" t="e">
        <f t="shared" ca="1" si="3915"/>
        <v>#REF!</v>
      </c>
      <c r="BL256" s="686" t="str">
        <f ca="1">IFERROR(VLOOKUP(BK256,INDIRECT(AQ259),2,FALSE),"----")</f>
        <v>----</v>
      </c>
      <c r="BM256" s="702" t="e">
        <f t="shared" ca="1" si="3916"/>
        <v>#REF!</v>
      </c>
      <c r="BN256" s="686" t="str">
        <f ca="1">IFERROR(VLOOKUP(BM256,INDIRECT(AQ260),2,FALSE),"----")</f>
        <v>----</v>
      </c>
      <c r="BO256" s="702" t="e">
        <f t="shared" ca="1" si="3917"/>
        <v>#REF!</v>
      </c>
      <c r="BP256" s="686" t="str">
        <f ca="1">IFERROR(VLOOKUP(BO256,INDIRECT(AQ261),2,FALSE),"----")</f>
        <v>----</v>
      </c>
      <c r="BQ256" s="702" t="e">
        <f t="shared" ca="1" si="3918"/>
        <v>#REF!</v>
      </c>
      <c r="BR256" s="686" t="str">
        <f ca="1">IFERROR(VLOOKUP(BQ256,INDIRECT(AQ262),2,FALSE),"----")</f>
        <v>----</v>
      </c>
      <c r="BS256" s="703">
        <f>IF(AI256="",1,IF(COUNTIF(BF251:BF262,AI256)=0,2,1))</f>
        <v>1</v>
      </c>
      <c r="BT256" s="704">
        <f>IF(AF256="",1,IF(BF251=".",2,1))</f>
        <v>1</v>
      </c>
      <c r="BV256" s="155">
        <f ca="1">IF(COUNTIF(DD251:DD262,AF256)=0,IF(AF256&lt;&gt;"",0,1),1)</f>
        <v>1</v>
      </c>
      <c r="BW256" s="157">
        <f ca="1">IFERROR(MATCH(AF256,DD251:DD262,0),1)</f>
        <v>1</v>
      </c>
      <c r="BX256" s="875" t="s">
        <v>1594</v>
      </c>
      <c r="BY256" s="876"/>
      <c r="BZ256" s="1110"/>
      <c r="CA256" s="691" t="e">
        <f t="shared" ca="1" si="4155"/>
        <v>#REF!</v>
      </c>
      <c r="CB256" s="4" t="e" cm="1">
        <f t="array" aca="1" ref="CB256" ca="1">IF(AND(INDEX(INDIRECT(BY251),CA256,4)&gt;=$AB251,INDEX(INDIRECT(BY251),CA256,5)&gt;=$S251,INDEX(INDIRECT(BY251),CA256,6)&gt;=$R251),1,0)</f>
        <v>#REF!</v>
      </c>
      <c r="CC256" s="4" t="e">
        <f t="shared" ref="CC256" ca="1" si="4238">MATCH(1,OFFSET(CB251:CB262,CD255,0,COUNT(CB251:CB262)-CD255),0)</f>
        <v>#REF!</v>
      </c>
      <c r="CD256" s="4" t="e">
        <f t="shared" ca="1" si="4157"/>
        <v>#REF!</v>
      </c>
      <c r="CE256" s="692" t="str" cm="1">
        <f t="array" aca="1" ref="CE256" ca="1">IFERROR(VLOOKUP(INDEX(CA251:CA262,CD256),INDIRECT(BY251),2,FALSE),"----")</f>
        <v>----</v>
      </c>
      <c r="CF256" s="691" t="e">
        <f t="shared" ca="1" si="4158"/>
        <v>#N/A</v>
      </c>
      <c r="CG256" s="4" t="e">
        <f ca="1">IF(AND(INDEX(SSM,CF256,4)&gt;=$AB251,INDEX(SSM,CF256,5)&gt;=$S251,INDEX(SSM,CF256,6)&gt;=$R251),1,0)</f>
        <v>#N/A</v>
      </c>
      <c r="CH256" s="4" t="e">
        <f t="shared" ref="CH256" ca="1" si="4239">MATCH(1,OFFSET(CG251:CG262,CI255,0,COUNT(CG251:CG262)-CI255),0)</f>
        <v>#REF!</v>
      </c>
      <c r="CI256" s="4" t="e">
        <f t="shared" ca="1" si="4160"/>
        <v>#REF!</v>
      </c>
      <c r="CJ256" s="692" t="str">
        <f ca="1">IFERROR(IF(AD252="Nested Steel Stud (wood infill)",VLOOKUP(INDEX(CF251:CF262,CI256),SSW,2,FALSE),VLOOKUP(INDEX(CF251:CF262,CI256),SSM,2,FALSE)),"----")</f>
        <v>----</v>
      </c>
      <c r="CK256" s="691" t="e">
        <f t="shared" ca="1" si="4161"/>
        <v>#N/A</v>
      </c>
      <c r="CL256" s="4" t="e">
        <f ca="1">IF(AND(INDEX(WSM,CK256,4)&gt;=$AB251,INDEX(WSM,CK256,5)&gt;=$S251,INDEX(WSM,CK256,6)&gt;=$R251),1,0)</f>
        <v>#N/A</v>
      </c>
      <c r="CM256" s="4" t="e">
        <f t="shared" ref="CM256" ca="1" si="4240">MATCH(1,OFFSET(CL251:CL262,CN255,0,COUNT(CL251:CL262)-CN255),0)</f>
        <v>#REF!</v>
      </c>
      <c r="CN256" s="4" t="e">
        <f t="shared" ca="1" si="4163"/>
        <v>#REF!</v>
      </c>
      <c r="CO256" s="692" t="str">
        <f ca="1">IFERROR(VLOOKUP(INDEX(CK251:CK262,CN256),WSM,2,FALSE),"----")</f>
        <v>----</v>
      </c>
      <c r="CP256" s="691" t="e">
        <f t="shared" ca="1" si="4164"/>
        <v>#N/A</v>
      </c>
      <c r="CQ256" s="4" t="e">
        <f ca="1">IF(AND(INDEX(STM,CP256,4)&gt;=$AB251,INDEX(STM,CP256,5)&gt;=$S251,INDEX(STM,CP256,6)&gt;=$R251),1,0)</f>
        <v>#N/A</v>
      </c>
      <c r="CR256" s="4" t="e">
        <f t="shared" ref="CR256" ca="1" si="4241">MATCH(1,OFFSET(CQ251:CQ262,CS255,0,COUNT(CQ251:CQ262)-CS255),0)</f>
        <v>#REF!</v>
      </c>
      <c r="CS256" s="4" t="e">
        <f t="shared" ca="1" si="4166"/>
        <v>#REF!</v>
      </c>
      <c r="CT256" s="692" t="str">
        <f ca="1">IFERROR(VLOOKUP(INDEX(CP251:CP262,CS256),STM,2,FALSE),"----")</f>
        <v>----</v>
      </c>
      <c r="CU256" s="691" t="e">
        <f t="shared" ca="1" si="4167"/>
        <v>#N/A</v>
      </c>
      <c r="CV256" s="4" t="e">
        <f ca="1">IF(AND(INDEX(ELM,CU256,4)&gt;=$AB251,INDEX(ELM,CU256,5)&gt;=$S251,INDEX(ELM,CU256,6)&gt;=$R251),1,0)</f>
        <v>#N/A</v>
      </c>
      <c r="CW256" s="4" t="e">
        <f t="shared" ref="CW256" ca="1" si="4242">MATCH(1,OFFSET(CV251:CV262,CX255,0,COUNT(CV251:CV262)-CX255),0)</f>
        <v>#REF!</v>
      </c>
      <c r="CX256" s="4" t="e">
        <f t="shared" ca="1" si="4169"/>
        <v>#REF!</v>
      </c>
      <c r="CY256" s="692" t="str">
        <f ca="1">IFERROR(VLOOKUP(INDEX(CU251:CU262,CX256),ELM,2,FALSE),"----")</f>
        <v>----</v>
      </c>
      <c r="CZ256" s="691" t="e">
        <f t="shared" ca="1" si="4170"/>
        <v>#N/A</v>
      </c>
      <c r="DA256" s="4" t="e">
        <f ca="1">IF(LEFT($J251,7)="Clad Wo",IF(AND(INDEX(SPPWS,CZ256,4)&gt;=$AB251,INDEX(SPPWS,CZ256,5)&gt;=$S251,INDEX(SPPWS,CZ256,6)&gt;=$R251),1,0),IF(AND(INDEX(SPM,CZ256,4)&gt;=$AB251,INDEX(SPM,CZ256,5)&gt;=$S251,INDEX(SPM,CZ256,6)&gt;=$R251),1,0))</f>
        <v>#N/A</v>
      </c>
      <c r="DB256" s="4" t="e">
        <f t="shared" ref="DB256" ca="1" si="4243">MATCH(1,OFFSET(DA251:DA262,DC255,0,COUNT(DA251:DA262)-DC255),0)</f>
        <v>#REF!</v>
      </c>
      <c r="DC256" s="4" t="e">
        <f t="shared" ca="1" si="4172"/>
        <v>#REF!</v>
      </c>
      <c r="DD256" s="693" t="str">
        <f ca="1">IF(LEFT($J251,7)="Clad Wo",IFERROR(VLOOKUP(INDEX(CZ251:CZ262,DC256),SPPWS,2,FALSE),"----"),IFERROR(VLOOKUP(INDEX(CZ251:CZ262,DC256),SPM,2,FALSE),"----"))</f>
        <v>----</v>
      </c>
      <c r="DE256" s="691" t="e">
        <f t="shared" ca="1" si="4173"/>
        <v>#REF!</v>
      </c>
      <c r="DF256" s="4" t="e" cm="1">
        <f t="array" aca="1" ref="DF256" ca="1">IF(AND(INDEX(INDIRECT(BY251),DE256,4)&gt;=$AB257,INDEX(INDIRECT(BY251),DE256,5)&gt;=$S251,INDEX(INDIRECT(BY251),DE256,6)&gt;=$R251),1,0)</f>
        <v>#REF!</v>
      </c>
      <c r="DG256" s="4" t="e">
        <f t="shared" ref="DG256" ca="1" si="4244">MATCH(1,OFFSET(DF251:DF262,DH255,0,COUNT(DF251:DF262)-DH255),0)</f>
        <v>#REF!</v>
      </c>
      <c r="DH256" s="4" t="e">
        <f t="shared" ca="1" si="4175"/>
        <v>#REF!</v>
      </c>
      <c r="DI256" s="692" t="str" cm="1">
        <f t="array" aca="1" ref="DI256" ca="1">IFERROR(VLOOKUP(INDEX(DE251:DE262,DH256),INDIRECT(BY251),2,FALSE),"----")</f>
        <v>----</v>
      </c>
      <c r="DJ256" s="691" t="e">
        <f t="shared" ca="1" si="4176"/>
        <v>#N/A</v>
      </c>
      <c r="DK256" s="4" t="e">
        <f ca="1">IF(AND(INDEX(SSM,DJ256,4)&gt;=$AB257,INDEX(SSM,DJ256,5)&gt;=$S251,INDEX(SSM,DJ256,6)&gt;=$R251),1,0)</f>
        <v>#N/A</v>
      </c>
      <c r="DL256" s="4" t="e">
        <f t="shared" ref="DL256" ca="1" si="4245">MATCH(1,OFFSET(DK251:DK262,DM255,0,COUNT(DK251:DK262)-DM255),0)</f>
        <v>#REF!</v>
      </c>
      <c r="DM256" s="4" t="e">
        <f t="shared" ca="1" si="4178"/>
        <v>#REF!</v>
      </c>
      <c r="DN256" s="692" t="str">
        <f ca="1">IFERROR(IF(AD258="Nested Steel Stud (wood infill)",VLOOKUP(INDEX(DJ251:DJ262,DM256),SSW,2,FALSE),VLOOKUP(INDEX(DJ251:DJ262,DM256),SSM,2,FALSE)),"----")</f>
        <v>----</v>
      </c>
      <c r="DO256" s="691" t="e">
        <f t="shared" ca="1" si="4179"/>
        <v>#N/A</v>
      </c>
      <c r="DP256" s="4" t="e">
        <f ca="1">IF(AND(INDEX(WSM,DO256,4)&gt;=$AB257,INDEX(WSM,DO256,5)&gt;=$S251,INDEX(WSM,DO256,6)&gt;=$R251),1,0)</f>
        <v>#N/A</v>
      </c>
      <c r="DQ256" s="4" t="e">
        <f t="shared" ref="DQ256" ca="1" si="4246">MATCH(1,OFFSET(DP251:DP262,DR255,0,COUNT(DP251:DP262)-DR255),0)</f>
        <v>#REF!</v>
      </c>
      <c r="DR256" s="4" t="e">
        <f t="shared" ca="1" si="4181"/>
        <v>#REF!</v>
      </c>
      <c r="DS256" s="692" t="str">
        <f ca="1">IFERROR(VLOOKUP(INDEX(DO251:DO262,DR256),WSM,2,FALSE),"----")</f>
        <v>----</v>
      </c>
      <c r="DT256" s="691" t="e">
        <f t="shared" ca="1" si="4182"/>
        <v>#N/A</v>
      </c>
      <c r="DU256" s="4" t="e">
        <f ca="1">IF(AND(INDEX(STM,DT256,4)&gt;=$AB257,INDEX(STM,DT256,5)&gt;=$S251,INDEX(STM,DT256,6)&gt;=$R251),1,0)</f>
        <v>#N/A</v>
      </c>
      <c r="DV256" s="4" t="e">
        <f t="shared" ref="DV256" ca="1" si="4247">MATCH(1,OFFSET(DU251:DU262,DW255,0,COUNT(DU251:DU262)-DW255),0)</f>
        <v>#REF!</v>
      </c>
      <c r="DW256" s="4" t="e">
        <f t="shared" ca="1" si="4184"/>
        <v>#REF!</v>
      </c>
      <c r="DX256" s="692" t="str">
        <f ca="1">IFERROR(VLOOKUP(INDEX(DT251:DT262,DW256),STM,2,FALSE),"----")</f>
        <v>----</v>
      </c>
      <c r="DY256" s="691" t="e">
        <f t="shared" ca="1" si="4185"/>
        <v>#N/A</v>
      </c>
      <c r="DZ256" s="4" t="e">
        <f ca="1">IF(AND(INDEX(ELM,DY256,4)&gt;=$AB257,INDEX(ELM,DY256,5)&gt;=$S251,INDEX(ELM,DY256,6)&gt;=$R251),1,0)</f>
        <v>#N/A</v>
      </c>
      <c r="EA256" s="4" t="e">
        <f t="shared" ref="EA256" ca="1" si="4248">MATCH(1,OFFSET(DZ251:DZ262,EB255,0,COUNT(DZ251:DZ262)-EB255),0)</f>
        <v>#REF!</v>
      </c>
      <c r="EB256" s="4" t="e">
        <f t="shared" ca="1" si="4187"/>
        <v>#REF!</v>
      </c>
      <c r="EC256" s="692" t="str">
        <f ca="1">IFERROR(VLOOKUP(INDEX(DY251:DY262,EB256),ELM,2,FALSE),"----")</f>
        <v>----</v>
      </c>
      <c r="ED256" s="691" t="e">
        <f t="shared" ca="1" si="4188"/>
        <v>#N/A</v>
      </c>
      <c r="EE256" s="4" t="e">
        <f ca="1">IF(LEFT($J251,7)="Clad Wo",IF(AND(INDEX(SPPWS,ED256,4)&gt;=$AB257,INDEX(SPPWS,ED256,5)&gt;=$S251,INDEX(SPPWS,ED256,6)&gt;=$R251),1,0),IF(AND(INDEX(SPM,ED256,4)&gt;=$AB257,INDEX(SPM,ED256,5)&gt;=$S251,INDEX(SPM,ED256,6)&gt;=$R251),1,0))</f>
        <v>#N/A</v>
      </c>
      <c r="EF256" s="4" t="e">
        <f t="shared" ref="EF256" ca="1" si="4249">MATCH(1,OFFSET(EE251:EE262,EG255,0,COUNT(EE251:EE262)-EG255),0)</f>
        <v>#REF!</v>
      </c>
      <c r="EG256" s="4" t="e">
        <f t="shared" ca="1" si="4190"/>
        <v>#REF!</v>
      </c>
      <c r="EH256" s="692" t="str">
        <f ca="1">IF(LEFT($J251,7)="Clad Wo",IFERROR(VLOOKUP(INDEX(ED251:ED262,EG256),SPPWS,2,FALSE),"----"),IFERROR(VLOOKUP(INDEX(ED251:ED262,EG256),SPM,2,FALSE),"----"))</f>
        <v>----</v>
      </c>
    </row>
    <row r="257" spans="1:138" ht="15" customHeight="1" x14ac:dyDescent="0.25">
      <c r="A257" s="1085"/>
      <c r="B257" s="925" t="s">
        <v>409</v>
      </c>
      <c r="C257" s="926"/>
      <c r="D257" s="927"/>
      <c r="E257" s="995"/>
      <c r="F257" s="996"/>
      <c r="G257" s="997"/>
      <c r="H257" s="1062"/>
      <c r="I257" s="990"/>
      <c r="J257" s="908"/>
      <c r="K257" s="909"/>
      <c r="L257" s="1001">
        <f>L251+1</f>
        <v>5</v>
      </c>
      <c r="M257" s="1064" t="str">
        <f t="shared" ref="M257" si="4250">IFERROR(IF($AE$17="",IF($AG$19="Wind Loading",MIN($V$31,IF(E$11="ASCE 7-05",$U$26,$V$7)*$V$9*(IF($E$12&lt;60,0.156*LN(MAX(MIN(500,O251),10)) -1.7618,IF($E$11="ASCE 7-22", 0.2026*LN(MAX(MIN(500,O251),20))-2.2638,0.2503*LN(MAX(MIN(500,O251),20)) -2.5526))-$V$8)),$V$7*IF(E$12&lt;60,$V$13*($V$15*(0.156*LN(MAX(MIN(500,O251),10)) -1.7618)-$V$16),$V$13*$V$15*((0.2026*LN(MAX(MIN(500,O251),20))-2.2638)-$V$16))),-ABS($AE$17)),"")</f>
        <v/>
      </c>
      <c r="N257" s="1041" t="str">
        <f t="shared" ref="N257" si="4251">IFERROR(IF($AE$19="",IF($AG$19="Wind Loading",MAX($U$31,IF(E$11="ASCE 7-05",$U$26,$V$7)*$V$9*((IF($E$12&lt;60,-0.077*LN(MAX(MIN(500,O251),10))+1.1737,IF($E$11="ASCE 7-22",-0.077*LN(MAX(MIN(500,O251),20))+1.0798,-0.093*LN(MAX(MIN(500,O251),20))+1.1776)))+$V$8)),$V$7*IF(E$12&lt;60,$V$13*($V$15*(-0.077*LN(MAX(MIN(500,O251),10))+1.1737)-$V$17),$V$13*$V$15*((-0.077*LN(MAX(MIN(500,O251),20))+1.0798)-$V$17))),ABS($AE$19)),"")</f>
        <v/>
      </c>
      <c r="O257" s="1018"/>
      <c r="P257" s="987"/>
      <c r="Q257" s="1015"/>
      <c r="R257" s="1012">
        <f>P257*Q257/8</f>
        <v>0</v>
      </c>
      <c r="S257" s="1006"/>
      <c r="T257" s="1007"/>
      <c r="U257" s="878"/>
      <c r="V257" s="881"/>
      <c r="W257" s="883" t="e">
        <f t="shared" ref="W257" si="4252">MAX(-M257,N257)*O251</f>
        <v>#VALUE!</v>
      </c>
      <c r="X257" s="884"/>
      <c r="Y257" s="886">
        <f>IFERROR(IF(AG$14="Trapezoidal",BY260,BX260)+IF($E$17="4",(400*E251^3)/(48*X251),0),0)</f>
        <v>0</v>
      </c>
      <c r="Z257" s="886" t="e">
        <f t="shared" ref="Z257" si="4253">+($V251*MAX(-$M257,$N257)*$E251^2)/(144*8)+IF($E$17=4,(400*$E251)/4,0)</f>
        <v>#VALUE!</v>
      </c>
      <c r="AA257" s="887"/>
      <c r="AB257" s="1080" t="str">
        <f t="shared" ref="AB257" ca="1" si="4254">IFERROR(Z257-AA251,"")</f>
        <v/>
      </c>
      <c r="AC257" s="1086" t="str">
        <f t="shared" ref="AC257" ca="1" si="4255">IFERROR(Y257-U251,"")</f>
        <v/>
      </c>
      <c r="AD257" s="1074" t="str">
        <f t="shared" ref="AD257" si="4256">AD251</f>
        <v/>
      </c>
      <c r="AE257" s="1075"/>
      <c r="AF257" s="1056"/>
      <c r="AG257" s="1057"/>
      <c r="AH257" s="1057"/>
      <c r="AI257" s="1088"/>
      <c r="AJ257" s="1089"/>
      <c r="AK257" s="162" t="str">
        <f t="shared" ca="1" si="3667"/>
        <v/>
      </c>
      <c r="AL257" s="1058" t="str">
        <f t="shared" ref="AL257" si="4257">IFERROR(ROUND(SQRT(P251^2+(W257/2+IF($E$17=4,200,0))^2),0),"")</f>
        <v/>
      </c>
      <c r="AM257" s="342" t="s">
        <v>669</v>
      </c>
      <c r="AN257" t="str">
        <f t="shared" ca="1" si="3717"/>
        <v/>
      </c>
      <c r="AP257" s="122" t="str">
        <f t="shared" ref="AP257" si="4258">_xlfn.CONCAT(AR257,AS262)</f>
        <v/>
      </c>
      <c r="AQ257" s="683" t="str">
        <f t="shared" si="3881"/>
        <v/>
      </c>
      <c r="AR257" s="96" t="str">
        <f t="shared" si="3642"/>
        <v/>
      </c>
      <c r="AS257" s="96" t="str">
        <f>IF(COUNTIF(imp_1,AF257)=1,"imp_1",IF(COUNTIF(imp_2,AF257)=1,"imp_2",IF(COUNTIF(imp_3,AF257)=1,"imp_3",IF(COUNTIF(impdoor,AF257)=1,"impdoor",""))))</f>
        <v/>
      </c>
      <c r="AT257" s="684" t="str">
        <f>AL257</f>
        <v/>
      </c>
      <c r="AU257" s="685" t="e">
        <f t="shared" ca="1" si="3907"/>
        <v>#REF!</v>
      </c>
      <c r="AV257" s="686" t="str">
        <f ca="1">IFERROR(VLOOKUP(AU257,INDIRECT(AQ251),2,FALSE),"----")</f>
        <v>----</v>
      </c>
      <c r="AW257" s="685" t="e">
        <f t="shared" ca="1" si="3908"/>
        <v>#REF!</v>
      </c>
      <c r="AX257" s="686" t="str">
        <f ca="1">IFERROR(VLOOKUP(AW257,INDIRECT(AQ252),2,FALSE),"----")</f>
        <v>----</v>
      </c>
      <c r="AY257" s="685" t="e">
        <f t="shared" ca="1" si="4000"/>
        <v>#REF!</v>
      </c>
      <c r="AZ257" s="686" t="str">
        <f ca="1">IFERROR(VLOOKUP(AY257,INDIRECT(AQ253),2,FALSE),"----")</f>
        <v>----</v>
      </c>
      <c r="BA257" s="685" t="e">
        <f t="shared" ca="1" si="4001"/>
        <v>#REF!</v>
      </c>
      <c r="BB257" s="686" t="str">
        <f ca="1">IFERROR(VLOOKUP(BA257,INDIRECT(AQ254),2,FALSE),"----")</f>
        <v>----</v>
      </c>
      <c r="BC257" s="685" t="e">
        <f t="shared" ca="1" si="3911"/>
        <v>#REF!</v>
      </c>
      <c r="BD257" s="686" t="str">
        <f ca="1">IFERROR(VLOOKUP(BC257,INDIRECT(AQ255),2,FALSE),"----")</f>
        <v>----</v>
      </c>
      <c r="BE257" s="685" t="e">
        <f t="shared" ca="1" si="3912"/>
        <v>#REF!</v>
      </c>
      <c r="BF257" s="686" t="str">
        <f ca="1">IFERROR(VLOOKUP(BE257,INDIRECT(AQ256),2,FALSE),"----")</f>
        <v>----</v>
      </c>
      <c r="BG257" s="702" t="e">
        <f t="shared" ca="1" si="3913"/>
        <v>#REF!</v>
      </c>
      <c r="BH257" s="686" t="str">
        <f ca="1">IFERROR(VLOOKUP(BG257,INDIRECT(AQ257),2,FALSE),"----")</f>
        <v>----</v>
      </c>
      <c r="BI257" s="702" t="e">
        <f t="shared" ca="1" si="3914"/>
        <v>#REF!</v>
      </c>
      <c r="BJ257" s="686" t="str">
        <f ca="1">IFERROR(VLOOKUP(BI257,INDIRECT(AQ258),2,FALSE),"----")</f>
        <v>----</v>
      </c>
      <c r="BK257" s="702" t="e">
        <f t="shared" ca="1" si="3915"/>
        <v>#REF!</v>
      </c>
      <c r="BL257" s="686" t="str">
        <f ca="1">IFERROR(VLOOKUP(BK257,INDIRECT(AQ259),2,FALSE),"----")</f>
        <v>----</v>
      </c>
      <c r="BM257" s="702" t="e">
        <f t="shared" ca="1" si="3916"/>
        <v>#REF!</v>
      </c>
      <c r="BN257" s="686" t="str">
        <f ca="1">IFERROR(VLOOKUP(BM257,INDIRECT(AQ260),2,FALSE),"----")</f>
        <v>----</v>
      </c>
      <c r="BO257" s="702" t="e">
        <f t="shared" ca="1" si="3917"/>
        <v>#REF!</v>
      </c>
      <c r="BP257" s="686" t="str">
        <f ca="1">IFERROR(VLOOKUP(BO257,INDIRECT(AQ261),2,FALSE),"----")</f>
        <v>----</v>
      </c>
      <c r="BQ257" s="702" t="e">
        <f t="shared" ca="1" si="3918"/>
        <v>#REF!</v>
      </c>
      <c r="BR257" s="686" t="str">
        <f ca="1">IFERROR(VLOOKUP(BQ257,INDIRECT(AQ262),2,FALSE),"----")</f>
        <v>----</v>
      </c>
      <c r="BS257" s="695">
        <f>IF(AI257="",1,IF(COUNTIF(BH251:BH262,AI257)=0,2,1))</f>
        <v>1</v>
      </c>
      <c r="BT257" s="696">
        <f>IF(AP257="1",1,IF(AF257="",1,IF(BH251=".",2,1)))</f>
        <v>1</v>
      </c>
      <c r="BU257" s="706"/>
      <c r="BV257" s="155">
        <f ca="1">IF(COUNTIF(DI251:DI262,AF257)=0,IF(AF257&lt;&gt;"",0,1),1)</f>
        <v>1</v>
      </c>
      <c r="BW257" s="157">
        <f ca="1">IFERROR(MATCH(AF257,DI251:DI262,0),1)</f>
        <v>1</v>
      </c>
      <c r="BX257" s="769" t="s">
        <v>1593</v>
      </c>
      <c r="BY257" s="769" t="s">
        <v>1629</v>
      </c>
      <c r="BZ257" s="1110"/>
      <c r="CA257" s="691" t="e">
        <f t="shared" ca="1" si="4155"/>
        <v>#REF!</v>
      </c>
      <c r="CB257" s="4" t="e" cm="1">
        <f t="array" aca="1" ref="CB257" ca="1">IF(AND(INDEX(INDIRECT(BY251),CA257,4)&gt;=$AB251,INDEX(INDIRECT(BY251),CA257,5)&gt;=$S251,INDEX(INDIRECT(BY251),CA257,6)&gt;=$R251),1,0)</f>
        <v>#REF!</v>
      </c>
      <c r="CC257" s="4" t="e">
        <f t="shared" ref="CC257" ca="1" si="4259">MATCH(1,OFFSET(CB251:CB262,CD256,0,COUNT(CB251:CB262)-CD256),0)</f>
        <v>#REF!</v>
      </c>
      <c r="CD257" s="4" t="e">
        <f t="shared" ca="1" si="4157"/>
        <v>#REF!</v>
      </c>
      <c r="CE257" s="692" t="str" cm="1">
        <f t="array" aca="1" ref="CE257" ca="1">IFERROR(VLOOKUP(INDEX(CA251:CA262,CD257),INDIRECT(BY251),2,FALSE),"----")</f>
        <v>----</v>
      </c>
      <c r="CF257" s="691" t="e">
        <f t="shared" ca="1" si="4158"/>
        <v>#N/A</v>
      </c>
      <c r="CG257" s="4" t="e">
        <f ca="1">IF(AND(INDEX(SSM,CF257,4)&gt;=$AB251,INDEX(SSM,CF257,5)&gt;=$S251,INDEX(SSM,CF257,6)&gt;=$R251),1,0)</f>
        <v>#N/A</v>
      </c>
      <c r="CH257" s="4" t="e">
        <f t="shared" ref="CH257" ca="1" si="4260">MATCH(1,OFFSET(CG251:CG262,CI256,0,COUNT(CG251:CG262)-CI256),0)</f>
        <v>#REF!</v>
      </c>
      <c r="CI257" s="4" t="e">
        <f t="shared" ca="1" si="4160"/>
        <v>#REF!</v>
      </c>
      <c r="CJ257" s="692" t="str">
        <f ca="1">IFERROR(IF(AD252="Nested Steel Stud (wood infill)",VLOOKUP(INDEX(CF251:CF262,CI257),SSW,2,FALSE),VLOOKUP(INDEX(CF251:CF262,CI257),SSM,2,FALSE)),"----")</f>
        <v>----</v>
      </c>
      <c r="CK257" s="691" t="e">
        <f t="shared" ca="1" si="4161"/>
        <v>#N/A</v>
      </c>
      <c r="CL257" s="4" t="e">
        <f ca="1">IF(AND(INDEX(WSM,CK257,4)&gt;=$AB251,INDEX(WSM,CK257,5)&gt;=$S251,INDEX(WSM,CK257,6)&gt;=$R251),1,0)</f>
        <v>#N/A</v>
      </c>
      <c r="CM257" s="4" t="e">
        <f t="shared" ref="CM257" ca="1" si="4261">MATCH(1,OFFSET(CL251:CL262,CN256,0,COUNT(CL251:CL262)-CN256),0)</f>
        <v>#REF!</v>
      </c>
      <c r="CN257" s="4" t="e">
        <f t="shared" ca="1" si="4163"/>
        <v>#REF!</v>
      </c>
      <c r="CO257" s="692" t="str">
        <f ca="1">IFERROR(VLOOKUP(INDEX(CK251:CK262,CN257),WSM,2,FALSE),"----")</f>
        <v>----</v>
      </c>
      <c r="CP257" s="691" t="e">
        <f t="shared" ca="1" si="4164"/>
        <v>#N/A</v>
      </c>
      <c r="CQ257" s="4" t="e">
        <f ca="1">IF(AND(INDEX(STM,CP257,4)&gt;=$AB251,INDEX(STM,CP257,5)&gt;=$S251,INDEX(STM,CP257,6)&gt;=$R251),1,0)</f>
        <v>#N/A</v>
      </c>
      <c r="CR257" s="4" t="e">
        <f t="shared" ref="CR257" ca="1" si="4262">MATCH(1,OFFSET(CQ251:CQ262,CS256,0,COUNT(CQ251:CQ262)-CS256),0)</f>
        <v>#REF!</v>
      </c>
      <c r="CS257" s="4" t="e">
        <f t="shared" ca="1" si="4166"/>
        <v>#REF!</v>
      </c>
      <c r="CT257" s="692" t="str">
        <f ca="1">IFERROR(VLOOKUP(INDEX(CP251:CP262,CS257),STM,2,FALSE),"----")</f>
        <v>----</v>
      </c>
      <c r="CU257" s="691" t="e">
        <f t="shared" ca="1" si="4167"/>
        <v>#N/A</v>
      </c>
      <c r="CV257" s="4" t="e">
        <f ca="1">IF(AND(INDEX(ELM,CU257,4)&gt;=$AB251,INDEX(ELM,CU257,5)&gt;=$S251,INDEX(ELM,CU257,6)&gt;=$R251),1,0)</f>
        <v>#N/A</v>
      </c>
      <c r="CW257" s="4" t="e">
        <f t="shared" ref="CW257" ca="1" si="4263">MATCH(1,OFFSET(CV251:CV262,CX256,0,COUNT(CV251:CV262)-CX256),0)</f>
        <v>#REF!</v>
      </c>
      <c r="CX257" s="4" t="e">
        <f t="shared" ca="1" si="4169"/>
        <v>#REF!</v>
      </c>
      <c r="CY257" s="692" t="str">
        <f ca="1">IFERROR(VLOOKUP(INDEX(CU251:CU262,CX257),ELM,2,FALSE),"----")</f>
        <v>----</v>
      </c>
      <c r="CZ257" s="691" t="e">
        <f t="shared" ca="1" si="4170"/>
        <v>#N/A</v>
      </c>
      <c r="DA257" s="4" t="e">
        <f ca="1">IF(LEFT($J251,7)="Clad Wo",IF(AND(INDEX(SPPWS,CZ257,4)&gt;=$AB251,INDEX(SPPWS,CZ257,5)&gt;=$S251,INDEX(SPPWS,CZ257,6)&gt;=$R251),1,0),IF(AND(INDEX(SPM,CZ257,4)&gt;=$AB251,INDEX(SPM,CZ257,5)&gt;=$S251,INDEX(SPM,CZ257,6)&gt;=$R251),1,0))</f>
        <v>#N/A</v>
      </c>
      <c r="DB257" s="4" t="e">
        <f t="shared" ref="DB257" ca="1" si="4264">MATCH(1,OFFSET(DA251:DA262,DC256,0,COUNT(DA251:DA262)-DC256),0)</f>
        <v>#REF!</v>
      </c>
      <c r="DC257" s="4" t="e">
        <f t="shared" ca="1" si="4172"/>
        <v>#REF!</v>
      </c>
      <c r="DD257" s="693" t="str">
        <f ca="1">IF(LEFT($J251,7)="Clad Wo",IFERROR(VLOOKUP(INDEX(CZ251:CZ262,DC257),SPPWS,2,FALSE),"----"),IFERROR(VLOOKUP(INDEX(CZ251:CZ262,DC257),SPM,2,FALSE),"----"))</f>
        <v>----</v>
      </c>
      <c r="DE257" s="691" t="e">
        <f t="shared" ca="1" si="4173"/>
        <v>#REF!</v>
      </c>
      <c r="DF257" s="4" t="e" cm="1">
        <f t="array" aca="1" ref="DF257" ca="1">IF(AND(INDEX(INDIRECT(BY251),DE257,4)&gt;=$AB257,INDEX(INDIRECT(BY251),DE257,5)&gt;=$S251,INDEX(INDIRECT(BY251),DE257,6)&gt;=$R251),1,0)</f>
        <v>#REF!</v>
      </c>
      <c r="DG257" s="4" t="e">
        <f t="shared" ref="DG257" ca="1" si="4265">MATCH(1,OFFSET(DF251:DF262,DH256,0,COUNT(DF251:DF262)-DH256),0)</f>
        <v>#REF!</v>
      </c>
      <c r="DH257" s="4" t="e">
        <f t="shared" ca="1" si="4175"/>
        <v>#REF!</v>
      </c>
      <c r="DI257" s="692" t="str" cm="1">
        <f t="array" aca="1" ref="DI257" ca="1">IFERROR(VLOOKUP(INDEX(DE251:DE262,DH257),INDIRECT(BY251),2,FALSE),"----")</f>
        <v>----</v>
      </c>
      <c r="DJ257" s="691" t="e">
        <f t="shared" ca="1" si="4176"/>
        <v>#N/A</v>
      </c>
      <c r="DK257" s="4" t="e">
        <f ca="1">IF(AND(INDEX(SSM,DJ257,4)&gt;=$AB257,INDEX(SSM,DJ257,5)&gt;=$S251,INDEX(SSM,DJ257,6)&gt;=$R251),1,0)</f>
        <v>#N/A</v>
      </c>
      <c r="DL257" s="4" t="e">
        <f t="shared" ref="DL257" ca="1" si="4266">MATCH(1,OFFSET(DK251:DK262,DM256,0,COUNT(DK251:DK262)-DM256),0)</f>
        <v>#REF!</v>
      </c>
      <c r="DM257" s="4" t="e">
        <f t="shared" ca="1" si="4178"/>
        <v>#REF!</v>
      </c>
      <c r="DN257" s="692" t="str">
        <f ca="1">IFERROR(IF(AD258="Nested Steel Stud (wood infill)",VLOOKUP(INDEX(DJ251:DJ262,DM257),SSW,2,FALSE),VLOOKUP(INDEX(DJ251:DJ262,DM257),SSM,2,FALSE)),"----")</f>
        <v>----</v>
      </c>
      <c r="DO257" s="691" t="e">
        <f t="shared" ca="1" si="4179"/>
        <v>#N/A</v>
      </c>
      <c r="DP257" s="4" t="e">
        <f ca="1">IF(AND(INDEX(WSM,DO257,4)&gt;=$AB257,INDEX(WSM,DO257,5)&gt;=$S251,INDEX(WSM,DO257,6)&gt;=$R251),1,0)</f>
        <v>#N/A</v>
      </c>
      <c r="DQ257" s="4" t="e">
        <f t="shared" ref="DQ257" ca="1" si="4267">MATCH(1,OFFSET(DP251:DP262,DR256,0,COUNT(DP251:DP262)-DR256),0)</f>
        <v>#REF!</v>
      </c>
      <c r="DR257" s="4" t="e">
        <f t="shared" ca="1" si="4181"/>
        <v>#REF!</v>
      </c>
      <c r="DS257" s="692" t="str">
        <f ca="1">IFERROR(VLOOKUP(INDEX(DO251:DO262,DR257),WSM,2,FALSE),"----")</f>
        <v>----</v>
      </c>
      <c r="DT257" s="691" t="e">
        <f t="shared" ca="1" si="4182"/>
        <v>#N/A</v>
      </c>
      <c r="DU257" s="4" t="e">
        <f ca="1">IF(AND(INDEX(STM,DT257,4)&gt;=$AB257,INDEX(STM,DT257,5)&gt;=$S251,INDEX(STM,DT257,6)&gt;=$R251),1,0)</f>
        <v>#N/A</v>
      </c>
      <c r="DV257" s="4" t="e">
        <f t="shared" ref="DV257" ca="1" si="4268">MATCH(1,OFFSET(DU251:DU262,DW256,0,COUNT(DU251:DU262)-DW256),0)</f>
        <v>#REF!</v>
      </c>
      <c r="DW257" s="4" t="e">
        <f t="shared" ca="1" si="4184"/>
        <v>#REF!</v>
      </c>
      <c r="DX257" s="692" t="str">
        <f ca="1">IFERROR(VLOOKUP(INDEX(DT251:DT262,DW257),STM,2,FALSE),"----")</f>
        <v>----</v>
      </c>
      <c r="DY257" s="691" t="e">
        <f t="shared" ca="1" si="4185"/>
        <v>#N/A</v>
      </c>
      <c r="DZ257" s="4" t="e">
        <f ca="1">IF(AND(INDEX(ELM,DY257,4)&gt;=$AB257,INDEX(ELM,DY257,5)&gt;=$S251,INDEX(ELM,DY257,6)&gt;=$R251),1,0)</f>
        <v>#N/A</v>
      </c>
      <c r="EA257" s="4" t="e">
        <f t="shared" ref="EA257" ca="1" si="4269">MATCH(1,OFFSET(DZ251:DZ262,EB256,0,COUNT(DZ251:DZ262)-EB256),0)</f>
        <v>#REF!</v>
      </c>
      <c r="EB257" s="4" t="e">
        <f t="shared" ca="1" si="4187"/>
        <v>#REF!</v>
      </c>
      <c r="EC257" s="692" t="str">
        <f ca="1">IFERROR(VLOOKUP(INDEX(DY251:DY262,EB257),ELM,2,FALSE),"----")</f>
        <v>----</v>
      </c>
      <c r="ED257" s="691" t="e">
        <f t="shared" ca="1" si="4188"/>
        <v>#N/A</v>
      </c>
      <c r="EE257" s="4" t="e">
        <f ca="1">IF(LEFT($J251,7)="Clad Wo",IF(AND(INDEX(SPPWS,ED257,4)&gt;=$AB257,INDEX(SPPWS,ED257,5)&gt;=$S251,INDEX(SPPWS,ED257,6)&gt;=$R251),1,0),IF(AND(INDEX(SPM,ED257,4)&gt;=$AB257,INDEX(SPM,ED257,5)&gt;=$S251,INDEX(SPM,ED257,6)&gt;=$R251),1,0))</f>
        <v>#N/A</v>
      </c>
      <c r="EF257" s="4" t="e">
        <f t="shared" ref="EF257" ca="1" si="4270">MATCH(1,OFFSET(EE251:EE262,EG256,0,COUNT(EE251:EE262)-EG256),0)</f>
        <v>#REF!</v>
      </c>
      <c r="EG257" s="4" t="e">
        <f t="shared" ca="1" si="4190"/>
        <v>#REF!</v>
      </c>
      <c r="EH257" s="692" t="str">
        <f ca="1">IF(LEFT($J251,7)="Clad Wo",IFERROR(VLOOKUP(INDEX(ED251:ED262,EG257),SPPWS,2,FALSE),"----"),IFERROR(VLOOKUP(INDEX(ED251:ED262,EG257),SPM,2,FALSE),"----"))</f>
        <v>----</v>
      </c>
    </row>
    <row r="258" spans="1:138" ht="15" customHeight="1" x14ac:dyDescent="0.25">
      <c r="A258" s="1085"/>
      <c r="B258" s="925"/>
      <c r="C258" s="926"/>
      <c r="D258" s="927"/>
      <c r="E258" s="995"/>
      <c r="F258" s="996"/>
      <c r="G258" s="997"/>
      <c r="H258" s="1062"/>
      <c r="I258" s="990"/>
      <c r="J258" s="912"/>
      <c r="K258" s="913"/>
      <c r="L258" s="1002"/>
      <c r="M258" s="923"/>
      <c r="N258" s="1042"/>
      <c r="O258" s="1018"/>
      <c r="P258" s="987"/>
      <c r="Q258" s="1015"/>
      <c r="R258" s="1012"/>
      <c r="S258" s="1006"/>
      <c r="T258" s="1007"/>
      <c r="U258" s="878"/>
      <c r="V258" s="881"/>
      <c r="W258" s="884"/>
      <c r="X258" s="884"/>
      <c r="Y258" s="887"/>
      <c r="Z258" s="887"/>
      <c r="AA258" s="887"/>
      <c r="AB258" s="1081"/>
      <c r="AC258" s="1078"/>
      <c r="AD258" s="1070" t="str">
        <f t="shared" ref="AD258" si="4271">IF(ISBLANK(AD252)=TRUE,"",AD252)</f>
        <v>Nested Steel Stud</v>
      </c>
      <c r="AE258" s="1071"/>
      <c r="AF258" s="1052"/>
      <c r="AG258" s="1053"/>
      <c r="AH258" s="1053"/>
      <c r="AI258" s="1066"/>
      <c r="AJ258" s="1067"/>
      <c r="AK258" s="156" t="str">
        <f t="shared" ca="1" si="3667"/>
        <v/>
      </c>
      <c r="AL258" s="1059"/>
      <c r="AM258" s="343" t="str">
        <f ca="1">IFERROR(Q251/12*ROUND(VLOOKUP(AF258,OFFSET(SSM,0,1),6,FALSE),2),"")</f>
        <v/>
      </c>
      <c r="AN258" t="str">
        <f t="shared" ca="1" si="3717"/>
        <v/>
      </c>
      <c r="AP258" s="122" t="str">
        <f t="shared" ref="AP258" si="4272">_xlfn.CONCAT(AR258,AS262)</f>
        <v/>
      </c>
      <c r="AQ258" s="683" t="str">
        <f t="shared" si="3881"/>
        <v/>
      </c>
      <c r="AR258" s="96" t="str">
        <f t="shared" si="3642"/>
        <v/>
      </c>
      <c r="AS258" s="96" t="str">
        <f>IF(COUNTIF(Vista_1,AF257)=1,"Vista_1",IF(COUNTIF(Vista_2,AF257)=1,"Vista_2",""))</f>
        <v/>
      </c>
      <c r="AT258" s="684" t="str">
        <f>AL257</f>
        <v/>
      </c>
      <c r="AU258" s="694" t="e">
        <f t="shared" ca="1" si="3907"/>
        <v>#REF!</v>
      </c>
      <c r="AV258" s="686" t="str">
        <f ca="1">IFERROR(VLOOKUP(AU258,INDIRECT(AQ251),2,FALSE),"----")</f>
        <v>----</v>
      </c>
      <c r="AW258" s="694" t="e">
        <f t="shared" ca="1" si="3908"/>
        <v>#REF!</v>
      </c>
      <c r="AX258" s="686" t="str">
        <f ca="1">IFERROR(VLOOKUP(AW258,INDIRECT(AQ252),2,FALSE),"----")</f>
        <v>----</v>
      </c>
      <c r="AY258" s="694" t="e">
        <f t="shared" ca="1" si="4000"/>
        <v>#REF!</v>
      </c>
      <c r="AZ258" s="686" t="str">
        <f ca="1">IFERROR(VLOOKUP(AY258,INDIRECT(AQ253),2,FALSE),"----")</f>
        <v>----</v>
      </c>
      <c r="BA258" s="694" t="e">
        <f t="shared" ca="1" si="4001"/>
        <v>#REF!</v>
      </c>
      <c r="BB258" s="686" t="str">
        <f ca="1">IFERROR(VLOOKUP(BA258,INDIRECT(AQ254),2,FALSE),"----")</f>
        <v>----</v>
      </c>
      <c r="BC258" s="694" t="e">
        <f t="shared" ca="1" si="3911"/>
        <v>#REF!</v>
      </c>
      <c r="BD258" s="686" t="str">
        <f ca="1">IFERROR(VLOOKUP(BC258,INDIRECT(AQ255),2,FALSE),"----")</f>
        <v>----</v>
      </c>
      <c r="BE258" s="694" t="e">
        <f t="shared" ca="1" si="3912"/>
        <v>#REF!</v>
      </c>
      <c r="BF258" s="686" t="str">
        <f ca="1">IFERROR(VLOOKUP(BE258,INDIRECT(AQ256),2,FALSE),"----")</f>
        <v>----</v>
      </c>
      <c r="BG258" s="702" t="e">
        <f t="shared" ca="1" si="3913"/>
        <v>#REF!</v>
      </c>
      <c r="BH258" s="686" t="str">
        <f ca="1">IFERROR(VLOOKUP(BG258,INDIRECT(AQ257),2,FALSE),"----")</f>
        <v>----</v>
      </c>
      <c r="BI258" s="702" t="e">
        <f t="shared" ca="1" si="3914"/>
        <v>#REF!</v>
      </c>
      <c r="BJ258" s="686" t="str">
        <f ca="1">IFERROR(VLOOKUP(BI258,INDIRECT(AQ258),2,FALSE),"----")</f>
        <v>----</v>
      </c>
      <c r="BK258" s="702" t="e">
        <f t="shared" ca="1" si="3915"/>
        <v>#REF!</v>
      </c>
      <c r="BL258" s="686" t="str">
        <f ca="1">IFERROR(VLOOKUP(BK258,INDIRECT(AQ259),2,FALSE),"----")</f>
        <v>----</v>
      </c>
      <c r="BM258" s="702" t="e">
        <f t="shared" ca="1" si="3916"/>
        <v>#REF!</v>
      </c>
      <c r="BN258" s="686" t="str">
        <f ca="1">IFERROR(VLOOKUP(BM258,INDIRECT(AQ260),2,FALSE),"----")</f>
        <v>----</v>
      </c>
      <c r="BO258" s="702" t="e">
        <f t="shared" ca="1" si="3917"/>
        <v>#REF!</v>
      </c>
      <c r="BP258" s="686" t="str">
        <f ca="1">IFERROR(VLOOKUP(BO258,INDIRECT(AQ261),2,FALSE),"----")</f>
        <v>----</v>
      </c>
      <c r="BQ258" s="702" t="e">
        <f t="shared" ca="1" si="3918"/>
        <v>#REF!</v>
      </c>
      <c r="BR258" s="686" t="str">
        <f ca="1">IFERROR(VLOOKUP(BQ258,INDIRECT(AQ262),2,FALSE),"----")</f>
        <v>----</v>
      </c>
      <c r="BS258" s="695">
        <f>IF(AI258="",1,IF(COUNTIF(BJ251:BJ262,AI258)=0,2,1))</f>
        <v>1</v>
      </c>
      <c r="BT258" s="696">
        <f>IF(AF258="",1,IF(BJ251=".",2,1))</f>
        <v>1</v>
      </c>
      <c r="BU258" s="706"/>
      <c r="BV258" s="155">
        <f ca="1">IF(COUNTIF(DN251:DN262,AF258)=0,IF(AF258&lt;&gt;"",0,1),1)</f>
        <v>1</v>
      </c>
      <c r="BW258" s="157">
        <f ca="1">IFERROR(MATCH(AF258,DN251:DN262,0),1)</f>
        <v>1</v>
      </c>
      <c r="BX258" s="769">
        <f t="shared" ref="BX258" si="4273">E251*(H251+I251)/144/2</f>
        <v>0</v>
      </c>
      <c r="BY258" s="769">
        <f>SUM(IF(H251&gt;E251,E251^2/4,(H251*E251/2)-(H251^2/4))/144,IF(I251&gt;E251,E251^2/4,(I251*E251/2)-(I251^2/4))/144)</f>
        <v>0</v>
      </c>
      <c r="BZ258" s="1110"/>
      <c r="CA258" s="691" t="e">
        <f t="shared" ca="1" si="4155"/>
        <v>#REF!</v>
      </c>
      <c r="CB258" s="4" t="e" cm="1">
        <f t="array" aca="1" ref="CB258" ca="1">IF(AND(INDEX(INDIRECT(BY251),CA258,4)&gt;=$AB251,INDEX(INDIRECT(BY251),CA258,5)&gt;=$S251,INDEX(INDIRECT(BY251),CA258,6)&gt;=$R251),1,0)</f>
        <v>#REF!</v>
      </c>
      <c r="CC258" s="4" t="e">
        <f t="shared" ref="CC258" ca="1" si="4274">MATCH(1,OFFSET(CB251:CB262,CD257,0,COUNT(CB251:CB262)-CD257),0)</f>
        <v>#REF!</v>
      </c>
      <c r="CD258" s="4" t="e">
        <f t="shared" ca="1" si="4157"/>
        <v>#REF!</v>
      </c>
      <c r="CE258" s="692" t="str" cm="1">
        <f t="array" aca="1" ref="CE258" ca="1">IFERROR(VLOOKUP(INDEX(CA251:CA262,CD258),INDIRECT(BY251),2,FALSE),"----")</f>
        <v>----</v>
      </c>
      <c r="CF258" s="691" t="e">
        <f t="shared" ca="1" si="4158"/>
        <v>#N/A</v>
      </c>
      <c r="CG258" s="4" t="e">
        <f ca="1">IF(AND(INDEX(SSM,CF258,4)&gt;=$AB251,INDEX(SSM,CF258,5)&gt;=$S251,INDEX(SSM,CF258,6)&gt;=$R251),1,0)</f>
        <v>#N/A</v>
      </c>
      <c r="CH258" s="4" t="e">
        <f t="shared" ref="CH258" ca="1" si="4275">MATCH(1,OFFSET(CG251:CG262,CI257,0,COUNT(CG251:CG262)-CI257),0)</f>
        <v>#REF!</v>
      </c>
      <c r="CI258" s="4" t="e">
        <f t="shared" ca="1" si="4160"/>
        <v>#REF!</v>
      </c>
      <c r="CJ258" s="692" t="str">
        <f ca="1">IFERROR(IF(AD252="Nested Steel Stud (wood infill)",VLOOKUP(INDEX(CF251:CF262,CI258),SSW,2,FALSE),VLOOKUP(INDEX(CF251:CF262,CI258),SSM,2,FALSE)),"----")</f>
        <v>----</v>
      </c>
      <c r="CK258" s="691" t="e">
        <f t="shared" ca="1" si="4161"/>
        <v>#N/A</v>
      </c>
      <c r="CL258" s="4" t="e">
        <f ca="1">IF(AND(INDEX(WSM,CK258,4)&gt;=$AB251,INDEX(WSM,CK258,5)&gt;=$S251,INDEX(WSM,CK258,6)&gt;=$R251),1,0)</f>
        <v>#N/A</v>
      </c>
      <c r="CM258" s="4" t="e">
        <f t="shared" ref="CM258" ca="1" si="4276">MATCH(1,OFFSET(CL251:CL262,CN257,0,COUNT(CL251:CL262)-CN257),0)</f>
        <v>#REF!</v>
      </c>
      <c r="CN258" s="4" t="e">
        <f t="shared" ca="1" si="4163"/>
        <v>#REF!</v>
      </c>
      <c r="CO258" s="692" t="str">
        <f ca="1">IFERROR(VLOOKUP(INDEX(CK251:CK262,CN258),WSM,2,FALSE),"----")</f>
        <v>----</v>
      </c>
      <c r="CP258" s="691" t="e">
        <f t="shared" ca="1" si="4164"/>
        <v>#N/A</v>
      </c>
      <c r="CQ258" s="4" t="e">
        <f ca="1">IF(AND(INDEX(STM,CP258,4)&gt;=$AB251,INDEX(STM,CP258,5)&gt;=$S251,INDEX(STM,CP258,6)&gt;=$R251),1,0)</f>
        <v>#N/A</v>
      </c>
      <c r="CR258" s="4" t="e">
        <f t="shared" ref="CR258" ca="1" si="4277">MATCH(1,OFFSET(CQ251:CQ262,CS257,0,COUNT(CQ251:CQ262)-CS257),0)</f>
        <v>#REF!</v>
      </c>
      <c r="CS258" s="4" t="e">
        <f t="shared" ca="1" si="4166"/>
        <v>#REF!</v>
      </c>
      <c r="CT258" s="692" t="str">
        <f ca="1">IFERROR(VLOOKUP(INDEX(CP251:CP262,CS258),STM,2,FALSE),"----")</f>
        <v>----</v>
      </c>
      <c r="CU258" s="691" t="e">
        <f t="shared" ca="1" si="4167"/>
        <v>#N/A</v>
      </c>
      <c r="CV258" s="4" t="e">
        <f ca="1">IF(AND(INDEX(ELM,CU258,4)&gt;=$AB251,INDEX(ELM,CU258,5)&gt;=$S251,INDEX(ELM,CU258,6)&gt;=$R251),1,0)</f>
        <v>#N/A</v>
      </c>
      <c r="CW258" s="4" t="e">
        <f t="shared" ref="CW258" ca="1" si="4278">MATCH(1,OFFSET(CV251:CV262,CX257,0,COUNT(CV251:CV262)-CX257),0)</f>
        <v>#REF!</v>
      </c>
      <c r="CX258" s="4" t="e">
        <f t="shared" ca="1" si="4169"/>
        <v>#REF!</v>
      </c>
      <c r="CY258" s="692" t="str">
        <f ca="1">IFERROR(VLOOKUP(INDEX(CU251:CU262,CX258),ELM,2,FALSE),"----")</f>
        <v>----</v>
      </c>
      <c r="CZ258" s="691" t="e">
        <f t="shared" ca="1" si="4170"/>
        <v>#N/A</v>
      </c>
      <c r="DA258" s="4" t="e">
        <f ca="1">IF(LEFT($J251,7)="Clad Wo",IF(AND(INDEX(SPPWS,CZ258,4)&gt;=$AB251,INDEX(SPPWS,CZ258,5)&gt;=$S251,INDEX(SPPWS,CZ258,6)&gt;=$R251),1,0),IF(AND(INDEX(SPM,CZ258,4)&gt;=$AB251,INDEX(SPM,CZ258,5)&gt;=$S251,INDEX(SPM,CZ258,6)&gt;=$R251),1,0))</f>
        <v>#N/A</v>
      </c>
      <c r="DB258" s="4" t="e">
        <f t="shared" ref="DB258" ca="1" si="4279">MATCH(1,OFFSET(DA251:DA262,DC257,0,COUNT(DA251:DA262)-DC257),0)</f>
        <v>#REF!</v>
      </c>
      <c r="DC258" s="4" t="e">
        <f t="shared" ca="1" si="4172"/>
        <v>#REF!</v>
      </c>
      <c r="DD258" s="693" t="str">
        <f ca="1">IF(LEFT($J251,7)="Clad Wo",IFERROR(VLOOKUP(INDEX(CZ251:CZ262,DC258),SPPWS,2,FALSE),"----"),IFERROR(VLOOKUP(INDEX(CZ251:CZ262,DC258),SPM,2,FALSE),"----"))</f>
        <v>----</v>
      </c>
      <c r="DE258" s="691" t="e">
        <f t="shared" ca="1" si="4173"/>
        <v>#REF!</v>
      </c>
      <c r="DF258" s="4" t="e" cm="1">
        <f t="array" aca="1" ref="DF258" ca="1">IF(AND(INDEX(INDIRECT(BY251),DE258,4)&gt;=$AB257,INDEX(INDIRECT(BY251),DE258,5)&gt;=$S251,INDEX(INDIRECT(BY251),DE258,6)&gt;=$R251),1,0)</f>
        <v>#REF!</v>
      </c>
      <c r="DG258" s="4" t="e">
        <f t="shared" ref="DG258" ca="1" si="4280">MATCH(1,OFFSET(DF251:DF262,DH257,0,COUNT(DF251:DF262)-DH257),0)</f>
        <v>#REF!</v>
      </c>
      <c r="DH258" s="4" t="e">
        <f t="shared" ca="1" si="4175"/>
        <v>#REF!</v>
      </c>
      <c r="DI258" s="692" t="str" cm="1">
        <f t="array" aca="1" ref="DI258" ca="1">IFERROR(VLOOKUP(INDEX(DE251:DE262,DH258),INDIRECT(BY251),2,FALSE),"----")</f>
        <v>----</v>
      </c>
      <c r="DJ258" s="691" t="e">
        <f t="shared" ca="1" si="4176"/>
        <v>#N/A</v>
      </c>
      <c r="DK258" s="4" t="e">
        <f ca="1">IF(AND(INDEX(SSM,DJ258,4)&gt;=$AB257,INDEX(SSM,DJ258,5)&gt;=$S251,INDEX(SSM,DJ258,6)&gt;=$R251),1,0)</f>
        <v>#N/A</v>
      </c>
      <c r="DL258" s="4" t="e">
        <f t="shared" ref="DL258" ca="1" si="4281">MATCH(1,OFFSET(DK251:DK262,DM257,0,COUNT(DK251:DK262)-DM257),0)</f>
        <v>#REF!</v>
      </c>
      <c r="DM258" s="4" t="e">
        <f t="shared" ca="1" si="4178"/>
        <v>#REF!</v>
      </c>
      <c r="DN258" s="692" t="str">
        <f ca="1">IFERROR(IF(AD258="Nested Steel Stud (wood infill)",VLOOKUP(INDEX(DJ251:DJ262,DM258),SSW,2,FALSE),VLOOKUP(INDEX(DJ251:DJ262,DM258),SSM,2,FALSE)),"----")</f>
        <v>----</v>
      </c>
      <c r="DO258" s="691" t="e">
        <f t="shared" ca="1" si="4179"/>
        <v>#N/A</v>
      </c>
      <c r="DP258" s="4" t="e">
        <f ca="1">IF(AND(INDEX(WSM,DO258,4)&gt;=$AB257,INDEX(WSM,DO258,5)&gt;=$S251,INDEX(WSM,DO258,6)&gt;=$R251),1,0)</f>
        <v>#N/A</v>
      </c>
      <c r="DQ258" s="4" t="e">
        <f t="shared" ref="DQ258" ca="1" si="4282">MATCH(1,OFFSET(DP251:DP262,DR257,0,COUNT(DP251:DP262)-DR257),0)</f>
        <v>#REF!</v>
      </c>
      <c r="DR258" s="4" t="e">
        <f t="shared" ca="1" si="4181"/>
        <v>#REF!</v>
      </c>
      <c r="DS258" s="692" t="str">
        <f ca="1">IFERROR(VLOOKUP(INDEX(DO251:DO262,DR258),WSM,2,FALSE),"----")</f>
        <v>----</v>
      </c>
      <c r="DT258" s="691" t="e">
        <f t="shared" ca="1" si="4182"/>
        <v>#N/A</v>
      </c>
      <c r="DU258" s="4" t="e">
        <f ca="1">IF(AND(INDEX(STM,DT258,4)&gt;=$AB257,INDEX(STM,DT258,5)&gt;=$S251,INDEX(STM,DT258,6)&gt;=$R251),1,0)</f>
        <v>#N/A</v>
      </c>
      <c r="DV258" s="4" t="e">
        <f t="shared" ref="DV258" ca="1" si="4283">MATCH(1,OFFSET(DU251:DU262,DW257,0,COUNT(DU251:DU262)-DW257),0)</f>
        <v>#REF!</v>
      </c>
      <c r="DW258" s="4" t="e">
        <f t="shared" ca="1" si="4184"/>
        <v>#REF!</v>
      </c>
      <c r="DX258" s="692" t="str">
        <f ca="1">IFERROR(VLOOKUP(INDEX(DT251:DT262,DW258),STM,2,FALSE),"----")</f>
        <v>----</v>
      </c>
      <c r="DY258" s="691" t="e">
        <f t="shared" ca="1" si="4185"/>
        <v>#N/A</v>
      </c>
      <c r="DZ258" s="4" t="e">
        <f ca="1">IF(AND(INDEX(ELM,DY258,4)&gt;=$AB257,INDEX(ELM,DY258,5)&gt;=$S251,INDEX(ELM,DY258,6)&gt;=$R251),1,0)</f>
        <v>#N/A</v>
      </c>
      <c r="EA258" s="4" t="e">
        <f t="shared" ref="EA258" ca="1" si="4284">MATCH(1,OFFSET(DZ251:DZ262,EB257,0,COUNT(DZ251:DZ262)-EB257),0)</f>
        <v>#REF!</v>
      </c>
      <c r="EB258" s="4" t="e">
        <f t="shared" ca="1" si="4187"/>
        <v>#REF!</v>
      </c>
      <c r="EC258" s="692" t="str">
        <f ca="1">IFERROR(VLOOKUP(INDEX(DY251:DY262,EB258),ELM,2,FALSE),"----")</f>
        <v>----</v>
      </c>
      <c r="ED258" s="691" t="e">
        <f t="shared" ca="1" si="4188"/>
        <v>#N/A</v>
      </c>
      <c r="EE258" s="4" t="e">
        <f ca="1">IF(LEFT($J251,7)="Clad Wo",IF(AND(INDEX(SPPWS,ED258,4)&gt;=$AB257,INDEX(SPPWS,ED258,5)&gt;=$S251,INDEX(SPPWS,ED258,6)&gt;=$R251),1,0),IF(AND(INDEX(SPM,ED258,4)&gt;=$AB257,INDEX(SPM,ED258,5)&gt;=$S251,INDEX(SPM,ED258,6)&gt;=$R251),1,0))</f>
        <v>#N/A</v>
      </c>
      <c r="EF258" s="4" t="e">
        <f t="shared" ref="EF258" ca="1" si="4285">MATCH(1,OFFSET(EE251:EE262,EG257,0,COUNT(EE251:EE262)-EG257),0)</f>
        <v>#REF!</v>
      </c>
      <c r="EG258" s="4" t="e">
        <f t="shared" ca="1" si="4190"/>
        <v>#REF!</v>
      </c>
      <c r="EH258" s="692" t="str">
        <f ca="1">IF(LEFT($J251,7)="Clad Wo",IFERROR(VLOOKUP(INDEX(ED251:ED262,EG258),SPPWS,2,FALSE),"----"),IFERROR(VLOOKUP(INDEX(ED251:ED262,EG258),SPM,2,FALSE),"----"))</f>
        <v>----</v>
      </c>
    </row>
    <row r="259" spans="1:138" ht="15" customHeight="1" x14ac:dyDescent="0.25">
      <c r="A259" s="1085"/>
      <c r="B259" s="925"/>
      <c r="C259" s="926"/>
      <c r="D259" s="927"/>
      <c r="E259" s="995"/>
      <c r="F259" s="996"/>
      <c r="G259" s="997"/>
      <c r="H259" s="1062"/>
      <c r="I259" s="990"/>
      <c r="J259" s="902"/>
      <c r="K259" s="903"/>
      <c r="L259" s="1002"/>
      <c r="M259" s="923"/>
      <c r="N259" s="1042"/>
      <c r="O259" s="1018"/>
      <c r="P259" s="987"/>
      <c r="Q259" s="1015"/>
      <c r="R259" s="1012"/>
      <c r="S259" s="1006"/>
      <c r="T259" s="1007"/>
      <c r="U259" s="878"/>
      <c r="V259" s="881"/>
      <c r="W259" s="884"/>
      <c r="X259" s="884"/>
      <c r="Y259" s="887"/>
      <c r="Z259" s="887"/>
      <c r="AA259" s="887"/>
      <c r="AB259" s="1081"/>
      <c r="AC259" s="1078"/>
      <c r="AD259" s="1070" t="str">
        <f t="shared" si="3099"/>
        <v>Wood Stud Framing</v>
      </c>
      <c r="AE259" s="1071"/>
      <c r="AF259" s="1052"/>
      <c r="AG259" s="1053"/>
      <c r="AH259" s="1053"/>
      <c r="AI259" s="1066"/>
      <c r="AJ259" s="1067"/>
      <c r="AK259" s="156" t="str">
        <f t="shared" ca="1" si="3667"/>
        <v/>
      </c>
      <c r="AL259" s="1059"/>
      <c r="AM259" s="344" t="str">
        <f ca="1">IFERROR(Q251/12*ROUND(VLOOKUP(AF259,OFFSET(WSM,0,1),6,FALSE),2),"")</f>
        <v/>
      </c>
      <c r="AN259" t="str">
        <f t="shared" ca="1" si="3717"/>
        <v/>
      </c>
      <c r="AP259" s="122" t="str">
        <f t="shared" ref="AP259" si="4286">_xlfn.CONCAT(AR259,AS262)</f>
        <v/>
      </c>
      <c r="AQ259" s="683" t="str">
        <f t="shared" si="3881"/>
        <v/>
      </c>
      <c r="AR259" s="4" t="str">
        <f t="shared" si="3642"/>
        <v/>
      </c>
      <c r="AS259" s="4"/>
      <c r="AT259" s="697" t="str">
        <f>AL257</f>
        <v/>
      </c>
      <c r="AU259" s="694" t="e">
        <f t="shared" ca="1" si="3907"/>
        <v>#REF!</v>
      </c>
      <c r="AV259" s="686" t="str">
        <f ca="1">IFERROR(VLOOKUP(AU259,INDIRECT(AQ251),2,FALSE),"----")</f>
        <v>----</v>
      </c>
      <c r="AW259" s="694" t="e">
        <f t="shared" ca="1" si="3908"/>
        <v>#REF!</v>
      </c>
      <c r="AX259" s="686" t="str">
        <f ca="1">IFERROR(VLOOKUP(AW259,INDIRECT(AQ252),2,FALSE),"----")</f>
        <v>----</v>
      </c>
      <c r="AY259" s="694" t="e">
        <f t="shared" ca="1" si="4000"/>
        <v>#REF!</v>
      </c>
      <c r="AZ259" s="686" t="str">
        <f ca="1">IFERROR(VLOOKUP(AY259,INDIRECT(AQ253),2,FALSE),"----")</f>
        <v>----</v>
      </c>
      <c r="BA259" s="694" t="e">
        <f t="shared" ca="1" si="4001"/>
        <v>#REF!</v>
      </c>
      <c r="BB259" s="686" t="str">
        <f ca="1">IFERROR(VLOOKUP(BA259,INDIRECT(AQ254),2,FALSE),"----")</f>
        <v>----</v>
      </c>
      <c r="BC259" s="694" t="e">
        <f t="shared" ca="1" si="3911"/>
        <v>#REF!</v>
      </c>
      <c r="BD259" s="686" t="str">
        <f ca="1">IFERROR(VLOOKUP(BC259,INDIRECT(AQ255),2,FALSE),"----")</f>
        <v>----</v>
      </c>
      <c r="BE259" s="694" t="e">
        <f t="shared" ca="1" si="3912"/>
        <v>#REF!</v>
      </c>
      <c r="BF259" s="686" t="str">
        <f ca="1">IFERROR(VLOOKUP(BE259,INDIRECT(AQ256),2,FALSE),"----")</f>
        <v>----</v>
      </c>
      <c r="BG259" s="702" t="e">
        <f t="shared" ca="1" si="3913"/>
        <v>#REF!</v>
      </c>
      <c r="BH259" s="686" t="str">
        <f ca="1">IFERROR(VLOOKUP(BG259,INDIRECT(AQ257),2,FALSE),"----")</f>
        <v>----</v>
      </c>
      <c r="BI259" s="702" t="e">
        <f t="shared" ca="1" si="3914"/>
        <v>#REF!</v>
      </c>
      <c r="BJ259" s="686" t="str">
        <f ca="1">IFERROR(VLOOKUP(BI259,INDIRECT(AQ258),2,FALSE),"----")</f>
        <v>----</v>
      </c>
      <c r="BK259" s="702" t="e">
        <f t="shared" ca="1" si="3915"/>
        <v>#REF!</v>
      </c>
      <c r="BL259" s="686" t="str">
        <f ca="1">IFERROR(VLOOKUP(BK259,INDIRECT(AQ259),2,FALSE),"----")</f>
        <v>----</v>
      </c>
      <c r="BM259" s="702" t="e">
        <f t="shared" ca="1" si="3916"/>
        <v>#REF!</v>
      </c>
      <c r="BN259" s="686" t="str">
        <f ca="1">IFERROR(VLOOKUP(BM259,INDIRECT(AQ260),2,FALSE),"----")</f>
        <v>----</v>
      </c>
      <c r="BO259" s="702" t="e">
        <f t="shared" ca="1" si="3917"/>
        <v>#REF!</v>
      </c>
      <c r="BP259" s="686" t="str">
        <f ca="1">IFERROR(VLOOKUP(BO259,INDIRECT(AQ261),2,FALSE),"----")</f>
        <v>----</v>
      </c>
      <c r="BQ259" s="702" t="e">
        <f t="shared" ca="1" si="3918"/>
        <v>#REF!</v>
      </c>
      <c r="BR259" s="686" t="str">
        <f ca="1">IFERROR(VLOOKUP(BQ259,INDIRECT(AQ262),2,FALSE),"----")</f>
        <v>----</v>
      </c>
      <c r="BS259" s="695">
        <f>IF(AI259="",1,IF(COUNTIF(BL251:BL262,AI259)=0,2,1))</f>
        <v>1</v>
      </c>
      <c r="BT259" s="696">
        <f>IF(AF259="",1,IF(BL251=".",2,1))</f>
        <v>1</v>
      </c>
      <c r="BU259" s="706"/>
      <c r="BV259" s="155">
        <f ca="1">IF(COUNTIF(DS251:DS262,AF259)=0,IF(AF259&lt;&gt;"",0,1),1)</f>
        <v>1</v>
      </c>
      <c r="BW259" s="157">
        <f ca="1">IFERROR(MATCH(AF259,DS251:DS262,0),1)</f>
        <v>1</v>
      </c>
      <c r="BX259" s="769" t="e">
        <f t="shared" ref="BX259" si="4287">5*E251^3*W251/(384*X251)</f>
        <v>#VALUE!</v>
      </c>
      <c r="BY259" s="769" t="e">
        <f t="shared" ref="BY259" si="4288">W251*E251^3/(60*X251)</f>
        <v>#VALUE!</v>
      </c>
      <c r="BZ259" s="1110"/>
      <c r="CA259" s="691" t="e">
        <f t="shared" ca="1" si="4155"/>
        <v>#REF!</v>
      </c>
      <c r="CB259" s="4" t="e" cm="1">
        <f t="array" aca="1" ref="CB259" ca="1">IF(AND(INDEX(INDIRECT(BY251),CA259,4)&gt;=$AB251,INDEX(INDIRECT(BY251),CA259,5)&gt;=$S251,INDEX(INDIRECT(BY251),CA259,6)&gt;=$R251),1,0)</f>
        <v>#REF!</v>
      </c>
      <c r="CC259" s="4" t="e">
        <f t="shared" ref="CC259" ca="1" si="4289">MATCH(1,OFFSET(CB251:CB262,CD258,0,COUNT(CB251:CB262)-CD258),0)</f>
        <v>#REF!</v>
      </c>
      <c r="CD259" s="4" t="e">
        <f t="shared" ca="1" si="4157"/>
        <v>#REF!</v>
      </c>
      <c r="CE259" s="692" t="str" cm="1">
        <f t="array" aca="1" ref="CE259" ca="1">IFERROR(VLOOKUP(INDEX(CA251:CA262,CD259),INDIRECT(BY251),2,FALSE),"----")</f>
        <v>----</v>
      </c>
      <c r="CF259" s="691" t="e">
        <f t="shared" ca="1" si="4158"/>
        <v>#N/A</v>
      </c>
      <c r="CG259" s="4" t="e">
        <f ca="1">IF(AND(INDEX(SSM,CF259,4)&gt;=$AB251,INDEX(SSM,CF259,5)&gt;=$S251,INDEX(SSM,CF259,6)&gt;=$R251),1,0)</f>
        <v>#N/A</v>
      </c>
      <c r="CH259" s="4" t="e">
        <f t="shared" ref="CH259" ca="1" si="4290">MATCH(1,OFFSET(CG251:CG262,CI258,0,COUNT(CG251:CG262)-CI258),0)</f>
        <v>#REF!</v>
      </c>
      <c r="CI259" s="4" t="e">
        <f t="shared" ca="1" si="4160"/>
        <v>#REF!</v>
      </c>
      <c r="CJ259" s="692" t="str">
        <f ca="1">IFERROR(IF(AD252="Nested Steel Stud (wood infill)",VLOOKUP(INDEX(CF251:CF262,CI259),SSW,2,FALSE),VLOOKUP(INDEX(CF251:CF262,CI259),SSM,2,FALSE)),"----")</f>
        <v>----</v>
      </c>
      <c r="CK259" s="691" t="e">
        <f t="shared" ca="1" si="4161"/>
        <v>#N/A</v>
      </c>
      <c r="CL259" s="4" t="e">
        <f ca="1">IF(AND(INDEX(WSM,CK259,4)&gt;=$AB251,INDEX(WSM,CK259,5)&gt;=$S251,INDEX(WSM,CK259,6)&gt;=$R251),1,0)</f>
        <v>#N/A</v>
      </c>
      <c r="CM259" s="4" t="e">
        <f t="shared" ref="CM259" ca="1" si="4291">MATCH(1,OFFSET(CL251:CL262,CN258,0,COUNT(CL251:CL262)-CN258),0)</f>
        <v>#REF!</v>
      </c>
      <c r="CN259" s="4" t="e">
        <f t="shared" ca="1" si="4163"/>
        <v>#REF!</v>
      </c>
      <c r="CO259" s="692" t="str">
        <f ca="1">IFERROR(VLOOKUP(INDEX(CK251:CK262,CN259),WSM,2,FALSE),"----")</f>
        <v>----</v>
      </c>
      <c r="CP259" s="691" t="e">
        <f t="shared" ca="1" si="4164"/>
        <v>#N/A</v>
      </c>
      <c r="CQ259" s="4" t="e">
        <f ca="1">IF(AND(INDEX(STM,CP259,4)&gt;=$AB251,INDEX(STM,CP259,5)&gt;=$S251,INDEX(STM,CP259,6)&gt;=$R251),1,0)</f>
        <v>#N/A</v>
      </c>
      <c r="CR259" s="4" t="e">
        <f t="shared" ref="CR259" ca="1" si="4292">MATCH(1,OFFSET(CQ251:CQ262,CS258,0,COUNT(CQ251:CQ262)-CS258),0)</f>
        <v>#REF!</v>
      </c>
      <c r="CS259" s="4" t="e">
        <f t="shared" ca="1" si="4166"/>
        <v>#REF!</v>
      </c>
      <c r="CT259" s="692" t="str">
        <f ca="1">IFERROR(VLOOKUP(INDEX(CP251:CP262,CS259),STM,2,FALSE),"----")</f>
        <v>----</v>
      </c>
      <c r="CU259" s="691" t="e">
        <f t="shared" ca="1" si="4167"/>
        <v>#N/A</v>
      </c>
      <c r="CV259" s="4" t="e">
        <f ca="1">IF(AND(INDEX(ELM,CU259,4)&gt;=$AB251,INDEX(ELM,CU259,5)&gt;=$S251,INDEX(ELM,CU259,6)&gt;=$R251),1,0)</f>
        <v>#N/A</v>
      </c>
      <c r="CW259" s="4" t="e">
        <f t="shared" ref="CW259" ca="1" si="4293">MATCH(1,OFFSET(CV251:CV262,CX258,0,COUNT(CV251:CV262)-CX258),0)</f>
        <v>#REF!</v>
      </c>
      <c r="CX259" s="4" t="e">
        <f t="shared" ca="1" si="4169"/>
        <v>#REF!</v>
      </c>
      <c r="CY259" s="692" t="str">
        <f ca="1">IFERROR(VLOOKUP(INDEX(CU251:CU262,CX259),ELM,2,FALSE),"----")</f>
        <v>----</v>
      </c>
      <c r="CZ259" s="691" t="e">
        <f t="shared" ca="1" si="4170"/>
        <v>#N/A</v>
      </c>
      <c r="DA259" s="4" t="e">
        <f ca="1">IF(LEFT($J251,7)="Clad Wo",IF(AND(INDEX(SPPWS,CZ259,4)&gt;=$AB251,INDEX(SPPWS,CZ259,5)&gt;=$S251,INDEX(SPPWS,CZ259,6)&gt;=$R251),1,0),IF(AND(INDEX(SPM,CZ259,4)&gt;=$AB251,INDEX(SPM,CZ259,5)&gt;=$S251,INDEX(SPM,CZ259,6)&gt;=$R251),1,0))</f>
        <v>#N/A</v>
      </c>
      <c r="DB259" s="4" t="e">
        <f t="shared" ref="DB259" ca="1" si="4294">MATCH(1,OFFSET(DA251:DA262,DC258,0,COUNT(DA251:DA262)-DC258),0)</f>
        <v>#REF!</v>
      </c>
      <c r="DC259" s="4" t="e">
        <f t="shared" ca="1" si="4172"/>
        <v>#REF!</v>
      </c>
      <c r="DD259" s="693" t="str">
        <f ca="1">IF(LEFT($J251,7)="Clad Wo",IFERROR(VLOOKUP(INDEX(CZ251:CZ262,DC259),SPPWS,2,FALSE),"----"),IFERROR(VLOOKUP(INDEX(CZ251:CZ262,DC259),SPM,2,FALSE),"----"))</f>
        <v>----</v>
      </c>
      <c r="DE259" s="691" t="e">
        <f t="shared" ca="1" si="4173"/>
        <v>#REF!</v>
      </c>
      <c r="DF259" s="4" t="e" cm="1">
        <f t="array" aca="1" ref="DF259" ca="1">IF(AND(INDEX(INDIRECT(BY251),DE259,4)&gt;=$AB257,INDEX(INDIRECT(BY251),DE259,5)&gt;=$S251,INDEX(INDIRECT(BY251),DE259,6)&gt;=$R251),1,0)</f>
        <v>#REF!</v>
      </c>
      <c r="DG259" s="4" t="e">
        <f t="shared" ref="DG259" ca="1" si="4295">MATCH(1,OFFSET(DF251:DF262,DH258,0,COUNT(DF251:DF262)-DH258),0)</f>
        <v>#REF!</v>
      </c>
      <c r="DH259" s="4" t="e">
        <f t="shared" ca="1" si="4175"/>
        <v>#REF!</v>
      </c>
      <c r="DI259" s="692" t="str" cm="1">
        <f t="array" aca="1" ref="DI259" ca="1">IFERROR(VLOOKUP(INDEX(DE251:DE262,DH259),INDIRECT(BY251),2,FALSE),"----")</f>
        <v>----</v>
      </c>
      <c r="DJ259" s="691" t="e">
        <f t="shared" ca="1" si="4176"/>
        <v>#N/A</v>
      </c>
      <c r="DK259" s="4" t="e">
        <f ca="1">IF(AND(INDEX(SSM,DJ259,4)&gt;=$AB257,INDEX(SSM,DJ259,5)&gt;=$S251,INDEX(SSM,DJ259,6)&gt;=$R251),1,0)</f>
        <v>#N/A</v>
      </c>
      <c r="DL259" s="4" t="e">
        <f t="shared" ref="DL259" ca="1" si="4296">MATCH(1,OFFSET(DK251:DK262,DM258,0,COUNT(DK251:DK262)-DM258),0)</f>
        <v>#REF!</v>
      </c>
      <c r="DM259" s="4" t="e">
        <f t="shared" ca="1" si="4178"/>
        <v>#REF!</v>
      </c>
      <c r="DN259" s="692" t="str">
        <f ca="1">IFERROR(IF(AD258="Nested Steel Stud (wood infill)",VLOOKUP(INDEX(DJ251:DJ262,DM259),SSW,2,FALSE),VLOOKUP(INDEX(DJ251:DJ262,DM259),SSM,2,FALSE)),"----")</f>
        <v>----</v>
      </c>
      <c r="DO259" s="691" t="e">
        <f t="shared" ca="1" si="4179"/>
        <v>#N/A</v>
      </c>
      <c r="DP259" s="4" t="e">
        <f ca="1">IF(AND(INDEX(WSM,DO259,4)&gt;=$AB257,INDEX(WSM,DO259,5)&gt;=$S251,INDEX(WSM,DO259,6)&gt;=$R251),1,0)</f>
        <v>#N/A</v>
      </c>
      <c r="DQ259" s="4" t="e">
        <f t="shared" ref="DQ259" ca="1" si="4297">MATCH(1,OFFSET(DP251:DP262,DR258,0,COUNT(DP251:DP262)-DR258),0)</f>
        <v>#REF!</v>
      </c>
      <c r="DR259" s="4" t="e">
        <f t="shared" ca="1" si="4181"/>
        <v>#REF!</v>
      </c>
      <c r="DS259" s="692" t="str">
        <f ca="1">IFERROR(VLOOKUP(INDEX(DO251:DO262,DR259),WSM,2,FALSE),"----")</f>
        <v>----</v>
      </c>
      <c r="DT259" s="691" t="e">
        <f t="shared" ca="1" si="4182"/>
        <v>#N/A</v>
      </c>
      <c r="DU259" s="4" t="e">
        <f ca="1">IF(AND(INDEX(STM,DT259,4)&gt;=$AB257,INDEX(STM,DT259,5)&gt;=$S251,INDEX(STM,DT259,6)&gt;=$R251),1,0)</f>
        <v>#N/A</v>
      </c>
      <c r="DV259" s="4" t="e">
        <f t="shared" ref="DV259" ca="1" si="4298">MATCH(1,OFFSET(DU251:DU262,DW258,0,COUNT(DU251:DU262)-DW258),0)</f>
        <v>#REF!</v>
      </c>
      <c r="DW259" s="4" t="e">
        <f t="shared" ca="1" si="4184"/>
        <v>#REF!</v>
      </c>
      <c r="DX259" s="692" t="str">
        <f ca="1">IFERROR(VLOOKUP(INDEX(DT251:DT262,DW259),STM,2,FALSE),"----")</f>
        <v>----</v>
      </c>
      <c r="DY259" s="691" t="e">
        <f t="shared" ca="1" si="4185"/>
        <v>#N/A</v>
      </c>
      <c r="DZ259" s="4" t="e">
        <f ca="1">IF(AND(INDEX(ELM,DY259,4)&gt;=$AB257,INDEX(ELM,DY259,5)&gt;=$S251,INDEX(ELM,DY259,6)&gt;=$R251),1,0)</f>
        <v>#N/A</v>
      </c>
      <c r="EA259" s="4" t="e">
        <f t="shared" ref="EA259" ca="1" si="4299">MATCH(1,OFFSET(DZ251:DZ262,EB258,0,COUNT(DZ251:DZ262)-EB258),0)</f>
        <v>#REF!</v>
      </c>
      <c r="EB259" s="4" t="e">
        <f t="shared" ca="1" si="4187"/>
        <v>#REF!</v>
      </c>
      <c r="EC259" s="692" t="str">
        <f ca="1">IFERROR(VLOOKUP(INDEX(DY251:DY262,EB259),ELM,2,FALSE),"----")</f>
        <v>----</v>
      </c>
      <c r="ED259" s="691" t="e">
        <f t="shared" ca="1" si="4188"/>
        <v>#N/A</v>
      </c>
      <c r="EE259" s="4" t="e">
        <f ca="1">IF(LEFT($J251,7)="Clad Wo",IF(AND(INDEX(SPPWS,ED259,4)&gt;=$AB257,INDEX(SPPWS,ED259,5)&gt;=$S251,INDEX(SPPWS,ED259,6)&gt;=$R251),1,0),IF(AND(INDEX(SPM,ED259,4)&gt;=$AB257,INDEX(SPM,ED259,5)&gt;=$S251,INDEX(SPM,ED259,6)&gt;=$R251),1,0))</f>
        <v>#N/A</v>
      </c>
      <c r="EF259" s="4" t="e">
        <f t="shared" ref="EF259" ca="1" si="4300">MATCH(1,OFFSET(EE251:EE262,EG258,0,COUNT(EE251:EE262)-EG258),0)</f>
        <v>#REF!</v>
      </c>
      <c r="EG259" s="4" t="e">
        <f t="shared" ca="1" si="4190"/>
        <v>#REF!</v>
      </c>
      <c r="EH259" s="692" t="str">
        <f ca="1">IF(LEFT($J251,7)="Clad Wo",IFERROR(VLOOKUP(INDEX(ED251:ED262,EG259),SPPWS,2,FALSE),"----"),IFERROR(VLOOKUP(INDEX(ED251:ED262,EG259),SPM,2,FALSE),"----"))</f>
        <v>----</v>
      </c>
    </row>
    <row r="260" spans="1:138" ht="15" customHeight="1" x14ac:dyDescent="0.25">
      <c r="A260" s="1085"/>
      <c r="B260" s="925"/>
      <c r="C260" s="926"/>
      <c r="D260" s="927"/>
      <c r="E260" s="995"/>
      <c r="F260" s="996"/>
      <c r="G260" s="997"/>
      <c r="H260" s="1062"/>
      <c r="I260" s="990"/>
      <c r="J260" s="902"/>
      <c r="K260" s="903"/>
      <c r="L260" s="1002"/>
      <c r="M260" s="923"/>
      <c r="N260" s="1042"/>
      <c r="O260" s="1018"/>
      <c r="P260" s="987"/>
      <c r="Q260" s="1015"/>
      <c r="R260" s="1012"/>
      <c r="S260" s="1006"/>
      <c r="T260" s="1007"/>
      <c r="U260" s="878"/>
      <c r="V260" s="881"/>
      <c r="W260" s="884"/>
      <c r="X260" s="884"/>
      <c r="Y260" s="887"/>
      <c r="Z260" s="887"/>
      <c r="AA260" s="887"/>
      <c r="AB260" s="1081"/>
      <c r="AC260" s="1078"/>
      <c r="AD260" s="1070" t="str">
        <f t="shared" si="3099"/>
        <v>Steel Tube</v>
      </c>
      <c r="AE260" s="1071"/>
      <c r="AF260" s="1052"/>
      <c r="AG260" s="1053"/>
      <c r="AH260" s="1053"/>
      <c r="AI260" s="1066"/>
      <c r="AJ260" s="1067"/>
      <c r="AK260" s="156" t="str">
        <f t="shared" ca="1" si="3667"/>
        <v/>
      </c>
      <c r="AL260" s="1059"/>
      <c r="AM260" s="343" t="str">
        <f ca="1">IFERROR(Q251/12*ROUND(VLOOKUP(AF260,OFFSET(STM,0,1),6,FALSE),2),"")</f>
        <v/>
      </c>
      <c r="AN260" t="str">
        <f t="shared" ca="1" si="3717"/>
        <v/>
      </c>
      <c r="AP260" s="122" t="str">
        <f t="shared" ref="AP260" si="4301">_xlfn.CONCAT(AR260,AS262)</f>
        <v/>
      </c>
      <c r="AQ260" s="683" t="str">
        <f t="shared" si="3881"/>
        <v/>
      </c>
      <c r="AR260" s="4" t="str">
        <f t="shared" si="3642"/>
        <v/>
      </c>
      <c r="AS260" s="4"/>
      <c r="AT260" s="697" t="str">
        <f>AL257</f>
        <v/>
      </c>
      <c r="AU260" s="694" t="e">
        <f t="shared" ca="1" si="3907"/>
        <v>#REF!</v>
      </c>
      <c r="AV260" s="686" t="str">
        <f ca="1">IFERROR(VLOOKUP(AU260,INDIRECT(AQ251),2,FALSE),"----")</f>
        <v>----</v>
      </c>
      <c r="AW260" s="694" t="e">
        <f t="shared" ca="1" si="3908"/>
        <v>#REF!</v>
      </c>
      <c r="AX260" s="686" t="str">
        <f ca="1">IFERROR(VLOOKUP(AW260,INDIRECT(AQ252),2,FALSE),"----")</f>
        <v>----</v>
      </c>
      <c r="AY260" s="694" t="e">
        <f t="shared" ca="1" si="3352"/>
        <v>#REF!</v>
      </c>
      <c r="AZ260" s="686" t="str">
        <f ca="1">IFERROR(VLOOKUP(AY260,INDIRECT(AQ253),2,FALSE),"----")</f>
        <v>----</v>
      </c>
      <c r="BA260" s="694" t="e">
        <f t="shared" ca="1" si="3353"/>
        <v>#REF!</v>
      </c>
      <c r="BB260" s="686" t="str">
        <f ca="1">IFERROR(VLOOKUP(BA260,INDIRECT(AQ254),2,FALSE),"----")</f>
        <v>----</v>
      </c>
      <c r="BC260" s="694" t="e">
        <f t="shared" ca="1" si="3911"/>
        <v>#REF!</v>
      </c>
      <c r="BD260" s="686" t="str">
        <f ca="1">IFERROR(VLOOKUP(BC260,INDIRECT(AQ255),2,FALSE),"----")</f>
        <v>----</v>
      </c>
      <c r="BE260" s="694" t="e">
        <f t="shared" ca="1" si="3912"/>
        <v>#REF!</v>
      </c>
      <c r="BF260" s="686" t="str">
        <f ca="1">IFERROR(VLOOKUP(BE260,INDIRECT(AQ256),2,FALSE),"----")</f>
        <v>----</v>
      </c>
      <c r="BG260" s="702" t="e">
        <f t="shared" ca="1" si="3913"/>
        <v>#REF!</v>
      </c>
      <c r="BH260" s="686" t="str">
        <f ca="1">IFERROR(VLOOKUP(BG260,INDIRECT(AQ257),2,FALSE),"----")</f>
        <v>----</v>
      </c>
      <c r="BI260" s="702" t="e">
        <f t="shared" ca="1" si="3914"/>
        <v>#REF!</v>
      </c>
      <c r="BJ260" s="686" t="str">
        <f ca="1">IFERROR(VLOOKUP(BI260,INDIRECT(AQ258),2,FALSE),"----")</f>
        <v>----</v>
      </c>
      <c r="BK260" s="702" t="e">
        <f t="shared" ca="1" si="3915"/>
        <v>#REF!</v>
      </c>
      <c r="BL260" s="686" t="str">
        <f ca="1">IFERROR(VLOOKUP(BK260,INDIRECT(AQ259),2,FALSE),"----")</f>
        <v>----</v>
      </c>
      <c r="BM260" s="702" t="e">
        <f t="shared" ca="1" si="3916"/>
        <v>#REF!</v>
      </c>
      <c r="BN260" s="686" t="str">
        <f ca="1">IFERROR(VLOOKUP(BM260,INDIRECT(AQ260),2,FALSE),"----")</f>
        <v>----</v>
      </c>
      <c r="BO260" s="702" t="e">
        <f t="shared" ca="1" si="3917"/>
        <v>#REF!</v>
      </c>
      <c r="BP260" s="686" t="str">
        <f ca="1">IFERROR(VLOOKUP(BO260,INDIRECT(AQ261),2,FALSE),"----")</f>
        <v>----</v>
      </c>
      <c r="BQ260" s="702" t="e">
        <f t="shared" ca="1" si="3918"/>
        <v>#REF!</v>
      </c>
      <c r="BR260" s="686" t="str">
        <f ca="1">IFERROR(VLOOKUP(BQ260,INDIRECT(AQ262),2,FALSE),"----")</f>
        <v>----</v>
      </c>
      <c r="BS260" s="695">
        <f>IF(AI260="",1,IF(COUNTIF(BN251:BN262,AI260)=0,2,1))</f>
        <v>1</v>
      </c>
      <c r="BT260" s="696">
        <f>IF(AF260="",1,IF(BN251=".",2,1))</f>
        <v>1</v>
      </c>
      <c r="BU260" s="706"/>
      <c r="BV260" s="155">
        <f ca="1">IF(COUNTIF(DX251:DX262,AF260)=0,IF(AF260&lt;&gt;"",0,1),1)</f>
        <v>1</v>
      </c>
      <c r="BW260" s="157">
        <f ca="1">IFERROR(MATCH(AF260,DX251:DX262,0),1)</f>
        <v>1</v>
      </c>
      <c r="BX260" s="769" t="e">
        <f t="shared" ref="BX260" si="4302">5*E251^3*W257/(384*X251)</f>
        <v>#VALUE!</v>
      </c>
      <c r="BY260" s="769" t="e">
        <f t="shared" ref="BY260" si="4303">E251^3*W257/(60*X251)</f>
        <v>#VALUE!</v>
      </c>
      <c r="BZ260" s="1110"/>
      <c r="CA260" s="691" t="e">
        <f t="shared" ca="1" si="4155"/>
        <v>#REF!</v>
      </c>
      <c r="CB260" s="4" t="e" cm="1">
        <f t="array" aca="1" ref="CB260" ca="1">IF(AND(INDEX(INDIRECT(BY251),CA260,4)&gt;=$AB251,INDEX(INDIRECT(BY251),CA260,5)&gt;=$S251,INDEX(INDIRECT(BY251),CA260,6)&gt;=$R251),1,0)</f>
        <v>#REF!</v>
      </c>
      <c r="CC260" s="4" t="e">
        <f t="shared" ref="CC260" ca="1" si="4304">MATCH(1,OFFSET(CB251:CB262,CD259,0,COUNT(CB251:CB262)-CD259),0)</f>
        <v>#REF!</v>
      </c>
      <c r="CD260" s="4" t="e">
        <f t="shared" ca="1" si="4157"/>
        <v>#REF!</v>
      </c>
      <c r="CE260" s="692" t="str" cm="1">
        <f t="array" aca="1" ref="CE260" ca="1">IFERROR(VLOOKUP(INDEX(CA251:CA262,CD260),INDIRECT(BY251),2,FALSE),"----")</f>
        <v>----</v>
      </c>
      <c r="CF260" s="691" t="e">
        <f t="shared" ca="1" si="4158"/>
        <v>#N/A</v>
      </c>
      <c r="CG260" s="4" t="e">
        <f ca="1">IF(AND(INDEX(SSM,CF260,4)&gt;=$AB251,INDEX(SSM,CF260,5)&gt;=$S251,INDEX(SSM,CF260,6)&gt;=$R251),1,0)</f>
        <v>#N/A</v>
      </c>
      <c r="CH260" s="4" t="e">
        <f t="shared" ref="CH260" ca="1" si="4305">MATCH(1,OFFSET(CG251:CG262,CI259,0,COUNT(CG251:CG262)-CI259),0)</f>
        <v>#REF!</v>
      </c>
      <c r="CI260" s="4" t="e">
        <f t="shared" ca="1" si="4160"/>
        <v>#REF!</v>
      </c>
      <c r="CJ260" s="692" t="str">
        <f ca="1">IFERROR(IF(AD252="Nested Steel Stud (wood infill)",VLOOKUP(INDEX(CF251:CF262,CI260),SSW,2,FALSE),VLOOKUP(INDEX(CF251:CF262,CI260),SSM,2,FALSE)),"----")</f>
        <v>----</v>
      </c>
      <c r="CK260" s="691" t="e">
        <f t="shared" ca="1" si="4161"/>
        <v>#N/A</v>
      </c>
      <c r="CL260" s="4" t="e">
        <f ca="1">IF(AND(INDEX(WSM,CK260,4)&gt;=$AB251,INDEX(WSM,CK260,5)&gt;=$S251,INDEX(WSM,CK260,6)&gt;=$R251),1,0)</f>
        <v>#N/A</v>
      </c>
      <c r="CM260" s="4" t="e">
        <f t="shared" ref="CM260" ca="1" si="4306">MATCH(1,OFFSET(CL251:CL262,CN259,0,COUNT(CL251:CL262)-CN259),0)</f>
        <v>#REF!</v>
      </c>
      <c r="CN260" s="4" t="e">
        <f t="shared" ca="1" si="4163"/>
        <v>#REF!</v>
      </c>
      <c r="CO260" s="692" t="str">
        <f ca="1">IFERROR(VLOOKUP(INDEX(CK251:CK262,CN260),WSM,2,FALSE),"----")</f>
        <v>----</v>
      </c>
      <c r="CP260" s="691" t="e">
        <f t="shared" ca="1" si="4164"/>
        <v>#N/A</v>
      </c>
      <c r="CQ260" s="4" t="e">
        <f ca="1">IF(AND(INDEX(STM,CP260,4)&gt;=$AB251,INDEX(STM,CP260,5)&gt;=$S251,INDEX(STM,CP260,6)&gt;=$R251),1,0)</f>
        <v>#N/A</v>
      </c>
      <c r="CR260" s="4" t="e">
        <f t="shared" ref="CR260" ca="1" si="4307">MATCH(1,OFFSET(CQ251:CQ262,CS259,0,COUNT(CQ251:CQ262)-CS259),0)</f>
        <v>#REF!</v>
      </c>
      <c r="CS260" s="4" t="e">
        <f t="shared" ca="1" si="4166"/>
        <v>#REF!</v>
      </c>
      <c r="CT260" s="692" t="str">
        <f ca="1">IFERROR(VLOOKUP(INDEX(CP251:CP262,CS260),STM,2,FALSE),"----")</f>
        <v>----</v>
      </c>
      <c r="CU260" s="691" t="e">
        <f t="shared" ca="1" si="4167"/>
        <v>#N/A</v>
      </c>
      <c r="CV260" s="4" t="e">
        <f ca="1">IF(AND(INDEX(ELM,CU260,4)&gt;=$AB251,INDEX(ELM,CU260,5)&gt;=$S251,INDEX(ELM,CU260,6)&gt;=$R251),1,0)</f>
        <v>#N/A</v>
      </c>
      <c r="CW260" s="4" t="e">
        <f t="shared" ref="CW260" ca="1" si="4308">MATCH(1,OFFSET(CV251:CV262,CX259,0,COUNT(CV251:CV262)-CX259),0)</f>
        <v>#REF!</v>
      </c>
      <c r="CX260" s="4" t="e">
        <f t="shared" ca="1" si="4169"/>
        <v>#REF!</v>
      </c>
      <c r="CY260" s="692" t="str">
        <f ca="1">IFERROR(VLOOKUP(INDEX(CU251:CU262,CX260),ELM,2,FALSE),"----")</f>
        <v>----</v>
      </c>
      <c r="CZ260" s="691" t="e">
        <f t="shared" ca="1" si="4170"/>
        <v>#N/A</v>
      </c>
      <c r="DA260" s="4" t="e">
        <f ca="1">IF(LEFT($J251,7)="Clad Wo",IF(AND(INDEX(SPPWS,CZ260,4)&gt;=$AB251,INDEX(SPPWS,CZ260,5)&gt;=$S251,INDEX(SPPWS,CZ260,6)&gt;=$R251),1,0),IF(AND(INDEX(SPM,CZ260,4)&gt;=$AB251,INDEX(SPM,CZ260,5)&gt;=$S251,INDEX(SPM,CZ260,6)&gt;=$R251),1,0))</f>
        <v>#N/A</v>
      </c>
      <c r="DB260" s="4" t="e">
        <f t="shared" ref="DB260" ca="1" si="4309">MATCH(1,OFFSET(DA251:DA262,DC259,0,COUNT(DA251:DA262)-DC259),0)</f>
        <v>#REF!</v>
      </c>
      <c r="DC260" s="4" t="e">
        <f t="shared" ca="1" si="4172"/>
        <v>#REF!</v>
      </c>
      <c r="DD260" s="693" t="str">
        <f ca="1">IF(LEFT($J251,7)="Clad Wo",IFERROR(VLOOKUP(INDEX(CZ251:CZ262,DC260),SPPWS,2,FALSE),"----"),IFERROR(VLOOKUP(INDEX(CZ251:CZ262,DC260),SPM,2,FALSE),"----"))</f>
        <v>----</v>
      </c>
      <c r="DE260" s="691" t="e">
        <f t="shared" ca="1" si="4173"/>
        <v>#REF!</v>
      </c>
      <c r="DF260" s="4" t="e" cm="1">
        <f t="array" aca="1" ref="DF260" ca="1">IF(AND(INDEX(INDIRECT(BY251),DE260,4)&gt;=$AB257,INDEX(INDIRECT(BY251),DE260,5)&gt;=$S251,INDEX(INDIRECT(BY251),DE260,6)&gt;=$R251),1,0)</f>
        <v>#REF!</v>
      </c>
      <c r="DG260" s="4" t="e">
        <f t="shared" ref="DG260" ca="1" si="4310">MATCH(1,OFFSET(DF251:DF262,DH259,0,COUNT(DF251:DF262)-DH259),0)</f>
        <v>#REF!</v>
      </c>
      <c r="DH260" s="4" t="e">
        <f t="shared" ca="1" si="4175"/>
        <v>#REF!</v>
      </c>
      <c r="DI260" s="692" t="str" cm="1">
        <f t="array" aca="1" ref="DI260" ca="1">IFERROR(VLOOKUP(INDEX(DE251:DE262,DH260),INDIRECT(BY251),2,FALSE),"----")</f>
        <v>----</v>
      </c>
      <c r="DJ260" s="691" t="e">
        <f t="shared" ca="1" si="4176"/>
        <v>#N/A</v>
      </c>
      <c r="DK260" s="4" t="e">
        <f ca="1">IF(AND(INDEX(SSM,DJ260,4)&gt;=$AB257,INDEX(SSM,DJ260,5)&gt;=$S251,INDEX(SSM,DJ260,6)&gt;=$R251),1,0)</f>
        <v>#N/A</v>
      </c>
      <c r="DL260" s="4" t="e">
        <f t="shared" ref="DL260" ca="1" si="4311">MATCH(1,OFFSET(DK251:DK262,DM259,0,COUNT(DK251:DK262)-DM259),0)</f>
        <v>#REF!</v>
      </c>
      <c r="DM260" s="4" t="e">
        <f t="shared" ca="1" si="4178"/>
        <v>#REF!</v>
      </c>
      <c r="DN260" s="692" t="str">
        <f ca="1">IFERROR(IF(AD258="Nested Steel Stud (wood infill)",VLOOKUP(INDEX(DJ251:DJ262,DM260),SSW,2,FALSE),VLOOKUP(INDEX(DJ251:DJ262,DM260),SSM,2,FALSE)),"----")</f>
        <v>----</v>
      </c>
      <c r="DO260" s="691" t="e">
        <f t="shared" ca="1" si="4179"/>
        <v>#N/A</v>
      </c>
      <c r="DP260" s="4" t="e">
        <f ca="1">IF(AND(INDEX(WSM,DO260,4)&gt;=$AB257,INDEX(WSM,DO260,5)&gt;=$S251,INDEX(WSM,DO260,6)&gt;=$R251),1,0)</f>
        <v>#N/A</v>
      </c>
      <c r="DQ260" s="4" t="e">
        <f t="shared" ref="DQ260" ca="1" si="4312">MATCH(1,OFFSET(DP251:DP262,DR259,0,COUNT(DP251:DP262)-DR259),0)</f>
        <v>#REF!</v>
      </c>
      <c r="DR260" s="4" t="e">
        <f t="shared" ca="1" si="4181"/>
        <v>#REF!</v>
      </c>
      <c r="DS260" s="692" t="str">
        <f ca="1">IFERROR(VLOOKUP(INDEX(DO251:DO262,DR260),WSM,2,FALSE),"----")</f>
        <v>----</v>
      </c>
      <c r="DT260" s="691" t="e">
        <f t="shared" ca="1" si="4182"/>
        <v>#N/A</v>
      </c>
      <c r="DU260" s="4" t="e">
        <f ca="1">IF(AND(INDEX(STM,DT260,4)&gt;=$AB257,INDEX(STM,DT260,5)&gt;=$S251,INDEX(STM,DT260,6)&gt;=$R251),1,0)</f>
        <v>#N/A</v>
      </c>
      <c r="DV260" s="4" t="e">
        <f t="shared" ref="DV260" ca="1" si="4313">MATCH(1,OFFSET(DU251:DU262,DW259,0,COUNT(DU251:DU262)-DW259),0)</f>
        <v>#REF!</v>
      </c>
      <c r="DW260" s="4" t="e">
        <f t="shared" ca="1" si="4184"/>
        <v>#REF!</v>
      </c>
      <c r="DX260" s="692" t="str">
        <f ca="1">IFERROR(VLOOKUP(INDEX(DT251:DT262,DW260),STM,2,FALSE),"----")</f>
        <v>----</v>
      </c>
      <c r="DY260" s="691" t="e">
        <f t="shared" ca="1" si="4185"/>
        <v>#N/A</v>
      </c>
      <c r="DZ260" s="4" t="e">
        <f ca="1">IF(AND(INDEX(ELM,DY260,4)&gt;=$AB257,INDEX(ELM,DY260,5)&gt;=$S251,INDEX(ELM,DY260,6)&gt;=$R251),1,0)</f>
        <v>#N/A</v>
      </c>
      <c r="EA260" s="4" t="e">
        <f t="shared" ref="EA260" ca="1" si="4314">MATCH(1,OFFSET(DZ251:DZ262,EB259,0,COUNT(DZ251:DZ262)-EB259),0)</f>
        <v>#REF!</v>
      </c>
      <c r="EB260" s="4" t="e">
        <f t="shared" ca="1" si="4187"/>
        <v>#REF!</v>
      </c>
      <c r="EC260" s="692" t="str">
        <f ca="1">IFERROR(VLOOKUP(INDEX(DY251:DY262,EB260),ELM,2,FALSE),"----")</f>
        <v>----</v>
      </c>
      <c r="ED260" s="691" t="e">
        <f t="shared" ca="1" si="4188"/>
        <v>#N/A</v>
      </c>
      <c r="EE260" s="4" t="e">
        <f ca="1">IF(LEFT($J251,7)="Clad Wo",IF(AND(INDEX(SPPWS,ED260,4)&gt;=$AB257,INDEX(SPPWS,ED260,5)&gt;=$S251,INDEX(SPPWS,ED260,6)&gt;=$R251),1,0),IF(AND(INDEX(SPM,ED260,4)&gt;=$AB257,INDEX(SPM,ED260,5)&gt;=$S251,INDEX(SPM,ED260,6)&gt;=$R251),1,0))</f>
        <v>#N/A</v>
      </c>
      <c r="EF260" s="4" t="e">
        <f t="shared" ref="EF260" ca="1" si="4315">MATCH(1,OFFSET(EE251:EE262,EG259,0,COUNT(EE251:EE262)-EG259),0)</f>
        <v>#REF!</v>
      </c>
      <c r="EG260" s="4" t="e">
        <f t="shared" ca="1" si="4190"/>
        <v>#REF!</v>
      </c>
      <c r="EH260" s="692" t="str">
        <f ca="1">IF(LEFT($J251,7)="Clad Wo",IFERROR(VLOOKUP(INDEX(ED251:ED262,EG260),SPPWS,2,FALSE),"----"),IFERROR(VLOOKUP(INDEX(ED251:ED262,EG260),SPM,2,FALSE),"----"))</f>
        <v>----</v>
      </c>
    </row>
    <row r="261" spans="1:138" ht="15" customHeight="1" x14ac:dyDescent="0.25">
      <c r="A261" s="1085"/>
      <c r="B261" s="925"/>
      <c r="C261" s="926"/>
      <c r="D261" s="927"/>
      <c r="E261" s="995"/>
      <c r="F261" s="996"/>
      <c r="G261" s="997"/>
      <c r="H261" s="1062"/>
      <c r="I261" s="990"/>
      <c r="J261" s="902"/>
      <c r="K261" s="903"/>
      <c r="L261" s="1002"/>
      <c r="M261" s="923"/>
      <c r="N261" s="1042"/>
      <c r="O261" s="1018"/>
      <c r="P261" s="987"/>
      <c r="Q261" s="1015"/>
      <c r="R261" s="1012"/>
      <c r="S261" s="1006"/>
      <c r="T261" s="1007"/>
      <c r="U261" s="878"/>
      <c r="V261" s="881"/>
      <c r="W261" s="884"/>
      <c r="X261" s="884"/>
      <c r="Y261" s="887"/>
      <c r="Z261" s="887"/>
      <c r="AA261" s="887"/>
      <c r="AB261" s="1081"/>
      <c r="AC261" s="1078"/>
      <c r="AD261" s="1070" t="str">
        <f t="shared" si="3099"/>
        <v>Engineered Lumber</v>
      </c>
      <c r="AE261" s="1071"/>
      <c r="AF261" s="1052"/>
      <c r="AG261" s="1053"/>
      <c r="AH261" s="1053"/>
      <c r="AI261" s="1068"/>
      <c r="AJ261" s="1069"/>
      <c r="AK261" s="154" t="str">
        <f t="shared" ca="1" si="3667"/>
        <v/>
      </c>
      <c r="AL261" s="1059"/>
      <c r="AM261" s="344" t="str">
        <f ca="1">IFERROR(Q251/12*ROUND(VLOOKUP(AF261,OFFSET(ELM,0,1),6,FALSE),2),"")</f>
        <v/>
      </c>
      <c r="AN261" t="str">
        <f t="shared" ca="1" si="3717"/>
        <v/>
      </c>
      <c r="AP261" s="122" t="str">
        <f t="shared" ref="AP261" si="4316">_xlfn.CONCAT(AR261,AS262)</f>
        <v/>
      </c>
      <c r="AQ261" s="683" t="str">
        <f t="shared" si="3881"/>
        <v/>
      </c>
      <c r="AR261" s="4" t="str">
        <f t="shared" si="3642"/>
        <v/>
      </c>
      <c r="AS261" s="4"/>
      <c r="AT261" s="697" t="str">
        <f>AL257</f>
        <v/>
      </c>
      <c r="AU261" s="694" t="e">
        <f t="shared" ca="1" si="3907"/>
        <v>#REF!</v>
      </c>
      <c r="AV261" s="698" t="str">
        <f ca="1">IFERROR(VLOOKUP(AU261,INDIRECT(AQ251),2,FALSE),"----")</f>
        <v>----</v>
      </c>
      <c r="AW261" s="694" t="e">
        <f t="shared" ca="1" si="3908"/>
        <v>#REF!</v>
      </c>
      <c r="AX261" s="698" t="str">
        <f ca="1">IFERROR(VLOOKUP(AW261,INDIRECT(AQ252),2,FALSE),"----")</f>
        <v>----</v>
      </c>
      <c r="AY261" s="694" t="e">
        <f t="shared" ca="1" si="3352"/>
        <v>#REF!</v>
      </c>
      <c r="AZ261" s="698" t="str">
        <f ca="1">IFERROR(VLOOKUP(AY261,INDIRECT(AQ253),2,FALSE),"----")</f>
        <v>----</v>
      </c>
      <c r="BA261" s="694" t="e">
        <f t="shared" ca="1" si="3353"/>
        <v>#REF!</v>
      </c>
      <c r="BB261" s="698" t="str">
        <f ca="1">IFERROR(VLOOKUP(BA261,INDIRECT(AQ254),2,FALSE),"----")</f>
        <v>----</v>
      </c>
      <c r="BC261" s="694" t="e">
        <f t="shared" ca="1" si="3911"/>
        <v>#REF!</v>
      </c>
      <c r="BD261" s="698" t="str">
        <f ca="1">IFERROR(VLOOKUP(BC261,INDIRECT(AQ255),2,FALSE),"----")</f>
        <v>----</v>
      </c>
      <c r="BE261" s="694" t="e">
        <f t="shared" ca="1" si="3912"/>
        <v>#REF!</v>
      </c>
      <c r="BF261" s="698" t="str">
        <f ca="1">IFERROR(VLOOKUP(BE261,INDIRECT(AQ256),2,FALSE),"----")</f>
        <v>----</v>
      </c>
      <c r="BG261" s="702" t="e">
        <f t="shared" ca="1" si="3913"/>
        <v>#REF!</v>
      </c>
      <c r="BH261" s="686" t="str">
        <f ca="1">IFERROR(VLOOKUP(BG261,INDIRECT(AQ257),2,FALSE),"----")</f>
        <v>----</v>
      </c>
      <c r="BI261" s="702" t="e">
        <f t="shared" ca="1" si="3914"/>
        <v>#REF!</v>
      </c>
      <c r="BJ261" s="686" t="str">
        <f ca="1">IFERROR(VLOOKUP(BI261,INDIRECT(AQ258),2,FALSE),"----")</f>
        <v>----</v>
      </c>
      <c r="BK261" s="702" t="e">
        <f t="shared" ca="1" si="3915"/>
        <v>#REF!</v>
      </c>
      <c r="BL261" s="686" t="str">
        <f ca="1">IFERROR(VLOOKUP(BK261,INDIRECT(AQ259),2,FALSE),"----")</f>
        <v>----</v>
      </c>
      <c r="BM261" s="702" t="e">
        <f t="shared" ca="1" si="3916"/>
        <v>#REF!</v>
      </c>
      <c r="BN261" s="686" t="str">
        <f ca="1">IFERROR(VLOOKUP(BM261,INDIRECT(AQ260),2,FALSE),"----")</f>
        <v>----</v>
      </c>
      <c r="BO261" s="702" t="e">
        <f t="shared" ca="1" si="3917"/>
        <v>#REF!</v>
      </c>
      <c r="BP261" s="686" t="str">
        <f ca="1">IFERROR(VLOOKUP(BO261,INDIRECT(AQ261),2,FALSE),"----")</f>
        <v>----</v>
      </c>
      <c r="BQ261" s="702" t="e">
        <f t="shared" ca="1" si="3918"/>
        <v>#REF!</v>
      </c>
      <c r="BR261" s="686" t="str">
        <f ca="1">IFERROR(VLOOKUP(BQ261,INDIRECT(AQ262),2,FALSE),"----")</f>
        <v>----</v>
      </c>
      <c r="BS261" s="695">
        <f>IF(AI261="",1,IF(COUNTIF(BP251:BP262,AI261)=0,2,1))</f>
        <v>1</v>
      </c>
      <c r="BT261" s="696">
        <f>IF(AF261="",1,IF(BP251=".",2,1))</f>
        <v>1</v>
      </c>
      <c r="BU261" s="706"/>
      <c r="BV261" s="155">
        <f ca="1">IF(COUNTIF(EC251:EC262,AF261)=0,IF(AF261&lt;&gt;"",0,1),1)</f>
        <v>1</v>
      </c>
      <c r="BW261" s="157">
        <f ca="1">IFERROR(MATCH(AF261,EC251:EC262,0),1)</f>
        <v>1</v>
      </c>
      <c r="BX261" s="769"/>
      <c r="BY261" s="769"/>
      <c r="BZ261" s="1110"/>
      <c r="CA261" s="691" t="e">
        <f t="shared" ca="1" si="4155"/>
        <v>#REF!</v>
      </c>
      <c r="CB261" s="4" t="e" cm="1">
        <f t="array" aca="1" ref="CB261" ca="1">IF(AND(INDEX(INDIRECT(BY251),CA261,4)&gt;=$AB251,INDEX(INDIRECT(BY251),CA261,5)&gt;=$S251,INDEX(INDIRECT(BY251),CA261,6)&gt;=$R251),1,0)</f>
        <v>#REF!</v>
      </c>
      <c r="CC261" s="4" t="e">
        <f t="shared" ref="CC261" ca="1" si="4317">MATCH(1,OFFSET(CB251:CB262,CD260,0,COUNT(CB251:CB262)-CD260),0)</f>
        <v>#REF!</v>
      </c>
      <c r="CD261" s="4" t="e">
        <f t="shared" ca="1" si="4157"/>
        <v>#REF!</v>
      </c>
      <c r="CE261" s="692" t="str" cm="1">
        <f t="array" aca="1" ref="CE261" ca="1">IFERROR(VLOOKUP(INDEX(CA251:CA262,CD261),INDIRECT(BY251),2,FALSE),"----")</f>
        <v>----</v>
      </c>
      <c r="CF261" s="691" t="e">
        <f t="shared" ca="1" si="4158"/>
        <v>#N/A</v>
      </c>
      <c r="CG261" s="4" t="e">
        <f ca="1">IF(AND(INDEX(SSM,CF261,4)&gt;=$AB251,INDEX(SSM,CF261,5)&gt;=$S251,INDEX(SSM,CF261,6)&gt;=$R251),1,0)</f>
        <v>#N/A</v>
      </c>
      <c r="CH261" s="4" t="e">
        <f t="shared" ref="CH261" ca="1" si="4318">MATCH(1,OFFSET(CG251:CG262,CI260,0,COUNT(CG251:CG262)-CI260),0)</f>
        <v>#REF!</v>
      </c>
      <c r="CI261" s="4" t="e">
        <f t="shared" ca="1" si="4160"/>
        <v>#REF!</v>
      </c>
      <c r="CJ261" s="692" t="str">
        <f ca="1">IFERROR(IF(AD252="Nested Steel Stud (wood infill)",VLOOKUP(INDEX(CF251:CF262,CI261),SSW,2,FALSE),VLOOKUP(INDEX(CF251:CF262,CI261),SSM,2,FALSE)),"----")</f>
        <v>----</v>
      </c>
      <c r="CK261" s="691" t="e">
        <f t="shared" ca="1" si="4161"/>
        <v>#N/A</v>
      </c>
      <c r="CL261" s="4" t="e">
        <f ca="1">IF(AND(INDEX(WSM,CK261,4)&gt;=$AB251,INDEX(WSM,CK261,5)&gt;=$S251,INDEX(WSM,CK261,6)&gt;=$R251),1,0)</f>
        <v>#N/A</v>
      </c>
      <c r="CM261" s="4" t="e">
        <f t="shared" ref="CM261" ca="1" si="4319">MATCH(1,OFFSET(CL251:CL262,CN260,0,COUNT(CL251:CL262)-CN260),0)</f>
        <v>#REF!</v>
      </c>
      <c r="CN261" s="4" t="e">
        <f t="shared" ca="1" si="4163"/>
        <v>#REF!</v>
      </c>
      <c r="CO261" s="692" t="str">
        <f ca="1">IFERROR(VLOOKUP(INDEX(CK251:CK262,CN261),WSM,2,FALSE),"----")</f>
        <v>----</v>
      </c>
      <c r="CP261" s="691" t="e">
        <f t="shared" ca="1" si="4164"/>
        <v>#N/A</v>
      </c>
      <c r="CQ261" s="4" t="e">
        <f ca="1">IF(AND(INDEX(STM,CP261,4)&gt;=$AB251,INDEX(STM,CP261,5)&gt;=$S251,INDEX(STM,CP261,6)&gt;=$R251),1,0)</f>
        <v>#N/A</v>
      </c>
      <c r="CR261" s="4" t="e">
        <f t="shared" ref="CR261" ca="1" si="4320">MATCH(1,OFFSET(CQ251:CQ262,CS260,0,COUNT(CQ251:CQ262)-CS260),0)</f>
        <v>#REF!</v>
      </c>
      <c r="CS261" s="4" t="e">
        <f t="shared" ca="1" si="4166"/>
        <v>#REF!</v>
      </c>
      <c r="CT261" s="692" t="str">
        <f ca="1">IFERROR(VLOOKUP(INDEX(CP251:CP262,CS261),STM,2,FALSE),"----")</f>
        <v>----</v>
      </c>
      <c r="CU261" s="691" t="e">
        <f t="shared" ca="1" si="4167"/>
        <v>#N/A</v>
      </c>
      <c r="CV261" s="4" t="e">
        <f ca="1">IF(AND(INDEX(ELM,CU261,4)&gt;=$AB251,INDEX(ELM,CU261,5)&gt;=$S251,INDEX(ELM,CU261,6)&gt;=$R251),1,0)</f>
        <v>#N/A</v>
      </c>
      <c r="CW261" s="4" t="e">
        <f t="shared" ref="CW261" ca="1" si="4321">MATCH(1,OFFSET(CV251:CV262,CX260,0,COUNT(CV251:CV262)-CX260),0)</f>
        <v>#REF!</v>
      </c>
      <c r="CX261" s="4" t="e">
        <f t="shared" ca="1" si="4169"/>
        <v>#REF!</v>
      </c>
      <c r="CY261" s="692" t="str">
        <f ca="1">IFERROR(VLOOKUP(INDEX(CU251:CU262,CX261),ELM,2,FALSE),"----")</f>
        <v>----</v>
      </c>
      <c r="CZ261" s="691" t="e">
        <f t="shared" ca="1" si="4170"/>
        <v>#N/A</v>
      </c>
      <c r="DA261" s="4" t="e">
        <f ca="1">IF(LEFT($J251,7)="Clad Wo",IF(AND(INDEX(SPPWS,CZ261,4)&gt;=$AB251,INDEX(SPPWS,CZ261,5)&gt;=$S251,INDEX(SPPWS,CZ261,6)&gt;=$R251),1,0),IF(AND(INDEX(SPM,CZ261,4)&gt;=$AB251,INDEX(SPM,CZ261,5)&gt;=$S251,INDEX(SPM,CZ261,6)&gt;=$R251),1,0))</f>
        <v>#N/A</v>
      </c>
      <c r="DB261" s="4" t="e">
        <f t="shared" ref="DB261" ca="1" si="4322">MATCH(1,OFFSET(DA251:DA262,DC260,0,COUNT(DA251:DA262)-DC260),0)</f>
        <v>#REF!</v>
      </c>
      <c r="DC261" s="4" t="e">
        <f t="shared" ca="1" si="4172"/>
        <v>#REF!</v>
      </c>
      <c r="DD261" s="693" t="str">
        <f ca="1">IF(LEFT($J251,7)="Clad Wo",IFERROR(VLOOKUP(INDEX(CZ251:CZ262,DC261),SPPWS,2,FALSE),"----"),IFERROR(VLOOKUP(INDEX(CZ251:CZ262,DC261),SPM,2,FALSE),"----"))</f>
        <v>----</v>
      </c>
      <c r="DE261" s="691" t="e">
        <f t="shared" ca="1" si="4173"/>
        <v>#REF!</v>
      </c>
      <c r="DF261" s="4" t="e" cm="1">
        <f t="array" aca="1" ref="DF261" ca="1">IF(AND(INDEX(INDIRECT(BY251),DE261,4)&gt;=$AB257,INDEX(INDIRECT(BY251),DE261,5)&gt;=$S251,INDEX(INDIRECT(BY251),DE261,6)&gt;=$R251),1,0)</f>
        <v>#REF!</v>
      </c>
      <c r="DG261" s="4" t="e">
        <f t="shared" ref="DG261" ca="1" si="4323">MATCH(1,OFFSET(DF251:DF262,DH260,0,COUNT(DF251:DF262)-DH260),0)</f>
        <v>#REF!</v>
      </c>
      <c r="DH261" s="4" t="e">
        <f t="shared" ca="1" si="4175"/>
        <v>#REF!</v>
      </c>
      <c r="DI261" s="692" t="str" cm="1">
        <f t="array" aca="1" ref="DI261" ca="1">IFERROR(VLOOKUP(INDEX(DE251:DE262,DH261),INDIRECT(BY251),2,FALSE),"----")</f>
        <v>----</v>
      </c>
      <c r="DJ261" s="691" t="e">
        <f t="shared" ca="1" si="4176"/>
        <v>#N/A</v>
      </c>
      <c r="DK261" s="4" t="e">
        <f ca="1">IF(AND(INDEX(SSM,DJ261,4)&gt;=$AB257,INDEX(SSM,DJ261,5)&gt;=$S251,INDEX(SSM,DJ261,6)&gt;=$R251),1,0)</f>
        <v>#N/A</v>
      </c>
      <c r="DL261" s="4" t="e">
        <f t="shared" ref="DL261" ca="1" si="4324">MATCH(1,OFFSET(DK251:DK262,DM260,0,COUNT(DK251:DK262)-DM260),0)</f>
        <v>#REF!</v>
      </c>
      <c r="DM261" s="4" t="e">
        <f t="shared" ca="1" si="4178"/>
        <v>#REF!</v>
      </c>
      <c r="DN261" s="692" t="str">
        <f ca="1">IFERROR(IF(AD258="Nested Steel Stud (wood infill)",VLOOKUP(INDEX(DJ251:DJ262,DM261),SSW,2,FALSE),VLOOKUP(INDEX(DJ251:DJ262,DM261),SSM,2,FALSE)),"----")</f>
        <v>----</v>
      </c>
      <c r="DO261" s="691" t="e">
        <f t="shared" ca="1" si="4179"/>
        <v>#N/A</v>
      </c>
      <c r="DP261" s="4" t="e">
        <f ca="1">IF(AND(INDEX(WSM,DO261,4)&gt;=$AB257,INDEX(WSM,DO261,5)&gt;=$S251,INDEX(WSM,DO261,6)&gt;=$R251),1,0)</f>
        <v>#N/A</v>
      </c>
      <c r="DQ261" s="4" t="e">
        <f t="shared" ref="DQ261" ca="1" si="4325">MATCH(1,OFFSET(DP251:DP262,DR260,0,COUNT(DP251:DP262)-DR260),0)</f>
        <v>#REF!</v>
      </c>
      <c r="DR261" s="4" t="e">
        <f t="shared" ca="1" si="4181"/>
        <v>#REF!</v>
      </c>
      <c r="DS261" s="692" t="str">
        <f ca="1">IFERROR(VLOOKUP(INDEX(DO251:DO262,DR261),WSM,2,FALSE),"----")</f>
        <v>----</v>
      </c>
      <c r="DT261" s="691" t="e">
        <f t="shared" ca="1" si="4182"/>
        <v>#N/A</v>
      </c>
      <c r="DU261" s="4" t="e">
        <f ca="1">IF(AND(INDEX(STM,DT261,4)&gt;=$AB257,INDEX(STM,DT261,5)&gt;=$S251,INDEX(STM,DT261,6)&gt;=$R251),1,0)</f>
        <v>#N/A</v>
      </c>
      <c r="DV261" s="4" t="e">
        <f t="shared" ref="DV261" ca="1" si="4326">MATCH(1,OFFSET(DU251:DU262,DW260,0,COUNT(DU251:DU262)-DW260),0)</f>
        <v>#REF!</v>
      </c>
      <c r="DW261" s="4" t="e">
        <f t="shared" ca="1" si="4184"/>
        <v>#REF!</v>
      </c>
      <c r="DX261" s="692" t="str">
        <f ca="1">IFERROR(VLOOKUP(INDEX(DT251:DT262,DW261),STM,2,FALSE),"----")</f>
        <v>----</v>
      </c>
      <c r="DY261" s="691" t="e">
        <f t="shared" ca="1" si="4185"/>
        <v>#N/A</v>
      </c>
      <c r="DZ261" s="4" t="e">
        <f ca="1">IF(AND(INDEX(ELM,DY261,4)&gt;=$AB257,INDEX(ELM,DY261,5)&gt;=$S251,INDEX(ELM,DY261,6)&gt;=$R251),1,0)</f>
        <v>#N/A</v>
      </c>
      <c r="EA261" s="4" t="e">
        <f t="shared" ref="EA261" ca="1" si="4327">MATCH(1,OFFSET(DZ251:DZ262,EB260,0,COUNT(DZ251:DZ262)-EB260),0)</f>
        <v>#REF!</v>
      </c>
      <c r="EB261" s="4" t="e">
        <f t="shared" ca="1" si="4187"/>
        <v>#REF!</v>
      </c>
      <c r="EC261" s="692" t="str">
        <f ca="1">IFERROR(VLOOKUP(INDEX(DY251:DY262,EB261),ELM,2,FALSE),"----")</f>
        <v>----</v>
      </c>
      <c r="ED261" s="691" t="e">
        <f t="shared" ca="1" si="4188"/>
        <v>#N/A</v>
      </c>
      <c r="EE261" s="4" t="e">
        <f ca="1">IF(LEFT($J251,7)="Clad Wo",IF(AND(INDEX(SPPWS,ED261,4)&gt;=$AB257,INDEX(SPPWS,ED261,5)&gt;=$S251,INDEX(SPPWS,ED261,6)&gt;=$R251),1,0),IF(AND(INDEX(SPM,ED261,4)&gt;=$AB257,INDEX(SPM,ED261,5)&gt;=$S251,INDEX(SPM,ED261,6)&gt;=$R251),1,0))</f>
        <v>#N/A</v>
      </c>
      <c r="EF261" s="4" t="e">
        <f t="shared" ref="EF261" ca="1" si="4328">MATCH(1,OFFSET(EE251:EE262,EG260,0,COUNT(EE251:EE262)-EG260),0)</f>
        <v>#REF!</v>
      </c>
      <c r="EG261" s="4" t="e">
        <f t="shared" ca="1" si="4190"/>
        <v>#REF!</v>
      </c>
      <c r="EH261" s="692" t="str">
        <f ca="1">IF(LEFT($J251,7)="Clad Wo",IFERROR(VLOOKUP(INDEX(ED251:ED262,EG261),SPPWS,2,FALSE),"----"),IFERROR(VLOOKUP(INDEX(ED251:ED262,EG261),SPM,2,FALSE),"----"))</f>
        <v>----</v>
      </c>
    </row>
    <row r="262" spans="1:138" ht="15" customHeight="1" thickBot="1" x14ac:dyDescent="0.3">
      <c r="A262" s="1085"/>
      <c r="B262" s="928"/>
      <c r="C262" s="929"/>
      <c r="D262" s="930"/>
      <c r="E262" s="998"/>
      <c r="F262" s="999"/>
      <c r="G262" s="1000"/>
      <c r="H262" s="1063"/>
      <c r="I262" s="991"/>
      <c r="J262" s="904"/>
      <c r="K262" s="905"/>
      <c r="L262" s="1003"/>
      <c r="M262" s="1065"/>
      <c r="N262" s="1043"/>
      <c r="O262" s="1019"/>
      <c r="P262" s="988"/>
      <c r="Q262" s="1016"/>
      <c r="R262" s="1013"/>
      <c r="S262" s="1008"/>
      <c r="T262" s="1009"/>
      <c r="U262" s="879"/>
      <c r="V262" s="882"/>
      <c r="W262" s="885"/>
      <c r="X262" s="885"/>
      <c r="Y262" s="888"/>
      <c r="Z262" s="888"/>
      <c r="AA262" s="888"/>
      <c r="AB262" s="1082"/>
      <c r="AC262" s="1087"/>
      <c r="AD262" s="1098" t="str">
        <f t="shared" ref="AD262" si="4329">IF(LEFT(J251,7)="Clad Wo","Pella Wood Spr / Steel Pte","Steel Plate")</f>
        <v>Steel Plate</v>
      </c>
      <c r="AE262" s="1099"/>
      <c r="AF262" s="1096"/>
      <c r="AG262" s="1097"/>
      <c r="AH262" s="1097"/>
      <c r="AI262" s="1094"/>
      <c r="AJ262" s="1095"/>
      <c r="AK262" s="163" t="str">
        <f t="shared" ca="1" si="3667"/>
        <v/>
      </c>
      <c r="AL262" s="1060"/>
      <c r="AM262" s="345" t="str">
        <f ca="1">IFERROR(Q251/12*ROUND(VLOOKUP(AF262,OFFSET(SPM,0,1),6,FALSE),2),"")</f>
        <v/>
      </c>
      <c r="AN262" t="str">
        <f t="shared" ca="1" si="3717"/>
        <v/>
      </c>
      <c r="AP262" s="699" t="str">
        <f t="shared" ref="AP262" si="4330">_xlfn.CONCAT(AR262,AS262)</f>
        <v/>
      </c>
      <c r="AQ262" s="700" t="str">
        <f t="shared" si="3881"/>
        <v/>
      </c>
      <c r="AR262" s="160" t="str">
        <f t="shared" si="3642"/>
        <v/>
      </c>
      <c r="AS262" s="160" t="str">
        <f>IFERROR(VLOOKUP(J259, WallType,2,FALSE),"")</f>
        <v/>
      </c>
      <c r="AT262" s="707" t="str">
        <f>AL257</f>
        <v/>
      </c>
      <c r="AU262" s="708" t="e">
        <f t="shared" ca="1" si="3907"/>
        <v>#REF!</v>
      </c>
      <c r="AV262" s="709" t="str">
        <f ca="1">IFERROR(VLOOKUP(AU262,INDIRECT(AQ251),2,FALSE),"----")</f>
        <v>----</v>
      </c>
      <c r="AW262" s="710" t="e">
        <f t="shared" ca="1" si="3908"/>
        <v>#REF!</v>
      </c>
      <c r="AX262" s="709" t="str">
        <f ca="1">IFERROR(VLOOKUP(AW262,INDIRECT(AQ252),2,FALSE),"----")</f>
        <v>----</v>
      </c>
      <c r="AY262" s="710" t="e">
        <f t="shared" ca="1" si="3352"/>
        <v>#REF!</v>
      </c>
      <c r="AZ262" s="709" t="str">
        <f ca="1">IFERROR(VLOOKUP(AY262,INDIRECT(AQ253),2,FALSE),"----")</f>
        <v>----</v>
      </c>
      <c r="BA262" s="710" t="e">
        <f t="shared" ca="1" si="3353"/>
        <v>#REF!</v>
      </c>
      <c r="BB262" s="709" t="str">
        <f ca="1">IFERROR(VLOOKUP(BA262,INDIRECT(AQ254),2,FALSE),"----")</f>
        <v>----</v>
      </c>
      <c r="BC262" s="710" t="e">
        <f t="shared" ca="1" si="3911"/>
        <v>#REF!</v>
      </c>
      <c r="BD262" s="709" t="str">
        <f ca="1">IFERROR(VLOOKUP(BC262,INDIRECT(AQ255),2,FALSE),"----")</f>
        <v>----</v>
      </c>
      <c r="BE262" s="710" t="e">
        <f t="shared" ca="1" si="3912"/>
        <v>#REF!</v>
      </c>
      <c r="BF262" s="709" t="str">
        <f ca="1">IFERROR(VLOOKUP(BE262,INDIRECT(AQ256),2,FALSE),"----")</f>
        <v>----</v>
      </c>
      <c r="BG262" s="710" t="e">
        <f t="shared" ca="1" si="3913"/>
        <v>#REF!</v>
      </c>
      <c r="BH262" s="711" t="str">
        <f ca="1">IFERROR(VLOOKUP(BG262,INDIRECT(AQ257),2,FALSE),"----")</f>
        <v>----</v>
      </c>
      <c r="BI262" s="710" t="e">
        <f t="shared" ca="1" si="3914"/>
        <v>#REF!</v>
      </c>
      <c r="BJ262" s="711" t="str">
        <f ca="1">IFERROR(VLOOKUP(BI262,INDIRECT(AQ258),2,FALSE),"----")</f>
        <v>----</v>
      </c>
      <c r="BK262" s="710" t="e">
        <f t="shared" ca="1" si="3915"/>
        <v>#REF!</v>
      </c>
      <c r="BL262" s="711" t="str">
        <f ca="1">IFERROR(VLOOKUP(BK262,INDIRECT(AQ259),2,FALSE),"----")</f>
        <v>----</v>
      </c>
      <c r="BM262" s="710" t="e">
        <f t="shared" ca="1" si="3916"/>
        <v>#REF!</v>
      </c>
      <c r="BN262" s="711" t="str">
        <f ca="1">IFERROR(VLOOKUP(BM262,INDIRECT(AQ260),2,FALSE),"----")</f>
        <v>----</v>
      </c>
      <c r="BO262" s="710" t="e">
        <f t="shared" ca="1" si="3917"/>
        <v>#REF!</v>
      </c>
      <c r="BP262" s="711" t="str">
        <f ca="1">IFERROR(VLOOKUP(BO262,INDIRECT(AQ261),2,FALSE),"----")</f>
        <v>----</v>
      </c>
      <c r="BQ262" s="710" t="e">
        <f t="shared" ca="1" si="3918"/>
        <v>#REF!</v>
      </c>
      <c r="BR262" s="712" t="str">
        <f ca="1">IFERROR(VLOOKUP(BQ262,INDIRECT(AQ262),2,FALSE),"----")</f>
        <v>----</v>
      </c>
      <c r="BS262" s="695">
        <f>IF(AI262="",1,IF(COUNTIF(BR251:BR262,AI262)=0,2,1))</f>
        <v>1</v>
      </c>
      <c r="BT262" s="713">
        <f>IF(AF262="",1,IF(BR251=".",2,1))</f>
        <v>1</v>
      </c>
      <c r="BV262" s="155">
        <f ca="1">IF(COUNTIF(EH251:EH262,AF262)=0,IF(AF262&lt;&gt;"",0,1),1)</f>
        <v>1</v>
      </c>
      <c r="BW262" s="157">
        <f ca="1">IFERROR(MATCH(AF262,EH251:EH262,0),1)</f>
        <v>1</v>
      </c>
      <c r="BX262" s="718"/>
      <c r="BY262" s="777"/>
      <c r="BZ262" s="1110"/>
      <c r="CA262" s="714" t="e">
        <f t="shared" ca="1" si="4155"/>
        <v>#REF!</v>
      </c>
      <c r="CB262" s="715" t="e" cm="1">
        <f t="array" aca="1" ref="CB262" ca="1">IF(AND(INDEX(INDIRECT(BY251),CA262,4)&gt;=$AB251,INDEX(INDIRECT(BY251),CA262,5)&gt;=$S251,INDEX(INDIRECT(BY251),CA262,6)&gt;=$R251),1,0)</f>
        <v>#REF!</v>
      </c>
      <c r="CC262" s="715" t="e">
        <f t="shared" ref="CC262" ca="1" si="4331">MATCH(1,OFFSET(CB251:CB262,CD261,0,COUNT(CB251:CB262)-CD261),0)</f>
        <v>#REF!</v>
      </c>
      <c r="CD262" s="715" t="e">
        <f t="shared" ca="1" si="4157"/>
        <v>#REF!</v>
      </c>
      <c r="CE262" s="716" t="str" cm="1">
        <f t="array" aca="1" ref="CE262" ca="1">IFERROR(VLOOKUP(INDEX(CA251:CA262,CD262),INDIRECT(BY251),2,FALSE),"----")</f>
        <v>----</v>
      </c>
      <c r="CF262" s="714" t="e">
        <f t="shared" ca="1" si="4158"/>
        <v>#N/A</v>
      </c>
      <c r="CG262" s="715" t="e">
        <f ca="1">IF(AND(INDEX(SSM,CF262,4)&gt;=$AB251,INDEX(SSM,CF262,5)&gt;=$S251,INDEX(SSM,CF262,6)&gt;=$R251),1,0)</f>
        <v>#N/A</v>
      </c>
      <c r="CH262" s="715" t="e">
        <f t="shared" ref="CH262" ca="1" si="4332">MATCH(1,OFFSET(CG251:CG262,CI261,0,COUNT(CG251:CG262)-CI261),0)</f>
        <v>#REF!</v>
      </c>
      <c r="CI262" s="715" t="e">
        <f t="shared" ca="1" si="4160"/>
        <v>#REF!</v>
      </c>
      <c r="CJ262" s="716" t="str">
        <f ca="1">IFERROR(IF(AD252="Nested Steel Stud (wood infill)",VLOOKUP(INDEX(CF251:CF262,CI262),SSW,2,FALSE),VLOOKUP(INDEX(CF251:CF262,CI262),SSM,2,FALSE)),"----")</f>
        <v>----</v>
      </c>
      <c r="CK262" s="714" t="e">
        <f t="shared" ca="1" si="4161"/>
        <v>#N/A</v>
      </c>
      <c r="CL262" s="715" t="e">
        <f ca="1">IF(AND(INDEX(WSM,CK262,4)&gt;=$AB251,INDEX(WSM,CK262,5)&gt;=$S251,INDEX(WSM,CK262,6)&gt;=$R251),1,0)</f>
        <v>#N/A</v>
      </c>
      <c r="CM262" s="715" t="e">
        <f t="shared" ref="CM262" ca="1" si="4333">MATCH(1,OFFSET(CL251:CL262,CN261,0,COUNT(CL251:CL262)-CN261),0)</f>
        <v>#REF!</v>
      </c>
      <c r="CN262" s="715" t="e">
        <f t="shared" ca="1" si="4163"/>
        <v>#REF!</v>
      </c>
      <c r="CO262" s="716" t="str">
        <f ca="1">IFERROR(VLOOKUP(INDEX(CK251:CK262,CN262),WSM,2,FALSE),"----")</f>
        <v>----</v>
      </c>
      <c r="CP262" s="714" t="e">
        <f t="shared" ca="1" si="4164"/>
        <v>#N/A</v>
      </c>
      <c r="CQ262" s="715" t="e">
        <f ca="1">IF(AND(INDEX(STM,CP262,4)&gt;=$AB251,INDEX(STM,CP262,5)&gt;=$S251,INDEX(STM,CP262,6)&gt;=$R251),1,0)</f>
        <v>#N/A</v>
      </c>
      <c r="CR262" s="715" t="e">
        <f t="shared" ref="CR262" ca="1" si="4334">MATCH(1,OFFSET(CQ251:CQ262,CS261,0,COUNT(CQ251:CQ262)-CS261),0)</f>
        <v>#REF!</v>
      </c>
      <c r="CS262" s="715" t="e">
        <f t="shared" ca="1" si="4166"/>
        <v>#REF!</v>
      </c>
      <c r="CT262" s="716" t="str">
        <f ca="1">IFERROR(VLOOKUP(INDEX(CP251:CP262,CS262),STM,2,FALSE),"----")</f>
        <v>----</v>
      </c>
      <c r="CU262" s="714" t="e">
        <f t="shared" ca="1" si="4167"/>
        <v>#N/A</v>
      </c>
      <c r="CV262" s="715" t="e">
        <f ca="1">IF(AND(INDEX(ELM,CU262,4)&gt;=$AB251,INDEX(ELM,CU262,5)&gt;=$S251,INDEX(ELM,CU262,6)&gt;=$R251),1,0)</f>
        <v>#N/A</v>
      </c>
      <c r="CW262" s="715" t="e">
        <f t="shared" ref="CW262" ca="1" si="4335">MATCH(1,OFFSET(CV251:CV262,CX261,0,COUNT(CV251:CV262)-CX261),0)</f>
        <v>#REF!</v>
      </c>
      <c r="CX262" s="715" t="e">
        <f t="shared" ca="1" si="4169"/>
        <v>#REF!</v>
      </c>
      <c r="CY262" s="716" t="str">
        <f ca="1">IFERROR(VLOOKUP(INDEX(CU251:CU262,CX262),ELM,2,FALSE),"----")</f>
        <v>----</v>
      </c>
      <c r="CZ262" s="714" t="e">
        <f t="shared" ca="1" si="4170"/>
        <v>#N/A</v>
      </c>
      <c r="DA262" s="715" t="e">
        <f ca="1">IF(LEFT($J251,7)="Clad Wo",IF(AND(INDEX(SPPWS,CZ262,4)&gt;=$AB251,INDEX(SPPWS,CZ262,5)&gt;=$S251,INDEX(SPPWS,CZ262,6)&gt;=$R251),1,0),IF(AND(INDEX(SPM,CZ262,4)&gt;=$AB251,INDEX(SPM,CZ262,5)&gt;=$S251,INDEX(SPM,CZ262,6)&gt;=$R251),1,0))</f>
        <v>#N/A</v>
      </c>
      <c r="DB262" s="715" t="e">
        <f t="shared" ref="DB262" ca="1" si="4336">MATCH(1,OFFSET(DA251:DA262,DC261,0,COUNT(DA251:DA262)-DC261),0)</f>
        <v>#REF!</v>
      </c>
      <c r="DC262" s="715" t="e">
        <f t="shared" ca="1" si="4172"/>
        <v>#REF!</v>
      </c>
      <c r="DD262" s="717" t="str">
        <f ca="1">IF(LEFT($J251,7)="Clad Wo",IFERROR(VLOOKUP(INDEX(CZ251:CZ262,DC262),SPPWS,2,FALSE),"----"),IFERROR(VLOOKUP(INDEX(CZ251:CZ262,DC262),SPM,2,FALSE),"----"))</f>
        <v>----</v>
      </c>
      <c r="DE262" s="714" t="e">
        <f t="shared" ca="1" si="4173"/>
        <v>#REF!</v>
      </c>
      <c r="DF262" s="715" t="e" cm="1">
        <f t="array" aca="1" ref="DF262" ca="1">IF(AND(INDEX(INDIRECT(BY251),DE262,4)&gt;=$AB257,INDEX(INDIRECT(BY251),DE262,5)&gt;=$S251,INDEX(INDIRECT(BY251),DE262,6)&gt;=$R251),1,0)</f>
        <v>#REF!</v>
      </c>
      <c r="DG262" s="715" t="e">
        <f t="shared" ref="DG262" ca="1" si="4337">MATCH(1,OFFSET(DF251:DF262,DH261,0,COUNT(DF251:DF262)-DH261),0)</f>
        <v>#REF!</v>
      </c>
      <c r="DH262" s="715" t="e">
        <f t="shared" ca="1" si="4175"/>
        <v>#REF!</v>
      </c>
      <c r="DI262" s="716" t="str" cm="1">
        <f t="array" aca="1" ref="DI262" ca="1">IFERROR(VLOOKUP(INDEX(DE251:DE262,DH262),INDIRECT(BY251),2,FALSE),"----")</f>
        <v>----</v>
      </c>
      <c r="DJ262" s="714" t="e">
        <f t="shared" ca="1" si="4176"/>
        <v>#N/A</v>
      </c>
      <c r="DK262" s="715" t="e">
        <f ca="1">IF(AND(INDEX(SSM,DJ262,4)&gt;=$AB257,INDEX(SSM,DJ262,5)&gt;=$S251,INDEX(SSM,DJ262,6)&gt;=$R251),1,0)</f>
        <v>#N/A</v>
      </c>
      <c r="DL262" s="715" t="e">
        <f t="shared" ref="DL262" ca="1" si="4338">MATCH(1,OFFSET(DK251:DK262,DM261,0,COUNT(DK251:DK262)-DM261),0)</f>
        <v>#REF!</v>
      </c>
      <c r="DM262" s="715" t="e">
        <f t="shared" ca="1" si="4178"/>
        <v>#REF!</v>
      </c>
      <c r="DN262" s="716" t="str">
        <f ca="1">IFERROR(IF(AD258="Nested Steel Stud (wood infill)",VLOOKUP(INDEX(DJ251:DJ262,DM262),SSW,2,FALSE),VLOOKUP(INDEX(DJ251:DJ262,DM262),SSM,2,FALSE)),"----")</f>
        <v>----</v>
      </c>
      <c r="DO262" s="714" t="e">
        <f t="shared" ca="1" si="4179"/>
        <v>#N/A</v>
      </c>
      <c r="DP262" s="715" t="e">
        <f ca="1">IF(AND(INDEX(WSM,DO262,4)&gt;=$AB257,INDEX(WSM,DO262,5)&gt;=$S251,INDEX(WSM,DO262,6)&gt;=$R251),1,0)</f>
        <v>#N/A</v>
      </c>
      <c r="DQ262" s="715" t="e">
        <f t="shared" ref="DQ262" ca="1" si="4339">MATCH(1,OFFSET(DP251:DP262,DR261,0,COUNT(DP251:DP262)-DR261),0)</f>
        <v>#REF!</v>
      </c>
      <c r="DR262" s="715" t="e">
        <f t="shared" ca="1" si="4181"/>
        <v>#REF!</v>
      </c>
      <c r="DS262" s="716" t="str">
        <f ca="1">IFERROR(VLOOKUP(INDEX(DO251:DO262,DR262),WSM,2,FALSE),"----")</f>
        <v>----</v>
      </c>
      <c r="DT262" s="714" t="e">
        <f t="shared" ca="1" si="4182"/>
        <v>#N/A</v>
      </c>
      <c r="DU262" s="715" t="e">
        <f ca="1">IF(AND(INDEX(STM,DT262,4)&gt;=$AB257,INDEX(STM,DT262,5)&gt;=$S251,INDEX(STM,DT262,6)&gt;=$R251),1,0)</f>
        <v>#N/A</v>
      </c>
      <c r="DV262" s="715" t="e">
        <f t="shared" ref="DV262" ca="1" si="4340">MATCH(1,OFFSET(DU251:DU262,DW261,0,COUNT(DU251:DU262)-DW261),0)</f>
        <v>#REF!</v>
      </c>
      <c r="DW262" s="715" t="e">
        <f t="shared" ca="1" si="4184"/>
        <v>#REF!</v>
      </c>
      <c r="DX262" s="716" t="str">
        <f ca="1">IFERROR(VLOOKUP(INDEX(DT251:DT262,DW262),STM,2,FALSE),"----")</f>
        <v>----</v>
      </c>
      <c r="DY262" s="714" t="e">
        <f t="shared" ca="1" si="4185"/>
        <v>#N/A</v>
      </c>
      <c r="DZ262" s="715" t="e">
        <f ca="1">IF(AND(INDEX(ELM,DY262,4)&gt;=$AB257,INDEX(ELM,DY262,5)&gt;=$S251,INDEX(ELM,DY262,6)&gt;=$R251),1,0)</f>
        <v>#N/A</v>
      </c>
      <c r="EA262" s="715" t="e">
        <f t="shared" ref="EA262" ca="1" si="4341">MATCH(1,OFFSET(DZ251:DZ262,EB261,0,COUNT(DZ251:DZ262)-EB261),0)</f>
        <v>#REF!</v>
      </c>
      <c r="EB262" s="715" t="e">
        <f t="shared" ca="1" si="4187"/>
        <v>#REF!</v>
      </c>
      <c r="EC262" s="716" t="str">
        <f ca="1">IFERROR(VLOOKUP(INDEX(DY251:DY262,EB262),ELM,2,FALSE),"----")</f>
        <v>----</v>
      </c>
      <c r="ED262" s="714" t="e">
        <f t="shared" ca="1" si="4188"/>
        <v>#N/A</v>
      </c>
      <c r="EE262" s="715" t="e">
        <f ca="1">IF(LEFT($J251,7)="Clad Wo",IF(AND(INDEX(SPPWS,ED262,4)&gt;=$AB257,INDEX(SPPWS,ED262,5)&gt;=$S251,INDEX(SPPWS,ED262,6)&gt;=$R251),1,0),IF(AND(INDEX(SPM,ED262,4)&gt;=$AB257,INDEX(SPM,ED262,5)&gt;=$S251,INDEX(SPM,ED262,6)&gt;=$R251),1,0))</f>
        <v>#N/A</v>
      </c>
      <c r="EF262" s="715" t="e">
        <f t="shared" ref="EF262" ca="1" si="4342">MATCH(1,OFFSET(EE251:EE262,EG261,0,COUNT(EE251:EE262)-EG261),0)</f>
        <v>#REF!</v>
      </c>
      <c r="EG262" s="715" t="e">
        <f t="shared" ca="1" si="4190"/>
        <v>#REF!</v>
      </c>
      <c r="EH262" s="716" t="str">
        <f ca="1">IF(LEFT($J251,7)="Clad Wo",IFERROR(VLOOKUP(INDEX(ED251:ED262,EG262),SPPWS,2,FALSE),"----"),IFERROR(VLOOKUP(INDEX(ED251:ED262,EG262),SPM,2,FALSE),"----"))</f>
        <v>----</v>
      </c>
    </row>
    <row r="263" spans="1:138" ht="15" customHeight="1" thickTop="1" x14ac:dyDescent="0.25">
      <c r="A263" s="1085"/>
      <c r="B263" s="931" t="s">
        <v>92</v>
      </c>
      <c r="C263" s="932"/>
      <c r="D263" s="933"/>
      <c r="E263" s="992"/>
      <c r="F263" s="993"/>
      <c r="G263" s="994"/>
      <c r="H263" s="1061"/>
      <c r="I263" s="989"/>
      <c r="J263" s="906"/>
      <c r="K263" s="907"/>
      <c r="L263" s="1001">
        <f>$W$3</f>
        <v>4</v>
      </c>
      <c r="M263" s="923" t="str">
        <f t="shared" ref="M263" si="4343">IFERROR(IF($AE$13="",IF($AG$19="Wind Loading",MIN($V$31,IF(E$11="ASCE 7-05",$U$26,$V$7)*$V$9*(IF($E$12&lt;60,0.0771*LN(MAX(MIN(500,O263),10)) -1.2737,IF($E$11="ASCE 7-22",0.0524*LN(MAX(MIN(500,O263),50))-1.0278,0.0614*LN(MAX(MIN(500,O263),20)) -1.0829))-$V$8)),$V$7*IF(E$12&lt;60,$V$13*($V$15*0.0771*LN(MAX(MIN(500,O263),10))-1.2737-$V$16),$V$13*$V$15*((0.0524*LN(MAX(MIN(500,O263),20))-1.0278)-$V$16))),-ABS($AE$13)),"")</f>
        <v/>
      </c>
      <c r="N263" s="1042" t="str">
        <f t="shared" ref="N263" si="4344">IFERROR(IF($AE$15="",IF($AG$19="Wind Loading",MAX($U$31,IF(E$11="ASCE 7-05",$U$26,$V$7)*$V$9*((IF($E$12&lt;60,-0.077*LN(MAX(MIN(500,O263),10))+1.1737,IF($E$11="ASCE 7-22",-0.077*LN(MAX(MIN(500,O263),20))+1.0798,-0.093*LN(MAX(MIN(500,O263),20))+1.1776)))+$V$8)),$V$7*IF(E$12&lt;60,$V$13*($V$15*(-0.077*LN(MAX(MIN(500,O263),10))+1.1737)-$V$17),$V$13*$V$15*((-0.077*LN(MAX(MIN(500,O263),20))+1.0798)-$V$17))),ABS($AE$15)),"")</f>
        <v/>
      </c>
      <c r="O263" s="1017" t="str">
        <f>IF(BX270=0,"",IF(AG$14="Trapezoidal",BY270,BX270))</f>
        <v/>
      </c>
      <c r="P263" s="986"/>
      <c r="Q263" s="1014"/>
      <c r="R263" s="1011">
        <f>P263*Q263/8</f>
        <v>0</v>
      </c>
      <c r="S263" s="1004">
        <f t="shared" ref="S263" si="4345">IF(5*(P263*Q263^3/(384*0.125))=0,0,5*(P263*Q263^3/(384*0.125)))</f>
        <v>0</v>
      </c>
      <c r="T263" s="1005"/>
      <c r="U263" s="877" t="e">
        <f ca="1">VLOOKUP(J267,INDIRECT(VLOOKUP(J263,FrameStrength,2,FALSE)),3,FALSE)</f>
        <v>#N/A</v>
      </c>
      <c r="V263" s="880">
        <f t="shared" ref="V263" si="4346">(H263+I263)/2</f>
        <v>0</v>
      </c>
      <c r="W263" s="883" t="e">
        <f t="shared" ref="W263" si="4347">MAX(-M263,N263)*O263</f>
        <v>#VALUE!</v>
      </c>
      <c r="X263" s="883">
        <f t="shared" ref="X263" si="4348">IF(E263&gt;162,(E263/240+0.25),IF(AND(E263&lt;162,E263/175&lt;0.75),E263/175,0.75))</f>
        <v>0</v>
      </c>
      <c r="Y263" s="886">
        <f>IFERROR(IF(AG$14="Trapezoidal",BY271,BX271)+IF($E$17="4",(400*E263^3)/(48*X263),0),0)</f>
        <v>0</v>
      </c>
      <c r="Z263" s="886" t="e">
        <f t="shared" ref="Z263" si="4349">+($V263*MAX(-$M263,$N263)*$E263^2)/(144*8)+IF($E$17=4,(400*$E263)/4,0)</f>
        <v>#VALUE!</v>
      </c>
      <c r="AA263" s="886" t="e">
        <f ca="1">VLOOKUP(J267,INDIRECT(VLOOKUP(J263,FrameStrength,2,FALSE)),2,FALSE)</f>
        <v>#N/A</v>
      </c>
      <c r="AB263" s="1083" t="str">
        <f t="shared" ref="AB263" ca="1" si="4350">IFERROR(Z263-AA263,"")</f>
        <v/>
      </c>
      <c r="AC263" s="1077" t="str">
        <f t="shared" ref="AC263" ca="1" si="4351">IFERROR(Y263-U263,"")</f>
        <v/>
      </c>
      <c r="AD263" s="1100" t="str">
        <f>IFERROR(IF(LEFT(J267,2)="As",VLOOKUP(J267,EIMM,4,FALSE),VLOOKUP(J263,EIMM,4,FALSE)),IF(AND(ISNUMBER(SEARCH("Impervia",J263)),ISNUMBER(SEARCH("door",J267))),'New Lookup Cells'!AF$10,IF(ISNUMBER(SEARCH("Impervia",J263)),'New Lookup Cells'!AF$7,IF(AND(ISNUMBER(SEARCH("250",J263)),ISNUMBER(SEARCH("door",J267))),'New Lookup Cells'!AF$14,IF(ISNUMBER(SEARCH("250",J263)),'New Lookup Cells'!AF$13,"")))))</f>
        <v/>
      </c>
      <c r="AE263" s="1101"/>
      <c r="AF263" s="1050"/>
      <c r="AG263" s="1051"/>
      <c r="AH263" s="1051"/>
      <c r="AI263" s="1088"/>
      <c r="AJ263" s="1089"/>
      <c r="AK263" s="154" t="str">
        <f t="shared" ca="1" si="3667"/>
        <v/>
      </c>
      <c r="AL263" s="1038" t="str">
        <f t="shared" ref="AL263" si="4352">IFERROR(ROUND(SQRT(P263^2+(W263/2+IF($E$17=4,200,0))^2),0),"")</f>
        <v/>
      </c>
      <c r="AM263" s="342" t="s">
        <v>669</v>
      </c>
      <c r="AN263" t="str">
        <f t="shared" ca="1" si="3717"/>
        <v/>
      </c>
      <c r="AP263" s="122" t="str">
        <f t="shared" ref="AP263" si="4353">_xlfn.CONCAT(AR263,AS268)</f>
        <v/>
      </c>
      <c r="AQ263" s="683" t="str">
        <f t="shared" si="3881"/>
        <v/>
      </c>
      <c r="AR263" s="96" t="str">
        <f t="shared" si="3642"/>
        <v/>
      </c>
      <c r="AS263" s="96" t="str">
        <f>IF(COUNTIF(imp_1,AF263)=1,"imp_1",IF(COUNTIF(imp_2,AF263)=1,"imp_2",IF(COUNTIF(imp_3,AF263)=1,"imp_3",IF(COUNTIF(impdoor,AF263)=1,"impdoor",""))))</f>
        <v/>
      </c>
      <c r="AT263" s="684" t="str">
        <f>AL263</f>
        <v/>
      </c>
      <c r="AU263" s="685" t="e">
        <f ca="1">MATCH(AL263,INDIRECT(AP263),-1)</f>
        <v>#REF!</v>
      </c>
      <c r="AV263" s="686" t="str">
        <f ca="1">IFERROR(VLOOKUP(AU263,INDIRECT(AQ263),2,FALSE),"----")</f>
        <v>----</v>
      </c>
      <c r="AW263" s="685" t="e">
        <f ca="1">MATCH(AL263,INDIRECT(AP264),-1)</f>
        <v>#REF!</v>
      </c>
      <c r="AX263" s="686" t="str">
        <f ca="1">IFERROR(VLOOKUP(AW263,INDIRECT(AQ264),2,FALSE),"----")</f>
        <v>----</v>
      </c>
      <c r="AY263" s="685" t="e">
        <f ca="1">MATCH(AL263,INDIRECT(AP265),-1)</f>
        <v>#REF!</v>
      </c>
      <c r="AZ263" s="686" t="str">
        <f ca="1">IFERROR(VLOOKUP(AY263,INDIRECT(AQ265),2,FALSE),"----")</f>
        <v>----</v>
      </c>
      <c r="BA263" s="685" t="e">
        <f ca="1">MATCH(AL263,INDIRECT(AP266),-1)</f>
        <v>#REF!</v>
      </c>
      <c r="BB263" s="686" t="str">
        <f ca="1">IFERROR(VLOOKUP(BA263,INDIRECT(AQ266),2,FALSE),"----")</f>
        <v>----</v>
      </c>
      <c r="BC263" s="685" t="e">
        <f ca="1">MATCH(AL263,INDIRECT(AP267),-1)</f>
        <v>#REF!</v>
      </c>
      <c r="BD263" s="686" t="str">
        <f ca="1">IFERROR(VLOOKUP(BC263,INDIRECT(AQ267),2,FALSE),"----")</f>
        <v>----</v>
      </c>
      <c r="BE263" s="685" t="e">
        <f ca="1">MATCH(AL263,INDIRECT(AP268),-1)</f>
        <v>#REF!</v>
      </c>
      <c r="BF263" s="686" t="str">
        <f ca="1">IFERROR(VLOOKUP(BE263,INDIRECT(AQ268),2,FALSE),"----")</f>
        <v>----</v>
      </c>
      <c r="BG263" s="685" t="e">
        <f ca="1">MATCH(AL269,INDIRECT(AP269),-1)</f>
        <v>#REF!</v>
      </c>
      <c r="BH263" s="686" t="str">
        <f ca="1">IFERROR(VLOOKUP(BG263,INDIRECT(AQ269),2,FALSE),"----")</f>
        <v>----</v>
      </c>
      <c r="BI263" s="685" t="e">
        <f ca="1">MATCH(AL269,INDIRECT(AP270),-1)</f>
        <v>#REF!</v>
      </c>
      <c r="BJ263" s="686" t="str">
        <f ca="1">IFERROR(VLOOKUP(BI263,INDIRECT(AQ270),2,FALSE),"----")</f>
        <v>----</v>
      </c>
      <c r="BK263" s="685" t="e">
        <f ca="1">MATCH(AL269,INDIRECT(AP271),-1)</f>
        <v>#REF!</v>
      </c>
      <c r="BL263" s="686" t="str">
        <f ca="1">IFERROR(VLOOKUP(BK263,INDIRECT(AQ271),2,FALSE),"----")</f>
        <v>----</v>
      </c>
      <c r="BM263" s="685" t="e">
        <f ca="1">MATCH(AL269,INDIRECT(AP272),-1)</f>
        <v>#REF!</v>
      </c>
      <c r="BN263" s="686" t="str">
        <f ca="1">IFERROR(VLOOKUP(BM263,INDIRECT(AQ272),2,FALSE),"----")</f>
        <v>----</v>
      </c>
      <c r="BO263" s="685" t="e">
        <f ca="1">MATCH(AL269,INDIRECT(AP273),-1)</f>
        <v>#REF!</v>
      </c>
      <c r="BP263" s="686" t="str">
        <f ca="1">IFERROR(VLOOKUP(BO263,INDIRECT(AQ273),2,FALSE),"----")</f>
        <v>----</v>
      </c>
      <c r="BQ263" s="685" t="e">
        <f ca="1">MATCH(AL269,INDIRECT(AP274),-1)</f>
        <v>#REF!</v>
      </c>
      <c r="BR263" s="686" t="str">
        <f ca="1">IFERROR(VLOOKUP(BQ263,INDIRECT(AQ274),2,FALSE),"----")</f>
        <v>----</v>
      </c>
      <c r="BS263" s="687">
        <f>IF(AI263="",1,IF(COUNTIF(AV263:AV274,AI263)=0,2,1))</f>
        <v>1</v>
      </c>
      <c r="BT263" s="688">
        <f>IF(AP263="1",1,IF(AF263="",1,IF(AV263=".",2,1)))</f>
        <v>1</v>
      </c>
      <c r="BU263" s="706"/>
      <c r="BV263" s="155">
        <f ca="1">IF(COUNTIF(CE263:CE274,AF263)=0,IF(AF263&lt;&gt;"",0,1),1)</f>
        <v>1</v>
      </c>
      <c r="BW263" s="157">
        <f ca="1">IFERROR(MATCH(AF263,CE263:CE274,0),1)</f>
        <v>1</v>
      </c>
      <c r="BX263" s="769" t="str">
        <f>IFERROR(IF(LEFT(J267,2)="As",VLOOKUP(J267,EIMM,2,FALSE),IF(AND(ISNUMBER(SEARCH("Impervia",J263)),ISNUMBER(SEARCH("door",J267))),VLOOKUP("Impervia Door",EIMM,2,FALSE),IF(AND(ISNUMBER(SEARCH("250",J263)),ISNUMBER(SEARCH("door",J267))),VLOOKUP("250 Series Door",EIMM,2,FALSE),VLOOKUP(J263,EIMM,2,FALSE)))),"")</f>
        <v/>
      </c>
      <c r="BY263" s="769" t="str">
        <f ca="1">IFERROR(VLOOKUP(BX263,OFFSET(EIMM,0,1),2,FALSE),"")</f>
        <v/>
      </c>
      <c r="BZ263" s="1110" t="e">
        <f ca="1">IF((COUNTIF(INDIRECT(SUBSTITUTE(J263," ","_")),J267))=0,IF(J267="",1,0),1)</f>
        <v>#REF!</v>
      </c>
      <c r="CA263" s="691" t="e">
        <f ca="1">MATCH(AC263,INDIRECT(BX263),-1)</f>
        <v>#REF!</v>
      </c>
      <c r="CB263" s="4" t="e" cm="1">
        <f t="array" aca="1" ref="CB263" ca="1">IF(AND(INDEX(INDIRECT(BY263),CA263,4)&gt;=$AB263,INDEX(INDIRECT(BY263),CA263,5)&gt;=$S263,INDEX(INDIRECT(BY263),CA263,6)&gt;=$R263),1,0)</f>
        <v>#REF!</v>
      </c>
      <c r="CC263" s="4" t="e">
        <f t="shared" ref="CC263" ca="1" si="4354">MATCH(1,OFFSET(CB263:CB274,$W$2,0,COUNT(CB263:CB274)-$W$2),0)</f>
        <v>#REF!</v>
      </c>
      <c r="CD263" s="4" t="e">
        <f t="shared" ref="CD263" ca="1" si="4355">$W$2+CC263</f>
        <v>#REF!</v>
      </c>
      <c r="CE263" s="692" t="str" cm="1">
        <f t="array" aca="1" ref="CE263" ca="1">IFERROR(VLOOKUP(INDEX(CA263:CA274,CD263),INDIRECT(BY263),2,FALSE),"----")</f>
        <v>----</v>
      </c>
      <c r="CF263" s="691" t="e">
        <f ca="1">MATCH($AC263,SSEI,-1)</f>
        <v>#N/A</v>
      </c>
      <c r="CG263" s="4" t="e">
        <f ca="1">IF(AND(INDEX(SSM,CF263,4)&gt;=$AB263,INDEX(SSM,CF263,5)&gt;=$S263,INDEX(SSM,CF263,6)&gt;=$R263),1,0)</f>
        <v>#N/A</v>
      </c>
      <c r="CH263" s="4" t="e">
        <f t="shared" ref="CH263" ca="1" si="4356">MATCH(1,OFFSET(CG263:CG274,$W$2,0,COUNT(CG263:CG274)-$W$2),0)</f>
        <v>#REF!</v>
      </c>
      <c r="CI263" s="4" t="e">
        <f t="shared" ref="CI263" ca="1" si="4357">$W$2+CH263</f>
        <v>#REF!</v>
      </c>
      <c r="CJ263" s="692" t="str">
        <f ca="1">IFERROR(IF(AD264="Nested Steel Stud (wood infill)",VLOOKUP(INDEX(CF263:CF274,CI263),SSW,2,FALSE),VLOOKUP(INDEX(CF263:CF274,CI263),SSM,2,FALSE)),"----")</f>
        <v>----</v>
      </c>
      <c r="CK263" s="691" t="e">
        <f ca="1">MATCH($AC263,WSEI,-1)</f>
        <v>#N/A</v>
      </c>
      <c r="CL263" s="4" t="e">
        <f ca="1">IF(AND(INDEX(WSM,CK263,4)&gt;=$AB263,INDEX(WSM,CK263,5)&gt;=$S263,INDEX(WSM,CK263,6)&gt;=$R263),1,0)</f>
        <v>#N/A</v>
      </c>
      <c r="CM263" s="4" t="e">
        <f t="shared" ref="CM263" ca="1" si="4358">MATCH(1,OFFSET(CL263:CL274,$W$2,0,COUNT(CL263:CL274)-$W$2),0)</f>
        <v>#REF!</v>
      </c>
      <c r="CN263" s="4" t="e">
        <f t="shared" ref="CN263" ca="1" si="4359">$W$2+CM263</f>
        <v>#REF!</v>
      </c>
      <c r="CO263" s="692" t="str">
        <f ca="1">IFERROR(VLOOKUP(INDEX(CK263:CK274,CN263),WSM,2,FALSE),"----")</f>
        <v>----</v>
      </c>
      <c r="CP263" s="691" t="e">
        <f ca="1">MATCH($AC263,STEI,-1)</f>
        <v>#N/A</v>
      </c>
      <c r="CQ263" s="4" t="e">
        <f ca="1">IF(AND(INDEX(STM,CP263,4)&gt;=$AB263,INDEX(STM,CP263,5)&gt;=$S263,INDEX(STM,CP263,6)&gt;=$R263),1,0)</f>
        <v>#N/A</v>
      </c>
      <c r="CR263" s="4" t="e">
        <f t="shared" ref="CR263" ca="1" si="4360">MATCH(1,OFFSET(CQ263:CQ274,$W$2,0,COUNT(CQ263:CQ274)-$W$2),0)</f>
        <v>#REF!</v>
      </c>
      <c r="CS263" s="4" t="e">
        <f t="shared" ref="CS263" ca="1" si="4361">$W$2+CR263</f>
        <v>#REF!</v>
      </c>
      <c r="CT263" s="692" t="str">
        <f ca="1">IFERROR(VLOOKUP(INDEX(CP263:CP274,CS263),STM,2,FALSE),"----")</f>
        <v>----</v>
      </c>
      <c r="CU263" s="691" t="e">
        <f ca="1">MATCH($AC263,ELEI,-1)</f>
        <v>#N/A</v>
      </c>
      <c r="CV263" s="4" t="e">
        <f ca="1">IF(AND(INDEX(ELM,CU263,4)&gt;=$AB263,INDEX(ELM,CU263,5)&gt;=$S263,INDEX(ELM,CU263,6)&gt;=$R263),1,0)</f>
        <v>#N/A</v>
      </c>
      <c r="CW263" s="4" t="e">
        <f t="shared" ref="CW263" ca="1" si="4362">MATCH(1,OFFSET(CV263:CV274,$W$2,0,COUNT(CV263:CV274)-$W$2),0)</f>
        <v>#REF!</v>
      </c>
      <c r="CX263" s="4" t="e">
        <f t="shared" ref="CX263" ca="1" si="4363">$W$2+CW263</f>
        <v>#REF!</v>
      </c>
      <c r="CY263" s="692" t="str">
        <f ca="1">IFERROR(VLOOKUP(INDEX(CU263:CU274,CX263),ELM,2,FALSE),"----")</f>
        <v>----</v>
      </c>
      <c r="CZ263" s="691" t="e">
        <f ca="1">IF(LEFT($J263,7)="Clad Wo",MATCH($AC263,SPEIW,-1),MATCH($AC263,SPEI,-1))</f>
        <v>#N/A</v>
      </c>
      <c r="DA263" s="4" t="e">
        <f ca="1">IF(LEFT($J263,7)="Clad Wo",IF(AND(INDEX(SPPWS,CZ263,4)&gt;=$AB263,INDEX(SPPWS,CZ263,5)&gt;=$S263,INDEX(SPPWS,CZ263,6)&gt;=$R263),1,0),IF(AND(INDEX(SPM,CZ263,4)&gt;=$AB263,INDEX(SPM,CZ263,5)&gt;=$S263,INDEX(SPM,CZ263,6)&gt;=$R263),1,0))</f>
        <v>#N/A</v>
      </c>
      <c r="DB263" s="4" t="e">
        <f t="shared" ref="DB263" ca="1" si="4364">MATCH(1,OFFSET(DA263:DA274,$W$2,0,COUNT(DA263:DA274)-$W$2),0)</f>
        <v>#REF!</v>
      </c>
      <c r="DC263" s="4" t="e">
        <f t="shared" ref="DC263" ca="1" si="4365">$W$2+DB263</f>
        <v>#REF!</v>
      </c>
      <c r="DD263" s="693" t="str">
        <f ca="1">IF(LEFT($J263,7)="Clad Wo",IFERROR(VLOOKUP(INDEX(CZ263:CZ274,DC263),SPPWS,2,FALSE),"----"),IFERROR(VLOOKUP(INDEX(CZ263:CZ274,DC263),SPM,2,FALSE),"----"))</f>
        <v>----</v>
      </c>
      <c r="DE263" s="691" t="e">
        <f ca="1">MATCH(AC269,INDIRECT(BX263),-1)</f>
        <v>#REF!</v>
      </c>
      <c r="DF263" s="4" t="e" cm="1">
        <f t="array" aca="1" ref="DF263" ca="1">IF(AND(INDEX(INDIRECT(BY263),DE263,4)&gt;=$AB269,INDEX(INDIRECT(BY263),DE263,5)&gt;=$S263,INDEX(INDIRECT(BY263),DE263,6)&gt;=$R263),1,0)</f>
        <v>#REF!</v>
      </c>
      <c r="DG263" s="4" t="e">
        <f t="shared" ref="DG263" ca="1" si="4366">MATCH(1,OFFSET(DF263:DF274,$W$2,0,COUNT(DF263:DF274)-$W$2),0)</f>
        <v>#REF!</v>
      </c>
      <c r="DH263" s="4" t="e">
        <f t="shared" ref="DH263" ca="1" si="4367">$W$2+DG263</f>
        <v>#REF!</v>
      </c>
      <c r="DI263" s="692" t="str" cm="1">
        <f t="array" aca="1" ref="DI263" ca="1">IFERROR(VLOOKUP(INDEX(DE263:DE274,DH263),INDIRECT(BY263),2,FALSE),"----")</f>
        <v>----</v>
      </c>
      <c r="DJ263" s="691" t="e">
        <f ca="1">MATCH($AC269,SSEI,-1)</f>
        <v>#N/A</v>
      </c>
      <c r="DK263" s="4" t="e">
        <f ca="1">IF(AND(INDEX(SSM,DJ263,4)&gt;=$AB269,INDEX(SSM,DJ263,5)&gt;=$S263,INDEX(SSM,DJ263,6)&gt;=$R263),1,0)</f>
        <v>#N/A</v>
      </c>
      <c r="DL263" s="4" t="e">
        <f t="shared" ref="DL263" ca="1" si="4368">MATCH(1,OFFSET(DK263:DK274,$W$2,0,COUNT(DK263:DK274)-$W$2),0)</f>
        <v>#REF!</v>
      </c>
      <c r="DM263" s="4" t="e">
        <f t="shared" ref="DM263" ca="1" si="4369">$W$2+DL263</f>
        <v>#REF!</v>
      </c>
      <c r="DN263" s="692" t="str">
        <f ca="1">IFERROR(IF(AD270="Nested Steel Stud (wood infill)",VLOOKUP(INDEX(DJ263:DJ274,DM263),SSW,2,FALSE),VLOOKUP(INDEX(DJ263:DJ274,DM263),SSM,2,FALSE)),"----")</f>
        <v>----</v>
      </c>
      <c r="DO263" s="691" t="e">
        <f ca="1">MATCH($AC269,WSEI,-1)</f>
        <v>#N/A</v>
      </c>
      <c r="DP263" s="4" t="e">
        <f ca="1">IF(AND(INDEX(WSM,DO263,4)&gt;=$AB269,INDEX(WSM,DO263,5)&gt;=$S263,INDEX(WSM,DO263,6)&gt;=$R263),1,0)</f>
        <v>#N/A</v>
      </c>
      <c r="DQ263" s="4" t="e">
        <f t="shared" ref="DQ263" ca="1" si="4370">MATCH(1,OFFSET(DP263:DP274,$W$2,0,COUNT(DP263:DP274)-$W$2),0)</f>
        <v>#REF!</v>
      </c>
      <c r="DR263" s="4" t="e">
        <f t="shared" ref="DR263" ca="1" si="4371">$W$2+DQ263</f>
        <v>#REF!</v>
      </c>
      <c r="DS263" s="692" t="str">
        <f ca="1">IFERROR(VLOOKUP(INDEX(DO263:DO274,DR263),WSM,2,FALSE),"----")</f>
        <v>----</v>
      </c>
      <c r="DT263" s="691" t="e">
        <f ca="1">MATCH($AC269,STEI,-1)</f>
        <v>#N/A</v>
      </c>
      <c r="DU263" s="4" t="e">
        <f ca="1">IF(AND(INDEX(STM,DT263,4)&gt;=$AB269,INDEX(STM,DT263,5)&gt;=$S263,INDEX(STM,DT263,6)&gt;=$R263),1,0)</f>
        <v>#N/A</v>
      </c>
      <c r="DV263" s="4" t="e">
        <f t="shared" ref="DV263" ca="1" si="4372">MATCH(1,OFFSET(DU263:DU274,$W$2,0,COUNT(DU263:DU274)-$W$2),0)</f>
        <v>#REF!</v>
      </c>
      <c r="DW263" s="4" t="e">
        <f t="shared" ref="DW263" ca="1" si="4373">$W$2+DV263</f>
        <v>#REF!</v>
      </c>
      <c r="DX263" s="692" t="str">
        <f ca="1">IFERROR(VLOOKUP(INDEX(DT263:DT274,DW263),STM,2,FALSE),"----")</f>
        <v>----</v>
      </c>
      <c r="DY263" s="691" t="e">
        <f ca="1">MATCH($AC269,ELEI,-1)</f>
        <v>#N/A</v>
      </c>
      <c r="DZ263" s="4" t="e">
        <f ca="1">IF(AND(INDEX(ELM,DY263,4)&gt;=$AB269,INDEX(ELM,DY263,5)&gt;=$S263,INDEX(ELM,DY263,6)&gt;=$R263),1,0)</f>
        <v>#N/A</v>
      </c>
      <c r="EA263" s="4" t="e">
        <f t="shared" ref="EA263" ca="1" si="4374">MATCH(1,OFFSET(DZ263:DZ274,$W$2,0,COUNT(DZ263:DZ274)-$W$2),0)</f>
        <v>#REF!</v>
      </c>
      <c r="EB263" s="4" t="e">
        <f t="shared" ref="EB263" ca="1" si="4375">EA263+$W$2</f>
        <v>#REF!</v>
      </c>
      <c r="EC263" s="692" t="str">
        <f ca="1">IFERROR(VLOOKUP(INDEX(DY263:DY274,EB263),ELM,2,FALSE),"----")</f>
        <v>----</v>
      </c>
      <c r="ED263" s="691" t="e">
        <f ca="1">IF(LEFT($J263,7)="Clad Wo",MATCH($AC269,SPEIW,-1),MATCH($AC269,SPEI,-1))</f>
        <v>#N/A</v>
      </c>
      <c r="EE263" s="4" t="e">
        <f ca="1">IF(LEFT($J263,7)="Clad Wo",IF(AND(INDEX(SPPWS,ED263,4)&gt;=$AB269,INDEX(SPPWS,ED263,5)&gt;=$S263,INDEX(SPPWS,ED263,6)&gt;=$R263),1,0),IF(AND(INDEX(SPM,ED263,4)&gt;=$AB269,INDEX(SPM,ED263,5)&gt;=$S263,INDEX(SPM,ED263,6)&gt;=$R263),1,0))</f>
        <v>#N/A</v>
      </c>
      <c r="EF263" s="4" t="e">
        <f t="shared" ref="EF263" ca="1" si="4376">MATCH(1,OFFSET(EE263:EE274,$W$2,0,COUNT(EE263:EE274)-$W$2),0)</f>
        <v>#REF!</v>
      </c>
      <c r="EG263" s="4" t="e">
        <f t="shared" ref="EG263" ca="1" si="4377">$W$2+EF263</f>
        <v>#REF!</v>
      </c>
      <c r="EH263" s="692" t="str">
        <f ca="1">IF(LEFT($J263,7)="Clad Wo",IFERROR(VLOOKUP(INDEX(ED263:ED274,EG263),SPPWS,2,FALSE),"----"),IFERROR(VLOOKUP(INDEX(ED263:ED274,EG263),SPM,2,FALSE),"----"))</f>
        <v>----</v>
      </c>
    </row>
    <row r="264" spans="1:138" ht="15" customHeight="1" x14ac:dyDescent="0.25">
      <c r="A264" s="1085"/>
      <c r="B264" s="925"/>
      <c r="C264" s="926"/>
      <c r="D264" s="927"/>
      <c r="E264" s="995"/>
      <c r="F264" s="996"/>
      <c r="G264" s="997"/>
      <c r="H264" s="1062"/>
      <c r="I264" s="990"/>
      <c r="J264" s="908"/>
      <c r="K264" s="909"/>
      <c r="L264" s="1002"/>
      <c r="M264" s="923"/>
      <c r="N264" s="1042"/>
      <c r="O264" s="1018"/>
      <c r="P264" s="987"/>
      <c r="Q264" s="1015"/>
      <c r="R264" s="1012"/>
      <c r="S264" s="1006"/>
      <c r="T264" s="1007"/>
      <c r="U264" s="878"/>
      <c r="V264" s="881"/>
      <c r="W264" s="884"/>
      <c r="X264" s="884"/>
      <c r="Y264" s="887"/>
      <c r="Z264" s="887"/>
      <c r="AA264" s="887"/>
      <c r="AB264" s="1081"/>
      <c r="AC264" s="1078"/>
      <c r="AD264" s="1102" t="s">
        <v>38</v>
      </c>
      <c r="AE264" s="1103"/>
      <c r="AF264" s="1052"/>
      <c r="AG264" s="1053"/>
      <c r="AH264" s="1053"/>
      <c r="AI264" s="1066"/>
      <c r="AJ264" s="1067"/>
      <c r="AK264" s="156" t="str">
        <f t="shared" ca="1" si="3667"/>
        <v/>
      </c>
      <c r="AL264" s="1039"/>
      <c r="AM264" s="343" t="str">
        <f ca="1">IFERROR(Q263/12*ROUND(VLOOKUP(AF264,OFFSET(SSM,0,1),6,FALSE),2),"")</f>
        <v/>
      </c>
      <c r="AN264" t="str">
        <f t="shared" ca="1" si="3717"/>
        <v/>
      </c>
      <c r="AP264" s="122" t="str">
        <f t="shared" ref="AP264" si="4378">_xlfn.CONCAT(AR264,AS268)</f>
        <v/>
      </c>
      <c r="AQ264" s="683" t="str">
        <f t="shared" si="3881"/>
        <v/>
      </c>
      <c r="AR264" s="96" t="str">
        <f t="shared" si="3642"/>
        <v/>
      </c>
      <c r="AS264" s="96" t="str">
        <f>IF(COUNTIF(Vista_1,AF263)=1,"Vista_1",IF(COUNTIF(Vista_2,AF263)=1,"Vista_2",""))</f>
        <v/>
      </c>
      <c r="AT264" s="684" t="str">
        <f>AL263</f>
        <v/>
      </c>
      <c r="AU264" s="694" t="e">
        <f t="shared" ref="AU264" ca="1" si="4379">AU263-1</f>
        <v>#REF!</v>
      </c>
      <c r="AV264" s="686" t="str">
        <f ca="1">IFERROR(VLOOKUP(AU264,INDIRECT(AQ263),2,FALSE),"----")</f>
        <v>----</v>
      </c>
      <c r="AW264" s="694" t="e">
        <f t="shared" ref="AW264:AW265" ca="1" si="4380">AW263-1</f>
        <v>#REF!</v>
      </c>
      <c r="AX264" s="686" t="str">
        <f ca="1">IFERROR(VLOOKUP(AW264,INDIRECT(AQ264),2,FALSE),"----")</f>
        <v>----</v>
      </c>
      <c r="AY264" s="694" t="e">
        <f t="shared" ref="AY264:AY265" ca="1" si="4381">AY263-1</f>
        <v>#REF!</v>
      </c>
      <c r="AZ264" s="686" t="str">
        <f ca="1">IFERROR(VLOOKUP(AY264,INDIRECT(AQ265),2,FALSE),"----")</f>
        <v>----</v>
      </c>
      <c r="BA264" s="694" t="e">
        <f t="shared" ref="BA264:BA265" ca="1" si="4382">BA263-1</f>
        <v>#REF!</v>
      </c>
      <c r="BB264" s="686" t="str">
        <f ca="1">IFERROR(VLOOKUP(BA264,INDIRECT(AQ266),2,FALSE),"----")</f>
        <v>----</v>
      </c>
      <c r="BC264" s="694" t="e">
        <f t="shared" ref="BC264:BC265" ca="1" si="4383">BC263-1</f>
        <v>#REF!</v>
      </c>
      <c r="BD264" s="686" t="str">
        <f ca="1">IFERROR(VLOOKUP(BC264,INDIRECT(AQ267),2,FALSE),"----")</f>
        <v>----</v>
      </c>
      <c r="BE264" s="694" t="e">
        <f t="shared" ref="BE264" ca="1" si="4384">BE263-1</f>
        <v>#REF!</v>
      </c>
      <c r="BF264" s="686" t="str">
        <f ca="1">IFERROR(VLOOKUP(BE264,INDIRECT(AQ268),2,FALSE),"----")</f>
        <v>----</v>
      </c>
      <c r="BG264" s="694" t="e">
        <f t="shared" ref="BG264" ca="1" si="4385">BG263-1</f>
        <v>#REF!</v>
      </c>
      <c r="BH264" s="686" t="str">
        <f ca="1">IFERROR(VLOOKUP(BG264,INDIRECT(AQ269),2,FALSE),"----")</f>
        <v>----</v>
      </c>
      <c r="BI264" s="694" t="e">
        <f t="shared" ref="BI264:BI265" ca="1" si="4386">BI263-1</f>
        <v>#REF!</v>
      </c>
      <c r="BJ264" s="686" t="str">
        <f ca="1">IFERROR(VLOOKUP(BI264,INDIRECT(AQ270),2,FALSE),"----")</f>
        <v>----</v>
      </c>
      <c r="BK264" s="694" t="e">
        <f t="shared" ref="BK264:BK265" ca="1" si="4387">BK263-1</f>
        <v>#REF!</v>
      </c>
      <c r="BL264" s="686" t="str">
        <f ca="1">IFERROR(VLOOKUP(BK264,INDIRECT(AQ271),2,FALSE),"----")</f>
        <v>----</v>
      </c>
      <c r="BM264" s="694" t="e">
        <f t="shared" ref="BM264:BM265" ca="1" si="4388">BM263-1</f>
        <v>#REF!</v>
      </c>
      <c r="BN264" s="686" t="str">
        <f ca="1">IFERROR(VLOOKUP(BM264,INDIRECT(AQ272),2,FALSE),"----")</f>
        <v>----</v>
      </c>
      <c r="BO264" s="694" t="e">
        <f t="shared" ref="BO264:BO265" ca="1" si="4389">BO263-1</f>
        <v>#REF!</v>
      </c>
      <c r="BP264" s="686" t="str">
        <f ca="1">IFERROR(VLOOKUP(BO264,INDIRECT(AQ273),2,FALSE),"----")</f>
        <v>----</v>
      </c>
      <c r="BQ264" s="694" t="e">
        <f t="shared" ref="BQ264" ca="1" si="4390">BQ263-1</f>
        <v>#REF!</v>
      </c>
      <c r="BR264" s="686" t="str">
        <f ca="1">IFERROR(VLOOKUP(BQ264,INDIRECT(AQ274),2,FALSE),"----")</f>
        <v>----</v>
      </c>
      <c r="BS264" s="695">
        <f>IF(AI264="",1,IF(COUNTIF(AX263:AX274,AI264)=0,2,1))</f>
        <v>1</v>
      </c>
      <c r="BT264" s="696">
        <f>IF(AF264="",1,IF(AX263=".",2,1))</f>
        <v>1</v>
      </c>
      <c r="BU264" s="706"/>
      <c r="BV264" s="155">
        <f ca="1">IF(COUNTIF(CJ263:CJ274,AF264)=0,IF(AF264&lt;&gt;"",0,1),1)</f>
        <v>1</v>
      </c>
      <c r="BW264" s="157">
        <f ca="1">IFERROR(MATCH(AF264,CJ263:CJ274,0),1)</f>
        <v>1</v>
      </c>
      <c r="BX264" s="769"/>
      <c r="BY264" s="769"/>
      <c r="BZ264" s="1110"/>
      <c r="CA264" s="691" t="e">
        <f t="shared" ref="CA264:CA274" ca="1" si="4391">CA263-1</f>
        <v>#REF!</v>
      </c>
      <c r="CB264" s="4" t="e" cm="1">
        <f t="array" aca="1" ref="CB264" ca="1">IF(AND(INDEX(INDIRECT(BY263),CA264,4)&gt;=$AB263,INDEX(INDIRECT(BY263),CA264,5)&gt;=$S263,INDEX(INDIRECT(BY263),CA264,6)&gt;=$R263),1,0)</f>
        <v>#REF!</v>
      </c>
      <c r="CC264" s="4" t="e">
        <f t="shared" ref="CC264" ca="1" si="4392">MATCH(1,OFFSET(CB263:CB274,CD263,0,COUNT(CB263:CB274)-CD263),0)</f>
        <v>#REF!</v>
      </c>
      <c r="CD264" s="4" t="e">
        <f t="shared" ref="CD264:CD274" ca="1" si="4393">CD263+CC264</f>
        <v>#REF!</v>
      </c>
      <c r="CE264" s="692" t="str" cm="1">
        <f t="array" aca="1" ref="CE264" ca="1">IFERROR(VLOOKUP(INDEX(CA263:CA274,CD264),INDIRECT(BY263),2,FALSE),"----")</f>
        <v>----</v>
      </c>
      <c r="CF264" s="691" t="e">
        <f t="shared" ref="CF264:CF274" ca="1" si="4394">CF263-1</f>
        <v>#N/A</v>
      </c>
      <c r="CG264" s="4" t="e">
        <f ca="1">IF(AND(INDEX(SSM,CF264,4)&gt;=$AB263,INDEX(SSM,CF264,5)&gt;=$S263,INDEX(SSM,CF264,6)&gt;=$R263),1,0)</f>
        <v>#N/A</v>
      </c>
      <c r="CH264" s="4" t="e">
        <f t="shared" ref="CH264" ca="1" si="4395">MATCH(1,OFFSET(CG263:CG274,CI263,0,COUNT(CG263:CG274)-CI263),0)</f>
        <v>#REF!</v>
      </c>
      <c r="CI264" s="4" t="e">
        <f t="shared" ref="CI264:CI274" ca="1" si="4396">CI263+CH264</f>
        <v>#REF!</v>
      </c>
      <c r="CJ264" s="692" t="str">
        <f ca="1">IFERROR(IF(AD264="Nested Steel Stud (wood infill)",VLOOKUP(INDEX(CF263:CF274,CI264),SSW,2,FALSE),VLOOKUP(INDEX(CF263:CF274,CI264),SSM,2,FALSE)),"----")</f>
        <v>----</v>
      </c>
      <c r="CK264" s="691" t="e">
        <f t="shared" ref="CK264:CK274" ca="1" si="4397">CK263-1</f>
        <v>#N/A</v>
      </c>
      <c r="CL264" s="4" t="e">
        <f ca="1">IF(AND(INDEX(WSM,CK264,4)&gt;=$AB263,INDEX(WSM,CK264,5)&gt;=$S263,INDEX(WSM,CK264,6)&gt;=$R263),1,0)</f>
        <v>#N/A</v>
      </c>
      <c r="CM264" s="4" t="e">
        <f t="shared" ref="CM264" ca="1" si="4398">MATCH(1,OFFSET(CL263:CL274,CN263,0,COUNT(CL263:CL274)-CN263),0)</f>
        <v>#REF!</v>
      </c>
      <c r="CN264" s="4" t="e">
        <f t="shared" ref="CN264:CN274" ca="1" si="4399">CM264+CN263</f>
        <v>#REF!</v>
      </c>
      <c r="CO264" s="692" t="str">
        <f ca="1">IFERROR(VLOOKUP(INDEX(CK263:CK274,CN264),WSM,2,FALSE),"----")</f>
        <v>----</v>
      </c>
      <c r="CP264" s="691" t="e">
        <f t="shared" ref="CP264:CP274" ca="1" si="4400">CP263-1</f>
        <v>#N/A</v>
      </c>
      <c r="CQ264" s="4" t="e">
        <f ca="1">IF(AND(INDEX(STM,CP264,4)&gt;=$AB263,INDEX(STM,CP264,5)&gt;=$S263,INDEX(STM,CP264,6)&gt;=$R263),1,0)</f>
        <v>#N/A</v>
      </c>
      <c r="CR264" s="4" t="e">
        <f t="shared" ref="CR264" ca="1" si="4401">MATCH(1,OFFSET(CQ263:CQ274,CS263,0,COUNT(CQ263:CQ274)-CS263),0)</f>
        <v>#REF!</v>
      </c>
      <c r="CS264" s="4" t="e">
        <f t="shared" ref="CS264:CS274" ca="1" si="4402">CR264+CS263</f>
        <v>#REF!</v>
      </c>
      <c r="CT264" s="692" t="str">
        <f ca="1">IFERROR(VLOOKUP(INDEX(CP263:CP274,CS264),STM,2,FALSE),"----")</f>
        <v>----</v>
      </c>
      <c r="CU264" s="691" t="e">
        <f t="shared" ref="CU264:CU274" ca="1" si="4403">CU263-1</f>
        <v>#N/A</v>
      </c>
      <c r="CV264" s="4" t="e">
        <f ca="1">IF(AND(INDEX(ELM,CU264,4)&gt;=$AB263,INDEX(ELM,CU264,5)&gt;=$S263,INDEX(ELM,CU264,6)&gt;=$R263),1,0)</f>
        <v>#N/A</v>
      </c>
      <c r="CW264" s="4" t="e">
        <f t="shared" ref="CW264" ca="1" si="4404">MATCH(1,OFFSET(CV263:CV274,CX263,0,COUNT(CV263:CV274)-CX263),0)</f>
        <v>#REF!</v>
      </c>
      <c r="CX264" s="4" t="e">
        <f t="shared" ref="CX264:CX274" ca="1" si="4405">CW264+CX263</f>
        <v>#REF!</v>
      </c>
      <c r="CY264" s="692" t="str">
        <f ca="1">IFERROR(VLOOKUP(INDEX(CU263:CU274,CX264),ELM,2,FALSE),"----")</f>
        <v>----</v>
      </c>
      <c r="CZ264" s="691" t="e">
        <f t="shared" ref="CZ264:CZ274" ca="1" si="4406">CZ263-1</f>
        <v>#N/A</v>
      </c>
      <c r="DA264" s="4" t="e">
        <f ca="1">IF(LEFT($J263,7)="Clad Wo",IF(AND(INDEX(SPPWS,CZ264,4)&gt;=$AB263,INDEX(SPPWS,CZ264,5)&gt;=$S263,INDEX(SPPWS,CZ264,6)&gt;=$R263),1,0),IF(AND(INDEX(SPM,CZ264,4)&gt;=$AB263,INDEX(SPM,CZ264,5)&gt;=$S263,INDEX(SPM,CZ264,6)&gt;=$R263),1,0))</f>
        <v>#N/A</v>
      </c>
      <c r="DB264" s="4" t="e">
        <f t="shared" ref="DB264" ca="1" si="4407">MATCH(1,OFFSET(DA263:DA274,DC263,0,COUNT(DA263:DA274)-DC263),0)</f>
        <v>#REF!</v>
      </c>
      <c r="DC264" s="4" t="e">
        <f t="shared" ref="DC264:DC274" ca="1" si="4408">DC263+DB264</f>
        <v>#REF!</v>
      </c>
      <c r="DD264" s="693" t="str">
        <f ca="1">IF(LEFT($J263,7)="Clad Wo",IFERROR(VLOOKUP(INDEX(CZ263:CZ274,DC264),SPPWS,2,FALSE),"----"),IFERROR(VLOOKUP(INDEX(CZ263:CZ274,DC264),SPM,2,FALSE),"----"))</f>
        <v>----</v>
      </c>
      <c r="DE264" s="691" t="e">
        <f t="shared" ref="DE264:DE274" ca="1" si="4409">DE263-1</f>
        <v>#REF!</v>
      </c>
      <c r="DF264" s="4" t="e" cm="1">
        <f t="array" aca="1" ref="DF264" ca="1">IF(AND(INDEX(INDIRECT(BY263),DE264,4)&gt;=$AB269,INDEX(INDIRECT(BY263),DE264,5)&gt;=$S263,INDEX(INDIRECT(BY263),DE264,6)&gt;=$R263),1,0)</f>
        <v>#REF!</v>
      </c>
      <c r="DG264" s="4" t="e">
        <f t="shared" ref="DG264" ca="1" si="4410">MATCH(1,OFFSET(DF263:DF274,DH263,0,COUNT(DF263:DF274)-DH263),0)</f>
        <v>#REF!</v>
      </c>
      <c r="DH264" s="4" t="e">
        <f t="shared" ref="DH264:DH274" ca="1" si="4411">DH263+DG264</f>
        <v>#REF!</v>
      </c>
      <c r="DI264" s="692" t="str" cm="1">
        <f t="array" aca="1" ref="DI264" ca="1">IFERROR(VLOOKUP(INDEX(DE263:DE274,DH264),INDIRECT(BY263),2,FALSE),"----")</f>
        <v>----</v>
      </c>
      <c r="DJ264" s="691" t="e">
        <f t="shared" ref="DJ264:DJ274" ca="1" si="4412">DJ263-1</f>
        <v>#N/A</v>
      </c>
      <c r="DK264" s="4" t="e">
        <f ca="1">IF(AND(INDEX(SSM,DJ264,4)&gt;=$AB269,INDEX(SSM,DJ264,5)&gt;=$S263,INDEX(SSM,DJ264,6)&gt;=$R263),1,0)</f>
        <v>#N/A</v>
      </c>
      <c r="DL264" s="4" t="e">
        <f t="shared" ref="DL264" ca="1" si="4413">MATCH(1,OFFSET(DK263:DK274,DM263,0,COUNT(DK263:DK274)-DM263),0)</f>
        <v>#REF!</v>
      </c>
      <c r="DM264" s="4" t="e">
        <f t="shared" ref="DM264:DM274" ca="1" si="4414">DL264+DM263</f>
        <v>#REF!</v>
      </c>
      <c r="DN264" s="692" t="str">
        <f ca="1">IFERROR(IF(AD270="Nested Steel Stud (wood infill)",VLOOKUP(INDEX(DJ263:DJ274,DM264),SSW,2,FALSE),VLOOKUP(INDEX(DJ263:DJ274,DM264),SSM,2,FALSE)),"----")</f>
        <v>----</v>
      </c>
      <c r="DO264" s="691" t="e">
        <f t="shared" ref="DO264:DO274" ca="1" si="4415">DO263-1</f>
        <v>#N/A</v>
      </c>
      <c r="DP264" s="4" t="e">
        <f ca="1">IF(AND(INDEX(WSM,DO264,4)&gt;=$AB269,INDEX(WSM,DO264,5)&gt;=$S263,INDEX(WSM,DO264,6)&gt;=$R263),1,0)</f>
        <v>#N/A</v>
      </c>
      <c r="DQ264" s="4" t="e">
        <f t="shared" ref="DQ264" ca="1" si="4416">MATCH(1,OFFSET(DP263:DP274,DR263,0,COUNT(DP263:DP274)-DR263),0)</f>
        <v>#REF!</v>
      </c>
      <c r="DR264" s="4" t="e">
        <f t="shared" ref="DR264:DR274" ca="1" si="4417">DQ264+DR263</f>
        <v>#REF!</v>
      </c>
      <c r="DS264" s="692" t="str">
        <f ca="1">IFERROR(VLOOKUP(INDEX(DO263:DO274,DR264),WSM,2,FALSE),"----")</f>
        <v>----</v>
      </c>
      <c r="DT264" s="691" t="e">
        <f t="shared" ref="DT264:DT274" ca="1" si="4418">DT263-1</f>
        <v>#N/A</v>
      </c>
      <c r="DU264" s="4" t="e">
        <f ca="1">IF(AND(INDEX(STM,DT264,4)&gt;=$AB269,INDEX(STM,DT264,5)&gt;=$S263,INDEX(STM,DT264,6)&gt;=$R263),1,0)</f>
        <v>#N/A</v>
      </c>
      <c r="DV264" s="4" t="e">
        <f t="shared" ref="DV264" ca="1" si="4419">MATCH(1,OFFSET(DU263:DU274,DW263,0,COUNT(DU263:DU274)-DW263),0)</f>
        <v>#REF!</v>
      </c>
      <c r="DW264" s="4" t="e">
        <f t="shared" ref="DW264:DW274" ca="1" si="4420">DV264+DW263</f>
        <v>#REF!</v>
      </c>
      <c r="DX264" s="692" t="str">
        <f ca="1">IFERROR(VLOOKUP(INDEX(DT263:DT274,DW264),STM,2,FALSE),"----")</f>
        <v>----</v>
      </c>
      <c r="DY264" s="691" t="e">
        <f t="shared" ref="DY264:DY274" ca="1" si="4421">DY263-1</f>
        <v>#N/A</v>
      </c>
      <c r="DZ264" s="4" t="e">
        <f ca="1">IF(AND(INDEX(ELM,DY264,4)&gt;=$AB269,INDEX(ELM,DY264,5)&gt;=$S263,INDEX(ELM,DY264,6)&gt;=$R263),1,0)</f>
        <v>#N/A</v>
      </c>
      <c r="EA264" s="4" t="e">
        <f t="shared" ref="EA264" ca="1" si="4422">MATCH(1,OFFSET(DZ263:DZ274,EB263,0,COUNT(DZ263:DZ274)-EB263),0)</f>
        <v>#REF!</v>
      </c>
      <c r="EB264" s="4" t="e">
        <f t="shared" ref="EB264:EB274" ca="1" si="4423">EA264+EB263</f>
        <v>#REF!</v>
      </c>
      <c r="EC264" s="692" t="str">
        <f ca="1">IFERROR(VLOOKUP(INDEX(DY263:DY274,EB264),ELM,2,FALSE),"----")</f>
        <v>----</v>
      </c>
      <c r="ED264" s="691" t="e">
        <f t="shared" ref="ED264:ED274" ca="1" si="4424">ED263-1</f>
        <v>#N/A</v>
      </c>
      <c r="EE264" s="4" t="e">
        <f ca="1">IF(LEFT($J263,7)="Clad Wo",IF(AND(INDEX(SPPWS,ED264,4)&gt;=$AB269,INDEX(SPPWS,ED264,5)&gt;=$S263,INDEX(SPPWS,ED264,6)&gt;=$R263),1,0),IF(AND(INDEX(SPM,ED264,4)&gt;=$AB269,INDEX(SPM,ED264,5)&gt;=$S263,INDEX(SPM,ED264,6)&gt;=$R263),1,0))</f>
        <v>#N/A</v>
      </c>
      <c r="EF264" s="4" t="e">
        <f t="shared" ref="EF264" ca="1" si="4425">MATCH(1,OFFSET(EE263:EE274,EG263,0,COUNT(EE263:EE274)-EG263),0)</f>
        <v>#REF!</v>
      </c>
      <c r="EG264" s="4" t="e">
        <f t="shared" ref="EG264:EG274" ca="1" si="4426">EG263+EF264</f>
        <v>#REF!</v>
      </c>
      <c r="EH264" s="692" t="str">
        <f ca="1">IF(LEFT($J263,7)="Clad Wo",IFERROR(VLOOKUP(INDEX(ED263:ED274,EG264),SPPWS,2,FALSE),"----"),IFERROR(VLOOKUP(INDEX(ED263:ED274,EG264),SPM,2,FALSE),"----"))</f>
        <v>----</v>
      </c>
    </row>
    <row r="265" spans="1:138" ht="15" customHeight="1" x14ac:dyDescent="0.25">
      <c r="A265" s="1085"/>
      <c r="B265" s="925"/>
      <c r="C265" s="926"/>
      <c r="D265" s="927"/>
      <c r="E265" s="995"/>
      <c r="F265" s="996"/>
      <c r="G265" s="997"/>
      <c r="H265" s="1062"/>
      <c r="I265" s="990"/>
      <c r="J265" s="908"/>
      <c r="K265" s="909"/>
      <c r="L265" s="1002"/>
      <c r="M265" s="923"/>
      <c r="N265" s="1042"/>
      <c r="O265" s="1018"/>
      <c r="P265" s="987"/>
      <c r="Q265" s="1015"/>
      <c r="R265" s="1012"/>
      <c r="S265" s="1006"/>
      <c r="T265" s="1007"/>
      <c r="U265" s="878"/>
      <c r="V265" s="881"/>
      <c r="W265" s="884"/>
      <c r="X265" s="884"/>
      <c r="Y265" s="887"/>
      <c r="Z265" s="887"/>
      <c r="AA265" s="887"/>
      <c r="AB265" s="1081"/>
      <c r="AC265" s="1078"/>
      <c r="AD265" s="1070" t="s">
        <v>333</v>
      </c>
      <c r="AE265" s="1071"/>
      <c r="AF265" s="1052"/>
      <c r="AG265" s="1053"/>
      <c r="AH265" s="1053"/>
      <c r="AI265" s="1066"/>
      <c r="AJ265" s="1067"/>
      <c r="AK265" s="154" t="str">
        <f t="shared" ca="1" si="3667"/>
        <v/>
      </c>
      <c r="AL265" s="1039"/>
      <c r="AM265" s="344" t="str">
        <f ca="1">IFERROR(Q263/12*ROUND(VLOOKUP(AF265,OFFSET(WSM,0,1),6,FALSE),2),"")</f>
        <v/>
      </c>
      <c r="AN265" t="str">
        <f t="shared" ca="1" si="3717"/>
        <v/>
      </c>
      <c r="AP265" s="122" t="str">
        <f t="shared" ref="AP265" si="4427">_xlfn.CONCAT(AR265,AS268)</f>
        <v/>
      </c>
      <c r="AQ265" s="683" t="str">
        <f t="shared" si="3881"/>
        <v/>
      </c>
      <c r="AR265" s="4" t="str">
        <f t="shared" si="3642"/>
        <v/>
      </c>
      <c r="AS265" s="4"/>
      <c r="AT265" s="697" t="str">
        <f>AL263</f>
        <v/>
      </c>
      <c r="AU265" s="694" t="e">
        <f t="shared" ca="1" si="3907"/>
        <v>#REF!</v>
      </c>
      <c r="AV265" s="686" t="str">
        <f ca="1">IFERROR(VLOOKUP(AU265,INDIRECT(AQ263),2,FALSE),"----")</f>
        <v>----</v>
      </c>
      <c r="AW265" s="694" t="e">
        <f t="shared" ca="1" si="4380"/>
        <v>#REF!</v>
      </c>
      <c r="AX265" s="686" t="str">
        <f ca="1">IFERROR(VLOOKUP(AW265,INDIRECT(AQ264),2,FALSE),"----")</f>
        <v>----</v>
      </c>
      <c r="AY265" s="694" t="e">
        <f t="shared" ca="1" si="4381"/>
        <v>#REF!</v>
      </c>
      <c r="AZ265" s="686" t="str">
        <f ca="1">IFERROR(VLOOKUP(AY265,INDIRECT(AQ265),2,FALSE),"----")</f>
        <v>----</v>
      </c>
      <c r="BA265" s="694" t="e">
        <f t="shared" ca="1" si="4382"/>
        <v>#REF!</v>
      </c>
      <c r="BB265" s="686" t="str">
        <f ca="1">IFERROR(VLOOKUP(BA265,INDIRECT(AQ266),2,FALSE),"----")</f>
        <v>----</v>
      </c>
      <c r="BC265" s="694" t="e">
        <f t="shared" ca="1" si="4383"/>
        <v>#REF!</v>
      </c>
      <c r="BD265" s="686" t="str">
        <f ca="1">IFERROR(VLOOKUP(BC265,INDIRECT(AQ267),2,FALSE),"----")</f>
        <v>----</v>
      </c>
      <c r="BE265" s="694" t="e">
        <f t="shared" ca="1" si="3912"/>
        <v>#REF!</v>
      </c>
      <c r="BF265" s="686" t="str">
        <f ca="1">IFERROR(VLOOKUP(BE265,INDIRECT(AQ268),2,FALSE),"----")</f>
        <v>----</v>
      </c>
      <c r="BG265" s="694" t="e">
        <f t="shared" ca="1" si="3913"/>
        <v>#REF!</v>
      </c>
      <c r="BH265" s="686" t="str">
        <f ca="1">IFERROR(VLOOKUP(BG265,INDIRECT(AQ269),2,FALSE),"----")</f>
        <v>----</v>
      </c>
      <c r="BI265" s="694" t="e">
        <f t="shared" ca="1" si="4386"/>
        <v>#REF!</v>
      </c>
      <c r="BJ265" s="686" t="str">
        <f ca="1">IFERROR(VLOOKUP(BI265,INDIRECT(AQ270),2,FALSE),"----")</f>
        <v>----</v>
      </c>
      <c r="BK265" s="694" t="e">
        <f t="shared" ca="1" si="4387"/>
        <v>#REF!</v>
      </c>
      <c r="BL265" s="686" t="str">
        <f ca="1">IFERROR(VLOOKUP(BK265,INDIRECT(AQ271),2,FALSE),"----")</f>
        <v>----</v>
      </c>
      <c r="BM265" s="694" t="e">
        <f t="shared" ca="1" si="4388"/>
        <v>#REF!</v>
      </c>
      <c r="BN265" s="686" t="str">
        <f ca="1">IFERROR(VLOOKUP(BM265,INDIRECT(AQ272),2,FALSE),"----")</f>
        <v>----</v>
      </c>
      <c r="BO265" s="694" t="e">
        <f t="shared" ca="1" si="4389"/>
        <v>#REF!</v>
      </c>
      <c r="BP265" s="686" t="str">
        <f ca="1">IFERROR(VLOOKUP(BO265,INDIRECT(AQ273),2,FALSE),"----")</f>
        <v>----</v>
      </c>
      <c r="BQ265" s="694" t="e">
        <f t="shared" ca="1" si="3918"/>
        <v>#REF!</v>
      </c>
      <c r="BR265" s="686" t="str">
        <f ca="1">IFERROR(VLOOKUP(BQ265,INDIRECT(AQ274),2,FALSE),"----")</f>
        <v>----</v>
      </c>
      <c r="BS265" s="695">
        <f>IF(AI265="",1,IF(COUNTIF(AZ263:AZ274,AI265)=0,2,1))</f>
        <v>1</v>
      </c>
      <c r="BT265" s="696">
        <f>IF(AF265="",1,IF(AZ263=".",2,1))</f>
        <v>1</v>
      </c>
      <c r="BU265" s="706"/>
      <c r="BV265" s="155">
        <f ca="1">IF(COUNTIF(CO263:CO274,AF265)=0,IF(AF265&lt;&gt;"",0,1),1)</f>
        <v>1</v>
      </c>
      <c r="BW265" s="157">
        <f ca="1">IFERROR(MATCH(AF265,CO263:CO274,0),1)</f>
        <v>1</v>
      </c>
      <c r="BX265" s="769"/>
      <c r="BY265" s="769"/>
      <c r="BZ265" s="1110"/>
      <c r="CA265" s="691" t="e">
        <f t="shared" ca="1" si="4391"/>
        <v>#REF!</v>
      </c>
      <c r="CB265" s="4" t="e" cm="1">
        <f t="array" aca="1" ref="CB265" ca="1">IF(AND(INDEX(INDIRECT(BY263),CA265,4)&gt;=$AB263,INDEX(INDIRECT(BY263),CA265,5)&gt;=$S263,INDEX(INDIRECT(BY263),CA265,6)&gt;=$R263),1,0)</f>
        <v>#REF!</v>
      </c>
      <c r="CC265" s="4" t="e">
        <f t="shared" ref="CC265" ca="1" si="4428">MATCH(1,OFFSET(CB263:CB274,CD264,0,COUNT(CB263:CB274)-CD264),0)</f>
        <v>#REF!</v>
      </c>
      <c r="CD265" s="4" t="e">
        <f t="shared" ca="1" si="4393"/>
        <v>#REF!</v>
      </c>
      <c r="CE265" s="692" t="str" cm="1">
        <f t="array" aca="1" ref="CE265" ca="1">IFERROR(VLOOKUP(INDEX(CA263:CA274,CD265),INDIRECT(BY263),2,FALSE),"----")</f>
        <v>----</v>
      </c>
      <c r="CF265" s="691" t="e">
        <f t="shared" ca="1" si="4394"/>
        <v>#N/A</v>
      </c>
      <c r="CG265" s="4" t="e">
        <f ca="1">IF(AND(INDEX(SSM,CF265,4)&gt;=$AB263,INDEX(SSM,CF265,5)&gt;=$S263,INDEX(SSM,CF265,6)&gt;=$R263),1,0)</f>
        <v>#N/A</v>
      </c>
      <c r="CH265" s="4" t="e">
        <f t="shared" ref="CH265" ca="1" si="4429">MATCH(1,OFFSET(CG263:CG274,CI264,0,COUNT(CG263:CG274)-CI264),0)</f>
        <v>#REF!</v>
      </c>
      <c r="CI265" s="4" t="e">
        <f t="shared" ca="1" si="4396"/>
        <v>#REF!</v>
      </c>
      <c r="CJ265" s="692" t="str">
        <f ca="1">IFERROR(IF(AD264="Nested Steel Stud (wood infill)",VLOOKUP(INDEX(CF263:CF274,CI265),SSW,2,FALSE),VLOOKUP(INDEX(CF263:CF274,CI265),SSM,2,FALSE)),"----")</f>
        <v>----</v>
      </c>
      <c r="CK265" s="691" t="e">
        <f t="shared" ca="1" si="4397"/>
        <v>#N/A</v>
      </c>
      <c r="CL265" s="4" t="e">
        <f ca="1">IF(AND(INDEX(WSM,CK265,4)&gt;=$AB263,INDEX(WSM,CK265,5)&gt;=$S263,INDEX(WSM,CK265,6)&gt;=$R263),1,0)</f>
        <v>#N/A</v>
      </c>
      <c r="CM265" s="4" t="e">
        <f t="shared" ref="CM265" ca="1" si="4430">MATCH(1,OFFSET(CL263:CL274,CN264,0,COUNT(CL263:CL274)-CN264),0)</f>
        <v>#REF!</v>
      </c>
      <c r="CN265" s="4" t="e">
        <f t="shared" ca="1" si="4399"/>
        <v>#REF!</v>
      </c>
      <c r="CO265" s="692" t="str">
        <f ca="1">IFERROR(VLOOKUP(INDEX(CK263:CK274,CN265),WSM,2,FALSE),"----")</f>
        <v>----</v>
      </c>
      <c r="CP265" s="691" t="e">
        <f t="shared" ca="1" si="4400"/>
        <v>#N/A</v>
      </c>
      <c r="CQ265" s="4" t="e">
        <f ca="1">IF(AND(INDEX(STM,CP265,4)&gt;=$AB263,INDEX(STM,CP265,5)&gt;=$S263,INDEX(STM,CP265,6)&gt;=$R263),1,0)</f>
        <v>#N/A</v>
      </c>
      <c r="CR265" s="4" t="e">
        <f t="shared" ref="CR265" ca="1" si="4431">MATCH(1,OFFSET(CQ263:CQ274,CS264,0,COUNT(CQ263:CQ274)-CS264),0)</f>
        <v>#REF!</v>
      </c>
      <c r="CS265" s="4" t="e">
        <f t="shared" ca="1" si="4402"/>
        <v>#REF!</v>
      </c>
      <c r="CT265" s="692" t="str">
        <f ca="1">IFERROR(VLOOKUP(INDEX(CP263:CP274,CS265),STM,2,FALSE),"----")</f>
        <v>----</v>
      </c>
      <c r="CU265" s="691" t="e">
        <f t="shared" ca="1" si="4403"/>
        <v>#N/A</v>
      </c>
      <c r="CV265" s="4" t="e">
        <f ca="1">IF(AND(INDEX(ELM,CU265,4)&gt;=$AB263,INDEX(ELM,CU265,5)&gt;=$S263,INDEX(ELM,CU265,6)&gt;=$R263),1,0)</f>
        <v>#N/A</v>
      </c>
      <c r="CW265" s="4" t="e">
        <f t="shared" ref="CW265" ca="1" si="4432">MATCH(1,OFFSET(CV263:CV274,CX264,0,COUNT(CV263:CV274)-CX264),0)</f>
        <v>#REF!</v>
      </c>
      <c r="CX265" s="4" t="e">
        <f t="shared" ca="1" si="4405"/>
        <v>#REF!</v>
      </c>
      <c r="CY265" s="692" t="str">
        <f ca="1">IFERROR(VLOOKUP(INDEX(CU263:CU274,CX265),ELM,2,FALSE),"----")</f>
        <v>----</v>
      </c>
      <c r="CZ265" s="691" t="e">
        <f t="shared" ca="1" si="4406"/>
        <v>#N/A</v>
      </c>
      <c r="DA265" s="4" t="e">
        <f ca="1">IF(LEFT($J263,7)="Clad Wo",IF(AND(INDEX(SPPWS,CZ265,4)&gt;=$AB263,INDEX(SPPWS,CZ265,5)&gt;=$S263,INDEX(SPPWS,CZ265,6)&gt;=$R263),1,0),IF(AND(INDEX(SPM,CZ265,4)&gt;=$AB263,INDEX(SPM,CZ265,5)&gt;=$S263,INDEX(SPM,CZ265,6)&gt;=$R263),1,0))</f>
        <v>#N/A</v>
      </c>
      <c r="DB265" s="4" t="e">
        <f t="shared" ref="DB265" ca="1" si="4433">MATCH(1,OFFSET(DA263:DA274,DC264,0,COUNT(DA263:DA274)-DC264),0)</f>
        <v>#REF!</v>
      </c>
      <c r="DC265" s="4" t="e">
        <f t="shared" ca="1" si="4408"/>
        <v>#REF!</v>
      </c>
      <c r="DD265" s="693" t="str">
        <f ca="1">IF(LEFT($J263,7)="Clad Wo",IFERROR(VLOOKUP(INDEX(CZ263:CZ274,DC265),SPPWS,2,FALSE),"----"),IFERROR(VLOOKUP(INDEX(CZ263:CZ274,DC265),SPM,2,FALSE),"----"))</f>
        <v>----</v>
      </c>
      <c r="DE265" s="691" t="e">
        <f t="shared" ca="1" si="4409"/>
        <v>#REF!</v>
      </c>
      <c r="DF265" s="4" t="e" cm="1">
        <f t="array" aca="1" ref="DF265" ca="1">IF(AND(INDEX(INDIRECT(BY263),DE265,4)&gt;=$AB269,INDEX(INDIRECT(BY263),DE265,5)&gt;=$S263,INDEX(INDIRECT(BY263),DE265,6)&gt;=$R263),1,0)</f>
        <v>#REF!</v>
      </c>
      <c r="DG265" s="4" t="e">
        <f t="shared" ref="DG265" ca="1" si="4434">MATCH(1,OFFSET(DF263:DF274,DH264,0,COUNT(DF263:DF274)-DH264),0)</f>
        <v>#REF!</v>
      </c>
      <c r="DH265" s="4" t="e">
        <f t="shared" ca="1" si="4411"/>
        <v>#REF!</v>
      </c>
      <c r="DI265" s="692" t="str" cm="1">
        <f t="array" aca="1" ref="DI265" ca="1">IFERROR(VLOOKUP(INDEX(DE263:DE274,DH265),INDIRECT(BY263),2,FALSE),"----")</f>
        <v>----</v>
      </c>
      <c r="DJ265" s="691" t="e">
        <f t="shared" ca="1" si="4412"/>
        <v>#N/A</v>
      </c>
      <c r="DK265" s="4" t="e">
        <f ca="1">IF(AND(INDEX(SSM,DJ265,4)&gt;=$AB269,INDEX(SSM,DJ265,5)&gt;=$S263,INDEX(SSM,DJ265,6)&gt;=$R263),1,0)</f>
        <v>#N/A</v>
      </c>
      <c r="DL265" s="4" t="e">
        <f t="shared" ref="DL265" ca="1" si="4435">MATCH(1,OFFSET(DK263:DK274,DM264,0,COUNT(DK263:DK274)-DM264),0)</f>
        <v>#REF!</v>
      </c>
      <c r="DM265" s="4" t="e">
        <f t="shared" ca="1" si="4414"/>
        <v>#REF!</v>
      </c>
      <c r="DN265" s="692" t="str">
        <f ca="1">IFERROR(IF(AD270="Nested Steel Stud (wood infill)",VLOOKUP(INDEX(DJ263:DJ274,DM265),SSW,2,FALSE),VLOOKUP(INDEX(DJ263:DJ274,DM265),SSM,2,FALSE)),"----")</f>
        <v>----</v>
      </c>
      <c r="DO265" s="691" t="e">
        <f t="shared" ca="1" si="4415"/>
        <v>#N/A</v>
      </c>
      <c r="DP265" s="4" t="e">
        <f ca="1">IF(AND(INDEX(WSM,DO265,4)&gt;=$AB269,INDEX(WSM,DO265,5)&gt;=$S263,INDEX(WSM,DO265,6)&gt;=$R263),1,0)</f>
        <v>#N/A</v>
      </c>
      <c r="DQ265" s="4" t="e">
        <f t="shared" ref="DQ265" ca="1" si="4436">MATCH(1,OFFSET(DP263:DP274,DR264,0,COUNT(DP263:DP274)-DR264),0)</f>
        <v>#REF!</v>
      </c>
      <c r="DR265" s="4" t="e">
        <f t="shared" ca="1" si="4417"/>
        <v>#REF!</v>
      </c>
      <c r="DS265" s="692" t="str">
        <f ca="1">IFERROR(VLOOKUP(INDEX(DO263:DO274,DR265),WSM,2,FALSE),"----")</f>
        <v>----</v>
      </c>
      <c r="DT265" s="691" t="e">
        <f t="shared" ca="1" si="4418"/>
        <v>#N/A</v>
      </c>
      <c r="DU265" s="4" t="e">
        <f ca="1">IF(AND(INDEX(STM,DT265,4)&gt;=$AB269,INDEX(STM,DT265,5)&gt;=$S263,INDEX(STM,DT265,6)&gt;=$R263),1,0)</f>
        <v>#N/A</v>
      </c>
      <c r="DV265" s="4" t="e">
        <f t="shared" ref="DV265" ca="1" si="4437">MATCH(1,OFFSET(DU263:DU274,DW264,0,COUNT(DU263:DU274)-DW264),0)</f>
        <v>#REF!</v>
      </c>
      <c r="DW265" s="4" t="e">
        <f t="shared" ca="1" si="4420"/>
        <v>#REF!</v>
      </c>
      <c r="DX265" s="692" t="str">
        <f ca="1">IFERROR(VLOOKUP(INDEX(DT263:DT274,DW265),STM,2,FALSE),"----")</f>
        <v>----</v>
      </c>
      <c r="DY265" s="691" t="e">
        <f t="shared" ca="1" si="4421"/>
        <v>#N/A</v>
      </c>
      <c r="DZ265" s="4" t="e">
        <f ca="1">IF(AND(INDEX(ELM,DY265,4)&gt;=$AB269,INDEX(ELM,DY265,5)&gt;=$S263,INDEX(ELM,DY265,6)&gt;=$R263),1,0)</f>
        <v>#N/A</v>
      </c>
      <c r="EA265" s="4" t="e">
        <f t="shared" ref="EA265" ca="1" si="4438">MATCH(1,OFFSET(DZ263:DZ274,EB264,0,COUNT(DZ263:DZ274)-EB264),0)</f>
        <v>#REF!</v>
      </c>
      <c r="EB265" s="4" t="e">
        <f t="shared" ca="1" si="4423"/>
        <v>#REF!</v>
      </c>
      <c r="EC265" s="692" t="str">
        <f ca="1">IFERROR(VLOOKUP(INDEX(DY263:DY274,EB265),ELM,2,FALSE),"----")</f>
        <v>----</v>
      </c>
      <c r="ED265" s="691" t="e">
        <f t="shared" ca="1" si="4424"/>
        <v>#N/A</v>
      </c>
      <c r="EE265" s="4" t="e">
        <f ca="1">IF(LEFT($J263,7)="Clad Wo",IF(AND(INDEX(SPPWS,ED265,4)&gt;=$AB269,INDEX(SPPWS,ED265,5)&gt;=$S263,INDEX(SPPWS,ED265,6)&gt;=$R263),1,0),IF(AND(INDEX(SPM,ED265,4)&gt;=$AB269,INDEX(SPM,ED265,5)&gt;=$S263,INDEX(SPM,ED265,6)&gt;=$R263),1,0))</f>
        <v>#N/A</v>
      </c>
      <c r="EF265" s="4" t="e">
        <f t="shared" ref="EF265" ca="1" si="4439">MATCH(1,OFFSET(EE263:EE274,EG264,0,COUNT(EE263:EE274)-EG264),0)</f>
        <v>#REF!</v>
      </c>
      <c r="EG265" s="4" t="e">
        <f t="shared" ca="1" si="4426"/>
        <v>#REF!</v>
      </c>
      <c r="EH265" s="692" t="str">
        <f ca="1">IF(LEFT($J263,7)="Clad Wo",IFERROR(VLOOKUP(INDEX(ED263:ED274,EG265),SPPWS,2,FALSE),"----"),IFERROR(VLOOKUP(INDEX(ED263:ED274,EG265),SPM,2,FALSE),"----"))</f>
        <v>----</v>
      </c>
    </row>
    <row r="266" spans="1:138" ht="15" customHeight="1" x14ac:dyDescent="0.25">
      <c r="A266" s="1085"/>
      <c r="B266" s="925"/>
      <c r="C266" s="926"/>
      <c r="D266" s="927"/>
      <c r="E266" s="995"/>
      <c r="F266" s="996"/>
      <c r="G266" s="997"/>
      <c r="H266" s="1062"/>
      <c r="I266" s="990"/>
      <c r="J266" s="908"/>
      <c r="K266" s="909"/>
      <c r="L266" s="1002"/>
      <c r="M266" s="923"/>
      <c r="N266" s="1042"/>
      <c r="O266" s="1018"/>
      <c r="P266" s="987"/>
      <c r="Q266" s="1015"/>
      <c r="R266" s="1012"/>
      <c r="S266" s="1006"/>
      <c r="T266" s="1007"/>
      <c r="U266" s="878"/>
      <c r="V266" s="881"/>
      <c r="W266" s="884"/>
      <c r="X266" s="884"/>
      <c r="Y266" s="887"/>
      <c r="Z266" s="887"/>
      <c r="AA266" s="887"/>
      <c r="AB266" s="1081"/>
      <c r="AC266" s="1078"/>
      <c r="AD266" s="1070" t="s">
        <v>37</v>
      </c>
      <c r="AE266" s="1071"/>
      <c r="AF266" s="1052"/>
      <c r="AG266" s="1053"/>
      <c r="AH266" s="1053"/>
      <c r="AI266" s="1066"/>
      <c r="AJ266" s="1067"/>
      <c r="AK266" s="156" t="str">
        <f t="shared" ca="1" si="3667"/>
        <v/>
      </c>
      <c r="AL266" s="1039"/>
      <c r="AM266" s="343" t="str">
        <f ca="1">IFERROR(Q263/12*ROUND(VLOOKUP(AF266,OFFSET(STM,0,1),6,FALSE),2),"")</f>
        <v/>
      </c>
      <c r="AN266" t="str">
        <f t="shared" ca="1" si="3717"/>
        <v/>
      </c>
      <c r="AP266" s="122" t="str">
        <f t="shared" ref="AP266" si="4440">_xlfn.CONCAT(AR266,AS268)</f>
        <v/>
      </c>
      <c r="AQ266" s="683" t="str">
        <f t="shared" si="3881"/>
        <v/>
      </c>
      <c r="AR266" s="4" t="str">
        <f t="shared" si="3642"/>
        <v/>
      </c>
      <c r="AS266" s="4"/>
      <c r="AT266" s="697" t="str">
        <f>AL263</f>
        <v/>
      </c>
      <c r="AU266" s="694" t="e">
        <f t="shared" ca="1" si="3907"/>
        <v>#REF!</v>
      </c>
      <c r="AV266" s="686" t="str">
        <f ca="1">IFERROR(VLOOKUP(AU266,INDIRECT(AQ263),2,FALSE),"----")</f>
        <v>----</v>
      </c>
      <c r="AW266" s="694" t="e">
        <f t="shared" ca="1" si="3908"/>
        <v>#REF!</v>
      </c>
      <c r="AX266" s="686" t="str">
        <f ca="1">IFERROR(VLOOKUP(AW266,INDIRECT(AQ264),2,FALSE),"----")</f>
        <v>----</v>
      </c>
      <c r="AY266" s="694" t="e">
        <f t="shared" ref="AY266" ca="1" si="4441">AY265-1</f>
        <v>#REF!</v>
      </c>
      <c r="AZ266" s="686" t="str">
        <f ca="1">IFERROR(VLOOKUP(AY266,INDIRECT(AQ265),2,FALSE),"----")</f>
        <v>----</v>
      </c>
      <c r="BA266" s="694" t="e">
        <f t="shared" ref="BA266" ca="1" si="4442">BA265-1</f>
        <v>#REF!</v>
      </c>
      <c r="BB266" s="686" t="str">
        <f ca="1">IFERROR(VLOOKUP(BA266,INDIRECT(AQ266),2,FALSE),"----")</f>
        <v>----</v>
      </c>
      <c r="BC266" s="694" t="e">
        <f t="shared" ca="1" si="3911"/>
        <v>#REF!</v>
      </c>
      <c r="BD266" s="686" t="str">
        <f ca="1">IFERROR(VLOOKUP(BC266,INDIRECT(AQ267),2,FALSE),"----")</f>
        <v>----</v>
      </c>
      <c r="BE266" s="694" t="e">
        <f t="shared" ca="1" si="3912"/>
        <v>#REF!</v>
      </c>
      <c r="BF266" s="686" t="str">
        <f ca="1">IFERROR(VLOOKUP(BE266,INDIRECT(AQ268),2,FALSE),"----")</f>
        <v>----</v>
      </c>
      <c r="BG266" s="694" t="e">
        <f t="shared" ca="1" si="3913"/>
        <v>#REF!</v>
      </c>
      <c r="BH266" s="686" t="str">
        <f ca="1">IFERROR(VLOOKUP(BG266,INDIRECT(AQ269),2,FALSE),"----")</f>
        <v>----</v>
      </c>
      <c r="BI266" s="694" t="e">
        <f t="shared" ca="1" si="3914"/>
        <v>#REF!</v>
      </c>
      <c r="BJ266" s="686" t="str">
        <f ca="1">IFERROR(VLOOKUP(BI266,INDIRECT(AQ270),2,FALSE),"----")</f>
        <v>----</v>
      </c>
      <c r="BK266" s="694" t="e">
        <f t="shared" ca="1" si="3915"/>
        <v>#REF!</v>
      </c>
      <c r="BL266" s="686" t="str">
        <f ca="1">IFERROR(VLOOKUP(BK266,INDIRECT(AQ271),2,FALSE),"----")</f>
        <v>----</v>
      </c>
      <c r="BM266" s="694" t="e">
        <f t="shared" ca="1" si="3916"/>
        <v>#REF!</v>
      </c>
      <c r="BN266" s="686" t="str">
        <f ca="1">IFERROR(VLOOKUP(BM266,INDIRECT(AQ272),2,FALSE),"----")</f>
        <v>----</v>
      </c>
      <c r="BO266" s="694" t="e">
        <f t="shared" ca="1" si="3917"/>
        <v>#REF!</v>
      </c>
      <c r="BP266" s="686" t="str">
        <f ca="1">IFERROR(VLOOKUP(BO266,INDIRECT(AQ273),2,FALSE),"----")</f>
        <v>----</v>
      </c>
      <c r="BQ266" s="694" t="e">
        <f t="shared" ca="1" si="3918"/>
        <v>#REF!</v>
      </c>
      <c r="BR266" s="686" t="str">
        <f ca="1">IFERROR(VLOOKUP(BQ266,INDIRECT(AQ274),2,FALSE),"----")</f>
        <v>----</v>
      </c>
      <c r="BS266" s="695">
        <f>IF(AI266="",1,IF(COUNTIF(BB263:BB274,AI266)=0,2,1))</f>
        <v>1</v>
      </c>
      <c r="BT266" s="696">
        <f>IF(AF266="",1,IF(BB263=".",2,1))</f>
        <v>1</v>
      </c>
      <c r="BU266" s="706"/>
      <c r="BV266" s="155">
        <f ca="1">IF(COUNTIF(CT263:CT274,AF266)=0,IF(AF266&lt;&gt;"",0,1),1)</f>
        <v>1</v>
      </c>
      <c r="BW266" s="157">
        <f ca="1">IFERROR(MATCH(AF266,CT263:CT274,0),1)</f>
        <v>1</v>
      </c>
      <c r="BX266" s="769"/>
      <c r="BY266" s="769"/>
      <c r="BZ266" s="1110"/>
      <c r="CA266" s="691" t="e">
        <f t="shared" ca="1" si="4391"/>
        <v>#REF!</v>
      </c>
      <c r="CB266" s="4" t="e" cm="1">
        <f t="array" aca="1" ref="CB266" ca="1">IF(AND(INDEX(INDIRECT(BY263),CA266,4)&gt;=$AB263,INDEX(INDIRECT(BY263),CA266,5)&gt;=$S263,INDEX(INDIRECT(BY263),CA266,6)&gt;=$R263),1,0)</f>
        <v>#REF!</v>
      </c>
      <c r="CC266" s="4" t="e">
        <f t="shared" ref="CC266" ca="1" si="4443">MATCH(1,OFFSET(CB263:CB274,CD265,0,COUNT(CB263:CB274)-CD265),0)</f>
        <v>#REF!</v>
      </c>
      <c r="CD266" s="4" t="e">
        <f t="shared" ca="1" si="4393"/>
        <v>#REF!</v>
      </c>
      <c r="CE266" s="692" t="str" cm="1">
        <f t="array" aca="1" ref="CE266" ca="1">IFERROR(VLOOKUP(INDEX(CA263:CA274,CD266),INDIRECT(BY263),2,FALSE),"----")</f>
        <v>----</v>
      </c>
      <c r="CF266" s="691" t="e">
        <f t="shared" ca="1" si="4394"/>
        <v>#N/A</v>
      </c>
      <c r="CG266" s="4" t="e">
        <f ca="1">IF(AND(INDEX(SSM,CF266,4)&gt;=$AB263,INDEX(SSM,CF266,5)&gt;=$S263,INDEX(SSM,CF266,6)&gt;=$R263),1,0)</f>
        <v>#N/A</v>
      </c>
      <c r="CH266" s="4" t="e">
        <f t="shared" ref="CH266" ca="1" si="4444">MATCH(1,OFFSET(CG263:CG274,CI265,0,COUNT(CG263:CG274)-CI265),0)</f>
        <v>#REF!</v>
      </c>
      <c r="CI266" s="4" t="e">
        <f t="shared" ca="1" si="4396"/>
        <v>#REF!</v>
      </c>
      <c r="CJ266" s="692" t="str">
        <f ca="1">IFERROR(IF(AD264="Nested Steel Stud (wood infill)",VLOOKUP(INDEX(CF263:CF274,CI266),SSW,2,FALSE),VLOOKUP(INDEX(CF263:CF274,CI266),SSM,2,FALSE)),"----")</f>
        <v>----</v>
      </c>
      <c r="CK266" s="691" t="e">
        <f t="shared" ca="1" si="4397"/>
        <v>#N/A</v>
      </c>
      <c r="CL266" s="4" t="e">
        <f ca="1">IF(AND(INDEX(WSM,CK266,4)&gt;=$AB263,INDEX(WSM,CK266,5)&gt;=$S263,INDEX(WSM,CK266,6)&gt;=$R263),1,0)</f>
        <v>#N/A</v>
      </c>
      <c r="CM266" s="4" t="e">
        <f t="shared" ref="CM266" ca="1" si="4445">MATCH(1,OFFSET(CL263:CL274,CN265,0,COUNT(CL263:CL274)-CN265),0)</f>
        <v>#REF!</v>
      </c>
      <c r="CN266" s="4" t="e">
        <f t="shared" ca="1" si="4399"/>
        <v>#REF!</v>
      </c>
      <c r="CO266" s="692" t="str">
        <f ca="1">IFERROR(VLOOKUP(INDEX(CK263:CK274,CN266),WSM,2,FALSE),"----")</f>
        <v>----</v>
      </c>
      <c r="CP266" s="691" t="e">
        <f t="shared" ca="1" si="4400"/>
        <v>#N/A</v>
      </c>
      <c r="CQ266" s="4" t="e">
        <f ca="1">IF(AND(INDEX(STM,CP266,4)&gt;=$AB263,INDEX(STM,CP266,5)&gt;=$S263,INDEX(STM,CP266,6)&gt;=$R263),1,0)</f>
        <v>#N/A</v>
      </c>
      <c r="CR266" s="4" t="e">
        <f t="shared" ref="CR266" ca="1" si="4446">MATCH(1,OFFSET(CQ263:CQ274,CS265,0,COUNT(CQ263:CQ274)-CS265),0)</f>
        <v>#REF!</v>
      </c>
      <c r="CS266" s="4" t="e">
        <f t="shared" ca="1" si="4402"/>
        <v>#REF!</v>
      </c>
      <c r="CT266" s="692" t="str">
        <f ca="1">IFERROR(VLOOKUP(INDEX(CP263:CP274,CS266),STM,2,FALSE),"----")</f>
        <v>----</v>
      </c>
      <c r="CU266" s="691" t="e">
        <f t="shared" ca="1" si="4403"/>
        <v>#N/A</v>
      </c>
      <c r="CV266" s="4" t="e">
        <f ca="1">IF(AND(INDEX(ELM,CU266,4)&gt;=$AB263,INDEX(ELM,CU266,5)&gt;=$S263,INDEX(ELM,CU266,6)&gt;=$R263),1,0)</f>
        <v>#N/A</v>
      </c>
      <c r="CW266" s="4" t="e">
        <f t="shared" ref="CW266" ca="1" si="4447">MATCH(1,OFFSET(CV263:CV274,CX265,0,COUNT(CV263:CV274)-CX265),0)</f>
        <v>#REF!</v>
      </c>
      <c r="CX266" s="4" t="e">
        <f t="shared" ca="1" si="4405"/>
        <v>#REF!</v>
      </c>
      <c r="CY266" s="692" t="str">
        <f ca="1">IFERROR(VLOOKUP(INDEX(CU263:CU274,CX266),ELM,2,FALSE),"----")</f>
        <v>----</v>
      </c>
      <c r="CZ266" s="691" t="e">
        <f t="shared" ca="1" si="4406"/>
        <v>#N/A</v>
      </c>
      <c r="DA266" s="4" t="e">
        <f ca="1">IF(LEFT($J263,7)="Clad Wo",IF(AND(INDEX(SPPWS,CZ266,4)&gt;=$AB263,INDEX(SPPWS,CZ266,5)&gt;=$S263,INDEX(SPPWS,CZ266,6)&gt;=$R263),1,0),IF(AND(INDEX(SPM,CZ266,4)&gt;=$AB263,INDEX(SPM,CZ266,5)&gt;=$S263,INDEX(SPM,CZ266,6)&gt;=$R263),1,0))</f>
        <v>#N/A</v>
      </c>
      <c r="DB266" s="4" t="e">
        <f t="shared" ref="DB266" ca="1" si="4448">MATCH(1,OFFSET(DA263:DA274,DC265,0,COUNT(DA263:DA274)-DC265),0)</f>
        <v>#REF!</v>
      </c>
      <c r="DC266" s="4" t="e">
        <f t="shared" ca="1" si="4408"/>
        <v>#REF!</v>
      </c>
      <c r="DD266" s="693" t="str">
        <f ca="1">IF(LEFT($J263,7)="Clad Wo",IFERROR(VLOOKUP(INDEX(CZ263:CZ274,DC266),SPPWS,2,FALSE),"----"),IFERROR(VLOOKUP(INDEX(CZ263:CZ274,DC266),SPM,2,FALSE),"----"))</f>
        <v>----</v>
      </c>
      <c r="DE266" s="691" t="e">
        <f t="shared" ca="1" si="4409"/>
        <v>#REF!</v>
      </c>
      <c r="DF266" s="4" t="e" cm="1">
        <f t="array" aca="1" ref="DF266" ca="1">IF(AND(INDEX(INDIRECT(BY263),DE266,4)&gt;=$AB269,INDEX(INDIRECT(BY263),DE266,5)&gt;=$S263,INDEX(INDIRECT(BY263),DE266,6)&gt;=$R263),1,0)</f>
        <v>#REF!</v>
      </c>
      <c r="DG266" s="4" t="e">
        <f t="shared" ref="DG266" ca="1" si="4449">MATCH(1,OFFSET(DF263:DF274,DH265,0,COUNT(DF263:DF274)-DH265),0)</f>
        <v>#REF!</v>
      </c>
      <c r="DH266" s="4" t="e">
        <f t="shared" ca="1" si="4411"/>
        <v>#REF!</v>
      </c>
      <c r="DI266" s="692" t="str" cm="1">
        <f t="array" aca="1" ref="DI266" ca="1">IFERROR(VLOOKUP(INDEX(DE263:DE274,DH266),INDIRECT(BY263),2,FALSE),"----")</f>
        <v>----</v>
      </c>
      <c r="DJ266" s="691" t="e">
        <f t="shared" ca="1" si="4412"/>
        <v>#N/A</v>
      </c>
      <c r="DK266" s="4" t="e">
        <f ca="1">IF(AND(INDEX(SSM,DJ266,4)&gt;=$AB269,INDEX(SSM,DJ266,5)&gt;=$S263,INDEX(SSM,DJ266,6)&gt;=$R263),1,0)</f>
        <v>#N/A</v>
      </c>
      <c r="DL266" s="4" t="e">
        <f t="shared" ref="DL266" ca="1" si="4450">MATCH(1,OFFSET(DK263:DK274,DM265,0,COUNT(DK263:DK274)-DM265),0)</f>
        <v>#REF!</v>
      </c>
      <c r="DM266" s="4" t="e">
        <f t="shared" ca="1" si="4414"/>
        <v>#REF!</v>
      </c>
      <c r="DN266" s="692" t="str">
        <f ca="1">IFERROR(IF(AD270="Nested Steel Stud (wood infill)",VLOOKUP(INDEX(DJ263:DJ274,DM266),SSW,2,FALSE),VLOOKUP(INDEX(DJ263:DJ274,DM266),SSM,2,FALSE)),"----")</f>
        <v>----</v>
      </c>
      <c r="DO266" s="691" t="e">
        <f t="shared" ca="1" si="4415"/>
        <v>#N/A</v>
      </c>
      <c r="DP266" s="4" t="e">
        <f ca="1">IF(AND(INDEX(WSM,DO266,4)&gt;=$AB269,INDEX(WSM,DO266,5)&gt;=$S263,INDEX(WSM,DO266,6)&gt;=$R263),1,0)</f>
        <v>#N/A</v>
      </c>
      <c r="DQ266" s="4" t="e">
        <f t="shared" ref="DQ266" ca="1" si="4451">MATCH(1,OFFSET(DP263:DP274,DR265,0,COUNT(DP263:DP274)-DR265),0)</f>
        <v>#REF!</v>
      </c>
      <c r="DR266" s="4" t="e">
        <f t="shared" ca="1" si="4417"/>
        <v>#REF!</v>
      </c>
      <c r="DS266" s="692" t="str">
        <f ca="1">IFERROR(VLOOKUP(INDEX(DO263:DO274,DR266),WSM,2,FALSE),"----")</f>
        <v>----</v>
      </c>
      <c r="DT266" s="691" t="e">
        <f t="shared" ca="1" si="4418"/>
        <v>#N/A</v>
      </c>
      <c r="DU266" s="4" t="e">
        <f ca="1">IF(AND(INDEX(STM,DT266,4)&gt;=$AB269,INDEX(STM,DT266,5)&gt;=$S263,INDEX(STM,DT266,6)&gt;=$R263),1,0)</f>
        <v>#N/A</v>
      </c>
      <c r="DV266" s="4" t="e">
        <f t="shared" ref="DV266" ca="1" si="4452">MATCH(1,OFFSET(DU263:DU274,DW265,0,COUNT(DU263:DU274)-DW265),0)</f>
        <v>#REF!</v>
      </c>
      <c r="DW266" s="4" t="e">
        <f t="shared" ca="1" si="4420"/>
        <v>#REF!</v>
      </c>
      <c r="DX266" s="692" t="str">
        <f ca="1">IFERROR(VLOOKUP(INDEX(DT263:DT274,DW266),STM,2,FALSE),"----")</f>
        <v>----</v>
      </c>
      <c r="DY266" s="691" t="e">
        <f t="shared" ca="1" si="4421"/>
        <v>#N/A</v>
      </c>
      <c r="DZ266" s="4" t="e">
        <f ca="1">IF(AND(INDEX(ELM,DY266,4)&gt;=$AB269,INDEX(ELM,DY266,5)&gt;=$S263,INDEX(ELM,DY266,6)&gt;=$R263),1,0)</f>
        <v>#N/A</v>
      </c>
      <c r="EA266" s="4" t="e">
        <f t="shared" ref="EA266" ca="1" si="4453">MATCH(1,OFFSET(DZ263:DZ274,EB265,0,COUNT(DZ263:DZ274)-EB265),0)</f>
        <v>#REF!</v>
      </c>
      <c r="EB266" s="4" t="e">
        <f t="shared" ca="1" si="4423"/>
        <v>#REF!</v>
      </c>
      <c r="EC266" s="692" t="str">
        <f ca="1">IFERROR(VLOOKUP(INDEX(DY263:DY274,EB266),ELM,2,FALSE),"----")</f>
        <v>----</v>
      </c>
      <c r="ED266" s="691" t="e">
        <f t="shared" ca="1" si="4424"/>
        <v>#N/A</v>
      </c>
      <c r="EE266" s="4" t="e">
        <f ca="1">IF(LEFT($J263,7)="Clad Wo",IF(AND(INDEX(SPPWS,ED266,4)&gt;=$AB269,INDEX(SPPWS,ED266,5)&gt;=$S263,INDEX(SPPWS,ED266,6)&gt;=$R263),1,0),IF(AND(INDEX(SPM,ED266,4)&gt;=$AB269,INDEX(SPM,ED266,5)&gt;=$S263,INDEX(SPM,ED266,6)&gt;=$R263),1,0))</f>
        <v>#N/A</v>
      </c>
      <c r="EF266" s="4" t="e">
        <f t="shared" ref="EF266" ca="1" si="4454">MATCH(1,OFFSET(EE263:EE274,EG265,0,COUNT(EE263:EE274)-EG265),0)</f>
        <v>#REF!</v>
      </c>
      <c r="EG266" s="4" t="e">
        <f t="shared" ca="1" si="4426"/>
        <v>#REF!</v>
      </c>
      <c r="EH266" s="692" t="str">
        <f ca="1">IF(LEFT($J263,7)="Clad Wo",IFERROR(VLOOKUP(INDEX(ED263:ED274,EG266),SPPWS,2,FALSE),"----"),IFERROR(VLOOKUP(INDEX(ED263:ED274,EG266),SPM,2,FALSE),"----"))</f>
        <v>----</v>
      </c>
    </row>
    <row r="267" spans="1:138" ht="15" customHeight="1" x14ac:dyDescent="0.25">
      <c r="A267" s="1085"/>
      <c r="B267" s="925"/>
      <c r="C267" s="926"/>
      <c r="D267" s="927"/>
      <c r="E267" s="995"/>
      <c r="F267" s="996"/>
      <c r="G267" s="997"/>
      <c r="H267" s="1062"/>
      <c r="I267" s="990"/>
      <c r="J267" s="910"/>
      <c r="K267" s="911"/>
      <c r="L267" s="1002"/>
      <c r="M267" s="923"/>
      <c r="N267" s="1042"/>
      <c r="O267" s="1018"/>
      <c r="P267" s="987"/>
      <c r="Q267" s="1015"/>
      <c r="R267" s="1012"/>
      <c r="S267" s="1006"/>
      <c r="T267" s="1007"/>
      <c r="U267" s="878"/>
      <c r="V267" s="881"/>
      <c r="W267" s="884"/>
      <c r="X267" s="884"/>
      <c r="Y267" s="887"/>
      <c r="Z267" s="887"/>
      <c r="AA267" s="887"/>
      <c r="AB267" s="1081"/>
      <c r="AC267" s="1078"/>
      <c r="AD267" s="1070" t="s">
        <v>39</v>
      </c>
      <c r="AE267" s="1071"/>
      <c r="AF267" s="1052"/>
      <c r="AG267" s="1053"/>
      <c r="AH267" s="1053"/>
      <c r="AI267" s="1068"/>
      <c r="AJ267" s="1069"/>
      <c r="AK267" s="154" t="str">
        <f t="shared" ca="1" si="3667"/>
        <v/>
      </c>
      <c r="AL267" s="1039"/>
      <c r="AM267" s="344" t="str">
        <f ca="1">IFERROR(Q263/12*ROUND(VLOOKUP(AF267,OFFSET(ELM,0,1),6,FALSE),2),"")</f>
        <v/>
      </c>
      <c r="AN267" t="str">
        <f t="shared" ca="1" si="3717"/>
        <v/>
      </c>
      <c r="AP267" s="122" t="str">
        <f t="shared" ref="AP267" si="4455">_xlfn.CONCAT(AR267,AS268)</f>
        <v/>
      </c>
      <c r="AQ267" s="683" t="str">
        <f t="shared" si="3881"/>
        <v/>
      </c>
      <c r="AR267" s="4" t="str">
        <f t="shared" si="3642"/>
        <v/>
      </c>
      <c r="AS267" s="4"/>
      <c r="AT267" s="697" t="str">
        <f>AL263</f>
        <v/>
      </c>
      <c r="AU267" s="694" t="e">
        <f t="shared" ca="1" si="3907"/>
        <v>#REF!</v>
      </c>
      <c r="AV267" s="698" t="str">
        <f ca="1">IFERROR(VLOOKUP(AU267,INDIRECT(AQ263),2,FALSE),"----")</f>
        <v>----</v>
      </c>
      <c r="AW267" s="694" t="e">
        <f t="shared" ca="1" si="3908"/>
        <v>#REF!</v>
      </c>
      <c r="AX267" s="698" t="str">
        <f ca="1">IFERROR(VLOOKUP(AW267,INDIRECT(AQ264),2,FALSE),"----")</f>
        <v>----</v>
      </c>
      <c r="AY267" s="694" t="e">
        <f t="shared" ref="AY267" ca="1" si="4456">AY266-1</f>
        <v>#REF!</v>
      </c>
      <c r="AZ267" s="698" t="str">
        <f ca="1">IFERROR(VLOOKUP(AY267,INDIRECT(AQ265),2,FALSE),"----")</f>
        <v>----</v>
      </c>
      <c r="BA267" s="694" t="e">
        <f t="shared" ref="BA267" ca="1" si="4457">BA266-1</f>
        <v>#REF!</v>
      </c>
      <c r="BB267" s="698" t="str">
        <f ca="1">IFERROR(VLOOKUP(BA267,INDIRECT(AQ266),2,FALSE),"----")</f>
        <v>----</v>
      </c>
      <c r="BC267" s="694" t="e">
        <f t="shared" ca="1" si="3911"/>
        <v>#REF!</v>
      </c>
      <c r="BD267" s="698" t="str">
        <f ca="1">IFERROR(VLOOKUP(BC267,INDIRECT(AQ267),2,FALSE),"----")</f>
        <v>----</v>
      </c>
      <c r="BE267" s="694" t="e">
        <f t="shared" ca="1" si="3912"/>
        <v>#REF!</v>
      </c>
      <c r="BF267" s="698" t="str">
        <f ca="1">IFERROR(VLOOKUP(BE267,INDIRECT(AQ268),2,FALSE),"----")</f>
        <v>----</v>
      </c>
      <c r="BG267" s="694" t="e">
        <f t="shared" ca="1" si="3913"/>
        <v>#REF!</v>
      </c>
      <c r="BH267" s="686" t="str">
        <f ca="1">IFERROR(VLOOKUP(BG267,INDIRECT(AQ269),2,FALSE),"----")</f>
        <v>----</v>
      </c>
      <c r="BI267" s="694" t="e">
        <f t="shared" ca="1" si="3914"/>
        <v>#REF!</v>
      </c>
      <c r="BJ267" s="686" t="str">
        <f ca="1">IFERROR(VLOOKUP(BI267,INDIRECT(AQ270),2,FALSE),"----")</f>
        <v>----</v>
      </c>
      <c r="BK267" s="694" t="e">
        <f t="shared" ca="1" si="3915"/>
        <v>#REF!</v>
      </c>
      <c r="BL267" s="686" t="str">
        <f ca="1">IFERROR(VLOOKUP(BK267,INDIRECT(AQ271),2,FALSE),"----")</f>
        <v>----</v>
      </c>
      <c r="BM267" s="694" t="e">
        <f t="shared" ca="1" si="3916"/>
        <v>#REF!</v>
      </c>
      <c r="BN267" s="686" t="str">
        <f ca="1">IFERROR(VLOOKUP(BM267,INDIRECT(AQ272),2,FALSE),"----")</f>
        <v>----</v>
      </c>
      <c r="BO267" s="694" t="e">
        <f t="shared" ca="1" si="3917"/>
        <v>#REF!</v>
      </c>
      <c r="BP267" s="686" t="str">
        <f ca="1">IFERROR(VLOOKUP(BO267,INDIRECT(AQ273),2,FALSE),"----")</f>
        <v>----</v>
      </c>
      <c r="BQ267" s="694" t="e">
        <f t="shared" ca="1" si="3918"/>
        <v>#REF!</v>
      </c>
      <c r="BR267" s="686" t="str">
        <f ca="1">IFERROR(VLOOKUP(BQ267,INDIRECT(AQ274),2,FALSE),"----")</f>
        <v>----</v>
      </c>
      <c r="BS267" s="695">
        <f>IF(AI267="",1,IF(COUNTIF(BD263:BD274,AI267)=0,2,1))</f>
        <v>1</v>
      </c>
      <c r="BT267" s="696">
        <f>IF(AF267="",1,IF(BD263=".",2,1))</f>
        <v>1</v>
      </c>
      <c r="BU267" s="706"/>
      <c r="BV267" s="155">
        <f ca="1">IF(COUNTIF(CY263:CY274,AF267)=0,IF(AF267&lt;&gt;"",0,1),1)</f>
        <v>1</v>
      </c>
      <c r="BW267" s="157">
        <f ca="1">IFERROR(MATCH(AF267,CY263:CY274,0),1)</f>
        <v>1</v>
      </c>
      <c r="BX267" s="769"/>
      <c r="BY267" s="769"/>
      <c r="BZ267" s="1110"/>
      <c r="CA267" s="691" t="e">
        <f t="shared" ca="1" si="4391"/>
        <v>#REF!</v>
      </c>
      <c r="CB267" s="4" t="e" cm="1">
        <f t="array" aca="1" ref="CB267" ca="1">IF(AND(INDEX(INDIRECT(BY263),CA267,4)&gt;=$AB263,INDEX(INDIRECT(BY263),CA267,5)&gt;=$S263,INDEX(INDIRECT(BY263),CA267,6)&gt;=$R263),1,0)</f>
        <v>#REF!</v>
      </c>
      <c r="CC267" s="4" t="e">
        <f t="shared" ref="CC267" ca="1" si="4458">MATCH(1,OFFSET(CB263:CB274,CD266,0,COUNT(CB263:CB274)-CD266),0)</f>
        <v>#REF!</v>
      </c>
      <c r="CD267" s="4" t="e">
        <f t="shared" ca="1" si="4393"/>
        <v>#REF!</v>
      </c>
      <c r="CE267" s="692" t="str" cm="1">
        <f t="array" aca="1" ref="CE267" ca="1">IFERROR(VLOOKUP(INDEX(CA263:CA274,CD267),INDIRECT(BY263),2,FALSE),"----")</f>
        <v>----</v>
      </c>
      <c r="CF267" s="691" t="e">
        <f t="shared" ca="1" si="4394"/>
        <v>#N/A</v>
      </c>
      <c r="CG267" s="4" t="e">
        <f ca="1">IF(AND(INDEX(SSM,CF267,4)&gt;=$AB263,INDEX(SSM,CF267,5)&gt;=$S263,INDEX(SSM,CF267,6)&gt;=$R263),1,0)</f>
        <v>#N/A</v>
      </c>
      <c r="CH267" s="4" t="e">
        <f t="shared" ref="CH267" ca="1" si="4459">MATCH(1,OFFSET(CG263:CG274,CI266,0,COUNT(CG263:CG274)-CI266),0)</f>
        <v>#REF!</v>
      </c>
      <c r="CI267" s="4" t="e">
        <f t="shared" ca="1" si="4396"/>
        <v>#REF!</v>
      </c>
      <c r="CJ267" s="692" t="str">
        <f ca="1">IFERROR(IF(AD264="Nested Steel Stud (wood infill)",VLOOKUP(INDEX(CF263:CF274,CI267),SSW,2,FALSE),VLOOKUP(INDEX(CF263:CF274,CI267),SSM,2,FALSE)),"----")</f>
        <v>----</v>
      </c>
      <c r="CK267" s="691" t="e">
        <f t="shared" ca="1" si="4397"/>
        <v>#N/A</v>
      </c>
      <c r="CL267" s="4" t="e">
        <f ca="1">IF(AND(INDEX(WSM,CK267,4)&gt;=$AB263,INDEX(WSM,CK267,5)&gt;=$S263,INDEX(WSM,CK267,6)&gt;=$R263),1,0)</f>
        <v>#N/A</v>
      </c>
      <c r="CM267" s="4" t="e">
        <f t="shared" ref="CM267" ca="1" si="4460">MATCH(1,OFFSET(CL263:CL274,CN266,0,COUNT(CL263:CL274)-CN266),0)</f>
        <v>#REF!</v>
      </c>
      <c r="CN267" s="4" t="e">
        <f t="shared" ca="1" si="4399"/>
        <v>#REF!</v>
      </c>
      <c r="CO267" s="692" t="str">
        <f ca="1">IFERROR(VLOOKUP(INDEX(CK263:CK274,CN267),WSM,2,FALSE),"----")</f>
        <v>----</v>
      </c>
      <c r="CP267" s="691" t="e">
        <f t="shared" ca="1" si="4400"/>
        <v>#N/A</v>
      </c>
      <c r="CQ267" s="4" t="e">
        <f ca="1">IF(AND(INDEX(STM,CP267,4)&gt;=$AB263,INDEX(STM,CP267,5)&gt;=$S263,INDEX(STM,CP267,6)&gt;=$R263),1,0)</f>
        <v>#N/A</v>
      </c>
      <c r="CR267" s="4" t="e">
        <f t="shared" ref="CR267" ca="1" si="4461">MATCH(1,OFFSET(CQ263:CQ274,CS266,0,COUNT(CQ263:CQ274)-CS266),0)</f>
        <v>#REF!</v>
      </c>
      <c r="CS267" s="4" t="e">
        <f t="shared" ca="1" si="4402"/>
        <v>#REF!</v>
      </c>
      <c r="CT267" s="692" t="str">
        <f ca="1">IFERROR(VLOOKUP(INDEX(CP263:CP274,CS267),STM,2,FALSE),"----")</f>
        <v>----</v>
      </c>
      <c r="CU267" s="691" t="e">
        <f t="shared" ca="1" si="4403"/>
        <v>#N/A</v>
      </c>
      <c r="CV267" s="4" t="e">
        <f ca="1">IF(AND(INDEX(ELM,CU267,4)&gt;=$AB263,INDEX(ELM,CU267,5)&gt;=$S263,INDEX(ELM,CU267,6)&gt;=$R263),1,0)</f>
        <v>#N/A</v>
      </c>
      <c r="CW267" s="4" t="e">
        <f t="shared" ref="CW267" ca="1" si="4462">MATCH(1,OFFSET(CV263:CV274,CX266,0,COUNT(CV263:CV274)-CX266),0)</f>
        <v>#REF!</v>
      </c>
      <c r="CX267" s="4" t="e">
        <f t="shared" ca="1" si="4405"/>
        <v>#REF!</v>
      </c>
      <c r="CY267" s="692" t="str">
        <f ca="1">IFERROR(VLOOKUP(INDEX(CU263:CU274,CX267),ELM,2,FALSE),"----")</f>
        <v>----</v>
      </c>
      <c r="CZ267" s="691" t="e">
        <f t="shared" ca="1" si="4406"/>
        <v>#N/A</v>
      </c>
      <c r="DA267" s="4" t="e">
        <f ca="1">IF(LEFT($J263,7)="Clad Wo",IF(AND(INDEX(SPPWS,CZ267,4)&gt;=$AB263,INDEX(SPPWS,CZ267,5)&gt;=$S263,INDEX(SPPWS,CZ267,6)&gt;=$R263),1,0),IF(AND(INDEX(SPM,CZ267,4)&gt;=$AB263,INDEX(SPM,CZ267,5)&gt;=$S263,INDEX(SPM,CZ267,6)&gt;=$R263),1,0))</f>
        <v>#N/A</v>
      </c>
      <c r="DB267" s="4" t="e">
        <f t="shared" ref="DB267" ca="1" si="4463">MATCH(1,OFFSET(DA263:DA274,DC266,0,COUNT(DA263:DA274)-DC266),0)</f>
        <v>#REF!</v>
      </c>
      <c r="DC267" s="4" t="e">
        <f t="shared" ca="1" si="4408"/>
        <v>#REF!</v>
      </c>
      <c r="DD267" s="693" t="str">
        <f ca="1">IF(LEFT($J263,7)="Clad Wo",IFERROR(VLOOKUP(INDEX(CZ263:CZ274,DC267),SPPWS,2,FALSE),"----"),IFERROR(VLOOKUP(INDEX(CZ263:CZ274,DC267),SPM,2,FALSE),"----"))</f>
        <v>----</v>
      </c>
      <c r="DE267" s="691" t="e">
        <f t="shared" ca="1" si="4409"/>
        <v>#REF!</v>
      </c>
      <c r="DF267" s="4" t="e" cm="1">
        <f t="array" aca="1" ref="DF267" ca="1">IF(AND(INDEX(INDIRECT(BY263),DE267,4)&gt;=$AB269,INDEX(INDIRECT(BY263),DE267,5)&gt;=$S263,INDEX(INDIRECT(BY263),DE267,6)&gt;=$R263),1,0)</f>
        <v>#REF!</v>
      </c>
      <c r="DG267" s="4" t="e">
        <f t="shared" ref="DG267" ca="1" si="4464">MATCH(1,OFFSET(DF263:DF274,DH266,0,COUNT(DF263:DF274)-DH266),0)</f>
        <v>#REF!</v>
      </c>
      <c r="DH267" s="4" t="e">
        <f t="shared" ca="1" si="4411"/>
        <v>#REF!</v>
      </c>
      <c r="DI267" s="692" t="str" cm="1">
        <f t="array" aca="1" ref="DI267" ca="1">IFERROR(VLOOKUP(INDEX(DE263:DE274,DH267),INDIRECT(BY263),2,FALSE),"----")</f>
        <v>----</v>
      </c>
      <c r="DJ267" s="691" t="e">
        <f t="shared" ca="1" si="4412"/>
        <v>#N/A</v>
      </c>
      <c r="DK267" s="4" t="e">
        <f ca="1">IF(AND(INDEX(SSM,DJ267,4)&gt;=$AB269,INDEX(SSM,DJ267,5)&gt;=$S263,INDEX(SSM,DJ267,6)&gt;=$R263),1,0)</f>
        <v>#N/A</v>
      </c>
      <c r="DL267" s="4" t="e">
        <f t="shared" ref="DL267" ca="1" si="4465">MATCH(1,OFFSET(DK263:DK274,DM266,0,COUNT(DK263:DK274)-DM266),0)</f>
        <v>#REF!</v>
      </c>
      <c r="DM267" s="4" t="e">
        <f t="shared" ca="1" si="4414"/>
        <v>#REF!</v>
      </c>
      <c r="DN267" s="692" t="str">
        <f ca="1">IFERROR(IF(AD270="Nested Steel Stud (wood infill)",VLOOKUP(INDEX(DJ263:DJ274,DM267),SSW,2,FALSE),VLOOKUP(INDEX(DJ263:DJ274,DM267),SSM,2,FALSE)),"----")</f>
        <v>----</v>
      </c>
      <c r="DO267" s="691" t="e">
        <f t="shared" ca="1" si="4415"/>
        <v>#N/A</v>
      </c>
      <c r="DP267" s="4" t="e">
        <f ca="1">IF(AND(INDEX(WSM,DO267,4)&gt;=$AB269,INDEX(WSM,DO267,5)&gt;=$S263,INDEX(WSM,DO267,6)&gt;=$R263),1,0)</f>
        <v>#N/A</v>
      </c>
      <c r="DQ267" s="4" t="e">
        <f t="shared" ref="DQ267" ca="1" si="4466">MATCH(1,OFFSET(DP263:DP274,DR266,0,COUNT(DP263:DP274)-DR266),0)</f>
        <v>#REF!</v>
      </c>
      <c r="DR267" s="4" t="e">
        <f t="shared" ca="1" si="4417"/>
        <v>#REF!</v>
      </c>
      <c r="DS267" s="692" t="str">
        <f ca="1">IFERROR(VLOOKUP(INDEX(DO263:DO274,DR267),WSM,2,FALSE),"----")</f>
        <v>----</v>
      </c>
      <c r="DT267" s="691" t="e">
        <f t="shared" ca="1" si="4418"/>
        <v>#N/A</v>
      </c>
      <c r="DU267" s="4" t="e">
        <f ca="1">IF(AND(INDEX(STM,DT267,4)&gt;=$AB269,INDEX(STM,DT267,5)&gt;=$S263,INDEX(STM,DT267,6)&gt;=$R263),1,0)</f>
        <v>#N/A</v>
      </c>
      <c r="DV267" s="4" t="e">
        <f t="shared" ref="DV267" ca="1" si="4467">MATCH(1,OFFSET(DU263:DU274,DW266,0,COUNT(DU263:DU274)-DW266),0)</f>
        <v>#REF!</v>
      </c>
      <c r="DW267" s="4" t="e">
        <f t="shared" ca="1" si="4420"/>
        <v>#REF!</v>
      </c>
      <c r="DX267" s="692" t="str">
        <f ca="1">IFERROR(VLOOKUP(INDEX(DT263:DT274,DW267),STM,2,FALSE),"----")</f>
        <v>----</v>
      </c>
      <c r="DY267" s="691" t="e">
        <f t="shared" ca="1" si="4421"/>
        <v>#N/A</v>
      </c>
      <c r="DZ267" s="4" t="e">
        <f ca="1">IF(AND(INDEX(ELM,DY267,4)&gt;=$AB269,INDEX(ELM,DY267,5)&gt;=$S263,INDEX(ELM,DY267,6)&gt;=$R263),1,0)</f>
        <v>#N/A</v>
      </c>
      <c r="EA267" s="4" t="e">
        <f t="shared" ref="EA267" ca="1" si="4468">MATCH(1,OFFSET(DZ263:DZ274,EB266,0,COUNT(DZ263:DZ274)-EB266),0)</f>
        <v>#REF!</v>
      </c>
      <c r="EB267" s="4" t="e">
        <f t="shared" ca="1" si="4423"/>
        <v>#REF!</v>
      </c>
      <c r="EC267" s="692" t="str">
        <f ca="1">IFERROR(VLOOKUP(INDEX(DY263:DY274,EB267),ELM,2,FALSE),"----")</f>
        <v>----</v>
      </c>
      <c r="ED267" s="691" t="e">
        <f t="shared" ca="1" si="4424"/>
        <v>#N/A</v>
      </c>
      <c r="EE267" s="4" t="e">
        <f ca="1">IF(LEFT($J263,7)="Clad Wo",IF(AND(INDEX(SPPWS,ED267,4)&gt;=$AB269,INDEX(SPPWS,ED267,5)&gt;=$S263,INDEX(SPPWS,ED267,6)&gt;=$R263),1,0),IF(AND(INDEX(SPM,ED267,4)&gt;=$AB269,INDEX(SPM,ED267,5)&gt;=$S263,INDEX(SPM,ED267,6)&gt;=$R263),1,0))</f>
        <v>#N/A</v>
      </c>
      <c r="EF267" s="4" t="e">
        <f t="shared" ref="EF267" ca="1" si="4469">MATCH(1,OFFSET(EE263:EE274,EG266,0,COUNT(EE263:EE274)-EG266),0)</f>
        <v>#REF!</v>
      </c>
      <c r="EG267" s="4" t="e">
        <f t="shared" ca="1" si="4426"/>
        <v>#REF!</v>
      </c>
      <c r="EH267" s="692" t="str">
        <f ca="1">IF(LEFT($J263,7)="Clad Wo",IFERROR(VLOOKUP(INDEX(ED263:ED274,EG267),SPPWS,2,FALSE),"----"),IFERROR(VLOOKUP(INDEX(ED263:ED274,EG267),SPM,2,FALSE),"----"))</f>
        <v>----</v>
      </c>
    </row>
    <row r="268" spans="1:138" ht="15" customHeight="1" thickBot="1" x14ac:dyDescent="0.3">
      <c r="A268" s="1085"/>
      <c r="B268" s="934"/>
      <c r="C268" s="935"/>
      <c r="D268" s="936"/>
      <c r="E268" s="995"/>
      <c r="F268" s="996"/>
      <c r="G268" s="997"/>
      <c r="H268" s="1062"/>
      <c r="I268" s="990"/>
      <c r="J268" s="908"/>
      <c r="K268" s="909"/>
      <c r="L268" s="1010"/>
      <c r="M268" s="924"/>
      <c r="N268" s="1044"/>
      <c r="O268" s="1018"/>
      <c r="P268" s="987"/>
      <c r="Q268" s="1015"/>
      <c r="R268" s="1012"/>
      <c r="S268" s="1006"/>
      <c r="T268" s="1007"/>
      <c r="U268" s="878"/>
      <c r="V268" s="881"/>
      <c r="W268" s="889"/>
      <c r="X268" s="884"/>
      <c r="Y268" s="890"/>
      <c r="Z268" s="890"/>
      <c r="AA268" s="887"/>
      <c r="AB268" s="1084"/>
      <c r="AC268" s="1079"/>
      <c r="AD268" s="1072" t="str">
        <f t="shared" ref="AD268" si="4470">IF(LEFT(J263,7)="Clad Wo","Pella Wood Spr / Steel Pte","Steel Plate")</f>
        <v>Steel Plate</v>
      </c>
      <c r="AE268" s="1073"/>
      <c r="AF268" s="1054"/>
      <c r="AG268" s="1055"/>
      <c r="AH268" s="1055"/>
      <c r="AI268" s="1092"/>
      <c r="AJ268" s="1093"/>
      <c r="AK268" s="159" t="str">
        <f t="shared" ca="1" si="3667"/>
        <v/>
      </c>
      <c r="AL268" s="1040"/>
      <c r="AM268" s="345" t="str">
        <f ca="1">IFERROR(Q263/12*ROUND(VLOOKUP(AF268,OFFSET(SPM,0,1),6,FALSE),2),"")</f>
        <v/>
      </c>
      <c r="AN268" t="str">
        <f t="shared" ca="1" si="3717"/>
        <v/>
      </c>
      <c r="AP268" s="699" t="str">
        <f t="shared" ref="AP268" si="4471">_xlfn.CONCAT(AR268,AS268)</f>
        <v/>
      </c>
      <c r="AQ268" s="700" t="str">
        <f t="shared" si="3881"/>
        <v/>
      </c>
      <c r="AR268" s="160" t="str">
        <f t="shared" si="3642"/>
        <v/>
      </c>
      <c r="AS268" s="160" t="str">
        <f>IFERROR(VLOOKUP(J271, WallType,2,FALSE),"")</f>
        <v/>
      </c>
      <c r="AT268" s="701" t="str">
        <f>AL263</f>
        <v/>
      </c>
      <c r="AU268" s="694" t="e">
        <f t="shared" ca="1" si="3907"/>
        <v>#REF!</v>
      </c>
      <c r="AV268" s="698" t="str">
        <f ca="1">IFERROR(VLOOKUP(AU268,INDIRECT(AQ263),2,FALSE),"----")</f>
        <v>----</v>
      </c>
      <c r="AW268" s="702" t="e">
        <f t="shared" ca="1" si="3908"/>
        <v>#REF!</v>
      </c>
      <c r="AX268" s="698" t="str">
        <f ca="1">IFERROR(VLOOKUP(AW268,INDIRECT(AQ264),2,FALSE),"----")</f>
        <v>----</v>
      </c>
      <c r="AY268" s="702" t="e">
        <f t="shared" ref="AY268:AY283" ca="1" si="4472">AY267-1</f>
        <v>#REF!</v>
      </c>
      <c r="AZ268" s="698" t="str">
        <f ca="1">IFERROR(VLOOKUP(AY268,INDIRECT(AQ265),2,FALSE),"----")</f>
        <v>----</v>
      </c>
      <c r="BA268" s="702" t="e">
        <f t="shared" ref="BA268:BA283" ca="1" si="4473">BA267-1</f>
        <v>#REF!</v>
      </c>
      <c r="BB268" s="698" t="str">
        <f ca="1">IFERROR(VLOOKUP(BA268,INDIRECT(AQ266),2,FALSE),"----")</f>
        <v>----</v>
      </c>
      <c r="BC268" s="702" t="e">
        <f t="shared" ca="1" si="3911"/>
        <v>#REF!</v>
      </c>
      <c r="BD268" s="698" t="str">
        <f ca="1">IFERROR(VLOOKUP(BC268,INDIRECT(AQ267),2,FALSE),"----")</f>
        <v>----</v>
      </c>
      <c r="BE268" s="702" t="e">
        <f t="shared" ca="1" si="3912"/>
        <v>#REF!</v>
      </c>
      <c r="BF268" s="698" t="str">
        <f ca="1">IFERROR(VLOOKUP(BE268,INDIRECT(AQ268),2,FALSE),"----")</f>
        <v>----</v>
      </c>
      <c r="BG268" s="702" t="e">
        <f t="shared" ca="1" si="3913"/>
        <v>#REF!</v>
      </c>
      <c r="BH268" s="686" t="str">
        <f ca="1">IFERROR(VLOOKUP(BG268,INDIRECT(AQ269),2,FALSE),"----")</f>
        <v>----</v>
      </c>
      <c r="BI268" s="702" t="e">
        <f t="shared" ca="1" si="3914"/>
        <v>#REF!</v>
      </c>
      <c r="BJ268" s="686" t="str">
        <f ca="1">IFERROR(VLOOKUP(BI268,INDIRECT(AQ270),2,FALSE),"----")</f>
        <v>----</v>
      </c>
      <c r="BK268" s="702" t="e">
        <f t="shared" ca="1" si="3915"/>
        <v>#REF!</v>
      </c>
      <c r="BL268" s="686" t="str">
        <f ca="1">IFERROR(VLOOKUP(BK268,INDIRECT(AQ271),2,FALSE),"----")</f>
        <v>----</v>
      </c>
      <c r="BM268" s="702" t="e">
        <f t="shared" ca="1" si="3916"/>
        <v>#REF!</v>
      </c>
      <c r="BN268" s="686" t="str">
        <f ca="1">IFERROR(VLOOKUP(BM268,INDIRECT(AQ272),2,FALSE),"----")</f>
        <v>----</v>
      </c>
      <c r="BO268" s="702" t="e">
        <f t="shared" ca="1" si="3917"/>
        <v>#REF!</v>
      </c>
      <c r="BP268" s="686" t="str">
        <f ca="1">IFERROR(VLOOKUP(BO268,INDIRECT(AQ273),2,FALSE),"----")</f>
        <v>----</v>
      </c>
      <c r="BQ268" s="702" t="e">
        <f t="shared" ca="1" si="3918"/>
        <v>#REF!</v>
      </c>
      <c r="BR268" s="686" t="str">
        <f ca="1">IFERROR(VLOOKUP(BQ268,INDIRECT(AQ274),2,FALSE),"----")</f>
        <v>----</v>
      </c>
      <c r="BS268" s="703">
        <f>IF(AI268="",1,IF(COUNTIF(BF263:BF274,AI268)=0,2,1))</f>
        <v>1</v>
      </c>
      <c r="BT268" s="704">
        <f>IF(AF268="",1,IF(BF263=".",2,1))</f>
        <v>1</v>
      </c>
      <c r="BV268" s="155">
        <f ca="1">IF(COUNTIF(DD263:DD274,AF268)=0,IF(AF268&lt;&gt;"",0,1),1)</f>
        <v>1</v>
      </c>
      <c r="BW268" s="157">
        <f ca="1">IFERROR(MATCH(AF268,DD263:DD274,0),1)</f>
        <v>1</v>
      </c>
      <c r="BX268" s="875" t="s">
        <v>1594</v>
      </c>
      <c r="BY268" s="876"/>
      <c r="BZ268" s="1110"/>
      <c r="CA268" s="691" t="e">
        <f t="shared" ca="1" si="4391"/>
        <v>#REF!</v>
      </c>
      <c r="CB268" s="4" t="e" cm="1">
        <f t="array" aca="1" ref="CB268" ca="1">IF(AND(INDEX(INDIRECT(BY263),CA268,4)&gt;=$AB263,INDEX(INDIRECT(BY263),CA268,5)&gt;=$S263,INDEX(INDIRECT(BY263),CA268,6)&gt;=$R263),1,0)</f>
        <v>#REF!</v>
      </c>
      <c r="CC268" s="4" t="e">
        <f t="shared" ref="CC268" ca="1" si="4474">MATCH(1,OFFSET(CB263:CB274,CD267,0,COUNT(CB263:CB274)-CD267),0)</f>
        <v>#REF!</v>
      </c>
      <c r="CD268" s="4" t="e">
        <f t="shared" ca="1" si="4393"/>
        <v>#REF!</v>
      </c>
      <c r="CE268" s="692" t="str" cm="1">
        <f t="array" aca="1" ref="CE268" ca="1">IFERROR(VLOOKUP(INDEX(CA263:CA274,CD268),INDIRECT(BY263),2,FALSE),"----")</f>
        <v>----</v>
      </c>
      <c r="CF268" s="691" t="e">
        <f t="shared" ca="1" si="4394"/>
        <v>#N/A</v>
      </c>
      <c r="CG268" s="4" t="e">
        <f ca="1">IF(AND(INDEX(SSM,CF268,4)&gt;=$AB263,INDEX(SSM,CF268,5)&gt;=$S263,INDEX(SSM,CF268,6)&gt;=$R263),1,0)</f>
        <v>#N/A</v>
      </c>
      <c r="CH268" s="4" t="e">
        <f t="shared" ref="CH268" ca="1" si="4475">MATCH(1,OFFSET(CG263:CG274,CI267,0,COUNT(CG263:CG274)-CI267),0)</f>
        <v>#REF!</v>
      </c>
      <c r="CI268" s="4" t="e">
        <f t="shared" ca="1" si="4396"/>
        <v>#REF!</v>
      </c>
      <c r="CJ268" s="692" t="str">
        <f ca="1">IFERROR(IF(AD264="Nested Steel Stud (wood infill)",VLOOKUP(INDEX(CF263:CF274,CI268),SSW,2,FALSE),VLOOKUP(INDEX(CF263:CF274,CI268),SSM,2,FALSE)),"----")</f>
        <v>----</v>
      </c>
      <c r="CK268" s="691" t="e">
        <f t="shared" ca="1" si="4397"/>
        <v>#N/A</v>
      </c>
      <c r="CL268" s="4" t="e">
        <f ca="1">IF(AND(INDEX(WSM,CK268,4)&gt;=$AB263,INDEX(WSM,CK268,5)&gt;=$S263,INDEX(WSM,CK268,6)&gt;=$R263),1,0)</f>
        <v>#N/A</v>
      </c>
      <c r="CM268" s="4" t="e">
        <f t="shared" ref="CM268" ca="1" si="4476">MATCH(1,OFFSET(CL263:CL274,CN267,0,COUNT(CL263:CL274)-CN267),0)</f>
        <v>#REF!</v>
      </c>
      <c r="CN268" s="4" t="e">
        <f t="shared" ca="1" si="4399"/>
        <v>#REF!</v>
      </c>
      <c r="CO268" s="692" t="str">
        <f ca="1">IFERROR(VLOOKUP(INDEX(CK263:CK274,CN268),WSM,2,FALSE),"----")</f>
        <v>----</v>
      </c>
      <c r="CP268" s="691" t="e">
        <f t="shared" ca="1" si="4400"/>
        <v>#N/A</v>
      </c>
      <c r="CQ268" s="4" t="e">
        <f ca="1">IF(AND(INDEX(STM,CP268,4)&gt;=$AB263,INDEX(STM,CP268,5)&gt;=$S263,INDEX(STM,CP268,6)&gt;=$R263),1,0)</f>
        <v>#N/A</v>
      </c>
      <c r="CR268" s="4" t="e">
        <f t="shared" ref="CR268" ca="1" si="4477">MATCH(1,OFFSET(CQ263:CQ274,CS267,0,COUNT(CQ263:CQ274)-CS267),0)</f>
        <v>#REF!</v>
      </c>
      <c r="CS268" s="4" t="e">
        <f t="shared" ca="1" si="4402"/>
        <v>#REF!</v>
      </c>
      <c r="CT268" s="692" t="str">
        <f ca="1">IFERROR(VLOOKUP(INDEX(CP263:CP274,CS268),STM,2,FALSE),"----")</f>
        <v>----</v>
      </c>
      <c r="CU268" s="691" t="e">
        <f t="shared" ca="1" si="4403"/>
        <v>#N/A</v>
      </c>
      <c r="CV268" s="4" t="e">
        <f ca="1">IF(AND(INDEX(ELM,CU268,4)&gt;=$AB263,INDEX(ELM,CU268,5)&gt;=$S263,INDEX(ELM,CU268,6)&gt;=$R263),1,0)</f>
        <v>#N/A</v>
      </c>
      <c r="CW268" s="4" t="e">
        <f t="shared" ref="CW268" ca="1" si="4478">MATCH(1,OFFSET(CV263:CV274,CX267,0,COUNT(CV263:CV274)-CX267),0)</f>
        <v>#REF!</v>
      </c>
      <c r="CX268" s="4" t="e">
        <f t="shared" ca="1" si="4405"/>
        <v>#REF!</v>
      </c>
      <c r="CY268" s="692" t="str">
        <f ca="1">IFERROR(VLOOKUP(INDEX(CU263:CU274,CX268),ELM,2,FALSE),"----")</f>
        <v>----</v>
      </c>
      <c r="CZ268" s="691" t="e">
        <f t="shared" ca="1" si="4406"/>
        <v>#N/A</v>
      </c>
      <c r="DA268" s="4" t="e">
        <f ca="1">IF(LEFT($J263,7)="Clad Wo",IF(AND(INDEX(SPPWS,CZ268,4)&gt;=$AB263,INDEX(SPPWS,CZ268,5)&gt;=$S263,INDEX(SPPWS,CZ268,6)&gt;=$R263),1,0),IF(AND(INDEX(SPM,CZ268,4)&gt;=$AB263,INDEX(SPM,CZ268,5)&gt;=$S263,INDEX(SPM,CZ268,6)&gt;=$R263),1,0))</f>
        <v>#N/A</v>
      </c>
      <c r="DB268" s="4" t="e">
        <f t="shared" ref="DB268" ca="1" si="4479">MATCH(1,OFFSET(DA263:DA274,DC267,0,COUNT(DA263:DA274)-DC267),0)</f>
        <v>#REF!</v>
      </c>
      <c r="DC268" s="4" t="e">
        <f t="shared" ca="1" si="4408"/>
        <v>#REF!</v>
      </c>
      <c r="DD268" s="693" t="str">
        <f ca="1">IF(LEFT($J263,7)="Clad Wo",IFERROR(VLOOKUP(INDEX(CZ263:CZ274,DC268),SPPWS,2,FALSE),"----"),IFERROR(VLOOKUP(INDEX(CZ263:CZ274,DC268),SPM,2,FALSE),"----"))</f>
        <v>----</v>
      </c>
      <c r="DE268" s="691" t="e">
        <f t="shared" ca="1" si="4409"/>
        <v>#REF!</v>
      </c>
      <c r="DF268" s="4" t="e" cm="1">
        <f t="array" aca="1" ref="DF268" ca="1">IF(AND(INDEX(INDIRECT(BY263),DE268,4)&gt;=$AB269,INDEX(INDIRECT(BY263),DE268,5)&gt;=$S263,INDEX(INDIRECT(BY263),DE268,6)&gt;=$R263),1,0)</f>
        <v>#REF!</v>
      </c>
      <c r="DG268" s="4" t="e">
        <f t="shared" ref="DG268" ca="1" si="4480">MATCH(1,OFFSET(DF263:DF274,DH267,0,COUNT(DF263:DF274)-DH267),0)</f>
        <v>#REF!</v>
      </c>
      <c r="DH268" s="4" t="e">
        <f t="shared" ca="1" si="4411"/>
        <v>#REF!</v>
      </c>
      <c r="DI268" s="692" t="str" cm="1">
        <f t="array" aca="1" ref="DI268" ca="1">IFERROR(VLOOKUP(INDEX(DE263:DE274,DH268),INDIRECT(BY263),2,FALSE),"----")</f>
        <v>----</v>
      </c>
      <c r="DJ268" s="691" t="e">
        <f t="shared" ca="1" si="4412"/>
        <v>#N/A</v>
      </c>
      <c r="DK268" s="4" t="e">
        <f ca="1">IF(AND(INDEX(SSM,DJ268,4)&gt;=$AB269,INDEX(SSM,DJ268,5)&gt;=$S263,INDEX(SSM,DJ268,6)&gt;=$R263),1,0)</f>
        <v>#N/A</v>
      </c>
      <c r="DL268" s="4" t="e">
        <f t="shared" ref="DL268" ca="1" si="4481">MATCH(1,OFFSET(DK263:DK274,DM267,0,COUNT(DK263:DK274)-DM267),0)</f>
        <v>#REF!</v>
      </c>
      <c r="DM268" s="4" t="e">
        <f t="shared" ca="1" si="4414"/>
        <v>#REF!</v>
      </c>
      <c r="DN268" s="692" t="str">
        <f ca="1">IFERROR(IF(AD270="Nested Steel Stud (wood infill)",VLOOKUP(INDEX(DJ263:DJ274,DM268),SSW,2,FALSE),VLOOKUP(INDEX(DJ263:DJ274,DM268),SSM,2,FALSE)),"----")</f>
        <v>----</v>
      </c>
      <c r="DO268" s="691" t="e">
        <f t="shared" ca="1" si="4415"/>
        <v>#N/A</v>
      </c>
      <c r="DP268" s="4" t="e">
        <f ca="1">IF(AND(INDEX(WSM,DO268,4)&gt;=$AB269,INDEX(WSM,DO268,5)&gt;=$S263,INDEX(WSM,DO268,6)&gt;=$R263),1,0)</f>
        <v>#N/A</v>
      </c>
      <c r="DQ268" s="4" t="e">
        <f t="shared" ref="DQ268" ca="1" si="4482">MATCH(1,OFFSET(DP263:DP274,DR267,0,COUNT(DP263:DP274)-DR267),0)</f>
        <v>#REF!</v>
      </c>
      <c r="DR268" s="4" t="e">
        <f t="shared" ca="1" si="4417"/>
        <v>#REF!</v>
      </c>
      <c r="DS268" s="692" t="str">
        <f ca="1">IFERROR(VLOOKUP(INDEX(DO263:DO274,DR268),WSM,2,FALSE),"----")</f>
        <v>----</v>
      </c>
      <c r="DT268" s="691" t="e">
        <f t="shared" ca="1" si="4418"/>
        <v>#N/A</v>
      </c>
      <c r="DU268" s="4" t="e">
        <f ca="1">IF(AND(INDEX(STM,DT268,4)&gt;=$AB269,INDEX(STM,DT268,5)&gt;=$S263,INDEX(STM,DT268,6)&gt;=$R263),1,0)</f>
        <v>#N/A</v>
      </c>
      <c r="DV268" s="4" t="e">
        <f t="shared" ref="DV268" ca="1" si="4483">MATCH(1,OFFSET(DU263:DU274,DW267,0,COUNT(DU263:DU274)-DW267),0)</f>
        <v>#REF!</v>
      </c>
      <c r="DW268" s="4" t="e">
        <f t="shared" ca="1" si="4420"/>
        <v>#REF!</v>
      </c>
      <c r="DX268" s="692" t="str">
        <f ca="1">IFERROR(VLOOKUP(INDEX(DT263:DT274,DW268),STM,2,FALSE),"----")</f>
        <v>----</v>
      </c>
      <c r="DY268" s="691" t="e">
        <f t="shared" ca="1" si="4421"/>
        <v>#N/A</v>
      </c>
      <c r="DZ268" s="4" t="e">
        <f ca="1">IF(AND(INDEX(ELM,DY268,4)&gt;=$AB269,INDEX(ELM,DY268,5)&gt;=$S263,INDEX(ELM,DY268,6)&gt;=$R263),1,0)</f>
        <v>#N/A</v>
      </c>
      <c r="EA268" s="4" t="e">
        <f t="shared" ref="EA268" ca="1" si="4484">MATCH(1,OFFSET(DZ263:DZ274,EB267,0,COUNT(DZ263:DZ274)-EB267),0)</f>
        <v>#REF!</v>
      </c>
      <c r="EB268" s="4" t="e">
        <f t="shared" ca="1" si="4423"/>
        <v>#REF!</v>
      </c>
      <c r="EC268" s="692" t="str">
        <f ca="1">IFERROR(VLOOKUP(INDEX(DY263:DY274,EB268),ELM,2,FALSE),"----")</f>
        <v>----</v>
      </c>
      <c r="ED268" s="691" t="e">
        <f t="shared" ca="1" si="4424"/>
        <v>#N/A</v>
      </c>
      <c r="EE268" s="4" t="e">
        <f ca="1">IF(LEFT($J263,7)="Clad Wo",IF(AND(INDEX(SPPWS,ED268,4)&gt;=$AB269,INDEX(SPPWS,ED268,5)&gt;=$S263,INDEX(SPPWS,ED268,6)&gt;=$R263),1,0),IF(AND(INDEX(SPM,ED268,4)&gt;=$AB269,INDEX(SPM,ED268,5)&gt;=$S263,INDEX(SPM,ED268,6)&gt;=$R263),1,0))</f>
        <v>#N/A</v>
      </c>
      <c r="EF268" s="4" t="e">
        <f t="shared" ref="EF268" ca="1" si="4485">MATCH(1,OFFSET(EE263:EE274,EG267,0,COUNT(EE263:EE274)-EG267),0)</f>
        <v>#REF!</v>
      </c>
      <c r="EG268" s="4" t="e">
        <f t="shared" ca="1" si="4426"/>
        <v>#REF!</v>
      </c>
      <c r="EH268" s="692" t="str">
        <f ca="1">IF(LEFT($J263,7)="Clad Wo",IFERROR(VLOOKUP(INDEX(ED263:ED274,EG268),SPPWS,2,FALSE),"----"),IFERROR(VLOOKUP(INDEX(ED263:ED274,EG268),SPM,2,FALSE),"----"))</f>
        <v>----</v>
      </c>
    </row>
    <row r="269" spans="1:138" ht="15" customHeight="1" x14ac:dyDescent="0.25">
      <c r="A269" s="1085"/>
      <c r="B269" s="925" t="s">
        <v>409</v>
      </c>
      <c r="C269" s="926"/>
      <c r="D269" s="927"/>
      <c r="E269" s="995"/>
      <c r="F269" s="996"/>
      <c r="G269" s="997"/>
      <c r="H269" s="1062"/>
      <c r="I269" s="990"/>
      <c r="J269" s="908"/>
      <c r="K269" s="909"/>
      <c r="L269" s="1001">
        <f>L263+1</f>
        <v>5</v>
      </c>
      <c r="M269" s="1064" t="str">
        <f t="shared" ref="M269" si="4486">IFERROR(IF($AE$17="",IF($AG$19="Wind Loading",MIN($V$31,IF(E$11="ASCE 7-05",$U$26,$V$7)*$V$9*(IF($E$12&lt;60,0.156*LN(MAX(MIN(500,O263),10)) -1.7618,IF($E$11="ASCE 7-22", 0.2026*LN(MAX(MIN(500,O263),20))-2.2638,0.2503*LN(MAX(MIN(500,O263),20)) -2.5526))-$V$8)),$V$7*IF(E$12&lt;60,$V$13*($V$15*(0.156*LN(MAX(MIN(500,O263),10)) -1.7618)-$V$16),$V$13*$V$15*((0.2026*LN(MAX(MIN(500,O263),20))-2.2638)-$V$16))),-ABS($AE$17)),"")</f>
        <v/>
      </c>
      <c r="N269" s="1041" t="str">
        <f t="shared" ref="N269" si="4487">IFERROR(IF($AE$19="",IF($AG$19="Wind Loading",MAX($U$31,IF(E$11="ASCE 7-05",$U$26,$V$7)*$V$9*((IF($E$12&lt;60,-0.077*LN(MAX(MIN(500,O263),10))+1.1737,IF($E$11="ASCE 7-22",-0.077*LN(MAX(MIN(500,O263),20))+1.0798,-0.093*LN(MAX(MIN(500,O263),20))+1.1776)))+$V$8)),$V$7*IF(E$12&lt;60,$V$13*($V$15*(-0.077*LN(MAX(MIN(500,O263),10))+1.1737)-$V$17),$V$13*$V$15*((-0.077*LN(MAX(MIN(500,O263),20))+1.0798)-$V$17))),ABS($AE$19)),"")</f>
        <v/>
      </c>
      <c r="O269" s="1018"/>
      <c r="P269" s="987"/>
      <c r="Q269" s="1015"/>
      <c r="R269" s="1012">
        <f>P269*Q269/8</f>
        <v>0</v>
      </c>
      <c r="S269" s="1006"/>
      <c r="T269" s="1007"/>
      <c r="U269" s="878"/>
      <c r="V269" s="881"/>
      <c r="W269" s="883" t="e">
        <f t="shared" ref="W269" si="4488">MAX(-M269,N269)*O263</f>
        <v>#VALUE!</v>
      </c>
      <c r="X269" s="884"/>
      <c r="Y269" s="886">
        <f>IFERROR(IF(AG$14="Trapezoidal",BY272,BX272)+IF($E$17="4",(400*E263^3)/(48*X263),0),0)</f>
        <v>0</v>
      </c>
      <c r="Z269" s="886" t="e">
        <f t="shared" ref="Z269" si="4489">+($V263*MAX(-$M269,$N269)*$E263^2)/(144*8)+IF($E$17=4,(400*$E263)/4,0)</f>
        <v>#VALUE!</v>
      </c>
      <c r="AA269" s="887"/>
      <c r="AB269" s="1080" t="str">
        <f t="shared" ref="AB269" ca="1" si="4490">IFERROR(Z269-AA263,"")</f>
        <v/>
      </c>
      <c r="AC269" s="1086" t="str">
        <f t="shared" ref="AC269" ca="1" si="4491">IFERROR(Y269-U263,"")</f>
        <v/>
      </c>
      <c r="AD269" s="1074" t="str">
        <f t="shared" ref="AD269" si="4492">AD263</f>
        <v/>
      </c>
      <c r="AE269" s="1075"/>
      <c r="AF269" s="1056"/>
      <c r="AG269" s="1057"/>
      <c r="AH269" s="1057"/>
      <c r="AI269" s="1088"/>
      <c r="AJ269" s="1089"/>
      <c r="AK269" s="162" t="str">
        <f t="shared" ca="1" si="3667"/>
        <v/>
      </c>
      <c r="AL269" s="1058" t="str">
        <f t="shared" ref="AL269" si="4493">IFERROR(ROUND(SQRT(P263^2+(W269/2+IF($E$17=4,200,0))^2),0),"")</f>
        <v/>
      </c>
      <c r="AM269" s="342" t="s">
        <v>669</v>
      </c>
      <c r="AN269" t="str">
        <f t="shared" ca="1" si="3717"/>
        <v/>
      </c>
      <c r="AP269" s="122" t="str">
        <f t="shared" ref="AP269" si="4494">_xlfn.CONCAT(AR269,AS274)</f>
        <v/>
      </c>
      <c r="AQ269" s="683" t="str">
        <f t="shared" si="3881"/>
        <v/>
      </c>
      <c r="AR269" s="96" t="str">
        <f t="shared" si="3642"/>
        <v/>
      </c>
      <c r="AS269" s="96" t="str">
        <f>IF(COUNTIF(imp_1,AF269)=1,"imp_1",IF(COUNTIF(imp_2,AF269)=1,"imp_2",IF(COUNTIF(imp_3,AF269)=1,"imp_3",IF(COUNTIF(impdoor,AF269)=1,"impdoor",""))))</f>
        <v/>
      </c>
      <c r="AT269" s="684" t="str">
        <f>AL269</f>
        <v/>
      </c>
      <c r="AU269" s="685" t="e">
        <f t="shared" ca="1" si="3907"/>
        <v>#REF!</v>
      </c>
      <c r="AV269" s="686" t="str">
        <f ca="1">IFERROR(VLOOKUP(AU269,INDIRECT(AQ263),2,FALSE),"----")</f>
        <v>----</v>
      </c>
      <c r="AW269" s="685" t="e">
        <f t="shared" ca="1" si="3908"/>
        <v>#REF!</v>
      </c>
      <c r="AX269" s="686" t="str">
        <f ca="1">IFERROR(VLOOKUP(AW269,INDIRECT(AQ264),2,FALSE),"----")</f>
        <v>----</v>
      </c>
      <c r="AY269" s="685" t="e">
        <f t="shared" ca="1" si="4472"/>
        <v>#REF!</v>
      </c>
      <c r="AZ269" s="686" t="str">
        <f ca="1">IFERROR(VLOOKUP(AY269,INDIRECT(AQ265),2,FALSE),"----")</f>
        <v>----</v>
      </c>
      <c r="BA269" s="685" t="e">
        <f t="shared" ca="1" si="4473"/>
        <v>#REF!</v>
      </c>
      <c r="BB269" s="686" t="str">
        <f ca="1">IFERROR(VLOOKUP(BA269,INDIRECT(AQ266),2,FALSE),"----")</f>
        <v>----</v>
      </c>
      <c r="BC269" s="685" t="e">
        <f t="shared" ca="1" si="3911"/>
        <v>#REF!</v>
      </c>
      <c r="BD269" s="686" t="str">
        <f ca="1">IFERROR(VLOOKUP(BC269,INDIRECT(AQ267),2,FALSE),"----")</f>
        <v>----</v>
      </c>
      <c r="BE269" s="685" t="e">
        <f t="shared" ca="1" si="3912"/>
        <v>#REF!</v>
      </c>
      <c r="BF269" s="686" t="str">
        <f ca="1">IFERROR(VLOOKUP(BE269,INDIRECT(AQ268),2,FALSE),"----")</f>
        <v>----</v>
      </c>
      <c r="BG269" s="702" t="e">
        <f t="shared" ca="1" si="3913"/>
        <v>#REF!</v>
      </c>
      <c r="BH269" s="686" t="str">
        <f ca="1">IFERROR(VLOOKUP(BG269,INDIRECT(AQ269),2,FALSE),"----")</f>
        <v>----</v>
      </c>
      <c r="BI269" s="702" t="e">
        <f t="shared" ca="1" si="3914"/>
        <v>#REF!</v>
      </c>
      <c r="BJ269" s="686" t="str">
        <f ca="1">IFERROR(VLOOKUP(BI269,INDIRECT(AQ270),2,FALSE),"----")</f>
        <v>----</v>
      </c>
      <c r="BK269" s="702" t="e">
        <f t="shared" ca="1" si="3915"/>
        <v>#REF!</v>
      </c>
      <c r="BL269" s="686" t="str">
        <f ca="1">IFERROR(VLOOKUP(BK269,INDIRECT(AQ271),2,FALSE),"----")</f>
        <v>----</v>
      </c>
      <c r="BM269" s="702" t="e">
        <f t="shared" ca="1" si="3916"/>
        <v>#REF!</v>
      </c>
      <c r="BN269" s="686" t="str">
        <f ca="1">IFERROR(VLOOKUP(BM269,INDIRECT(AQ272),2,FALSE),"----")</f>
        <v>----</v>
      </c>
      <c r="BO269" s="702" t="e">
        <f t="shared" ca="1" si="3917"/>
        <v>#REF!</v>
      </c>
      <c r="BP269" s="686" t="str">
        <f ca="1">IFERROR(VLOOKUP(BO269,INDIRECT(AQ273),2,FALSE),"----")</f>
        <v>----</v>
      </c>
      <c r="BQ269" s="702" t="e">
        <f t="shared" ca="1" si="3918"/>
        <v>#REF!</v>
      </c>
      <c r="BR269" s="686" t="str">
        <f ca="1">IFERROR(VLOOKUP(BQ269,INDIRECT(AQ274),2,FALSE),"----")</f>
        <v>----</v>
      </c>
      <c r="BS269" s="695">
        <f>IF(AI269="",1,IF(COUNTIF(BH263:BH274,AI269)=0,2,1))</f>
        <v>1</v>
      </c>
      <c r="BT269" s="696">
        <f>IF(AP269="1",1,IF(AF269="",1,IF(BH263=".",2,1)))</f>
        <v>1</v>
      </c>
      <c r="BU269" s="706"/>
      <c r="BV269" s="155">
        <f ca="1">IF(COUNTIF(DI263:DI274,AF269)=0,IF(AF269&lt;&gt;"",0,1),1)</f>
        <v>1</v>
      </c>
      <c r="BW269" s="157">
        <f ca="1">IFERROR(MATCH(AF269,DI263:DI274,0),1)</f>
        <v>1</v>
      </c>
      <c r="BX269" s="769" t="s">
        <v>1593</v>
      </c>
      <c r="BY269" s="769" t="s">
        <v>1629</v>
      </c>
      <c r="BZ269" s="1110"/>
      <c r="CA269" s="691" t="e">
        <f t="shared" ca="1" si="4391"/>
        <v>#REF!</v>
      </c>
      <c r="CB269" s="4" t="e" cm="1">
        <f t="array" aca="1" ref="CB269" ca="1">IF(AND(INDEX(INDIRECT(BY263),CA269,4)&gt;=$AB263,INDEX(INDIRECT(BY263),CA269,5)&gt;=$S263,INDEX(INDIRECT(BY263),CA269,6)&gt;=$R263),1,0)</f>
        <v>#REF!</v>
      </c>
      <c r="CC269" s="4" t="e">
        <f t="shared" ref="CC269" ca="1" si="4495">MATCH(1,OFFSET(CB263:CB274,CD268,0,COUNT(CB263:CB274)-CD268),0)</f>
        <v>#REF!</v>
      </c>
      <c r="CD269" s="4" t="e">
        <f t="shared" ca="1" si="4393"/>
        <v>#REF!</v>
      </c>
      <c r="CE269" s="692" t="str" cm="1">
        <f t="array" aca="1" ref="CE269" ca="1">IFERROR(VLOOKUP(INDEX(CA263:CA274,CD269),INDIRECT(BY263),2,FALSE),"----")</f>
        <v>----</v>
      </c>
      <c r="CF269" s="691" t="e">
        <f t="shared" ca="1" si="4394"/>
        <v>#N/A</v>
      </c>
      <c r="CG269" s="4" t="e">
        <f ca="1">IF(AND(INDEX(SSM,CF269,4)&gt;=$AB263,INDEX(SSM,CF269,5)&gt;=$S263,INDEX(SSM,CF269,6)&gt;=$R263),1,0)</f>
        <v>#N/A</v>
      </c>
      <c r="CH269" s="4" t="e">
        <f t="shared" ref="CH269" ca="1" si="4496">MATCH(1,OFFSET(CG263:CG274,CI268,0,COUNT(CG263:CG274)-CI268),0)</f>
        <v>#REF!</v>
      </c>
      <c r="CI269" s="4" t="e">
        <f t="shared" ca="1" si="4396"/>
        <v>#REF!</v>
      </c>
      <c r="CJ269" s="692" t="str">
        <f ca="1">IFERROR(IF(AD264="Nested Steel Stud (wood infill)",VLOOKUP(INDEX(CF263:CF274,CI269),SSW,2,FALSE),VLOOKUP(INDEX(CF263:CF274,CI269),SSM,2,FALSE)),"----")</f>
        <v>----</v>
      </c>
      <c r="CK269" s="691" t="e">
        <f t="shared" ca="1" si="4397"/>
        <v>#N/A</v>
      </c>
      <c r="CL269" s="4" t="e">
        <f ca="1">IF(AND(INDEX(WSM,CK269,4)&gt;=$AB263,INDEX(WSM,CK269,5)&gt;=$S263,INDEX(WSM,CK269,6)&gt;=$R263),1,0)</f>
        <v>#N/A</v>
      </c>
      <c r="CM269" s="4" t="e">
        <f t="shared" ref="CM269" ca="1" si="4497">MATCH(1,OFFSET(CL263:CL274,CN268,0,COUNT(CL263:CL274)-CN268),0)</f>
        <v>#REF!</v>
      </c>
      <c r="CN269" s="4" t="e">
        <f t="shared" ca="1" si="4399"/>
        <v>#REF!</v>
      </c>
      <c r="CO269" s="692" t="str">
        <f ca="1">IFERROR(VLOOKUP(INDEX(CK263:CK274,CN269),WSM,2,FALSE),"----")</f>
        <v>----</v>
      </c>
      <c r="CP269" s="691" t="e">
        <f t="shared" ca="1" si="4400"/>
        <v>#N/A</v>
      </c>
      <c r="CQ269" s="4" t="e">
        <f ca="1">IF(AND(INDEX(STM,CP269,4)&gt;=$AB263,INDEX(STM,CP269,5)&gt;=$S263,INDEX(STM,CP269,6)&gt;=$R263),1,0)</f>
        <v>#N/A</v>
      </c>
      <c r="CR269" s="4" t="e">
        <f t="shared" ref="CR269" ca="1" si="4498">MATCH(1,OFFSET(CQ263:CQ274,CS268,0,COUNT(CQ263:CQ274)-CS268),0)</f>
        <v>#REF!</v>
      </c>
      <c r="CS269" s="4" t="e">
        <f t="shared" ca="1" si="4402"/>
        <v>#REF!</v>
      </c>
      <c r="CT269" s="692" t="str">
        <f ca="1">IFERROR(VLOOKUP(INDEX(CP263:CP274,CS269),STM,2,FALSE),"----")</f>
        <v>----</v>
      </c>
      <c r="CU269" s="691" t="e">
        <f t="shared" ca="1" si="4403"/>
        <v>#N/A</v>
      </c>
      <c r="CV269" s="4" t="e">
        <f ca="1">IF(AND(INDEX(ELM,CU269,4)&gt;=$AB263,INDEX(ELM,CU269,5)&gt;=$S263,INDEX(ELM,CU269,6)&gt;=$R263),1,0)</f>
        <v>#N/A</v>
      </c>
      <c r="CW269" s="4" t="e">
        <f t="shared" ref="CW269" ca="1" si="4499">MATCH(1,OFFSET(CV263:CV274,CX268,0,COUNT(CV263:CV274)-CX268),0)</f>
        <v>#REF!</v>
      </c>
      <c r="CX269" s="4" t="e">
        <f t="shared" ca="1" si="4405"/>
        <v>#REF!</v>
      </c>
      <c r="CY269" s="692" t="str">
        <f ca="1">IFERROR(VLOOKUP(INDEX(CU263:CU274,CX269),ELM,2,FALSE),"----")</f>
        <v>----</v>
      </c>
      <c r="CZ269" s="691" t="e">
        <f t="shared" ca="1" si="4406"/>
        <v>#N/A</v>
      </c>
      <c r="DA269" s="4" t="e">
        <f ca="1">IF(LEFT($J263,7)="Clad Wo",IF(AND(INDEX(SPPWS,CZ269,4)&gt;=$AB263,INDEX(SPPWS,CZ269,5)&gt;=$S263,INDEX(SPPWS,CZ269,6)&gt;=$R263),1,0),IF(AND(INDEX(SPM,CZ269,4)&gt;=$AB263,INDEX(SPM,CZ269,5)&gt;=$S263,INDEX(SPM,CZ269,6)&gt;=$R263),1,0))</f>
        <v>#N/A</v>
      </c>
      <c r="DB269" s="4" t="e">
        <f t="shared" ref="DB269" ca="1" si="4500">MATCH(1,OFFSET(DA263:DA274,DC268,0,COUNT(DA263:DA274)-DC268),0)</f>
        <v>#REF!</v>
      </c>
      <c r="DC269" s="4" t="e">
        <f t="shared" ca="1" si="4408"/>
        <v>#REF!</v>
      </c>
      <c r="DD269" s="693" t="str">
        <f ca="1">IF(LEFT($J263,7)="Clad Wo",IFERROR(VLOOKUP(INDEX(CZ263:CZ274,DC269),SPPWS,2,FALSE),"----"),IFERROR(VLOOKUP(INDEX(CZ263:CZ274,DC269),SPM,2,FALSE),"----"))</f>
        <v>----</v>
      </c>
      <c r="DE269" s="691" t="e">
        <f t="shared" ca="1" si="4409"/>
        <v>#REF!</v>
      </c>
      <c r="DF269" s="4" t="e" cm="1">
        <f t="array" aca="1" ref="DF269" ca="1">IF(AND(INDEX(INDIRECT(BY263),DE269,4)&gt;=$AB269,INDEX(INDIRECT(BY263),DE269,5)&gt;=$S263,INDEX(INDIRECT(BY263),DE269,6)&gt;=$R263),1,0)</f>
        <v>#REF!</v>
      </c>
      <c r="DG269" s="4" t="e">
        <f t="shared" ref="DG269" ca="1" si="4501">MATCH(1,OFFSET(DF263:DF274,DH268,0,COUNT(DF263:DF274)-DH268),0)</f>
        <v>#REF!</v>
      </c>
      <c r="DH269" s="4" t="e">
        <f t="shared" ca="1" si="4411"/>
        <v>#REF!</v>
      </c>
      <c r="DI269" s="692" t="str" cm="1">
        <f t="array" aca="1" ref="DI269" ca="1">IFERROR(VLOOKUP(INDEX(DE263:DE274,DH269),INDIRECT(BY263),2,FALSE),"----")</f>
        <v>----</v>
      </c>
      <c r="DJ269" s="691" t="e">
        <f t="shared" ca="1" si="4412"/>
        <v>#N/A</v>
      </c>
      <c r="DK269" s="4" t="e">
        <f ca="1">IF(AND(INDEX(SSM,DJ269,4)&gt;=$AB269,INDEX(SSM,DJ269,5)&gt;=$S263,INDEX(SSM,DJ269,6)&gt;=$R263),1,0)</f>
        <v>#N/A</v>
      </c>
      <c r="DL269" s="4" t="e">
        <f t="shared" ref="DL269" ca="1" si="4502">MATCH(1,OFFSET(DK263:DK274,DM268,0,COUNT(DK263:DK274)-DM268),0)</f>
        <v>#REF!</v>
      </c>
      <c r="DM269" s="4" t="e">
        <f t="shared" ca="1" si="4414"/>
        <v>#REF!</v>
      </c>
      <c r="DN269" s="692" t="str">
        <f ca="1">IFERROR(IF(AD270="Nested Steel Stud (wood infill)",VLOOKUP(INDEX(DJ263:DJ274,DM269),SSW,2,FALSE),VLOOKUP(INDEX(DJ263:DJ274,DM269),SSM,2,FALSE)),"----")</f>
        <v>----</v>
      </c>
      <c r="DO269" s="691" t="e">
        <f t="shared" ca="1" si="4415"/>
        <v>#N/A</v>
      </c>
      <c r="DP269" s="4" t="e">
        <f ca="1">IF(AND(INDEX(WSM,DO269,4)&gt;=$AB269,INDEX(WSM,DO269,5)&gt;=$S263,INDEX(WSM,DO269,6)&gt;=$R263),1,0)</f>
        <v>#N/A</v>
      </c>
      <c r="DQ269" s="4" t="e">
        <f t="shared" ref="DQ269" ca="1" si="4503">MATCH(1,OFFSET(DP263:DP274,DR268,0,COUNT(DP263:DP274)-DR268),0)</f>
        <v>#REF!</v>
      </c>
      <c r="DR269" s="4" t="e">
        <f t="shared" ca="1" si="4417"/>
        <v>#REF!</v>
      </c>
      <c r="DS269" s="692" t="str">
        <f ca="1">IFERROR(VLOOKUP(INDEX(DO263:DO274,DR269),WSM,2,FALSE),"----")</f>
        <v>----</v>
      </c>
      <c r="DT269" s="691" t="e">
        <f t="shared" ca="1" si="4418"/>
        <v>#N/A</v>
      </c>
      <c r="DU269" s="4" t="e">
        <f ca="1">IF(AND(INDEX(STM,DT269,4)&gt;=$AB269,INDEX(STM,DT269,5)&gt;=$S263,INDEX(STM,DT269,6)&gt;=$R263),1,0)</f>
        <v>#N/A</v>
      </c>
      <c r="DV269" s="4" t="e">
        <f t="shared" ref="DV269" ca="1" si="4504">MATCH(1,OFFSET(DU263:DU274,DW268,0,COUNT(DU263:DU274)-DW268),0)</f>
        <v>#REF!</v>
      </c>
      <c r="DW269" s="4" t="e">
        <f t="shared" ca="1" si="4420"/>
        <v>#REF!</v>
      </c>
      <c r="DX269" s="692" t="str">
        <f ca="1">IFERROR(VLOOKUP(INDEX(DT263:DT274,DW269),STM,2,FALSE),"----")</f>
        <v>----</v>
      </c>
      <c r="DY269" s="691" t="e">
        <f t="shared" ca="1" si="4421"/>
        <v>#N/A</v>
      </c>
      <c r="DZ269" s="4" t="e">
        <f ca="1">IF(AND(INDEX(ELM,DY269,4)&gt;=$AB269,INDEX(ELM,DY269,5)&gt;=$S263,INDEX(ELM,DY269,6)&gt;=$R263),1,0)</f>
        <v>#N/A</v>
      </c>
      <c r="EA269" s="4" t="e">
        <f t="shared" ref="EA269" ca="1" si="4505">MATCH(1,OFFSET(DZ263:DZ274,EB268,0,COUNT(DZ263:DZ274)-EB268),0)</f>
        <v>#REF!</v>
      </c>
      <c r="EB269" s="4" t="e">
        <f t="shared" ca="1" si="4423"/>
        <v>#REF!</v>
      </c>
      <c r="EC269" s="692" t="str">
        <f ca="1">IFERROR(VLOOKUP(INDEX(DY263:DY274,EB269),ELM,2,FALSE),"----")</f>
        <v>----</v>
      </c>
      <c r="ED269" s="691" t="e">
        <f t="shared" ca="1" si="4424"/>
        <v>#N/A</v>
      </c>
      <c r="EE269" s="4" t="e">
        <f ca="1">IF(LEFT($J263,7)="Clad Wo",IF(AND(INDEX(SPPWS,ED269,4)&gt;=$AB269,INDEX(SPPWS,ED269,5)&gt;=$S263,INDEX(SPPWS,ED269,6)&gt;=$R263),1,0),IF(AND(INDEX(SPM,ED269,4)&gt;=$AB269,INDEX(SPM,ED269,5)&gt;=$S263,INDEX(SPM,ED269,6)&gt;=$R263),1,0))</f>
        <v>#N/A</v>
      </c>
      <c r="EF269" s="4" t="e">
        <f t="shared" ref="EF269" ca="1" si="4506">MATCH(1,OFFSET(EE263:EE274,EG268,0,COUNT(EE263:EE274)-EG268),0)</f>
        <v>#REF!</v>
      </c>
      <c r="EG269" s="4" t="e">
        <f t="shared" ca="1" si="4426"/>
        <v>#REF!</v>
      </c>
      <c r="EH269" s="692" t="str">
        <f ca="1">IF(LEFT($J263,7)="Clad Wo",IFERROR(VLOOKUP(INDEX(ED263:ED274,EG269),SPPWS,2,FALSE),"----"),IFERROR(VLOOKUP(INDEX(ED263:ED274,EG269),SPM,2,FALSE),"----"))</f>
        <v>----</v>
      </c>
    </row>
    <row r="270" spans="1:138" ht="15" customHeight="1" x14ac:dyDescent="0.25">
      <c r="A270" s="1085"/>
      <c r="B270" s="925"/>
      <c r="C270" s="926"/>
      <c r="D270" s="927"/>
      <c r="E270" s="995"/>
      <c r="F270" s="996"/>
      <c r="G270" s="997"/>
      <c r="H270" s="1062"/>
      <c r="I270" s="990"/>
      <c r="J270" s="912"/>
      <c r="K270" s="913"/>
      <c r="L270" s="1002"/>
      <c r="M270" s="923"/>
      <c r="N270" s="1042"/>
      <c r="O270" s="1018"/>
      <c r="P270" s="987"/>
      <c r="Q270" s="1015"/>
      <c r="R270" s="1012"/>
      <c r="S270" s="1006"/>
      <c r="T270" s="1007"/>
      <c r="U270" s="878"/>
      <c r="V270" s="881"/>
      <c r="W270" s="884"/>
      <c r="X270" s="884"/>
      <c r="Y270" s="887"/>
      <c r="Z270" s="887"/>
      <c r="AA270" s="887"/>
      <c r="AB270" s="1081"/>
      <c r="AC270" s="1078"/>
      <c r="AD270" s="1070" t="str">
        <f t="shared" ref="AD270" si="4507">IF(ISBLANK(AD264)=TRUE,"",AD264)</f>
        <v>Nested Steel Stud</v>
      </c>
      <c r="AE270" s="1071"/>
      <c r="AF270" s="1052"/>
      <c r="AG270" s="1053"/>
      <c r="AH270" s="1053"/>
      <c r="AI270" s="1066"/>
      <c r="AJ270" s="1067"/>
      <c r="AK270" s="156" t="str">
        <f t="shared" ca="1" si="3667"/>
        <v/>
      </c>
      <c r="AL270" s="1059"/>
      <c r="AM270" s="343" t="str">
        <f ca="1">IFERROR(Q263/12*ROUND(VLOOKUP(AF270,OFFSET(SSM,0,1),6,FALSE),2),"")</f>
        <v/>
      </c>
      <c r="AN270" t="str">
        <f t="shared" ca="1" si="3717"/>
        <v/>
      </c>
      <c r="AP270" s="122" t="str">
        <f t="shared" ref="AP270" si="4508">_xlfn.CONCAT(AR270,AS274)</f>
        <v/>
      </c>
      <c r="AQ270" s="683" t="str">
        <f t="shared" si="3881"/>
        <v/>
      </c>
      <c r="AR270" s="96" t="str">
        <f t="shared" si="3642"/>
        <v/>
      </c>
      <c r="AS270" s="96" t="str">
        <f>IF(COUNTIF(Vista_1,AF269)=1,"Vista_1",IF(COUNTIF(Vista_2,AF269)=1,"Vista_2",""))</f>
        <v/>
      </c>
      <c r="AT270" s="684" t="str">
        <f>AL269</f>
        <v/>
      </c>
      <c r="AU270" s="694" t="e">
        <f t="shared" ca="1" si="3907"/>
        <v>#REF!</v>
      </c>
      <c r="AV270" s="686" t="str">
        <f ca="1">IFERROR(VLOOKUP(AU270,INDIRECT(AQ263),2,FALSE),"----")</f>
        <v>----</v>
      </c>
      <c r="AW270" s="694" t="e">
        <f t="shared" ca="1" si="3908"/>
        <v>#REF!</v>
      </c>
      <c r="AX270" s="686" t="str">
        <f ca="1">IFERROR(VLOOKUP(AW270,INDIRECT(AQ264),2,FALSE),"----")</f>
        <v>----</v>
      </c>
      <c r="AY270" s="694" t="e">
        <f t="shared" ca="1" si="4472"/>
        <v>#REF!</v>
      </c>
      <c r="AZ270" s="686" t="str">
        <f ca="1">IFERROR(VLOOKUP(AY270,INDIRECT(AQ265),2,FALSE),"----")</f>
        <v>----</v>
      </c>
      <c r="BA270" s="694" t="e">
        <f t="shared" ca="1" si="4473"/>
        <v>#REF!</v>
      </c>
      <c r="BB270" s="686" t="str">
        <f ca="1">IFERROR(VLOOKUP(BA270,INDIRECT(AQ266),2,FALSE),"----")</f>
        <v>----</v>
      </c>
      <c r="BC270" s="694" t="e">
        <f t="shared" ca="1" si="3911"/>
        <v>#REF!</v>
      </c>
      <c r="BD270" s="686" t="str">
        <f ca="1">IFERROR(VLOOKUP(BC270,INDIRECT(AQ267),2,FALSE),"----")</f>
        <v>----</v>
      </c>
      <c r="BE270" s="694" t="e">
        <f t="shared" ca="1" si="3912"/>
        <v>#REF!</v>
      </c>
      <c r="BF270" s="686" t="str">
        <f ca="1">IFERROR(VLOOKUP(BE270,INDIRECT(AQ268),2,FALSE),"----")</f>
        <v>----</v>
      </c>
      <c r="BG270" s="702" t="e">
        <f t="shared" ca="1" si="3913"/>
        <v>#REF!</v>
      </c>
      <c r="BH270" s="686" t="str">
        <f ca="1">IFERROR(VLOOKUP(BG270,INDIRECT(AQ269),2,FALSE),"----")</f>
        <v>----</v>
      </c>
      <c r="BI270" s="702" t="e">
        <f t="shared" ca="1" si="3914"/>
        <v>#REF!</v>
      </c>
      <c r="BJ270" s="686" t="str">
        <f ca="1">IFERROR(VLOOKUP(BI270,INDIRECT(AQ270),2,FALSE),"----")</f>
        <v>----</v>
      </c>
      <c r="BK270" s="702" t="e">
        <f t="shared" ca="1" si="3915"/>
        <v>#REF!</v>
      </c>
      <c r="BL270" s="686" t="str">
        <f ca="1">IFERROR(VLOOKUP(BK270,INDIRECT(AQ271),2,FALSE),"----")</f>
        <v>----</v>
      </c>
      <c r="BM270" s="702" t="e">
        <f t="shared" ca="1" si="3916"/>
        <v>#REF!</v>
      </c>
      <c r="BN270" s="686" t="str">
        <f ca="1">IFERROR(VLOOKUP(BM270,INDIRECT(AQ272),2,FALSE),"----")</f>
        <v>----</v>
      </c>
      <c r="BO270" s="702" t="e">
        <f t="shared" ca="1" si="3917"/>
        <v>#REF!</v>
      </c>
      <c r="BP270" s="686" t="str">
        <f ca="1">IFERROR(VLOOKUP(BO270,INDIRECT(AQ273),2,FALSE),"----")</f>
        <v>----</v>
      </c>
      <c r="BQ270" s="702" t="e">
        <f t="shared" ca="1" si="3918"/>
        <v>#REF!</v>
      </c>
      <c r="BR270" s="686" t="str">
        <f ca="1">IFERROR(VLOOKUP(BQ270,INDIRECT(AQ274),2,FALSE),"----")</f>
        <v>----</v>
      </c>
      <c r="BS270" s="695">
        <f>IF(AI270="",1,IF(COUNTIF(BJ263:BJ274,AI270)=0,2,1))</f>
        <v>1</v>
      </c>
      <c r="BT270" s="696">
        <f>IF(AF270="",1,IF(BJ263=".",2,1))</f>
        <v>1</v>
      </c>
      <c r="BU270" s="706"/>
      <c r="BV270" s="155">
        <f ca="1">IF(COUNTIF(DN263:DN274,AF270)=0,IF(AF270&lt;&gt;"",0,1),1)</f>
        <v>1</v>
      </c>
      <c r="BW270" s="157">
        <f ca="1">IFERROR(MATCH(AF270,DN263:DN274,0),1)</f>
        <v>1</v>
      </c>
      <c r="BX270" s="769">
        <f t="shared" ref="BX270" si="4509">E263*(H263+I263)/144/2</f>
        <v>0</v>
      </c>
      <c r="BY270" s="769">
        <f>SUM(IF(H263&gt;E263,E263^2/4,(H263*E263/2)-(H263^2/4))/144,IF(I263&gt;E263,E263^2/4,(I263*E263/2)-(I263^2/4))/144)</f>
        <v>0</v>
      </c>
      <c r="BZ270" s="1110"/>
      <c r="CA270" s="691" t="e">
        <f t="shared" ca="1" si="4391"/>
        <v>#REF!</v>
      </c>
      <c r="CB270" s="4" t="e" cm="1">
        <f t="array" aca="1" ref="CB270" ca="1">IF(AND(INDEX(INDIRECT(BY263),CA270,4)&gt;=$AB263,INDEX(INDIRECT(BY263),CA270,5)&gt;=$S263,INDEX(INDIRECT(BY263),CA270,6)&gt;=$R263),1,0)</f>
        <v>#REF!</v>
      </c>
      <c r="CC270" s="4" t="e">
        <f t="shared" ref="CC270" ca="1" si="4510">MATCH(1,OFFSET(CB263:CB274,CD269,0,COUNT(CB263:CB274)-CD269),0)</f>
        <v>#REF!</v>
      </c>
      <c r="CD270" s="4" t="e">
        <f t="shared" ca="1" si="4393"/>
        <v>#REF!</v>
      </c>
      <c r="CE270" s="692" t="str" cm="1">
        <f t="array" aca="1" ref="CE270" ca="1">IFERROR(VLOOKUP(INDEX(CA263:CA274,CD270),INDIRECT(BY263),2,FALSE),"----")</f>
        <v>----</v>
      </c>
      <c r="CF270" s="691" t="e">
        <f t="shared" ca="1" si="4394"/>
        <v>#N/A</v>
      </c>
      <c r="CG270" s="4" t="e">
        <f ca="1">IF(AND(INDEX(SSM,CF270,4)&gt;=$AB263,INDEX(SSM,CF270,5)&gt;=$S263,INDEX(SSM,CF270,6)&gt;=$R263),1,0)</f>
        <v>#N/A</v>
      </c>
      <c r="CH270" s="4" t="e">
        <f t="shared" ref="CH270" ca="1" si="4511">MATCH(1,OFFSET(CG263:CG274,CI269,0,COUNT(CG263:CG274)-CI269),0)</f>
        <v>#REF!</v>
      </c>
      <c r="CI270" s="4" t="e">
        <f t="shared" ca="1" si="4396"/>
        <v>#REF!</v>
      </c>
      <c r="CJ270" s="692" t="str">
        <f ca="1">IFERROR(IF(AD264="Nested Steel Stud (wood infill)",VLOOKUP(INDEX(CF263:CF274,CI270),SSW,2,FALSE),VLOOKUP(INDEX(CF263:CF274,CI270),SSM,2,FALSE)),"----")</f>
        <v>----</v>
      </c>
      <c r="CK270" s="691" t="e">
        <f t="shared" ca="1" si="4397"/>
        <v>#N/A</v>
      </c>
      <c r="CL270" s="4" t="e">
        <f ca="1">IF(AND(INDEX(WSM,CK270,4)&gt;=$AB263,INDEX(WSM,CK270,5)&gt;=$S263,INDEX(WSM,CK270,6)&gt;=$R263),1,0)</f>
        <v>#N/A</v>
      </c>
      <c r="CM270" s="4" t="e">
        <f t="shared" ref="CM270" ca="1" si="4512">MATCH(1,OFFSET(CL263:CL274,CN269,0,COUNT(CL263:CL274)-CN269),0)</f>
        <v>#REF!</v>
      </c>
      <c r="CN270" s="4" t="e">
        <f t="shared" ca="1" si="4399"/>
        <v>#REF!</v>
      </c>
      <c r="CO270" s="692" t="str">
        <f ca="1">IFERROR(VLOOKUP(INDEX(CK263:CK274,CN270),WSM,2,FALSE),"----")</f>
        <v>----</v>
      </c>
      <c r="CP270" s="691" t="e">
        <f t="shared" ca="1" si="4400"/>
        <v>#N/A</v>
      </c>
      <c r="CQ270" s="4" t="e">
        <f ca="1">IF(AND(INDEX(STM,CP270,4)&gt;=$AB263,INDEX(STM,CP270,5)&gt;=$S263,INDEX(STM,CP270,6)&gt;=$R263),1,0)</f>
        <v>#N/A</v>
      </c>
      <c r="CR270" s="4" t="e">
        <f t="shared" ref="CR270" ca="1" si="4513">MATCH(1,OFFSET(CQ263:CQ274,CS269,0,COUNT(CQ263:CQ274)-CS269),0)</f>
        <v>#REF!</v>
      </c>
      <c r="CS270" s="4" t="e">
        <f t="shared" ca="1" si="4402"/>
        <v>#REF!</v>
      </c>
      <c r="CT270" s="692" t="str">
        <f ca="1">IFERROR(VLOOKUP(INDEX(CP263:CP274,CS270),STM,2,FALSE),"----")</f>
        <v>----</v>
      </c>
      <c r="CU270" s="691" t="e">
        <f t="shared" ca="1" si="4403"/>
        <v>#N/A</v>
      </c>
      <c r="CV270" s="4" t="e">
        <f ca="1">IF(AND(INDEX(ELM,CU270,4)&gt;=$AB263,INDEX(ELM,CU270,5)&gt;=$S263,INDEX(ELM,CU270,6)&gt;=$R263),1,0)</f>
        <v>#N/A</v>
      </c>
      <c r="CW270" s="4" t="e">
        <f t="shared" ref="CW270" ca="1" si="4514">MATCH(1,OFFSET(CV263:CV274,CX269,0,COUNT(CV263:CV274)-CX269),0)</f>
        <v>#REF!</v>
      </c>
      <c r="CX270" s="4" t="e">
        <f t="shared" ca="1" si="4405"/>
        <v>#REF!</v>
      </c>
      <c r="CY270" s="692" t="str">
        <f ca="1">IFERROR(VLOOKUP(INDEX(CU263:CU274,CX270),ELM,2,FALSE),"----")</f>
        <v>----</v>
      </c>
      <c r="CZ270" s="691" t="e">
        <f t="shared" ca="1" si="4406"/>
        <v>#N/A</v>
      </c>
      <c r="DA270" s="4" t="e">
        <f ca="1">IF(LEFT($J263,7)="Clad Wo",IF(AND(INDEX(SPPWS,CZ270,4)&gt;=$AB263,INDEX(SPPWS,CZ270,5)&gt;=$S263,INDEX(SPPWS,CZ270,6)&gt;=$R263),1,0),IF(AND(INDEX(SPM,CZ270,4)&gt;=$AB263,INDEX(SPM,CZ270,5)&gt;=$S263,INDEX(SPM,CZ270,6)&gt;=$R263),1,0))</f>
        <v>#N/A</v>
      </c>
      <c r="DB270" s="4" t="e">
        <f t="shared" ref="DB270" ca="1" si="4515">MATCH(1,OFFSET(DA263:DA274,DC269,0,COUNT(DA263:DA274)-DC269),0)</f>
        <v>#REF!</v>
      </c>
      <c r="DC270" s="4" t="e">
        <f t="shared" ca="1" si="4408"/>
        <v>#REF!</v>
      </c>
      <c r="DD270" s="693" t="str">
        <f ca="1">IF(LEFT($J263,7)="Clad Wo",IFERROR(VLOOKUP(INDEX(CZ263:CZ274,DC270),SPPWS,2,FALSE),"----"),IFERROR(VLOOKUP(INDEX(CZ263:CZ274,DC270),SPM,2,FALSE),"----"))</f>
        <v>----</v>
      </c>
      <c r="DE270" s="691" t="e">
        <f t="shared" ca="1" si="4409"/>
        <v>#REF!</v>
      </c>
      <c r="DF270" s="4" t="e" cm="1">
        <f t="array" aca="1" ref="DF270" ca="1">IF(AND(INDEX(INDIRECT(BY263),DE270,4)&gt;=$AB269,INDEX(INDIRECT(BY263),DE270,5)&gt;=$S263,INDEX(INDIRECT(BY263),DE270,6)&gt;=$R263),1,0)</f>
        <v>#REF!</v>
      </c>
      <c r="DG270" s="4" t="e">
        <f t="shared" ref="DG270" ca="1" si="4516">MATCH(1,OFFSET(DF263:DF274,DH269,0,COUNT(DF263:DF274)-DH269),0)</f>
        <v>#REF!</v>
      </c>
      <c r="DH270" s="4" t="e">
        <f t="shared" ca="1" si="4411"/>
        <v>#REF!</v>
      </c>
      <c r="DI270" s="692" t="str" cm="1">
        <f t="array" aca="1" ref="DI270" ca="1">IFERROR(VLOOKUP(INDEX(DE263:DE274,DH270),INDIRECT(BY263),2,FALSE),"----")</f>
        <v>----</v>
      </c>
      <c r="DJ270" s="691" t="e">
        <f t="shared" ca="1" si="4412"/>
        <v>#N/A</v>
      </c>
      <c r="DK270" s="4" t="e">
        <f ca="1">IF(AND(INDEX(SSM,DJ270,4)&gt;=$AB269,INDEX(SSM,DJ270,5)&gt;=$S263,INDEX(SSM,DJ270,6)&gt;=$R263),1,0)</f>
        <v>#N/A</v>
      </c>
      <c r="DL270" s="4" t="e">
        <f t="shared" ref="DL270" ca="1" si="4517">MATCH(1,OFFSET(DK263:DK274,DM269,0,COUNT(DK263:DK274)-DM269),0)</f>
        <v>#REF!</v>
      </c>
      <c r="DM270" s="4" t="e">
        <f t="shared" ca="1" si="4414"/>
        <v>#REF!</v>
      </c>
      <c r="DN270" s="692" t="str">
        <f ca="1">IFERROR(IF(AD270="Nested Steel Stud (wood infill)",VLOOKUP(INDEX(DJ263:DJ274,DM270),SSW,2,FALSE),VLOOKUP(INDEX(DJ263:DJ274,DM270),SSM,2,FALSE)),"----")</f>
        <v>----</v>
      </c>
      <c r="DO270" s="691" t="e">
        <f t="shared" ca="1" si="4415"/>
        <v>#N/A</v>
      </c>
      <c r="DP270" s="4" t="e">
        <f ca="1">IF(AND(INDEX(WSM,DO270,4)&gt;=$AB269,INDEX(WSM,DO270,5)&gt;=$S263,INDEX(WSM,DO270,6)&gt;=$R263),1,0)</f>
        <v>#N/A</v>
      </c>
      <c r="DQ270" s="4" t="e">
        <f t="shared" ref="DQ270" ca="1" si="4518">MATCH(1,OFFSET(DP263:DP274,DR269,0,COUNT(DP263:DP274)-DR269),0)</f>
        <v>#REF!</v>
      </c>
      <c r="DR270" s="4" t="e">
        <f t="shared" ca="1" si="4417"/>
        <v>#REF!</v>
      </c>
      <c r="DS270" s="692" t="str">
        <f ca="1">IFERROR(VLOOKUP(INDEX(DO263:DO274,DR270),WSM,2,FALSE),"----")</f>
        <v>----</v>
      </c>
      <c r="DT270" s="691" t="e">
        <f t="shared" ca="1" si="4418"/>
        <v>#N/A</v>
      </c>
      <c r="DU270" s="4" t="e">
        <f ca="1">IF(AND(INDEX(STM,DT270,4)&gt;=$AB269,INDEX(STM,DT270,5)&gt;=$S263,INDEX(STM,DT270,6)&gt;=$R263),1,0)</f>
        <v>#N/A</v>
      </c>
      <c r="DV270" s="4" t="e">
        <f t="shared" ref="DV270" ca="1" si="4519">MATCH(1,OFFSET(DU263:DU274,DW269,0,COUNT(DU263:DU274)-DW269),0)</f>
        <v>#REF!</v>
      </c>
      <c r="DW270" s="4" t="e">
        <f t="shared" ca="1" si="4420"/>
        <v>#REF!</v>
      </c>
      <c r="DX270" s="692" t="str">
        <f ca="1">IFERROR(VLOOKUP(INDEX(DT263:DT274,DW270),STM,2,FALSE),"----")</f>
        <v>----</v>
      </c>
      <c r="DY270" s="691" t="e">
        <f t="shared" ca="1" si="4421"/>
        <v>#N/A</v>
      </c>
      <c r="DZ270" s="4" t="e">
        <f ca="1">IF(AND(INDEX(ELM,DY270,4)&gt;=$AB269,INDEX(ELM,DY270,5)&gt;=$S263,INDEX(ELM,DY270,6)&gt;=$R263),1,0)</f>
        <v>#N/A</v>
      </c>
      <c r="EA270" s="4" t="e">
        <f t="shared" ref="EA270" ca="1" si="4520">MATCH(1,OFFSET(DZ263:DZ274,EB269,0,COUNT(DZ263:DZ274)-EB269),0)</f>
        <v>#REF!</v>
      </c>
      <c r="EB270" s="4" t="e">
        <f t="shared" ca="1" si="4423"/>
        <v>#REF!</v>
      </c>
      <c r="EC270" s="692" t="str">
        <f ca="1">IFERROR(VLOOKUP(INDEX(DY263:DY274,EB270),ELM,2,FALSE),"----")</f>
        <v>----</v>
      </c>
      <c r="ED270" s="691" t="e">
        <f t="shared" ca="1" si="4424"/>
        <v>#N/A</v>
      </c>
      <c r="EE270" s="4" t="e">
        <f ca="1">IF(LEFT($J263,7)="Clad Wo",IF(AND(INDEX(SPPWS,ED270,4)&gt;=$AB269,INDEX(SPPWS,ED270,5)&gt;=$S263,INDEX(SPPWS,ED270,6)&gt;=$R263),1,0),IF(AND(INDEX(SPM,ED270,4)&gt;=$AB269,INDEX(SPM,ED270,5)&gt;=$S263,INDEX(SPM,ED270,6)&gt;=$R263),1,0))</f>
        <v>#N/A</v>
      </c>
      <c r="EF270" s="4" t="e">
        <f t="shared" ref="EF270" ca="1" si="4521">MATCH(1,OFFSET(EE263:EE274,EG269,0,COUNT(EE263:EE274)-EG269),0)</f>
        <v>#REF!</v>
      </c>
      <c r="EG270" s="4" t="e">
        <f t="shared" ca="1" si="4426"/>
        <v>#REF!</v>
      </c>
      <c r="EH270" s="692" t="str">
        <f ca="1">IF(LEFT($J263,7)="Clad Wo",IFERROR(VLOOKUP(INDEX(ED263:ED274,EG270),SPPWS,2,FALSE),"----"),IFERROR(VLOOKUP(INDEX(ED263:ED274,EG270),SPM,2,FALSE),"----"))</f>
        <v>----</v>
      </c>
    </row>
    <row r="271" spans="1:138" ht="15" customHeight="1" x14ac:dyDescent="0.25">
      <c r="A271" s="1085"/>
      <c r="B271" s="925"/>
      <c r="C271" s="926"/>
      <c r="D271" s="927"/>
      <c r="E271" s="995"/>
      <c r="F271" s="996"/>
      <c r="G271" s="997"/>
      <c r="H271" s="1062"/>
      <c r="I271" s="990"/>
      <c r="J271" s="902"/>
      <c r="K271" s="903"/>
      <c r="L271" s="1002"/>
      <c r="M271" s="923"/>
      <c r="N271" s="1042"/>
      <c r="O271" s="1018"/>
      <c r="P271" s="987"/>
      <c r="Q271" s="1015"/>
      <c r="R271" s="1012"/>
      <c r="S271" s="1006"/>
      <c r="T271" s="1007"/>
      <c r="U271" s="878"/>
      <c r="V271" s="881"/>
      <c r="W271" s="884"/>
      <c r="X271" s="884"/>
      <c r="Y271" s="887"/>
      <c r="Z271" s="887"/>
      <c r="AA271" s="887"/>
      <c r="AB271" s="1081"/>
      <c r="AC271" s="1078"/>
      <c r="AD271" s="1070" t="str">
        <f t="shared" ref="AD271:AD333" si="4522">AD265</f>
        <v>Wood Stud Framing</v>
      </c>
      <c r="AE271" s="1071"/>
      <c r="AF271" s="1052"/>
      <c r="AG271" s="1053"/>
      <c r="AH271" s="1053"/>
      <c r="AI271" s="1066"/>
      <c r="AJ271" s="1067"/>
      <c r="AK271" s="156" t="str">
        <f t="shared" ca="1" si="3667"/>
        <v/>
      </c>
      <c r="AL271" s="1059"/>
      <c r="AM271" s="344" t="str">
        <f ca="1">IFERROR(Q263/12*ROUND(VLOOKUP(AF271,OFFSET(WSM,0,1),6,FALSE),2),"")</f>
        <v/>
      </c>
      <c r="AN271" t="str">
        <f t="shared" ca="1" si="3717"/>
        <v/>
      </c>
      <c r="AP271" s="122" t="str">
        <f t="shared" ref="AP271" si="4523">_xlfn.CONCAT(AR271,AS274)</f>
        <v/>
      </c>
      <c r="AQ271" s="683" t="str">
        <f t="shared" si="3881"/>
        <v/>
      </c>
      <c r="AR271" s="4" t="str">
        <f t="shared" si="3642"/>
        <v/>
      </c>
      <c r="AS271" s="4"/>
      <c r="AT271" s="697" t="str">
        <f>AL269</f>
        <v/>
      </c>
      <c r="AU271" s="694" t="e">
        <f t="shared" ca="1" si="3907"/>
        <v>#REF!</v>
      </c>
      <c r="AV271" s="686" t="str">
        <f ca="1">IFERROR(VLOOKUP(AU271,INDIRECT(AQ263),2,FALSE),"----")</f>
        <v>----</v>
      </c>
      <c r="AW271" s="694" t="e">
        <f t="shared" ca="1" si="3908"/>
        <v>#REF!</v>
      </c>
      <c r="AX271" s="686" t="str">
        <f ca="1">IFERROR(VLOOKUP(AW271,INDIRECT(AQ264),2,FALSE),"----")</f>
        <v>----</v>
      </c>
      <c r="AY271" s="694" t="e">
        <f t="shared" ca="1" si="4472"/>
        <v>#REF!</v>
      </c>
      <c r="AZ271" s="686" t="str">
        <f ca="1">IFERROR(VLOOKUP(AY271,INDIRECT(AQ265),2,FALSE),"----")</f>
        <v>----</v>
      </c>
      <c r="BA271" s="694" t="e">
        <f t="shared" ca="1" si="4473"/>
        <v>#REF!</v>
      </c>
      <c r="BB271" s="686" t="str">
        <f ca="1">IFERROR(VLOOKUP(BA271,INDIRECT(AQ266),2,FALSE),"----")</f>
        <v>----</v>
      </c>
      <c r="BC271" s="694" t="e">
        <f t="shared" ca="1" si="3911"/>
        <v>#REF!</v>
      </c>
      <c r="BD271" s="686" t="str">
        <f ca="1">IFERROR(VLOOKUP(BC271,INDIRECT(AQ267),2,FALSE),"----")</f>
        <v>----</v>
      </c>
      <c r="BE271" s="694" t="e">
        <f t="shared" ca="1" si="3912"/>
        <v>#REF!</v>
      </c>
      <c r="BF271" s="686" t="str">
        <f ca="1">IFERROR(VLOOKUP(BE271,INDIRECT(AQ268),2,FALSE),"----")</f>
        <v>----</v>
      </c>
      <c r="BG271" s="702" t="e">
        <f t="shared" ca="1" si="3913"/>
        <v>#REF!</v>
      </c>
      <c r="BH271" s="686" t="str">
        <f ca="1">IFERROR(VLOOKUP(BG271,INDIRECT(AQ269),2,FALSE),"----")</f>
        <v>----</v>
      </c>
      <c r="BI271" s="702" t="e">
        <f t="shared" ca="1" si="3914"/>
        <v>#REF!</v>
      </c>
      <c r="BJ271" s="686" t="str">
        <f ca="1">IFERROR(VLOOKUP(BI271,INDIRECT(AQ270),2,FALSE),"----")</f>
        <v>----</v>
      </c>
      <c r="BK271" s="702" t="e">
        <f t="shared" ca="1" si="3915"/>
        <v>#REF!</v>
      </c>
      <c r="BL271" s="686" t="str">
        <f ca="1">IFERROR(VLOOKUP(BK271,INDIRECT(AQ271),2,FALSE),"----")</f>
        <v>----</v>
      </c>
      <c r="BM271" s="702" t="e">
        <f t="shared" ca="1" si="3916"/>
        <v>#REF!</v>
      </c>
      <c r="BN271" s="686" t="str">
        <f ca="1">IFERROR(VLOOKUP(BM271,INDIRECT(AQ272),2,FALSE),"----")</f>
        <v>----</v>
      </c>
      <c r="BO271" s="702" t="e">
        <f t="shared" ca="1" si="3917"/>
        <v>#REF!</v>
      </c>
      <c r="BP271" s="686" t="str">
        <f ca="1">IFERROR(VLOOKUP(BO271,INDIRECT(AQ273),2,FALSE),"----")</f>
        <v>----</v>
      </c>
      <c r="BQ271" s="702" t="e">
        <f t="shared" ca="1" si="3918"/>
        <v>#REF!</v>
      </c>
      <c r="BR271" s="686" t="str">
        <f ca="1">IFERROR(VLOOKUP(BQ271,INDIRECT(AQ274),2,FALSE),"----")</f>
        <v>----</v>
      </c>
      <c r="BS271" s="695">
        <f>IF(AI271="",1,IF(COUNTIF(BL263:BL274,AI271)=0,2,1))</f>
        <v>1</v>
      </c>
      <c r="BT271" s="696">
        <f>IF(AF271="",1,IF(BL263=".",2,1))</f>
        <v>1</v>
      </c>
      <c r="BU271" s="706"/>
      <c r="BV271" s="155">
        <f ca="1">IF(COUNTIF(DS263:DS274,AF271)=0,IF(AF271&lt;&gt;"",0,1),1)</f>
        <v>1</v>
      </c>
      <c r="BW271" s="157">
        <f ca="1">IFERROR(MATCH(AF271,DS263:DS274,0),1)</f>
        <v>1</v>
      </c>
      <c r="BX271" s="769" t="e">
        <f t="shared" ref="BX271" si="4524">5*E263^3*W263/(384*X263)</f>
        <v>#VALUE!</v>
      </c>
      <c r="BY271" s="769" t="e">
        <f t="shared" ref="BY271" si="4525">W263*E263^3/(60*X263)</f>
        <v>#VALUE!</v>
      </c>
      <c r="BZ271" s="1110"/>
      <c r="CA271" s="691" t="e">
        <f t="shared" ca="1" si="4391"/>
        <v>#REF!</v>
      </c>
      <c r="CB271" s="4" t="e" cm="1">
        <f t="array" aca="1" ref="CB271" ca="1">IF(AND(INDEX(INDIRECT(BY263),CA271,4)&gt;=$AB263,INDEX(INDIRECT(BY263),CA271,5)&gt;=$S263,INDEX(INDIRECT(BY263),CA271,6)&gt;=$R263),1,0)</f>
        <v>#REF!</v>
      </c>
      <c r="CC271" s="4" t="e">
        <f t="shared" ref="CC271" ca="1" si="4526">MATCH(1,OFFSET(CB263:CB274,CD270,0,COUNT(CB263:CB274)-CD270),0)</f>
        <v>#REF!</v>
      </c>
      <c r="CD271" s="4" t="e">
        <f t="shared" ca="1" si="4393"/>
        <v>#REF!</v>
      </c>
      <c r="CE271" s="692" t="str" cm="1">
        <f t="array" aca="1" ref="CE271" ca="1">IFERROR(VLOOKUP(INDEX(CA263:CA274,CD271),INDIRECT(BY263),2,FALSE),"----")</f>
        <v>----</v>
      </c>
      <c r="CF271" s="691" t="e">
        <f t="shared" ca="1" si="4394"/>
        <v>#N/A</v>
      </c>
      <c r="CG271" s="4" t="e">
        <f ca="1">IF(AND(INDEX(SSM,CF271,4)&gt;=$AB263,INDEX(SSM,CF271,5)&gt;=$S263,INDEX(SSM,CF271,6)&gt;=$R263),1,0)</f>
        <v>#N/A</v>
      </c>
      <c r="CH271" s="4" t="e">
        <f t="shared" ref="CH271" ca="1" si="4527">MATCH(1,OFFSET(CG263:CG274,CI270,0,COUNT(CG263:CG274)-CI270),0)</f>
        <v>#REF!</v>
      </c>
      <c r="CI271" s="4" t="e">
        <f t="shared" ca="1" si="4396"/>
        <v>#REF!</v>
      </c>
      <c r="CJ271" s="692" t="str">
        <f ca="1">IFERROR(IF(AD264="Nested Steel Stud (wood infill)",VLOOKUP(INDEX(CF263:CF274,CI271),SSW,2,FALSE),VLOOKUP(INDEX(CF263:CF274,CI271),SSM,2,FALSE)),"----")</f>
        <v>----</v>
      </c>
      <c r="CK271" s="691" t="e">
        <f t="shared" ca="1" si="4397"/>
        <v>#N/A</v>
      </c>
      <c r="CL271" s="4" t="e">
        <f ca="1">IF(AND(INDEX(WSM,CK271,4)&gt;=$AB263,INDEX(WSM,CK271,5)&gt;=$S263,INDEX(WSM,CK271,6)&gt;=$R263),1,0)</f>
        <v>#N/A</v>
      </c>
      <c r="CM271" s="4" t="e">
        <f t="shared" ref="CM271" ca="1" si="4528">MATCH(1,OFFSET(CL263:CL274,CN270,0,COUNT(CL263:CL274)-CN270),0)</f>
        <v>#REF!</v>
      </c>
      <c r="CN271" s="4" t="e">
        <f t="shared" ca="1" si="4399"/>
        <v>#REF!</v>
      </c>
      <c r="CO271" s="692" t="str">
        <f ca="1">IFERROR(VLOOKUP(INDEX(CK263:CK274,CN271),WSM,2,FALSE),"----")</f>
        <v>----</v>
      </c>
      <c r="CP271" s="691" t="e">
        <f t="shared" ca="1" si="4400"/>
        <v>#N/A</v>
      </c>
      <c r="CQ271" s="4" t="e">
        <f ca="1">IF(AND(INDEX(STM,CP271,4)&gt;=$AB263,INDEX(STM,CP271,5)&gt;=$S263,INDEX(STM,CP271,6)&gt;=$R263),1,0)</f>
        <v>#N/A</v>
      </c>
      <c r="CR271" s="4" t="e">
        <f t="shared" ref="CR271" ca="1" si="4529">MATCH(1,OFFSET(CQ263:CQ274,CS270,0,COUNT(CQ263:CQ274)-CS270),0)</f>
        <v>#REF!</v>
      </c>
      <c r="CS271" s="4" t="e">
        <f t="shared" ca="1" si="4402"/>
        <v>#REF!</v>
      </c>
      <c r="CT271" s="692" t="str">
        <f ca="1">IFERROR(VLOOKUP(INDEX(CP263:CP274,CS271),STM,2,FALSE),"----")</f>
        <v>----</v>
      </c>
      <c r="CU271" s="691" t="e">
        <f t="shared" ca="1" si="4403"/>
        <v>#N/A</v>
      </c>
      <c r="CV271" s="4" t="e">
        <f ca="1">IF(AND(INDEX(ELM,CU271,4)&gt;=$AB263,INDEX(ELM,CU271,5)&gt;=$S263,INDEX(ELM,CU271,6)&gt;=$R263),1,0)</f>
        <v>#N/A</v>
      </c>
      <c r="CW271" s="4" t="e">
        <f t="shared" ref="CW271" ca="1" si="4530">MATCH(1,OFFSET(CV263:CV274,CX270,0,COUNT(CV263:CV274)-CX270),0)</f>
        <v>#REF!</v>
      </c>
      <c r="CX271" s="4" t="e">
        <f t="shared" ca="1" si="4405"/>
        <v>#REF!</v>
      </c>
      <c r="CY271" s="692" t="str">
        <f ca="1">IFERROR(VLOOKUP(INDEX(CU263:CU274,CX271),ELM,2,FALSE),"----")</f>
        <v>----</v>
      </c>
      <c r="CZ271" s="691" t="e">
        <f t="shared" ca="1" si="4406"/>
        <v>#N/A</v>
      </c>
      <c r="DA271" s="4" t="e">
        <f ca="1">IF(LEFT($J263,7)="Clad Wo",IF(AND(INDEX(SPPWS,CZ271,4)&gt;=$AB263,INDEX(SPPWS,CZ271,5)&gt;=$S263,INDEX(SPPWS,CZ271,6)&gt;=$R263),1,0),IF(AND(INDEX(SPM,CZ271,4)&gt;=$AB263,INDEX(SPM,CZ271,5)&gt;=$S263,INDEX(SPM,CZ271,6)&gt;=$R263),1,0))</f>
        <v>#N/A</v>
      </c>
      <c r="DB271" s="4" t="e">
        <f t="shared" ref="DB271" ca="1" si="4531">MATCH(1,OFFSET(DA263:DA274,DC270,0,COUNT(DA263:DA274)-DC270),0)</f>
        <v>#REF!</v>
      </c>
      <c r="DC271" s="4" t="e">
        <f t="shared" ca="1" si="4408"/>
        <v>#REF!</v>
      </c>
      <c r="DD271" s="693" t="str">
        <f ca="1">IF(LEFT($J263,7)="Clad Wo",IFERROR(VLOOKUP(INDEX(CZ263:CZ274,DC271),SPPWS,2,FALSE),"----"),IFERROR(VLOOKUP(INDEX(CZ263:CZ274,DC271),SPM,2,FALSE),"----"))</f>
        <v>----</v>
      </c>
      <c r="DE271" s="691" t="e">
        <f t="shared" ca="1" si="4409"/>
        <v>#REF!</v>
      </c>
      <c r="DF271" s="4" t="e" cm="1">
        <f t="array" aca="1" ref="DF271" ca="1">IF(AND(INDEX(INDIRECT(BY263),DE271,4)&gt;=$AB269,INDEX(INDIRECT(BY263),DE271,5)&gt;=$S263,INDEX(INDIRECT(BY263),DE271,6)&gt;=$R263),1,0)</f>
        <v>#REF!</v>
      </c>
      <c r="DG271" s="4" t="e">
        <f t="shared" ref="DG271" ca="1" si="4532">MATCH(1,OFFSET(DF263:DF274,DH270,0,COUNT(DF263:DF274)-DH270),0)</f>
        <v>#REF!</v>
      </c>
      <c r="DH271" s="4" t="e">
        <f t="shared" ca="1" si="4411"/>
        <v>#REF!</v>
      </c>
      <c r="DI271" s="692" t="str" cm="1">
        <f t="array" aca="1" ref="DI271" ca="1">IFERROR(VLOOKUP(INDEX(DE263:DE274,DH271),INDIRECT(BY263),2,FALSE),"----")</f>
        <v>----</v>
      </c>
      <c r="DJ271" s="691" t="e">
        <f t="shared" ca="1" si="4412"/>
        <v>#N/A</v>
      </c>
      <c r="DK271" s="4" t="e">
        <f ca="1">IF(AND(INDEX(SSM,DJ271,4)&gt;=$AB269,INDEX(SSM,DJ271,5)&gt;=$S263,INDEX(SSM,DJ271,6)&gt;=$R263),1,0)</f>
        <v>#N/A</v>
      </c>
      <c r="DL271" s="4" t="e">
        <f t="shared" ref="DL271" ca="1" si="4533">MATCH(1,OFFSET(DK263:DK274,DM270,0,COUNT(DK263:DK274)-DM270),0)</f>
        <v>#REF!</v>
      </c>
      <c r="DM271" s="4" t="e">
        <f t="shared" ca="1" si="4414"/>
        <v>#REF!</v>
      </c>
      <c r="DN271" s="692" t="str">
        <f ca="1">IFERROR(IF(AD270="Nested Steel Stud (wood infill)",VLOOKUP(INDEX(DJ263:DJ274,DM271),SSW,2,FALSE),VLOOKUP(INDEX(DJ263:DJ274,DM271),SSM,2,FALSE)),"----")</f>
        <v>----</v>
      </c>
      <c r="DO271" s="691" t="e">
        <f t="shared" ca="1" si="4415"/>
        <v>#N/A</v>
      </c>
      <c r="DP271" s="4" t="e">
        <f ca="1">IF(AND(INDEX(WSM,DO271,4)&gt;=$AB269,INDEX(WSM,DO271,5)&gt;=$S263,INDEX(WSM,DO271,6)&gt;=$R263),1,0)</f>
        <v>#N/A</v>
      </c>
      <c r="DQ271" s="4" t="e">
        <f t="shared" ref="DQ271" ca="1" si="4534">MATCH(1,OFFSET(DP263:DP274,DR270,0,COUNT(DP263:DP274)-DR270),0)</f>
        <v>#REF!</v>
      </c>
      <c r="DR271" s="4" t="e">
        <f t="shared" ca="1" si="4417"/>
        <v>#REF!</v>
      </c>
      <c r="DS271" s="692" t="str">
        <f ca="1">IFERROR(VLOOKUP(INDEX(DO263:DO274,DR271),WSM,2,FALSE),"----")</f>
        <v>----</v>
      </c>
      <c r="DT271" s="691" t="e">
        <f t="shared" ca="1" si="4418"/>
        <v>#N/A</v>
      </c>
      <c r="DU271" s="4" t="e">
        <f ca="1">IF(AND(INDEX(STM,DT271,4)&gt;=$AB269,INDEX(STM,DT271,5)&gt;=$S263,INDEX(STM,DT271,6)&gt;=$R263),1,0)</f>
        <v>#N/A</v>
      </c>
      <c r="DV271" s="4" t="e">
        <f t="shared" ref="DV271" ca="1" si="4535">MATCH(1,OFFSET(DU263:DU274,DW270,0,COUNT(DU263:DU274)-DW270),0)</f>
        <v>#REF!</v>
      </c>
      <c r="DW271" s="4" t="e">
        <f t="shared" ca="1" si="4420"/>
        <v>#REF!</v>
      </c>
      <c r="DX271" s="692" t="str">
        <f ca="1">IFERROR(VLOOKUP(INDEX(DT263:DT274,DW271),STM,2,FALSE),"----")</f>
        <v>----</v>
      </c>
      <c r="DY271" s="691" t="e">
        <f t="shared" ca="1" si="4421"/>
        <v>#N/A</v>
      </c>
      <c r="DZ271" s="4" t="e">
        <f ca="1">IF(AND(INDEX(ELM,DY271,4)&gt;=$AB269,INDEX(ELM,DY271,5)&gt;=$S263,INDEX(ELM,DY271,6)&gt;=$R263),1,0)</f>
        <v>#N/A</v>
      </c>
      <c r="EA271" s="4" t="e">
        <f t="shared" ref="EA271" ca="1" si="4536">MATCH(1,OFFSET(DZ263:DZ274,EB270,0,COUNT(DZ263:DZ274)-EB270),0)</f>
        <v>#REF!</v>
      </c>
      <c r="EB271" s="4" t="e">
        <f t="shared" ca="1" si="4423"/>
        <v>#REF!</v>
      </c>
      <c r="EC271" s="692" t="str">
        <f ca="1">IFERROR(VLOOKUP(INDEX(DY263:DY274,EB271),ELM,2,FALSE),"----")</f>
        <v>----</v>
      </c>
      <c r="ED271" s="691" t="e">
        <f t="shared" ca="1" si="4424"/>
        <v>#N/A</v>
      </c>
      <c r="EE271" s="4" t="e">
        <f ca="1">IF(LEFT($J263,7)="Clad Wo",IF(AND(INDEX(SPPWS,ED271,4)&gt;=$AB269,INDEX(SPPWS,ED271,5)&gt;=$S263,INDEX(SPPWS,ED271,6)&gt;=$R263),1,0),IF(AND(INDEX(SPM,ED271,4)&gt;=$AB269,INDEX(SPM,ED271,5)&gt;=$S263,INDEX(SPM,ED271,6)&gt;=$R263),1,0))</f>
        <v>#N/A</v>
      </c>
      <c r="EF271" s="4" t="e">
        <f t="shared" ref="EF271" ca="1" si="4537">MATCH(1,OFFSET(EE263:EE274,EG270,0,COUNT(EE263:EE274)-EG270),0)</f>
        <v>#REF!</v>
      </c>
      <c r="EG271" s="4" t="e">
        <f t="shared" ca="1" si="4426"/>
        <v>#REF!</v>
      </c>
      <c r="EH271" s="692" t="str">
        <f ca="1">IF(LEFT($J263,7)="Clad Wo",IFERROR(VLOOKUP(INDEX(ED263:ED274,EG271),SPPWS,2,FALSE),"----"),IFERROR(VLOOKUP(INDEX(ED263:ED274,EG271),SPM,2,FALSE),"----"))</f>
        <v>----</v>
      </c>
    </row>
    <row r="272" spans="1:138" ht="15" customHeight="1" x14ac:dyDescent="0.25">
      <c r="A272" s="1085"/>
      <c r="B272" s="925"/>
      <c r="C272" s="926"/>
      <c r="D272" s="927"/>
      <c r="E272" s="995"/>
      <c r="F272" s="996"/>
      <c r="G272" s="997"/>
      <c r="H272" s="1062"/>
      <c r="I272" s="990"/>
      <c r="J272" s="902"/>
      <c r="K272" s="903"/>
      <c r="L272" s="1002"/>
      <c r="M272" s="923"/>
      <c r="N272" s="1042"/>
      <c r="O272" s="1018"/>
      <c r="P272" s="987"/>
      <c r="Q272" s="1015"/>
      <c r="R272" s="1012"/>
      <c r="S272" s="1006"/>
      <c r="T272" s="1007"/>
      <c r="U272" s="878"/>
      <c r="V272" s="881"/>
      <c r="W272" s="884"/>
      <c r="X272" s="884"/>
      <c r="Y272" s="887"/>
      <c r="Z272" s="887"/>
      <c r="AA272" s="887"/>
      <c r="AB272" s="1081"/>
      <c r="AC272" s="1078"/>
      <c r="AD272" s="1070" t="str">
        <f t="shared" si="4522"/>
        <v>Steel Tube</v>
      </c>
      <c r="AE272" s="1071"/>
      <c r="AF272" s="1052"/>
      <c r="AG272" s="1053"/>
      <c r="AH272" s="1053"/>
      <c r="AI272" s="1066"/>
      <c r="AJ272" s="1067"/>
      <c r="AK272" s="156" t="str">
        <f t="shared" ca="1" si="3667"/>
        <v/>
      </c>
      <c r="AL272" s="1059"/>
      <c r="AM272" s="343" t="str">
        <f ca="1">IFERROR(Q263/12*ROUND(VLOOKUP(AF272,OFFSET(STM,0,1),6,FALSE),2),"")</f>
        <v/>
      </c>
      <c r="AN272" t="str">
        <f t="shared" ca="1" si="3717"/>
        <v/>
      </c>
      <c r="AP272" s="122" t="str">
        <f t="shared" ref="AP272" si="4538">_xlfn.CONCAT(AR272,AS274)</f>
        <v/>
      </c>
      <c r="AQ272" s="683" t="str">
        <f t="shared" si="3881"/>
        <v/>
      </c>
      <c r="AR272" s="4" t="str">
        <f t="shared" si="3642"/>
        <v/>
      </c>
      <c r="AS272" s="4"/>
      <c r="AT272" s="697" t="str">
        <f>AL269</f>
        <v/>
      </c>
      <c r="AU272" s="694" t="e">
        <f t="shared" ca="1" si="3907"/>
        <v>#REF!</v>
      </c>
      <c r="AV272" s="686" t="str">
        <f ca="1">IFERROR(VLOOKUP(AU272,INDIRECT(AQ263),2,FALSE),"----")</f>
        <v>----</v>
      </c>
      <c r="AW272" s="694" t="e">
        <f t="shared" ca="1" si="3908"/>
        <v>#REF!</v>
      </c>
      <c r="AX272" s="686" t="str">
        <f ca="1">IFERROR(VLOOKUP(AW272,INDIRECT(AQ264),2,FALSE),"----")</f>
        <v>----</v>
      </c>
      <c r="AY272" s="694" t="e">
        <f t="shared" ca="1" si="3352"/>
        <v>#REF!</v>
      </c>
      <c r="AZ272" s="686" t="str">
        <f ca="1">IFERROR(VLOOKUP(AY272,INDIRECT(AQ265),2,FALSE),"----")</f>
        <v>----</v>
      </c>
      <c r="BA272" s="694" t="e">
        <f t="shared" ca="1" si="3353"/>
        <v>#REF!</v>
      </c>
      <c r="BB272" s="686" t="str">
        <f ca="1">IFERROR(VLOOKUP(BA272,INDIRECT(AQ266),2,FALSE),"----")</f>
        <v>----</v>
      </c>
      <c r="BC272" s="694" t="e">
        <f t="shared" ca="1" si="3911"/>
        <v>#REF!</v>
      </c>
      <c r="BD272" s="686" t="str">
        <f ca="1">IFERROR(VLOOKUP(BC272,INDIRECT(AQ267),2,FALSE),"----")</f>
        <v>----</v>
      </c>
      <c r="BE272" s="694" t="e">
        <f t="shared" ca="1" si="3912"/>
        <v>#REF!</v>
      </c>
      <c r="BF272" s="686" t="str">
        <f ca="1">IFERROR(VLOOKUP(BE272,INDIRECT(AQ268),2,FALSE),"----")</f>
        <v>----</v>
      </c>
      <c r="BG272" s="702" t="e">
        <f t="shared" ca="1" si="3913"/>
        <v>#REF!</v>
      </c>
      <c r="BH272" s="686" t="str">
        <f ca="1">IFERROR(VLOOKUP(BG272,INDIRECT(AQ269),2,FALSE),"----")</f>
        <v>----</v>
      </c>
      <c r="BI272" s="702" t="e">
        <f t="shared" ca="1" si="3914"/>
        <v>#REF!</v>
      </c>
      <c r="BJ272" s="686" t="str">
        <f ca="1">IFERROR(VLOOKUP(BI272,INDIRECT(AQ270),2,FALSE),"----")</f>
        <v>----</v>
      </c>
      <c r="BK272" s="702" t="e">
        <f t="shared" ca="1" si="3915"/>
        <v>#REF!</v>
      </c>
      <c r="BL272" s="686" t="str">
        <f ca="1">IFERROR(VLOOKUP(BK272,INDIRECT(AQ271),2,FALSE),"----")</f>
        <v>----</v>
      </c>
      <c r="BM272" s="702" t="e">
        <f t="shared" ca="1" si="3916"/>
        <v>#REF!</v>
      </c>
      <c r="BN272" s="686" t="str">
        <f ca="1">IFERROR(VLOOKUP(BM272,INDIRECT(AQ272),2,FALSE),"----")</f>
        <v>----</v>
      </c>
      <c r="BO272" s="702" t="e">
        <f t="shared" ca="1" si="3917"/>
        <v>#REF!</v>
      </c>
      <c r="BP272" s="686" t="str">
        <f ca="1">IFERROR(VLOOKUP(BO272,INDIRECT(AQ273),2,FALSE),"----")</f>
        <v>----</v>
      </c>
      <c r="BQ272" s="702" t="e">
        <f t="shared" ca="1" si="3918"/>
        <v>#REF!</v>
      </c>
      <c r="BR272" s="686" t="str">
        <f ca="1">IFERROR(VLOOKUP(BQ272,INDIRECT(AQ274),2,FALSE),"----")</f>
        <v>----</v>
      </c>
      <c r="BS272" s="695">
        <f>IF(AI272="",1,IF(COUNTIF(BN263:BN274,AI272)=0,2,1))</f>
        <v>1</v>
      </c>
      <c r="BT272" s="696">
        <f>IF(AF272="",1,IF(BN263=".",2,1))</f>
        <v>1</v>
      </c>
      <c r="BU272" s="706"/>
      <c r="BV272" s="155">
        <f ca="1">IF(COUNTIF(DX263:DX274,AF272)=0,IF(AF272&lt;&gt;"",0,1),1)</f>
        <v>1</v>
      </c>
      <c r="BW272" s="157">
        <f ca="1">IFERROR(MATCH(AF272,DX263:DX274,0),1)</f>
        <v>1</v>
      </c>
      <c r="BX272" s="769" t="e">
        <f t="shared" ref="BX272" si="4539">5*E263^3*W269/(384*X263)</f>
        <v>#VALUE!</v>
      </c>
      <c r="BY272" s="769" t="e">
        <f t="shared" ref="BY272" si="4540">E263^3*W269/(60*X263)</f>
        <v>#VALUE!</v>
      </c>
      <c r="BZ272" s="1110"/>
      <c r="CA272" s="691" t="e">
        <f t="shared" ca="1" si="4391"/>
        <v>#REF!</v>
      </c>
      <c r="CB272" s="4" t="e" cm="1">
        <f t="array" aca="1" ref="CB272" ca="1">IF(AND(INDEX(INDIRECT(BY263),CA272,4)&gt;=$AB263,INDEX(INDIRECT(BY263),CA272,5)&gt;=$S263,INDEX(INDIRECT(BY263),CA272,6)&gt;=$R263),1,0)</f>
        <v>#REF!</v>
      </c>
      <c r="CC272" s="4" t="e">
        <f t="shared" ref="CC272" ca="1" si="4541">MATCH(1,OFFSET(CB263:CB274,CD271,0,COUNT(CB263:CB274)-CD271),0)</f>
        <v>#REF!</v>
      </c>
      <c r="CD272" s="4" t="e">
        <f t="shared" ca="1" si="4393"/>
        <v>#REF!</v>
      </c>
      <c r="CE272" s="692" t="str" cm="1">
        <f t="array" aca="1" ref="CE272" ca="1">IFERROR(VLOOKUP(INDEX(CA263:CA274,CD272),INDIRECT(BY263),2,FALSE),"----")</f>
        <v>----</v>
      </c>
      <c r="CF272" s="691" t="e">
        <f t="shared" ca="1" si="4394"/>
        <v>#N/A</v>
      </c>
      <c r="CG272" s="4" t="e">
        <f ca="1">IF(AND(INDEX(SSM,CF272,4)&gt;=$AB263,INDEX(SSM,CF272,5)&gt;=$S263,INDEX(SSM,CF272,6)&gt;=$R263),1,0)</f>
        <v>#N/A</v>
      </c>
      <c r="CH272" s="4" t="e">
        <f t="shared" ref="CH272" ca="1" si="4542">MATCH(1,OFFSET(CG263:CG274,CI271,0,COUNT(CG263:CG274)-CI271),0)</f>
        <v>#REF!</v>
      </c>
      <c r="CI272" s="4" t="e">
        <f t="shared" ca="1" si="4396"/>
        <v>#REF!</v>
      </c>
      <c r="CJ272" s="692" t="str">
        <f ca="1">IFERROR(IF(AD264="Nested Steel Stud (wood infill)",VLOOKUP(INDEX(CF263:CF274,CI272),SSW,2,FALSE),VLOOKUP(INDEX(CF263:CF274,CI272),SSM,2,FALSE)),"----")</f>
        <v>----</v>
      </c>
      <c r="CK272" s="691" t="e">
        <f t="shared" ca="1" si="4397"/>
        <v>#N/A</v>
      </c>
      <c r="CL272" s="4" t="e">
        <f ca="1">IF(AND(INDEX(WSM,CK272,4)&gt;=$AB263,INDEX(WSM,CK272,5)&gt;=$S263,INDEX(WSM,CK272,6)&gt;=$R263),1,0)</f>
        <v>#N/A</v>
      </c>
      <c r="CM272" s="4" t="e">
        <f t="shared" ref="CM272" ca="1" si="4543">MATCH(1,OFFSET(CL263:CL274,CN271,0,COUNT(CL263:CL274)-CN271),0)</f>
        <v>#REF!</v>
      </c>
      <c r="CN272" s="4" t="e">
        <f t="shared" ca="1" si="4399"/>
        <v>#REF!</v>
      </c>
      <c r="CO272" s="692" t="str">
        <f ca="1">IFERROR(VLOOKUP(INDEX(CK263:CK274,CN272),WSM,2,FALSE),"----")</f>
        <v>----</v>
      </c>
      <c r="CP272" s="691" t="e">
        <f t="shared" ca="1" si="4400"/>
        <v>#N/A</v>
      </c>
      <c r="CQ272" s="4" t="e">
        <f ca="1">IF(AND(INDEX(STM,CP272,4)&gt;=$AB263,INDEX(STM,CP272,5)&gt;=$S263,INDEX(STM,CP272,6)&gt;=$R263),1,0)</f>
        <v>#N/A</v>
      </c>
      <c r="CR272" s="4" t="e">
        <f t="shared" ref="CR272" ca="1" si="4544">MATCH(1,OFFSET(CQ263:CQ274,CS271,0,COUNT(CQ263:CQ274)-CS271),0)</f>
        <v>#REF!</v>
      </c>
      <c r="CS272" s="4" t="e">
        <f t="shared" ca="1" si="4402"/>
        <v>#REF!</v>
      </c>
      <c r="CT272" s="692" t="str">
        <f ca="1">IFERROR(VLOOKUP(INDEX(CP263:CP274,CS272),STM,2,FALSE),"----")</f>
        <v>----</v>
      </c>
      <c r="CU272" s="691" t="e">
        <f t="shared" ca="1" si="4403"/>
        <v>#N/A</v>
      </c>
      <c r="CV272" s="4" t="e">
        <f ca="1">IF(AND(INDEX(ELM,CU272,4)&gt;=$AB263,INDEX(ELM,CU272,5)&gt;=$S263,INDEX(ELM,CU272,6)&gt;=$R263),1,0)</f>
        <v>#N/A</v>
      </c>
      <c r="CW272" s="4" t="e">
        <f t="shared" ref="CW272" ca="1" si="4545">MATCH(1,OFFSET(CV263:CV274,CX271,0,COUNT(CV263:CV274)-CX271),0)</f>
        <v>#REF!</v>
      </c>
      <c r="CX272" s="4" t="e">
        <f t="shared" ca="1" si="4405"/>
        <v>#REF!</v>
      </c>
      <c r="CY272" s="692" t="str">
        <f ca="1">IFERROR(VLOOKUP(INDEX(CU263:CU274,CX272),ELM,2,FALSE),"----")</f>
        <v>----</v>
      </c>
      <c r="CZ272" s="691" t="e">
        <f t="shared" ca="1" si="4406"/>
        <v>#N/A</v>
      </c>
      <c r="DA272" s="4" t="e">
        <f ca="1">IF(LEFT($J263,7)="Clad Wo",IF(AND(INDEX(SPPWS,CZ272,4)&gt;=$AB263,INDEX(SPPWS,CZ272,5)&gt;=$S263,INDEX(SPPWS,CZ272,6)&gt;=$R263),1,0),IF(AND(INDEX(SPM,CZ272,4)&gt;=$AB263,INDEX(SPM,CZ272,5)&gt;=$S263,INDEX(SPM,CZ272,6)&gt;=$R263),1,0))</f>
        <v>#N/A</v>
      </c>
      <c r="DB272" s="4" t="e">
        <f t="shared" ref="DB272" ca="1" si="4546">MATCH(1,OFFSET(DA263:DA274,DC271,0,COUNT(DA263:DA274)-DC271),0)</f>
        <v>#REF!</v>
      </c>
      <c r="DC272" s="4" t="e">
        <f t="shared" ca="1" si="4408"/>
        <v>#REF!</v>
      </c>
      <c r="DD272" s="693" t="str">
        <f ca="1">IF(LEFT($J263,7)="Clad Wo",IFERROR(VLOOKUP(INDEX(CZ263:CZ274,DC272),SPPWS,2,FALSE),"----"),IFERROR(VLOOKUP(INDEX(CZ263:CZ274,DC272),SPM,2,FALSE),"----"))</f>
        <v>----</v>
      </c>
      <c r="DE272" s="691" t="e">
        <f t="shared" ca="1" si="4409"/>
        <v>#REF!</v>
      </c>
      <c r="DF272" s="4" t="e" cm="1">
        <f t="array" aca="1" ref="DF272" ca="1">IF(AND(INDEX(INDIRECT(BY263),DE272,4)&gt;=$AB269,INDEX(INDIRECT(BY263),DE272,5)&gt;=$S263,INDEX(INDIRECT(BY263),DE272,6)&gt;=$R263),1,0)</f>
        <v>#REF!</v>
      </c>
      <c r="DG272" s="4" t="e">
        <f t="shared" ref="DG272" ca="1" si="4547">MATCH(1,OFFSET(DF263:DF274,DH271,0,COUNT(DF263:DF274)-DH271),0)</f>
        <v>#REF!</v>
      </c>
      <c r="DH272" s="4" t="e">
        <f t="shared" ca="1" si="4411"/>
        <v>#REF!</v>
      </c>
      <c r="DI272" s="692" t="str" cm="1">
        <f t="array" aca="1" ref="DI272" ca="1">IFERROR(VLOOKUP(INDEX(DE263:DE274,DH272),INDIRECT(BY263),2,FALSE),"----")</f>
        <v>----</v>
      </c>
      <c r="DJ272" s="691" t="e">
        <f t="shared" ca="1" si="4412"/>
        <v>#N/A</v>
      </c>
      <c r="DK272" s="4" t="e">
        <f ca="1">IF(AND(INDEX(SSM,DJ272,4)&gt;=$AB269,INDEX(SSM,DJ272,5)&gt;=$S263,INDEX(SSM,DJ272,6)&gt;=$R263),1,0)</f>
        <v>#N/A</v>
      </c>
      <c r="DL272" s="4" t="e">
        <f t="shared" ref="DL272" ca="1" si="4548">MATCH(1,OFFSET(DK263:DK274,DM271,0,COUNT(DK263:DK274)-DM271),0)</f>
        <v>#REF!</v>
      </c>
      <c r="DM272" s="4" t="e">
        <f t="shared" ca="1" si="4414"/>
        <v>#REF!</v>
      </c>
      <c r="DN272" s="692" t="str">
        <f ca="1">IFERROR(IF(AD270="Nested Steel Stud (wood infill)",VLOOKUP(INDEX(DJ263:DJ274,DM272),SSW,2,FALSE),VLOOKUP(INDEX(DJ263:DJ274,DM272),SSM,2,FALSE)),"----")</f>
        <v>----</v>
      </c>
      <c r="DO272" s="691" t="e">
        <f t="shared" ca="1" si="4415"/>
        <v>#N/A</v>
      </c>
      <c r="DP272" s="4" t="e">
        <f ca="1">IF(AND(INDEX(WSM,DO272,4)&gt;=$AB269,INDEX(WSM,DO272,5)&gt;=$S263,INDEX(WSM,DO272,6)&gt;=$R263),1,0)</f>
        <v>#N/A</v>
      </c>
      <c r="DQ272" s="4" t="e">
        <f t="shared" ref="DQ272" ca="1" si="4549">MATCH(1,OFFSET(DP263:DP274,DR271,0,COUNT(DP263:DP274)-DR271),0)</f>
        <v>#REF!</v>
      </c>
      <c r="DR272" s="4" t="e">
        <f t="shared" ca="1" si="4417"/>
        <v>#REF!</v>
      </c>
      <c r="DS272" s="692" t="str">
        <f ca="1">IFERROR(VLOOKUP(INDEX(DO263:DO274,DR272),WSM,2,FALSE),"----")</f>
        <v>----</v>
      </c>
      <c r="DT272" s="691" t="e">
        <f t="shared" ca="1" si="4418"/>
        <v>#N/A</v>
      </c>
      <c r="DU272" s="4" t="e">
        <f ca="1">IF(AND(INDEX(STM,DT272,4)&gt;=$AB269,INDEX(STM,DT272,5)&gt;=$S263,INDEX(STM,DT272,6)&gt;=$R263),1,0)</f>
        <v>#N/A</v>
      </c>
      <c r="DV272" s="4" t="e">
        <f t="shared" ref="DV272" ca="1" si="4550">MATCH(1,OFFSET(DU263:DU274,DW271,0,COUNT(DU263:DU274)-DW271),0)</f>
        <v>#REF!</v>
      </c>
      <c r="DW272" s="4" t="e">
        <f t="shared" ca="1" si="4420"/>
        <v>#REF!</v>
      </c>
      <c r="DX272" s="692" t="str">
        <f ca="1">IFERROR(VLOOKUP(INDEX(DT263:DT274,DW272),STM,2,FALSE),"----")</f>
        <v>----</v>
      </c>
      <c r="DY272" s="691" t="e">
        <f t="shared" ca="1" si="4421"/>
        <v>#N/A</v>
      </c>
      <c r="DZ272" s="4" t="e">
        <f ca="1">IF(AND(INDEX(ELM,DY272,4)&gt;=$AB269,INDEX(ELM,DY272,5)&gt;=$S263,INDEX(ELM,DY272,6)&gt;=$R263),1,0)</f>
        <v>#N/A</v>
      </c>
      <c r="EA272" s="4" t="e">
        <f t="shared" ref="EA272" ca="1" si="4551">MATCH(1,OFFSET(DZ263:DZ274,EB271,0,COUNT(DZ263:DZ274)-EB271),0)</f>
        <v>#REF!</v>
      </c>
      <c r="EB272" s="4" t="e">
        <f t="shared" ca="1" si="4423"/>
        <v>#REF!</v>
      </c>
      <c r="EC272" s="692" t="str">
        <f ca="1">IFERROR(VLOOKUP(INDEX(DY263:DY274,EB272),ELM,2,FALSE),"----")</f>
        <v>----</v>
      </c>
      <c r="ED272" s="691" t="e">
        <f t="shared" ca="1" si="4424"/>
        <v>#N/A</v>
      </c>
      <c r="EE272" s="4" t="e">
        <f ca="1">IF(LEFT($J263,7)="Clad Wo",IF(AND(INDEX(SPPWS,ED272,4)&gt;=$AB269,INDEX(SPPWS,ED272,5)&gt;=$S263,INDEX(SPPWS,ED272,6)&gt;=$R263),1,0),IF(AND(INDEX(SPM,ED272,4)&gt;=$AB269,INDEX(SPM,ED272,5)&gt;=$S263,INDEX(SPM,ED272,6)&gt;=$R263),1,0))</f>
        <v>#N/A</v>
      </c>
      <c r="EF272" s="4" t="e">
        <f t="shared" ref="EF272" ca="1" si="4552">MATCH(1,OFFSET(EE263:EE274,EG271,0,COUNT(EE263:EE274)-EG271),0)</f>
        <v>#REF!</v>
      </c>
      <c r="EG272" s="4" t="e">
        <f t="shared" ca="1" si="4426"/>
        <v>#REF!</v>
      </c>
      <c r="EH272" s="692" t="str">
        <f ca="1">IF(LEFT($J263,7)="Clad Wo",IFERROR(VLOOKUP(INDEX(ED263:ED274,EG272),SPPWS,2,FALSE),"----"),IFERROR(VLOOKUP(INDEX(ED263:ED274,EG272),SPM,2,FALSE),"----"))</f>
        <v>----</v>
      </c>
    </row>
    <row r="273" spans="1:138" ht="15" customHeight="1" x14ac:dyDescent="0.25">
      <c r="A273" s="1085"/>
      <c r="B273" s="925"/>
      <c r="C273" s="926"/>
      <c r="D273" s="927"/>
      <c r="E273" s="995"/>
      <c r="F273" s="996"/>
      <c r="G273" s="997"/>
      <c r="H273" s="1062"/>
      <c r="I273" s="990"/>
      <c r="J273" s="902"/>
      <c r="K273" s="903"/>
      <c r="L273" s="1002"/>
      <c r="M273" s="923"/>
      <c r="N273" s="1042"/>
      <c r="O273" s="1018"/>
      <c r="P273" s="987"/>
      <c r="Q273" s="1015"/>
      <c r="R273" s="1012"/>
      <c r="S273" s="1006"/>
      <c r="T273" s="1007"/>
      <c r="U273" s="878"/>
      <c r="V273" s="881"/>
      <c r="W273" s="884"/>
      <c r="X273" s="884"/>
      <c r="Y273" s="887"/>
      <c r="Z273" s="887"/>
      <c r="AA273" s="887"/>
      <c r="AB273" s="1081"/>
      <c r="AC273" s="1078"/>
      <c r="AD273" s="1070" t="str">
        <f t="shared" si="4522"/>
        <v>Engineered Lumber</v>
      </c>
      <c r="AE273" s="1071"/>
      <c r="AF273" s="1052"/>
      <c r="AG273" s="1053"/>
      <c r="AH273" s="1053"/>
      <c r="AI273" s="1068"/>
      <c r="AJ273" s="1069"/>
      <c r="AK273" s="154" t="str">
        <f t="shared" ca="1" si="3667"/>
        <v/>
      </c>
      <c r="AL273" s="1059"/>
      <c r="AM273" s="344" t="str">
        <f ca="1">IFERROR(Q263/12*ROUND(VLOOKUP(AF273,OFFSET(ELM,0,1),6,FALSE),2),"")</f>
        <v/>
      </c>
      <c r="AN273" t="str">
        <f t="shared" ca="1" si="3717"/>
        <v/>
      </c>
      <c r="AP273" s="122" t="str">
        <f t="shared" ref="AP273" si="4553">_xlfn.CONCAT(AR273,AS274)</f>
        <v/>
      </c>
      <c r="AQ273" s="683" t="str">
        <f t="shared" si="3881"/>
        <v/>
      </c>
      <c r="AR273" s="4" t="str">
        <f t="shared" si="3642"/>
        <v/>
      </c>
      <c r="AS273" s="4"/>
      <c r="AT273" s="697" t="str">
        <f>AL269</f>
        <v/>
      </c>
      <c r="AU273" s="694" t="e">
        <f t="shared" ca="1" si="3907"/>
        <v>#REF!</v>
      </c>
      <c r="AV273" s="698" t="str">
        <f ca="1">IFERROR(VLOOKUP(AU273,INDIRECT(AQ263),2,FALSE),"----")</f>
        <v>----</v>
      </c>
      <c r="AW273" s="694" t="e">
        <f t="shared" ca="1" si="3908"/>
        <v>#REF!</v>
      </c>
      <c r="AX273" s="698" t="str">
        <f ca="1">IFERROR(VLOOKUP(AW273,INDIRECT(AQ264),2,FALSE),"----")</f>
        <v>----</v>
      </c>
      <c r="AY273" s="694" t="e">
        <f t="shared" ca="1" si="3352"/>
        <v>#REF!</v>
      </c>
      <c r="AZ273" s="698" t="str">
        <f ca="1">IFERROR(VLOOKUP(AY273,INDIRECT(AQ265),2,FALSE),"----")</f>
        <v>----</v>
      </c>
      <c r="BA273" s="694" t="e">
        <f t="shared" ca="1" si="3353"/>
        <v>#REF!</v>
      </c>
      <c r="BB273" s="698" t="str">
        <f ca="1">IFERROR(VLOOKUP(BA273,INDIRECT(AQ266),2,FALSE),"----")</f>
        <v>----</v>
      </c>
      <c r="BC273" s="694" t="e">
        <f t="shared" ca="1" si="3911"/>
        <v>#REF!</v>
      </c>
      <c r="BD273" s="698" t="str">
        <f ca="1">IFERROR(VLOOKUP(BC273,INDIRECT(AQ267),2,FALSE),"----")</f>
        <v>----</v>
      </c>
      <c r="BE273" s="694" t="e">
        <f t="shared" ca="1" si="3912"/>
        <v>#REF!</v>
      </c>
      <c r="BF273" s="698" t="str">
        <f ca="1">IFERROR(VLOOKUP(BE273,INDIRECT(AQ268),2,FALSE),"----")</f>
        <v>----</v>
      </c>
      <c r="BG273" s="702" t="e">
        <f t="shared" ca="1" si="3913"/>
        <v>#REF!</v>
      </c>
      <c r="BH273" s="686" t="str">
        <f ca="1">IFERROR(VLOOKUP(BG273,INDIRECT(AQ269),2,FALSE),"----")</f>
        <v>----</v>
      </c>
      <c r="BI273" s="702" t="e">
        <f t="shared" ca="1" si="3914"/>
        <v>#REF!</v>
      </c>
      <c r="BJ273" s="686" t="str">
        <f ca="1">IFERROR(VLOOKUP(BI273,INDIRECT(AQ270),2,FALSE),"----")</f>
        <v>----</v>
      </c>
      <c r="BK273" s="702" t="e">
        <f t="shared" ca="1" si="3915"/>
        <v>#REF!</v>
      </c>
      <c r="BL273" s="686" t="str">
        <f ca="1">IFERROR(VLOOKUP(BK273,INDIRECT(AQ271),2,FALSE),"----")</f>
        <v>----</v>
      </c>
      <c r="BM273" s="702" t="e">
        <f t="shared" ca="1" si="3916"/>
        <v>#REF!</v>
      </c>
      <c r="BN273" s="686" t="str">
        <f ca="1">IFERROR(VLOOKUP(BM273,INDIRECT(AQ272),2,FALSE),"----")</f>
        <v>----</v>
      </c>
      <c r="BO273" s="702" t="e">
        <f t="shared" ca="1" si="3917"/>
        <v>#REF!</v>
      </c>
      <c r="BP273" s="686" t="str">
        <f ca="1">IFERROR(VLOOKUP(BO273,INDIRECT(AQ273),2,FALSE),"----")</f>
        <v>----</v>
      </c>
      <c r="BQ273" s="702" t="e">
        <f t="shared" ca="1" si="3918"/>
        <v>#REF!</v>
      </c>
      <c r="BR273" s="686" t="str">
        <f ca="1">IFERROR(VLOOKUP(BQ273,INDIRECT(AQ274),2,FALSE),"----")</f>
        <v>----</v>
      </c>
      <c r="BS273" s="695">
        <f>IF(AI273="",1,IF(COUNTIF(BP263:BP274,AI273)=0,2,1))</f>
        <v>1</v>
      </c>
      <c r="BT273" s="696">
        <f>IF(AF273="",1,IF(BP263=".",2,1))</f>
        <v>1</v>
      </c>
      <c r="BU273" s="706"/>
      <c r="BV273" s="155">
        <f ca="1">IF(COUNTIF(EC263:EC274,AF273)=0,IF(AF273&lt;&gt;"",0,1),1)</f>
        <v>1</v>
      </c>
      <c r="BW273" s="157">
        <f ca="1">IFERROR(MATCH(AF273,EC263:EC274,0),1)</f>
        <v>1</v>
      </c>
      <c r="BX273" s="769"/>
      <c r="BY273" s="769"/>
      <c r="BZ273" s="1110"/>
      <c r="CA273" s="691" t="e">
        <f t="shared" ca="1" si="4391"/>
        <v>#REF!</v>
      </c>
      <c r="CB273" s="4" t="e" cm="1">
        <f t="array" aca="1" ref="CB273" ca="1">IF(AND(INDEX(INDIRECT(BY263),CA273,4)&gt;=$AB263,INDEX(INDIRECT(BY263),CA273,5)&gt;=$S263,INDEX(INDIRECT(BY263),CA273,6)&gt;=$R263),1,0)</f>
        <v>#REF!</v>
      </c>
      <c r="CC273" s="4" t="e">
        <f t="shared" ref="CC273" ca="1" si="4554">MATCH(1,OFFSET(CB263:CB274,CD272,0,COUNT(CB263:CB274)-CD272),0)</f>
        <v>#REF!</v>
      </c>
      <c r="CD273" s="4" t="e">
        <f t="shared" ca="1" si="4393"/>
        <v>#REF!</v>
      </c>
      <c r="CE273" s="692" t="str" cm="1">
        <f t="array" aca="1" ref="CE273" ca="1">IFERROR(VLOOKUP(INDEX(CA263:CA274,CD273),INDIRECT(BY263),2,FALSE),"----")</f>
        <v>----</v>
      </c>
      <c r="CF273" s="691" t="e">
        <f t="shared" ca="1" si="4394"/>
        <v>#N/A</v>
      </c>
      <c r="CG273" s="4" t="e">
        <f ca="1">IF(AND(INDEX(SSM,CF273,4)&gt;=$AB263,INDEX(SSM,CF273,5)&gt;=$S263,INDEX(SSM,CF273,6)&gt;=$R263),1,0)</f>
        <v>#N/A</v>
      </c>
      <c r="CH273" s="4" t="e">
        <f t="shared" ref="CH273" ca="1" si="4555">MATCH(1,OFFSET(CG263:CG274,CI272,0,COUNT(CG263:CG274)-CI272),0)</f>
        <v>#REF!</v>
      </c>
      <c r="CI273" s="4" t="e">
        <f t="shared" ca="1" si="4396"/>
        <v>#REF!</v>
      </c>
      <c r="CJ273" s="692" t="str">
        <f ca="1">IFERROR(IF(AD264="Nested Steel Stud (wood infill)",VLOOKUP(INDEX(CF263:CF274,CI273),SSW,2,FALSE),VLOOKUP(INDEX(CF263:CF274,CI273),SSM,2,FALSE)),"----")</f>
        <v>----</v>
      </c>
      <c r="CK273" s="691" t="e">
        <f t="shared" ca="1" si="4397"/>
        <v>#N/A</v>
      </c>
      <c r="CL273" s="4" t="e">
        <f ca="1">IF(AND(INDEX(WSM,CK273,4)&gt;=$AB263,INDEX(WSM,CK273,5)&gt;=$S263,INDEX(WSM,CK273,6)&gt;=$R263),1,0)</f>
        <v>#N/A</v>
      </c>
      <c r="CM273" s="4" t="e">
        <f t="shared" ref="CM273" ca="1" si="4556">MATCH(1,OFFSET(CL263:CL274,CN272,0,COUNT(CL263:CL274)-CN272),0)</f>
        <v>#REF!</v>
      </c>
      <c r="CN273" s="4" t="e">
        <f t="shared" ca="1" si="4399"/>
        <v>#REF!</v>
      </c>
      <c r="CO273" s="692" t="str">
        <f ca="1">IFERROR(VLOOKUP(INDEX(CK263:CK274,CN273),WSM,2,FALSE),"----")</f>
        <v>----</v>
      </c>
      <c r="CP273" s="691" t="e">
        <f t="shared" ca="1" si="4400"/>
        <v>#N/A</v>
      </c>
      <c r="CQ273" s="4" t="e">
        <f ca="1">IF(AND(INDEX(STM,CP273,4)&gt;=$AB263,INDEX(STM,CP273,5)&gt;=$S263,INDEX(STM,CP273,6)&gt;=$R263),1,0)</f>
        <v>#N/A</v>
      </c>
      <c r="CR273" s="4" t="e">
        <f t="shared" ref="CR273" ca="1" si="4557">MATCH(1,OFFSET(CQ263:CQ274,CS272,0,COUNT(CQ263:CQ274)-CS272),0)</f>
        <v>#REF!</v>
      </c>
      <c r="CS273" s="4" t="e">
        <f t="shared" ca="1" si="4402"/>
        <v>#REF!</v>
      </c>
      <c r="CT273" s="692" t="str">
        <f ca="1">IFERROR(VLOOKUP(INDEX(CP263:CP274,CS273),STM,2,FALSE),"----")</f>
        <v>----</v>
      </c>
      <c r="CU273" s="691" t="e">
        <f t="shared" ca="1" si="4403"/>
        <v>#N/A</v>
      </c>
      <c r="CV273" s="4" t="e">
        <f ca="1">IF(AND(INDEX(ELM,CU273,4)&gt;=$AB263,INDEX(ELM,CU273,5)&gt;=$S263,INDEX(ELM,CU273,6)&gt;=$R263),1,0)</f>
        <v>#N/A</v>
      </c>
      <c r="CW273" s="4" t="e">
        <f t="shared" ref="CW273" ca="1" si="4558">MATCH(1,OFFSET(CV263:CV274,CX272,0,COUNT(CV263:CV274)-CX272),0)</f>
        <v>#REF!</v>
      </c>
      <c r="CX273" s="4" t="e">
        <f t="shared" ca="1" si="4405"/>
        <v>#REF!</v>
      </c>
      <c r="CY273" s="692" t="str">
        <f ca="1">IFERROR(VLOOKUP(INDEX(CU263:CU274,CX273),ELM,2,FALSE),"----")</f>
        <v>----</v>
      </c>
      <c r="CZ273" s="691" t="e">
        <f t="shared" ca="1" si="4406"/>
        <v>#N/A</v>
      </c>
      <c r="DA273" s="4" t="e">
        <f ca="1">IF(LEFT($J263,7)="Clad Wo",IF(AND(INDEX(SPPWS,CZ273,4)&gt;=$AB263,INDEX(SPPWS,CZ273,5)&gt;=$S263,INDEX(SPPWS,CZ273,6)&gt;=$R263),1,0),IF(AND(INDEX(SPM,CZ273,4)&gt;=$AB263,INDEX(SPM,CZ273,5)&gt;=$S263,INDEX(SPM,CZ273,6)&gt;=$R263),1,0))</f>
        <v>#N/A</v>
      </c>
      <c r="DB273" s="4" t="e">
        <f t="shared" ref="DB273" ca="1" si="4559">MATCH(1,OFFSET(DA263:DA274,DC272,0,COUNT(DA263:DA274)-DC272),0)</f>
        <v>#REF!</v>
      </c>
      <c r="DC273" s="4" t="e">
        <f t="shared" ca="1" si="4408"/>
        <v>#REF!</v>
      </c>
      <c r="DD273" s="693" t="str">
        <f ca="1">IF(LEFT($J263,7)="Clad Wo",IFERROR(VLOOKUP(INDEX(CZ263:CZ274,DC273),SPPWS,2,FALSE),"----"),IFERROR(VLOOKUP(INDEX(CZ263:CZ274,DC273),SPM,2,FALSE),"----"))</f>
        <v>----</v>
      </c>
      <c r="DE273" s="691" t="e">
        <f t="shared" ca="1" si="4409"/>
        <v>#REF!</v>
      </c>
      <c r="DF273" s="4" t="e" cm="1">
        <f t="array" aca="1" ref="DF273" ca="1">IF(AND(INDEX(INDIRECT(BY263),DE273,4)&gt;=$AB269,INDEX(INDIRECT(BY263),DE273,5)&gt;=$S263,INDEX(INDIRECT(BY263),DE273,6)&gt;=$R263),1,0)</f>
        <v>#REF!</v>
      </c>
      <c r="DG273" s="4" t="e">
        <f t="shared" ref="DG273" ca="1" si="4560">MATCH(1,OFFSET(DF263:DF274,DH272,0,COUNT(DF263:DF274)-DH272),0)</f>
        <v>#REF!</v>
      </c>
      <c r="DH273" s="4" t="e">
        <f t="shared" ca="1" si="4411"/>
        <v>#REF!</v>
      </c>
      <c r="DI273" s="692" t="str" cm="1">
        <f t="array" aca="1" ref="DI273" ca="1">IFERROR(VLOOKUP(INDEX(DE263:DE274,DH273),INDIRECT(BY263),2,FALSE),"----")</f>
        <v>----</v>
      </c>
      <c r="DJ273" s="691" t="e">
        <f t="shared" ca="1" si="4412"/>
        <v>#N/A</v>
      </c>
      <c r="DK273" s="4" t="e">
        <f ca="1">IF(AND(INDEX(SSM,DJ273,4)&gt;=$AB269,INDEX(SSM,DJ273,5)&gt;=$S263,INDEX(SSM,DJ273,6)&gt;=$R263),1,0)</f>
        <v>#N/A</v>
      </c>
      <c r="DL273" s="4" t="e">
        <f t="shared" ref="DL273" ca="1" si="4561">MATCH(1,OFFSET(DK263:DK274,DM272,0,COUNT(DK263:DK274)-DM272),0)</f>
        <v>#REF!</v>
      </c>
      <c r="DM273" s="4" t="e">
        <f t="shared" ca="1" si="4414"/>
        <v>#REF!</v>
      </c>
      <c r="DN273" s="692" t="str">
        <f ca="1">IFERROR(IF(AD270="Nested Steel Stud (wood infill)",VLOOKUP(INDEX(DJ263:DJ274,DM273),SSW,2,FALSE),VLOOKUP(INDEX(DJ263:DJ274,DM273),SSM,2,FALSE)),"----")</f>
        <v>----</v>
      </c>
      <c r="DO273" s="691" t="e">
        <f t="shared" ca="1" si="4415"/>
        <v>#N/A</v>
      </c>
      <c r="DP273" s="4" t="e">
        <f ca="1">IF(AND(INDEX(WSM,DO273,4)&gt;=$AB269,INDEX(WSM,DO273,5)&gt;=$S263,INDEX(WSM,DO273,6)&gt;=$R263),1,0)</f>
        <v>#N/A</v>
      </c>
      <c r="DQ273" s="4" t="e">
        <f t="shared" ref="DQ273" ca="1" si="4562">MATCH(1,OFFSET(DP263:DP274,DR272,0,COUNT(DP263:DP274)-DR272),0)</f>
        <v>#REF!</v>
      </c>
      <c r="DR273" s="4" t="e">
        <f t="shared" ca="1" si="4417"/>
        <v>#REF!</v>
      </c>
      <c r="DS273" s="692" t="str">
        <f ca="1">IFERROR(VLOOKUP(INDEX(DO263:DO274,DR273),WSM,2,FALSE),"----")</f>
        <v>----</v>
      </c>
      <c r="DT273" s="691" t="e">
        <f t="shared" ca="1" si="4418"/>
        <v>#N/A</v>
      </c>
      <c r="DU273" s="4" t="e">
        <f ca="1">IF(AND(INDEX(STM,DT273,4)&gt;=$AB269,INDEX(STM,DT273,5)&gt;=$S263,INDEX(STM,DT273,6)&gt;=$R263),1,0)</f>
        <v>#N/A</v>
      </c>
      <c r="DV273" s="4" t="e">
        <f t="shared" ref="DV273" ca="1" si="4563">MATCH(1,OFFSET(DU263:DU274,DW272,0,COUNT(DU263:DU274)-DW272),0)</f>
        <v>#REF!</v>
      </c>
      <c r="DW273" s="4" t="e">
        <f t="shared" ca="1" si="4420"/>
        <v>#REF!</v>
      </c>
      <c r="DX273" s="692" t="str">
        <f ca="1">IFERROR(VLOOKUP(INDEX(DT263:DT274,DW273),STM,2,FALSE),"----")</f>
        <v>----</v>
      </c>
      <c r="DY273" s="691" t="e">
        <f t="shared" ca="1" si="4421"/>
        <v>#N/A</v>
      </c>
      <c r="DZ273" s="4" t="e">
        <f ca="1">IF(AND(INDEX(ELM,DY273,4)&gt;=$AB269,INDEX(ELM,DY273,5)&gt;=$S263,INDEX(ELM,DY273,6)&gt;=$R263),1,0)</f>
        <v>#N/A</v>
      </c>
      <c r="EA273" s="4" t="e">
        <f t="shared" ref="EA273" ca="1" si="4564">MATCH(1,OFFSET(DZ263:DZ274,EB272,0,COUNT(DZ263:DZ274)-EB272),0)</f>
        <v>#REF!</v>
      </c>
      <c r="EB273" s="4" t="e">
        <f t="shared" ca="1" si="4423"/>
        <v>#REF!</v>
      </c>
      <c r="EC273" s="692" t="str">
        <f ca="1">IFERROR(VLOOKUP(INDEX(DY263:DY274,EB273),ELM,2,FALSE),"----")</f>
        <v>----</v>
      </c>
      <c r="ED273" s="691" t="e">
        <f t="shared" ca="1" si="4424"/>
        <v>#N/A</v>
      </c>
      <c r="EE273" s="4" t="e">
        <f ca="1">IF(LEFT($J263,7)="Clad Wo",IF(AND(INDEX(SPPWS,ED273,4)&gt;=$AB269,INDEX(SPPWS,ED273,5)&gt;=$S263,INDEX(SPPWS,ED273,6)&gt;=$R263),1,0),IF(AND(INDEX(SPM,ED273,4)&gt;=$AB269,INDEX(SPM,ED273,5)&gt;=$S263,INDEX(SPM,ED273,6)&gt;=$R263),1,0))</f>
        <v>#N/A</v>
      </c>
      <c r="EF273" s="4" t="e">
        <f t="shared" ref="EF273" ca="1" si="4565">MATCH(1,OFFSET(EE263:EE274,EG272,0,COUNT(EE263:EE274)-EG272),0)</f>
        <v>#REF!</v>
      </c>
      <c r="EG273" s="4" t="e">
        <f t="shared" ca="1" si="4426"/>
        <v>#REF!</v>
      </c>
      <c r="EH273" s="692" t="str">
        <f ca="1">IF(LEFT($J263,7)="Clad Wo",IFERROR(VLOOKUP(INDEX(ED263:ED274,EG273),SPPWS,2,FALSE),"----"),IFERROR(VLOOKUP(INDEX(ED263:ED274,EG273),SPM,2,FALSE),"----"))</f>
        <v>----</v>
      </c>
    </row>
    <row r="274" spans="1:138" ht="15" customHeight="1" thickBot="1" x14ac:dyDescent="0.3">
      <c r="A274" s="1085"/>
      <c r="B274" s="928"/>
      <c r="C274" s="929"/>
      <c r="D274" s="930"/>
      <c r="E274" s="998"/>
      <c r="F274" s="999"/>
      <c r="G274" s="1000"/>
      <c r="H274" s="1063"/>
      <c r="I274" s="991"/>
      <c r="J274" s="904"/>
      <c r="K274" s="905"/>
      <c r="L274" s="1003"/>
      <c r="M274" s="1065"/>
      <c r="N274" s="1043"/>
      <c r="O274" s="1019"/>
      <c r="P274" s="988"/>
      <c r="Q274" s="1016"/>
      <c r="R274" s="1013"/>
      <c r="S274" s="1008"/>
      <c r="T274" s="1009"/>
      <c r="U274" s="879"/>
      <c r="V274" s="882"/>
      <c r="W274" s="885"/>
      <c r="X274" s="885"/>
      <c r="Y274" s="888"/>
      <c r="Z274" s="888"/>
      <c r="AA274" s="888"/>
      <c r="AB274" s="1082"/>
      <c r="AC274" s="1087"/>
      <c r="AD274" s="1098" t="str">
        <f t="shared" ref="AD274" si="4566">IF(LEFT(J263,7)="Clad Wo","Pella Wood Spr / Steel Pte","Steel Plate")</f>
        <v>Steel Plate</v>
      </c>
      <c r="AE274" s="1099"/>
      <c r="AF274" s="1096"/>
      <c r="AG274" s="1097"/>
      <c r="AH274" s="1097"/>
      <c r="AI274" s="1094"/>
      <c r="AJ274" s="1095"/>
      <c r="AK274" s="163" t="str">
        <f t="shared" ca="1" si="3667"/>
        <v/>
      </c>
      <c r="AL274" s="1060"/>
      <c r="AM274" s="345" t="str">
        <f ca="1">IFERROR(Q263/12*ROUND(VLOOKUP(AF274,OFFSET(SPM,0,1),6,FALSE),2),"")</f>
        <v/>
      </c>
      <c r="AN274" t="str">
        <f t="shared" ca="1" si="3717"/>
        <v/>
      </c>
      <c r="AP274" s="699" t="str">
        <f t="shared" ref="AP274" si="4567">_xlfn.CONCAT(AR274,AS274)</f>
        <v/>
      </c>
      <c r="AQ274" s="700" t="str">
        <f t="shared" si="3881"/>
        <v/>
      </c>
      <c r="AR274" s="160" t="str">
        <f t="shared" si="3642"/>
        <v/>
      </c>
      <c r="AS274" s="160" t="str">
        <f>IFERROR(VLOOKUP(J271, WallType,2,FALSE),"")</f>
        <v/>
      </c>
      <c r="AT274" s="707" t="str">
        <f>AL269</f>
        <v/>
      </c>
      <c r="AU274" s="708" t="e">
        <f t="shared" ca="1" si="3907"/>
        <v>#REF!</v>
      </c>
      <c r="AV274" s="709" t="str">
        <f ca="1">IFERROR(VLOOKUP(AU274,INDIRECT(AQ263),2,FALSE),"----")</f>
        <v>----</v>
      </c>
      <c r="AW274" s="710" t="e">
        <f t="shared" ca="1" si="3908"/>
        <v>#REF!</v>
      </c>
      <c r="AX274" s="709" t="str">
        <f ca="1">IFERROR(VLOOKUP(AW274,INDIRECT(AQ264),2,FALSE),"----")</f>
        <v>----</v>
      </c>
      <c r="AY274" s="710" t="e">
        <f t="shared" ca="1" si="3352"/>
        <v>#REF!</v>
      </c>
      <c r="AZ274" s="709" t="str">
        <f ca="1">IFERROR(VLOOKUP(AY274,INDIRECT(AQ265),2,FALSE),"----")</f>
        <v>----</v>
      </c>
      <c r="BA274" s="710" t="e">
        <f t="shared" ca="1" si="3353"/>
        <v>#REF!</v>
      </c>
      <c r="BB274" s="709" t="str">
        <f ca="1">IFERROR(VLOOKUP(BA274,INDIRECT(AQ266),2,FALSE),"----")</f>
        <v>----</v>
      </c>
      <c r="BC274" s="710" t="e">
        <f t="shared" ca="1" si="3911"/>
        <v>#REF!</v>
      </c>
      <c r="BD274" s="709" t="str">
        <f ca="1">IFERROR(VLOOKUP(BC274,INDIRECT(AQ267),2,FALSE),"----")</f>
        <v>----</v>
      </c>
      <c r="BE274" s="710" t="e">
        <f t="shared" ca="1" si="3912"/>
        <v>#REF!</v>
      </c>
      <c r="BF274" s="709" t="str">
        <f ca="1">IFERROR(VLOOKUP(BE274,INDIRECT(AQ268),2,FALSE),"----")</f>
        <v>----</v>
      </c>
      <c r="BG274" s="710" t="e">
        <f t="shared" ca="1" si="3913"/>
        <v>#REF!</v>
      </c>
      <c r="BH274" s="711" t="str">
        <f ca="1">IFERROR(VLOOKUP(BG274,INDIRECT(AQ269),2,FALSE),"----")</f>
        <v>----</v>
      </c>
      <c r="BI274" s="710" t="e">
        <f t="shared" ca="1" si="3914"/>
        <v>#REF!</v>
      </c>
      <c r="BJ274" s="711" t="str">
        <f ca="1">IFERROR(VLOOKUP(BI274,INDIRECT(AQ270),2,FALSE),"----")</f>
        <v>----</v>
      </c>
      <c r="BK274" s="710" t="e">
        <f t="shared" ca="1" si="3915"/>
        <v>#REF!</v>
      </c>
      <c r="BL274" s="711" t="str">
        <f ca="1">IFERROR(VLOOKUP(BK274,INDIRECT(AQ271),2,FALSE),"----")</f>
        <v>----</v>
      </c>
      <c r="BM274" s="710" t="e">
        <f t="shared" ca="1" si="3916"/>
        <v>#REF!</v>
      </c>
      <c r="BN274" s="711" t="str">
        <f ca="1">IFERROR(VLOOKUP(BM274,INDIRECT(AQ272),2,FALSE),"----")</f>
        <v>----</v>
      </c>
      <c r="BO274" s="710" t="e">
        <f t="shared" ca="1" si="3917"/>
        <v>#REF!</v>
      </c>
      <c r="BP274" s="711" t="str">
        <f ca="1">IFERROR(VLOOKUP(BO274,INDIRECT(AQ273),2,FALSE),"----")</f>
        <v>----</v>
      </c>
      <c r="BQ274" s="710" t="e">
        <f t="shared" ca="1" si="3918"/>
        <v>#REF!</v>
      </c>
      <c r="BR274" s="712" t="str">
        <f ca="1">IFERROR(VLOOKUP(BQ274,INDIRECT(AQ274),2,FALSE),"----")</f>
        <v>----</v>
      </c>
      <c r="BS274" s="695">
        <f>IF(AI274="",1,IF(COUNTIF(BR263:BR274,AI274)=0,2,1))</f>
        <v>1</v>
      </c>
      <c r="BT274" s="713">
        <f>IF(AF274="",1,IF(BR263=".",2,1))</f>
        <v>1</v>
      </c>
      <c r="BV274" s="155">
        <f ca="1">IF(COUNTIF(EH263:EH274,AF274)=0,IF(AF274&lt;&gt;"",0,1),1)</f>
        <v>1</v>
      </c>
      <c r="BW274" s="157">
        <f ca="1">IFERROR(MATCH(AF274,EH263:EH274,0),1)</f>
        <v>1</v>
      </c>
      <c r="BX274" s="718"/>
      <c r="BY274" s="777"/>
      <c r="BZ274" s="1110"/>
      <c r="CA274" s="714" t="e">
        <f t="shared" ca="1" si="4391"/>
        <v>#REF!</v>
      </c>
      <c r="CB274" s="715" t="e" cm="1">
        <f t="array" aca="1" ref="CB274" ca="1">IF(AND(INDEX(INDIRECT(BY263),CA274,4)&gt;=$AB263,INDEX(INDIRECT(BY263),CA274,5)&gt;=$S263,INDEX(INDIRECT(BY263),CA274,6)&gt;=$R263),1,0)</f>
        <v>#REF!</v>
      </c>
      <c r="CC274" s="715" t="e">
        <f t="shared" ref="CC274" ca="1" si="4568">MATCH(1,OFFSET(CB263:CB274,CD273,0,COUNT(CB263:CB274)-CD273),0)</f>
        <v>#REF!</v>
      </c>
      <c r="CD274" s="715" t="e">
        <f t="shared" ca="1" si="4393"/>
        <v>#REF!</v>
      </c>
      <c r="CE274" s="716" t="str" cm="1">
        <f t="array" aca="1" ref="CE274" ca="1">IFERROR(VLOOKUP(INDEX(CA263:CA274,CD274),INDIRECT(BY263),2,FALSE),"----")</f>
        <v>----</v>
      </c>
      <c r="CF274" s="714" t="e">
        <f t="shared" ca="1" si="4394"/>
        <v>#N/A</v>
      </c>
      <c r="CG274" s="715" t="e">
        <f ca="1">IF(AND(INDEX(SSM,CF274,4)&gt;=$AB263,INDEX(SSM,CF274,5)&gt;=$S263,INDEX(SSM,CF274,6)&gt;=$R263),1,0)</f>
        <v>#N/A</v>
      </c>
      <c r="CH274" s="715" t="e">
        <f t="shared" ref="CH274" ca="1" si="4569">MATCH(1,OFFSET(CG263:CG274,CI273,0,COUNT(CG263:CG274)-CI273),0)</f>
        <v>#REF!</v>
      </c>
      <c r="CI274" s="715" t="e">
        <f t="shared" ca="1" si="4396"/>
        <v>#REF!</v>
      </c>
      <c r="CJ274" s="716" t="str">
        <f ca="1">IFERROR(IF(AD264="Nested Steel Stud (wood infill)",VLOOKUP(INDEX(CF263:CF274,CI274),SSW,2,FALSE),VLOOKUP(INDEX(CF263:CF274,CI274),SSM,2,FALSE)),"----")</f>
        <v>----</v>
      </c>
      <c r="CK274" s="714" t="e">
        <f t="shared" ca="1" si="4397"/>
        <v>#N/A</v>
      </c>
      <c r="CL274" s="715" t="e">
        <f ca="1">IF(AND(INDEX(WSM,CK274,4)&gt;=$AB263,INDEX(WSM,CK274,5)&gt;=$S263,INDEX(WSM,CK274,6)&gt;=$R263),1,0)</f>
        <v>#N/A</v>
      </c>
      <c r="CM274" s="715" t="e">
        <f t="shared" ref="CM274" ca="1" si="4570">MATCH(1,OFFSET(CL263:CL274,CN273,0,COUNT(CL263:CL274)-CN273),0)</f>
        <v>#REF!</v>
      </c>
      <c r="CN274" s="715" t="e">
        <f t="shared" ca="1" si="4399"/>
        <v>#REF!</v>
      </c>
      <c r="CO274" s="716" t="str">
        <f ca="1">IFERROR(VLOOKUP(INDEX(CK263:CK274,CN274),WSM,2,FALSE),"----")</f>
        <v>----</v>
      </c>
      <c r="CP274" s="714" t="e">
        <f t="shared" ca="1" si="4400"/>
        <v>#N/A</v>
      </c>
      <c r="CQ274" s="715" t="e">
        <f ca="1">IF(AND(INDEX(STM,CP274,4)&gt;=$AB263,INDEX(STM,CP274,5)&gt;=$S263,INDEX(STM,CP274,6)&gt;=$R263),1,0)</f>
        <v>#N/A</v>
      </c>
      <c r="CR274" s="715" t="e">
        <f t="shared" ref="CR274" ca="1" si="4571">MATCH(1,OFFSET(CQ263:CQ274,CS273,0,COUNT(CQ263:CQ274)-CS273),0)</f>
        <v>#REF!</v>
      </c>
      <c r="CS274" s="715" t="e">
        <f t="shared" ca="1" si="4402"/>
        <v>#REF!</v>
      </c>
      <c r="CT274" s="716" t="str">
        <f ca="1">IFERROR(VLOOKUP(INDEX(CP263:CP274,CS274),STM,2,FALSE),"----")</f>
        <v>----</v>
      </c>
      <c r="CU274" s="714" t="e">
        <f t="shared" ca="1" si="4403"/>
        <v>#N/A</v>
      </c>
      <c r="CV274" s="715" t="e">
        <f ca="1">IF(AND(INDEX(ELM,CU274,4)&gt;=$AB263,INDEX(ELM,CU274,5)&gt;=$S263,INDEX(ELM,CU274,6)&gt;=$R263),1,0)</f>
        <v>#N/A</v>
      </c>
      <c r="CW274" s="715" t="e">
        <f t="shared" ref="CW274" ca="1" si="4572">MATCH(1,OFFSET(CV263:CV274,CX273,0,COUNT(CV263:CV274)-CX273),0)</f>
        <v>#REF!</v>
      </c>
      <c r="CX274" s="715" t="e">
        <f t="shared" ca="1" si="4405"/>
        <v>#REF!</v>
      </c>
      <c r="CY274" s="716" t="str">
        <f ca="1">IFERROR(VLOOKUP(INDEX(CU263:CU274,CX274),ELM,2,FALSE),"----")</f>
        <v>----</v>
      </c>
      <c r="CZ274" s="714" t="e">
        <f t="shared" ca="1" si="4406"/>
        <v>#N/A</v>
      </c>
      <c r="DA274" s="715" t="e">
        <f ca="1">IF(LEFT($J263,7)="Clad Wo",IF(AND(INDEX(SPPWS,CZ274,4)&gt;=$AB263,INDEX(SPPWS,CZ274,5)&gt;=$S263,INDEX(SPPWS,CZ274,6)&gt;=$R263),1,0),IF(AND(INDEX(SPM,CZ274,4)&gt;=$AB263,INDEX(SPM,CZ274,5)&gt;=$S263,INDEX(SPM,CZ274,6)&gt;=$R263),1,0))</f>
        <v>#N/A</v>
      </c>
      <c r="DB274" s="715" t="e">
        <f t="shared" ref="DB274" ca="1" si="4573">MATCH(1,OFFSET(DA263:DA274,DC273,0,COUNT(DA263:DA274)-DC273),0)</f>
        <v>#REF!</v>
      </c>
      <c r="DC274" s="715" t="e">
        <f t="shared" ca="1" si="4408"/>
        <v>#REF!</v>
      </c>
      <c r="DD274" s="717" t="str">
        <f ca="1">IF(LEFT($J263,7)="Clad Wo",IFERROR(VLOOKUP(INDEX(CZ263:CZ274,DC274),SPPWS,2,FALSE),"----"),IFERROR(VLOOKUP(INDEX(CZ263:CZ274,DC274),SPM,2,FALSE),"----"))</f>
        <v>----</v>
      </c>
      <c r="DE274" s="714" t="e">
        <f t="shared" ca="1" si="4409"/>
        <v>#REF!</v>
      </c>
      <c r="DF274" s="715" t="e" cm="1">
        <f t="array" aca="1" ref="DF274" ca="1">IF(AND(INDEX(INDIRECT(BY263),DE274,4)&gt;=$AB269,INDEX(INDIRECT(BY263),DE274,5)&gt;=$S263,INDEX(INDIRECT(BY263),DE274,6)&gt;=$R263),1,0)</f>
        <v>#REF!</v>
      </c>
      <c r="DG274" s="715" t="e">
        <f t="shared" ref="DG274" ca="1" si="4574">MATCH(1,OFFSET(DF263:DF274,DH273,0,COUNT(DF263:DF274)-DH273),0)</f>
        <v>#REF!</v>
      </c>
      <c r="DH274" s="715" t="e">
        <f t="shared" ca="1" si="4411"/>
        <v>#REF!</v>
      </c>
      <c r="DI274" s="716" t="str" cm="1">
        <f t="array" aca="1" ref="DI274" ca="1">IFERROR(VLOOKUP(INDEX(DE263:DE274,DH274),INDIRECT(BY263),2,FALSE),"----")</f>
        <v>----</v>
      </c>
      <c r="DJ274" s="714" t="e">
        <f t="shared" ca="1" si="4412"/>
        <v>#N/A</v>
      </c>
      <c r="DK274" s="715" t="e">
        <f ca="1">IF(AND(INDEX(SSM,DJ274,4)&gt;=$AB269,INDEX(SSM,DJ274,5)&gt;=$S263,INDEX(SSM,DJ274,6)&gt;=$R263),1,0)</f>
        <v>#N/A</v>
      </c>
      <c r="DL274" s="715" t="e">
        <f t="shared" ref="DL274" ca="1" si="4575">MATCH(1,OFFSET(DK263:DK274,DM273,0,COUNT(DK263:DK274)-DM273),0)</f>
        <v>#REF!</v>
      </c>
      <c r="DM274" s="715" t="e">
        <f t="shared" ca="1" si="4414"/>
        <v>#REF!</v>
      </c>
      <c r="DN274" s="716" t="str">
        <f ca="1">IFERROR(IF(AD270="Nested Steel Stud (wood infill)",VLOOKUP(INDEX(DJ263:DJ274,DM274),SSW,2,FALSE),VLOOKUP(INDEX(DJ263:DJ274,DM274),SSM,2,FALSE)),"----")</f>
        <v>----</v>
      </c>
      <c r="DO274" s="714" t="e">
        <f t="shared" ca="1" si="4415"/>
        <v>#N/A</v>
      </c>
      <c r="DP274" s="715" t="e">
        <f ca="1">IF(AND(INDEX(WSM,DO274,4)&gt;=$AB269,INDEX(WSM,DO274,5)&gt;=$S263,INDEX(WSM,DO274,6)&gt;=$R263),1,0)</f>
        <v>#N/A</v>
      </c>
      <c r="DQ274" s="715" t="e">
        <f t="shared" ref="DQ274" ca="1" si="4576">MATCH(1,OFFSET(DP263:DP274,DR273,0,COUNT(DP263:DP274)-DR273),0)</f>
        <v>#REF!</v>
      </c>
      <c r="DR274" s="715" t="e">
        <f t="shared" ca="1" si="4417"/>
        <v>#REF!</v>
      </c>
      <c r="DS274" s="716" t="str">
        <f ca="1">IFERROR(VLOOKUP(INDEX(DO263:DO274,DR274),WSM,2,FALSE),"----")</f>
        <v>----</v>
      </c>
      <c r="DT274" s="714" t="e">
        <f t="shared" ca="1" si="4418"/>
        <v>#N/A</v>
      </c>
      <c r="DU274" s="715" t="e">
        <f ca="1">IF(AND(INDEX(STM,DT274,4)&gt;=$AB269,INDEX(STM,DT274,5)&gt;=$S263,INDEX(STM,DT274,6)&gt;=$R263),1,0)</f>
        <v>#N/A</v>
      </c>
      <c r="DV274" s="715" t="e">
        <f t="shared" ref="DV274" ca="1" si="4577">MATCH(1,OFFSET(DU263:DU274,DW273,0,COUNT(DU263:DU274)-DW273),0)</f>
        <v>#REF!</v>
      </c>
      <c r="DW274" s="715" t="e">
        <f t="shared" ca="1" si="4420"/>
        <v>#REF!</v>
      </c>
      <c r="DX274" s="716" t="str">
        <f ca="1">IFERROR(VLOOKUP(INDEX(DT263:DT274,DW274),STM,2,FALSE),"----")</f>
        <v>----</v>
      </c>
      <c r="DY274" s="714" t="e">
        <f t="shared" ca="1" si="4421"/>
        <v>#N/A</v>
      </c>
      <c r="DZ274" s="715" t="e">
        <f ca="1">IF(AND(INDEX(ELM,DY274,4)&gt;=$AB269,INDEX(ELM,DY274,5)&gt;=$S263,INDEX(ELM,DY274,6)&gt;=$R263),1,0)</f>
        <v>#N/A</v>
      </c>
      <c r="EA274" s="715" t="e">
        <f t="shared" ref="EA274" ca="1" si="4578">MATCH(1,OFFSET(DZ263:DZ274,EB273,0,COUNT(DZ263:DZ274)-EB273),0)</f>
        <v>#REF!</v>
      </c>
      <c r="EB274" s="715" t="e">
        <f t="shared" ca="1" si="4423"/>
        <v>#REF!</v>
      </c>
      <c r="EC274" s="716" t="str">
        <f ca="1">IFERROR(VLOOKUP(INDEX(DY263:DY274,EB274),ELM,2,FALSE),"----")</f>
        <v>----</v>
      </c>
      <c r="ED274" s="714" t="e">
        <f t="shared" ca="1" si="4424"/>
        <v>#N/A</v>
      </c>
      <c r="EE274" s="715" t="e">
        <f ca="1">IF(LEFT($J263,7)="Clad Wo",IF(AND(INDEX(SPPWS,ED274,4)&gt;=$AB269,INDEX(SPPWS,ED274,5)&gt;=$S263,INDEX(SPPWS,ED274,6)&gt;=$R263),1,0),IF(AND(INDEX(SPM,ED274,4)&gt;=$AB269,INDEX(SPM,ED274,5)&gt;=$S263,INDEX(SPM,ED274,6)&gt;=$R263),1,0))</f>
        <v>#N/A</v>
      </c>
      <c r="EF274" s="715" t="e">
        <f t="shared" ref="EF274" ca="1" si="4579">MATCH(1,OFFSET(EE263:EE274,EG273,0,COUNT(EE263:EE274)-EG273),0)</f>
        <v>#REF!</v>
      </c>
      <c r="EG274" s="715" t="e">
        <f t="shared" ca="1" si="4426"/>
        <v>#REF!</v>
      </c>
      <c r="EH274" s="716" t="str">
        <f ca="1">IF(LEFT($J263,7)="Clad Wo",IFERROR(VLOOKUP(INDEX(ED263:ED274,EG274),SPPWS,2,FALSE),"----"),IFERROR(VLOOKUP(INDEX(ED263:ED274,EG274),SPM,2,FALSE),"----"))</f>
        <v>----</v>
      </c>
    </row>
    <row r="275" spans="1:138" ht="15" customHeight="1" thickTop="1" x14ac:dyDescent="0.25">
      <c r="A275" s="1085"/>
      <c r="B275" s="931" t="s">
        <v>92</v>
      </c>
      <c r="C275" s="932"/>
      <c r="D275" s="933"/>
      <c r="E275" s="992"/>
      <c r="F275" s="993"/>
      <c r="G275" s="994"/>
      <c r="H275" s="1061"/>
      <c r="I275" s="989"/>
      <c r="J275" s="906"/>
      <c r="K275" s="907"/>
      <c r="L275" s="1001">
        <f>$W$3</f>
        <v>4</v>
      </c>
      <c r="M275" s="923" t="str">
        <f t="shared" ref="M275" si="4580">IFERROR(IF($AE$13="",IF($AG$19="Wind Loading",MIN($V$31,IF(E$11="ASCE 7-05",$U$26,$V$7)*$V$9*(IF($E$12&lt;60,0.0771*LN(MAX(MIN(500,O275),10)) -1.2737,IF($E$11="ASCE 7-22",0.0524*LN(MAX(MIN(500,O275),50))-1.0278,0.0614*LN(MAX(MIN(500,O275),20)) -1.0829))-$V$8)),$V$7*IF(E$12&lt;60,$V$13*($V$15*0.0771*LN(MAX(MIN(500,O275),10))-1.2737-$V$16),$V$13*$V$15*((0.0524*LN(MAX(MIN(500,O275),20))-1.0278)-$V$16))),-ABS($AE$13)),"")</f>
        <v/>
      </c>
      <c r="N275" s="1042" t="str">
        <f t="shared" ref="N275" si="4581">IFERROR(IF($AE$15="",IF($AG$19="Wind Loading",MAX($U$31,IF(E$11="ASCE 7-05",$U$26,$V$7)*$V$9*((IF($E$12&lt;60,-0.077*LN(MAX(MIN(500,O275),10))+1.1737,IF($E$11="ASCE 7-22",-0.077*LN(MAX(MIN(500,O275),20))+1.0798,-0.093*LN(MAX(MIN(500,O275),20))+1.1776)))+$V$8)),$V$7*IF(E$12&lt;60,$V$13*($V$15*(-0.077*LN(MAX(MIN(500,O275),10))+1.1737)-$V$17),$V$13*$V$15*((-0.077*LN(MAX(MIN(500,O275),20))+1.0798)-$V$17))),ABS($AE$15)),"")</f>
        <v/>
      </c>
      <c r="O275" s="1017" t="str">
        <f>IF(BX282=0,"",IF(AG$14="Trapezoidal",BY282,BX282))</f>
        <v/>
      </c>
      <c r="P275" s="986"/>
      <c r="Q275" s="1014"/>
      <c r="R275" s="1011">
        <f>P275*Q275/8</f>
        <v>0</v>
      </c>
      <c r="S275" s="1004">
        <f t="shared" ref="S275" si="4582">IF(5*(P275*Q275^3/(384*0.125))=0,0,5*(P275*Q275^3/(384*0.125)))</f>
        <v>0</v>
      </c>
      <c r="T275" s="1005"/>
      <c r="U275" s="877" t="e">
        <f ca="1">VLOOKUP(J279,INDIRECT(VLOOKUP(J275,FrameStrength,2,FALSE)),3,FALSE)</f>
        <v>#N/A</v>
      </c>
      <c r="V275" s="880">
        <f t="shared" ref="V275" si="4583">(H275+I275)/2</f>
        <v>0</v>
      </c>
      <c r="W275" s="883" t="e">
        <f t="shared" ref="W275" si="4584">MAX(-M275,N275)*O275</f>
        <v>#VALUE!</v>
      </c>
      <c r="X275" s="883">
        <f t="shared" ref="X275" si="4585">IF(E275&gt;162,(E275/240+0.25),IF(AND(E275&lt;162,E275/175&lt;0.75),E275/175,0.75))</f>
        <v>0</v>
      </c>
      <c r="Y275" s="886">
        <f>IFERROR(IF(AG$14="Trapezoidal",BY283,BX283)+IF($E$17="4",(400*E275^3)/(48*X275),0),0)</f>
        <v>0</v>
      </c>
      <c r="Z275" s="886" t="e">
        <f t="shared" ref="Z275" si="4586">+($V275*MAX(-$M275,$N275)*$E275^2)/(144*8)+IF($E$17=4,(400*$E275)/4,0)</f>
        <v>#VALUE!</v>
      </c>
      <c r="AA275" s="886" t="e">
        <f ca="1">VLOOKUP(J279,INDIRECT(VLOOKUP(J275,FrameStrength,2,FALSE)),2,FALSE)</f>
        <v>#N/A</v>
      </c>
      <c r="AB275" s="1083" t="str">
        <f t="shared" ref="AB275" ca="1" si="4587">IFERROR(Z275-AA275,"")</f>
        <v/>
      </c>
      <c r="AC275" s="1077" t="str">
        <f t="shared" ref="AC275" ca="1" si="4588">IFERROR(Y275-U275,"")</f>
        <v/>
      </c>
      <c r="AD275" s="1100" t="str">
        <f>IFERROR(IF(LEFT(J279,2)="As",VLOOKUP(J279,EIMM,4,FALSE),VLOOKUP(J275,EIMM,4,FALSE)),IF(AND(ISNUMBER(SEARCH("Impervia",J275)),ISNUMBER(SEARCH("door",J279))),'New Lookup Cells'!AF$10,IF(ISNUMBER(SEARCH("Impervia",J275)),'New Lookup Cells'!AF$7,IF(AND(ISNUMBER(SEARCH("250",J275)),ISNUMBER(SEARCH("door",J279))),'New Lookup Cells'!AF$14,IF(ISNUMBER(SEARCH("250",J275)),'New Lookup Cells'!AF$13,"")))))</f>
        <v/>
      </c>
      <c r="AE275" s="1101"/>
      <c r="AF275" s="1050"/>
      <c r="AG275" s="1051"/>
      <c r="AH275" s="1051"/>
      <c r="AI275" s="1088"/>
      <c r="AJ275" s="1089"/>
      <c r="AK275" s="154" t="str">
        <f t="shared" ca="1" si="3667"/>
        <v/>
      </c>
      <c r="AL275" s="1038" t="str">
        <f t="shared" ref="AL275" si="4589">IFERROR(ROUND(SQRT(P275^2+(W275/2+IF($E$17=4,200,0))^2),0),"")</f>
        <v/>
      </c>
      <c r="AM275" s="342" t="s">
        <v>669</v>
      </c>
      <c r="AN275" t="str">
        <f t="shared" ca="1" si="3717"/>
        <v/>
      </c>
      <c r="AP275" s="122" t="str">
        <f t="shared" ref="AP275" si="4590">_xlfn.CONCAT(AR275,AS280)</f>
        <v/>
      </c>
      <c r="AQ275" s="683" t="str">
        <f t="shared" si="3881"/>
        <v/>
      </c>
      <c r="AR275" s="96" t="str">
        <f t="shared" si="3642"/>
        <v/>
      </c>
      <c r="AS275" s="96" t="str">
        <f>IF(COUNTIF(imp_1,AF275)=1,"imp_1",IF(COUNTIF(imp_2,AF275)=1,"imp_2",IF(COUNTIF(imp_3,AF275)=1,"imp_3",IF(COUNTIF(impdoor,AF275)=1,"impdoor",""))))</f>
        <v/>
      </c>
      <c r="AT275" s="684" t="str">
        <f>AL275</f>
        <v/>
      </c>
      <c r="AU275" s="685" t="e">
        <f ca="1">MATCH(AL275,INDIRECT(AP275),-1)</f>
        <v>#REF!</v>
      </c>
      <c r="AV275" s="686" t="str">
        <f ca="1">IFERROR(VLOOKUP(AU275,INDIRECT(AQ275),2,FALSE),"----")</f>
        <v>----</v>
      </c>
      <c r="AW275" s="685" t="e">
        <f ca="1">MATCH(AL275,INDIRECT(AP276),-1)</f>
        <v>#REF!</v>
      </c>
      <c r="AX275" s="686" t="str">
        <f ca="1">IFERROR(VLOOKUP(AW275,INDIRECT(AQ276),2,FALSE),"----")</f>
        <v>----</v>
      </c>
      <c r="AY275" s="685" t="e">
        <f ca="1">MATCH(AL275,INDIRECT(AP277),-1)</f>
        <v>#REF!</v>
      </c>
      <c r="AZ275" s="686" t="str">
        <f ca="1">IFERROR(VLOOKUP(AY275,INDIRECT(AQ277),2,FALSE),"----")</f>
        <v>----</v>
      </c>
      <c r="BA275" s="685" t="e">
        <f ca="1">MATCH(AL275,INDIRECT(AP278),-1)</f>
        <v>#REF!</v>
      </c>
      <c r="BB275" s="686" t="str">
        <f ca="1">IFERROR(VLOOKUP(BA275,INDIRECT(AQ278),2,FALSE),"----")</f>
        <v>----</v>
      </c>
      <c r="BC275" s="685" t="e">
        <f ca="1">MATCH(AL275,INDIRECT(AP279),-1)</f>
        <v>#REF!</v>
      </c>
      <c r="BD275" s="686" t="str">
        <f ca="1">IFERROR(VLOOKUP(BC275,INDIRECT(AQ279),2,FALSE),"----")</f>
        <v>----</v>
      </c>
      <c r="BE275" s="685" t="e">
        <f ca="1">MATCH(AL275,INDIRECT(AP280),-1)</f>
        <v>#REF!</v>
      </c>
      <c r="BF275" s="686" t="str">
        <f ca="1">IFERROR(VLOOKUP(BE275,INDIRECT(AQ280),2,FALSE),"----")</f>
        <v>----</v>
      </c>
      <c r="BG275" s="685" t="e">
        <f ca="1">MATCH(AL281,INDIRECT(AP281),-1)</f>
        <v>#REF!</v>
      </c>
      <c r="BH275" s="686" t="str">
        <f ca="1">IFERROR(VLOOKUP(BG275,INDIRECT(AQ281),2,FALSE),"----")</f>
        <v>----</v>
      </c>
      <c r="BI275" s="685" t="e">
        <f ca="1">MATCH(AL281,INDIRECT(AP282),-1)</f>
        <v>#REF!</v>
      </c>
      <c r="BJ275" s="686" t="str">
        <f ca="1">IFERROR(VLOOKUP(BI275,INDIRECT(AQ282),2,FALSE),"----")</f>
        <v>----</v>
      </c>
      <c r="BK275" s="685" t="e">
        <f ca="1">MATCH(AL281,INDIRECT(AP283),-1)</f>
        <v>#REF!</v>
      </c>
      <c r="BL275" s="686" t="str">
        <f ca="1">IFERROR(VLOOKUP(BK275,INDIRECT(AQ283),2,FALSE),"----")</f>
        <v>----</v>
      </c>
      <c r="BM275" s="685" t="e">
        <f ca="1">MATCH(AL281,INDIRECT(AP284),-1)</f>
        <v>#REF!</v>
      </c>
      <c r="BN275" s="686" t="str">
        <f ca="1">IFERROR(VLOOKUP(BM275,INDIRECT(AQ284),2,FALSE),"----")</f>
        <v>----</v>
      </c>
      <c r="BO275" s="685" t="e">
        <f ca="1">MATCH(AL281,INDIRECT(AP285),-1)</f>
        <v>#REF!</v>
      </c>
      <c r="BP275" s="686" t="str">
        <f ca="1">IFERROR(VLOOKUP(BO275,INDIRECT(AQ285),2,FALSE),"----")</f>
        <v>----</v>
      </c>
      <c r="BQ275" s="685" t="e">
        <f ca="1">MATCH(AL281,INDIRECT(AP286),-1)</f>
        <v>#REF!</v>
      </c>
      <c r="BR275" s="686" t="str">
        <f ca="1">IFERROR(VLOOKUP(BQ275,INDIRECT(AQ286),2,FALSE),"----")</f>
        <v>----</v>
      </c>
      <c r="BS275" s="687">
        <f>IF(AI275="",1,IF(COUNTIF(AV275:AV286,AI275)=0,2,1))</f>
        <v>1</v>
      </c>
      <c r="BT275" s="688">
        <f>IF(AP275="1",1,IF(AF275="",1,IF(AV275=".",2,1)))</f>
        <v>1</v>
      </c>
      <c r="BU275" s="706"/>
      <c r="BV275" s="155">
        <f ca="1">IF(COUNTIF(CE275:CE286,AF275)=0,IF(AF275&lt;&gt;"",0,1),1)</f>
        <v>1</v>
      </c>
      <c r="BW275" s="157">
        <f ca="1">IFERROR(MATCH(AF275,CE275:CE286,0),1)</f>
        <v>1</v>
      </c>
      <c r="BX275" s="769" t="str">
        <f>IFERROR(IF(LEFT(J279,2)="As",VLOOKUP(J279,EIMM,2,FALSE),IF(AND(ISNUMBER(SEARCH("Impervia",J275)),ISNUMBER(SEARCH("door",J279))),VLOOKUP("Impervia Door",EIMM,2,FALSE),IF(AND(ISNUMBER(SEARCH("250",J275)),ISNUMBER(SEARCH("door",J279))),VLOOKUP("250 Series Door",EIMM,2,FALSE),VLOOKUP(J275,EIMM,2,FALSE)))),"")</f>
        <v/>
      </c>
      <c r="BY275" s="769" t="str">
        <f ca="1">IFERROR(VLOOKUP(BX275,OFFSET(EIMM,0,1),2,FALSE),"")</f>
        <v/>
      </c>
      <c r="BZ275" s="1110" t="e">
        <f ca="1">IF((COUNTIF(INDIRECT(SUBSTITUTE(J275," ","_")),J279))=0,IF(J279="",1,0),1)</f>
        <v>#REF!</v>
      </c>
      <c r="CA275" s="691" t="e">
        <f ca="1">MATCH(AC275,INDIRECT(BX275),-1)</f>
        <v>#REF!</v>
      </c>
      <c r="CB275" s="4" t="e" cm="1">
        <f t="array" aca="1" ref="CB275" ca="1">IF(AND(INDEX(INDIRECT(BY275),CA275,4)&gt;=$AB275,INDEX(INDIRECT(BY275),CA275,5)&gt;=$S275,INDEX(INDIRECT(BY275),CA275,6)&gt;=$R275),1,0)</f>
        <v>#REF!</v>
      </c>
      <c r="CC275" s="4" t="e">
        <f t="shared" ref="CC275" ca="1" si="4591">MATCH(1,OFFSET(CB275:CB286,$W$2,0,COUNT(CB275:CB286)-$W$2),0)</f>
        <v>#REF!</v>
      </c>
      <c r="CD275" s="4" t="e">
        <f t="shared" ref="CD275" ca="1" si="4592">$W$2+CC275</f>
        <v>#REF!</v>
      </c>
      <c r="CE275" s="692" t="str" cm="1">
        <f t="array" aca="1" ref="CE275" ca="1">IFERROR(VLOOKUP(INDEX(CA275:CA286,CD275),INDIRECT(BY275),2,FALSE),"----")</f>
        <v>----</v>
      </c>
      <c r="CF275" s="691" t="e">
        <f ca="1">MATCH($AC275,SSEI,-1)</f>
        <v>#N/A</v>
      </c>
      <c r="CG275" s="4" t="e">
        <f ca="1">IF(AND(INDEX(SSM,CF275,4)&gt;=$AB275,INDEX(SSM,CF275,5)&gt;=$S275,INDEX(SSM,CF275,6)&gt;=$R275),1,0)</f>
        <v>#N/A</v>
      </c>
      <c r="CH275" s="4" t="e">
        <f t="shared" ref="CH275" ca="1" si="4593">MATCH(1,OFFSET(CG275:CG286,$W$2,0,COUNT(CG275:CG286)-$W$2),0)</f>
        <v>#REF!</v>
      </c>
      <c r="CI275" s="4" t="e">
        <f t="shared" ref="CI275" ca="1" si="4594">$W$2+CH275</f>
        <v>#REF!</v>
      </c>
      <c r="CJ275" s="692" t="str">
        <f ca="1">IFERROR(IF(AD276="Nested Steel Stud (wood infill)",VLOOKUP(INDEX(CF275:CF286,CI275),SSW,2,FALSE),VLOOKUP(INDEX(CF275:CF286,CI275),SSM,2,FALSE)),"----")</f>
        <v>----</v>
      </c>
      <c r="CK275" s="691" t="e">
        <f ca="1">MATCH($AC275,WSEI,-1)</f>
        <v>#N/A</v>
      </c>
      <c r="CL275" s="4" t="e">
        <f ca="1">IF(AND(INDEX(WSM,CK275,4)&gt;=$AB275,INDEX(WSM,CK275,5)&gt;=$S275,INDEX(WSM,CK275,6)&gt;=$R275),1,0)</f>
        <v>#N/A</v>
      </c>
      <c r="CM275" s="4" t="e">
        <f t="shared" ref="CM275" ca="1" si="4595">MATCH(1,OFFSET(CL275:CL286,$W$2,0,COUNT(CL275:CL286)-$W$2),0)</f>
        <v>#REF!</v>
      </c>
      <c r="CN275" s="4" t="e">
        <f t="shared" ref="CN275" ca="1" si="4596">$W$2+CM275</f>
        <v>#REF!</v>
      </c>
      <c r="CO275" s="692" t="str">
        <f ca="1">IFERROR(VLOOKUP(INDEX(CK275:CK286,CN275),WSM,2,FALSE),"----")</f>
        <v>----</v>
      </c>
      <c r="CP275" s="691" t="e">
        <f ca="1">MATCH($AC275,STEI,-1)</f>
        <v>#N/A</v>
      </c>
      <c r="CQ275" s="4" t="e">
        <f ca="1">IF(AND(INDEX(STM,CP275,4)&gt;=$AB275,INDEX(STM,CP275,5)&gt;=$S275,INDEX(STM,CP275,6)&gt;=$R275),1,0)</f>
        <v>#N/A</v>
      </c>
      <c r="CR275" s="4" t="e">
        <f t="shared" ref="CR275" ca="1" si="4597">MATCH(1,OFFSET(CQ275:CQ286,$W$2,0,COUNT(CQ275:CQ286)-$W$2),0)</f>
        <v>#REF!</v>
      </c>
      <c r="CS275" s="4" t="e">
        <f t="shared" ref="CS275" ca="1" si="4598">$W$2+CR275</f>
        <v>#REF!</v>
      </c>
      <c r="CT275" s="692" t="str">
        <f ca="1">IFERROR(VLOOKUP(INDEX(CP275:CP286,CS275),STM,2,FALSE),"----")</f>
        <v>----</v>
      </c>
      <c r="CU275" s="691" t="e">
        <f ca="1">MATCH($AC275,ELEI,-1)</f>
        <v>#N/A</v>
      </c>
      <c r="CV275" s="4" t="e">
        <f ca="1">IF(AND(INDEX(ELM,CU275,4)&gt;=$AB275,INDEX(ELM,CU275,5)&gt;=$S275,INDEX(ELM,CU275,6)&gt;=$R275),1,0)</f>
        <v>#N/A</v>
      </c>
      <c r="CW275" s="4" t="e">
        <f t="shared" ref="CW275" ca="1" si="4599">MATCH(1,OFFSET(CV275:CV286,$W$2,0,COUNT(CV275:CV286)-$W$2),0)</f>
        <v>#REF!</v>
      </c>
      <c r="CX275" s="4" t="e">
        <f t="shared" ref="CX275" ca="1" si="4600">$W$2+CW275</f>
        <v>#REF!</v>
      </c>
      <c r="CY275" s="692" t="str">
        <f ca="1">IFERROR(VLOOKUP(INDEX(CU275:CU286,CX275),ELM,2,FALSE),"----")</f>
        <v>----</v>
      </c>
      <c r="CZ275" s="691" t="e">
        <f ca="1">IF(LEFT($J275,7)="Clad Wo",MATCH($AC275,SPEIW,-1),MATCH($AC275,SPEI,-1))</f>
        <v>#N/A</v>
      </c>
      <c r="DA275" s="4" t="e">
        <f ca="1">IF(LEFT($J275,7)="Clad Wo",IF(AND(INDEX(SPPWS,CZ275,4)&gt;=$AB275,INDEX(SPPWS,CZ275,5)&gt;=$S275,INDEX(SPPWS,CZ275,6)&gt;=$R275),1,0),IF(AND(INDEX(SPM,CZ275,4)&gt;=$AB275,INDEX(SPM,CZ275,5)&gt;=$S275,INDEX(SPM,CZ275,6)&gt;=$R275),1,0))</f>
        <v>#N/A</v>
      </c>
      <c r="DB275" s="4" t="e">
        <f t="shared" ref="DB275" ca="1" si="4601">MATCH(1,OFFSET(DA275:DA286,$W$2,0,COUNT(DA275:DA286)-$W$2),0)</f>
        <v>#REF!</v>
      </c>
      <c r="DC275" s="4" t="e">
        <f t="shared" ref="DC275" ca="1" si="4602">$W$2+DB275</f>
        <v>#REF!</v>
      </c>
      <c r="DD275" s="693" t="str">
        <f ca="1">IF(LEFT($J275,7)="Clad Wo",IFERROR(VLOOKUP(INDEX(CZ275:CZ286,DC275),SPPWS,2,FALSE),"----"),IFERROR(VLOOKUP(INDEX(CZ275:CZ286,DC275),SPM,2,FALSE),"----"))</f>
        <v>----</v>
      </c>
      <c r="DE275" s="691" t="e">
        <f ca="1">MATCH(AC281,INDIRECT(BX275),-1)</f>
        <v>#REF!</v>
      </c>
      <c r="DF275" s="4" t="e" cm="1">
        <f t="array" aca="1" ref="DF275" ca="1">IF(AND(INDEX(INDIRECT(BY275),DE275,4)&gt;=$AB281,INDEX(INDIRECT(BY275),DE275,5)&gt;=$S275,INDEX(INDIRECT(BY275),DE275,6)&gt;=$R275),1,0)</f>
        <v>#REF!</v>
      </c>
      <c r="DG275" s="4" t="e">
        <f t="shared" ref="DG275" ca="1" si="4603">MATCH(1,OFFSET(DF275:DF286,$W$2,0,COUNT(DF275:DF286)-$W$2),0)</f>
        <v>#REF!</v>
      </c>
      <c r="DH275" s="4" t="e">
        <f t="shared" ref="DH275" ca="1" si="4604">$W$2+DG275</f>
        <v>#REF!</v>
      </c>
      <c r="DI275" s="692" t="str" cm="1">
        <f t="array" aca="1" ref="DI275" ca="1">IFERROR(VLOOKUP(INDEX(DE275:DE286,DH275),INDIRECT(BY275),2,FALSE),"----")</f>
        <v>----</v>
      </c>
      <c r="DJ275" s="691" t="e">
        <f ca="1">MATCH($AC281,SSEI,-1)</f>
        <v>#N/A</v>
      </c>
      <c r="DK275" s="4" t="e">
        <f ca="1">IF(AND(INDEX(SSM,DJ275,4)&gt;=$AB281,INDEX(SSM,DJ275,5)&gt;=$S275,INDEX(SSM,DJ275,6)&gt;=$R275),1,0)</f>
        <v>#N/A</v>
      </c>
      <c r="DL275" s="4" t="e">
        <f t="shared" ref="DL275" ca="1" si="4605">MATCH(1,OFFSET(DK275:DK286,$W$2,0,COUNT(DK275:DK286)-$W$2),0)</f>
        <v>#REF!</v>
      </c>
      <c r="DM275" s="4" t="e">
        <f t="shared" ref="DM275" ca="1" si="4606">$W$2+DL275</f>
        <v>#REF!</v>
      </c>
      <c r="DN275" s="692" t="str">
        <f ca="1">IFERROR(IF(AD282="Nested Steel Stud (wood infill)",VLOOKUP(INDEX(DJ275:DJ286,DM275),SSW,2,FALSE),VLOOKUP(INDEX(DJ275:DJ286,DM275),SSM,2,FALSE)),"----")</f>
        <v>----</v>
      </c>
      <c r="DO275" s="691" t="e">
        <f ca="1">MATCH($AC281,WSEI,-1)</f>
        <v>#N/A</v>
      </c>
      <c r="DP275" s="4" t="e">
        <f ca="1">IF(AND(INDEX(WSM,DO275,4)&gt;=$AB281,INDEX(WSM,DO275,5)&gt;=$S275,INDEX(WSM,DO275,6)&gt;=$R275),1,0)</f>
        <v>#N/A</v>
      </c>
      <c r="DQ275" s="4" t="e">
        <f t="shared" ref="DQ275" ca="1" si="4607">MATCH(1,OFFSET(DP275:DP286,$W$2,0,COUNT(DP275:DP286)-$W$2),0)</f>
        <v>#REF!</v>
      </c>
      <c r="DR275" s="4" t="e">
        <f t="shared" ref="DR275" ca="1" si="4608">$W$2+DQ275</f>
        <v>#REF!</v>
      </c>
      <c r="DS275" s="692" t="str">
        <f ca="1">IFERROR(VLOOKUP(INDEX(DO275:DO286,DR275),WSM,2,FALSE),"----")</f>
        <v>----</v>
      </c>
      <c r="DT275" s="691" t="e">
        <f ca="1">MATCH($AC281,STEI,-1)</f>
        <v>#N/A</v>
      </c>
      <c r="DU275" s="4" t="e">
        <f ca="1">IF(AND(INDEX(STM,DT275,4)&gt;=$AB281,INDEX(STM,DT275,5)&gt;=$S275,INDEX(STM,DT275,6)&gt;=$R275),1,0)</f>
        <v>#N/A</v>
      </c>
      <c r="DV275" s="4" t="e">
        <f t="shared" ref="DV275" ca="1" si="4609">MATCH(1,OFFSET(DU275:DU286,$W$2,0,COUNT(DU275:DU286)-$W$2),0)</f>
        <v>#REF!</v>
      </c>
      <c r="DW275" s="4" t="e">
        <f t="shared" ref="DW275" ca="1" si="4610">$W$2+DV275</f>
        <v>#REF!</v>
      </c>
      <c r="DX275" s="692" t="str">
        <f ca="1">IFERROR(VLOOKUP(INDEX(DT275:DT286,DW275),STM,2,FALSE),"----")</f>
        <v>----</v>
      </c>
      <c r="DY275" s="691" t="e">
        <f ca="1">MATCH($AC281,ELEI,-1)</f>
        <v>#N/A</v>
      </c>
      <c r="DZ275" s="4" t="e">
        <f ca="1">IF(AND(INDEX(ELM,DY275,4)&gt;=$AB281,INDEX(ELM,DY275,5)&gt;=$S275,INDEX(ELM,DY275,6)&gt;=$R275),1,0)</f>
        <v>#N/A</v>
      </c>
      <c r="EA275" s="4" t="e">
        <f t="shared" ref="EA275" ca="1" si="4611">MATCH(1,OFFSET(DZ275:DZ286,$W$2,0,COUNT(DZ275:DZ286)-$W$2),0)</f>
        <v>#REF!</v>
      </c>
      <c r="EB275" s="4" t="e">
        <f t="shared" ref="EB275" ca="1" si="4612">EA275+$W$2</f>
        <v>#REF!</v>
      </c>
      <c r="EC275" s="692" t="str">
        <f ca="1">IFERROR(VLOOKUP(INDEX(DY275:DY286,EB275),ELM,2,FALSE),"----")</f>
        <v>----</v>
      </c>
      <c r="ED275" s="691" t="e">
        <f ca="1">IF(LEFT($J275,7)="Clad Wo",MATCH($AC281,SPEIW,-1),MATCH($AC281,SPEI,-1))</f>
        <v>#N/A</v>
      </c>
      <c r="EE275" s="4" t="e">
        <f ca="1">IF(LEFT($J275,7)="Clad Wo",IF(AND(INDEX(SPPWS,ED275,4)&gt;=$AB281,INDEX(SPPWS,ED275,5)&gt;=$S275,INDEX(SPPWS,ED275,6)&gt;=$R275),1,0),IF(AND(INDEX(SPM,ED275,4)&gt;=$AB281,INDEX(SPM,ED275,5)&gt;=$S275,INDEX(SPM,ED275,6)&gt;=$R275),1,0))</f>
        <v>#N/A</v>
      </c>
      <c r="EF275" s="4" t="e">
        <f t="shared" ref="EF275" ca="1" si="4613">MATCH(1,OFFSET(EE275:EE286,$W$2,0,COUNT(EE275:EE286)-$W$2),0)</f>
        <v>#REF!</v>
      </c>
      <c r="EG275" s="4" t="e">
        <f t="shared" ref="EG275" ca="1" si="4614">$W$2+EF275</f>
        <v>#REF!</v>
      </c>
      <c r="EH275" s="692" t="str">
        <f ca="1">IF(LEFT($J275,7)="Clad Wo",IFERROR(VLOOKUP(INDEX(ED275:ED286,EG275),SPPWS,2,FALSE),"----"),IFERROR(VLOOKUP(INDEX(ED275:ED286,EG275),SPM,2,FALSE),"----"))</f>
        <v>----</v>
      </c>
    </row>
    <row r="276" spans="1:138" ht="15" customHeight="1" x14ac:dyDescent="0.25">
      <c r="A276" s="1085"/>
      <c r="B276" s="925"/>
      <c r="C276" s="926"/>
      <c r="D276" s="927"/>
      <c r="E276" s="995"/>
      <c r="F276" s="996"/>
      <c r="G276" s="997"/>
      <c r="H276" s="1062"/>
      <c r="I276" s="990"/>
      <c r="J276" s="908"/>
      <c r="K276" s="909"/>
      <c r="L276" s="1002"/>
      <c r="M276" s="923"/>
      <c r="N276" s="1042"/>
      <c r="O276" s="1018"/>
      <c r="P276" s="987"/>
      <c r="Q276" s="1015"/>
      <c r="R276" s="1012"/>
      <c r="S276" s="1006"/>
      <c r="T276" s="1007"/>
      <c r="U276" s="878"/>
      <c r="V276" s="881"/>
      <c r="W276" s="884"/>
      <c r="X276" s="884"/>
      <c r="Y276" s="887"/>
      <c r="Z276" s="887"/>
      <c r="AA276" s="887"/>
      <c r="AB276" s="1081"/>
      <c r="AC276" s="1078"/>
      <c r="AD276" s="1102" t="s">
        <v>38</v>
      </c>
      <c r="AE276" s="1103"/>
      <c r="AF276" s="1052"/>
      <c r="AG276" s="1053"/>
      <c r="AH276" s="1053"/>
      <c r="AI276" s="1066"/>
      <c r="AJ276" s="1067"/>
      <c r="AK276" s="156" t="str">
        <f t="shared" ca="1" si="3667"/>
        <v/>
      </c>
      <c r="AL276" s="1039"/>
      <c r="AM276" s="343" t="str">
        <f ca="1">IFERROR(Q275/12*ROUND(VLOOKUP(AF276,OFFSET(SSM,0,1),6,FALSE),2),"")</f>
        <v/>
      </c>
      <c r="AN276" t="str">
        <f t="shared" ca="1" si="3717"/>
        <v/>
      </c>
      <c r="AP276" s="122" t="str">
        <f t="shared" ref="AP276" si="4615">_xlfn.CONCAT(AR276,AS280)</f>
        <v/>
      </c>
      <c r="AQ276" s="683" t="str">
        <f t="shared" si="3881"/>
        <v/>
      </c>
      <c r="AR276" s="96" t="str">
        <f t="shared" si="3642"/>
        <v/>
      </c>
      <c r="AS276" s="96" t="str">
        <f>IF(COUNTIF(Vista_1,AF275)=1,"Vista_1",IF(COUNTIF(Vista_2,AF275)=1,"Vista_2",""))</f>
        <v/>
      </c>
      <c r="AT276" s="684" t="str">
        <f>AL275</f>
        <v/>
      </c>
      <c r="AU276" s="694" t="e">
        <f t="shared" ref="AU276" ca="1" si="4616">AU275-1</f>
        <v>#REF!</v>
      </c>
      <c r="AV276" s="686" t="str">
        <f ca="1">IFERROR(VLOOKUP(AU276,INDIRECT(AQ275),2,FALSE),"----")</f>
        <v>----</v>
      </c>
      <c r="AW276" s="694" t="e">
        <f t="shared" ref="AW276:AW277" ca="1" si="4617">AW275-1</f>
        <v>#REF!</v>
      </c>
      <c r="AX276" s="686" t="str">
        <f ca="1">IFERROR(VLOOKUP(AW276,INDIRECT(AQ276),2,FALSE),"----")</f>
        <v>----</v>
      </c>
      <c r="AY276" s="694" t="e">
        <f t="shared" ref="AY276:AY277" ca="1" si="4618">AY275-1</f>
        <v>#REF!</v>
      </c>
      <c r="AZ276" s="686" t="str">
        <f ca="1">IFERROR(VLOOKUP(AY276,INDIRECT(AQ277),2,FALSE),"----")</f>
        <v>----</v>
      </c>
      <c r="BA276" s="694" t="e">
        <f t="shared" ref="BA276:BA277" ca="1" si="4619">BA275-1</f>
        <v>#REF!</v>
      </c>
      <c r="BB276" s="686" t="str">
        <f ca="1">IFERROR(VLOOKUP(BA276,INDIRECT(AQ278),2,FALSE),"----")</f>
        <v>----</v>
      </c>
      <c r="BC276" s="694" t="e">
        <f t="shared" ref="BC276:BC277" ca="1" si="4620">BC275-1</f>
        <v>#REF!</v>
      </c>
      <c r="BD276" s="686" t="str">
        <f ca="1">IFERROR(VLOOKUP(BC276,INDIRECT(AQ279),2,FALSE),"----")</f>
        <v>----</v>
      </c>
      <c r="BE276" s="694" t="e">
        <f t="shared" ref="BE276" ca="1" si="4621">BE275-1</f>
        <v>#REF!</v>
      </c>
      <c r="BF276" s="686" t="str">
        <f ca="1">IFERROR(VLOOKUP(BE276,INDIRECT(AQ280),2,FALSE),"----")</f>
        <v>----</v>
      </c>
      <c r="BG276" s="694" t="e">
        <f t="shared" ref="BG276" ca="1" si="4622">BG275-1</f>
        <v>#REF!</v>
      </c>
      <c r="BH276" s="686" t="str">
        <f ca="1">IFERROR(VLOOKUP(BG276,INDIRECT(AQ281),2,FALSE),"----")</f>
        <v>----</v>
      </c>
      <c r="BI276" s="694" t="e">
        <f t="shared" ref="BI276:BI277" ca="1" si="4623">BI275-1</f>
        <v>#REF!</v>
      </c>
      <c r="BJ276" s="686" t="str">
        <f ca="1">IFERROR(VLOOKUP(BI276,INDIRECT(AQ282),2,FALSE),"----")</f>
        <v>----</v>
      </c>
      <c r="BK276" s="694" t="e">
        <f t="shared" ref="BK276:BK277" ca="1" si="4624">BK275-1</f>
        <v>#REF!</v>
      </c>
      <c r="BL276" s="686" t="str">
        <f ca="1">IFERROR(VLOOKUP(BK276,INDIRECT(AQ283),2,FALSE),"----")</f>
        <v>----</v>
      </c>
      <c r="BM276" s="694" t="e">
        <f t="shared" ref="BM276:BM277" ca="1" si="4625">BM275-1</f>
        <v>#REF!</v>
      </c>
      <c r="BN276" s="686" t="str">
        <f ca="1">IFERROR(VLOOKUP(BM276,INDIRECT(AQ284),2,FALSE),"----")</f>
        <v>----</v>
      </c>
      <c r="BO276" s="694" t="e">
        <f t="shared" ref="BO276:BO277" ca="1" si="4626">BO275-1</f>
        <v>#REF!</v>
      </c>
      <c r="BP276" s="686" t="str">
        <f ca="1">IFERROR(VLOOKUP(BO276,INDIRECT(AQ285),2,FALSE),"----")</f>
        <v>----</v>
      </c>
      <c r="BQ276" s="694" t="e">
        <f t="shared" ref="BQ276" ca="1" si="4627">BQ275-1</f>
        <v>#REF!</v>
      </c>
      <c r="BR276" s="686" t="str">
        <f ca="1">IFERROR(VLOOKUP(BQ276,INDIRECT(AQ286),2,FALSE),"----")</f>
        <v>----</v>
      </c>
      <c r="BS276" s="695">
        <f>IF(AI276="",1,IF(COUNTIF(AX275:AX286,AI276)=0,2,1))</f>
        <v>1</v>
      </c>
      <c r="BT276" s="696">
        <f>IF(AF276="",1,IF(AX275=".",2,1))</f>
        <v>1</v>
      </c>
      <c r="BU276" s="706"/>
      <c r="BV276" s="155">
        <f ca="1">IF(COUNTIF(CJ275:CJ286,AF276)=0,IF(AF276&lt;&gt;"",0,1),1)</f>
        <v>1</v>
      </c>
      <c r="BW276" s="157">
        <f ca="1">IFERROR(MATCH(AF276,CJ275:CJ286,0),1)</f>
        <v>1</v>
      </c>
      <c r="BX276" s="769"/>
      <c r="BY276" s="769"/>
      <c r="BZ276" s="1110"/>
      <c r="CA276" s="691" t="e">
        <f t="shared" ref="CA276:CA286" ca="1" si="4628">CA275-1</f>
        <v>#REF!</v>
      </c>
      <c r="CB276" s="4" t="e" cm="1">
        <f t="array" aca="1" ref="CB276" ca="1">IF(AND(INDEX(INDIRECT(BY275),CA276,4)&gt;=$AB275,INDEX(INDIRECT(BY275),CA276,5)&gt;=$S275,INDEX(INDIRECT(BY275),CA276,6)&gt;=$R275),1,0)</f>
        <v>#REF!</v>
      </c>
      <c r="CC276" s="4" t="e">
        <f t="shared" ref="CC276" ca="1" si="4629">MATCH(1,OFFSET(CB275:CB286,CD275,0,COUNT(CB275:CB286)-CD275),0)</f>
        <v>#REF!</v>
      </c>
      <c r="CD276" s="4" t="e">
        <f t="shared" ref="CD276:CD286" ca="1" si="4630">CD275+CC276</f>
        <v>#REF!</v>
      </c>
      <c r="CE276" s="692" t="str" cm="1">
        <f t="array" aca="1" ref="CE276" ca="1">IFERROR(VLOOKUP(INDEX(CA275:CA286,CD276),INDIRECT(BY275),2,FALSE),"----")</f>
        <v>----</v>
      </c>
      <c r="CF276" s="691" t="e">
        <f t="shared" ref="CF276:CF286" ca="1" si="4631">CF275-1</f>
        <v>#N/A</v>
      </c>
      <c r="CG276" s="4" t="e">
        <f ca="1">IF(AND(INDEX(SSM,CF276,4)&gt;=$AB275,INDEX(SSM,CF276,5)&gt;=$S275,INDEX(SSM,CF276,6)&gt;=$R275),1,0)</f>
        <v>#N/A</v>
      </c>
      <c r="CH276" s="4" t="e">
        <f t="shared" ref="CH276" ca="1" si="4632">MATCH(1,OFFSET(CG275:CG286,CI275,0,COUNT(CG275:CG286)-CI275),0)</f>
        <v>#REF!</v>
      </c>
      <c r="CI276" s="4" t="e">
        <f t="shared" ref="CI276:CI286" ca="1" si="4633">CI275+CH276</f>
        <v>#REF!</v>
      </c>
      <c r="CJ276" s="692" t="str">
        <f ca="1">IFERROR(IF(AD276="Nested Steel Stud (wood infill)",VLOOKUP(INDEX(CF275:CF286,CI276),SSW,2,FALSE),VLOOKUP(INDEX(CF275:CF286,CI276),SSM,2,FALSE)),"----")</f>
        <v>----</v>
      </c>
      <c r="CK276" s="691" t="e">
        <f t="shared" ref="CK276:CK286" ca="1" si="4634">CK275-1</f>
        <v>#N/A</v>
      </c>
      <c r="CL276" s="4" t="e">
        <f ca="1">IF(AND(INDEX(WSM,CK276,4)&gt;=$AB275,INDEX(WSM,CK276,5)&gt;=$S275,INDEX(WSM,CK276,6)&gt;=$R275),1,0)</f>
        <v>#N/A</v>
      </c>
      <c r="CM276" s="4" t="e">
        <f t="shared" ref="CM276" ca="1" si="4635">MATCH(1,OFFSET(CL275:CL286,CN275,0,COUNT(CL275:CL286)-CN275),0)</f>
        <v>#REF!</v>
      </c>
      <c r="CN276" s="4" t="e">
        <f t="shared" ref="CN276:CN286" ca="1" si="4636">CM276+CN275</f>
        <v>#REF!</v>
      </c>
      <c r="CO276" s="692" t="str">
        <f ca="1">IFERROR(VLOOKUP(INDEX(CK275:CK286,CN276),WSM,2,FALSE),"----")</f>
        <v>----</v>
      </c>
      <c r="CP276" s="691" t="e">
        <f t="shared" ref="CP276:CP286" ca="1" si="4637">CP275-1</f>
        <v>#N/A</v>
      </c>
      <c r="CQ276" s="4" t="e">
        <f ca="1">IF(AND(INDEX(STM,CP276,4)&gt;=$AB275,INDEX(STM,CP276,5)&gt;=$S275,INDEX(STM,CP276,6)&gt;=$R275),1,0)</f>
        <v>#N/A</v>
      </c>
      <c r="CR276" s="4" t="e">
        <f t="shared" ref="CR276" ca="1" si="4638">MATCH(1,OFFSET(CQ275:CQ286,CS275,0,COUNT(CQ275:CQ286)-CS275),0)</f>
        <v>#REF!</v>
      </c>
      <c r="CS276" s="4" t="e">
        <f t="shared" ref="CS276:CS286" ca="1" si="4639">CR276+CS275</f>
        <v>#REF!</v>
      </c>
      <c r="CT276" s="692" t="str">
        <f ca="1">IFERROR(VLOOKUP(INDEX(CP275:CP286,CS276),STM,2,FALSE),"----")</f>
        <v>----</v>
      </c>
      <c r="CU276" s="691" t="e">
        <f t="shared" ref="CU276:CU286" ca="1" si="4640">CU275-1</f>
        <v>#N/A</v>
      </c>
      <c r="CV276" s="4" t="e">
        <f ca="1">IF(AND(INDEX(ELM,CU276,4)&gt;=$AB275,INDEX(ELM,CU276,5)&gt;=$S275,INDEX(ELM,CU276,6)&gt;=$R275),1,0)</f>
        <v>#N/A</v>
      </c>
      <c r="CW276" s="4" t="e">
        <f t="shared" ref="CW276" ca="1" si="4641">MATCH(1,OFFSET(CV275:CV286,CX275,0,COUNT(CV275:CV286)-CX275),0)</f>
        <v>#REF!</v>
      </c>
      <c r="CX276" s="4" t="e">
        <f t="shared" ref="CX276:CX286" ca="1" si="4642">CW276+CX275</f>
        <v>#REF!</v>
      </c>
      <c r="CY276" s="692" t="str">
        <f ca="1">IFERROR(VLOOKUP(INDEX(CU275:CU286,CX276),ELM,2,FALSE),"----")</f>
        <v>----</v>
      </c>
      <c r="CZ276" s="691" t="e">
        <f t="shared" ref="CZ276:CZ286" ca="1" si="4643">CZ275-1</f>
        <v>#N/A</v>
      </c>
      <c r="DA276" s="4" t="e">
        <f ca="1">IF(LEFT($J275,7)="Clad Wo",IF(AND(INDEX(SPPWS,CZ276,4)&gt;=$AB275,INDEX(SPPWS,CZ276,5)&gt;=$S275,INDEX(SPPWS,CZ276,6)&gt;=$R275),1,0),IF(AND(INDEX(SPM,CZ276,4)&gt;=$AB275,INDEX(SPM,CZ276,5)&gt;=$S275,INDEX(SPM,CZ276,6)&gt;=$R275),1,0))</f>
        <v>#N/A</v>
      </c>
      <c r="DB276" s="4" t="e">
        <f t="shared" ref="DB276" ca="1" si="4644">MATCH(1,OFFSET(DA275:DA286,DC275,0,COUNT(DA275:DA286)-DC275),0)</f>
        <v>#REF!</v>
      </c>
      <c r="DC276" s="4" t="e">
        <f t="shared" ref="DC276:DC286" ca="1" si="4645">DC275+DB276</f>
        <v>#REF!</v>
      </c>
      <c r="DD276" s="693" t="str">
        <f ca="1">IF(LEFT($J275,7)="Clad Wo",IFERROR(VLOOKUP(INDEX(CZ275:CZ286,DC276),SPPWS,2,FALSE),"----"),IFERROR(VLOOKUP(INDEX(CZ275:CZ286,DC276),SPM,2,FALSE),"----"))</f>
        <v>----</v>
      </c>
      <c r="DE276" s="691" t="e">
        <f t="shared" ref="DE276:DE286" ca="1" si="4646">DE275-1</f>
        <v>#REF!</v>
      </c>
      <c r="DF276" s="4" t="e" cm="1">
        <f t="array" aca="1" ref="DF276" ca="1">IF(AND(INDEX(INDIRECT(BY275),DE276,4)&gt;=$AB281,INDEX(INDIRECT(BY275),DE276,5)&gt;=$S275,INDEX(INDIRECT(BY275),DE276,6)&gt;=$R275),1,0)</f>
        <v>#REF!</v>
      </c>
      <c r="DG276" s="4" t="e">
        <f t="shared" ref="DG276" ca="1" si="4647">MATCH(1,OFFSET(DF275:DF286,DH275,0,COUNT(DF275:DF286)-DH275),0)</f>
        <v>#REF!</v>
      </c>
      <c r="DH276" s="4" t="e">
        <f t="shared" ref="DH276:DH286" ca="1" si="4648">DH275+DG276</f>
        <v>#REF!</v>
      </c>
      <c r="DI276" s="692" t="str" cm="1">
        <f t="array" aca="1" ref="DI276" ca="1">IFERROR(VLOOKUP(INDEX(DE275:DE286,DH276),INDIRECT(BY275),2,FALSE),"----")</f>
        <v>----</v>
      </c>
      <c r="DJ276" s="691" t="e">
        <f t="shared" ref="DJ276:DJ286" ca="1" si="4649">DJ275-1</f>
        <v>#N/A</v>
      </c>
      <c r="DK276" s="4" t="e">
        <f ca="1">IF(AND(INDEX(SSM,DJ276,4)&gt;=$AB281,INDEX(SSM,DJ276,5)&gt;=$S275,INDEX(SSM,DJ276,6)&gt;=$R275),1,0)</f>
        <v>#N/A</v>
      </c>
      <c r="DL276" s="4" t="e">
        <f t="shared" ref="DL276" ca="1" si="4650">MATCH(1,OFFSET(DK275:DK286,DM275,0,COUNT(DK275:DK286)-DM275),0)</f>
        <v>#REF!</v>
      </c>
      <c r="DM276" s="4" t="e">
        <f t="shared" ref="DM276:DM286" ca="1" si="4651">DL276+DM275</f>
        <v>#REF!</v>
      </c>
      <c r="DN276" s="692" t="str">
        <f ca="1">IFERROR(IF(AD282="Nested Steel Stud (wood infill)",VLOOKUP(INDEX(DJ275:DJ286,DM276),SSW,2,FALSE),VLOOKUP(INDEX(DJ275:DJ286,DM276),SSM,2,FALSE)),"----")</f>
        <v>----</v>
      </c>
      <c r="DO276" s="691" t="e">
        <f t="shared" ref="DO276:DO286" ca="1" si="4652">DO275-1</f>
        <v>#N/A</v>
      </c>
      <c r="DP276" s="4" t="e">
        <f ca="1">IF(AND(INDEX(WSM,DO276,4)&gt;=$AB281,INDEX(WSM,DO276,5)&gt;=$S275,INDEX(WSM,DO276,6)&gt;=$R275),1,0)</f>
        <v>#N/A</v>
      </c>
      <c r="DQ276" s="4" t="e">
        <f t="shared" ref="DQ276" ca="1" si="4653">MATCH(1,OFFSET(DP275:DP286,DR275,0,COUNT(DP275:DP286)-DR275),0)</f>
        <v>#REF!</v>
      </c>
      <c r="DR276" s="4" t="e">
        <f t="shared" ref="DR276:DR286" ca="1" si="4654">DQ276+DR275</f>
        <v>#REF!</v>
      </c>
      <c r="DS276" s="692" t="str">
        <f ca="1">IFERROR(VLOOKUP(INDEX(DO275:DO286,DR276),WSM,2,FALSE),"----")</f>
        <v>----</v>
      </c>
      <c r="DT276" s="691" t="e">
        <f t="shared" ref="DT276:DT286" ca="1" si="4655">DT275-1</f>
        <v>#N/A</v>
      </c>
      <c r="DU276" s="4" t="e">
        <f ca="1">IF(AND(INDEX(STM,DT276,4)&gt;=$AB281,INDEX(STM,DT276,5)&gt;=$S275,INDEX(STM,DT276,6)&gt;=$R275),1,0)</f>
        <v>#N/A</v>
      </c>
      <c r="DV276" s="4" t="e">
        <f t="shared" ref="DV276" ca="1" si="4656">MATCH(1,OFFSET(DU275:DU286,DW275,0,COUNT(DU275:DU286)-DW275),0)</f>
        <v>#REF!</v>
      </c>
      <c r="DW276" s="4" t="e">
        <f t="shared" ref="DW276:DW286" ca="1" si="4657">DV276+DW275</f>
        <v>#REF!</v>
      </c>
      <c r="DX276" s="692" t="str">
        <f ca="1">IFERROR(VLOOKUP(INDEX(DT275:DT286,DW276),STM,2,FALSE),"----")</f>
        <v>----</v>
      </c>
      <c r="DY276" s="691" t="e">
        <f t="shared" ref="DY276:DY286" ca="1" si="4658">DY275-1</f>
        <v>#N/A</v>
      </c>
      <c r="DZ276" s="4" t="e">
        <f ca="1">IF(AND(INDEX(ELM,DY276,4)&gt;=$AB281,INDEX(ELM,DY276,5)&gt;=$S275,INDEX(ELM,DY276,6)&gt;=$R275),1,0)</f>
        <v>#N/A</v>
      </c>
      <c r="EA276" s="4" t="e">
        <f t="shared" ref="EA276" ca="1" si="4659">MATCH(1,OFFSET(DZ275:DZ286,EB275,0,COUNT(DZ275:DZ286)-EB275),0)</f>
        <v>#REF!</v>
      </c>
      <c r="EB276" s="4" t="e">
        <f t="shared" ref="EB276:EB286" ca="1" si="4660">EA276+EB275</f>
        <v>#REF!</v>
      </c>
      <c r="EC276" s="692" t="str">
        <f ca="1">IFERROR(VLOOKUP(INDEX(DY275:DY286,EB276),ELM,2,FALSE),"----")</f>
        <v>----</v>
      </c>
      <c r="ED276" s="691" t="e">
        <f t="shared" ref="ED276:ED286" ca="1" si="4661">ED275-1</f>
        <v>#N/A</v>
      </c>
      <c r="EE276" s="4" t="e">
        <f ca="1">IF(LEFT($J275,7)="Clad Wo",IF(AND(INDEX(SPPWS,ED276,4)&gt;=$AB281,INDEX(SPPWS,ED276,5)&gt;=$S275,INDEX(SPPWS,ED276,6)&gt;=$R275),1,0),IF(AND(INDEX(SPM,ED276,4)&gt;=$AB281,INDEX(SPM,ED276,5)&gt;=$S275,INDEX(SPM,ED276,6)&gt;=$R275),1,0))</f>
        <v>#N/A</v>
      </c>
      <c r="EF276" s="4" t="e">
        <f t="shared" ref="EF276" ca="1" si="4662">MATCH(1,OFFSET(EE275:EE286,EG275,0,COUNT(EE275:EE286)-EG275),0)</f>
        <v>#REF!</v>
      </c>
      <c r="EG276" s="4" t="e">
        <f t="shared" ref="EG276:EG286" ca="1" si="4663">EG275+EF276</f>
        <v>#REF!</v>
      </c>
      <c r="EH276" s="692" t="str">
        <f ca="1">IF(LEFT($J275,7)="Clad Wo",IFERROR(VLOOKUP(INDEX(ED275:ED286,EG276),SPPWS,2,FALSE),"----"),IFERROR(VLOOKUP(INDEX(ED275:ED286,EG276),SPM,2,FALSE),"----"))</f>
        <v>----</v>
      </c>
    </row>
    <row r="277" spans="1:138" ht="15" customHeight="1" x14ac:dyDescent="0.25">
      <c r="A277" s="1085"/>
      <c r="B277" s="925"/>
      <c r="C277" s="926"/>
      <c r="D277" s="927"/>
      <c r="E277" s="995"/>
      <c r="F277" s="996"/>
      <c r="G277" s="997"/>
      <c r="H277" s="1062"/>
      <c r="I277" s="990"/>
      <c r="J277" s="908"/>
      <c r="K277" s="909"/>
      <c r="L277" s="1002"/>
      <c r="M277" s="923"/>
      <c r="N277" s="1042"/>
      <c r="O277" s="1018"/>
      <c r="P277" s="987"/>
      <c r="Q277" s="1015"/>
      <c r="R277" s="1012"/>
      <c r="S277" s="1006"/>
      <c r="T277" s="1007"/>
      <c r="U277" s="878"/>
      <c r="V277" s="881"/>
      <c r="W277" s="884"/>
      <c r="X277" s="884"/>
      <c r="Y277" s="887"/>
      <c r="Z277" s="887"/>
      <c r="AA277" s="887"/>
      <c r="AB277" s="1081"/>
      <c r="AC277" s="1078"/>
      <c r="AD277" s="1070" t="s">
        <v>333</v>
      </c>
      <c r="AE277" s="1071"/>
      <c r="AF277" s="1052"/>
      <c r="AG277" s="1053"/>
      <c r="AH277" s="1053"/>
      <c r="AI277" s="1066"/>
      <c r="AJ277" s="1067"/>
      <c r="AK277" s="154" t="str">
        <f t="shared" ca="1" si="3667"/>
        <v/>
      </c>
      <c r="AL277" s="1039"/>
      <c r="AM277" s="344" t="str">
        <f ca="1">IFERROR(Q275/12*ROUND(VLOOKUP(AF277,OFFSET(WSM,0,1),6,FALSE),2),"")</f>
        <v/>
      </c>
      <c r="AN277" t="str">
        <f t="shared" ca="1" si="3717"/>
        <v/>
      </c>
      <c r="AP277" s="122" t="str">
        <f t="shared" ref="AP277" si="4664">_xlfn.CONCAT(AR277,AS280)</f>
        <v/>
      </c>
      <c r="AQ277" s="683" t="str">
        <f t="shared" si="3881"/>
        <v/>
      </c>
      <c r="AR277" s="4" t="str">
        <f t="shared" si="3642"/>
        <v/>
      </c>
      <c r="AS277" s="4"/>
      <c r="AT277" s="697" t="str">
        <f>AL275</f>
        <v/>
      </c>
      <c r="AU277" s="694" t="e">
        <f t="shared" ca="1" si="3907"/>
        <v>#REF!</v>
      </c>
      <c r="AV277" s="686" t="str">
        <f ca="1">IFERROR(VLOOKUP(AU277,INDIRECT(AQ275),2,FALSE),"----")</f>
        <v>----</v>
      </c>
      <c r="AW277" s="694" t="e">
        <f t="shared" ca="1" si="4617"/>
        <v>#REF!</v>
      </c>
      <c r="AX277" s="686" t="str">
        <f ca="1">IFERROR(VLOOKUP(AW277,INDIRECT(AQ276),2,FALSE),"----")</f>
        <v>----</v>
      </c>
      <c r="AY277" s="694" t="e">
        <f t="shared" ca="1" si="4618"/>
        <v>#REF!</v>
      </c>
      <c r="AZ277" s="686" t="str">
        <f ca="1">IFERROR(VLOOKUP(AY277,INDIRECT(AQ277),2,FALSE),"----")</f>
        <v>----</v>
      </c>
      <c r="BA277" s="694" t="e">
        <f t="shared" ca="1" si="4619"/>
        <v>#REF!</v>
      </c>
      <c r="BB277" s="686" t="str">
        <f ca="1">IFERROR(VLOOKUP(BA277,INDIRECT(AQ278),2,FALSE),"----")</f>
        <v>----</v>
      </c>
      <c r="BC277" s="694" t="e">
        <f t="shared" ca="1" si="4620"/>
        <v>#REF!</v>
      </c>
      <c r="BD277" s="686" t="str">
        <f ca="1">IFERROR(VLOOKUP(BC277,INDIRECT(AQ279),2,FALSE),"----")</f>
        <v>----</v>
      </c>
      <c r="BE277" s="694" t="e">
        <f t="shared" ca="1" si="3912"/>
        <v>#REF!</v>
      </c>
      <c r="BF277" s="686" t="str">
        <f ca="1">IFERROR(VLOOKUP(BE277,INDIRECT(AQ280),2,FALSE),"----")</f>
        <v>----</v>
      </c>
      <c r="BG277" s="694" t="e">
        <f t="shared" ca="1" si="3913"/>
        <v>#REF!</v>
      </c>
      <c r="BH277" s="686" t="str">
        <f ca="1">IFERROR(VLOOKUP(BG277,INDIRECT(AQ281),2,FALSE),"----")</f>
        <v>----</v>
      </c>
      <c r="BI277" s="694" t="e">
        <f t="shared" ca="1" si="4623"/>
        <v>#REF!</v>
      </c>
      <c r="BJ277" s="686" t="str">
        <f ca="1">IFERROR(VLOOKUP(BI277,INDIRECT(AQ282),2,FALSE),"----")</f>
        <v>----</v>
      </c>
      <c r="BK277" s="694" t="e">
        <f t="shared" ca="1" si="4624"/>
        <v>#REF!</v>
      </c>
      <c r="BL277" s="686" t="str">
        <f ca="1">IFERROR(VLOOKUP(BK277,INDIRECT(AQ283),2,FALSE),"----")</f>
        <v>----</v>
      </c>
      <c r="BM277" s="694" t="e">
        <f t="shared" ca="1" si="4625"/>
        <v>#REF!</v>
      </c>
      <c r="BN277" s="686" t="str">
        <f ca="1">IFERROR(VLOOKUP(BM277,INDIRECT(AQ284),2,FALSE),"----")</f>
        <v>----</v>
      </c>
      <c r="BO277" s="694" t="e">
        <f t="shared" ca="1" si="4626"/>
        <v>#REF!</v>
      </c>
      <c r="BP277" s="686" t="str">
        <f ca="1">IFERROR(VLOOKUP(BO277,INDIRECT(AQ285),2,FALSE),"----")</f>
        <v>----</v>
      </c>
      <c r="BQ277" s="694" t="e">
        <f t="shared" ca="1" si="3918"/>
        <v>#REF!</v>
      </c>
      <c r="BR277" s="686" t="str">
        <f ca="1">IFERROR(VLOOKUP(BQ277,INDIRECT(AQ286),2,FALSE),"----")</f>
        <v>----</v>
      </c>
      <c r="BS277" s="695">
        <f>IF(AI277="",1,IF(COUNTIF(AZ275:AZ286,AI277)=0,2,1))</f>
        <v>1</v>
      </c>
      <c r="BT277" s="696">
        <f>IF(AF277="",1,IF(AZ275=".",2,1))</f>
        <v>1</v>
      </c>
      <c r="BU277" s="706"/>
      <c r="BV277" s="155">
        <f ca="1">IF(COUNTIF(CO275:CO286,AF277)=0,IF(AF277&lt;&gt;"",0,1),1)</f>
        <v>1</v>
      </c>
      <c r="BW277" s="157">
        <f ca="1">IFERROR(MATCH(AF277,CO275:CO286,0),1)</f>
        <v>1</v>
      </c>
      <c r="BX277" s="769"/>
      <c r="BY277" s="769"/>
      <c r="BZ277" s="1110"/>
      <c r="CA277" s="691" t="e">
        <f t="shared" ca="1" si="4628"/>
        <v>#REF!</v>
      </c>
      <c r="CB277" s="4" t="e" cm="1">
        <f t="array" aca="1" ref="CB277" ca="1">IF(AND(INDEX(INDIRECT(BY275),CA277,4)&gt;=$AB275,INDEX(INDIRECT(BY275),CA277,5)&gt;=$S275,INDEX(INDIRECT(BY275),CA277,6)&gt;=$R275),1,0)</f>
        <v>#REF!</v>
      </c>
      <c r="CC277" s="4" t="e">
        <f t="shared" ref="CC277" ca="1" si="4665">MATCH(1,OFFSET(CB275:CB286,CD276,0,COUNT(CB275:CB286)-CD276),0)</f>
        <v>#REF!</v>
      </c>
      <c r="CD277" s="4" t="e">
        <f t="shared" ca="1" si="4630"/>
        <v>#REF!</v>
      </c>
      <c r="CE277" s="692" t="str" cm="1">
        <f t="array" aca="1" ref="CE277" ca="1">IFERROR(VLOOKUP(INDEX(CA275:CA286,CD277),INDIRECT(BY275),2,FALSE),"----")</f>
        <v>----</v>
      </c>
      <c r="CF277" s="691" t="e">
        <f t="shared" ca="1" si="4631"/>
        <v>#N/A</v>
      </c>
      <c r="CG277" s="4" t="e">
        <f ca="1">IF(AND(INDEX(SSM,CF277,4)&gt;=$AB275,INDEX(SSM,CF277,5)&gt;=$S275,INDEX(SSM,CF277,6)&gt;=$R275),1,0)</f>
        <v>#N/A</v>
      </c>
      <c r="CH277" s="4" t="e">
        <f t="shared" ref="CH277" ca="1" si="4666">MATCH(1,OFFSET(CG275:CG286,CI276,0,COUNT(CG275:CG286)-CI276),0)</f>
        <v>#REF!</v>
      </c>
      <c r="CI277" s="4" t="e">
        <f t="shared" ca="1" si="4633"/>
        <v>#REF!</v>
      </c>
      <c r="CJ277" s="692" t="str">
        <f ca="1">IFERROR(IF(AD276="Nested Steel Stud (wood infill)",VLOOKUP(INDEX(CF275:CF286,CI277),SSW,2,FALSE),VLOOKUP(INDEX(CF275:CF286,CI277),SSM,2,FALSE)),"----")</f>
        <v>----</v>
      </c>
      <c r="CK277" s="691" t="e">
        <f t="shared" ca="1" si="4634"/>
        <v>#N/A</v>
      </c>
      <c r="CL277" s="4" t="e">
        <f ca="1">IF(AND(INDEX(WSM,CK277,4)&gt;=$AB275,INDEX(WSM,CK277,5)&gt;=$S275,INDEX(WSM,CK277,6)&gt;=$R275),1,0)</f>
        <v>#N/A</v>
      </c>
      <c r="CM277" s="4" t="e">
        <f t="shared" ref="CM277" ca="1" si="4667">MATCH(1,OFFSET(CL275:CL286,CN276,0,COUNT(CL275:CL286)-CN276),0)</f>
        <v>#REF!</v>
      </c>
      <c r="CN277" s="4" t="e">
        <f t="shared" ca="1" si="4636"/>
        <v>#REF!</v>
      </c>
      <c r="CO277" s="692" t="str">
        <f ca="1">IFERROR(VLOOKUP(INDEX(CK275:CK286,CN277),WSM,2,FALSE),"----")</f>
        <v>----</v>
      </c>
      <c r="CP277" s="691" t="e">
        <f t="shared" ca="1" si="4637"/>
        <v>#N/A</v>
      </c>
      <c r="CQ277" s="4" t="e">
        <f ca="1">IF(AND(INDEX(STM,CP277,4)&gt;=$AB275,INDEX(STM,CP277,5)&gt;=$S275,INDEX(STM,CP277,6)&gt;=$R275),1,0)</f>
        <v>#N/A</v>
      </c>
      <c r="CR277" s="4" t="e">
        <f t="shared" ref="CR277" ca="1" si="4668">MATCH(1,OFFSET(CQ275:CQ286,CS276,0,COUNT(CQ275:CQ286)-CS276),0)</f>
        <v>#REF!</v>
      </c>
      <c r="CS277" s="4" t="e">
        <f t="shared" ca="1" si="4639"/>
        <v>#REF!</v>
      </c>
      <c r="CT277" s="692" t="str">
        <f ca="1">IFERROR(VLOOKUP(INDEX(CP275:CP286,CS277),STM,2,FALSE),"----")</f>
        <v>----</v>
      </c>
      <c r="CU277" s="691" t="e">
        <f t="shared" ca="1" si="4640"/>
        <v>#N/A</v>
      </c>
      <c r="CV277" s="4" t="e">
        <f ca="1">IF(AND(INDEX(ELM,CU277,4)&gt;=$AB275,INDEX(ELM,CU277,5)&gt;=$S275,INDEX(ELM,CU277,6)&gt;=$R275),1,0)</f>
        <v>#N/A</v>
      </c>
      <c r="CW277" s="4" t="e">
        <f t="shared" ref="CW277" ca="1" si="4669">MATCH(1,OFFSET(CV275:CV286,CX276,0,COUNT(CV275:CV286)-CX276),0)</f>
        <v>#REF!</v>
      </c>
      <c r="CX277" s="4" t="e">
        <f t="shared" ca="1" si="4642"/>
        <v>#REF!</v>
      </c>
      <c r="CY277" s="692" t="str">
        <f ca="1">IFERROR(VLOOKUP(INDEX(CU275:CU286,CX277),ELM,2,FALSE),"----")</f>
        <v>----</v>
      </c>
      <c r="CZ277" s="691" t="e">
        <f t="shared" ca="1" si="4643"/>
        <v>#N/A</v>
      </c>
      <c r="DA277" s="4" t="e">
        <f ca="1">IF(LEFT($J275,7)="Clad Wo",IF(AND(INDEX(SPPWS,CZ277,4)&gt;=$AB275,INDEX(SPPWS,CZ277,5)&gt;=$S275,INDEX(SPPWS,CZ277,6)&gt;=$R275),1,0),IF(AND(INDEX(SPM,CZ277,4)&gt;=$AB275,INDEX(SPM,CZ277,5)&gt;=$S275,INDEX(SPM,CZ277,6)&gt;=$R275),1,0))</f>
        <v>#N/A</v>
      </c>
      <c r="DB277" s="4" t="e">
        <f t="shared" ref="DB277" ca="1" si="4670">MATCH(1,OFFSET(DA275:DA286,DC276,0,COUNT(DA275:DA286)-DC276),0)</f>
        <v>#REF!</v>
      </c>
      <c r="DC277" s="4" t="e">
        <f t="shared" ca="1" si="4645"/>
        <v>#REF!</v>
      </c>
      <c r="DD277" s="693" t="str">
        <f ca="1">IF(LEFT($J275,7)="Clad Wo",IFERROR(VLOOKUP(INDEX(CZ275:CZ286,DC277),SPPWS,2,FALSE),"----"),IFERROR(VLOOKUP(INDEX(CZ275:CZ286,DC277),SPM,2,FALSE),"----"))</f>
        <v>----</v>
      </c>
      <c r="DE277" s="691" t="e">
        <f t="shared" ca="1" si="4646"/>
        <v>#REF!</v>
      </c>
      <c r="DF277" s="4" t="e" cm="1">
        <f t="array" aca="1" ref="DF277" ca="1">IF(AND(INDEX(INDIRECT(BY275),DE277,4)&gt;=$AB281,INDEX(INDIRECT(BY275),DE277,5)&gt;=$S275,INDEX(INDIRECT(BY275),DE277,6)&gt;=$R275),1,0)</f>
        <v>#REF!</v>
      </c>
      <c r="DG277" s="4" t="e">
        <f t="shared" ref="DG277" ca="1" si="4671">MATCH(1,OFFSET(DF275:DF286,DH276,0,COUNT(DF275:DF286)-DH276),0)</f>
        <v>#REF!</v>
      </c>
      <c r="DH277" s="4" t="e">
        <f t="shared" ca="1" si="4648"/>
        <v>#REF!</v>
      </c>
      <c r="DI277" s="692" t="str" cm="1">
        <f t="array" aca="1" ref="DI277" ca="1">IFERROR(VLOOKUP(INDEX(DE275:DE286,DH277),INDIRECT(BY275),2,FALSE),"----")</f>
        <v>----</v>
      </c>
      <c r="DJ277" s="691" t="e">
        <f t="shared" ca="1" si="4649"/>
        <v>#N/A</v>
      </c>
      <c r="DK277" s="4" t="e">
        <f ca="1">IF(AND(INDEX(SSM,DJ277,4)&gt;=$AB281,INDEX(SSM,DJ277,5)&gt;=$S275,INDEX(SSM,DJ277,6)&gt;=$R275),1,0)</f>
        <v>#N/A</v>
      </c>
      <c r="DL277" s="4" t="e">
        <f t="shared" ref="DL277" ca="1" si="4672">MATCH(1,OFFSET(DK275:DK286,DM276,0,COUNT(DK275:DK286)-DM276),0)</f>
        <v>#REF!</v>
      </c>
      <c r="DM277" s="4" t="e">
        <f t="shared" ca="1" si="4651"/>
        <v>#REF!</v>
      </c>
      <c r="DN277" s="692" t="str">
        <f ca="1">IFERROR(IF(AD282="Nested Steel Stud (wood infill)",VLOOKUP(INDEX(DJ275:DJ286,DM277),SSW,2,FALSE),VLOOKUP(INDEX(DJ275:DJ286,DM277),SSM,2,FALSE)),"----")</f>
        <v>----</v>
      </c>
      <c r="DO277" s="691" t="e">
        <f t="shared" ca="1" si="4652"/>
        <v>#N/A</v>
      </c>
      <c r="DP277" s="4" t="e">
        <f ca="1">IF(AND(INDEX(WSM,DO277,4)&gt;=$AB281,INDEX(WSM,DO277,5)&gt;=$S275,INDEX(WSM,DO277,6)&gt;=$R275),1,0)</f>
        <v>#N/A</v>
      </c>
      <c r="DQ277" s="4" t="e">
        <f t="shared" ref="DQ277" ca="1" si="4673">MATCH(1,OFFSET(DP275:DP286,DR276,0,COUNT(DP275:DP286)-DR276),0)</f>
        <v>#REF!</v>
      </c>
      <c r="DR277" s="4" t="e">
        <f t="shared" ca="1" si="4654"/>
        <v>#REF!</v>
      </c>
      <c r="DS277" s="692" t="str">
        <f ca="1">IFERROR(VLOOKUP(INDEX(DO275:DO286,DR277),WSM,2,FALSE),"----")</f>
        <v>----</v>
      </c>
      <c r="DT277" s="691" t="e">
        <f t="shared" ca="1" si="4655"/>
        <v>#N/A</v>
      </c>
      <c r="DU277" s="4" t="e">
        <f ca="1">IF(AND(INDEX(STM,DT277,4)&gt;=$AB281,INDEX(STM,DT277,5)&gt;=$S275,INDEX(STM,DT277,6)&gt;=$R275),1,0)</f>
        <v>#N/A</v>
      </c>
      <c r="DV277" s="4" t="e">
        <f t="shared" ref="DV277" ca="1" si="4674">MATCH(1,OFFSET(DU275:DU286,DW276,0,COUNT(DU275:DU286)-DW276),0)</f>
        <v>#REF!</v>
      </c>
      <c r="DW277" s="4" t="e">
        <f t="shared" ca="1" si="4657"/>
        <v>#REF!</v>
      </c>
      <c r="DX277" s="692" t="str">
        <f ca="1">IFERROR(VLOOKUP(INDEX(DT275:DT286,DW277),STM,2,FALSE),"----")</f>
        <v>----</v>
      </c>
      <c r="DY277" s="691" t="e">
        <f t="shared" ca="1" si="4658"/>
        <v>#N/A</v>
      </c>
      <c r="DZ277" s="4" t="e">
        <f ca="1">IF(AND(INDEX(ELM,DY277,4)&gt;=$AB281,INDEX(ELM,DY277,5)&gt;=$S275,INDEX(ELM,DY277,6)&gt;=$R275),1,0)</f>
        <v>#N/A</v>
      </c>
      <c r="EA277" s="4" t="e">
        <f t="shared" ref="EA277" ca="1" si="4675">MATCH(1,OFFSET(DZ275:DZ286,EB276,0,COUNT(DZ275:DZ286)-EB276),0)</f>
        <v>#REF!</v>
      </c>
      <c r="EB277" s="4" t="e">
        <f t="shared" ca="1" si="4660"/>
        <v>#REF!</v>
      </c>
      <c r="EC277" s="692" t="str">
        <f ca="1">IFERROR(VLOOKUP(INDEX(DY275:DY286,EB277),ELM,2,FALSE),"----")</f>
        <v>----</v>
      </c>
      <c r="ED277" s="691" t="e">
        <f t="shared" ca="1" si="4661"/>
        <v>#N/A</v>
      </c>
      <c r="EE277" s="4" t="e">
        <f ca="1">IF(LEFT($J275,7)="Clad Wo",IF(AND(INDEX(SPPWS,ED277,4)&gt;=$AB281,INDEX(SPPWS,ED277,5)&gt;=$S275,INDEX(SPPWS,ED277,6)&gt;=$R275),1,0),IF(AND(INDEX(SPM,ED277,4)&gt;=$AB281,INDEX(SPM,ED277,5)&gt;=$S275,INDEX(SPM,ED277,6)&gt;=$R275),1,0))</f>
        <v>#N/A</v>
      </c>
      <c r="EF277" s="4" t="e">
        <f t="shared" ref="EF277" ca="1" si="4676">MATCH(1,OFFSET(EE275:EE286,EG276,0,COUNT(EE275:EE286)-EG276),0)</f>
        <v>#REF!</v>
      </c>
      <c r="EG277" s="4" t="e">
        <f t="shared" ca="1" si="4663"/>
        <v>#REF!</v>
      </c>
      <c r="EH277" s="692" t="str">
        <f ca="1">IF(LEFT($J275,7)="Clad Wo",IFERROR(VLOOKUP(INDEX(ED275:ED286,EG277),SPPWS,2,FALSE),"----"),IFERROR(VLOOKUP(INDEX(ED275:ED286,EG277),SPM,2,FALSE),"----"))</f>
        <v>----</v>
      </c>
    </row>
    <row r="278" spans="1:138" ht="15" customHeight="1" x14ac:dyDescent="0.25">
      <c r="A278" s="1085"/>
      <c r="B278" s="925"/>
      <c r="C278" s="926"/>
      <c r="D278" s="927"/>
      <c r="E278" s="995"/>
      <c r="F278" s="996"/>
      <c r="G278" s="997"/>
      <c r="H278" s="1062"/>
      <c r="I278" s="990"/>
      <c r="J278" s="908"/>
      <c r="K278" s="909"/>
      <c r="L278" s="1002"/>
      <c r="M278" s="923"/>
      <c r="N278" s="1042"/>
      <c r="O278" s="1018"/>
      <c r="P278" s="987"/>
      <c r="Q278" s="1015"/>
      <c r="R278" s="1012"/>
      <c r="S278" s="1006"/>
      <c r="T278" s="1007"/>
      <c r="U278" s="878"/>
      <c r="V278" s="881"/>
      <c r="W278" s="884"/>
      <c r="X278" s="884"/>
      <c r="Y278" s="887"/>
      <c r="Z278" s="887"/>
      <c r="AA278" s="887"/>
      <c r="AB278" s="1081"/>
      <c r="AC278" s="1078"/>
      <c r="AD278" s="1070" t="s">
        <v>37</v>
      </c>
      <c r="AE278" s="1071"/>
      <c r="AF278" s="1052"/>
      <c r="AG278" s="1053"/>
      <c r="AH278" s="1053"/>
      <c r="AI278" s="1066"/>
      <c r="AJ278" s="1067"/>
      <c r="AK278" s="156" t="str">
        <f t="shared" ca="1" si="3667"/>
        <v/>
      </c>
      <c r="AL278" s="1039"/>
      <c r="AM278" s="343" t="str">
        <f ca="1">IFERROR(Q275/12*ROUND(VLOOKUP(AF278,OFFSET(STM,0,1),6,FALSE),2),"")</f>
        <v/>
      </c>
      <c r="AN278" t="str">
        <f t="shared" ca="1" si="3717"/>
        <v/>
      </c>
      <c r="AP278" s="122" t="str">
        <f t="shared" ref="AP278" si="4677">_xlfn.CONCAT(AR278,AS280)</f>
        <v/>
      </c>
      <c r="AQ278" s="683" t="str">
        <f t="shared" si="3881"/>
        <v/>
      </c>
      <c r="AR278" s="4" t="str">
        <f t="shared" si="3642"/>
        <v/>
      </c>
      <c r="AS278" s="4"/>
      <c r="AT278" s="697" t="str">
        <f>AL275</f>
        <v/>
      </c>
      <c r="AU278" s="694" t="e">
        <f t="shared" ca="1" si="3907"/>
        <v>#REF!</v>
      </c>
      <c r="AV278" s="686" t="str">
        <f ca="1">IFERROR(VLOOKUP(AU278,INDIRECT(AQ275),2,FALSE),"----")</f>
        <v>----</v>
      </c>
      <c r="AW278" s="694" t="e">
        <f t="shared" ca="1" si="3908"/>
        <v>#REF!</v>
      </c>
      <c r="AX278" s="686" t="str">
        <f ca="1">IFERROR(VLOOKUP(AW278,INDIRECT(AQ276),2,FALSE),"----")</f>
        <v>----</v>
      </c>
      <c r="AY278" s="694" t="e">
        <f t="shared" ref="AY278" ca="1" si="4678">AY277-1</f>
        <v>#REF!</v>
      </c>
      <c r="AZ278" s="686" t="str">
        <f ca="1">IFERROR(VLOOKUP(AY278,INDIRECT(AQ277),2,FALSE),"----")</f>
        <v>----</v>
      </c>
      <c r="BA278" s="694" t="e">
        <f t="shared" ref="BA278" ca="1" si="4679">BA277-1</f>
        <v>#REF!</v>
      </c>
      <c r="BB278" s="686" t="str">
        <f ca="1">IFERROR(VLOOKUP(BA278,INDIRECT(AQ278),2,FALSE),"----")</f>
        <v>----</v>
      </c>
      <c r="BC278" s="694" t="e">
        <f t="shared" ca="1" si="3911"/>
        <v>#REF!</v>
      </c>
      <c r="BD278" s="686" t="str">
        <f ca="1">IFERROR(VLOOKUP(BC278,INDIRECT(AQ279),2,FALSE),"----")</f>
        <v>----</v>
      </c>
      <c r="BE278" s="694" t="e">
        <f t="shared" ca="1" si="3912"/>
        <v>#REF!</v>
      </c>
      <c r="BF278" s="686" t="str">
        <f ca="1">IFERROR(VLOOKUP(BE278,INDIRECT(AQ280),2,FALSE),"----")</f>
        <v>----</v>
      </c>
      <c r="BG278" s="694" t="e">
        <f t="shared" ca="1" si="3913"/>
        <v>#REF!</v>
      </c>
      <c r="BH278" s="686" t="str">
        <f ca="1">IFERROR(VLOOKUP(BG278,INDIRECT(AQ281),2,FALSE),"----")</f>
        <v>----</v>
      </c>
      <c r="BI278" s="694" t="e">
        <f t="shared" ca="1" si="3914"/>
        <v>#REF!</v>
      </c>
      <c r="BJ278" s="686" t="str">
        <f ca="1">IFERROR(VLOOKUP(BI278,INDIRECT(AQ282),2,FALSE),"----")</f>
        <v>----</v>
      </c>
      <c r="BK278" s="694" t="e">
        <f t="shared" ca="1" si="3915"/>
        <v>#REF!</v>
      </c>
      <c r="BL278" s="686" t="str">
        <f ca="1">IFERROR(VLOOKUP(BK278,INDIRECT(AQ283),2,FALSE),"----")</f>
        <v>----</v>
      </c>
      <c r="BM278" s="694" t="e">
        <f t="shared" ca="1" si="3916"/>
        <v>#REF!</v>
      </c>
      <c r="BN278" s="686" t="str">
        <f ca="1">IFERROR(VLOOKUP(BM278,INDIRECT(AQ284),2,FALSE),"----")</f>
        <v>----</v>
      </c>
      <c r="BO278" s="694" t="e">
        <f t="shared" ca="1" si="3917"/>
        <v>#REF!</v>
      </c>
      <c r="BP278" s="686" t="str">
        <f ca="1">IFERROR(VLOOKUP(BO278,INDIRECT(AQ285),2,FALSE),"----")</f>
        <v>----</v>
      </c>
      <c r="BQ278" s="694" t="e">
        <f t="shared" ca="1" si="3918"/>
        <v>#REF!</v>
      </c>
      <c r="BR278" s="686" t="str">
        <f ca="1">IFERROR(VLOOKUP(BQ278,INDIRECT(AQ286),2,FALSE),"----")</f>
        <v>----</v>
      </c>
      <c r="BS278" s="695">
        <f>IF(AI278="",1,IF(COUNTIF(BB275:BB286,AI278)=0,2,1))</f>
        <v>1</v>
      </c>
      <c r="BT278" s="696">
        <f>IF(AF278="",1,IF(BB275=".",2,1))</f>
        <v>1</v>
      </c>
      <c r="BU278" s="706"/>
      <c r="BV278" s="155">
        <f ca="1">IF(COUNTIF(CT275:CT286,AF278)=0,IF(AF278&lt;&gt;"",0,1),1)</f>
        <v>1</v>
      </c>
      <c r="BW278" s="157">
        <f ca="1">IFERROR(MATCH(AF278,CT275:CT286,0),1)</f>
        <v>1</v>
      </c>
      <c r="BX278" s="769"/>
      <c r="BY278" s="769"/>
      <c r="BZ278" s="1110"/>
      <c r="CA278" s="691" t="e">
        <f t="shared" ca="1" si="4628"/>
        <v>#REF!</v>
      </c>
      <c r="CB278" s="4" t="e" cm="1">
        <f t="array" aca="1" ref="CB278" ca="1">IF(AND(INDEX(INDIRECT(BY275),CA278,4)&gt;=$AB275,INDEX(INDIRECT(BY275),CA278,5)&gt;=$S275,INDEX(INDIRECT(BY275),CA278,6)&gt;=$R275),1,0)</f>
        <v>#REF!</v>
      </c>
      <c r="CC278" s="4" t="e">
        <f t="shared" ref="CC278" ca="1" si="4680">MATCH(1,OFFSET(CB275:CB286,CD277,0,COUNT(CB275:CB286)-CD277),0)</f>
        <v>#REF!</v>
      </c>
      <c r="CD278" s="4" t="e">
        <f t="shared" ca="1" si="4630"/>
        <v>#REF!</v>
      </c>
      <c r="CE278" s="692" t="str" cm="1">
        <f t="array" aca="1" ref="CE278" ca="1">IFERROR(VLOOKUP(INDEX(CA275:CA286,CD278),INDIRECT(BY275),2,FALSE),"----")</f>
        <v>----</v>
      </c>
      <c r="CF278" s="691" t="e">
        <f t="shared" ca="1" si="4631"/>
        <v>#N/A</v>
      </c>
      <c r="CG278" s="4" t="e">
        <f ca="1">IF(AND(INDEX(SSM,CF278,4)&gt;=$AB275,INDEX(SSM,CF278,5)&gt;=$S275,INDEX(SSM,CF278,6)&gt;=$R275),1,0)</f>
        <v>#N/A</v>
      </c>
      <c r="CH278" s="4" t="e">
        <f t="shared" ref="CH278" ca="1" si="4681">MATCH(1,OFFSET(CG275:CG286,CI277,0,COUNT(CG275:CG286)-CI277),0)</f>
        <v>#REF!</v>
      </c>
      <c r="CI278" s="4" t="e">
        <f t="shared" ca="1" si="4633"/>
        <v>#REF!</v>
      </c>
      <c r="CJ278" s="692" t="str">
        <f ca="1">IFERROR(IF(AD276="Nested Steel Stud (wood infill)",VLOOKUP(INDEX(CF275:CF286,CI278),SSW,2,FALSE),VLOOKUP(INDEX(CF275:CF286,CI278),SSM,2,FALSE)),"----")</f>
        <v>----</v>
      </c>
      <c r="CK278" s="691" t="e">
        <f t="shared" ca="1" si="4634"/>
        <v>#N/A</v>
      </c>
      <c r="CL278" s="4" t="e">
        <f ca="1">IF(AND(INDEX(WSM,CK278,4)&gt;=$AB275,INDEX(WSM,CK278,5)&gt;=$S275,INDEX(WSM,CK278,6)&gt;=$R275),1,0)</f>
        <v>#N/A</v>
      </c>
      <c r="CM278" s="4" t="e">
        <f t="shared" ref="CM278" ca="1" si="4682">MATCH(1,OFFSET(CL275:CL286,CN277,0,COUNT(CL275:CL286)-CN277),0)</f>
        <v>#REF!</v>
      </c>
      <c r="CN278" s="4" t="e">
        <f t="shared" ca="1" si="4636"/>
        <v>#REF!</v>
      </c>
      <c r="CO278" s="692" t="str">
        <f ca="1">IFERROR(VLOOKUP(INDEX(CK275:CK286,CN278),WSM,2,FALSE),"----")</f>
        <v>----</v>
      </c>
      <c r="CP278" s="691" t="e">
        <f t="shared" ca="1" si="4637"/>
        <v>#N/A</v>
      </c>
      <c r="CQ278" s="4" t="e">
        <f ca="1">IF(AND(INDEX(STM,CP278,4)&gt;=$AB275,INDEX(STM,CP278,5)&gt;=$S275,INDEX(STM,CP278,6)&gt;=$R275),1,0)</f>
        <v>#N/A</v>
      </c>
      <c r="CR278" s="4" t="e">
        <f t="shared" ref="CR278" ca="1" si="4683">MATCH(1,OFFSET(CQ275:CQ286,CS277,0,COUNT(CQ275:CQ286)-CS277),0)</f>
        <v>#REF!</v>
      </c>
      <c r="CS278" s="4" t="e">
        <f t="shared" ca="1" si="4639"/>
        <v>#REF!</v>
      </c>
      <c r="CT278" s="692" t="str">
        <f ca="1">IFERROR(VLOOKUP(INDEX(CP275:CP286,CS278),STM,2,FALSE),"----")</f>
        <v>----</v>
      </c>
      <c r="CU278" s="691" t="e">
        <f t="shared" ca="1" si="4640"/>
        <v>#N/A</v>
      </c>
      <c r="CV278" s="4" t="e">
        <f ca="1">IF(AND(INDEX(ELM,CU278,4)&gt;=$AB275,INDEX(ELM,CU278,5)&gt;=$S275,INDEX(ELM,CU278,6)&gt;=$R275),1,0)</f>
        <v>#N/A</v>
      </c>
      <c r="CW278" s="4" t="e">
        <f t="shared" ref="CW278" ca="1" si="4684">MATCH(1,OFFSET(CV275:CV286,CX277,0,COUNT(CV275:CV286)-CX277),0)</f>
        <v>#REF!</v>
      </c>
      <c r="CX278" s="4" t="e">
        <f t="shared" ca="1" si="4642"/>
        <v>#REF!</v>
      </c>
      <c r="CY278" s="692" t="str">
        <f ca="1">IFERROR(VLOOKUP(INDEX(CU275:CU286,CX278),ELM,2,FALSE),"----")</f>
        <v>----</v>
      </c>
      <c r="CZ278" s="691" t="e">
        <f t="shared" ca="1" si="4643"/>
        <v>#N/A</v>
      </c>
      <c r="DA278" s="4" t="e">
        <f ca="1">IF(LEFT($J275,7)="Clad Wo",IF(AND(INDEX(SPPWS,CZ278,4)&gt;=$AB275,INDEX(SPPWS,CZ278,5)&gt;=$S275,INDEX(SPPWS,CZ278,6)&gt;=$R275),1,0),IF(AND(INDEX(SPM,CZ278,4)&gt;=$AB275,INDEX(SPM,CZ278,5)&gt;=$S275,INDEX(SPM,CZ278,6)&gt;=$R275),1,0))</f>
        <v>#N/A</v>
      </c>
      <c r="DB278" s="4" t="e">
        <f t="shared" ref="DB278" ca="1" si="4685">MATCH(1,OFFSET(DA275:DA286,DC277,0,COUNT(DA275:DA286)-DC277),0)</f>
        <v>#REF!</v>
      </c>
      <c r="DC278" s="4" t="e">
        <f t="shared" ca="1" si="4645"/>
        <v>#REF!</v>
      </c>
      <c r="DD278" s="693" t="str">
        <f ca="1">IF(LEFT($J275,7)="Clad Wo",IFERROR(VLOOKUP(INDEX(CZ275:CZ286,DC278),SPPWS,2,FALSE),"----"),IFERROR(VLOOKUP(INDEX(CZ275:CZ286,DC278),SPM,2,FALSE),"----"))</f>
        <v>----</v>
      </c>
      <c r="DE278" s="691" t="e">
        <f t="shared" ca="1" si="4646"/>
        <v>#REF!</v>
      </c>
      <c r="DF278" s="4" t="e" cm="1">
        <f t="array" aca="1" ref="DF278" ca="1">IF(AND(INDEX(INDIRECT(BY275),DE278,4)&gt;=$AB281,INDEX(INDIRECT(BY275),DE278,5)&gt;=$S275,INDEX(INDIRECT(BY275),DE278,6)&gt;=$R275),1,0)</f>
        <v>#REF!</v>
      </c>
      <c r="DG278" s="4" t="e">
        <f t="shared" ref="DG278" ca="1" si="4686">MATCH(1,OFFSET(DF275:DF286,DH277,0,COUNT(DF275:DF286)-DH277),0)</f>
        <v>#REF!</v>
      </c>
      <c r="DH278" s="4" t="e">
        <f t="shared" ca="1" si="4648"/>
        <v>#REF!</v>
      </c>
      <c r="DI278" s="692" t="str" cm="1">
        <f t="array" aca="1" ref="DI278" ca="1">IFERROR(VLOOKUP(INDEX(DE275:DE286,DH278),INDIRECT(BY275),2,FALSE),"----")</f>
        <v>----</v>
      </c>
      <c r="DJ278" s="691" t="e">
        <f t="shared" ca="1" si="4649"/>
        <v>#N/A</v>
      </c>
      <c r="DK278" s="4" t="e">
        <f ca="1">IF(AND(INDEX(SSM,DJ278,4)&gt;=$AB281,INDEX(SSM,DJ278,5)&gt;=$S275,INDEX(SSM,DJ278,6)&gt;=$R275),1,0)</f>
        <v>#N/A</v>
      </c>
      <c r="DL278" s="4" t="e">
        <f t="shared" ref="DL278" ca="1" si="4687">MATCH(1,OFFSET(DK275:DK286,DM277,0,COUNT(DK275:DK286)-DM277),0)</f>
        <v>#REF!</v>
      </c>
      <c r="DM278" s="4" t="e">
        <f t="shared" ca="1" si="4651"/>
        <v>#REF!</v>
      </c>
      <c r="DN278" s="692" t="str">
        <f ca="1">IFERROR(IF(AD282="Nested Steel Stud (wood infill)",VLOOKUP(INDEX(DJ275:DJ286,DM278),SSW,2,FALSE),VLOOKUP(INDEX(DJ275:DJ286,DM278),SSM,2,FALSE)),"----")</f>
        <v>----</v>
      </c>
      <c r="DO278" s="691" t="e">
        <f t="shared" ca="1" si="4652"/>
        <v>#N/A</v>
      </c>
      <c r="DP278" s="4" t="e">
        <f ca="1">IF(AND(INDEX(WSM,DO278,4)&gt;=$AB281,INDEX(WSM,DO278,5)&gt;=$S275,INDEX(WSM,DO278,6)&gt;=$R275),1,0)</f>
        <v>#N/A</v>
      </c>
      <c r="DQ278" s="4" t="e">
        <f t="shared" ref="DQ278" ca="1" si="4688">MATCH(1,OFFSET(DP275:DP286,DR277,0,COUNT(DP275:DP286)-DR277),0)</f>
        <v>#REF!</v>
      </c>
      <c r="DR278" s="4" t="e">
        <f t="shared" ca="1" si="4654"/>
        <v>#REF!</v>
      </c>
      <c r="DS278" s="692" t="str">
        <f ca="1">IFERROR(VLOOKUP(INDEX(DO275:DO286,DR278),WSM,2,FALSE),"----")</f>
        <v>----</v>
      </c>
      <c r="DT278" s="691" t="e">
        <f t="shared" ca="1" si="4655"/>
        <v>#N/A</v>
      </c>
      <c r="DU278" s="4" t="e">
        <f ca="1">IF(AND(INDEX(STM,DT278,4)&gt;=$AB281,INDEX(STM,DT278,5)&gt;=$S275,INDEX(STM,DT278,6)&gt;=$R275),1,0)</f>
        <v>#N/A</v>
      </c>
      <c r="DV278" s="4" t="e">
        <f t="shared" ref="DV278" ca="1" si="4689">MATCH(1,OFFSET(DU275:DU286,DW277,0,COUNT(DU275:DU286)-DW277),0)</f>
        <v>#REF!</v>
      </c>
      <c r="DW278" s="4" t="e">
        <f t="shared" ca="1" si="4657"/>
        <v>#REF!</v>
      </c>
      <c r="DX278" s="692" t="str">
        <f ca="1">IFERROR(VLOOKUP(INDEX(DT275:DT286,DW278),STM,2,FALSE),"----")</f>
        <v>----</v>
      </c>
      <c r="DY278" s="691" t="e">
        <f t="shared" ca="1" si="4658"/>
        <v>#N/A</v>
      </c>
      <c r="DZ278" s="4" t="e">
        <f ca="1">IF(AND(INDEX(ELM,DY278,4)&gt;=$AB281,INDEX(ELM,DY278,5)&gt;=$S275,INDEX(ELM,DY278,6)&gt;=$R275),1,0)</f>
        <v>#N/A</v>
      </c>
      <c r="EA278" s="4" t="e">
        <f t="shared" ref="EA278" ca="1" si="4690">MATCH(1,OFFSET(DZ275:DZ286,EB277,0,COUNT(DZ275:DZ286)-EB277),0)</f>
        <v>#REF!</v>
      </c>
      <c r="EB278" s="4" t="e">
        <f t="shared" ca="1" si="4660"/>
        <v>#REF!</v>
      </c>
      <c r="EC278" s="692" t="str">
        <f ca="1">IFERROR(VLOOKUP(INDEX(DY275:DY286,EB278),ELM,2,FALSE),"----")</f>
        <v>----</v>
      </c>
      <c r="ED278" s="691" t="e">
        <f t="shared" ca="1" si="4661"/>
        <v>#N/A</v>
      </c>
      <c r="EE278" s="4" t="e">
        <f ca="1">IF(LEFT($J275,7)="Clad Wo",IF(AND(INDEX(SPPWS,ED278,4)&gt;=$AB281,INDEX(SPPWS,ED278,5)&gt;=$S275,INDEX(SPPWS,ED278,6)&gt;=$R275),1,0),IF(AND(INDEX(SPM,ED278,4)&gt;=$AB281,INDEX(SPM,ED278,5)&gt;=$S275,INDEX(SPM,ED278,6)&gt;=$R275),1,0))</f>
        <v>#N/A</v>
      </c>
      <c r="EF278" s="4" t="e">
        <f t="shared" ref="EF278" ca="1" si="4691">MATCH(1,OFFSET(EE275:EE286,EG277,0,COUNT(EE275:EE286)-EG277),0)</f>
        <v>#REF!</v>
      </c>
      <c r="EG278" s="4" t="e">
        <f t="shared" ca="1" si="4663"/>
        <v>#REF!</v>
      </c>
      <c r="EH278" s="692" t="str">
        <f ca="1">IF(LEFT($J275,7)="Clad Wo",IFERROR(VLOOKUP(INDEX(ED275:ED286,EG278),SPPWS,2,FALSE),"----"),IFERROR(VLOOKUP(INDEX(ED275:ED286,EG278),SPM,2,FALSE),"----"))</f>
        <v>----</v>
      </c>
    </row>
    <row r="279" spans="1:138" ht="15" customHeight="1" x14ac:dyDescent="0.25">
      <c r="A279" s="1085"/>
      <c r="B279" s="925"/>
      <c r="C279" s="926"/>
      <c r="D279" s="927"/>
      <c r="E279" s="995"/>
      <c r="F279" s="996"/>
      <c r="G279" s="997"/>
      <c r="H279" s="1062"/>
      <c r="I279" s="990"/>
      <c r="J279" s="910"/>
      <c r="K279" s="911"/>
      <c r="L279" s="1002"/>
      <c r="M279" s="923"/>
      <c r="N279" s="1042"/>
      <c r="O279" s="1018"/>
      <c r="P279" s="987"/>
      <c r="Q279" s="1015"/>
      <c r="R279" s="1012"/>
      <c r="S279" s="1006"/>
      <c r="T279" s="1007"/>
      <c r="U279" s="878"/>
      <c r="V279" s="881"/>
      <c r="W279" s="884"/>
      <c r="X279" s="884"/>
      <c r="Y279" s="887"/>
      <c r="Z279" s="887"/>
      <c r="AA279" s="887"/>
      <c r="AB279" s="1081"/>
      <c r="AC279" s="1078"/>
      <c r="AD279" s="1070" t="s">
        <v>39</v>
      </c>
      <c r="AE279" s="1071"/>
      <c r="AF279" s="1052"/>
      <c r="AG279" s="1053"/>
      <c r="AH279" s="1053"/>
      <c r="AI279" s="1068"/>
      <c r="AJ279" s="1069"/>
      <c r="AK279" s="154" t="str">
        <f t="shared" ca="1" si="3667"/>
        <v/>
      </c>
      <c r="AL279" s="1039"/>
      <c r="AM279" s="344" t="str">
        <f ca="1">IFERROR(Q275/12*ROUND(VLOOKUP(AF279,OFFSET(ELM,0,1),6,FALSE),2),"")</f>
        <v/>
      </c>
      <c r="AN279" t="str">
        <f t="shared" ca="1" si="3717"/>
        <v/>
      </c>
      <c r="AP279" s="122" t="str">
        <f t="shared" ref="AP279" si="4692">_xlfn.CONCAT(AR279,AS280)</f>
        <v/>
      </c>
      <c r="AQ279" s="683" t="str">
        <f t="shared" si="3881"/>
        <v/>
      </c>
      <c r="AR279" s="4" t="str">
        <f t="shared" si="3642"/>
        <v/>
      </c>
      <c r="AS279" s="4"/>
      <c r="AT279" s="697" t="str">
        <f>AL275</f>
        <v/>
      </c>
      <c r="AU279" s="694" t="e">
        <f t="shared" ca="1" si="3907"/>
        <v>#REF!</v>
      </c>
      <c r="AV279" s="698" t="str">
        <f ca="1">IFERROR(VLOOKUP(AU279,INDIRECT(AQ275),2,FALSE),"----")</f>
        <v>----</v>
      </c>
      <c r="AW279" s="694" t="e">
        <f t="shared" ca="1" si="3908"/>
        <v>#REF!</v>
      </c>
      <c r="AX279" s="698" t="str">
        <f ca="1">IFERROR(VLOOKUP(AW279,INDIRECT(AQ276),2,FALSE),"----")</f>
        <v>----</v>
      </c>
      <c r="AY279" s="694" t="e">
        <f t="shared" ref="AY279" ca="1" si="4693">AY278-1</f>
        <v>#REF!</v>
      </c>
      <c r="AZ279" s="698" t="str">
        <f ca="1">IFERROR(VLOOKUP(AY279,INDIRECT(AQ277),2,FALSE),"----")</f>
        <v>----</v>
      </c>
      <c r="BA279" s="694" t="e">
        <f t="shared" ref="BA279" ca="1" si="4694">BA278-1</f>
        <v>#REF!</v>
      </c>
      <c r="BB279" s="698" t="str">
        <f ca="1">IFERROR(VLOOKUP(BA279,INDIRECT(AQ278),2,FALSE),"----")</f>
        <v>----</v>
      </c>
      <c r="BC279" s="694" t="e">
        <f t="shared" ca="1" si="3911"/>
        <v>#REF!</v>
      </c>
      <c r="BD279" s="698" t="str">
        <f ca="1">IFERROR(VLOOKUP(BC279,INDIRECT(AQ279),2,FALSE),"----")</f>
        <v>----</v>
      </c>
      <c r="BE279" s="694" t="e">
        <f t="shared" ca="1" si="3912"/>
        <v>#REF!</v>
      </c>
      <c r="BF279" s="698" t="str">
        <f ca="1">IFERROR(VLOOKUP(BE279,INDIRECT(AQ280),2,FALSE),"----")</f>
        <v>----</v>
      </c>
      <c r="BG279" s="694" t="e">
        <f t="shared" ca="1" si="3913"/>
        <v>#REF!</v>
      </c>
      <c r="BH279" s="686" t="str">
        <f ca="1">IFERROR(VLOOKUP(BG279,INDIRECT(AQ281),2,FALSE),"----")</f>
        <v>----</v>
      </c>
      <c r="BI279" s="694" t="e">
        <f t="shared" ca="1" si="3914"/>
        <v>#REF!</v>
      </c>
      <c r="BJ279" s="686" t="str">
        <f ca="1">IFERROR(VLOOKUP(BI279,INDIRECT(AQ282),2,FALSE),"----")</f>
        <v>----</v>
      </c>
      <c r="BK279" s="694" t="e">
        <f t="shared" ca="1" si="3915"/>
        <v>#REF!</v>
      </c>
      <c r="BL279" s="686" t="str">
        <f ca="1">IFERROR(VLOOKUP(BK279,INDIRECT(AQ283),2,FALSE),"----")</f>
        <v>----</v>
      </c>
      <c r="BM279" s="694" t="e">
        <f t="shared" ca="1" si="3916"/>
        <v>#REF!</v>
      </c>
      <c r="BN279" s="686" t="str">
        <f ca="1">IFERROR(VLOOKUP(BM279,INDIRECT(AQ284),2,FALSE),"----")</f>
        <v>----</v>
      </c>
      <c r="BO279" s="694" t="e">
        <f t="shared" ca="1" si="3917"/>
        <v>#REF!</v>
      </c>
      <c r="BP279" s="686" t="str">
        <f ca="1">IFERROR(VLOOKUP(BO279,INDIRECT(AQ285),2,FALSE),"----")</f>
        <v>----</v>
      </c>
      <c r="BQ279" s="694" t="e">
        <f t="shared" ca="1" si="3918"/>
        <v>#REF!</v>
      </c>
      <c r="BR279" s="686" t="str">
        <f ca="1">IFERROR(VLOOKUP(BQ279,INDIRECT(AQ286),2,FALSE),"----")</f>
        <v>----</v>
      </c>
      <c r="BS279" s="695">
        <f>IF(AI279="",1,IF(COUNTIF(BD275:BD286,AI279)=0,2,1))</f>
        <v>1</v>
      </c>
      <c r="BT279" s="696">
        <f>IF(AF279="",1,IF(BD275=".",2,1))</f>
        <v>1</v>
      </c>
      <c r="BU279" s="706"/>
      <c r="BV279" s="155">
        <f ca="1">IF(COUNTIF(CY275:CY286,AF279)=0,IF(AF279&lt;&gt;"",0,1),1)</f>
        <v>1</v>
      </c>
      <c r="BW279" s="157">
        <f ca="1">IFERROR(MATCH(AF279,CY275:CY286,0),1)</f>
        <v>1</v>
      </c>
      <c r="BX279" s="769"/>
      <c r="BY279" s="769"/>
      <c r="BZ279" s="1110"/>
      <c r="CA279" s="691" t="e">
        <f t="shared" ca="1" si="4628"/>
        <v>#REF!</v>
      </c>
      <c r="CB279" s="4" t="e" cm="1">
        <f t="array" aca="1" ref="CB279" ca="1">IF(AND(INDEX(INDIRECT(BY275),CA279,4)&gt;=$AB275,INDEX(INDIRECT(BY275),CA279,5)&gt;=$S275,INDEX(INDIRECT(BY275),CA279,6)&gt;=$R275),1,0)</f>
        <v>#REF!</v>
      </c>
      <c r="CC279" s="4" t="e">
        <f t="shared" ref="CC279" ca="1" si="4695">MATCH(1,OFFSET(CB275:CB286,CD278,0,COUNT(CB275:CB286)-CD278),0)</f>
        <v>#REF!</v>
      </c>
      <c r="CD279" s="4" t="e">
        <f t="shared" ca="1" si="4630"/>
        <v>#REF!</v>
      </c>
      <c r="CE279" s="692" t="str" cm="1">
        <f t="array" aca="1" ref="CE279" ca="1">IFERROR(VLOOKUP(INDEX(CA275:CA286,CD279),INDIRECT(BY275),2,FALSE),"----")</f>
        <v>----</v>
      </c>
      <c r="CF279" s="691" t="e">
        <f t="shared" ca="1" si="4631"/>
        <v>#N/A</v>
      </c>
      <c r="CG279" s="4" t="e">
        <f ca="1">IF(AND(INDEX(SSM,CF279,4)&gt;=$AB275,INDEX(SSM,CF279,5)&gt;=$S275,INDEX(SSM,CF279,6)&gt;=$R275),1,0)</f>
        <v>#N/A</v>
      </c>
      <c r="CH279" s="4" t="e">
        <f t="shared" ref="CH279" ca="1" si="4696">MATCH(1,OFFSET(CG275:CG286,CI278,0,COUNT(CG275:CG286)-CI278),0)</f>
        <v>#REF!</v>
      </c>
      <c r="CI279" s="4" t="e">
        <f t="shared" ca="1" si="4633"/>
        <v>#REF!</v>
      </c>
      <c r="CJ279" s="692" t="str">
        <f ca="1">IFERROR(IF(AD276="Nested Steel Stud (wood infill)",VLOOKUP(INDEX(CF275:CF286,CI279),SSW,2,FALSE),VLOOKUP(INDEX(CF275:CF286,CI279),SSM,2,FALSE)),"----")</f>
        <v>----</v>
      </c>
      <c r="CK279" s="691" t="e">
        <f t="shared" ca="1" si="4634"/>
        <v>#N/A</v>
      </c>
      <c r="CL279" s="4" t="e">
        <f ca="1">IF(AND(INDEX(WSM,CK279,4)&gt;=$AB275,INDEX(WSM,CK279,5)&gt;=$S275,INDEX(WSM,CK279,6)&gt;=$R275),1,0)</f>
        <v>#N/A</v>
      </c>
      <c r="CM279" s="4" t="e">
        <f t="shared" ref="CM279" ca="1" si="4697">MATCH(1,OFFSET(CL275:CL286,CN278,0,COUNT(CL275:CL286)-CN278),0)</f>
        <v>#REF!</v>
      </c>
      <c r="CN279" s="4" t="e">
        <f t="shared" ca="1" si="4636"/>
        <v>#REF!</v>
      </c>
      <c r="CO279" s="692" t="str">
        <f ca="1">IFERROR(VLOOKUP(INDEX(CK275:CK286,CN279),WSM,2,FALSE),"----")</f>
        <v>----</v>
      </c>
      <c r="CP279" s="691" t="e">
        <f t="shared" ca="1" si="4637"/>
        <v>#N/A</v>
      </c>
      <c r="CQ279" s="4" t="e">
        <f ca="1">IF(AND(INDEX(STM,CP279,4)&gt;=$AB275,INDEX(STM,CP279,5)&gt;=$S275,INDEX(STM,CP279,6)&gt;=$R275),1,0)</f>
        <v>#N/A</v>
      </c>
      <c r="CR279" s="4" t="e">
        <f t="shared" ref="CR279" ca="1" si="4698">MATCH(1,OFFSET(CQ275:CQ286,CS278,0,COUNT(CQ275:CQ286)-CS278),0)</f>
        <v>#REF!</v>
      </c>
      <c r="CS279" s="4" t="e">
        <f t="shared" ca="1" si="4639"/>
        <v>#REF!</v>
      </c>
      <c r="CT279" s="692" t="str">
        <f ca="1">IFERROR(VLOOKUP(INDEX(CP275:CP286,CS279),STM,2,FALSE),"----")</f>
        <v>----</v>
      </c>
      <c r="CU279" s="691" t="e">
        <f t="shared" ca="1" si="4640"/>
        <v>#N/A</v>
      </c>
      <c r="CV279" s="4" t="e">
        <f ca="1">IF(AND(INDEX(ELM,CU279,4)&gt;=$AB275,INDEX(ELM,CU279,5)&gt;=$S275,INDEX(ELM,CU279,6)&gt;=$R275),1,0)</f>
        <v>#N/A</v>
      </c>
      <c r="CW279" s="4" t="e">
        <f t="shared" ref="CW279" ca="1" si="4699">MATCH(1,OFFSET(CV275:CV286,CX278,0,COUNT(CV275:CV286)-CX278),0)</f>
        <v>#REF!</v>
      </c>
      <c r="CX279" s="4" t="e">
        <f t="shared" ca="1" si="4642"/>
        <v>#REF!</v>
      </c>
      <c r="CY279" s="692" t="str">
        <f ca="1">IFERROR(VLOOKUP(INDEX(CU275:CU286,CX279),ELM,2,FALSE),"----")</f>
        <v>----</v>
      </c>
      <c r="CZ279" s="691" t="e">
        <f t="shared" ca="1" si="4643"/>
        <v>#N/A</v>
      </c>
      <c r="DA279" s="4" t="e">
        <f ca="1">IF(LEFT($J275,7)="Clad Wo",IF(AND(INDEX(SPPWS,CZ279,4)&gt;=$AB275,INDEX(SPPWS,CZ279,5)&gt;=$S275,INDEX(SPPWS,CZ279,6)&gt;=$R275),1,0),IF(AND(INDEX(SPM,CZ279,4)&gt;=$AB275,INDEX(SPM,CZ279,5)&gt;=$S275,INDEX(SPM,CZ279,6)&gt;=$R275),1,0))</f>
        <v>#N/A</v>
      </c>
      <c r="DB279" s="4" t="e">
        <f t="shared" ref="DB279" ca="1" si="4700">MATCH(1,OFFSET(DA275:DA286,DC278,0,COUNT(DA275:DA286)-DC278),0)</f>
        <v>#REF!</v>
      </c>
      <c r="DC279" s="4" t="e">
        <f t="shared" ca="1" si="4645"/>
        <v>#REF!</v>
      </c>
      <c r="DD279" s="693" t="str">
        <f ca="1">IF(LEFT($J275,7)="Clad Wo",IFERROR(VLOOKUP(INDEX(CZ275:CZ286,DC279),SPPWS,2,FALSE),"----"),IFERROR(VLOOKUP(INDEX(CZ275:CZ286,DC279),SPM,2,FALSE),"----"))</f>
        <v>----</v>
      </c>
      <c r="DE279" s="691" t="e">
        <f t="shared" ca="1" si="4646"/>
        <v>#REF!</v>
      </c>
      <c r="DF279" s="4" t="e" cm="1">
        <f t="array" aca="1" ref="DF279" ca="1">IF(AND(INDEX(INDIRECT(BY275),DE279,4)&gt;=$AB281,INDEX(INDIRECT(BY275),DE279,5)&gt;=$S275,INDEX(INDIRECT(BY275),DE279,6)&gt;=$R275),1,0)</f>
        <v>#REF!</v>
      </c>
      <c r="DG279" s="4" t="e">
        <f t="shared" ref="DG279" ca="1" si="4701">MATCH(1,OFFSET(DF275:DF286,DH278,0,COUNT(DF275:DF286)-DH278),0)</f>
        <v>#REF!</v>
      </c>
      <c r="DH279" s="4" t="e">
        <f t="shared" ca="1" si="4648"/>
        <v>#REF!</v>
      </c>
      <c r="DI279" s="692" t="str" cm="1">
        <f t="array" aca="1" ref="DI279" ca="1">IFERROR(VLOOKUP(INDEX(DE275:DE286,DH279),INDIRECT(BY275),2,FALSE),"----")</f>
        <v>----</v>
      </c>
      <c r="DJ279" s="691" t="e">
        <f t="shared" ca="1" si="4649"/>
        <v>#N/A</v>
      </c>
      <c r="DK279" s="4" t="e">
        <f ca="1">IF(AND(INDEX(SSM,DJ279,4)&gt;=$AB281,INDEX(SSM,DJ279,5)&gt;=$S275,INDEX(SSM,DJ279,6)&gt;=$R275),1,0)</f>
        <v>#N/A</v>
      </c>
      <c r="DL279" s="4" t="e">
        <f t="shared" ref="DL279" ca="1" si="4702">MATCH(1,OFFSET(DK275:DK286,DM278,0,COUNT(DK275:DK286)-DM278),0)</f>
        <v>#REF!</v>
      </c>
      <c r="DM279" s="4" t="e">
        <f t="shared" ca="1" si="4651"/>
        <v>#REF!</v>
      </c>
      <c r="DN279" s="692" t="str">
        <f ca="1">IFERROR(IF(AD282="Nested Steel Stud (wood infill)",VLOOKUP(INDEX(DJ275:DJ286,DM279),SSW,2,FALSE),VLOOKUP(INDEX(DJ275:DJ286,DM279),SSM,2,FALSE)),"----")</f>
        <v>----</v>
      </c>
      <c r="DO279" s="691" t="e">
        <f t="shared" ca="1" si="4652"/>
        <v>#N/A</v>
      </c>
      <c r="DP279" s="4" t="e">
        <f ca="1">IF(AND(INDEX(WSM,DO279,4)&gt;=$AB281,INDEX(WSM,DO279,5)&gt;=$S275,INDEX(WSM,DO279,6)&gt;=$R275),1,0)</f>
        <v>#N/A</v>
      </c>
      <c r="DQ279" s="4" t="e">
        <f t="shared" ref="DQ279" ca="1" si="4703">MATCH(1,OFFSET(DP275:DP286,DR278,0,COUNT(DP275:DP286)-DR278),0)</f>
        <v>#REF!</v>
      </c>
      <c r="DR279" s="4" t="e">
        <f t="shared" ca="1" si="4654"/>
        <v>#REF!</v>
      </c>
      <c r="DS279" s="692" t="str">
        <f ca="1">IFERROR(VLOOKUP(INDEX(DO275:DO286,DR279),WSM,2,FALSE),"----")</f>
        <v>----</v>
      </c>
      <c r="DT279" s="691" t="e">
        <f t="shared" ca="1" si="4655"/>
        <v>#N/A</v>
      </c>
      <c r="DU279" s="4" t="e">
        <f ca="1">IF(AND(INDEX(STM,DT279,4)&gt;=$AB281,INDEX(STM,DT279,5)&gt;=$S275,INDEX(STM,DT279,6)&gt;=$R275),1,0)</f>
        <v>#N/A</v>
      </c>
      <c r="DV279" s="4" t="e">
        <f t="shared" ref="DV279" ca="1" si="4704">MATCH(1,OFFSET(DU275:DU286,DW278,0,COUNT(DU275:DU286)-DW278),0)</f>
        <v>#REF!</v>
      </c>
      <c r="DW279" s="4" t="e">
        <f t="shared" ca="1" si="4657"/>
        <v>#REF!</v>
      </c>
      <c r="DX279" s="692" t="str">
        <f ca="1">IFERROR(VLOOKUP(INDEX(DT275:DT286,DW279),STM,2,FALSE),"----")</f>
        <v>----</v>
      </c>
      <c r="DY279" s="691" t="e">
        <f t="shared" ca="1" si="4658"/>
        <v>#N/A</v>
      </c>
      <c r="DZ279" s="4" t="e">
        <f ca="1">IF(AND(INDEX(ELM,DY279,4)&gt;=$AB281,INDEX(ELM,DY279,5)&gt;=$S275,INDEX(ELM,DY279,6)&gt;=$R275),1,0)</f>
        <v>#N/A</v>
      </c>
      <c r="EA279" s="4" t="e">
        <f t="shared" ref="EA279" ca="1" si="4705">MATCH(1,OFFSET(DZ275:DZ286,EB278,0,COUNT(DZ275:DZ286)-EB278),0)</f>
        <v>#REF!</v>
      </c>
      <c r="EB279" s="4" t="e">
        <f t="shared" ca="1" si="4660"/>
        <v>#REF!</v>
      </c>
      <c r="EC279" s="692" t="str">
        <f ca="1">IFERROR(VLOOKUP(INDEX(DY275:DY286,EB279),ELM,2,FALSE),"----")</f>
        <v>----</v>
      </c>
      <c r="ED279" s="691" t="e">
        <f t="shared" ca="1" si="4661"/>
        <v>#N/A</v>
      </c>
      <c r="EE279" s="4" t="e">
        <f ca="1">IF(LEFT($J275,7)="Clad Wo",IF(AND(INDEX(SPPWS,ED279,4)&gt;=$AB281,INDEX(SPPWS,ED279,5)&gt;=$S275,INDEX(SPPWS,ED279,6)&gt;=$R275),1,0),IF(AND(INDEX(SPM,ED279,4)&gt;=$AB281,INDEX(SPM,ED279,5)&gt;=$S275,INDEX(SPM,ED279,6)&gt;=$R275),1,0))</f>
        <v>#N/A</v>
      </c>
      <c r="EF279" s="4" t="e">
        <f t="shared" ref="EF279" ca="1" si="4706">MATCH(1,OFFSET(EE275:EE286,EG278,0,COUNT(EE275:EE286)-EG278),0)</f>
        <v>#REF!</v>
      </c>
      <c r="EG279" s="4" t="e">
        <f t="shared" ca="1" si="4663"/>
        <v>#REF!</v>
      </c>
      <c r="EH279" s="692" t="str">
        <f ca="1">IF(LEFT($J275,7)="Clad Wo",IFERROR(VLOOKUP(INDEX(ED275:ED286,EG279),SPPWS,2,FALSE),"----"),IFERROR(VLOOKUP(INDEX(ED275:ED286,EG279),SPM,2,FALSE),"----"))</f>
        <v>----</v>
      </c>
    </row>
    <row r="280" spans="1:138" ht="15" customHeight="1" thickBot="1" x14ac:dyDescent="0.3">
      <c r="A280" s="1085"/>
      <c r="B280" s="934"/>
      <c r="C280" s="935"/>
      <c r="D280" s="936"/>
      <c r="E280" s="995"/>
      <c r="F280" s="996"/>
      <c r="G280" s="997"/>
      <c r="H280" s="1062"/>
      <c r="I280" s="990"/>
      <c r="J280" s="908"/>
      <c r="K280" s="909"/>
      <c r="L280" s="1010"/>
      <c r="M280" s="924"/>
      <c r="N280" s="1044"/>
      <c r="O280" s="1018"/>
      <c r="P280" s="987"/>
      <c r="Q280" s="1015"/>
      <c r="R280" s="1012"/>
      <c r="S280" s="1006"/>
      <c r="T280" s="1007"/>
      <c r="U280" s="878"/>
      <c r="V280" s="881"/>
      <c r="W280" s="889"/>
      <c r="X280" s="884"/>
      <c r="Y280" s="890"/>
      <c r="Z280" s="890"/>
      <c r="AA280" s="887"/>
      <c r="AB280" s="1084"/>
      <c r="AC280" s="1079"/>
      <c r="AD280" s="1072" t="str">
        <f t="shared" ref="AD280" si="4707">IF(LEFT(J275,7)="Clad Wo","Pella Wood Spr / Steel Pte","Steel Plate")</f>
        <v>Steel Plate</v>
      </c>
      <c r="AE280" s="1073"/>
      <c r="AF280" s="1054"/>
      <c r="AG280" s="1055"/>
      <c r="AH280" s="1055"/>
      <c r="AI280" s="1092"/>
      <c r="AJ280" s="1093"/>
      <c r="AK280" s="159" t="str">
        <f t="shared" ca="1" si="3667"/>
        <v/>
      </c>
      <c r="AL280" s="1040"/>
      <c r="AM280" s="345" t="str">
        <f ca="1">IFERROR(Q275/12*ROUND(VLOOKUP(AF280,OFFSET(SPM,0,1),6,FALSE),2),"")</f>
        <v/>
      </c>
      <c r="AN280" t="str">
        <f t="shared" ca="1" si="3717"/>
        <v/>
      </c>
      <c r="AP280" s="699" t="str">
        <f t="shared" ref="AP280" si="4708">_xlfn.CONCAT(AR280,AS280)</f>
        <v/>
      </c>
      <c r="AQ280" s="700" t="str">
        <f t="shared" si="3881"/>
        <v/>
      </c>
      <c r="AR280" s="160" t="str">
        <f t="shared" si="3642"/>
        <v/>
      </c>
      <c r="AS280" s="160" t="str">
        <f>IFERROR(VLOOKUP(J283, WallType,2,FALSE),"")</f>
        <v/>
      </c>
      <c r="AT280" s="701" t="str">
        <f>AL275</f>
        <v/>
      </c>
      <c r="AU280" s="694" t="e">
        <f t="shared" ca="1" si="3907"/>
        <v>#REF!</v>
      </c>
      <c r="AV280" s="698" t="str">
        <f ca="1">IFERROR(VLOOKUP(AU280,INDIRECT(AQ275),2,FALSE),"----")</f>
        <v>----</v>
      </c>
      <c r="AW280" s="702" t="e">
        <f t="shared" ca="1" si="3908"/>
        <v>#REF!</v>
      </c>
      <c r="AX280" s="698" t="str">
        <f ca="1">IFERROR(VLOOKUP(AW280,INDIRECT(AQ276),2,FALSE),"----")</f>
        <v>----</v>
      </c>
      <c r="AY280" s="702" t="e">
        <f t="shared" ref="AY280" ca="1" si="4709">AY279-1</f>
        <v>#REF!</v>
      </c>
      <c r="AZ280" s="698" t="str">
        <f ca="1">IFERROR(VLOOKUP(AY280,INDIRECT(AQ277),2,FALSE),"----")</f>
        <v>----</v>
      </c>
      <c r="BA280" s="702" t="e">
        <f t="shared" ref="BA280" ca="1" si="4710">BA279-1</f>
        <v>#REF!</v>
      </c>
      <c r="BB280" s="698" t="str">
        <f ca="1">IFERROR(VLOOKUP(BA280,INDIRECT(AQ278),2,FALSE),"----")</f>
        <v>----</v>
      </c>
      <c r="BC280" s="702" t="e">
        <f t="shared" ca="1" si="3911"/>
        <v>#REF!</v>
      </c>
      <c r="BD280" s="698" t="str">
        <f ca="1">IFERROR(VLOOKUP(BC280,INDIRECT(AQ279),2,FALSE),"----")</f>
        <v>----</v>
      </c>
      <c r="BE280" s="702" t="e">
        <f t="shared" ca="1" si="3912"/>
        <v>#REF!</v>
      </c>
      <c r="BF280" s="698" t="str">
        <f ca="1">IFERROR(VLOOKUP(BE280,INDIRECT(AQ280),2,FALSE),"----")</f>
        <v>----</v>
      </c>
      <c r="BG280" s="702" t="e">
        <f t="shared" ca="1" si="3913"/>
        <v>#REF!</v>
      </c>
      <c r="BH280" s="686" t="str">
        <f ca="1">IFERROR(VLOOKUP(BG280,INDIRECT(AQ281),2,FALSE),"----")</f>
        <v>----</v>
      </c>
      <c r="BI280" s="702" t="e">
        <f t="shared" ca="1" si="3914"/>
        <v>#REF!</v>
      </c>
      <c r="BJ280" s="686" t="str">
        <f ca="1">IFERROR(VLOOKUP(BI280,INDIRECT(AQ282),2,FALSE),"----")</f>
        <v>----</v>
      </c>
      <c r="BK280" s="702" t="e">
        <f t="shared" ca="1" si="3915"/>
        <v>#REF!</v>
      </c>
      <c r="BL280" s="686" t="str">
        <f ca="1">IFERROR(VLOOKUP(BK280,INDIRECT(AQ283),2,FALSE),"----")</f>
        <v>----</v>
      </c>
      <c r="BM280" s="702" t="e">
        <f t="shared" ca="1" si="3916"/>
        <v>#REF!</v>
      </c>
      <c r="BN280" s="686" t="str">
        <f ca="1">IFERROR(VLOOKUP(BM280,INDIRECT(AQ284),2,FALSE),"----")</f>
        <v>----</v>
      </c>
      <c r="BO280" s="702" t="e">
        <f t="shared" ca="1" si="3917"/>
        <v>#REF!</v>
      </c>
      <c r="BP280" s="686" t="str">
        <f ca="1">IFERROR(VLOOKUP(BO280,INDIRECT(AQ285),2,FALSE),"----")</f>
        <v>----</v>
      </c>
      <c r="BQ280" s="702" t="e">
        <f t="shared" ca="1" si="3918"/>
        <v>#REF!</v>
      </c>
      <c r="BR280" s="686" t="str">
        <f ca="1">IFERROR(VLOOKUP(BQ280,INDIRECT(AQ286),2,FALSE),"----")</f>
        <v>----</v>
      </c>
      <c r="BS280" s="703">
        <f>IF(AI280="",1,IF(COUNTIF(BF275:BF286,AI280)=0,2,1))</f>
        <v>1</v>
      </c>
      <c r="BT280" s="704">
        <f>IF(AF280="",1,IF(BF275=".",2,1))</f>
        <v>1</v>
      </c>
      <c r="BV280" s="155">
        <f ca="1">IF(COUNTIF(DD275:DD286,AF280)=0,IF(AF280&lt;&gt;"",0,1),1)</f>
        <v>1</v>
      </c>
      <c r="BW280" s="157">
        <f ca="1">IFERROR(MATCH(AF280,DD275:DD286,0),1)</f>
        <v>1</v>
      </c>
      <c r="BX280" s="875" t="s">
        <v>1594</v>
      </c>
      <c r="BY280" s="876"/>
      <c r="BZ280" s="1110"/>
      <c r="CA280" s="691" t="e">
        <f t="shared" ca="1" si="4628"/>
        <v>#REF!</v>
      </c>
      <c r="CB280" s="4" t="e" cm="1">
        <f t="array" aca="1" ref="CB280" ca="1">IF(AND(INDEX(INDIRECT(BY275),CA280,4)&gt;=$AB275,INDEX(INDIRECT(BY275),CA280,5)&gt;=$S275,INDEX(INDIRECT(BY275),CA280,6)&gt;=$R275),1,0)</f>
        <v>#REF!</v>
      </c>
      <c r="CC280" s="4" t="e">
        <f t="shared" ref="CC280" ca="1" si="4711">MATCH(1,OFFSET(CB275:CB286,CD279,0,COUNT(CB275:CB286)-CD279),0)</f>
        <v>#REF!</v>
      </c>
      <c r="CD280" s="4" t="e">
        <f t="shared" ca="1" si="4630"/>
        <v>#REF!</v>
      </c>
      <c r="CE280" s="692" t="str" cm="1">
        <f t="array" aca="1" ref="CE280" ca="1">IFERROR(VLOOKUP(INDEX(CA275:CA286,CD280),INDIRECT(BY275),2,FALSE),"----")</f>
        <v>----</v>
      </c>
      <c r="CF280" s="691" t="e">
        <f t="shared" ca="1" si="4631"/>
        <v>#N/A</v>
      </c>
      <c r="CG280" s="4" t="e">
        <f ca="1">IF(AND(INDEX(SSM,CF280,4)&gt;=$AB275,INDEX(SSM,CF280,5)&gt;=$S275,INDEX(SSM,CF280,6)&gt;=$R275),1,0)</f>
        <v>#N/A</v>
      </c>
      <c r="CH280" s="4" t="e">
        <f t="shared" ref="CH280" ca="1" si="4712">MATCH(1,OFFSET(CG275:CG286,CI279,0,COUNT(CG275:CG286)-CI279),0)</f>
        <v>#REF!</v>
      </c>
      <c r="CI280" s="4" t="e">
        <f t="shared" ca="1" si="4633"/>
        <v>#REF!</v>
      </c>
      <c r="CJ280" s="692" t="str">
        <f ca="1">IFERROR(IF(AD276="Nested Steel Stud (wood infill)",VLOOKUP(INDEX(CF275:CF286,CI280),SSW,2,FALSE),VLOOKUP(INDEX(CF275:CF286,CI280),SSM,2,FALSE)),"----")</f>
        <v>----</v>
      </c>
      <c r="CK280" s="691" t="e">
        <f t="shared" ca="1" si="4634"/>
        <v>#N/A</v>
      </c>
      <c r="CL280" s="4" t="e">
        <f ca="1">IF(AND(INDEX(WSM,CK280,4)&gt;=$AB275,INDEX(WSM,CK280,5)&gt;=$S275,INDEX(WSM,CK280,6)&gt;=$R275),1,0)</f>
        <v>#N/A</v>
      </c>
      <c r="CM280" s="4" t="e">
        <f t="shared" ref="CM280" ca="1" si="4713">MATCH(1,OFFSET(CL275:CL286,CN279,0,COUNT(CL275:CL286)-CN279),0)</f>
        <v>#REF!</v>
      </c>
      <c r="CN280" s="4" t="e">
        <f t="shared" ca="1" si="4636"/>
        <v>#REF!</v>
      </c>
      <c r="CO280" s="692" t="str">
        <f ca="1">IFERROR(VLOOKUP(INDEX(CK275:CK286,CN280),WSM,2,FALSE),"----")</f>
        <v>----</v>
      </c>
      <c r="CP280" s="691" t="e">
        <f t="shared" ca="1" si="4637"/>
        <v>#N/A</v>
      </c>
      <c r="CQ280" s="4" t="e">
        <f ca="1">IF(AND(INDEX(STM,CP280,4)&gt;=$AB275,INDEX(STM,CP280,5)&gt;=$S275,INDEX(STM,CP280,6)&gt;=$R275),1,0)</f>
        <v>#N/A</v>
      </c>
      <c r="CR280" s="4" t="e">
        <f t="shared" ref="CR280" ca="1" si="4714">MATCH(1,OFFSET(CQ275:CQ286,CS279,0,COUNT(CQ275:CQ286)-CS279),0)</f>
        <v>#REF!</v>
      </c>
      <c r="CS280" s="4" t="e">
        <f t="shared" ca="1" si="4639"/>
        <v>#REF!</v>
      </c>
      <c r="CT280" s="692" t="str">
        <f ca="1">IFERROR(VLOOKUP(INDEX(CP275:CP286,CS280),STM,2,FALSE),"----")</f>
        <v>----</v>
      </c>
      <c r="CU280" s="691" t="e">
        <f t="shared" ca="1" si="4640"/>
        <v>#N/A</v>
      </c>
      <c r="CV280" s="4" t="e">
        <f ca="1">IF(AND(INDEX(ELM,CU280,4)&gt;=$AB275,INDEX(ELM,CU280,5)&gt;=$S275,INDEX(ELM,CU280,6)&gt;=$R275),1,0)</f>
        <v>#N/A</v>
      </c>
      <c r="CW280" s="4" t="e">
        <f t="shared" ref="CW280" ca="1" si="4715">MATCH(1,OFFSET(CV275:CV286,CX279,0,COUNT(CV275:CV286)-CX279),0)</f>
        <v>#REF!</v>
      </c>
      <c r="CX280" s="4" t="e">
        <f t="shared" ca="1" si="4642"/>
        <v>#REF!</v>
      </c>
      <c r="CY280" s="692" t="str">
        <f ca="1">IFERROR(VLOOKUP(INDEX(CU275:CU286,CX280),ELM,2,FALSE),"----")</f>
        <v>----</v>
      </c>
      <c r="CZ280" s="691" t="e">
        <f t="shared" ca="1" si="4643"/>
        <v>#N/A</v>
      </c>
      <c r="DA280" s="4" t="e">
        <f ca="1">IF(LEFT($J275,7)="Clad Wo",IF(AND(INDEX(SPPWS,CZ280,4)&gt;=$AB275,INDEX(SPPWS,CZ280,5)&gt;=$S275,INDEX(SPPWS,CZ280,6)&gt;=$R275),1,0),IF(AND(INDEX(SPM,CZ280,4)&gt;=$AB275,INDEX(SPM,CZ280,5)&gt;=$S275,INDEX(SPM,CZ280,6)&gt;=$R275),1,0))</f>
        <v>#N/A</v>
      </c>
      <c r="DB280" s="4" t="e">
        <f t="shared" ref="DB280" ca="1" si="4716">MATCH(1,OFFSET(DA275:DA286,DC279,0,COUNT(DA275:DA286)-DC279),0)</f>
        <v>#REF!</v>
      </c>
      <c r="DC280" s="4" t="e">
        <f t="shared" ca="1" si="4645"/>
        <v>#REF!</v>
      </c>
      <c r="DD280" s="693" t="str">
        <f ca="1">IF(LEFT($J275,7)="Clad Wo",IFERROR(VLOOKUP(INDEX(CZ275:CZ286,DC280),SPPWS,2,FALSE),"----"),IFERROR(VLOOKUP(INDEX(CZ275:CZ286,DC280),SPM,2,FALSE),"----"))</f>
        <v>----</v>
      </c>
      <c r="DE280" s="691" t="e">
        <f t="shared" ca="1" si="4646"/>
        <v>#REF!</v>
      </c>
      <c r="DF280" s="4" t="e" cm="1">
        <f t="array" aca="1" ref="DF280" ca="1">IF(AND(INDEX(INDIRECT(BY275),DE280,4)&gt;=$AB281,INDEX(INDIRECT(BY275),DE280,5)&gt;=$S275,INDEX(INDIRECT(BY275),DE280,6)&gt;=$R275),1,0)</f>
        <v>#REF!</v>
      </c>
      <c r="DG280" s="4" t="e">
        <f t="shared" ref="DG280" ca="1" si="4717">MATCH(1,OFFSET(DF275:DF286,DH279,0,COUNT(DF275:DF286)-DH279),0)</f>
        <v>#REF!</v>
      </c>
      <c r="DH280" s="4" t="e">
        <f t="shared" ca="1" si="4648"/>
        <v>#REF!</v>
      </c>
      <c r="DI280" s="692" t="str" cm="1">
        <f t="array" aca="1" ref="DI280" ca="1">IFERROR(VLOOKUP(INDEX(DE275:DE286,DH280),INDIRECT(BY275),2,FALSE),"----")</f>
        <v>----</v>
      </c>
      <c r="DJ280" s="691" t="e">
        <f t="shared" ca="1" si="4649"/>
        <v>#N/A</v>
      </c>
      <c r="DK280" s="4" t="e">
        <f ca="1">IF(AND(INDEX(SSM,DJ280,4)&gt;=$AB281,INDEX(SSM,DJ280,5)&gt;=$S275,INDEX(SSM,DJ280,6)&gt;=$R275),1,0)</f>
        <v>#N/A</v>
      </c>
      <c r="DL280" s="4" t="e">
        <f t="shared" ref="DL280" ca="1" si="4718">MATCH(1,OFFSET(DK275:DK286,DM279,0,COUNT(DK275:DK286)-DM279),0)</f>
        <v>#REF!</v>
      </c>
      <c r="DM280" s="4" t="e">
        <f t="shared" ca="1" si="4651"/>
        <v>#REF!</v>
      </c>
      <c r="DN280" s="692" t="str">
        <f ca="1">IFERROR(IF(AD282="Nested Steel Stud (wood infill)",VLOOKUP(INDEX(DJ275:DJ286,DM280),SSW,2,FALSE),VLOOKUP(INDEX(DJ275:DJ286,DM280),SSM,2,FALSE)),"----")</f>
        <v>----</v>
      </c>
      <c r="DO280" s="691" t="e">
        <f t="shared" ca="1" si="4652"/>
        <v>#N/A</v>
      </c>
      <c r="DP280" s="4" t="e">
        <f ca="1">IF(AND(INDEX(WSM,DO280,4)&gt;=$AB281,INDEX(WSM,DO280,5)&gt;=$S275,INDEX(WSM,DO280,6)&gt;=$R275),1,0)</f>
        <v>#N/A</v>
      </c>
      <c r="DQ280" s="4" t="e">
        <f t="shared" ref="DQ280" ca="1" si="4719">MATCH(1,OFFSET(DP275:DP286,DR279,0,COUNT(DP275:DP286)-DR279),0)</f>
        <v>#REF!</v>
      </c>
      <c r="DR280" s="4" t="e">
        <f t="shared" ca="1" si="4654"/>
        <v>#REF!</v>
      </c>
      <c r="DS280" s="692" t="str">
        <f ca="1">IFERROR(VLOOKUP(INDEX(DO275:DO286,DR280),WSM,2,FALSE),"----")</f>
        <v>----</v>
      </c>
      <c r="DT280" s="691" t="e">
        <f t="shared" ca="1" si="4655"/>
        <v>#N/A</v>
      </c>
      <c r="DU280" s="4" t="e">
        <f ca="1">IF(AND(INDEX(STM,DT280,4)&gt;=$AB281,INDEX(STM,DT280,5)&gt;=$S275,INDEX(STM,DT280,6)&gt;=$R275),1,0)</f>
        <v>#N/A</v>
      </c>
      <c r="DV280" s="4" t="e">
        <f t="shared" ref="DV280" ca="1" si="4720">MATCH(1,OFFSET(DU275:DU286,DW279,0,COUNT(DU275:DU286)-DW279),0)</f>
        <v>#REF!</v>
      </c>
      <c r="DW280" s="4" t="e">
        <f t="shared" ca="1" si="4657"/>
        <v>#REF!</v>
      </c>
      <c r="DX280" s="692" t="str">
        <f ca="1">IFERROR(VLOOKUP(INDEX(DT275:DT286,DW280),STM,2,FALSE),"----")</f>
        <v>----</v>
      </c>
      <c r="DY280" s="691" t="e">
        <f t="shared" ca="1" si="4658"/>
        <v>#N/A</v>
      </c>
      <c r="DZ280" s="4" t="e">
        <f ca="1">IF(AND(INDEX(ELM,DY280,4)&gt;=$AB281,INDEX(ELM,DY280,5)&gt;=$S275,INDEX(ELM,DY280,6)&gt;=$R275),1,0)</f>
        <v>#N/A</v>
      </c>
      <c r="EA280" s="4" t="e">
        <f t="shared" ref="EA280" ca="1" si="4721">MATCH(1,OFFSET(DZ275:DZ286,EB279,0,COUNT(DZ275:DZ286)-EB279),0)</f>
        <v>#REF!</v>
      </c>
      <c r="EB280" s="4" t="e">
        <f t="shared" ca="1" si="4660"/>
        <v>#REF!</v>
      </c>
      <c r="EC280" s="692" t="str">
        <f ca="1">IFERROR(VLOOKUP(INDEX(DY275:DY286,EB280),ELM,2,FALSE),"----")</f>
        <v>----</v>
      </c>
      <c r="ED280" s="691" t="e">
        <f t="shared" ca="1" si="4661"/>
        <v>#N/A</v>
      </c>
      <c r="EE280" s="4" t="e">
        <f ca="1">IF(LEFT($J275,7)="Clad Wo",IF(AND(INDEX(SPPWS,ED280,4)&gt;=$AB281,INDEX(SPPWS,ED280,5)&gt;=$S275,INDEX(SPPWS,ED280,6)&gt;=$R275),1,0),IF(AND(INDEX(SPM,ED280,4)&gt;=$AB281,INDEX(SPM,ED280,5)&gt;=$S275,INDEX(SPM,ED280,6)&gt;=$R275),1,0))</f>
        <v>#N/A</v>
      </c>
      <c r="EF280" s="4" t="e">
        <f t="shared" ref="EF280" ca="1" si="4722">MATCH(1,OFFSET(EE275:EE286,EG279,0,COUNT(EE275:EE286)-EG279),0)</f>
        <v>#REF!</v>
      </c>
      <c r="EG280" s="4" t="e">
        <f t="shared" ca="1" si="4663"/>
        <v>#REF!</v>
      </c>
      <c r="EH280" s="692" t="str">
        <f ca="1">IF(LEFT($J275,7)="Clad Wo",IFERROR(VLOOKUP(INDEX(ED275:ED286,EG280),SPPWS,2,FALSE),"----"),IFERROR(VLOOKUP(INDEX(ED275:ED286,EG280),SPM,2,FALSE),"----"))</f>
        <v>----</v>
      </c>
    </row>
    <row r="281" spans="1:138" ht="15" customHeight="1" x14ac:dyDescent="0.25">
      <c r="A281" s="1085"/>
      <c r="B281" s="925" t="s">
        <v>409</v>
      </c>
      <c r="C281" s="926"/>
      <c r="D281" s="927"/>
      <c r="E281" s="995"/>
      <c r="F281" s="996"/>
      <c r="G281" s="997"/>
      <c r="H281" s="1062"/>
      <c r="I281" s="990"/>
      <c r="J281" s="908"/>
      <c r="K281" s="909"/>
      <c r="L281" s="1001">
        <f>L275+1</f>
        <v>5</v>
      </c>
      <c r="M281" s="1064" t="str">
        <f t="shared" ref="M281" si="4723">IFERROR(IF($AE$17="",IF($AG$19="Wind Loading",MIN($V$31,IF(E$11="ASCE 7-05",$U$26,$V$7)*$V$9*(IF($E$12&lt;60,0.156*LN(MAX(MIN(500,O275),10)) -1.7618,IF($E$11="ASCE 7-22", 0.2026*LN(MAX(MIN(500,O275),20))-2.2638,0.2503*LN(MAX(MIN(500,O275),20)) -2.5526))-$V$8)),$V$7*IF(E$12&lt;60,$V$13*($V$15*(0.156*LN(MAX(MIN(500,O275),10)) -1.7618)-$V$16),$V$13*$V$15*((0.2026*LN(MAX(MIN(500,O275),20))-2.2638)-$V$16))),-ABS($AE$17)),"")</f>
        <v/>
      </c>
      <c r="N281" s="1041" t="str">
        <f t="shared" ref="N281" si="4724">IFERROR(IF($AE$19="",IF($AG$19="Wind Loading",MAX($U$31,IF(E$11="ASCE 7-05",$U$26,$V$7)*$V$9*((IF($E$12&lt;60,-0.077*LN(MAX(MIN(500,O275),10))+1.1737,IF($E$11="ASCE 7-22",-0.077*LN(MAX(MIN(500,O275),20))+1.0798,-0.093*LN(MAX(MIN(500,O275),20))+1.1776)))+$V$8)),$V$7*IF(E$12&lt;60,$V$13*($V$15*(-0.077*LN(MAX(MIN(500,O275),10))+1.1737)-$V$17),$V$13*$V$15*((-0.077*LN(MAX(MIN(500,O275),20))+1.0798)-$V$17))),ABS($AE$19)),"")</f>
        <v/>
      </c>
      <c r="O281" s="1018"/>
      <c r="P281" s="987"/>
      <c r="Q281" s="1015"/>
      <c r="R281" s="1012">
        <f>P281*Q281/8</f>
        <v>0</v>
      </c>
      <c r="S281" s="1006"/>
      <c r="T281" s="1007"/>
      <c r="U281" s="878"/>
      <c r="V281" s="881"/>
      <c r="W281" s="883" t="e">
        <f t="shared" ref="W281" si="4725">MAX(-M281,N281)*O275</f>
        <v>#VALUE!</v>
      </c>
      <c r="X281" s="884"/>
      <c r="Y281" s="886">
        <f>IFERROR(IF(AG$14="Trapezoidal",BY284,BX284)+IF($E$17="4",(400*E275^3)/(48*X275),0),0)</f>
        <v>0</v>
      </c>
      <c r="Z281" s="886" t="e">
        <f t="shared" ref="Z281" si="4726">+($V275*MAX(-$M281,$N281)*$E275^2)/(144*8)+IF($E$17=4,(400*$E275)/4,0)</f>
        <v>#VALUE!</v>
      </c>
      <c r="AA281" s="887"/>
      <c r="AB281" s="1080" t="str">
        <f t="shared" ref="AB281" ca="1" si="4727">IFERROR(Z281-AA275,"")</f>
        <v/>
      </c>
      <c r="AC281" s="1086" t="str">
        <f t="shared" ref="AC281" ca="1" si="4728">IFERROR(Y281-U275,"")</f>
        <v/>
      </c>
      <c r="AD281" s="1074" t="str">
        <f t="shared" ref="AD281" si="4729">AD275</f>
        <v/>
      </c>
      <c r="AE281" s="1075"/>
      <c r="AF281" s="1056"/>
      <c r="AG281" s="1057"/>
      <c r="AH281" s="1057"/>
      <c r="AI281" s="1088"/>
      <c r="AJ281" s="1089"/>
      <c r="AK281" s="162" t="str">
        <f t="shared" ca="1" si="3667"/>
        <v/>
      </c>
      <c r="AL281" s="1058" t="str">
        <f t="shared" ref="AL281" si="4730">IFERROR(ROUND(SQRT(P275^2+(W281/2+IF($E$17=4,200,0))^2),0),"")</f>
        <v/>
      </c>
      <c r="AM281" s="342" t="s">
        <v>669</v>
      </c>
      <c r="AN281" t="str">
        <f t="shared" ca="1" si="3717"/>
        <v/>
      </c>
      <c r="AP281" s="122" t="str">
        <f t="shared" ref="AP281" si="4731">_xlfn.CONCAT(AR281,AS286)</f>
        <v/>
      </c>
      <c r="AQ281" s="683" t="str">
        <f t="shared" si="3881"/>
        <v/>
      </c>
      <c r="AR281" s="96" t="str">
        <f t="shared" si="3642"/>
        <v/>
      </c>
      <c r="AS281" s="96" t="str">
        <f>IF(COUNTIF(imp_1,AF281)=1,"imp_1",IF(COUNTIF(imp_2,AF281)=1,"imp_2",IF(COUNTIF(imp_3,AF281)=1,"imp_3",IF(COUNTIF(impdoor,AF281)=1,"impdoor",""))))</f>
        <v/>
      </c>
      <c r="AT281" s="684" t="str">
        <f>AL281</f>
        <v/>
      </c>
      <c r="AU281" s="685" t="e">
        <f t="shared" ca="1" si="3907"/>
        <v>#REF!</v>
      </c>
      <c r="AV281" s="686" t="str">
        <f ca="1">IFERROR(VLOOKUP(AU281,INDIRECT(AQ275),2,FALSE),"----")</f>
        <v>----</v>
      </c>
      <c r="AW281" s="685" t="e">
        <f t="shared" ca="1" si="3908"/>
        <v>#REF!</v>
      </c>
      <c r="AX281" s="686" t="str">
        <f ca="1">IFERROR(VLOOKUP(AW281,INDIRECT(AQ276),2,FALSE),"----")</f>
        <v>----</v>
      </c>
      <c r="AY281" s="685" t="e">
        <f t="shared" ca="1" si="4472"/>
        <v>#REF!</v>
      </c>
      <c r="AZ281" s="686" t="str">
        <f ca="1">IFERROR(VLOOKUP(AY281,INDIRECT(AQ277),2,FALSE),"----")</f>
        <v>----</v>
      </c>
      <c r="BA281" s="685" t="e">
        <f t="shared" ca="1" si="4473"/>
        <v>#REF!</v>
      </c>
      <c r="BB281" s="686" t="str">
        <f ca="1">IFERROR(VLOOKUP(BA281,INDIRECT(AQ278),2,FALSE),"----")</f>
        <v>----</v>
      </c>
      <c r="BC281" s="685" t="e">
        <f t="shared" ca="1" si="3911"/>
        <v>#REF!</v>
      </c>
      <c r="BD281" s="686" t="str">
        <f ca="1">IFERROR(VLOOKUP(BC281,INDIRECT(AQ279),2,FALSE),"----")</f>
        <v>----</v>
      </c>
      <c r="BE281" s="685" t="e">
        <f t="shared" ca="1" si="3912"/>
        <v>#REF!</v>
      </c>
      <c r="BF281" s="686" t="str">
        <f ca="1">IFERROR(VLOOKUP(BE281,INDIRECT(AQ280),2,FALSE),"----")</f>
        <v>----</v>
      </c>
      <c r="BG281" s="702" t="e">
        <f t="shared" ca="1" si="3913"/>
        <v>#REF!</v>
      </c>
      <c r="BH281" s="686" t="str">
        <f ca="1">IFERROR(VLOOKUP(BG281,INDIRECT(AQ281),2,FALSE),"----")</f>
        <v>----</v>
      </c>
      <c r="BI281" s="702" t="e">
        <f t="shared" ca="1" si="3914"/>
        <v>#REF!</v>
      </c>
      <c r="BJ281" s="686" t="str">
        <f ca="1">IFERROR(VLOOKUP(BI281,INDIRECT(AQ282),2,FALSE),"----")</f>
        <v>----</v>
      </c>
      <c r="BK281" s="702" t="e">
        <f t="shared" ca="1" si="3915"/>
        <v>#REF!</v>
      </c>
      <c r="BL281" s="686" t="str">
        <f ca="1">IFERROR(VLOOKUP(BK281,INDIRECT(AQ283),2,FALSE),"----")</f>
        <v>----</v>
      </c>
      <c r="BM281" s="702" t="e">
        <f t="shared" ca="1" si="3916"/>
        <v>#REF!</v>
      </c>
      <c r="BN281" s="686" t="str">
        <f ca="1">IFERROR(VLOOKUP(BM281,INDIRECT(AQ284),2,FALSE),"----")</f>
        <v>----</v>
      </c>
      <c r="BO281" s="702" t="e">
        <f t="shared" ca="1" si="3917"/>
        <v>#REF!</v>
      </c>
      <c r="BP281" s="686" t="str">
        <f ca="1">IFERROR(VLOOKUP(BO281,INDIRECT(AQ285),2,FALSE),"----")</f>
        <v>----</v>
      </c>
      <c r="BQ281" s="702" t="e">
        <f t="shared" ca="1" si="3918"/>
        <v>#REF!</v>
      </c>
      <c r="BR281" s="686" t="str">
        <f ca="1">IFERROR(VLOOKUP(BQ281,INDIRECT(AQ286),2,FALSE),"----")</f>
        <v>----</v>
      </c>
      <c r="BS281" s="695">
        <f>IF(AI281="",1,IF(COUNTIF(BH275:BH286,AI281)=0,2,1))</f>
        <v>1</v>
      </c>
      <c r="BT281" s="696">
        <f>IF(AP281="1",1,IF(AF281="",1,IF(BH275=".",2,1)))</f>
        <v>1</v>
      </c>
      <c r="BU281" s="706"/>
      <c r="BV281" s="155">
        <f ca="1">IF(COUNTIF(DI275:DI286,AF281)=0,IF(AF281&lt;&gt;"",0,1),1)</f>
        <v>1</v>
      </c>
      <c r="BW281" s="157">
        <f ca="1">IFERROR(MATCH(AF281,DI275:DI286,0),1)</f>
        <v>1</v>
      </c>
      <c r="BX281" s="769" t="s">
        <v>1593</v>
      </c>
      <c r="BY281" s="769" t="s">
        <v>1629</v>
      </c>
      <c r="BZ281" s="1110"/>
      <c r="CA281" s="691" t="e">
        <f t="shared" ca="1" si="4628"/>
        <v>#REF!</v>
      </c>
      <c r="CB281" s="4" t="e" cm="1">
        <f t="array" aca="1" ref="CB281" ca="1">IF(AND(INDEX(INDIRECT(BY275),CA281,4)&gt;=$AB275,INDEX(INDIRECT(BY275),CA281,5)&gt;=$S275,INDEX(INDIRECT(BY275),CA281,6)&gt;=$R275),1,0)</f>
        <v>#REF!</v>
      </c>
      <c r="CC281" s="4" t="e">
        <f t="shared" ref="CC281" ca="1" si="4732">MATCH(1,OFFSET(CB275:CB286,CD280,0,COUNT(CB275:CB286)-CD280),0)</f>
        <v>#REF!</v>
      </c>
      <c r="CD281" s="4" t="e">
        <f t="shared" ca="1" si="4630"/>
        <v>#REF!</v>
      </c>
      <c r="CE281" s="692" t="str" cm="1">
        <f t="array" aca="1" ref="CE281" ca="1">IFERROR(VLOOKUP(INDEX(CA275:CA286,CD281),INDIRECT(BY275),2,FALSE),"----")</f>
        <v>----</v>
      </c>
      <c r="CF281" s="691" t="e">
        <f t="shared" ca="1" si="4631"/>
        <v>#N/A</v>
      </c>
      <c r="CG281" s="4" t="e">
        <f ca="1">IF(AND(INDEX(SSM,CF281,4)&gt;=$AB275,INDEX(SSM,CF281,5)&gt;=$S275,INDEX(SSM,CF281,6)&gt;=$R275),1,0)</f>
        <v>#N/A</v>
      </c>
      <c r="CH281" s="4" t="e">
        <f t="shared" ref="CH281" ca="1" si="4733">MATCH(1,OFFSET(CG275:CG286,CI280,0,COUNT(CG275:CG286)-CI280),0)</f>
        <v>#REF!</v>
      </c>
      <c r="CI281" s="4" t="e">
        <f t="shared" ca="1" si="4633"/>
        <v>#REF!</v>
      </c>
      <c r="CJ281" s="692" t="str">
        <f ca="1">IFERROR(IF(AD276="Nested Steel Stud (wood infill)",VLOOKUP(INDEX(CF275:CF286,CI281),SSW,2,FALSE),VLOOKUP(INDEX(CF275:CF286,CI281),SSM,2,FALSE)),"----")</f>
        <v>----</v>
      </c>
      <c r="CK281" s="691" t="e">
        <f t="shared" ca="1" si="4634"/>
        <v>#N/A</v>
      </c>
      <c r="CL281" s="4" t="e">
        <f ca="1">IF(AND(INDEX(WSM,CK281,4)&gt;=$AB275,INDEX(WSM,CK281,5)&gt;=$S275,INDEX(WSM,CK281,6)&gt;=$R275),1,0)</f>
        <v>#N/A</v>
      </c>
      <c r="CM281" s="4" t="e">
        <f t="shared" ref="CM281" ca="1" si="4734">MATCH(1,OFFSET(CL275:CL286,CN280,0,COUNT(CL275:CL286)-CN280),0)</f>
        <v>#REF!</v>
      </c>
      <c r="CN281" s="4" t="e">
        <f t="shared" ca="1" si="4636"/>
        <v>#REF!</v>
      </c>
      <c r="CO281" s="692" t="str">
        <f ca="1">IFERROR(VLOOKUP(INDEX(CK275:CK286,CN281),WSM,2,FALSE),"----")</f>
        <v>----</v>
      </c>
      <c r="CP281" s="691" t="e">
        <f t="shared" ca="1" si="4637"/>
        <v>#N/A</v>
      </c>
      <c r="CQ281" s="4" t="e">
        <f ca="1">IF(AND(INDEX(STM,CP281,4)&gt;=$AB275,INDEX(STM,CP281,5)&gt;=$S275,INDEX(STM,CP281,6)&gt;=$R275),1,0)</f>
        <v>#N/A</v>
      </c>
      <c r="CR281" s="4" t="e">
        <f t="shared" ref="CR281" ca="1" si="4735">MATCH(1,OFFSET(CQ275:CQ286,CS280,0,COUNT(CQ275:CQ286)-CS280),0)</f>
        <v>#REF!</v>
      </c>
      <c r="CS281" s="4" t="e">
        <f t="shared" ca="1" si="4639"/>
        <v>#REF!</v>
      </c>
      <c r="CT281" s="692" t="str">
        <f ca="1">IFERROR(VLOOKUP(INDEX(CP275:CP286,CS281),STM,2,FALSE),"----")</f>
        <v>----</v>
      </c>
      <c r="CU281" s="691" t="e">
        <f t="shared" ca="1" si="4640"/>
        <v>#N/A</v>
      </c>
      <c r="CV281" s="4" t="e">
        <f ca="1">IF(AND(INDEX(ELM,CU281,4)&gt;=$AB275,INDEX(ELM,CU281,5)&gt;=$S275,INDEX(ELM,CU281,6)&gt;=$R275),1,0)</f>
        <v>#N/A</v>
      </c>
      <c r="CW281" s="4" t="e">
        <f t="shared" ref="CW281" ca="1" si="4736">MATCH(1,OFFSET(CV275:CV286,CX280,0,COUNT(CV275:CV286)-CX280),0)</f>
        <v>#REF!</v>
      </c>
      <c r="CX281" s="4" t="e">
        <f t="shared" ca="1" si="4642"/>
        <v>#REF!</v>
      </c>
      <c r="CY281" s="692" t="str">
        <f ca="1">IFERROR(VLOOKUP(INDEX(CU275:CU286,CX281),ELM,2,FALSE),"----")</f>
        <v>----</v>
      </c>
      <c r="CZ281" s="691" t="e">
        <f t="shared" ca="1" si="4643"/>
        <v>#N/A</v>
      </c>
      <c r="DA281" s="4" t="e">
        <f ca="1">IF(LEFT($J275,7)="Clad Wo",IF(AND(INDEX(SPPWS,CZ281,4)&gt;=$AB275,INDEX(SPPWS,CZ281,5)&gt;=$S275,INDEX(SPPWS,CZ281,6)&gt;=$R275),1,0),IF(AND(INDEX(SPM,CZ281,4)&gt;=$AB275,INDEX(SPM,CZ281,5)&gt;=$S275,INDEX(SPM,CZ281,6)&gt;=$R275),1,0))</f>
        <v>#N/A</v>
      </c>
      <c r="DB281" s="4" t="e">
        <f t="shared" ref="DB281" ca="1" si="4737">MATCH(1,OFFSET(DA275:DA286,DC280,0,COUNT(DA275:DA286)-DC280),0)</f>
        <v>#REF!</v>
      </c>
      <c r="DC281" s="4" t="e">
        <f t="shared" ca="1" si="4645"/>
        <v>#REF!</v>
      </c>
      <c r="DD281" s="693" t="str">
        <f ca="1">IF(LEFT($J275,7)="Clad Wo",IFERROR(VLOOKUP(INDEX(CZ275:CZ286,DC281),SPPWS,2,FALSE),"----"),IFERROR(VLOOKUP(INDEX(CZ275:CZ286,DC281),SPM,2,FALSE),"----"))</f>
        <v>----</v>
      </c>
      <c r="DE281" s="691" t="e">
        <f t="shared" ca="1" si="4646"/>
        <v>#REF!</v>
      </c>
      <c r="DF281" s="4" t="e" cm="1">
        <f t="array" aca="1" ref="DF281" ca="1">IF(AND(INDEX(INDIRECT(BY275),DE281,4)&gt;=$AB281,INDEX(INDIRECT(BY275),DE281,5)&gt;=$S275,INDEX(INDIRECT(BY275),DE281,6)&gt;=$R275),1,0)</f>
        <v>#REF!</v>
      </c>
      <c r="DG281" s="4" t="e">
        <f t="shared" ref="DG281" ca="1" si="4738">MATCH(1,OFFSET(DF275:DF286,DH280,0,COUNT(DF275:DF286)-DH280),0)</f>
        <v>#REF!</v>
      </c>
      <c r="DH281" s="4" t="e">
        <f t="shared" ca="1" si="4648"/>
        <v>#REF!</v>
      </c>
      <c r="DI281" s="692" t="str" cm="1">
        <f t="array" aca="1" ref="DI281" ca="1">IFERROR(VLOOKUP(INDEX(DE275:DE286,DH281),INDIRECT(BY275),2,FALSE),"----")</f>
        <v>----</v>
      </c>
      <c r="DJ281" s="691" t="e">
        <f t="shared" ca="1" si="4649"/>
        <v>#N/A</v>
      </c>
      <c r="DK281" s="4" t="e">
        <f ca="1">IF(AND(INDEX(SSM,DJ281,4)&gt;=$AB281,INDEX(SSM,DJ281,5)&gt;=$S275,INDEX(SSM,DJ281,6)&gt;=$R275),1,0)</f>
        <v>#N/A</v>
      </c>
      <c r="DL281" s="4" t="e">
        <f t="shared" ref="DL281" ca="1" si="4739">MATCH(1,OFFSET(DK275:DK286,DM280,0,COUNT(DK275:DK286)-DM280),0)</f>
        <v>#REF!</v>
      </c>
      <c r="DM281" s="4" t="e">
        <f t="shared" ca="1" si="4651"/>
        <v>#REF!</v>
      </c>
      <c r="DN281" s="692" t="str">
        <f ca="1">IFERROR(IF(AD282="Nested Steel Stud (wood infill)",VLOOKUP(INDEX(DJ275:DJ286,DM281),SSW,2,FALSE),VLOOKUP(INDEX(DJ275:DJ286,DM281),SSM,2,FALSE)),"----")</f>
        <v>----</v>
      </c>
      <c r="DO281" s="691" t="e">
        <f t="shared" ca="1" si="4652"/>
        <v>#N/A</v>
      </c>
      <c r="DP281" s="4" t="e">
        <f ca="1">IF(AND(INDEX(WSM,DO281,4)&gt;=$AB281,INDEX(WSM,DO281,5)&gt;=$S275,INDEX(WSM,DO281,6)&gt;=$R275),1,0)</f>
        <v>#N/A</v>
      </c>
      <c r="DQ281" s="4" t="e">
        <f t="shared" ref="DQ281" ca="1" si="4740">MATCH(1,OFFSET(DP275:DP286,DR280,0,COUNT(DP275:DP286)-DR280),0)</f>
        <v>#REF!</v>
      </c>
      <c r="DR281" s="4" t="e">
        <f t="shared" ca="1" si="4654"/>
        <v>#REF!</v>
      </c>
      <c r="DS281" s="692" t="str">
        <f ca="1">IFERROR(VLOOKUP(INDEX(DO275:DO286,DR281),WSM,2,FALSE),"----")</f>
        <v>----</v>
      </c>
      <c r="DT281" s="691" t="e">
        <f t="shared" ca="1" si="4655"/>
        <v>#N/A</v>
      </c>
      <c r="DU281" s="4" t="e">
        <f ca="1">IF(AND(INDEX(STM,DT281,4)&gt;=$AB281,INDEX(STM,DT281,5)&gt;=$S275,INDEX(STM,DT281,6)&gt;=$R275),1,0)</f>
        <v>#N/A</v>
      </c>
      <c r="DV281" s="4" t="e">
        <f t="shared" ref="DV281" ca="1" si="4741">MATCH(1,OFFSET(DU275:DU286,DW280,0,COUNT(DU275:DU286)-DW280),0)</f>
        <v>#REF!</v>
      </c>
      <c r="DW281" s="4" t="e">
        <f t="shared" ca="1" si="4657"/>
        <v>#REF!</v>
      </c>
      <c r="DX281" s="692" t="str">
        <f ca="1">IFERROR(VLOOKUP(INDEX(DT275:DT286,DW281),STM,2,FALSE),"----")</f>
        <v>----</v>
      </c>
      <c r="DY281" s="691" t="e">
        <f t="shared" ca="1" si="4658"/>
        <v>#N/A</v>
      </c>
      <c r="DZ281" s="4" t="e">
        <f ca="1">IF(AND(INDEX(ELM,DY281,4)&gt;=$AB281,INDEX(ELM,DY281,5)&gt;=$S275,INDEX(ELM,DY281,6)&gt;=$R275),1,0)</f>
        <v>#N/A</v>
      </c>
      <c r="EA281" s="4" t="e">
        <f t="shared" ref="EA281" ca="1" si="4742">MATCH(1,OFFSET(DZ275:DZ286,EB280,0,COUNT(DZ275:DZ286)-EB280),0)</f>
        <v>#REF!</v>
      </c>
      <c r="EB281" s="4" t="e">
        <f t="shared" ca="1" si="4660"/>
        <v>#REF!</v>
      </c>
      <c r="EC281" s="692" t="str">
        <f ca="1">IFERROR(VLOOKUP(INDEX(DY275:DY286,EB281),ELM,2,FALSE),"----")</f>
        <v>----</v>
      </c>
      <c r="ED281" s="691" t="e">
        <f t="shared" ca="1" si="4661"/>
        <v>#N/A</v>
      </c>
      <c r="EE281" s="4" t="e">
        <f ca="1">IF(LEFT($J275,7)="Clad Wo",IF(AND(INDEX(SPPWS,ED281,4)&gt;=$AB281,INDEX(SPPWS,ED281,5)&gt;=$S275,INDEX(SPPWS,ED281,6)&gt;=$R275),1,0),IF(AND(INDEX(SPM,ED281,4)&gt;=$AB281,INDEX(SPM,ED281,5)&gt;=$S275,INDEX(SPM,ED281,6)&gt;=$R275),1,0))</f>
        <v>#N/A</v>
      </c>
      <c r="EF281" s="4" t="e">
        <f t="shared" ref="EF281" ca="1" si="4743">MATCH(1,OFFSET(EE275:EE286,EG280,0,COUNT(EE275:EE286)-EG280),0)</f>
        <v>#REF!</v>
      </c>
      <c r="EG281" s="4" t="e">
        <f t="shared" ca="1" si="4663"/>
        <v>#REF!</v>
      </c>
      <c r="EH281" s="692" t="str">
        <f ca="1">IF(LEFT($J275,7)="Clad Wo",IFERROR(VLOOKUP(INDEX(ED275:ED286,EG281),SPPWS,2,FALSE),"----"),IFERROR(VLOOKUP(INDEX(ED275:ED286,EG281),SPM,2,FALSE),"----"))</f>
        <v>----</v>
      </c>
    </row>
    <row r="282" spans="1:138" ht="15" customHeight="1" x14ac:dyDescent="0.25">
      <c r="A282" s="1085"/>
      <c r="B282" s="925"/>
      <c r="C282" s="926"/>
      <c r="D282" s="927"/>
      <c r="E282" s="995"/>
      <c r="F282" s="996"/>
      <c r="G282" s="997"/>
      <c r="H282" s="1062"/>
      <c r="I282" s="990"/>
      <c r="J282" s="912"/>
      <c r="K282" s="913"/>
      <c r="L282" s="1002"/>
      <c r="M282" s="923"/>
      <c r="N282" s="1042"/>
      <c r="O282" s="1018"/>
      <c r="P282" s="987"/>
      <c r="Q282" s="1015"/>
      <c r="R282" s="1012"/>
      <c r="S282" s="1006"/>
      <c r="T282" s="1007"/>
      <c r="U282" s="878"/>
      <c r="V282" s="881"/>
      <c r="W282" s="884"/>
      <c r="X282" s="884"/>
      <c r="Y282" s="887"/>
      <c r="Z282" s="887"/>
      <c r="AA282" s="887"/>
      <c r="AB282" s="1081"/>
      <c r="AC282" s="1078"/>
      <c r="AD282" s="1070" t="str">
        <f t="shared" ref="AD282" si="4744">IF(ISBLANK(AD276)=TRUE,"",AD276)</f>
        <v>Nested Steel Stud</v>
      </c>
      <c r="AE282" s="1071"/>
      <c r="AF282" s="1052"/>
      <c r="AG282" s="1053"/>
      <c r="AH282" s="1053"/>
      <c r="AI282" s="1066"/>
      <c r="AJ282" s="1067"/>
      <c r="AK282" s="156" t="str">
        <f t="shared" ca="1" si="3667"/>
        <v/>
      </c>
      <c r="AL282" s="1059"/>
      <c r="AM282" s="343" t="str">
        <f ca="1">IFERROR(Q275/12*ROUND(VLOOKUP(AF282,OFFSET(SSM,0,1),6,FALSE),2),"")</f>
        <v/>
      </c>
      <c r="AN282" t="str">
        <f t="shared" ca="1" si="3717"/>
        <v/>
      </c>
      <c r="AP282" s="122" t="str">
        <f t="shared" ref="AP282" si="4745">_xlfn.CONCAT(AR282,AS286)</f>
        <v/>
      </c>
      <c r="AQ282" s="683" t="str">
        <f t="shared" si="3881"/>
        <v/>
      </c>
      <c r="AR282" s="96" t="str">
        <f t="shared" si="3642"/>
        <v/>
      </c>
      <c r="AS282" s="96" t="str">
        <f>IF(COUNTIF(Vista_1,AF281)=1,"Vista_1",IF(COUNTIF(Vista_2,AF281)=1,"Vista_2",""))</f>
        <v/>
      </c>
      <c r="AT282" s="684" t="str">
        <f>AL281</f>
        <v/>
      </c>
      <c r="AU282" s="694" t="e">
        <f t="shared" ca="1" si="3907"/>
        <v>#REF!</v>
      </c>
      <c r="AV282" s="686" t="str">
        <f ca="1">IFERROR(VLOOKUP(AU282,INDIRECT(AQ275),2,FALSE),"----")</f>
        <v>----</v>
      </c>
      <c r="AW282" s="694" t="e">
        <f t="shared" ca="1" si="3908"/>
        <v>#REF!</v>
      </c>
      <c r="AX282" s="686" t="str">
        <f ca="1">IFERROR(VLOOKUP(AW282,INDIRECT(AQ276),2,FALSE),"----")</f>
        <v>----</v>
      </c>
      <c r="AY282" s="694" t="e">
        <f t="shared" ca="1" si="4472"/>
        <v>#REF!</v>
      </c>
      <c r="AZ282" s="686" t="str">
        <f ca="1">IFERROR(VLOOKUP(AY282,INDIRECT(AQ277),2,FALSE),"----")</f>
        <v>----</v>
      </c>
      <c r="BA282" s="694" t="e">
        <f t="shared" ca="1" si="4473"/>
        <v>#REF!</v>
      </c>
      <c r="BB282" s="686" t="str">
        <f ca="1">IFERROR(VLOOKUP(BA282,INDIRECT(AQ278),2,FALSE),"----")</f>
        <v>----</v>
      </c>
      <c r="BC282" s="694" t="e">
        <f t="shared" ca="1" si="3911"/>
        <v>#REF!</v>
      </c>
      <c r="BD282" s="686" t="str">
        <f ca="1">IFERROR(VLOOKUP(BC282,INDIRECT(AQ279),2,FALSE),"----")</f>
        <v>----</v>
      </c>
      <c r="BE282" s="694" t="e">
        <f t="shared" ca="1" si="3912"/>
        <v>#REF!</v>
      </c>
      <c r="BF282" s="686" t="str">
        <f ca="1">IFERROR(VLOOKUP(BE282,INDIRECT(AQ280),2,FALSE),"----")</f>
        <v>----</v>
      </c>
      <c r="BG282" s="702" t="e">
        <f t="shared" ca="1" si="3913"/>
        <v>#REF!</v>
      </c>
      <c r="BH282" s="686" t="str">
        <f ca="1">IFERROR(VLOOKUP(BG282,INDIRECT(AQ281),2,FALSE),"----")</f>
        <v>----</v>
      </c>
      <c r="BI282" s="702" t="e">
        <f t="shared" ca="1" si="3914"/>
        <v>#REF!</v>
      </c>
      <c r="BJ282" s="686" t="str">
        <f ca="1">IFERROR(VLOOKUP(BI282,INDIRECT(AQ282),2,FALSE),"----")</f>
        <v>----</v>
      </c>
      <c r="BK282" s="702" t="e">
        <f t="shared" ca="1" si="3915"/>
        <v>#REF!</v>
      </c>
      <c r="BL282" s="686" t="str">
        <f ca="1">IFERROR(VLOOKUP(BK282,INDIRECT(AQ283),2,FALSE),"----")</f>
        <v>----</v>
      </c>
      <c r="BM282" s="702" t="e">
        <f t="shared" ca="1" si="3916"/>
        <v>#REF!</v>
      </c>
      <c r="BN282" s="686" t="str">
        <f ca="1">IFERROR(VLOOKUP(BM282,INDIRECT(AQ284),2,FALSE),"----")</f>
        <v>----</v>
      </c>
      <c r="BO282" s="702" t="e">
        <f t="shared" ca="1" si="3917"/>
        <v>#REF!</v>
      </c>
      <c r="BP282" s="686" t="str">
        <f ca="1">IFERROR(VLOOKUP(BO282,INDIRECT(AQ285),2,FALSE),"----")</f>
        <v>----</v>
      </c>
      <c r="BQ282" s="702" t="e">
        <f t="shared" ca="1" si="3918"/>
        <v>#REF!</v>
      </c>
      <c r="BR282" s="686" t="str">
        <f ca="1">IFERROR(VLOOKUP(BQ282,INDIRECT(AQ286),2,FALSE),"----")</f>
        <v>----</v>
      </c>
      <c r="BS282" s="695">
        <f>IF(AI282="",1,IF(COUNTIF(BJ275:BJ286,AI282)=0,2,1))</f>
        <v>1</v>
      </c>
      <c r="BT282" s="696">
        <f>IF(AF282="",1,IF(BJ275=".",2,1))</f>
        <v>1</v>
      </c>
      <c r="BU282" s="706"/>
      <c r="BV282" s="155">
        <f ca="1">IF(COUNTIF(DN275:DN286,AF282)=0,IF(AF282&lt;&gt;"",0,1),1)</f>
        <v>1</v>
      </c>
      <c r="BW282" s="157">
        <f ca="1">IFERROR(MATCH(AF282,DN275:DN286,0),1)</f>
        <v>1</v>
      </c>
      <c r="BX282" s="769">
        <f t="shared" ref="BX282" si="4746">E275*(H275+I275)/144/2</f>
        <v>0</v>
      </c>
      <c r="BY282" s="769">
        <f>SUM(IF(H275&gt;E275,E275^2/4,(H275*E275/2)-(H275^2/4))/144,IF(I275&gt;E275,E275^2/4,(I275*E275/2)-(I275^2/4))/144)</f>
        <v>0</v>
      </c>
      <c r="BZ282" s="1110"/>
      <c r="CA282" s="691" t="e">
        <f t="shared" ca="1" si="4628"/>
        <v>#REF!</v>
      </c>
      <c r="CB282" s="4" t="e" cm="1">
        <f t="array" aca="1" ref="CB282" ca="1">IF(AND(INDEX(INDIRECT(BY275),CA282,4)&gt;=$AB275,INDEX(INDIRECT(BY275),CA282,5)&gt;=$S275,INDEX(INDIRECT(BY275),CA282,6)&gt;=$R275),1,0)</f>
        <v>#REF!</v>
      </c>
      <c r="CC282" s="4" t="e">
        <f t="shared" ref="CC282" ca="1" si="4747">MATCH(1,OFFSET(CB275:CB286,CD281,0,COUNT(CB275:CB286)-CD281),0)</f>
        <v>#REF!</v>
      </c>
      <c r="CD282" s="4" t="e">
        <f t="shared" ca="1" si="4630"/>
        <v>#REF!</v>
      </c>
      <c r="CE282" s="692" t="str" cm="1">
        <f t="array" aca="1" ref="CE282" ca="1">IFERROR(VLOOKUP(INDEX(CA275:CA286,CD282),INDIRECT(BY275),2,FALSE),"----")</f>
        <v>----</v>
      </c>
      <c r="CF282" s="691" t="e">
        <f t="shared" ca="1" si="4631"/>
        <v>#N/A</v>
      </c>
      <c r="CG282" s="4" t="e">
        <f ca="1">IF(AND(INDEX(SSM,CF282,4)&gt;=$AB275,INDEX(SSM,CF282,5)&gt;=$S275,INDEX(SSM,CF282,6)&gt;=$R275),1,0)</f>
        <v>#N/A</v>
      </c>
      <c r="CH282" s="4" t="e">
        <f t="shared" ref="CH282" ca="1" si="4748">MATCH(1,OFFSET(CG275:CG286,CI281,0,COUNT(CG275:CG286)-CI281),0)</f>
        <v>#REF!</v>
      </c>
      <c r="CI282" s="4" t="e">
        <f t="shared" ca="1" si="4633"/>
        <v>#REF!</v>
      </c>
      <c r="CJ282" s="692" t="str">
        <f ca="1">IFERROR(IF(AD276="Nested Steel Stud (wood infill)",VLOOKUP(INDEX(CF275:CF286,CI282),SSW,2,FALSE),VLOOKUP(INDEX(CF275:CF286,CI282),SSM,2,FALSE)),"----")</f>
        <v>----</v>
      </c>
      <c r="CK282" s="691" t="e">
        <f t="shared" ca="1" si="4634"/>
        <v>#N/A</v>
      </c>
      <c r="CL282" s="4" t="e">
        <f ca="1">IF(AND(INDEX(WSM,CK282,4)&gt;=$AB275,INDEX(WSM,CK282,5)&gt;=$S275,INDEX(WSM,CK282,6)&gt;=$R275),1,0)</f>
        <v>#N/A</v>
      </c>
      <c r="CM282" s="4" t="e">
        <f t="shared" ref="CM282" ca="1" si="4749">MATCH(1,OFFSET(CL275:CL286,CN281,0,COUNT(CL275:CL286)-CN281),0)</f>
        <v>#REF!</v>
      </c>
      <c r="CN282" s="4" t="e">
        <f t="shared" ca="1" si="4636"/>
        <v>#REF!</v>
      </c>
      <c r="CO282" s="692" t="str">
        <f ca="1">IFERROR(VLOOKUP(INDEX(CK275:CK286,CN282),WSM,2,FALSE),"----")</f>
        <v>----</v>
      </c>
      <c r="CP282" s="691" t="e">
        <f t="shared" ca="1" si="4637"/>
        <v>#N/A</v>
      </c>
      <c r="CQ282" s="4" t="e">
        <f ca="1">IF(AND(INDEX(STM,CP282,4)&gt;=$AB275,INDEX(STM,CP282,5)&gt;=$S275,INDEX(STM,CP282,6)&gt;=$R275),1,0)</f>
        <v>#N/A</v>
      </c>
      <c r="CR282" s="4" t="e">
        <f t="shared" ref="CR282" ca="1" si="4750">MATCH(1,OFFSET(CQ275:CQ286,CS281,0,COUNT(CQ275:CQ286)-CS281),0)</f>
        <v>#REF!</v>
      </c>
      <c r="CS282" s="4" t="e">
        <f t="shared" ca="1" si="4639"/>
        <v>#REF!</v>
      </c>
      <c r="CT282" s="692" t="str">
        <f ca="1">IFERROR(VLOOKUP(INDEX(CP275:CP286,CS282),STM,2,FALSE),"----")</f>
        <v>----</v>
      </c>
      <c r="CU282" s="691" t="e">
        <f t="shared" ca="1" si="4640"/>
        <v>#N/A</v>
      </c>
      <c r="CV282" s="4" t="e">
        <f ca="1">IF(AND(INDEX(ELM,CU282,4)&gt;=$AB275,INDEX(ELM,CU282,5)&gt;=$S275,INDEX(ELM,CU282,6)&gt;=$R275),1,0)</f>
        <v>#N/A</v>
      </c>
      <c r="CW282" s="4" t="e">
        <f t="shared" ref="CW282" ca="1" si="4751">MATCH(1,OFFSET(CV275:CV286,CX281,0,COUNT(CV275:CV286)-CX281),0)</f>
        <v>#REF!</v>
      </c>
      <c r="CX282" s="4" t="e">
        <f t="shared" ca="1" si="4642"/>
        <v>#REF!</v>
      </c>
      <c r="CY282" s="692" t="str">
        <f ca="1">IFERROR(VLOOKUP(INDEX(CU275:CU286,CX282),ELM,2,FALSE),"----")</f>
        <v>----</v>
      </c>
      <c r="CZ282" s="691" t="e">
        <f t="shared" ca="1" si="4643"/>
        <v>#N/A</v>
      </c>
      <c r="DA282" s="4" t="e">
        <f ca="1">IF(LEFT($J275,7)="Clad Wo",IF(AND(INDEX(SPPWS,CZ282,4)&gt;=$AB275,INDEX(SPPWS,CZ282,5)&gt;=$S275,INDEX(SPPWS,CZ282,6)&gt;=$R275),1,0),IF(AND(INDEX(SPM,CZ282,4)&gt;=$AB275,INDEX(SPM,CZ282,5)&gt;=$S275,INDEX(SPM,CZ282,6)&gt;=$R275),1,0))</f>
        <v>#N/A</v>
      </c>
      <c r="DB282" s="4" t="e">
        <f t="shared" ref="DB282" ca="1" si="4752">MATCH(1,OFFSET(DA275:DA286,DC281,0,COUNT(DA275:DA286)-DC281),0)</f>
        <v>#REF!</v>
      </c>
      <c r="DC282" s="4" t="e">
        <f t="shared" ca="1" si="4645"/>
        <v>#REF!</v>
      </c>
      <c r="DD282" s="693" t="str">
        <f ca="1">IF(LEFT($J275,7)="Clad Wo",IFERROR(VLOOKUP(INDEX(CZ275:CZ286,DC282),SPPWS,2,FALSE),"----"),IFERROR(VLOOKUP(INDEX(CZ275:CZ286,DC282),SPM,2,FALSE),"----"))</f>
        <v>----</v>
      </c>
      <c r="DE282" s="691" t="e">
        <f t="shared" ca="1" si="4646"/>
        <v>#REF!</v>
      </c>
      <c r="DF282" s="4" t="e" cm="1">
        <f t="array" aca="1" ref="DF282" ca="1">IF(AND(INDEX(INDIRECT(BY275),DE282,4)&gt;=$AB281,INDEX(INDIRECT(BY275),DE282,5)&gt;=$S275,INDEX(INDIRECT(BY275),DE282,6)&gt;=$R275),1,0)</f>
        <v>#REF!</v>
      </c>
      <c r="DG282" s="4" t="e">
        <f t="shared" ref="DG282" ca="1" si="4753">MATCH(1,OFFSET(DF275:DF286,DH281,0,COUNT(DF275:DF286)-DH281),0)</f>
        <v>#REF!</v>
      </c>
      <c r="DH282" s="4" t="e">
        <f t="shared" ca="1" si="4648"/>
        <v>#REF!</v>
      </c>
      <c r="DI282" s="692" t="str" cm="1">
        <f t="array" aca="1" ref="DI282" ca="1">IFERROR(VLOOKUP(INDEX(DE275:DE286,DH282),INDIRECT(BY275),2,FALSE),"----")</f>
        <v>----</v>
      </c>
      <c r="DJ282" s="691" t="e">
        <f t="shared" ca="1" si="4649"/>
        <v>#N/A</v>
      </c>
      <c r="DK282" s="4" t="e">
        <f ca="1">IF(AND(INDEX(SSM,DJ282,4)&gt;=$AB281,INDEX(SSM,DJ282,5)&gt;=$S275,INDEX(SSM,DJ282,6)&gt;=$R275),1,0)</f>
        <v>#N/A</v>
      </c>
      <c r="DL282" s="4" t="e">
        <f t="shared" ref="DL282" ca="1" si="4754">MATCH(1,OFFSET(DK275:DK286,DM281,0,COUNT(DK275:DK286)-DM281),0)</f>
        <v>#REF!</v>
      </c>
      <c r="DM282" s="4" t="e">
        <f t="shared" ca="1" si="4651"/>
        <v>#REF!</v>
      </c>
      <c r="DN282" s="692" t="str">
        <f ca="1">IFERROR(IF(AD282="Nested Steel Stud (wood infill)",VLOOKUP(INDEX(DJ275:DJ286,DM282),SSW,2,FALSE),VLOOKUP(INDEX(DJ275:DJ286,DM282),SSM,2,FALSE)),"----")</f>
        <v>----</v>
      </c>
      <c r="DO282" s="691" t="e">
        <f t="shared" ca="1" si="4652"/>
        <v>#N/A</v>
      </c>
      <c r="DP282" s="4" t="e">
        <f ca="1">IF(AND(INDEX(WSM,DO282,4)&gt;=$AB281,INDEX(WSM,DO282,5)&gt;=$S275,INDEX(WSM,DO282,6)&gt;=$R275),1,0)</f>
        <v>#N/A</v>
      </c>
      <c r="DQ282" s="4" t="e">
        <f t="shared" ref="DQ282" ca="1" si="4755">MATCH(1,OFFSET(DP275:DP286,DR281,0,COUNT(DP275:DP286)-DR281),0)</f>
        <v>#REF!</v>
      </c>
      <c r="DR282" s="4" t="e">
        <f t="shared" ca="1" si="4654"/>
        <v>#REF!</v>
      </c>
      <c r="DS282" s="692" t="str">
        <f ca="1">IFERROR(VLOOKUP(INDEX(DO275:DO286,DR282),WSM,2,FALSE),"----")</f>
        <v>----</v>
      </c>
      <c r="DT282" s="691" t="e">
        <f t="shared" ca="1" si="4655"/>
        <v>#N/A</v>
      </c>
      <c r="DU282" s="4" t="e">
        <f ca="1">IF(AND(INDEX(STM,DT282,4)&gt;=$AB281,INDEX(STM,DT282,5)&gt;=$S275,INDEX(STM,DT282,6)&gt;=$R275),1,0)</f>
        <v>#N/A</v>
      </c>
      <c r="DV282" s="4" t="e">
        <f t="shared" ref="DV282" ca="1" si="4756">MATCH(1,OFFSET(DU275:DU286,DW281,0,COUNT(DU275:DU286)-DW281),0)</f>
        <v>#REF!</v>
      </c>
      <c r="DW282" s="4" t="e">
        <f t="shared" ca="1" si="4657"/>
        <v>#REF!</v>
      </c>
      <c r="DX282" s="692" t="str">
        <f ca="1">IFERROR(VLOOKUP(INDEX(DT275:DT286,DW282),STM,2,FALSE),"----")</f>
        <v>----</v>
      </c>
      <c r="DY282" s="691" t="e">
        <f t="shared" ca="1" si="4658"/>
        <v>#N/A</v>
      </c>
      <c r="DZ282" s="4" t="e">
        <f ca="1">IF(AND(INDEX(ELM,DY282,4)&gt;=$AB281,INDEX(ELM,DY282,5)&gt;=$S275,INDEX(ELM,DY282,6)&gt;=$R275),1,0)</f>
        <v>#N/A</v>
      </c>
      <c r="EA282" s="4" t="e">
        <f t="shared" ref="EA282" ca="1" si="4757">MATCH(1,OFFSET(DZ275:DZ286,EB281,0,COUNT(DZ275:DZ286)-EB281),0)</f>
        <v>#REF!</v>
      </c>
      <c r="EB282" s="4" t="e">
        <f t="shared" ca="1" si="4660"/>
        <v>#REF!</v>
      </c>
      <c r="EC282" s="692" t="str">
        <f ca="1">IFERROR(VLOOKUP(INDEX(DY275:DY286,EB282),ELM,2,FALSE),"----")</f>
        <v>----</v>
      </c>
      <c r="ED282" s="691" t="e">
        <f t="shared" ca="1" si="4661"/>
        <v>#N/A</v>
      </c>
      <c r="EE282" s="4" t="e">
        <f ca="1">IF(LEFT($J275,7)="Clad Wo",IF(AND(INDEX(SPPWS,ED282,4)&gt;=$AB281,INDEX(SPPWS,ED282,5)&gt;=$S275,INDEX(SPPWS,ED282,6)&gt;=$R275),1,0),IF(AND(INDEX(SPM,ED282,4)&gt;=$AB281,INDEX(SPM,ED282,5)&gt;=$S275,INDEX(SPM,ED282,6)&gt;=$R275),1,0))</f>
        <v>#N/A</v>
      </c>
      <c r="EF282" s="4" t="e">
        <f t="shared" ref="EF282" ca="1" si="4758">MATCH(1,OFFSET(EE275:EE286,EG281,0,COUNT(EE275:EE286)-EG281),0)</f>
        <v>#REF!</v>
      </c>
      <c r="EG282" s="4" t="e">
        <f t="shared" ca="1" si="4663"/>
        <v>#REF!</v>
      </c>
      <c r="EH282" s="692" t="str">
        <f ca="1">IF(LEFT($J275,7)="Clad Wo",IFERROR(VLOOKUP(INDEX(ED275:ED286,EG282),SPPWS,2,FALSE),"----"),IFERROR(VLOOKUP(INDEX(ED275:ED286,EG282),SPM,2,FALSE),"----"))</f>
        <v>----</v>
      </c>
    </row>
    <row r="283" spans="1:138" ht="15" customHeight="1" x14ac:dyDescent="0.25">
      <c r="A283" s="1085"/>
      <c r="B283" s="925"/>
      <c r="C283" s="926"/>
      <c r="D283" s="927"/>
      <c r="E283" s="995"/>
      <c r="F283" s="996"/>
      <c r="G283" s="997"/>
      <c r="H283" s="1062"/>
      <c r="I283" s="990"/>
      <c r="J283" s="902"/>
      <c r="K283" s="903"/>
      <c r="L283" s="1002"/>
      <c r="M283" s="923"/>
      <c r="N283" s="1042"/>
      <c r="O283" s="1018"/>
      <c r="P283" s="987"/>
      <c r="Q283" s="1015"/>
      <c r="R283" s="1012"/>
      <c r="S283" s="1006"/>
      <c r="T283" s="1007"/>
      <c r="U283" s="878"/>
      <c r="V283" s="881"/>
      <c r="W283" s="884"/>
      <c r="X283" s="884"/>
      <c r="Y283" s="887"/>
      <c r="Z283" s="887"/>
      <c r="AA283" s="887"/>
      <c r="AB283" s="1081"/>
      <c r="AC283" s="1078"/>
      <c r="AD283" s="1070" t="str">
        <f t="shared" si="4522"/>
        <v>Wood Stud Framing</v>
      </c>
      <c r="AE283" s="1071"/>
      <c r="AF283" s="1052"/>
      <c r="AG283" s="1053"/>
      <c r="AH283" s="1053"/>
      <c r="AI283" s="1066"/>
      <c r="AJ283" s="1067"/>
      <c r="AK283" s="156" t="str">
        <f t="shared" ca="1" si="3667"/>
        <v/>
      </c>
      <c r="AL283" s="1059"/>
      <c r="AM283" s="344" t="str">
        <f ca="1">IFERROR(Q275/12*ROUND(VLOOKUP(AF283,OFFSET(WSM,0,1),6,FALSE),2),"")</f>
        <v/>
      </c>
      <c r="AN283" t="str">
        <f t="shared" ca="1" si="3717"/>
        <v/>
      </c>
      <c r="AP283" s="122" t="str">
        <f t="shared" ref="AP283" si="4759">_xlfn.CONCAT(AR283,AS286)</f>
        <v/>
      </c>
      <c r="AQ283" s="683" t="str">
        <f t="shared" si="3881"/>
        <v/>
      </c>
      <c r="AR283" s="4" t="str">
        <f t="shared" si="3642"/>
        <v/>
      </c>
      <c r="AS283" s="4"/>
      <c r="AT283" s="697" t="str">
        <f>AL281</f>
        <v/>
      </c>
      <c r="AU283" s="694" t="e">
        <f t="shared" ca="1" si="3907"/>
        <v>#REF!</v>
      </c>
      <c r="AV283" s="686" t="str">
        <f ca="1">IFERROR(VLOOKUP(AU283,INDIRECT(AQ275),2,FALSE),"----")</f>
        <v>----</v>
      </c>
      <c r="AW283" s="694" t="e">
        <f t="shared" ca="1" si="3908"/>
        <v>#REF!</v>
      </c>
      <c r="AX283" s="686" t="str">
        <f ca="1">IFERROR(VLOOKUP(AW283,INDIRECT(AQ276),2,FALSE),"----")</f>
        <v>----</v>
      </c>
      <c r="AY283" s="694" t="e">
        <f t="shared" ca="1" si="4472"/>
        <v>#REF!</v>
      </c>
      <c r="AZ283" s="686" t="str">
        <f ca="1">IFERROR(VLOOKUP(AY283,INDIRECT(AQ277),2,FALSE),"----")</f>
        <v>----</v>
      </c>
      <c r="BA283" s="694" t="e">
        <f t="shared" ca="1" si="4473"/>
        <v>#REF!</v>
      </c>
      <c r="BB283" s="686" t="str">
        <f ca="1">IFERROR(VLOOKUP(BA283,INDIRECT(AQ278),2,FALSE),"----")</f>
        <v>----</v>
      </c>
      <c r="BC283" s="694" t="e">
        <f t="shared" ca="1" si="3911"/>
        <v>#REF!</v>
      </c>
      <c r="BD283" s="686" t="str">
        <f ca="1">IFERROR(VLOOKUP(BC283,INDIRECT(AQ279),2,FALSE),"----")</f>
        <v>----</v>
      </c>
      <c r="BE283" s="694" t="e">
        <f t="shared" ca="1" si="3912"/>
        <v>#REF!</v>
      </c>
      <c r="BF283" s="686" t="str">
        <f ca="1">IFERROR(VLOOKUP(BE283,INDIRECT(AQ280),2,FALSE),"----")</f>
        <v>----</v>
      </c>
      <c r="BG283" s="702" t="e">
        <f t="shared" ca="1" si="3913"/>
        <v>#REF!</v>
      </c>
      <c r="BH283" s="686" t="str">
        <f ca="1">IFERROR(VLOOKUP(BG283,INDIRECT(AQ281),2,FALSE),"----")</f>
        <v>----</v>
      </c>
      <c r="BI283" s="702" t="e">
        <f t="shared" ca="1" si="3914"/>
        <v>#REF!</v>
      </c>
      <c r="BJ283" s="686" t="str">
        <f ca="1">IFERROR(VLOOKUP(BI283,INDIRECT(AQ282),2,FALSE),"----")</f>
        <v>----</v>
      </c>
      <c r="BK283" s="702" t="e">
        <f t="shared" ca="1" si="3915"/>
        <v>#REF!</v>
      </c>
      <c r="BL283" s="686" t="str">
        <f ca="1">IFERROR(VLOOKUP(BK283,INDIRECT(AQ283),2,FALSE),"----")</f>
        <v>----</v>
      </c>
      <c r="BM283" s="702" t="e">
        <f t="shared" ca="1" si="3916"/>
        <v>#REF!</v>
      </c>
      <c r="BN283" s="686" t="str">
        <f ca="1">IFERROR(VLOOKUP(BM283,INDIRECT(AQ284),2,FALSE),"----")</f>
        <v>----</v>
      </c>
      <c r="BO283" s="702" t="e">
        <f t="shared" ca="1" si="3917"/>
        <v>#REF!</v>
      </c>
      <c r="BP283" s="686" t="str">
        <f ca="1">IFERROR(VLOOKUP(BO283,INDIRECT(AQ285),2,FALSE),"----")</f>
        <v>----</v>
      </c>
      <c r="BQ283" s="702" t="e">
        <f t="shared" ca="1" si="3918"/>
        <v>#REF!</v>
      </c>
      <c r="BR283" s="686" t="str">
        <f ca="1">IFERROR(VLOOKUP(BQ283,INDIRECT(AQ286),2,FALSE),"----")</f>
        <v>----</v>
      </c>
      <c r="BS283" s="695">
        <f>IF(AI283="",1,IF(COUNTIF(BL275:BL286,AI283)=0,2,1))</f>
        <v>1</v>
      </c>
      <c r="BT283" s="696">
        <f>IF(AF283="",1,IF(BL275=".",2,1))</f>
        <v>1</v>
      </c>
      <c r="BU283" s="706"/>
      <c r="BV283" s="155">
        <f ca="1">IF(COUNTIF(DS275:DS286,AF283)=0,IF(AF283&lt;&gt;"",0,1),1)</f>
        <v>1</v>
      </c>
      <c r="BW283" s="157">
        <f ca="1">IFERROR(MATCH(AF283,DS275:DS286,0),1)</f>
        <v>1</v>
      </c>
      <c r="BX283" s="769" t="e">
        <f t="shared" ref="BX283" si="4760">5*E275^3*W275/(384*X275)</f>
        <v>#VALUE!</v>
      </c>
      <c r="BY283" s="769" t="e">
        <f t="shared" ref="BY283" si="4761">W275*E275^3/(60*X275)</f>
        <v>#VALUE!</v>
      </c>
      <c r="BZ283" s="1110"/>
      <c r="CA283" s="691" t="e">
        <f t="shared" ca="1" si="4628"/>
        <v>#REF!</v>
      </c>
      <c r="CB283" s="4" t="e" cm="1">
        <f t="array" aca="1" ref="CB283" ca="1">IF(AND(INDEX(INDIRECT(BY275),CA283,4)&gt;=$AB275,INDEX(INDIRECT(BY275),CA283,5)&gt;=$S275,INDEX(INDIRECT(BY275),CA283,6)&gt;=$R275),1,0)</f>
        <v>#REF!</v>
      </c>
      <c r="CC283" s="4" t="e">
        <f t="shared" ref="CC283" ca="1" si="4762">MATCH(1,OFFSET(CB275:CB286,CD282,0,COUNT(CB275:CB286)-CD282),0)</f>
        <v>#REF!</v>
      </c>
      <c r="CD283" s="4" t="e">
        <f t="shared" ca="1" si="4630"/>
        <v>#REF!</v>
      </c>
      <c r="CE283" s="692" t="str" cm="1">
        <f t="array" aca="1" ref="CE283" ca="1">IFERROR(VLOOKUP(INDEX(CA275:CA286,CD283),INDIRECT(BY275),2,FALSE),"----")</f>
        <v>----</v>
      </c>
      <c r="CF283" s="691" t="e">
        <f t="shared" ca="1" si="4631"/>
        <v>#N/A</v>
      </c>
      <c r="CG283" s="4" t="e">
        <f ca="1">IF(AND(INDEX(SSM,CF283,4)&gt;=$AB275,INDEX(SSM,CF283,5)&gt;=$S275,INDEX(SSM,CF283,6)&gt;=$R275),1,0)</f>
        <v>#N/A</v>
      </c>
      <c r="CH283" s="4" t="e">
        <f t="shared" ref="CH283" ca="1" si="4763">MATCH(1,OFFSET(CG275:CG286,CI282,0,COUNT(CG275:CG286)-CI282),0)</f>
        <v>#REF!</v>
      </c>
      <c r="CI283" s="4" t="e">
        <f t="shared" ca="1" si="4633"/>
        <v>#REF!</v>
      </c>
      <c r="CJ283" s="692" t="str">
        <f ca="1">IFERROR(IF(AD276="Nested Steel Stud (wood infill)",VLOOKUP(INDEX(CF275:CF286,CI283),SSW,2,FALSE),VLOOKUP(INDEX(CF275:CF286,CI283),SSM,2,FALSE)),"----")</f>
        <v>----</v>
      </c>
      <c r="CK283" s="691" t="e">
        <f t="shared" ca="1" si="4634"/>
        <v>#N/A</v>
      </c>
      <c r="CL283" s="4" t="e">
        <f ca="1">IF(AND(INDEX(WSM,CK283,4)&gt;=$AB275,INDEX(WSM,CK283,5)&gt;=$S275,INDEX(WSM,CK283,6)&gt;=$R275),1,0)</f>
        <v>#N/A</v>
      </c>
      <c r="CM283" s="4" t="e">
        <f t="shared" ref="CM283" ca="1" si="4764">MATCH(1,OFFSET(CL275:CL286,CN282,0,COUNT(CL275:CL286)-CN282),0)</f>
        <v>#REF!</v>
      </c>
      <c r="CN283" s="4" t="e">
        <f t="shared" ca="1" si="4636"/>
        <v>#REF!</v>
      </c>
      <c r="CO283" s="692" t="str">
        <f ca="1">IFERROR(VLOOKUP(INDEX(CK275:CK286,CN283),WSM,2,FALSE),"----")</f>
        <v>----</v>
      </c>
      <c r="CP283" s="691" t="e">
        <f t="shared" ca="1" si="4637"/>
        <v>#N/A</v>
      </c>
      <c r="CQ283" s="4" t="e">
        <f ca="1">IF(AND(INDEX(STM,CP283,4)&gt;=$AB275,INDEX(STM,CP283,5)&gt;=$S275,INDEX(STM,CP283,6)&gt;=$R275),1,0)</f>
        <v>#N/A</v>
      </c>
      <c r="CR283" s="4" t="e">
        <f t="shared" ref="CR283" ca="1" si="4765">MATCH(1,OFFSET(CQ275:CQ286,CS282,0,COUNT(CQ275:CQ286)-CS282),0)</f>
        <v>#REF!</v>
      </c>
      <c r="CS283" s="4" t="e">
        <f t="shared" ca="1" si="4639"/>
        <v>#REF!</v>
      </c>
      <c r="CT283" s="692" t="str">
        <f ca="1">IFERROR(VLOOKUP(INDEX(CP275:CP286,CS283),STM,2,FALSE),"----")</f>
        <v>----</v>
      </c>
      <c r="CU283" s="691" t="e">
        <f t="shared" ca="1" si="4640"/>
        <v>#N/A</v>
      </c>
      <c r="CV283" s="4" t="e">
        <f ca="1">IF(AND(INDEX(ELM,CU283,4)&gt;=$AB275,INDEX(ELM,CU283,5)&gt;=$S275,INDEX(ELM,CU283,6)&gt;=$R275),1,0)</f>
        <v>#N/A</v>
      </c>
      <c r="CW283" s="4" t="e">
        <f t="shared" ref="CW283" ca="1" si="4766">MATCH(1,OFFSET(CV275:CV286,CX282,0,COUNT(CV275:CV286)-CX282),0)</f>
        <v>#REF!</v>
      </c>
      <c r="CX283" s="4" t="e">
        <f t="shared" ca="1" si="4642"/>
        <v>#REF!</v>
      </c>
      <c r="CY283" s="692" t="str">
        <f ca="1">IFERROR(VLOOKUP(INDEX(CU275:CU286,CX283),ELM,2,FALSE),"----")</f>
        <v>----</v>
      </c>
      <c r="CZ283" s="691" t="e">
        <f t="shared" ca="1" si="4643"/>
        <v>#N/A</v>
      </c>
      <c r="DA283" s="4" t="e">
        <f ca="1">IF(LEFT($J275,7)="Clad Wo",IF(AND(INDEX(SPPWS,CZ283,4)&gt;=$AB275,INDEX(SPPWS,CZ283,5)&gt;=$S275,INDEX(SPPWS,CZ283,6)&gt;=$R275),1,0),IF(AND(INDEX(SPM,CZ283,4)&gt;=$AB275,INDEX(SPM,CZ283,5)&gt;=$S275,INDEX(SPM,CZ283,6)&gt;=$R275),1,0))</f>
        <v>#N/A</v>
      </c>
      <c r="DB283" s="4" t="e">
        <f t="shared" ref="DB283" ca="1" si="4767">MATCH(1,OFFSET(DA275:DA286,DC282,0,COUNT(DA275:DA286)-DC282),0)</f>
        <v>#REF!</v>
      </c>
      <c r="DC283" s="4" t="e">
        <f t="shared" ca="1" si="4645"/>
        <v>#REF!</v>
      </c>
      <c r="DD283" s="693" t="str">
        <f ca="1">IF(LEFT($J275,7)="Clad Wo",IFERROR(VLOOKUP(INDEX(CZ275:CZ286,DC283),SPPWS,2,FALSE),"----"),IFERROR(VLOOKUP(INDEX(CZ275:CZ286,DC283),SPM,2,FALSE),"----"))</f>
        <v>----</v>
      </c>
      <c r="DE283" s="691" t="e">
        <f t="shared" ca="1" si="4646"/>
        <v>#REF!</v>
      </c>
      <c r="DF283" s="4" t="e" cm="1">
        <f t="array" aca="1" ref="DF283" ca="1">IF(AND(INDEX(INDIRECT(BY275),DE283,4)&gt;=$AB281,INDEX(INDIRECT(BY275),DE283,5)&gt;=$S275,INDEX(INDIRECT(BY275),DE283,6)&gt;=$R275),1,0)</f>
        <v>#REF!</v>
      </c>
      <c r="DG283" s="4" t="e">
        <f t="shared" ref="DG283" ca="1" si="4768">MATCH(1,OFFSET(DF275:DF286,DH282,0,COUNT(DF275:DF286)-DH282),0)</f>
        <v>#REF!</v>
      </c>
      <c r="DH283" s="4" t="e">
        <f t="shared" ca="1" si="4648"/>
        <v>#REF!</v>
      </c>
      <c r="DI283" s="692" t="str" cm="1">
        <f t="array" aca="1" ref="DI283" ca="1">IFERROR(VLOOKUP(INDEX(DE275:DE286,DH283),INDIRECT(BY275),2,FALSE),"----")</f>
        <v>----</v>
      </c>
      <c r="DJ283" s="691" t="e">
        <f t="shared" ca="1" si="4649"/>
        <v>#N/A</v>
      </c>
      <c r="DK283" s="4" t="e">
        <f ca="1">IF(AND(INDEX(SSM,DJ283,4)&gt;=$AB281,INDEX(SSM,DJ283,5)&gt;=$S275,INDEX(SSM,DJ283,6)&gt;=$R275),1,0)</f>
        <v>#N/A</v>
      </c>
      <c r="DL283" s="4" t="e">
        <f t="shared" ref="DL283" ca="1" si="4769">MATCH(1,OFFSET(DK275:DK286,DM282,0,COUNT(DK275:DK286)-DM282),0)</f>
        <v>#REF!</v>
      </c>
      <c r="DM283" s="4" t="e">
        <f t="shared" ca="1" si="4651"/>
        <v>#REF!</v>
      </c>
      <c r="DN283" s="692" t="str">
        <f ca="1">IFERROR(IF(AD282="Nested Steel Stud (wood infill)",VLOOKUP(INDEX(DJ275:DJ286,DM283),SSW,2,FALSE),VLOOKUP(INDEX(DJ275:DJ286,DM283),SSM,2,FALSE)),"----")</f>
        <v>----</v>
      </c>
      <c r="DO283" s="691" t="e">
        <f t="shared" ca="1" si="4652"/>
        <v>#N/A</v>
      </c>
      <c r="DP283" s="4" t="e">
        <f ca="1">IF(AND(INDEX(WSM,DO283,4)&gt;=$AB281,INDEX(WSM,DO283,5)&gt;=$S275,INDEX(WSM,DO283,6)&gt;=$R275),1,0)</f>
        <v>#N/A</v>
      </c>
      <c r="DQ283" s="4" t="e">
        <f t="shared" ref="DQ283" ca="1" si="4770">MATCH(1,OFFSET(DP275:DP286,DR282,0,COUNT(DP275:DP286)-DR282),0)</f>
        <v>#REF!</v>
      </c>
      <c r="DR283" s="4" t="e">
        <f t="shared" ca="1" si="4654"/>
        <v>#REF!</v>
      </c>
      <c r="DS283" s="692" t="str">
        <f ca="1">IFERROR(VLOOKUP(INDEX(DO275:DO286,DR283),WSM,2,FALSE),"----")</f>
        <v>----</v>
      </c>
      <c r="DT283" s="691" t="e">
        <f t="shared" ca="1" si="4655"/>
        <v>#N/A</v>
      </c>
      <c r="DU283" s="4" t="e">
        <f ca="1">IF(AND(INDEX(STM,DT283,4)&gt;=$AB281,INDEX(STM,DT283,5)&gt;=$S275,INDEX(STM,DT283,6)&gt;=$R275),1,0)</f>
        <v>#N/A</v>
      </c>
      <c r="DV283" s="4" t="e">
        <f t="shared" ref="DV283" ca="1" si="4771">MATCH(1,OFFSET(DU275:DU286,DW282,0,COUNT(DU275:DU286)-DW282),0)</f>
        <v>#REF!</v>
      </c>
      <c r="DW283" s="4" t="e">
        <f t="shared" ca="1" si="4657"/>
        <v>#REF!</v>
      </c>
      <c r="DX283" s="692" t="str">
        <f ca="1">IFERROR(VLOOKUP(INDEX(DT275:DT286,DW283),STM,2,FALSE),"----")</f>
        <v>----</v>
      </c>
      <c r="DY283" s="691" t="e">
        <f t="shared" ca="1" si="4658"/>
        <v>#N/A</v>
      </c>
      <c r="DZ283" s="4" t="e">
        <f ca="1">IF(AND(INDEX(ELM,DY283,4)&gt;=$AB281,INDEX(ELM,DY283,5)&gt;=$S275,INDEX(ELM,DY283,6)&gt;=$R275),1,0)</f>
        <v>#N/A</v>
      </c>
      <c r="EA283" s="4" t="e">
        <f t="shared" ref="EA283" ca="1" si="4772">MATCH(1,OFFSET(DZ275:DZ286,EB282,0,COUNT(DZ275:DZ286)-EB282),0)</f>
        <v>#REF!</v>
      </c>
      <c r="EB283" s="4" t="e">
        <f t="shared" ca="1" si="4660"/>
        <v>#REF!</v>
      </c>
      <c r="EC283" s="692" t="str">
        <f ca="1">IFERROR(VLOOKUP(INDEX(DY275:DY286,EB283),ELM,2,FALSE),"----")</f>
        <v>----</v>
      </c>
      <c r="ED283" s="691" t="e">
        <f t="shared" ca="1" si="4661"/>
        <v>#N/A</v>
      </c>
      <c r="EE283" s="4" t="e">
        <f ca="1">IF(LEFT($J275,7)="Clad Wo",IF(AND(INDEX(SPPWS,ED283,4)&gt;=$AB281,INDEX(SPPWS,ED283,5)&gt;=$S275,INDEX(SPPWS,ED283,6)&gt;=$R275),1,0),IF(AND(INDEX(SPM,ED283,4)&gt;=$AB281,INDEX(SPM,ED283,5)&gt;=$S275,INDEX(SPM,ED283,6)&gt;=$R275),1,0))</f>
        <v>#N/A</v>
      </c>
      <c r="EF283" s="4" t="e">
        <f t="shared" ref="EF283" ca="1" si="4773">MATCH(1,OFFSET(EE275:EE286,EG282,0,COUNT(EE275:EE286)-EG282),0)</f>
        <v>#REF!</v>
      </c>
      <c r="EG283" s="4" t="e">
        <f t="shared" ca="1" si="4663"/>
        <v>#REF!</v>
      </c>
      <c r="EH283" s="692" t="str">
        <f ca="1">IF(LEFT($J275,7)="Clad Wo",IFERROR(VLOOKUP(INDEX(ED275:ED286,EG283),SPPWS,2,FALSE),"----"),IFERROR(VLOOKUP(INDEX(ED275:ED286,EG283),SPM,2,FALSE),"----"))</f>
        <v>----</v>
      </c>
    </row>
    <row r="284" spans="1:138" ht="15" customHeight="1" x14ac:dyDescent="0.25">
      <c r="A284" s="1085"/>
      <c r="B284" s="925"/>
      <c r="C284" s="926"/>
      <c r="D284" s="927"/>
      <c r="E284" s="995"/>
      <c r="F284" s="996"/>
      <c r="G284" s="997"/>
      <c r="H284" s="1062"/>
      <c r="I284" s="990"/>
      <c r="J284" s="902"/>
      <c r="K284" s="903"/>
      <c r="L284" s="1002"/>
      <c r="M284" s="923"/>
      <c r="N284" s="1042"/>
      <c r="O284" s="1018"/>
      <c r="P284" s="987"/>
      <c r="Q284" s="1015"/>
      <c r="R284" s="1012"/>
      <c r="S284" s="1006"/>
      <c r="T284" s="1007"/>
      <c r="U284" s="878"/>
      <c r="V284" s="881"/>
      <c r="W284" s="884"/>
      <c r="X284" s="884"/>
      <c r="Y284" s="887"/>
      <c r="Z284" s="887"/>
      <c r="AA284" s="887"/>
      <c r="AB284" s="1081"/>
      <c r="AC284" s="1078"/>
      <c r="AD284" s="1070" t="str">
        <f t="shared" si="4522"/>
        <v>Steel Tube</v>
      </c>
      <c r="AE284" s="1071"/>
      <c r="AF284" s="1052"/>
      <c r="AG284" s="1053"/>
      <c r="AH284" s="1053"/>
      <c r="AI284" s="1066"/>
      <c r="AJ284" s="1067"/>
      <c r="AK284" s="156" t="str">
        <f t="shared" ca="1" si="3667"/>
        <v/>
      </c>
      <c r="AL284" s="1059"/>
      <c r="AM284" s="343" t="str">
        <f ca="1">IFERROR(Q275/12*ROUND(VLOOKUP(AF284,OFFSET(STM,0,1),6,FALSE),2),"")</f>
        <v/>
      </c>
      <c r="AN284" t="str">
        <f t="shared" ca="1" si="3717"/>
        <v/>
      </c>
      <c r="AP284" s="122" t="str">
        <f t="shared" ref="AP284" si="4774">_xlfn.CONCAT(AR284,AS286)</f>
        <v/>
      </c>
      <c r="AQ284" s="683" t="str">
        <f t="shared" si="3881"/>
        <v/>
      </c>
      <c r="AR284" s="4" t="str">
        <f t="shared" si="3642"/>
        <v/>
      </c>
      <c r="AS284" s="4"/>
      <c r="AT284" s="697" t="str">
        <f>AL281</f>
        <v/>
      </c>
      <c r="AU284" s="694" t="e">
        <f t="shared" ca="1" si="3907"/>
        <v>#REF!</v>
      </c>
      <c r="AV284" s="686" t="str">
        <f ca="1">IFERROR(VLOOKUP(AU284,INDIRECT(AQ275),2,FALSE),"----")</f>
        <v>----</v>
      </c>
      <c r="AW284" s="694" t="e">
        <f t="shared" ca="1" si="3908"/>
        <v>#REF!</v>
      </c>
      <c r="AX284" s="686" t="str">
        <f ca="1">IFERROR(VLOOKUP(AW284,INDIRECT(AQ276),2,FALSE),"----")</f>
        <v>----</v>
      </c>
      <c r="AY284" s="694" t="e">
        <f t="shared" ref="AY284:AY346" ca="1" si="4775">AY283-1</f>
        <v>#REF!</v>
      </c>
      <c r="AZ284" s="686" t="str">
        <f ca="1">IFERROR(VLOOKUP(AY284,INDIRECT(AQ277),2,FALSE),"----")</f>
        <v>----</v>
      </c>
      <c r="BA284" s="694" t="e">
        <f t="shared" ref="BA284:BA346" ca="1" si="4776">BA283-1</f>
        <v>#REF!</v>
      </c>
      <c r="BB284" s="686" t="str">
        <f ca="1">IFERROR(VLOOKUP(BA284,INDIRECT(AQ278),2,FALSE),"----")</f>
        <v>----</v>
      </c>
      <c r="BC284" s="694" t="e">
        <f t="shared" ca="1" si="3911"/>
        <v>#REF!</v>
      </c>
      <c r="BD284" s="686" t="str">
        <f ca="1">IFERROR(VLOOKUP(BC284,INDIRECT(AQ279),2,FALSE),"----")</f>
        <v>----</v>
      </c>
      <c r="BE284" s="694" t="e">
        <f t="shared" ca="1" si="3912"/>
        <v>#REF!</v>
      </c>
      <c r="BF284" s="686" t="str">
        <f ca="1">IFERROR(VLOOKUP(BE284,INDIRECT(AQ280),2,FALSE),"----")</f>
        <v>----</v>
      </c>
      <c r="BG284" s="702" t="e">
        <f t="shared" ca="1" si="3913"/>
        <v>#REF!</v>
      </c>
      <c r="BH284" s="686" t="str">
        <f ca="1">IFERROR(VLOOKUP(BG284,INDIRECT(AQ281),2,FALSE),"----")</f>
        <v>----</v>
      </c>
      <c r="BI284" s="702" t="e">
        <f t="shared" ca="1" si="3914"/>
        <v>#REF!</v>
      </c>
      <c r="BJ284" s="686" t="str">
        <f ca="1">IFERROR(VLOOKUP(BI284,INDIRECT(AQ282),2,FALSE),"----")</f>
        <v>----</v>
      </c>
      <c r="BK284" s="702" t="e">
        <f t="shared" ca="1" si="3915"/>
        <v>#REF!</v>
      </c>
      <c r="BL284" s="686" t="str">
        <f ca="1">IFERROR(VLOOKUP(BK284,INDIRECT(AQ283),2,FALSE),"----")</f>
        <v>----</v>
      </c>
      <c r="BM284" s="702" t="e">
        <f t="shared" ca="1" si="3916"/>
        <v>#REF!</v>
      </c>
      <c r="BN284" s="686" t="str">
        <f ca="1">IFERROR(VLOOKUP(BM284,INDIRECT(AQ284),2,FALSE),"----")</f>
        <v>----</v>
      </c>
      <c r="BO284" s="702" t="e">
        <f t="shared" ca="1" si="3917"/>
        <v>#REF!</v>
      </c>
      <c r="BP284" s="686" t="str">
        <f ca="1">IFERROR(VLOOKUP(BO284,INDIRECT(AQ285),2,FALSE),"----")</f>
        <v>----</v>
      </c>
      <c r="BQ284" s="702" t="e">
        <f t="shared" ca="1" si="3918"/>
        <v>#REF!</v>
      </c>
      <c r="BR284" s="686" t="str">
        <f ca="1">IFERROR(VLOOKUP(BQ284,INDIRECT(AQ286),2,FALSE),"----")</f>
        <v>----</v>
      </c>
      <c r="BS284" s="695">
        <f>IF(AI284="",1,IF(COUNTIF(BN275:BN286,AI284)=0,2,1))</f>
        <v>1</v>
      </c>
      <c r="BT284" s="696">
        <f>IF(AF284="",1,IF(BN275=".",2,1))</f>
        <v>1</v>
      </c>
      <c r="BU284" s="706"/>
      <c r="BV284" s="155">
        <f ca="1">IF(COUNTIF(DX275:DX286,AF284)=0,IF(AF284&lt;&gt;"",0,1),1)</f>
        <v>1</v>
      </c>
      <c r="BW284" s="157">
        <f ca="1">IFERROR(MATCH(AF284,DX275:DX286,0),1)</f>
        <v>1</v>
      </c>
      <c r="BX284" s="769" t="e">
        <f t="shared" ref="BX284" si="4777">5*E275^3*W281/(384*X275)</f>
        <v>#VALUE!</v>
      </c>
      <c r="BY284" s="769" t="e">
        <f t="shared" ref="BY284" si="4778">E275^3*W281/(60*X275)</f>
        <v>#VALUE!</v>
      </c>
      <c r="BZ284" s="1110"/>
      <c r="CA284" s="691" t="e">
        <f t="shared" ca="1" si="4628"/>
        <v>#REF!</v>
      </c>
      <c r="CB284" s="4" t="e" cm="1">
        <f t="array" aca="1" ref="CB284" ca="1">IF(AND(INDEX(INDIRECT(BY275),CA284,4)&gt;=$AB275,INDEX(INDIRECT(BY275),CA284,5)&gt;=$S275,INDEX(INDIRECT(BY275),CA284,6)&gt;=$R275),1,0)</f>
        <v>#REF!</v>
      </c>
      <c r="CC284" s="4" t="e">
        <f t="shared" ref="CC284" ca="1" si="4779">MATCH(1,OFFSET(CB275:CB286,CD283,0,COUNT(CB275:CB286)-CD283),0)</f>
        <v>#REF!</v>
      </c>
      <c r="CD284" s="4" t="e">
        <f t="shared" ca="1" si="4630"/>
        <v>#REF!</v>
      </c>
      <c r="CE284" s="692" t="str" cm="1">
        <f t="array" aca="1" ref="CE284" ca="1">IFERROR(VLOOKUP(INDEX(CA275:CA286,CD284),INDIRECT(BY275),2,FALSE),"----")</f>
        <v>----</v>
      </c>
      <c r="CF284" s="691" t="e">
        <f t="shared" ca="1" si="4631"/>
        <v>#N/A</v>
      </c>
      <c r="CG284" s="4" t="e">
        <f ca="1">IF(AND(INDEX(SSM,CF284,4)&gt;=$AB275,INDEX(SSM,CF284,5)&gt;=$S275,INDEX(SSM,CF284,6)&gt;=$R275),1,0)</f>
        <v>#N/A</v>
      </c>
      <c r="CH284" s="4" t="e">
        <f t="shared" ref="CH284" ca="1" si="4780">MATCH(1,OFFSET(CG275:CG286,CI283,0,COUNT(CG275:CG286)-CI283),0)</f>
        <v>#REF!</v>
      </c>
      <c r="CI284" s="4" t="e">
        <f t="shared" ca="1" si="4633"/>
        <v>#REF!</v>
      </c>
      <c r="CJ284" s="692" t="str">
        <f ca="1">IFERROR(IF(AD276="Nested Steel Stud (wood infill)",VLOOKUP(INDEX(CF275:CF286,CI284),SSW,2,FALSE),VLOOKUP(INDEX(CF275:CF286,CI284),SSM,2,FALSE)),"----")</f>
        <v>----</v>
      </c>
      <c r="CK284" s="691" t="e">
        <f t="shared" ca="1" si="4634"/>
        <v>#N/A</v>
      </c>
      <c r="CL284" s="4" t="e">
        <f ca="1">IF(AND(INDEX(WSM,CK284,4)&gt;=$AB275,INDEX(WSM,CK284,5)&gt;=$S275,INDEX(WSM,CK284,6)&gt;=$R275),1,0)</f>
        <v>#N/A</v>
      </c>
      <c r="CM284" s="4" t="e">
        <f t="shared" ref="CM284" ca="1" si="4781">MATCH(1,OFFSET(CL275:CL286,CN283,0,COUNT(CL275:CL286)-CN283),0)</f>
        <v>#REF!</v>
      </c>
      <c r="CN284" s="4" t="e">
        <f t="shared" ca="1" si="4636"/>
        <v>#REF!</v>
      </c>
      <c r="CO284" s="692" t="str">
        <f ca="1">IFERROR(VLOOKUP(INDEX(CK275:CK286,CN284),WSM,2,FALSE),"----")</f>
        <v>----</v>
      </c>
      <c r="CP284" s="691" t="e">
        <f t="shared" ca="1" si="4637"/>
        <v>#N/A</v>
      </c>
      <c r="CQ284" s="4" t="e">
        <f ca="1">IF(AND(INDEX(STM,CP284,4)&gt;=$AB275,INDEX(STM,CP284,5)&gt;=$S275,INDEX(STM,CP284,6)&gt;=$R275),1,0)</f>
        <v>#N/A</v>
      </c>
      <c r="CR284" s="4" t="e">
        <f t="shared" ref="CR284" ca="1" si="4782">MATCH(1,OFFSET(CQ275:CQ286,CS283,0,COUNT(CQ275:CQ286)-CS283),0)</f>
        <v>#REF!</v>
      </c>
      <c r="CS284" s="4" t="e">
        <f t="shared" ca="1" si="4639"/>
        <v>#REF!</v>
      </c>
      <c r="CT284" s="692" t="str">
        <f ca="1">IFERROR(VLOOKUP(INDEX(CP275:CP286,CS284),STM,2,FALSE),"----")</f>
        <v>----</v>
      </c>
      <c r="CU284" s="691" t="e">
        <f t="shared" ca="1" si="4640"/>
        <v>#N/A</v>
      </c>
      <c r="CV284" s="4" t="e">
        <f ca="1">IF(AND(INDEX(ELM,CU284,4)&gt;=$AB275,INDEX(ELM,CU284,5)&gt;=$S275,INDEX(ELM,CU284,6)&gt;=$R275),1,0)</f>
        <v>#N/A</v>
      </c>
      <c r="CW284" s="4" t="e">
        <f t="shared" ref="CW284" ca="1" si="4783">MATCH(1,OFFSET(CV275:CV286,CX283,0,COUNT(CV275:CV286)-CX283),0)</f>
        <v>#REF!</v>
      </c>
      <c r="CX284" s="4" t="e">
        <f t="shared" ca="1" si="4642"/>
        <v>#REF!</v>
      </c>
      <c r="CY284" s="692" t="str">
        <f ca="1">IFERROR(VLOOKUP(INDEX(CU275:CU286,CX284),ELM,2,FALSE),"----")</f>
        <v>----</v>
      </c>
      <c r="CZ284" s="691" t="e">
        <f t="shared" ca="1" si="4643"/>
        <v>#N/A</v>
      </c>
      <c r="DA284" s="4" t="e">
        <f ca="1">IF(LEFT($J275,7)="Clad Wo",IF(AND(INDEX(SPPWS,CZ284,4)&gt;=$AB275,INDEX(SPPWS,CZ284,5)&gt;=$S275,INDEX(SPPWS,CZ284,6)&gt;=$R275),1,0),IF(AND(INDEX(SPM,CZ284,4)&gt;=$AB275,INDEX(SPM,CZ284,5)&gt;=$S275,INDEX(SPM,CZ284,6)&gt;=$R275),1,0))</f>
        <v>#N/A</v>
      </c>
      <c r="DB284" s="4" t="e">
        <f t="shared" ref="DB284" ca="1" si="4784">MATCH(1,OFFSET(DA275:DA286,DC283,0,COUNT(DA275:DA286)-DC283),0)</f>
        <v>#REF!</v>
      </c>
      <c r="DC284" s="4" t="e">
        <f t="shared" ca="1" si="4645"/>
        <v>#REF!</v>
      </c>
      <c r="DD284" s="693" t="str">
        <f ca="1">IF(LEFT($J275,7)="Clad Wo",IFERROR(VLOOKUP(INDEX(CZ275:CZ286,DC284),SPPWS,2,FALSE),"----"),IFERROR(VLOOKUP(INDEX(CZ275:CZ286,DC284),SPM,2,FALSE),"----"))</f>
        <v>----</v>
      </c>
      <c r="DE284" s="691" t="e">
        <f t="shared" ca="1" si="4646"/>
        <v>#REF!</v>
      </c>
      <c r="DF284" s="4" t="e" cm="1">
        <f t="array" aca="1" ref="DF284" ca="1">IF(AND(INDEX(INDIRECT(BY275),DE284,4)&gt;=$AB281,INDEX(INDIRECT(BY275),DE284,5)&gt;=$S275,INDEX(INDIRECT(BY275),DE284,6)&gt;=$R275),1,0)</f>
        <v>#REF!</v>
      </c>
      <c r="DG284" s="4" t="e">
        <f t="shared" ref="DG284" ca="1" si="4785">MATCH(1,OFFSET(DF275:DF286,DH283,0,COUNT(DF275:DF286)-DH283),0)</f>
        <v>#REF!</v>
      </c>
      <c r="DH284" s="4" t="e">
        <f t="shared" ca="1" si="4648"/>
        <v>#REF!</v>
      </c>
      <c r="DI284" s="692" t="str" cm="1">
        <f t="array" aca="1" ref="DI284" ca="1">IFERROR(VLOOKUP(INDEX(DE275:DE286,DH284),INDIRECT(BY275),2,FALSE),"----")</f>
        <v>----</v>
      </c>
      <c r="DJ284" s="691" t="e">
        <f t="shared" ca="1" si="4649"/>
        <v>#N/A</v>
      </c>
      <c r="DK284" s="4" t="e">
        <f ca="1">IF(AND(INDEX(SSM,DJ284,4)&gt;=$AB281,INDEX(SSM,DJ284,5)&gt;=$S275,INDEX(SSM,DJ284,6)&gt;=$R275),1,0)</f>
        <v>#N/A</v>
      </c>
      <c r="DL284" s="4" t="e">
        <f t="shared" ref="DL284" ca="1" si="4786">MATCH(1,OFFSET(DK275:DK286,DM283,0,COUNT(DK275:DK286)-DM283),0)</f>
        <v>#REF!</v>
      </c>
      <c r="DM284" s="4" t="e">
        <f t="shared" ca="1" si="4651"/>
        <v>#REF!</v>
      </c>
      <c r="DN284" s="692" t="str">
        <f ca="1">IFERROR(IF(AD282="Nested Steel Stud (wood infill)",VLOOKUP(INDEX(DJ275:DJ286,DM284),SSW,2,FALSE),VLOOKUP(INDEX(DJ275:DJ286,DM284),SSM,2,FALSE)),"----")</f>
        <v>----</v>
      </c>
      <c r="DO284" s="691" t="e">
        <f t="shared" ca="1" si="4652"/>
        <v>#N/A</v>
      </c>
      <c r="DP284" s="4" t="e">
        <f ca="1">IF(AND(INDEX(WSM,DO284,4)&gt;=$AB281,INDEX(WSM,DO284,5)&gt;=$S275,INDEX(WSM,DO284,6)&gt;=$R275),1,0)</f>
        <v>#N/A</v>
      </c>
      <c r="DQ284" s="4" t="e">
        <f t="shared" ref="DQ284" ca="1" si="4787">MATCH(1,OFFSET(DP275:DP286,DR283,0,COUNT(DP275:DP286)-DR283),0)</f>
        <v>#REF!</v>
      </c>
      <c r="DR284" s="4" t="e">
        <f t="shared" ca="1" si="4654"/>
        <v>#REF!</v>
      </c>
      <c r="DS284" s="692" t="str">
        <f ca="1">IFERROR(VLOOKUP(INDEX(DO275:DO286,DR284),WSM,2,FALSE),"----")</f>
        <v>----</v>
      </c>
      <c r="DT284" s="691" t="e">
        <f t="shared" ca="1" si="4655"/>
        <v>#N/A</v>
      </c>
      <c r="DU284" s="4" t="e">
        <f ca="1">IF(AND(INDEX(STM,DT284,4)&gt;=$AB281,INDEX(STM,DT284,5)&gt;=$S275,INDEX(STM,DT284,6)&gt;=$R275),1,0)</f>
        <v>#N/A</v>
      </c>
      <c r="DV284" s="4" t="e">
        <f t="shared" ref="DV284" ca="1" si="4788">MATCH(1,OFFSET(DU275:DU286,DW283,0,COUNT(DU275:DU286)-DW283),0)</f>
        <v>#REF!</v>
      </c>
      <c r="DW284" s="4" t="e">
        <f t="shared" ca="1" si="4657"/>
        <v>#REF!</v>
      </c>
      <c r="DX284" s="692" t="str">
        <f ca="1">IFERROR(VLOOKUP(INDEX(DT275:DT286,DW284),STM,2,FALSE),"----")</f>
        <v>----</v>
      </c>
      <c r="DY284" s="691" t="e">
        <f t="shared" ca="1" si="4658"/>
        <v>#N/A</v>
      </c>
      <c r="DZ284" s="4" t="e">
        <f ca="1">IF(AND(INDEX(ELM,DY284,4)&gt;=$AB281,INDEX(ELM,DY284,5)&gt;=$S275,INDEX(ELM,DY284,6)&gt;=$R275),1,0)</f>
        <v>#N/A</v>
      </c>
      <c r="EA284" s="4" t="e">
        <f t="shared" ref="EA284" ca="1" si="4789">MATCH(1,OFFSET(DZ275:DZ286,EB283,0,COUNT(DZ275:DZ286)-EB283),0)</f>
        <v>#REF!</v>
      </c>
      <c r="EB284" s="4" t="e">
        <f t="shared" ca="1" si="4660"/>
        <v>#REF!</v>
      </c>
      <c r="EC284" s="692" t="str">
        <f ca="1">IFERROR(VLOOKUP(INDEX(DY275:DY286,EB284),ELM,2,FALSE),"----")</f>
        <v>----</v>
      </c>
      <c r="ED284" s="691" t="e">
        <f t="shared" ca="1" si="4661"/>
        <v>#N/A</v>
      </c>
      <c r="EE284" s="4" t="e">
        <f ca="1">IF(LEFT($J275,7)="Clad Wo",IF(AND(INDEX(SPPWS,ED284,4)&gt;=$AB281,INDEX(SPPWS,ED284,5)&gt;=$S275,INDEX(SPPWS,ED284,6)&gt;=$R275),1,0),IF(AND(INDEX(SPM,ED284,4)&gt;=$AB281,INDEX(SPM,ED284,5)&gt;=$S275,INDEX(SPM,ED284,6)&gt;=$R275),1,0))</f>
        <v>#N/A</v>
      </c>
      <c r="EF284" s="4" t="e">
        <f t="shared" ref="EF284" ca="1" si="4790">MATCH(1,OFFSET(EE275:EE286,EG283,0,COUNT(EE275:EE286)-EG283),0)</f>
        <v>#REF!</v>
      </c>
      <c r="EG284" s="4" t="e">
        <f t="shared" ca="1" si="4663"/>
        <v>#REF!</v>
      </c>
      <c r="EH284" s="692" t="str">
        <f ca="1">IF(LEFT($J275,7)="Clad Wo",IFERROR(VLOOKUP(INDEX(ED275:ED286,EG284),SPPWS,2,FALSE),"----"),IFERROR(VLOOKUP(INDEX(ED275:ED286,EG284),SPM,2,FALSE),"----"))</f>
        <v>----</v>
      </c>
    </row>
    <row r="285" spans="1:138" ht="15" customHeight="1" x14ac:dyDescent="0.25">
      <c r="A285" s="1085"/>
      <c r="B285" s="925"/>
      <c r="C285" s="926"/>
      <c r="D285" s="927"/>
      <c r="E285" s="995"/>
      <c r="F285" s="996"/>
      <c r="G285" s="997"/>
      <c r="H285" s="1062"/>
      <c r="I285" s="990"/>
      <c r="J285" s="902"/>
      <c r="K285" s="903"/>
      <c r="L285" s="1002"/>
      <c r="M285" s="923"/>
      <c r="N285" s="1042"/>
      <c r="O285" s="1018"/>
      <c r="P285" s="987"/>
      <c r="Q285" s="1015"/>
      <c r="R285" s="1012"/>
      <c r="S285" s="1006"/>
      <c r="T285" s="1007"/>
      <c r="U285" s="878"/>
      <c r="V285" s="881"/>
      <c r="W285" s="884"/>
      <c r="X285" s="884"/>
      <c r="Y285" s="887"/>
      <c r="Z285" s="887"/>
      <c r="AA285" s="887"/>
      <c r="AB285" s="1081"/>
      <c r="AC285" s="1078"/>
      <c r="AD285" s="1070" t="str">
        <f t="shared" si="4522"/>
        <v>Engineered Lumber</v>
      </c>
      <c r="AE285" s="1071"/>
      <c r="AF285" s="1052"/>
      <c r="AG285" s="1053"/>
      <c r="AH285" s="1053"/>
      <c r="AI285" s="1068"/>
      <c r="AJ285" s="1069"/>
      <c r="AK285" s="154" t="str">
        <f t="shared" ca="1" si="3667"/>
        <v/>
      </c>
      <c r="AL285" s="1059"/>
      <c r="AM285" s="344" t="str">
        <f ca="1">IFERROR(Q275/12*ROUND(VLOOKUP(AF285,OFFSET(ELM,0,1),6,FALSE),2),"")</f>
        <v/>
      </c>
      <c r="AN285" t="str">
        <f t="shared" ca="1" si="3717"/>
        <v/>
      </c>
      <c r="AP285" s="122" t="str">
        <f t="shared" ref="AP285" si="4791">_xlfn.CONCAT(AR285,AS286)</f>
        <v/>
      </c>
      <c r="AQ285" s="683" t="str">
        <f t="shared" si="3881"/>
        <v/>
      </c>
      <c r="AR285" s="4" t="str">
        <f t="shared" si="3642"/>
        <v/>
      </c>
      <c r="AS285" s="4"/>
      <c r="AT285" s="697" t="str">
        <f>AL281</f>
        <v/>
      </c>
      <c r="AU285" s="694" t="e">
        <f t="shared" ca="1" si="3907"/>
        <v>#REF!</v>
      </c>
      <c r="AV285" s="698" t="str">
        <f ca="1">IFERROR(VLOOKUP(AU285,INDIRECT(AQ275),2,FALSE),"----")</f>
        <v>----</v>
      </c>
      <c r="AW285" s="694" t="e">
        <f t="shared" ca="1" si="3908"/>
        <v>#REF!</v>
      </c>
      <c r="AX285" s="698" t="str">
        <f ca="1">IFERROR(VLOOKUP(AW285,INDIRECT(AQ276),2,FALSE),"----")</f>
        <v>----</v>
      </c>
      <c r="AY285" s="694" t="e">
        <f t="shared" ca="1" si="4775"/>
        <v>#REF!</v>
      </c>
      <c r="AZ285" s="698" t="str">
        <f ca="1">IFERROR(VLOOKUP(AY285,INDIRECT(AQ277),2,FALSE),"----")</f>
        <v>----</v>
      </c>
      <c r="BA285" s="694" t="e">
        <f t="shared" ca="1" si="4776"/>
        <v>#REF!</v>
      </c>
      <c r="BB285" s="698" t="str">
        <f ca="1">IFERROR(VLOOKUP(BA285,INDIRECT(AQ278),2,FALSE),"----")</f>
        <v>----</v>
      </c>
      <c r="BC285" s="694" t="e">
        <f t="shared" ca="1" si="3911"/>
        <v>#REF!</v>
      </c>
      <c r="BD285" s="698" t="str">
        <f ca="1">IFERROR(VLOOKUP(BC285,INDIRECT(AQ279),2,FALSE),"----")</f>
        <v>----</v>
      </c>
      <c r="BE285" s="694" t="e">
        <f t="shared" ca="1" si="3912"/>
        <v>#REF!</v>
      </c>
      <c r="BF285" s="698" t="str">
        <f ca="1">IFERROR(VLOOKUP(BE285,INDIRECT(AQ280),2,FALSE),"----")</f>
        <v>----</v>
      </c>
      <c r="BG285" s="702" t="e">
        <f t="shared" ca="1" si="3913"/>
        <v>#REF!</v>
      </c>
      <c r="BH285" s="686" t="str">
        <f ca="1">IFERROR(VLOOKUP(BG285,INDIRECT(AQ281),2,FALSE),"----")</f>
        <v>----</v>
      </c>
      <c r="BI285" s="702" t="e">
        <f t="shared" ca="1" si="3914"/>
        <v>#REF!</v>
      </c>
      <c r="BJ285" s="686" t="str">
        <f ca="1">IFERROR(VLOOKUP(BI285,INDIRECT(AQ282),2,FALSE),"----")</f>
        <v>----</v>
      </c>
      <c r="BK285" s="702" t="e">
        <f t="shared" ca="1" si="3915"/>
        <v>#REF!</v>
      </c>
      <c r="BL285" s="686" t="str">
        <f ca="1">IFERROR(VLOOKUP(BK285,INDIRECT(AQ283),2,FALSE),"----")</f>
        <v>----</v>
      </c>
      <c r="BM285" s="702" t="e">
        <f t="shared" ca="1" si="3916"/>
        <v>#REF!</v>
      </c>
      <c r="BN285" s="686" t="str">
        <f ca="1">IFERROR(VLOOKUP(BM285,INDIRECT(AQ284),2,FALSE),"----")</f>
        <v>----</v>
      </c>
      <c r="BO285" s="702" t="e">
        <f t="shared" ca="1" si="3917"/>
        <v>#REF!</v>
      </c>
      <c r="BP285" s="686" t="str">
        <f ca="1">IFERROR(VLOOKUP(BO285,INDIRECT(AQ285),2,FALSE),"----")</f>
        <v>----</v>
      </c>
      <c r="BQ285" s="702" t="e">
        <f t="shared" ca="1" si="3918"/>
        <v>#REF!</v>
      </c>
      <c r="BR285" s="686" t="str">
        <f ca="1">IFERROR(VLOOKUP(BQ285,INDIRECT(AQ286),2,FALSE),"----")</f>
        <v>----</v>
      </c>
      <c r="BS285" s="695">
        <f>IF(AI285="",1,IF(COUNTIF(BP275:BP286,AI285)=0,2,1))</f>
        <v>1</v>
      </c>
      <c r="BT285" s="696">
        <f>IF(AF285="",1,IF(BP275=".",2,1))</f>
        <v>1</v>
      </c>
      <c r="BU285" s="706"/>
      <c r="BV285" s="155">
        <f ca="1">IF(COUNTIF(EC275:EC286,AF285)=0,IF(AF285&lt;&gt;"",0,1),1)</f>
        <v>1</v>
      </c>
      <c r="BW285" s="157">
        <f ca="1">IFERROR(MATCH(AF285,EC275:EC286,0),1)</f>
        <v>1</v>
      </c>
      <c r="BX285" s="769"/>
      <c r="BY285" s="769"/>
      <c r="BZ285" s="1110"/>
      <c r="CA285" s="691" t="e">
        <f t="shared" ca="1" si="4628"/>
        <v>#REF!</v>
      </c>
      <c r="CB285" s="4" t="e" cm="1">
        <f t="array" aca="1" ref="CB285" ca="1">IF(AND(INDEX(INDIRECT(BY275),CA285,4)&gt;=$AB275,INDEX(INDIRECT(BY275),CA285,5)&gt;=$S275,INDEX(INDIRECT(BY275),CA285,6)&gt;=$R275),1,0)</f>
        <v>#REF!</v>
      </c>
      <c r="CC285" s="4" t="e">
        <f t="shared" ref="CC285" ca="1" si="4792">MATCH(1,OFFSET(CB275:CB286,CD284,0,COUNT(CB275:CB286)-CD284),0)</f>
        <v>#REF!</v>
      </c>
      <c r="CD285" s="4" t="e">
        <f t="shared" ca="1" si="4630"/>
        <v>#REF!</v>
      </c>
      <c r="CE285" s="692" t="str" cm="1">
        <f t="array" aca="1" ref="CE285" ca="1">IFERROR(VLOOKUP(INDEX(CA275:CA286,CD285),INDIRECT(BY275),2,FALSE),"----")</f>
        <v>----</v>
      </c>
      <c r="CF285" s="691" t="e">
        <f t="shared" ca="1" si="4631"/>
        <v>#N/A</v>
      </c>
      <c r="CG285" s="4" t="e">
        <f ca="1">IF(AND(INDEX(SSM,CF285,4)&gt;=$AB275,INDEX(SSM,CF285,5)&gt;=$S275,INDEX(SSM,CF285,6)&gt;=$R275),1,0)</f>
        <v>#N/A</v>
      </c>
      <c r="CH285" s="4" t="e">
        <f t="shared" ref="CH285" ca="1" si="4793">MATCH(1,OFFSET(CG275:CG286,CI284,0,COUNT(CG275:CG286)-CI284),0)</f>
        <v>#REF!</v>
      </c>
      <c r="CI285" s="4" t="e">
        <f t="shared" ca="1" si="4633"/>
        <v>#REF!</v>
      </c>
      <c r="CJ285" s="692" t="str">
        <f ca="1">IFERROR(IF(AD276="Nested Steel Stud (wood infill)",VLOOKUP(INDEX(CF275:CF286,CI285),SSW,2,FALSE),VLOOKUP(INDEX(CF275:CF286,CI285),SSM,2,FALSE)),"----")</f>
        <v>----</v>
      </c>
      <c r="CK285" s="691" t="e">
        <f t="shared" ca="1" si="4634"/>
        <v>#N/A</v>
      </c>
      <c r="CL285" s="4" t="e">
        <f ca="1">IF(AND(INDEX(WSM,CK285,4)&gt;=$AB275,INDEX(WSM,CK285,5)&gt;=$S275,INDEX(WSM,CK285,6)&gt;=$R275),1,0)</f>
        <v>#N/A</v>
      </c>
      <c r="CM285" s="4" t="e">
        <f t="shared" ref="CM285" ca="1" si="4794">MATCH(1,OFFSET(CL275:CL286,CN284,0,COUNT(CL275:CL286)-CN284),0)</f>
        <v>#REF!</v>
      </c>
      <c r="CN285" s="4" t="e">
        <f t="shared" ca="1" si="4636"/>
        <v>#REF!</v>
      </c>
      <c r="CO285" s="692" t="str">
        <f ca="1">IFERROR(VLOOKUP(INDEX(CK275:CK286,CN285),WSM,2,FALSE),"----")</f>
        <v>----</v>
      </c>
      <c r="CP285" s="691" t="e">
        <f t="shared" ca="1" si="4637"/>
        <v>#N/A</v>
      </c>
      <c r="CQ285" s="4" t="e">
        <f ca="1">IF(AND(INDEX(STM,CP285,4)&gt;=$AB275,INDEX(STM,CP285,5)&gt;=$S275,INDEX(STM,CP285,6)&gt;=$R275),1,0)</f>
        <v>#N/A</v>
      </c>
      <c r="CR285" s="4" t="e">
        <f t="shared" ref="CR285" ca="1" si="4795">MATCH(1,OFFSET(CQ275:CQ286,CS284,0,COUNT(CQ275:CQ286)-CS284),0)</f>
        <v>#REF!</v>
      </c>
      <c r="CS285" s="4" t="e">
        <f t="shared" ca="1" si="4639"/>
        <v>#REF!</v>
      </c>
      <c r="CT285" s="692" t="str">
        <f ca="1">IFERROR(VLOOKUP(INDEX(CP275:CP286,CS285),STM,2,FALSE),"----")</f>
        <v>----</v>
      </c>
      <c r="CU285" s="691" t="e">
        <f t="shared" ca="1" si="4640"/>
        <v>#N/A</v>
      </c>
      <c r="CV285" s="4" t="e">
        <f ca="1">IF(AND(INDEX(ELM,CU285,4)&gt;=$AB275,INDEX(ELM,CU285,5)&gt;=$S275,INDEX(ELM,CU285,6)&gt;=$R275),1,0)</f>
        <v>#N/A</v>
      </c>
      <c r="CW285" s="4" t="e">
        <f t="shared" ref="CW285" ca="1" si="4796">MATCH(1,OFFSET(CV275:CV286,CX284,0,COUNT(CV275:CV286)-CX284),0)</f>
        <v>#REF!</v>
      </c>
      <c r="CX285" s="4" t="e">
        <f t="shared" ca="1" si="4642"/>
        <v>#REF!</v>
      </c>
      <c r="CY285" s="692" t="str">
        <f ca="1">IFERROR(VLOOKUP(INDEX(CU275:CU286,CX285),ELM,2,FALSE),"----")</f>
        <v>----</v>
      </c>
      <c r="CZ285" s="691" t="e">
        <f t="shared" ca="1" si="4643"/>
        <v>#N/A</v>
      </c>
      <c r="DA285" s="4" t="e">
        <f ca="1">IF(LEFT($J275,7)="Clad Wo",IF(AND(INDEX(SPPWS,CZ285,4)&gt;=$AB275,INDEX(SPPWS,CZ285,5)&gt;=$S275,INDEX(SPPWS,CZ285,6)&gt;=$R275),1,0),IF(AND(INDEX(SPM,CZ285,4)&gt;=$AB275,INDEX(SPM,CZ285,5)&gt;=$S275,INDEX(SPM,CZ285,6)&gt;=$R275),1,0))</f>
        <v>#N/A</v>
      </c>
      <c r="DB285" s="4" t="e">
        <f t="shared" ref="DB285" ca="1" si="4797">MATCH(1,OFFSET(DA275:DA286,DC284,0,COUNT(DA275:DA286)-DC284),0)</f>
        <v>#REF!</v>
      </c>
      <c r="DC285" s="4" t="e">
        <f t="shared" ca="1" si="4645"/>
        <v>#REF!</v>
      </c>
      <c r="DD285" s="693" t="str">
        <f ca="1">IF(LEFT($J275,7)="Clad Wo",IFERROR(VLOOKUP(INDEX(CZ275:CZ286,DC285),SPPWS,2,FALSE),"----"),IFERROR(VLOOKUP(INDEX(CZ275:CZ286,DC285),SPM,2,FALSE),"----"))</f>
        <v>----</v>
      </c>
      <c r="DE285" s="691" t="e">
        <f t="shared" ca="1" si="4646"/>
        <v>#REF!</v>
      </c>
      <c r="DF285" s="4" t="e" cm="1">
        <f t="array" aca="1" ref="DF285" ca="1">IF(AND(INDEX(INDIRECT(BY275),DE285,4)&gt;=$AB281,INDEX(INDIRECT(BY275),DE285,5)&gt;=$S275,INDEX(INDIRECT(BY275),DE285,6)&gt;=$R275),1,0)</f>
        <v>#REF!</v>
      </c>
      <c r="DG285" s="4" t="e">
        <f t="shared" ref="DG285" ca="1" si="4798">MATCH(1,OFFSET(DF275:DF286,DH284,0,COUNT(DF275:DF286)-DH284),0)</f>
        <v>#REF!</v>
      </c>
      <c r="DH285" s="4" t="e">
        <f t="shared" ca="1" si="4648"/>
        <v>#REF!</v>
      </c>
      <c r="DI285" s="692" t="str" cm="1">
        <f t="array" aca="1" ref="DI285" ca="1">IFERROR(VLOOKUP(INDEX(DE275:DE286,DH285),INDIRECT(BY275),2,FALSE),"----")</f>
        <v>----</v>
      </c>
      <c r="DJ285" s="691" t="e">
        <f t="shared" ca="1" si="4649"/>
        <v>#N/A</v>
      </c>
      <c r="DK285" s="4" t="e">
        <f ca="1">IF(AND(INDEX(SSM,DJ285,4)&gt;=$AB281,INDEX(SSM,DJ285,5)&gt;=$S275,INDEX(SSM,DJ285,6)&gt;=$R275),1,0)</f>
        <v>#N/A</v>
      </c>
      <c r="DL285" s="4" t="e">
        <f t="shared" ref="DL285" ca="1" si="4799">MATCH(1,OFFSET(DK275:DK286,DM284,0,COUNT(DK275:DK286)-DM284),0)</f>
        <v>#REF!</v>
      </c>
      <c r="DM285" s="4" t="e">
        <f t="shared" ca="1" si="4651"/>
        <v>#REF!</v>
      </c>
      <c r="DN285" s="692" t="str">
        <f ca="1">IFERROR(IF(AD282="Nested Steel Stud (wood infill)",VLOOKUP(INDEX(DJ275:DJ286,DM285),SSW,2,FALSE),VLOOKUP(INDEX(DJ275:DJ286,DM285),SSM,2,FALSE)),"----")</f>
        <v>----</v>
      </c>
      <c r="DO285" s="691" t="e">
        <f t="shared" ca="1" si="4652"/>
        <v>#N/A</v>
      </c>
      <c r="DP285" s="4" t="e">
        <f ca="1">IF(AND(INDEX(WSM,DO285,4)&gt;=$AB281,INDEX(WSM,DO285,5)&gt;=$S275,INDEX(WSM,DO285,6)&gt;=$R275),1,0)</f>
        <v>#N/A</v>
      </c>
      <c r="DQ285" s="4" t="e">
        <f t="shared" ref="DQ285" ca="1" si="4800">MATCH(1,OFFSET(DP275:DP286,DR284,0,COUNT(DP275:DP286)-DR284),0)</f>
        <v>#REF!</v>
      </c>
      <c r="DR285" s="4" t="e">
        <f t="shared" ca="1" si="4654"/>
        <v>#REF!</v>
      </c>
      <c r="DS285" s="692" t="str">
        <f ca="1">IFERROR(VLOOKUP(INDEX(DO275:DO286,DR285),WSM,2,FALSE),"----")</f>
        <v>----</v>
      </c>
      <c r="DT285" s="691" t="e">
        <f t="shared" ca="1" si="4655"/>
        <v>#N/A</v>
      </c>
      <c r="DU285" s="4" t="e">
        <f ca="1">IF(AND(INDEX(STM,DT285,4)&gt;=$AB281,INDEX(STM,DT285,5)&gt;=$S275,INDEX(STM,DT285,6)&gt;=$R275),1,0)</f>
        <v>#N/A</v>
      </c>
      <c r="DV285" s="4" t="e">
        <f t="shared" ref="DV285" ca="1" si="4801">MATCH(1,OFFSET(DU275:DU286,DW284,0,COUNT(DU275:DU286)-DW284),0)</f>
        <v>#REF!</v>
      </c>
      <c r="DW285" s="4" t="e">
        <f t="shared" ca="1" si="4657"/>
        <v>#REF!</v>
      </c>
      <c r="DX285" s="692" t="str">
        <f ca="1">IFERROR(VLOOKUP(INDEX(DT275:DT286,DW285),STM,2,FALSE),"----")</f>
        <v>----</v>
      </c>
      <c r="DY285" s="691" t="e">
        <f t="shared" ca="1" si="4658"/>
        <v>#N/A</v>
      </c>
      <c r="DZ285" s="4" t="e">
        <f ca="1">IF(AND(INDEX(ELM,DY285,4)&gt;=$AB281,INDEX(ELM,DY285,5)&gt;=$S275,INDEX(ELM,DY285,6)&gt;=$R275),1,0)</f>
        <v>#N/A</v>
      </c>
      <c r="EA285" s="4" t="e">
        <f t="shared" ref="EA285" ca="1" si="4802">MATCH(1,OFFSET(DZ275:DZ286,EB284,0,COUNT(DZ275:DZ286)-EB284),0)</f>
        <v>#REF!</v>
      </c>
      <c r="EB285" s="4" t="e">
        <f t="shared" ca="1" si="4660"/>
        <v>#REF!</v>
      </c>
      <c r="EC285" s="692" t="str">
        <f ca="1">IFERROR(VLOOKUP(INDEX(DY275:DY286,EB285),ELM,2,FALSE),"----")</f>
        <v>----</v>
      </c>
      <c r="ED285" s="691" t="e">
        <f t="shared" ca="1" si="4661"/>
        <v>#N/A</v>
      </c>
      <c r="EE285" s="4" t="e">
        <f ca="1">IF(LEFT($J275,7)="Clad Wo",IF(AND(INDEX(SPPWS,ED285,4)&gt;=$AB281,INDEX(SPPWS,ED285,5)&gt;=$S275,INDEX(SPPWS,ED285,6)&gt;=$R275),1,0),IF(AND(INDEX(SPM,ED285,4)&gt;=$AB281,INDEX(SPM,ED285,5)&gt;=$S275,INDEX(SPM,ED285,6)&gt;=$R275),1,0))</f>
        <v>#N/A</v>
      </c>
      <c r="EF285" s="4" t="e">
        <f t="shared" ref="EF285" ca="1" si="4803">MATCH(1,OFFSET(EE275:EE286,EG284,0,COUNT(EE275:EE286)-EG284),0)</f>
        <v>#REF!</v>
      </c>
      <c r="EG285" s="4" t="e">
        <f t="shared" ca="1" si="4663"/>
        <v>#REF!</v>
      </c>
      <c r="EH285" s="692" t="str">
        <f ca="1">IF(LEFT($J275,7)="Clad Wo",IFERROR(VLOOKUP(INDEX(ED275:ED286,EG285),SPPWS,2,FALSE),"----"),IFERROR(VLOOKUP(INDEX(ED275:ED286,EG285),SPM,2,FALSE),"----"))</f>
        <v>----</v>
      </c>
    </row>
    <row r="286" spans="1:138" ht="15" customHeight="1" thickBot="1" x14ac:dyDescent="0.3">
      <c r="A286" s="1085"/>
      <c r="B286" s="928"/>
      <c r="C286" s="929"/>
      <c r="D286" s="930"/>
      <c r="E286" s="998"/>
      <c r="F286" s="999"/>
      <c r="G286" s="1000"/>
      <c r="H286" s="1063"/>
      <c r="I286" s="991"/>
      <c r="J286" s="904"/>
      <c r="K286" s="905"/>
      <c r="L286" s="1003"/>
      <c r="M286" s="1065"/>
      <c r="N286" s="1043"/>
      <c r="O286" s="1019"/>
      <c r="P286" s="988"/>
      <c r="Q286" s="1016"/>
      <c r="R286" s="1013"/>
      <c r="S286" s="1008"/>
      <c r="T286" s="1009"/>
      <c r="U286" s="879"/>
      <c r="V286" s="882"/>
      <c r="W286" s="885"/>
      <c r="X286" s="885"/>
      <c r="Y286" s="888"/>
      <c r="Z286" s="888"/>
      <c r="AA286" s="888"/>
      <c r="AB286" s="1082"/>
      <c r="AC286" s="1087"/>
      <c r="AD286" s="1098" t="str">
        <f t="shared" ref="AD286" si="4804">IF(LEFT(J275,7)="Clad Wo","Pella Wood Spr / Steel Pte","Steel Plate")</f>
        <v>Steel Plate</v>
      </c>
      <c r="AE286" s="1099"/>
      <c r="AF286" s="1096"/>
      <c r="AG286" s="1097"/>
      <c r="AH286" s="1097"/>
      <c r="AI286" s="1094"/>
      <c r="AJ286" s="1095"/>
      <c r="AK286" s="163" t="str">
        <f t="shared" ca="1" si="3667"/>
        <v/>
      </c>
      <c r="AL286" s="1060"/>
      <c r="AM286" s="345" t="str">
        <f ca="1">IFERROR(Q275/12*ROUND(VLOOKUP(AF286,OFFSET(SPM,0,1),6,FALSE),2),"")</f>
        <v/>
      </c>
      <c r="AN286" t="str">
        <f t="shared" ca="1" si="3717"/>
        <v/>
      </c>
      <c r="AP286" s="699" t="str">
        <f t="shared" ref="AP286" si="4805">_xlfn.CONCAT(AR286,AS286)</f>
        <v/>
      </c>
      <c r="AQ286" s="700" t="str">
        <f t="shared" si="3881"/>
        <v/>
      </c>
      <c r="AR286" s="160" t="str">
        <f t="shared" si="3642"/>
        <v/>
      </c>
      <c r="AS286" s="160" t="str">
        <f>IFERROR(VLOOKUP(J283, WallType,2,FALSE),"")</f>
        <v/>
      </c>
      <c r="AT286" s="707" t="str">
        <f>AL281</f>
        <v/>
      </c>
      <c r="AU286" s="708" t="e">
        <f t="shared" ca="1" si="3907"/>
        <v>#REF!</v>
      </c>
      <c r="AV286" s="709" t="str">
        <f ca="1">IFERROR(VLOOKUP(AU286,INDIRECT(AQ275),2,FALSE),"----")</f>
        <v>----</v>
      </c>
      <c r="AW286" s="710" t="e">
        <f t="shared" ca="1" si="3908"/>
        <v>#REF!</v>
      </c>
      <c r="AX286" s="709" t="str">
        <f ca="1">IFERROR(VLOOKUP(AW286,INDIRECT(AQ276),2,FALSE),"----")</f>
        <v>----</v>
      </c>
      <c r="AY286" s="710" t="e">
        <f t="shared" ca="1" si="4775"/>
        <v>#REF!</v>
      </c>
      <c r="AZ286" s="709" t="str">
        <f ca="1">IFERROR(VLOOKUP(AY286,INDIRECT(AQ277),2,FALSE),"----")</f>
        <v>----</v>
      </c>
      <c r="BA286" s="710" t="e">
        <f t="shared" ca="1" si="4776"/>
        <v>#REF!</v>
      </c>
      <c r="BB286" s="709" t="str">
        <f ca="1">IFERROR(VLOOKUP(BA286,INDIRECT(AQ278),2,FALSE),"----")</f>
        <v>----</v>
      </c>
      <c r="BC286" s="710" t="e">
        <f t="shared" ca="1" si="3911"/>
        <v>#REF!</v>
      </c>
      <c r="BD286" s="709" t="str">
        <f ca="1">IFERROR(VLOOKUP(BC286,INDIRECT(AQ279),2,FALSE),"----")</f>
        <v>----</v>
      </c>
      <c r="BE286" s="710" t="e">
        <f t="shared" ca="1" si="3912"/>
        <v>#REF!</v>
      </c>
      <c r="BF286" s="709" t="str">
        <f ca="1">IFERROR(VLOOKUP(BE286,INDIRECT(AQ280),2,FALSE),"----")</f>
        <v>----</v>
      </c>
      <c r="BG286" s="710" t="e">
        <f t="shared" ca="1" si="3913"/>
        <v>#REF!</v>
      </c>
      <c r="BH286" s="711" t="str">
        <f ca="1">IFERROR(VLOOKUP(BG286,INDIRECT(AQ281),2,FALSE),"----")</f>
        <v>----</v>
      </c>
      <c r="BI286" s="710" t="e">
        <f t="shared" ca="1" si="3914"/>
        <v>#REF!</v>
      </c>
      <c r="BJ286" s="711" t="str">
        <f ca="1">IFERROR(VLOOKUP(BI286,INDIRECT(AQ282),2,FALSE),"----")</f>
        <v>----</v>
      </c>
      <c r="BK286" s="710" t="e">
        <f t="shared" ca="1" si="3915"/>
        <v>#REF!</v>
      </c>
      <c r="BL286" s="711" t="str">
        <f ca="1">IFERROR(VLOOKUP(BK286,INDIRECT(AQ283),2,FALSE),"----")</f>
        <v>----</v>
      </c>
      <c r="BM286" s="710" t="e">
        <f t="shared" ca="1" si="3916"/>
        <v>#REF!</v>
      </c>
      <c r="BN286" s="711" t="str">
        <f ca="1">IFERROR(VLOOKUP(BM286,INDIRECT(AQ284),2,FALSE),"----")</f>
        <v>----</v>
      </c>
      <c r="BO286" s="710" t="e">
        <f t="shared" ca="1" si="3917"/>
        <v>#REF!</v>
      </c>
      <c r="BP286" s="711" t="str">
        <f ca="1">IFERROR(VLOOKUP(BO286,INDIRECT(AQ285),2,FALSE),"----")</f>
        <v>----</v>
      </c>
      <c r="BQ286" s="710" t="e">
        <f t="shared" ca="1" si="3918"/>
        <v>#REF!</v>
      </c>
      <c r="BR286" s="712" t="str">
        <f ca="1">IFERROR(VLOOKUP(BQ286,INDIRECT(AQ286),2,FALSE),"----")</f>
        <v>----</v>
      </c>
      <c r="BS286" s="695">
        <f>IF(AI286="",1,IF(COUNTIF(BR275:BR286,AI286)=0,2,1))</f>
        <v>1</v>
      </c>
      <c r="BT286" s="713">
        <f>IF(AF286="",1,IF(BR275=".",2,1))</f>
        <v>1</v>
      </c>
      <c r="BV286" s="155">
        <f ca="1">IF(COUNTIF(EH275:EH286,AF286)=0,IF(AF286&lt;&gt;"",0,1),1)</f>
        <v>1</v>
      </c>
      <c r="BW286" s="157">
        <f ca="1">IFERROR(MATCH(AF286,EH275:EH286,0),1)</f>
        <v>1</v>
      </c>
      <c r="BX286" s="718"/>
      <c r="BY286" s="777"/>
      <c r="BZ286" s="1110"/>
      <c r="CA286" s="714" t="e">
        <f t="shared" ca="1" si="4628"/>
        <v>#REF!</v>
      </c>
      <c r="CB286" s="715" t="e" cm="1">
        <f t="array" aca="1" ref="CB286" ca="1">IF(AND(INDEX(INDIRECT(BY275),CA286,4)&gt;=$AB275,INDEX(INDIRECT(BY275),CA286,5)&gt;=$S275,INDEX(INDIRECT(BY275),CA286,6)&gt;=$R275),1,0)</f>
        <v>#REF!</v>
      </c>
      <c r="CC286" s="715" t="e">
        <f t="shared" ref="CC286" ca="1" si="4806">MATCH(1,OFFSET(CB275:CB286,CD285,0,COUNT(CB275:CB286)-CD285),0)</f>
        <v>#REF!</v>
      </c>
      <c r="CD286" s="715" t="e">
        <f t="shared" ca="1" si="4630"/>
        <v>#REF!</v>
      </c>
      <c r="CE286" s="716" t="str" cm="1">
        <f t="array" aca="1" ref="CE286" ca="1">IFERROR(VLOOKUP(INDEX(CA275:CA286,CD286),INDIRECT(BY275),2,FALSE),"----")</f>
        <v>----</v>
      </c>
      <c r="CF286" s="714" t="e">
        <f t="shared" ca="1" si="4631"/>
        <v>#N/A</v>
      </c>
      <c r="CG286" s="715" t="e">
        <f ca="1">IF(AND(INDEX(SSM,CF286,4)&gt;=$AB275,INDEX(SSM,CF286,5)&gt;=$S275,INDEX(SSM,CF286,6)&gt;=$R275),1,0)</f>
        <v>#N/A</v>
      </c>
      <c r="CH286" s="715" t="e">
        <f t="shared" ref="CH286" ca="1" si="4807">MATCH(1,OFFSET(CG275:CG286,CI285,0,COUNT(CG275:CG286)-CI285),0)</f>
        <v>#REF!</v>
      </c>
      <c r="CI286" s="715" t="e">
        <f t="shared" ca="1" si="4633"/>
        <v>#REF!</v>
      </c>
      <c r="CJ286" s="716" t="str">
        <f ca="1">IFERROR(IF(AD276="Nested Steel Stud (wood infill)",VLOOKUP(INDEX(CF275:CF286,CI286),SSW,2,FALSE),VLOOKUP(INDEX(CF275:CF286,CI286),SSM,2,FALSE)),"----")</f>
        <v>----</v>
      </c>
      <c r="CK286" s="714" t="e">
        <f t="shared" ca="1" si="4634"/>
        <v>#N/A</v>
      </c>
      <c r="CL286" s="715" t="e">
        <f ca="1">IF(AND(INDEX(WSM,CK286,4)&gt;=$AB275,INDEX(WSM,CK286,5)&gt;=$S275,INDEX(WSM,CK286,6)&gt;=$R275),1,0)</f>
        <v>#N/A</v>
      </c>
      <c r="CM286" s="715" t="e">
        <f t="shared" ref="CM286" ca="1" si="4808">MATCH(1,OFFSET(CL275:CL286,CN285,0,COUNT(CL275:CL286)-CN285),0)</f>
        <v>#REF!</v>
      </c>
      <c r="CN286" s="715" t="e">
        <f t="shared" ca="1" si="4636"/>
        <v>#REF!</v>
      </c>
      <c r="CO286" s="716" t="str">
        <f ca="1">IFERROR(VLOOKUP(INDEX(CK275:CK286,CN286),WSM,2,FALSE),"----")</f>
        <v>----</v>
      </c>
      <c r="CP286" s="714" t="e">
        <f t="shared" ca="1" si="4637"/>
        <v>#N/A</v>
      </c>
      <c r="CQ286" s="715" t="e">
        <f ca="1">IF(AND(INDEX(STM,CP286,4)&gt;=$AB275,INDEX(STM,CP286,5)&gt;=$S275,INDEX(STM,CP286,6)&gt;=$R275),1,0)</f>
        <v>#N/A</v>
      </c>
      <c r="CR286" s="715" t="e">
        <f t="shared" ref="CR286" ca="1" si="4809">MATCH(1,OFFSET(CQ275:CQ286,CS285,0,COUNT(CQ275:CQ286)-CS285),0)</f>
        <v>#REF!</v>
      </c>
      <c r="CS286" s="715" t="e">
        <f t="shared" ca="1" si="4639"/>
        <v>#REF!</v>
      </c>
      <c r="CT286" s="716" t="str">
        <f ca="1">IFERROR(VLOOKUP(INDEX(CP275:CP286,CS286),STM,2,FALSE),"----")</f>
        <v>----</v>
      </c>
      <c r="CU286" s="714" t="e">
        <f t="shared" ca="1" si="4640"/>
        <v>#N/A</v>
      </c>
      <c r="CV286" s="715" t="e">
        <f ca="1">IF(AND(INDEX(ELM,CU286,4)&gt;=$AB275,INDEX(ELM,CU286,5)&gt;=$S275,INDEX(ELM,CU286,6)&gt;=$R275),1,0)</f>
        <v>#N/A</v>
      </c>
      <c r="CW286" s="715" t="e">
        <f t="shared" ref="CW286" ca="1" si="4810">MATCH(1,OFFSET(CV275:CV286,CX285,0,COUNT(CV275:CV286)-CX285),0)</f>
        <v>#REF!</v>
      </c>
      <c r="CX286" s="715" t="e">
        <f t="shared" ca="1" si="4642"/>
        <v>#REF!</v>
      </c>
      <c r="CY286" s="716" t="str">
        <f ca="1">IFERROR(VLOOKUP(INDEX(CU275:CU286,CX286),ELM,2,FALSE),"----")</f>
        <v>----</v>
      </c>
      <c r="CZ286" s="714" t="e">
        <f t="shared" ca="1" si="4643"/>
        <v>#N/A</v>
      </c>
      <c r="DA286" s="715" t="e">
        <f ca="1">IF(LEFT($J275,7)="Clad Wo",IF(AND(INDEX(SPPWS,CZ286,4)&gt;=$AB275,INDEX(SPPWS,CZ286,5)&gt;=$S275,INDEX(SPPWS,CZ286,6)&gt;=$R275),1,0),IF(AND(INDEX(SPM,CZ286,4)&gt;=$AB275,INDEX(SPM,CZ286,5)&gt;=$S275,INDEX(SPM,CZ286,6)&gt;=$R275),1,0))</f>
        <v>#N/A</v>
      </c>
      <c r="DB286" s="715" t="e">
        <f t="shared" ref="DB286" ca="1" si="4811">MATCH(1,OFFSET(DA275:DA286,DC285,0,COUNT(DA275:DA286)-DC285),0)</f>
        <v>#REF!</v>
      </c>
      <c r="DC286" s="715" t="e">
        <f t="shared" ca="1" si="4645"/>
        <v>#REF!</v>
      </c>
      <c r="DD286" s="717" t="str">
        <f ca="1">IF(LEFT($J275,7)="Clad Wo",IFERROR(VLOOKUP(INDEX(CZ275:CZ286,DC286),SPPWS,2,FALSE),"----"),IFERROR(VLOOKUP(INDEX(CZ275:CZ286,DC286),SPM,2,FALSE),"----"))</f>
        <v>----</v>
      </c>
      <c r="DE286" s="714" t="e">
        <f t="shared" ca="1" si="4646"/>
        <v>#REF!</v>
      </c>
      <c r="DF286" s="715" t="e" cm="1">
        <f t="array" aca="1" ref="DF286" ca="1">IF(AND(INDEX(INDIRECT(BY275),DE286,4)&gt;=$AB281,INDEX(INDIRECT(BY275),DE286,5)&gt;=$S275,INDEX(INDIRECT(BY275),DE286,6)&gt;=$R275),1,0)</f>
        <v>#REF!</v>
      </c>
      <c r="DG286" s="715" t="e">
        <f t="shared" ref="DG286" ca="1" si="4812">MATCH(1,OFFSET(DF275:DF286,DH285,0,COUNT(DF275:DF286)-DH285),0)</f>
        <v>#REF!</v>
      </c>
      <c r="DH286" s="715" t="e">
        <f t="shared" ca="1" si="4648"/>
        <v>#REF!</v>
      </c>
      <c r="DI286" s="716" t="str" cm="1">
        <f t="array" aca="1" ref="DI286" ca="1">IFERROR(VLOOKUP(INDEX(DE275:DE286,DH286),INDIRECT(BY275),2,FALSE),"----")</f>
        <v>----</v>
      </c>
      <c r="DJ286" s="714" t="e">
        <f t="shared" ca="1" si="4649"/>
        <v>#N/A</v>
      </c>
      <c r="DK286" s="715" t="e">
        <f ca="1">IF(AND(INDEX(SSM,DJ286,4)&gt;=$AB281,INDEX(SSM,DJ286,5)&gt;=$S275,INDEX(SSM,DJ286,6)&gt;=$R275),1,0)</f>
        <v>#N/A</v>
      </c>
      <c r="DL286" s="715" t="e">
        <f t="shared" ref="DL286" ca="1" si="4813">MATCH(1,OFFSET(DK275:DK286,DM285,0,COUNT(DK275:DK286)-DM285),0)</f>
        <v>#REF!</v>
      </c>
      <c r="DM286" s="715" t="e">
        <f t="shared" ca="1" si="4651"/>
        <v>#REF!</v>
      </c>
      <c r="DN286" s="716" t="str">
        <f ca="1">IFERROR(IF(AD282="Nested Steel Stud (wood infill)",VLOOKUP(INDEX(DJ275:DJ286,DM286),SSW,2,FALSE),VLOOKUP(INDEX(DJ275:DJ286,DM286),SSM,2,FALSE)),"----")</f>
        <v>----</v>
      </c>
      <c r="DO286" s="714" t="e">
        <f t="shared" ca="1" si="4652"/>
        <v>#N/A</v>
      </c>
      <c r="DP286" s="715" t="e">
        <f ca="1">IF(AND(INDEX(WSM,DO286,4)&gt;=$AB281,INDEX(WSM,DO286,5)&gt;=$S275,INDEX(WSM,DO286,6)&gt;=$R275),1,0)</f>
        <v>#N/A</v>
      </c>
      <c r="DQ286" s="715" t="e">
        <f t="shared" ref="DQ286" ca="1" si="4814">MATCH(1,OFFSET(DP275:DP286,DR285,0,COUNT(DP275:DP286)-DR285),0)</f>
        <v>#REF!</v>
      </c>
      <c r="DR286" s="715" t="e">
        <f t="shared" ca="1" si="4654"/>
        <v>#REF!</v>
      </c>
      <c r="DS286" s="716" t="str">
        <f ca="1">IFERROR(VLOOKUP(INDEX(DO275:DO286,DR286),WSM,2,FALSE),"----")</f>
        <v>----</v>
      </c>
      <c r="DT286" s="714" t="e">
        <f t="shared" ca="1" si="4655"/>
        <v>#N/A</v>
      </c>
      <c r="DU286" s="715" t="e">
        <f ca="1">IF(AND(INDEX(STM,DT286,4)&gt;=$AB281,INDEX(STM,DT286,5)&gt;=$S275,INDEX(STM,DT286,6)&gt;=$R275),1,0)</f>
        <v>#N/A</v>
      </c>
      <c r="DV286" s="715" t="e">
        <f t="shared" ref="DV286" ca="1" si="4815">MATCH(1,OFFSET(DU275:DU286,DW285,0,COUNT(DU275:DU286)-DW285),0)</f>
        <v>#REF!</v>
      </c>
      <c r="DW286" s="715" t="e">
        <f t="shared" ca="1" si="4657"/>
        <v>#REF!</v>
      </c>
      <c r="DX286" s="716" t="str">
        <f ca="1">IFERROR(VLOOKUP(INDEX(DT275:DT286,DW286),STM,2,FALSE),"----")</f>
        <v>----</v>
      </c>
      <c r="DY286" s="714" t="e">
        <f t="shared" ca="1" si="4658"/>
        <v>#N/A</v>
      </c>
      <c r="DZ286" s="715" t="e">
        <f ca="1">IF(AND(INDEX(ELM,DY286,4)&gt;=$AB281,INDEX(ELM,DY286,5)&gt;=$S275,INDEX(ELM,DY286,6)&gt;=$R275),1,0)</f>
        <v>#N/A</v>
      </c>
      <c r="EA286" s="715" t="e">
        <f t="shared" ref="EA286" ca="1" si="4816">MATCH(1,OFFSET(DZ275:DZ286,EB285,0,COUNT(DZ275:DZ286)-EB285),0)</f>
        <v>#REF!</v>
      </c>
      <c r="EB286" s="715" t="e">
        <f t="shared" ca="1" si="4660"/>
        <v>#REF!</v>
      </c>
      <c r="EC286" s="716" t="str">
        <f ca="1">IFERROR(VLOOKUP(INDEX(DY275:DY286,EB286),ELM,2,FALSE),"----")</f>
        <v>----</v>
      </c>
      <c r="ED286" s="714" t="e">
        <f t="shared" ca="1" si="4661"/>
        <v>#N/A</v>
      </c>
      <c r="EE286" s="715" t="e">
        <f ca="1">IF(LEFT($J275,7)="Clad Wo",IF(AND(INDEX(SPPWS,ED286,4)&gt;=$AB281,INDEX(SPPWS,ED286,5)&gt;=$S275,INDEX(SPPWS,ED286,6)&gt;=$R275),1,0),IF(AND(INDEX(SPM,ED286,4)&gt;=$AB281,INDEX(SPM,ED286,5)&gt;=$S275,INDEX(SPM,ED286,6)&gt;=$R275),1,0))</f>
        <v>#N/A</v>
      </c>
      <c r="EF286" s="715" t="e">
        <f t="shared" ref="EF286" ca="1" si="4817">MATCH(1,OFFSET(EE275:EE286,EG285,0,COUNT(EE275:EE286)-EG285),0)</f>
        <v>#REF!</v>
      </c>
      <c r="EG286" s="715" t="e">
        <f t="shared" ca="1" si="4663"/>
        <v>#REF!</v>
      </c>
      <c r="EH286" s="716" t="str">
        <f ca="1">IF(LEFT($J275,7)="Clad Wo",IFERROR(VLOOKUP(INDEX(ED275:ED286,EG286),SPPWS,2,FALSE),"----"),IFERROR(VLOOKUP(INDEX(ED275:ED286,EG286),SPM,2,FALSE),"----"))</f>
        <v>----</v>
      </c>
    </row>
    <row r="287" spans="1:138" ht="15" customHeight="1" thickTop="1" x14ac:dyDescent="0.25">
      <c r="A287" s="1085"/>
      <c r="B287" s="931" t="s">
        <v>92</v>
      </c>
      <c r="C287" s="932"/>
      <c r="D287" s="933"/>
      <c r="E287" s="992"/>
      <c r="F287" s="993"/>
      <c r="G287" s="994"/>
      <c r="H287" s="1061"/>
      <c r="I287" s="989"/>
      <c r="J287" s="906"/>
      <c r="K287" s="907"/>
      <c r="L287" s="1001">
        <f>$W$3</f>
        <v>4</v>
      </c>
      <c r="M287" s="923" t="str">
        <f t="shared" ref="M287" si="4818">IFERROR(IF($AE$13="",IF($AG$19="Wind Loading",MIN($V$31,IF(E$11="ASCE 7-05",$U$26,$V$7)*$V$9*(IF($E$12&lt;60,0.0771*LN(MAX(MIN(500,O287),10)) -1.2737,IF($E$11="ASCE 7-22",0.0524*LN(MAX(MIN(500,O287),50))-1.0278,0.0614*LN(MAX(MIN(500,O287),20)) -1.0829))-$V$8)),$V$7*IF(E$12&lt;60,$V$13*($V$15*0.0771*LN(MAX(MIN(500,O287),10))-1.2737-$V$16),$V$13*$V$15*((0.0524*LN(MAX(MIN(500,O287),20))-1.0278)-$V$16))),-ABS($AE$13)),"")</f>
        <v/>
      </c>
      <c r="N287" s="1042" t="str">
        <f t="shared" ref="N287" si="4819">IFERROR(IF($AE$15="",IF($AG$19="Wind Loading",MAX($U$31,IF(E$11="ASCE 7-05",$U$26,$V$7)*$V$9*((IF($E$12&lt;60,-0.077*LN(MAX(MIN(500,O287),10))+1.1737,IF($E$11="ASCE 7-22",-0.077*LN(MAX(MIN(500,O287),20))+1.0798,-0.093*LN(MAX(MIN(500,O287),20))+1.1776)))+$V$8)),$V$7*IF(E$12&lt;60,$V$13*($V$15*(-0.077*LN(MAX(MIN(500,O287),10))+1.1737)-$V$17),$V$13*$V$15*((-0.077*LN(MAX(MIN(500,O287),20))+1.0798)-$V$17))),ABS($AE$15)),"")</f>
        <v/>
      </c>
      <c r="O287" s="1017" t="str">
        <f>IF(BX294=0,"",IF(AG$14="Trapezoidal",BY294,BX294))</f>
        <v/>
      </c>
      <c r="P287" s="986"/>
      <c r="Q287" s="1014"/>
      <c r="R287" s="1011">
        <f>P287*Q287/8</f>
        <v>0</v>
      </c>
      <c r="S287" s="1004">
        <f t="shared" ref="S287" si="4820">IF(5*(P287*Q287^3/(384*0.125))=0,0,5*(P287*Q287^3/(384*0.125)))</f>
        <v>0</v>
      </c>
      <c r="T287" s="1005"/>
      <c r="U287" s="877" t="e">
        <f ca="1">VLOOKUP(J291,INDIRECT(VLOOKUP(J287,FrameStrength,2,FALSE)),3,FALSE)</f>
        <v>#N/A</v>
      </c>
      <c r="V287" s="880">
        <f t="shared" ref="V287" si="4821">(H287+I287)/2</f>
        <v>0</v>
      </c>
      <c r="W287" s="883" t="e">
        <f t="shared" ref="W287" si="4822">MAX(-M287,N287)*O287</f>
        <v>#VALUE!</v>
      </c>
      <c r="X287" s="883">
        <f t="shared" ref="X287" si="4823">IF(E287&gt;162,(E287/240+0.25),IF(AND(E287&lt;162,E287/175&lt;0.75),E287/175,0.75))</f>
        <v>0</v>
      </c>
      <c r="Y287" s="886">
        <f>IFERROR(IF(AG$14="Trapezoidal",BY295,BX295)+IF($E$17="4",(400*E287^3)/(48*X287),0),0)</f>
        <v>0</v>
      </c>
      <c r="Z287" s="886" t="e">
        <f t="shared" ref="Z287" si="4824">+($V287*MAX(-$M287,$N287)*$E287^2)/(144*8)+IF($E$17=4,(400*$E287)/4,0)</f>
        <v>#VALUE!</v>
      </c>
      <c r="AA287" s="886" t="e">
        <f ca="1">VLOOKUP(J291,INDIRECT(VLOOKUP(J287,FrameStrength,2,FALSE)),2,FALSE)</f>
        <v>#N/A</v>
      </c>
      <c r="AB287" s="1083" t="str">
        <f t="shared" ref="AB287" ca="1" si="4825">IFERROR(Z287-AA287,"")</f>
        <v/>
      </c>
      <c r="AC287" s="1077" t="str">
        <f t="shared" ref="AC287" ca="1" si="4826">IFERROR(Y287-U287,"")</f>
        <v/>
      </c>
      <c r="AD287" s="1100" t="str">
        <f>IFERROR(IF(LEFT(J291,2)="As",VLOOKUP(J291,EIMM,4,FALSE),VLOOKUP(J287,EIMM,4,FALSE)),IF(AND(ISNUMBER(SEARCH("Impervia",J287)),ISNUMBER(SEARCH("door",J291))),'New Lookup Cells'!AF$10,IF(ISNUMBER(SEARCH("Impervia",J287)),'New Lookup Cells'!AF$7,IF(AND(ISNUMBER(SEARCH("250",J287)),ISNUMBER(SEARCH("door",J291))),'New Lookup Cells'!AF$14,IF(ISNUMBER(SEARCH("250",J287)),'New Lookup Cells'!AF$13,"")))))</f>
        <v/>
      </c>
      <c r="AE287" s="1101"/>
      <c r="AF287" s="1050"/>
      <c r="AG287" s="1051"/>
      <c r="AH287" s="1051"/>
      <c r="AI287" s="1088"/>
      <c r="AJ287" s="1089"/>
      <c r="AK287" s="154" t="str">
        <f t="shared" ca="1" si="3667"/>
        <v/>
      </c>
      <c r="AL287" s="1038" t="str">
        <f t="shared" ref="AL287" si="4827">IFERROR(ROUND(SQRT(P287^2+(W287/2+IF($E$17=4,200,0))^2),0),"")</f>
        <v/>
      </c>
      <c r="AM287" s="342" t="s">
        <v>669</v>
      </c>
      <c r="AN287" t="str">
        <f t="shared" ca="1" si="3717"/>
        <v/>
      </c>
      <c r="AP287" s="122" t="str">
        <f t="shared" ref="AP287" si="4828">_xlfn.CONCAT(AR287,AS292)</f>
        <v/>
      </c>
      <c r="AQ287" s="683" t="str">
        <f t="shared" si="3881"/>
        <v/>
      </c>
      <c r="AR287" s="96" t="str">
        <f t="shared" si="3642"/>
        <v/>
      </c>
      <c r="AS287" s="96" t="str">
        <f>IF(COUNTIF(imp_1,AF287)=1,"imp_1",IF(COUNTIF(imp_2,AF287)=1,"imp_2",IF(COUNTIF(imp_3,AF287)=1,"imp_3",IF(COUNTIF(impdoor,AF287)=1,"impdoor",""))))</f>
        <v/>
      </c>
      <c r="AT287" s="684" t="str">
        <f>AL287</f>
        <v/>
      </c>
      <c r="AU287" s="685" t="e">
        <f ca="1">MATCH(AL287,INDIRECT(AP287),-1)</f>
        <v>#REF!</v>
      </c>
      <c r="AV287" s="686" t="str">
        <f ca="1">IFERROR(VLOOKUP(AU287,INDIRECT(AQ287),2,FALSE),"----")</f>
        <v>----</v>
      </c>
      <c r="AW287" s="685" t="e">
        <f ca="1">MATCH(AL287,INDIRECT(AP288),-1)</f>
        <v>#REF!</v>
      </c>
      <c r="AX287" s="686" t="str">
        <f ca="1">IFERROR(VLOOKUP(AW287,INDIRECT(AQ288),2,FALSE),"----")</f>
        <v>----</v>
      </c>
      <c r="AY287" s="685" t="e">
        <f ca="1">MATCH(AL287,INDIRECT(AP289),-1)</f>
        <v>#REF!</v>
      </c>
      <c r="AZ287" s="686" t="str">
        <f ca="1">IFERROR(VLOOKUP(AY287,INDIRECT(AQ289),2,FALSE),"----")</f>
        <v>----</v>
      </c>
      <c r="BA287" s="685" t="e">
        <f ca="1">MATCH(AL287,INDIRECT(AP290),-1)</f>
        <v>#REF!</v>
      </c>
      <c r="BB287" s="686" t="str">
        <f ca="1">IFERROR(VLOOKUP(BA287,INDIRECT(AQ290),2,FALSE),"----")</f>
        <v>----</v>
      </c>
      <c r="BC287" s="685" t="e">
        <f ca="1">MATCH(AL287,INDIRECT(AP291),-1)</f>
        <v>#REF!</v>
      </c>
      <c r="BD287" s="686" t="str">
        <f ca="1">IFERROR(VLOOKUP(BC287,INDIRECT(AQ291),2,FALSE),"----")</f>
        <v>----</v>
      </c>
      <c r="BE287" s="685" t="e">
        <f ca="1">MATCH(AL287,INDIRECT(AP292),-1)</f>
        <v>#REF!</v>
      </c>
      <c r="BF287" s="686" t="str">
        <f ca="1">IFERROR(VLOOKUP(BE287,INDIRECT(AQ292),2,FALSE),"----")</f>
        <v>----</v>
      </c>
      <c r="BG287" s="685" t="e">
        <f ca="1">MATCH(AL293,INDIRECT(AP293),-1)</f>
        <v>#REF!</v>
      </c>
      <c r="BH287" s="686" t="str">
        <f ca="1">IFERROR(VLOOKUP(BG287,INDIRECT(AQ293),2,FALSE),"----")</f>
        <v>----</v>
      </c>
      <c r="BI287" s="685" t="e">
        <f ca="1">MATCH(AL293,INDIRECT(AP294),-1)</f>
        <v>#REF!</v>
      </c>
      <c r="BJ287" s="686" t="str">
        <f ca="1">IFERROR(VLOOKUP(BI287,INDIRECT(AQ294),2,FALSE),"----")</f>
        <v>----</v>
      </c>
      <c r="BK287" s="685" t="e">
        <f ca="1">MATCH(AL293,INDIRECT(AP295),-1)</f>
        <v>#REF!</v>
      </c>
      <c r="BL287" s="686" t="str">
        <f ca="1">IFERROR(VLOOKUP(BK287,INDIRECT(AQ295),2,FALSE),"----")</f>
        <v>----</v>
      </c>
      <c r="BM287" s="685" t="e">
        <f ca="1">MATCH(AL293,INDIRECT(AP296),-1)</f>
        <v>#REF!</v>
      </c>
      <c r="BN287" s="686" t="str">
        <f ca="1">IFERROR(VLOOKUP(BM287,INDIRECT(AQ296),2,FALSE),"----")</f>
        <v>----</v>
      </c>
      <c r="BO287" s="685" t="e">
        <f ca="1">MATCH(AL293,INDIRECT(AP297),-1)</f>
        <v>#REF!</v>
      </c>
      <c r="BP287" s="686" t="str">
        <f ca="1">IFERROR(VLOOKUP(BO287,INDIRECT(AQ297),2,FALSE),"----")</f>
        <v>----</v>
      </c>
      <c r="BQ287" s="685" t="e">
        <f ca="1">MATCH(AL293,INDIRECT(AP298),-1)</f>
        <v>#REF!</v>
      </c>
      <c r="BR287" s="686" t="str">
        <f ca="1">IFERROR(VLOOKUP(BQ287,INDIRECT(AQ298),2,FALSE),"----")</f>
        <v>----</v>
      </c>
      <c r="BS287" s="687">
        <f>IF(AI287="",1,IF(COUNTIF(AV287:AV298,AI287)=0,2,1))</f>
        <v>1</v>
      </c>
      <c r="BT287" s="688">
        <f>IF(AP287="1",1,IF(AF287="",1,IF(AV287=".",2,1)))</f>
        <v>1</v>
      </c>
      <c r="BU287" s="706"/>
      <c r="BV287" s="155">
        <f ca="1">IF(COUNTIF(CE287:CE298,AF287)=0,IF(AF287&lt;&gt;"",0,1),1)</f>
        <v>1</v>
      </c>
      <c r="BW287" s="157">
        <f ca="1">IFERROR(MATCH(AF287,CE287:CE298,0),1)</f>
        <v>1</v>
      </c>
      <c r="BX287" s="769" t="str">
        <f>IFERROR(IF(LEFT(J291,2)="As",VLOOKUP(J291,EIMM,2,FALSE),IF(AND(ISNUMBER(SEARCH("Impervia",J287)),ISNUMBER(SEARCH("door",J291))),VLOOKUP("Impervia Door",EIMM,2,FALSE),IF(AND(ISNUMBER(SEARCH("250",J287)),ISNUMBER(SEARCH("door",J291))),VLOOKUP("250 Series Door",EIMM,2,FALSE),VLOOKUP(J287,EIMM,2,FALSE)))),"")</f>
        <v/>
      </c>
      <c r="BY287" s="769" t="str">
        <f ca="1">IFERROR(VLOOKUP(BX287,OFFSET(EIMM,0,1),2,FALSE),"")</f>
        <v/>
      </c>
      <c r="BZ287" s="1110" t="e">
        <f ca="1">IF((COUNTIF(INDIRECT(SUBSTITUTE(J287," ","_")),J291))=0,IF(J291="",1,0),1)</f>
        <v>#REF!</v>
      </c>
      <c r="CA287" s="691" t="e">
        <f ca="1">MATCH(AC287,INDIRECT(BX287),-1)</f>
        <v>#REF!</v>
      </c>
      <c r="CB287" s="4" t="e" cm="1">
        <f t="array" aca="1" ref="CB287" ca="1">IF(AND(INDEX(INDIRECT(BY287),CA287,4)&gt;=$AB287,INDEX(INDIRECT(BY287),CA287,5)&gt;=$S287,INDEX(INDIRECT(BY287),CA287,6)&gt;=$R287),1,0)</f>
        <v>#REF!</v>
      </c>
      <c r="CC287" s="4" t="e">
        <f t="shared" ref="CC287" ca="1" si="4829">MATCH(1,OFFSET(CB287:CB298,$W$2,0,COUNT(CB287:CB298)-$W$2),0)</f>
        <v>#REF!</v>
      </c>
      <c r="CD287" s="4" t="e">
        <f t="shared" ref="CD287" ca="1" si="4830">$W$2+CC287</f>
        <v>#REF!</v>
      </c>
      <c r="CE287" s="692" t="str" cm="1">
        <f t="array" aca="1" ref="CE287" ca="1">IFERROR(VLOOKUP(INDEX(CA287:CA298,CD287),INDIRECT(BY287),2,FALSE),"----")</f>
        <v>----</v>
      </c>
      <c r="CF287" s="691" t="e">
        <f ca="1">MATCH($AC287,SSEI,-1)</f>
        <v>#N/A</v>
      </c>
      <c r="CG287" s="4" t="e">
        <f ca="1">IF(AND(INDEX(SSM,CF287,4)&gt;=$AB287,INDEX(SSM,CF287,5)&gt;=$S287,INDEX(SSM,CF287,6)&gt;=$R287),1,0)</f>
        <v>#N/A</v>
      </c>
      <c r="CH287" s="4" t="e">
        <f t="shared" ref="CH287" ca="1" si="4831">MATCH(1,OFFSET(CG287:CG298,$W$2,0,COUNT(CG287:CG298)-$W$2),0)</f>
        <v>#REF!</v>
      </c>
      <c r="CI287" s="4" t="e">
        <f t="shared" ref="CI287" ca="1" si="4832">$W$2+CH287</f>
        <v>#REF!</v>
      </c>
      <c r="CJ287" s="692" t="str">
        <f ca="1">IFERROR(IF(AD288="Nested Steel Stud (wood infill)",VLOOKUP(INDEX(CF287:CF298,CI287),SSW,2,FALSE),VLOOKUP(INDEX(CF287:CF298,CI287),SSM,2,FALSE)),"----")</f>
        <v>----</v>
      </c>
      <c r="CK287" s="691" t="e">
        <f ca="1">MATCH($AC287,WSEI,-1)</f>
        <v>#N/A</v>
      </c>
      <c r="CL287" s="4" t="e">
        <f ca="1">IF(AND(INDEX(WSM,CK287,4)&gt;=$AB287,INDEX(WSM,CK287,5)&gt;=$S287,INDEX(WSM,CK287,6)&gt;=$R287),1,0)</f>
        <v>#N/A</v>
      </c>
      <c r="CM287" s="4" t="e">
        <f t="shared" ref="CM287" ca="1" si="4833">MATCH(1,OFFSET(CL287:CL298,$W$2,0,COUNT(CL287:CL298)-$W$2),0)</f>
        <v>#REF!</v>
      </c>
      <c r="CN287" s="4" t="e">
        <f t="shared" ref="CN287" ca="1" si="4834">$W$2+CM287</f>
        <v>#REF!</v>
      </c>
      <c r="CO287" s="692" t="str">
        <f ca="1">IFERROR(VLOOKUP(INDEX(CK287:CK298,CN287),WSM,2,FALSE),"----")</f>
        <v>----</v>
      </c>
      <c r="CP287" s="691" t="e">
        <f ca="1">MATCH($AC287,STEI,-1)</f>
        <v>#N/A</v>
      </c>
      <c r="CQ287" s="4" t="e">
        <f ca="1">IF(AND(INDEX(STM,CP287,4)&gt;=$AB287,INDEX(STM,CP287,5)&gt;=$S287,INDEX(STM,CP287,6)&gt;=$R287),1,0)</f>
        <v>#N/A</v>
      </c>
      <c r="CR287" s="4" t="e">
        <f t="shared" ref="CR287" ca="1" si="4835">MATCH(1,OFFSET(CQ287:CQ298,$W$2,0,COUNT(CQ287:CQ298)-$W$2),0)</f>
        <v>#REF!</v>
      </c>
      <c r="CS287" s="4" t="e">
        <f t="shared" ref="CS287" ca="1" si="4836">$W$2+CR287</f>
        <v>#REF!</v>
      </c>
      <c r="CT287" s="692" t="str">
        <f ca="1">IFERROR(VLOOKUP(INDEX(CP287:CP298,CS287),STM,2,FALSE),"----")</f>
        <v>----</v>
      </c>
      <c r="CU287" s="691" t="e">
        <f ca="1">MATCH($AC287,ELEI,-1)</f>
        <v>#N/A</v>
      </c>
      <c r="CV287" s="4" t="e">
        <f ca="1">IF(AND(INDEX(ELM,CU287,4)&gt;=$AB287,INDEX(ELM,CU287,5)&gt;=$S287,INDEX(ELM,CU287,6)&gt;=$R287),1,0)</f>
        <v>#N/A</v>
      </c>
      <c r="CW287" s="4" t="e">
        <f t="shared" ref="CW287" ca="1" si="4837">MATCH(1,OFFSET(CV287:CV298,$W$2,0,COUNT(CV287:CV298)-$W$2),0)</f>
        <v>#REF!</v>
      </c>
      <c r="CX287" s="4" t="e">
        <f t="shared" ref="CX287" ca="1" si="4838">$W$2+CW287</f>
        <v>#REF!</v>
      </c>
      <c r="CY287" s="692" t="str">
        <f ca="1">IFERROR(VLOOKUP(INDEX(CU287:CU298,CX287),ELM,2,FALSE),"----")</f>
        <v>----</v>
      </c>
      <c r="CZ287" s="691" t="e">
        <f ca="1">IF(LEFT($J287,7)="Clad Wo",MATCH($AC287,SPEIW,-1),MATCH($AC287,SPEI,-1))</f>
        <v>#N/A</v>
      </c>
      <c r="DA287" s="4" t="e">
        <f ca="1">IF(LEFT($J287,7)="Clad Wo",IF(AND(INDEX(SPPWS,CZ287,4)&gt;=$AB287,INDEX(SPPWS,CZ287,5)&gt;=$S287,INDEX(SPPWS,CZ287,6)&gt;=$R287),1,0),IF(AND(INDEX(SPM,CZ287,4)&gt;=$AB287,INDEX(SPM,CZ287,5)&gt;=$S287,INDEX(SPM,CZ287,6)&gt;=$R287),1,0))</f>
        <v>#N/A</v>
      </c>
      <c r="DB287" s="4" t="e">
        <f t="shared" ref="DB287" ca="1" si="4839">MATCH(1,OFFSET(DA287:DA298,$W$2,0,COUNT(DA287:DA298)-$W$2),0)</f>
        <v>#REF!</v>
      </c>
      <c r="DC287" s="4" t="e">
        <f t="shared" ref="DC287" ca="1" si="4840">$W$2+DB287</f>
        <v>#REF!</v>
      </c>
      <c r="DD287" s="693" t="str">
        <f ca="1">IF(LEFT($J287,7)="Clad Wo",IFERROR(VLOOKUP(INDEX(CZ287:CZ298,DC287),SPPWS,2,FALSE),"----"),IFERROR(VLOOKUP(INDEX(CZ287:CZ298,DC287),SPM,2,FALSE),"----"))</f>
        <v>----</v>
      </c>
      <c r="DE287" s="691" t="e">
        <f ca="1">MATCH(AC293,INDIRECT(BX287),-1)</f>
        <v>#REF!</v>
      </c>
      <c r="DF287" s="4" t="e" cm="1">
        <f t="array" aca="1" ref="DF287" ca="1">IF(AND(INDEX(INDIRECT(BY287),DE287,4)&gt;=$AB293,INDEX(INDIRECT(BY287),DE287,5)&gt;=$S287,INDEX(INDIRECT(BY287),DE287,6)&gt;=$R287),1,0)</f>
        <v>#REF!</v>
      </c>
      <c r="DG287" s="4" t="e">
        <f t="shared" ref="DG287" ca="1" si="4841">MATCH(1,OFFSET(DF287:DF298,$W$2,0,COUNT(DF287:DF298)-$W$2),0)</f>
        <v>#REF!</v>
      </c>
      <c r="DH287" s="4" t="e">
        <f t="shared" ref="DH287" ca="1" si="4842">$W$2+DG287</f>
        <v>#REF!</v>
      </c>
      <c r="DI287" s="692" t="str" cm="1">
        <f t="array" aca="1" ref="DI287" ca="1">IFERROR(VLOOKUP(INDEX(DE287:DE298,DH287),INDIRECT(BY287),2,FALSE),"----")</f>
        <v>----</v>
      </c>
      <c r="DJ287" s="691" t="e">
        <f ca="1">MATCH($AC293,SSEI,-1)</f>
        <v>#N/A</v>
      </c>
      <c r="DK287" s="4" t="e">
        <f ca="1">IF(AND(INDEX(SSM,DJ287,4)&gt;=$AB293,INDEX(SSM,DJ287,5)&gt;=$S287,INDEX(SSM,DJ287,6)&gt;=$R287),1,0)</f>
        <v>#N/A</v>
      </c>
      <c r="DL287" s="4" t="e">
        <f t="shared" ref="DL287" ca="1" si="4843">MATCH(1,OFFSET(DK287:DK298,$W$2,0,COUNT(DK287:DK298)-$W$2),0)</f>
        <v>#REF!</v>
      </c>
      <c r="DM287" s="4" t="e">
        <f t="shared" ref="DM287" ca="1" si="4844">$W$2+DL287</f>
        <v>#REF!</v>
      </c>
      <c r="DN287" s="692" t="str">
        <f ca="1">IFERROR(IF(AD294="Nested Steel Stud (wood infill)",VLOOKUP(INDEX(DJ287:DJ298,DM287),SSW,2,FALSE),VLOOKUP(INDEX(DJ287:DJ298,DM287),SSM,2,FALSE)),"----")</f>
        <v>----</v>
      </c>
      <c r="DO287" s="691" t="e">
        <f ca="1">MATCH($AC293,WSEI,-1)</f>
        <v>#N/A</v>
      </c>
      <c r="DP287" s="4" t="e">
        <f ca="1">IF(AND(INDEX(WSM,DO287,4)&gt;=$AB293,INDEX(WSM,DO287,5)&gt;=$S287,INDEX(WSM,DO287,6)&gt;=$R287),1,0)</f>
        <v>#N/A</v>
      </c>
      <c r="DQ287" s="4" t="e">
        <f t="shared" ref="DQ287" ca="1" si="4845">MATCH(1,OFFSET(DP287:DP298,$W$2,0,COUNT(DP287:DP298)-$W$2),0)</f>
        <v>#REF!</v>
      </c>
      <c r="DR287" s="4" t="e">
        <f t="shared" ref="DR287" ca="1" si="4846">$W$2+DQ287</f>
        <v>#REF!</v>
      </c>
      <c r="DS287" s="692" t="str">
        <f ca="1">IFERROR(VLOOKUP(INDEX(DO287:DO298,DR287),WSM,2,FALSE),"----")</f>
        <v>----</v>
      </c>
      <c r="DT287" s="691" t="e">
        <f ca="1">MATCH($AC293,STEI,-1)</f>
        <v>#N/A</v>
      </c>
      <c r="DU287" s="4" t="e">
        <f ca="1">IF(AND(INDEX(STM,DT287,4)&gt;=$AB293,INDEX(STM,DT287,5)&gt;=$S287,INDEX(STM,DT287,6)&gt;=$R287),1,0)</f>
        <v>#N/A</v>
      </c>
      <c r="DV287" s="4" t="e">
        <f t="shared" ref="DV287" ca="1" si="4847">MATCH(1,OFFSET(DU287:DU298,$W$2,0,COUNT(DU287:DU298)-$W$2),0)</f>
        <v>#REF!</v>
      </c>
      <c r="DW287" s="4" t="e">
        <f t="shared" ref="DW287" ca="1" si="4848">$W$2+DV287</f>
        <v>#REF!</v>
      </c>
      <c r="DX287" s="692" t="str">
        <f ca="1">IFERROR(VLOOKUP(INDEX(DT287:DT298,DW287),STM,2,FALSE),"----")</f>
        <v>----</v>
      </c>
      <c r="DY287" s="691" t="e">
        <f ca="1">MATCH($AC293,ELEI,-1)</f>
        <v>#N/A</v>
      </c>
      <c r="DZ287" s="4" t="e">
        <f ca="1">IF(AND(INDEX(ELM,DY287,4)&gt;=$AB293,INDEX(ELM,DY287,5)&gt;=$S287,INDEX(ELM,DY287,6)&gt;=$R287),1,0)</f>
        <v>#N/A</v>
      </c>
      <c r="EA287" s="4" t="e">
        <f t="shared" ref="EA287" ca="1" si="4849">MATCH(1,OFFSET(DZ287:DZ298,$W$2,0,COUNT(DZ287:DZ298)-$W$2),0)</f>
        <v>#REF!</v>
      </c>
      <c r="EB287" s="4" t="e">
        <f t="shared" ref="EB287" ca="1" si="4850">EA287+$W$2</f>
        <v>#REF!</v>
      </c>
      <c r="EC287" s="692" t="str">
        <f ca="1">IFERROR(VLOOKUP(INDEX(DY287:DY298,EB287),ELM,2,FALSE),"----")</f>
        <v>----</v>
      </c>
      <c r="ED287" s="691" t="e">
        <f ca="1">IF(LEFT($J287,7)="Clad Wo",MATCH($AC293,SPEIW,-1),MATCH($AC293,SPEI,-1))</f>
        <v>#N/A</v>
      </c>
      <c r="EE287" s="4" t="e">
        <f ca="1">IF(LEFT($J287,7)="Clad Wo",IF(AND(INDEX(SPPWS,ED287,4)&gt;=$AB293,INDEX(SPPWS,ED287,5)&gt;=$S287,INDEX(SPPWS,ED287,6)&gt;=$R287),1,0),IF(AND(INDEX(SPM,ED287,4)&gt;=$AB293,INDEX(SPM,ED287,5)&gt;=$S287,INDEX(SPM,ED287,6)&gt;=$R287),1,0))</f>
        <v>#N/A</v>
      </c>
      <c r="EF287" s="4" t="e">
        <f t="shared" ref="EF287" ca="1" si="4851">MATCH(1,OFFSET(EE287:EE298,$W$2,0,COUNT(EE287:EE298)-$W$2),0)</f>
        <v>#REF!</v>
      </c>
      <c r="EG287" s="4" t="e">
        <f t="shared" ref="EG287" ca="1" si="4852">$W$2+EF287</f>
        <v>#REF!</v>
      </c>
      <c r="EH287" s="692" t="str">
        <f ca="1">IF(LEFT($J287,7)="Clad Wo",IFERROR(VLOOKUP(INDEX(ED287:ED298,EG287),SPPWS,2,FALSE),"----"),IFERROR(VLOOKUP(INDEX(ED287:ED298,EG287),SPM,2,FALSE),"----"))</f>
        <v>----</v>
      </c>
    </row>
    <row r="288" spans="1:138" ht="15" customHeight="1" x14ac:dyDescent="0.25">
      <c r="A288" s="1085"/>
      <c r="B288" s="925"/>
      <c r="C288" s="926"/>
      <c r="D288" s="927"/>
      <c r="E288" s="995"/>
      <c r="F288" s="996"/>
      <c r="G288" s="997"/>
      <c r="H288" s="1062"/>
      <c r="I288" s="990"/>
      <c r="J288" s="908"/>
      <c r="K288" s="909"/>
      <c r="L288" s="1002"/>
      <c r="M288" s="923"/>
      <c r="N288" s="1042"/>
      <c r="O288" s="1018"/>
      <c r="P288" s="987"/>
      <c r="Q288" s="1015"/>
      <c r="R288" s="1012"/>
      <c r="S288" s="1006"/>
      <c r="T288" s="1007"/>
      <c r="U288" s="878"/>
      <c r="V288" s="881"/>
      <c r="W288" s="884"/>
      <c r="X288" s="884"/>
      <c r="Y288" s="887"/>
      <c r="Z288" s="887"/>
      <c r="AA288" s="887"/>
      <c r="AB288" s="1081"/>
      <c r="AC288" s="1078"/>
      <c r="AD288" s="1102" t="s">
        <v>38</v>
      </c>
      <c r="AE288" s="1103"/>
      <c r="AF288" s="1052"/>
      <c r="AG288" s="1053"/>
      <c r="AH288" s="1053"/>
      <c r="AI288" s="1066"/>
      <c r="AJ288" s="1067"/>
      <c r="AK288" s="156" t="str">
        <f t="shared" ca="1" si="3667"/>
        <v/>
      </c>
      <c r="AL288" s="1039"/>
      <c r="AM288" s="343" t="str">
        <f ca="1">IFERROR(Q287/12*ROUND(VLOOKUP(AF288,OFFSET(SSM,0,1),6,FALSE),2),"")</f>
        <v/>
      </c>
      <c r="AN288" t="str">
        <f t="shared" ca="1" si="3717"/>
        <v/>
      </c>
      <c r="AP288" s="122" t="str">
        <f t="shared" ref="AP288" si="4853">_xlfn.CONCAT(AR288,AS292)</f>
        <v/>
      </c>
      <c r="AQ288" s="683" t="str">
        <f t="shared" si="3881"/>
        <v/>
      </c>
      <c r="AR288" s="96" t="str">
        <f t="shared" si="3642"/>
        <v/>
      </c>
      <c r="AS288" s="96" t="str">
        <f>IF(COUNTIF(Vista_1,AF287)=1,"Vista_1",IF(COUNTIF(Vista_2,AF287)=1,"Vista_2",""))</f>
        <v/>
      </c>
      <c r="AT288" s="684" t="str">
        <f>AL287</f>
        <v/>
      </c>
      <c r="AU288" s="694" t="e">
        <f t="shared" ref="AU288" ca="1" si="4854">AU287-1</f>
        <v>#REF!</v>
      </c>
      <c r="AV288" s="686" t="str">
        <f ca="1">IFERROR(VLOOKUP(AU288,INDIRECT(AQ287),2,FALSE),"----")</f>
        <v>----</v>
      </c>
      <c r="AW288" s="694" t="e">
        <f t="shared" ref="AW288:AW289" ca="1" si="4855">AW287-1</f>
        <v>#REF!</v>
      </c>
      <c r="AX288" s="686" t="str">
        <f ca="1">IFERROR(VLOOKUP(AW288,INDIRECT(AQ288),2,FALSE),"----")</f>
        <v>----</v>
      </c>
      <c r="AY288" s="694" t="e">
        <f t="shared" ref="AY288:AY289" ca="1" si="4856">AY287-1</f>
        <v>#REF!</v>
      </c>
      <c r="AZ288" s="686" t="str">
        <f ca="1">IFERROR(VLOOKUP(AY288,INDIRECT(AQ289),2,FALSE),"----")</f>
        <v>----</v>
      </c>
      <c r="BA288" s="694" t="e">
        <f t="shared" ref="BA288:BA289" ca="1" si="4857">BA287-1</f>
        <v>#REF!</v>
      </c>
      <c r="BB288" s="686" t="str">
        <f ca="1">IFERROR(VLOOKUP(BA288,INDIRECT(AQ290),2,FALSE),"----")</f>
        <v>----</v>
      </c>
      <c r="BC288" s="694" t="e">
        <f t="shared" ref="BC288:BC289" ca="1" si="4858">BC287-1</f>
        <v>#REF!</v>
      </c>
      <c r="BD288" s="686" t="str">
        <f ca="1">IFERROR(VLOOKUP(BC288,INDIRECT(AQ291),2,FALSE),"----")</f>
        <v>----</v>
      </c>
      <c r="BE288" s="694" t="e">
        <f t="shared" ref="BE288" ca="1" si="4859">BE287-1</f>
        <v>#REF!</v>
      </c>
      <c r="BF288" s="686" t="str">
        <f ca="1">IFERROR(VLOOKUP(BE288,INDIRECT(AQ292),2,FALSE),"----")</f>
        <v>----</v>
      </c>
      <c r="BG288" s="694" t="e">
        <f t="shared" ref="BG288" ca="1" si="4860">BG287-1</f>
        <v>#REF!</v>
      </c>
      <c r="BH288" s="686" t="str">
        <f ca="1">IFERROR(VLOOKUP(BG288,INDIRECT(AQ293),2,FALSE),"----")</f>
        <v>----</v>
      </c>
      <c r="BI288" s="694" t="e">
        <f t="shared" ref="BI288:BI289" ca="1" si="4861">BI287-1</f>
        <v>#REF!</v>
      </c>
      <c r="BJ288" s="686" t="str">
        <f ca="1">IFERROR(VLOOKUP(BI288,INDIRECT(AQ294),2,FALSE),"----")</f>
        <v>----</v>
      </c>
      <c r="BK288" s="694" t="e">
        <f t="shared" ref="BK288:BK289" ca="1" si="4862">BK287-1</f>
        <v>#REF!</v>
      </c>
      <c r="BL288" s="686" t="str">
        <f ca="1">IFERROR(VLOOKUP(BK288,INDIRECT(AQ295),2,FALSE),"----")</f>
        <v>----</v>
      </c>
      <c r="BM288" s="694" t="e">
        <f t="shared" ref="BM288:BM289" ca="1" si="4863">BM287-1</f>
        <v>#REF!</v>
      </c>
      <c r="BN288" s="686" t="str">
        <f ca="1">IFERROR(VLOOKUP(BM288,INDIRECT(AQ296),2,FALSE),"----")</f>
        <v>----</v>
      </c>
      <c r="BO288" s="694" t="e">
        <f t="shared" ref="BO288:BO289" ca="1" si="4864">BO287-1</f>
        <v>#REF!</v>
      </c>
      <c r="BP288" s="686" t="str">
        <f ca="1">IFERROR(VLOOKUP(BO288,INDIRECT(AQ297),2,FALSE),"----")</f>
        <v>----</v>
      </c>
      <c r="BQ288" s="694" t="e">
        <f t="shared" ref="BQ288" ca="1" si="4865">BQ287-1</f>
        <v>#REF!</v>
      </c>
      <c r="BR288" s="686" t="str">
        <f ca="1">IFERROR(VLOOKUP(BQ288,INDIRECT(AQ298),2,FALSE),"----")</f>
        <v>----</v>
      </c>
      <c r="BS288" s="695">
        <f>IF(AI288="",1,IF(COUNTIF(AX287:AX298,AI288)=0,2,1))</f>
        <v>1</v>
      </c>
      <c r="BT288" s="696">
        <f>IF(AF288="",1,IF(AX287=".",2,1))</f>
        <v>1</v>
      </c>
      <c r="BU288" s="706"/>
      <c r="BV288" s="155">
        <f ca="1">IF(COUNTIF(CJ287:CJ298,AF288)=0,IF(AF288&lt;&gt;"",0,1),1)</f>
        <v>1</v>
      </c>
      <c r="BW288" s="157">
        <f ca="1">IFERROR(MATCH(AF288,CJ287:CJ298,0),1)</f>
        <v>1</v>
      </c>
      <c r="BX288" s="769"/>
      <c r="BY288" s="769"/>
      <c r="BZ288" s="1110"/>
      <c r="CA288" s="691" t="e">
        <f t="shared" ref="CA288:CA298" ca="1" si="4866">CA287-1</f>
        <v>#REF!</v>
      </c>
      <c r="CB288" s="4" t="e" cm="1">
        <f t="array" aca="1" ref="CB288" ca="1">IF(AND(INDEX(INDIRECT(BY287),CA288,4)&gt;=$AB287,INDEX(INDIRECT(BY287),CA288,5)&gt;=$S287,INDEX(INDIRECT(BY287),CA288,6)&gt;=$R287),1,0)</f>
        <v>#REF!</v>
      </c>
      <c r="CC288" s="4" t="e">
        <f t="shared" ref="CC288" ca="1" si="4867">MATCH(1,OFFSET(CB287:CB298,CD287,0,COUNT(CB287:CB298)-CD287),0)</f>
        <v>#REF!</v>
      </c>
      <c r="CD288" s="4" t="e">
        <f t="shared" ref="CD288:CD298" ca="1" si="4868">CD287+CC288</f>
        <v>#REF!</v>
      </c>
      <c r="CE288" s="692" t="str" cm="1">
        <f t="array" aca="1" ref="CE288" ca="1">IFERROR(VLOOKUP(INDEX(CA287:CA298,CD288),INDIRECT(BY287),2,FALSE),"----")</f>
        <v>----</v>
      </c>
      <c r="CF288" s="691" t="e">
        <f t="shared" ref="CF288:CF298" ca="1" si="4869">CF287-1</f>
        <v>#N/A</v>
      </c>
      <c r="CG288" s="4" t="e">
        <f ca="1">IF(AND(INDEX(SSM,CF288,4)&gt;=$AB287,INDEX(SSM,CF288,5)&gt;=$S287,INDEX(SSM,CF288,6)&gt;=$R287),1,0)</f>
        <v>#N/A</v>
      </c>
      <c r="CH288" s="4" t="e">
        <f t="shared" ref="CH288" ca="1" si="4870">MATCH(1,OFFSET(CG287:CG298,CI287,0,COUNT(CG287:CG298)-CI287),0)</f>
        <v>#REF!</v>
      </c>
      <c r="CI288" s="4" t="e">
        <f t="shared" ref="CI288:CI298" ca="1" si="4871">CI287+CH288</f>
        <v>#REF!</v>
      </c>
      <c r="CJ288" s="692" t="str">
        <f ca="1">IFERROR(IF(AD288="Nested Steel Stud (wood infill)",VLOOKUP(INDEX(CF287:CF298,CI288),SSW,2,FALSE),VLOOKUP(INDEX(CF287:CF298,CI288),SSM,2,FALSE)),"----")</f>
        <v>----</v>
      </c>
      <c r="CK288" s="691" t="e">
        <f t="shared" ref="CK288:CK298" ca="1" si="4872">CK287-1</f>
        <v>#N/A</v>
      </c>
      <c r="CL288" s="4" t="e">
        <f ca="1">IF(AND(INDEX(WSM,CK288,4)&gt;=$AB287,INDEX(WSM,CK288,5)&gt;=$S287,INDEX(WSM,CK288,6)&gt;=$R287),1,0)</f>
        <v>#N/A</v>
      </c>
      <c r="CM288" s="4" t="e">
        <f t="shared" ref="CM288" ca="1" si="4873">MATCH(1,OFFSET(CL287:CL298,CN287,0,COUNT(CL287:CL298)-CN287),0)</f>
        <v>#REF!</v>
      </c>
      <c r="CN288" s="4" t="e">
        <f t="shared" ref="CN288:CN298" ca="1" si="4874">CM288+CN287</f>
        <v>#REF!</v>
      </c>
      <c r="CO288" s="692" t="str">
        <f ca="1">IFERROR(VLOOKUP(INDEX(CK287:CK298,CN288),WSM,2,FALSE),"----")</f>
        <v>----</v>
      </c>
      <c r="CP288" s="691" t="e">
        <f t="shared" ref="CP288:CP298" ca="1" si="4875">CP287-1</f>
        <v>#N/A</v>
      </c>
      <c r="CQ288" s="4" t="e">
        <f ca="1">IF(AND(INDEX(STM,CP288,4)&gt;=$AB287,INDEX(STM,CP288,5)&gt;=$S287,INDEX(STM,CP288,6)&gt;=$R287),1,0)</f>
        <v>#N/A</v>
      </c>
      <c r="CR288" s="4" t="e">
        <f t="shared" ref="CR288" ca="1" si="4876">MATCH(1,OFFSET(CQ287:CQ298,CS287,0,COUNT(CQ287:CQ298)-CS287),0)</f>
        <v>#REF!</v>
      </c>
      <c r="CS288" s="4" t="e">
        <f t="shared" ref="CS288:CS298" ca="1" si="4877">CR288+CS287</f>
        <v>#REF!</v>
      </c>
      <c r="CT288" s="692" t="str">
        <f ca="1">IFERROR(VLOOKUP(INDEX(CP287:CP298,CS288),STM,2,FALSE),"----")</f>
        <v>----</v>
      </c>
      <c r="CU288" s="691" t="e">
        <f t="shared" ref="CU288:CU298" ca="1" si="4878">CU287-1</f>
        <v>#N/A</v>
      </c>
      <c r="CV288" s="4" t="e">
        <f ca="1">IF(AND(INDEX(ELM,CU288,4)&gt;=$AB287,INDEX(ELM,CU288,5)&gt;=$S287,INDEX(ELM,CU288,6)&gt;=$R287),1,0)</f>
        <v>#N/A</v>
      </c>
      <c r="CW288" s="4" t="e">
        <f t="shared" ref="CW288" ca="1" si="4879">MATCH(1,OFFSET(CV287:CV298,CX287,0,COUNT(CV287:CV298)-CX287),0)</f>
        <v>#REF!</v>
      </c>
      <c r="CX288" s="4" t="e">
        <f t="shared" ref="CX288:CX298" ca="1" si="4880">CW288+CX287</f>
        <v>#REF!</v>
      </c>
      <c r="CY288" s="692" t="str">
        <f ca="1">IFERROR(VLOOKUP(INDEX(CU287:CU298,CX288),ELM,2,FALSE),"----")</f>
        <v>----</v>
      </c>
      <c r="CZ288" s="691" t="e">
        <f t="shared" ref="CZ288:CZ298" ca="1" si="4881">CZ287-1</f>
        <v>#N/A</v>
      </c>
      <c r="DA288" s="4" t="e">
        <f ca="1">IF(LEFT($J287,7)="Clad Wo",IF(AND(INDEX(SPPWS,CZ288,4)&gt;=$AB287,INDEX(SPPWS,CZ288,5)&gt;=$S287,INDEX(SPPWS,CZ288,6)&gt;=$R287),1,0),IF(AND(INDEX(SPM,CZ288,4)&gt;=$AB287,INDEX(SPM,CZ288,5)&gt;=$S287,INDEX(SPM,CZ288,6)&gt;=$R287),1,0))</f>
        <v>#N/A</v>
      </c>
      <c r="DB288" s="4" t="e">
        <f t="shared" ref="DB288" ca="1" si="4882">MATCH(1,OFFSET(DA287:DA298,DC287,0,COUNT(DA287:DA298)-DC287),0)</f>
        <v>#REF!</v>
      </c>
      <c r="DC288" s="4" t="e">
        <f t="shared" ref="DC288:DC298" ca="1" si="4883">DC287+DB288</f>
        <v>#REF!</v>
      </c>
      <c r="DD288" s="693" t="str">
        <f ca="1">IF(LEFT($J287,7)="Clad Wo",IFERROR(VLOOKUP(INDEX(CZ287:CZ298,DC288),SPPWS,2,FALSE),"----"),IFERROR(VLOOKUP(INDEX(CZ287:CZ298,DC288),SPM,2,FALSE),"----"))</f>
        <v>----</v>
      </c>
      <c r="DE288" s="691" t="e">
        <f t="shared" ref="DE288:DE298" ca="1" si="4884">DE287-1</f>
        <v>#REF!</v>
      </c>
      <c r="DF288" s="4" t="e" cm="1">
        <f t="array" aca="1" ref="DF288" ca="1">IF(AND(INDEX(INDIRECT(BY287),DE288,4)&gt;=$AB293,INDEX(INDIRECT(BY287),DE288,5)&gt;=$S287,INDEX(INDIRECT(BY287),DE288,6)&gt;=$R287),1,0)</f>
        <v>#REF!</v>
      </c>
      <c r="DG288" s="4" t="e">
        <f t="shared" ref="DG288" ca="1" si="4885">MATCH(1,OFFSET(DF287:DF298,DH287,0,COUNT(DF287:DF298)-DH287),0)</f>
        <v>#REF!</v>
      </c>
      <c r="DH288" s="4" t="e">
        <f t="shared" ref="DH288:DH298" ca="1" si="4886">DH287+DG288</f>
        <v>#REF!</v>
      </c>
      <c r="DI288" s="692" t="str" cm="1">
        <f t="array" aca="1" ref="DI288" ca="1">IFERROR(VLOOKUP(INDEX(DE287:DE298,DH288),INDIRECT(BY287),2,FALSE),"----")</f>
        <v>----</v>
      </c>
      <c r="DJ288" s="691" t="e">
        <f t="shared" ref="DJ288:DJ298" ca="1" si="4887">DJ287-1</f>
        <v>#N/A</v>
      </c>
      <c r="DK288" s="4" t="e">
        <f ca="1">IF(AND(INDEX(SSM,DJ288,4)&gt;=$AB293,INDEX(SSM,DJ288,5)&gt;=$S287,INDEX(SSM,DJ288,6)&gt;=$R287),1,0)</f>
        <v>#N/A</v>
      </c>
      <c r="DL288" s="4" t="e">
        <f t="shared" ref="DL288" ca="1" si="4888">MATCH(1,OFFSET(DK287:DK298,DM287,0,COUNT(DK287:DK298)-DM287),0)</f>
        <v>#REF!</v>
      </c>
      <c r="DM288" s="4" t="e">
        <f t="shared" ref="DM288:DM298" ca="1" si="4889">DL288+DM287</f>
        <v>#REF!</v>
      </c>
      <c r="DN288" s="692" t="str">
        <f ca="1">IFERROR(IF(AD294="Nested Steel Stud (wood infill)",VLOOKUP(INDEX(DJ287:DJ298,DM288),SSW,2,FALSE),VLOOKUP(INDEX(DJ287:DJ298,DM288),SSM,2,FALSE)),"----")</f>
        <v>----</v>
      </c>
      <c r="DO288" s="691" t="e">
        <f t="shared" ref="DO288:DO298" ca="1" si="4890">DO287-1</f>
        <v>#N/A</v>
      </c>
      <c r="DP288" s="4" t="e">
        <f ca="1">IF(AND(INDEX(WSM,DO288,4)&gt;=$AB293,INDEX(WSM,DO288,5)&gt;=$S287,INDEX(WSM,DO288,6)&gt;=$R287),1,0)</f>
        <v>#N/A</v>
      </c>
      <c r="DQ288" s="4" t="e">
        <f t="shared" ref="DQ288" ca="1" si="4891">MATCH(1,OFFSET(DP287:DP298,DR287,0,COUNT(DP287:DP298)-DR287),0)</f>
        <v>#REF!</v>
      </c>
      <c r="DR288" s="4" t="e">
        <f t="shared" ref="DR288:DR298" ca="1" si="4892">DQ288+DR287</f>
        <v>#REF!</v>
      </c>
      <c r="DS288" s="692" t="str">
        <f ca="1">IFERROR(VLOOKUP(INDEX(DO287:DO298,DR288),WSM,2,FALSE),"----")</f>
        <v>----</v>
      </c>
      <c r="DT288" s="691" t="e">
        <f t="shared" ref="DT288:DT298" ca="1" si="4893">DT287-1</f>
        <v>#N/A</v>
      </c>
      <c r="DU288" s="4" t="e">
        <f ca="1">IF(AND(INDEX(STM,DT288,4)&gt;=$AB293,INDEX(STM,DT288,5)&gt;=$S287,INDEX(STM,DT288,6)&gt;=$R287),1,0)</f>
        <v>#N/A</v>
      </c>
      <c r="DV288" s="4" t="e">
        <f t="shared" ref="DV288" ca="1" si="4894">MATCH(1,OFFSET(DU287:DU298,DW287,0,COUNT(DU287:DU298)-DW287),0)</f>
        <v>#REF!</v>
      </c>
      <c r="DW288" s="4" t="e">
        <f t="shared" ref="DW288:DW298" ca="1" si="4895">DV288+DW287</f>
        <v>#REF!</v>
      </c>
      <c r="DX288" s="692" t="str">
        <f ca="1">IFERROR(VLOOKUP(INDEX(DT287:DT298,DW288),STM,2,FALSE),"----")</f>
        <v>----</v>
      </c>
      <c r="DY288" s="691" t="e">
        <f t="shared" ref="DY288:DY298" ca="1" si="4896">DY287-1</f>
        <v>#N/A</v>
      </c>
      <c r="DZ288" s="4" t="e">
        <f ca="1">IF(AND(INDEX(ELM,DY288,4)&gt;=$AB293,INDEX(ELM,DY288,5)&gt;=$S287,INDEX(ELM,DY288,6)&gt;=$R287),1,0)</f>
        <v>#N/A</v>
      </c>
      <c r="EA288" s="4" t="e">
        <f t="shared" ref="EA288" ca="1" si="4897">MATCH(1,OFFSET(DZ287:DZ298,EB287,0,COUNT(DZ287:DZ298)-EB287),0)</f>
        <v>#REF!</v>
      </c>
      <c r="EB288" s="4" t="e">
        <f t="shared" ref="EB288:EB298" ca="1" si="4898">EA288+EB287</f>
        <v>#REF!</v>
      </c>
      <c r="EC288" s="692" t="str">
        <f ca="1">IFERROR(VLOOKUP(INDEX(DY287:DY298,EB288),ELM,2,FALSE),"----")</f>
        <v>----</v>
      </c>
      <c r="ED288" s="691" t="e">
        <f t="shared" ref="ED288:ED298" ca="1" si="4899">ED287-1</f>
        <v>#N/A</v>
      </c>
      <c r="EE288" s="4" t="e">
        <f ca="1">IF(LEFT($J287,7)="Clad Wo",IF(AND(INDEX(SPPWS,ED288,4)&gt;=$AB293,INDEX(SPPWS,ED288,5)&gt;=$S287,INDEX(SPPWS,ED288,6)&gt;=$R287),1,0),IF(AND(INDEX(SPM,ED288,4)&gt;=$AB293,INDEX(SPM,ED288,5)&gt;=$S287,INDEX(SPM,ED288,6)&gt;=$R287),1,0))</f>
        <v>#N/A</v>
      </c>
      <c r="EF288" s="4" t="e">
        <f t="shared" ref="EF288" ca="1" si="4900">MATCH(1,OFFSET(EE287:EE298,EG287,0,COUNT(EE287:EE298)-EG287),0)</f>
        <v>#REF!</v>
      </c>
      <c r="EG288" s="4" t="e">
        <f t="shared" ref="EG288:EG298" ca="1" si="4901">EG287+EF288</f>
        <v>#REF!</v>
      </c>
      <c r="EH288" s="692" t="str">
        <f ca="1">IF(LEFT($J287,7)="Clad Wo",IFERROR(VLOOKUP(INDEX(ED287:ED298,EG288),SPPWS,2,FALSE),"----"),IFERROR(VLOOKUP(INDEX(ED287:ED298,EG288),SPM,2,FALSE),"----"))</f>
        <v>----</v>
      </c>
    </row>
    <row r="289" spans="1:138" ht="15" customHeight="1" x14ac:dyDescent="0.25">
      <c r="A289" s="1085"/>
      <c r="B289" s="925"/>
      <c r="C289" s="926"/>
      <c r="D289" s="927"/>
      <c r="E289" s="995"/>
      <c r="F289" s="996"/>
      <c r="G289" s="997"/>
      <c r="H289" s="1062"/>
      <c r="I289" s="990"/>
      <c r="J289" s="908"/>
      <c r="K289" s="909"/>
      <c r="L289" s="1002"/>
      <c r="M289" s="923"/>
      <c r="N289" s="1042"/>
      <c r="O289" s="1018"/>
      <c r="P289" s="987"/>
      <c r="Q289" s="1015"/>
      <c r="R289" s="1012"/>
      <c r="S289" s="1006"/>
      <c r="T289" s="1007"/>
      <c r="U289" s="878"/>
      <c r="V289" s="881"/>
      <c r="W289" s="884"/>
      <c r="X289" s="884"/>
      <c r="Y289" s="887"/>
      <c r="Z289" s="887"/>
      <c r="AA289" s="887"/>
      <c r="AB289" s="1081"/>
      <c r="AC289" s="1078"/>
      <c r="AD289" s="1070" t="s">
        <v>333</v>
      </c>
      <c r="AE289" s="1071"/>
      <c r="AF289" s="1052"/>
      <c r="AG289" s="1053"/>
      <c r="AH289" s="1053"/>
      <c r="AI289" s="1066"/>
      <c r="AJ289" s="1067"/>
      <c r="AK289" s="154" t="str">
        <f t="shared" ca="1" si="3667"/>
        <v/>
      </c>
      <c r="AL289" s="1039"/>
      <c r="AM289" s="344" t="str">
        <f ca="1">IFERROR(Q287/12*ROUND(VLOOKUP(AF289,OFFSET(WSM,0,1),6,FALSE),2),"")</f>
        <v/>
      </c>
      <c r="AN289" t="str">
        <f t="shared" ca="1" si="3717"/>
        <v/>
      </c>
      <c r="AP289" s="122" t="str">
        <f t="shared" ref="AP289" si="4902">_xlfn.CONCAT(AR289,AS292)</f>
        <v/>
      </c>
      <c r="AQ289" s="683" t="str">
        <f t="shared" si="3881"/>
        <v/>
      </c>
      <c r="AR289" s="4" t="str">
        <f t="shared" si="3642"/>
        <v/>
      </c>
      <c r="AS289" s="4"/>
      <c r="AT289" s="697" t="str">
        <f>AL287</f>
        <v/>
      </c>
      <c r="AU289" s="694" t="e">
        <f t="shared" ca="1" si="3907"/>
        <v>#REF!</v>
      </c>
      <c r="AV289" s="686" t="str">
        <f ca="1">IFERROR(VLOOKUP(AU289,INDIRECT(AQ287),2,FALSE),"----")</f>
        <v>----</v>
      </c>
      <c r="AW289" s="694" t="e">
        <f t="shared" ca="1" si="4855"/>
        <v>#REF!</v>
      </c>
      <c r="AX289" s="686" t="str">
        <f ca="1">IFERROR(VLOOKUP(AW289,INDIRECT(AQ288),2,FALSE),"----")</f>
        <v>----</v>
      </c>
      <c r="AY289" s="694" t="e">
        <f t="shared" ca="1" si="4856"/>
        <v>#REF!</v>
      </c>
      <c r="AZ289" s="686" t="str">
        <f ca="1">IFERROR(VLOOKUP(AY289,INDIRECT(AQ289),2,FALSE),"----")</f>
        <v>----</v>
      </c>
      <c r="BA289" s="694" t="e">
        <f t="shared" ca="1" si="4857"/>
        <v>#REF!</v>
      </c>
      <c r="BB289" s="686" t="str">
        <f ca="1">IFERROR(VLOOKUP(BA289,INDIRECT(AQ290),2,FALSE),"----")</f>
        <v>----</v>
      </c>
      <c r="BC289" s="694" t="e">
        <f t="shared" ca="1" si="4858"/>
        <v>#REF!</v>
      </c>
      <c r="BD289" s="686" t="str">
        <f ca="1">IFERROR(VLOOKUP(BC289,INDIRECT(AQ291),2,FALSE),"----")</f>
        <v>----</v>
      </c>
      <c r="BE289" s="694" t="e">
        <f t="shared" ca="1" si="3912"/>
        <v>#REF!</v>
      </c>
      <c r="BF289" s="686" t="str">
        <f ca="1">IFERROR(VLOOKUP(BE289,INDIRECT(AQ292),2,FALSE),"----")</f>
        <v>----</v>
      </c>
      <c r="BG289" s="694" t="e">
        <f t="shared" ca="1" si="3913"/>
        <v>#REF!</v>
      </c>
      <c r="BH289" s="686" t="str">
        <f ca="1">IFERROR(VLOOKUP(BG289,INDIRECT(AQ293),2,FALSE),"----")</f>
        <v>----</v>
      </c>
      <c r="BI289" s="694" t="e">
        <f t="shared" ca="1" si="4861"/>
        <v>#REF!</v>
      </c>
      <c r="BJ289" s="686" t="str">
        <f ca="1">IFERROR(VLOOKUP(BI289,INDIRECT(AQ294),2,FALSE),"----")</f>
        <v>----</v>
      </c>
      <c r="BK289" s="694" t="e">
        <f t="shared" ca="1" si="4862"/>
        <v>#REF!</v>
      </c>
      <c r="BL289" s="686" t="str">
        <f ca="1">IFERROR(VLOOKUP(BK289,INDIRECT(AQ295),2,FALSE),"----")</f>
        <v>----</v>
      </c>
      <c r="BM289" s="694" t="e">
        <f t="shared" ca="1" si="4863"/>
        <v>#REF!</v>
      </c>
      <c r="BN289" s="686" t="str">
        <f ca="1">IFERROR(VLOOKUP(BM289,INDIRECT(AQ296),2,FALSE),"----")</f>
        <v>----</v>
      </c>
      <c r="BO289" s="694" t="e">
        <f t="shared" ca="1" si="4864"/>
        <v>#REF!</v>
      </c>
      <c r="BP289" s="686" t="str">
        <f ca="1">IFERROR(VLOOKUP(BO289,INDIRECT(AQ297),2,FALSE),"----")</f>
        <v>----</v>
      </c>
      <c r="BQ289" s="694" t="e">
        <f t="shared" ca="1" si="3918"/>
        <v>#REF!</v>
      </c>
      <c r="BR289" s="686" t="str">
        <f ca="1">IFERROR(VLOOKUP(BQ289,INDIRECT(AQ298),2,FALSE),"----")</f>
        <v>----</v>
      </c>
      <c r="BS289" s="695">
        <f>IF(AI289="",1,IF(COUNTIF(AZ287:AZ298,AI289)=0,2,1))</f>
        <v>1</v>
      </c>
      <c r="BT289" s="696">
        <f>IF(AF289="",1,IF(AZ287=".",2,1))</f>
        <v>1</v>
      </c>
      <c r="BU289" s="706"/>
      <c r="BV289" s="155">
        <f ca="1">IF(COUNTIF(CO287:CO298,AF289)=0,IF(AF289&lt;&gt;"",0,1),1)</f>
        <v>1</v>
      </c>
      <c r="BW289" s="157">
        <f ca="1">IFERROR(MATCH(AF289,CO287:CO298,0),1)</f>
        <v>1</v>
      </c>
      <c r="BX289" s="769"/>
      <c r="BY289" s="769"/>
      <c r="BZ289" s="1110"/>
      <c r="CA289" s="691" t="e">
        <f t="shared" ca="1" si="4866"/>
        <v>#REF!</v>
      </c>
      <c r="CB289" s="4" t="e" cm="1">
        <f t="array" aca="1" ref="CB289" ca="1">IF(AND(INDEX(INDIRECT(BY287),CA289,4)&gt;=$AB287,INDEX(INDIRECT(BY287),CA289,5)&gt;=$S287,INDEX(INDIRECT(BY287),CA289,6)&gt;=$R287),1,0)</f>
        <v>#REF!</v>
      </c>
      <c r="CC289" s="4" t="e">
        <f t="shared" ref="CC289" ca="1" si="4903">MATCH(1,OFFSET(CB287:CB298,CD288,0,COUNT(CB287:CB298)-CD288),0)</f>
        <v>#REF!</v>
      </c>
      <c r="CD289" s="4" t="e">
        <f t="shared" ca="1" si="4868"/>
        <v>#REF!</v>
      </c>
      <c r="CE289" s="692" t="str" cm="1">
        <f t="array" aca="1" ref="CE289" ca="1">IFERROR(VLOOKUP(INDEX(CA287:CA298,CD289),INDIRECT(BY287),2,FALSE),"----")</f>
        <v>----</v>
      </c>
      <c r="CF289" s="691" t="e">
        <f t="shared" ca="1" si="4869"/>
        <v>#N/A</v>
      </c>
      <c r="CG289" s="4" t="e">
        <f ca="1">IF(AND(INDEX(SSM,CF289,4)&gt;=$AB287,INDEX(SSM,CF289,5)&gt;=$S287,INDEX(SSM,CF289,6)&gt;=$R287),1,0)</f>
        <v>#N/A</v>
      </c>
      <c r="CH289" s="4" t="e">
        <f t="shared" ref="CH289" ca="1" si="4904">MATCH(1,OFFSET(CG287:CG298,CI288,0,COUNT(CG287:CG298)-CI288),0)</f>
        <v>#REF!</v>
      </c>
      <c r="CI289" s="4" t="e">
        <f t="shared" ca="1" si="4871"/>
        <v>#REF!</v>
      </c>
      <c r="CJ289" s="692" t="str">
        <f ca="1">IFERROR(IF(AD288="Nested Steel Stud (wood infill)",VLOOKUP(INDEX(CF287:CF298,CI289),SSW,2,FALSE),VLOOKUP(INDEX(CF287:CF298,CI289),SSM,2,FALSE)),"----")</f>
        <v>----</v>
      </c>
      <c r="CK289" s="691" t="e">
        <f t="shared" ca="1" si="4872"/>
        <v>#N/A</v>
      </c>
      <c r="CL289" s="4" t="e">
        <f ca="1">IF(AND(INDEX(WSM,CK289,4)&gt;=$AB287,INDEX(WSM,CK289,5)&gt;=$S287,INDEX(WSM,CK289,6)&gt;=$R287),1,0)</f>
        <v>#N/A</v>
      </c>
      <c r="CM289" s="4" t="e">
        <f t="shared" ref="CM289" ca="1" si="4905">MATCH(1,OFFSET(CL287:CL298,CN288,0,COUNT(CL287:CL298)-CN288),0)</f>
        <v>#REF!</v>
      </c>
      <c r="CN289" s="4" t="e">
        <f t="shared" ca="1" si="4874"/>
        <v>#REF!</v>
      </c>
      <c r="CO289" s="692" t="str">
        <f ca="1">IFERROR(VLOOKUP(INDEX(CK287:CK298,CN289),WSM,2,FALSE),"----")</f>
        <v>----</v>
      </c>
      <c r="CP289" s="691" t="e">
        <f t="shared" ca="1" si="4875"/>
        <v>#N/A</v>
      </c>
      <c r="CQ289" s="4" t="e">
        <f ca="1">IF(AND(INDEX(STM,CP289,4)&gt;=$AB287,INDEX(STM,CP289,5)&gt;=$S287,INDEX(STM,CP289,6)&gt;=$R287),1,0)</f>
        <v>#N/A</v>
      </c>
      <c r="CR289" s="4" t="e">
        <f t="shared" ref="CR289" ca="1" si="4906">MATCH(1,OFFSET(CQ287:CQ298,CS288,0,COUNT(CQ287:CQ298)-CS288),0)</f>
        <v>#REF!</v>
      </c>
      <c r="CS289" s="4" t="e">
        <f t="shared" ca="1" si="4877"/>
        <v>#REF!</v>
      </c>
      <c r="CT289" s="692" t="str">
        <f ca="1">IFERROR(VLOOKUP(INDEX(CP287:CP298,CS289),STM,2,FALSE),"----")</f>
        <v>----</v>
      </c>
      <c r="CU289" s="691" t="e">
        <f t="shared" ca="1" si="4878"/>
        <v>#N/A</v>
      </c>
      <c r="CV289" s="4" t="e">
        <f ca="1">IF(AND(INDEX(ELM,CU289,4)&gt;=$AB287,INDEX(ELM,CU289,5)&gt;=$S287,INDEX(ELM,CU289,6)&gt;=$R287),1,0)</f>
        <v>#N/A</v>
      </c>
      <c r="CW289" s="4" t="e">
        <f t="shared" ref="CW289" ca="1" si="4907">MATCH(1,OFFSET(CV287:CV298,CX288,0,COUNT(CV287:CV298)-CX288),0)</f>
        <v>#REF!</v>
      </c>
      <c r="CX289" s="4" t="e">
        <f t="shared" ca="1" si="4880"/>
        <v>#REF!</v>
      </c>
      <c r="CY289" s="692" t="str">
        <f ca="1">IFERROR(VLOOKUP(INDEX(CU287:CU298,CX289),ELM,2,FALSE),"----")</f>
        <v>----</v>
      </c>
      <c r="CZ289" s="691" t="e">
        <f t="shared" ca="1" si="4881"/>
        <v>#N/A</v>
      </c>
      <c r="DA289" s="4" t="e">
        <f ca="1">IF(LEFT($J287,7)="Clad Wo",IF(AND(INDEX(SPPWS,CZ289,4)&gt;=$AB287,INDEX(SPPWS,CZ289,5)&gt;=$S287,INDEX(SPPWS,CZ289,6)&gt;=$R287),1,0),IF(AND(INDEX(SPM,CZ289,4)&gt;=$AB287,INDEX(SPM,CZ289,5)&gt;=$S287,INDEX(SPM,CZ289,6)&gt;=$R287),1,0))</f>
        <v>#N/A</v>
      </c>
      <c r="DB289" s="4" t="e">
        <f t="shared" ref="DB289" ca="1" si="4908">MATCH(1,OFFSET(DA287:DA298,DC288,0,COUNT(DA287:DA298)-DC288),0)</f>
        <v>#REF!</v>
      </c>
      <c r="DC289" s="4" t="e">
        <f t="shared" ca="1" si="4883"/>
        <v>#REF!</v>
      </c>
      <c r="DD289" s="693" t="str">
        <f ca="1">IF(LEFT($J287,7)="Clad Wo",IFERROR(VLOOKUP(INDEX(CZ287:CZ298,DC289),SPPWS,2,FALSE),"----"),IFERROR(VLOOKUP(INDEX(CZ287:CZ298,DC289),SPM,2,FALSE),"----"))</f>
        <v>----</v>
      </c>
      <c r="DE289" s="691" t="e">
        <f t="shared" ca="1" si="4884"/>
        <v>#REF!</v>
      </c>
      <c r="DF289" s="4" t="e" cm="1">
        <f t="array" aca="1" ref="DF289" ca="1">IF(AND(INDEX(INDIRECT(BY287),DE289,4)&gt;=$AB293,INDEX(INDIRECT(BY287),DE289,5)&gt;=$S287,INDEX(INDIRECT(BY287),DE289,6)&gt;=$R287),1,0)</f>
        <v>#REF!</v>
      </c>
      <c r="DG289" s="4" t="e">
        <f t="shared" ref="DG289" ca="1" si="4909">MATCH(1,OFFSET(DF287:DF298,DH288,0,COUNT(DF287:DF298)-DH288),0)</f>
        <v>#REF!</v>
      </c>
      <c r="DH289" s="4" t="e">
        <f t="shared" ca="1" si="4886"/>
        <v>#REF!</v>
      </c>
      <c r="DI289" s="692" t="str" cm="1">
        <f t="array" aca="1" ref="DI289" ca="1">IFERROR(VLOOKUP(INDEX(DE287:DE298,DH289),INDIRECT(BY287),2,FALSE),"----")</f>
        <v>----</v>
      </c>
      <c r="DJ289" s="691" t="e">
        <f t="shared" ca="1" si="4887"/>
        <v>#N/A</v>
      </c>
      <c r="DK289" s="4" t="e">
        <f ca="1">IF(AND(INDEX(SSM,DJ289,4)&gt;=$AB293,INDEX(SSM,DJ289,5)&gt;=$S287,INDEX(SSM,DJ289,6)&gt;=$R287),1,0)</f>
        <v>#N/A</v>
      </c>
      <c r="DL289" s="4" t="e">
        <f t="shared" ref="DL289" ca="1" si="4910">MATCH(1,OFFSET(DK287:DK298,DM288,0,COUNT(DK287:DK298)-DM288),0)</f>
        <v>#REF!</v>
      </c>
      <c r="DM289" s="4" t="e">
        <f t="shared" ca="1" si="4889"/>
        <v>#REF!</v>
      </c>
      <c r="DN289" s="692" t="str">
        <f ca="1">IFERROR(IF(AD294="Nested Steel Stud (wood infill)",VLOOKUP(INDEX(DJ287:DJ298,DM289),SSW,2,FALSE),VLOOKUP(INDEX(DJ287:DJ298,DM289),SSM,2,FALSE)),"----")</f>
        <v>----</v>
      </c>
      <c r="DO289" s="691" t="e">
        <f t="shared" ca="1" si="4890"/>
        <v>#N/A</v>
      </c>
      <c r="DP289" s="4" t="e">
        <f ca="1">IF(AND(INDEX(WSM,DO289,4)&gt;=$AB293,INDEX(WSM,DO289,5)&gt;=$S287,INDEX(WSM,DO289,6)&gt;=$R287),1,0)</f>
        <v>#N/A</v>
      </c>
      <c r="DQ289" s="4" t="e">
        <f t="shared" ref="DQ289" ca="1" si="4911">MATCH(1,OFFSET(DP287:DP298,DR288,0,COUNT(DP287:DP298)-DR288),0)</f>
        <v>#REF!</v>
      </c>
      <c r="DR289" s="4" t="e">
        <f t="shared" ca="1" si="4892"/>
        <v>#REF!</v>
      </c>
      <c r="DS289" s="692" t="str">
        <f ca="1">IFERROR(VLOOKUP(INDEX(DO287:DO298,DR289),WSM,2,FALSE),"----")</f>
        <v>----</v>
      </c>
      <c r="DT289" s="691" t="e">
        <f t="shared" ca="1" si="4893"/>
        <v>#N/A</v>
      </c>
      <c r="DU289" s="4" t="e">
        <f ca="1">IF(AND(INDEX(STM,DT289,4)&gt;=$AB293,INDEX(STM,DT289,5)&gt;=$S287,INDEX(STM,DT289,6)&gt;=$R287),1,0)</f>
        <v>#N/A</v>
      </c>
      <c r="DV289" s="4" t="e">
        <f t="shared" ref="DV289" ca="1" si="4912">MATCH(1,OFFSET(DU287:DU298,DW288,0,COUNT(DU287:DU298)-DW288),0)</f>
        <v>#REF!</v>
      </c>
      <c r="DW289" s="4" t="e">
        <f t="shared" ca="1" si="4895"/>
        <v>#REF!</v>
      </c>
      <c r="DX289" s="692" t="str">
        <f ca="1">IFERROR(VLOOKUP(INDEX(DT287:DT298,DW289),STM,2,FALSE),"----")</f>
        <v>----</v>
      </c>
      <c r="DY289" s="691" t="e">
        <f t="shared" ca="1" si="4896"/>
        <v>#N/A</v>
      </c>
      <c r="DZ289" s="4" t="e">
        <f ca="1">IF(AND(INDEX(ELM,DY289,4)&gt;=$AB293,INDEX(ELM,DY289,5)&gt;=$S287,INDEX(ELM,DY289,6)&gt;=$R287),1,0)</f>
        <v>#N/A</v>
      </c>
      <c r="EA289" s="4" t="e">
        <f t="shared" ref="EA289" ca="1" si="4913">MATCH(1,OFFSET(DZ287:DZ298,EB288,0,COUNT(DZ287:DZ298)-EB288),0)</f>
        <v>#REF!</v>
      </c>
      <c r="EB289" s="4" t="e">
        <f t="shared" ca="1" si="4898"/>
        <v>#REF!</v>
      </c>
      <c r="EC289" s="692" t="str">
        <f ca="1">IFERROR(VLOOKUP(INDEX(DY287:DY298,EB289),ELM,2,FALSE),"----")</f>
        <v>----</v>
      </c>
      <c r="ED289" s="691" t="e">
        <f t="shared" ca="1" si="4899"/>
        <v>#N/A</v>
      </c>
      <c r="EE289" s="4" t="e">
        <f ca="1">IF(LEFT($J287,7)="Clad Wo",IF(AND(INDEX(SPPWS,ED289,4)&gt;=$AB293,INDEX(SPPWS,ED289,5)&gt;=$S287,INDEX(SPPWS,ED289,6)&gt;=$R287),1,0),IF(AND(INDEX(SPM,ED289,4)&gt;=$AB293,INDEX(SPM,ED289,5)&gt;=$S287,INDEX(SPM,ED289,6)&gt;=$R287),1,0))</f>
        <v>#N/A</v>
      </c>
      <c r="EF289" s="4" t="e">
        <f t="shared" ref="EF289" ca="1" si="4914">MATCH(1,OFFSET(EE287:EE298,EG288,0,COUNT(EE287:EE298)-EG288),0)</f>
        <v>#REF!</v>
      </c>
      <c r="EG289" s="4" t="e">
        <f t="shared" ca="1" si="4901"/>
        <v>#REF!</v>
      </c>
      <c r="EH289" s="692" t="str">
        <f ca="1">IF(LEFT($J287,7)="Clad Wo",IFERROR(VLOOKUP(INDEX(ED287:ED298,EG289),SPPWS,2,FALSE),"----"),IFERROR(VLOOKUP(INDEX(ED287:ED298,EG289),SPM,2,FALSE),"----"))</f>
        <v>----</v>
      </c>
    </row>
    <row r="290" spans="1:138" ht="15" customHeight="1" x14ac:dyDescent="0.25">
      <c r="A290" s="1085"/>
      <c r="B290" s="925"/>
      <c r="C290" s="926"/>
      <c r="D290" s="927"/>
      <c r="E290" s="995"/>
      <c r="F290" s="996"/>
      <c r="G290" s="997"/>
      <c r="H290" s="1062"/>
      <c r="I290" s="990"/>
      <c r="J290" s="908"/>
      <c r="K290" s="909"/>
      <c r="L290" s="1002"/>
      <c r="M290" s="923"/>
      <c r="N290" s="1042"/>
      <c r="O290" s="1018"/>
      <c r="P290" s="987"/>
      <c r="Q290" s="1015"/>
      <c r="R290" s="1012"/>
      <c r="S290" s="1006"/>
      <c r="T290" s="1007"/>
      <c r="U290" s="878"/>
      <c r="V290" s="881"/>
      <c r="W290" s="884"/>
      <c r="X290" s="884"/>
      <c r="Y290" s="887"/>
      <c r="Z290" s="887"/>
      <c r="AA290" s="887"/>
      <c r="AB290" s="1081"/>
      <c r="AC290" s="1078"/>
      <c r="AD290" s="1070" t="s">
        <v>37</v>
      </c>
      <c r="AE290" s="1071"/>
      <c r="AF290" s="1052"/>
      <c r="AG290" s="1053"/>
      <c r="AH290" s="1053"/>
      <c r="AI290" s="1066"/>
      <c r="AJ290" s="1067"/>
      <c r="AK290" s="156" t="str">
        <f t="shared" ca="1" si="3667"/>
        <v/>
      </c>
      <c r="AL290" s="1039"/>
      <c r="AM290" s="343" t="str">
        <f ca="1">IFERROR(Q287/12*ROUND(VLOOKUP(AF290,OFFSET(STM,0,1),6,FALSE),2),"")</f>
        <v/>
      </c>
      <c r="AN290" t="str">
        <f t="shared" ca="1" si="3717"/>
        <v/>
      </c>
      <c r="AP290" s="122" t="str">
        <f t="shared" ref="AP290" si="4915">_xlfn.CONCAT(AR290,AS292)</f>
        <v/>
      </c>
      <c r="AQ290" s="683" t="str">
        <f t="shared" si="3881"/>
        <v/>
      </c>
      <c r="AR290" s="4" t="str">
        <f t="shared" si="3642"/>
        <v/>
      </c>
      <c r="AS290" s="4"/>
      <c r="AT290" s="697" t="str">
        <f>AL287</f>
        <v/>
      </c>
      <c r="AU290" s="694" t="e">
        <f t="shared" ca="1" si="3907"/>
        <v>#REF!</v>
      </c>
      <c r="AV290" s="686" t="str">
        <f ca="1">IFERROR(VLOOKUP(AU290,INDIRECT(AQ287),2,FALSE),"----")</f>
        <v>----</v>
      </c>
      <c r="AW290" s="694" t="e">
        <f t="shared" ca="1" si="3908"/>
        <v>#REF!</v>
      </c>
      <c r="AX290" s="686" t="str">
        <f ca="1">IFERROR(VLOOKUP(AW290,INDIRECT(AQ288),2,FALSE),"----")</f>
        <v>----</v>
      </c>
      <c r="AY290" s="694" t="e">
        <f t="shared" ref="AY290" ca="1" si="4916">AY289-1</f>
        <v>#REF!</v>
      </c>
      <c r="AZ290" s="686" t="str">
        <f ca="1">IFERROR(VLOOKUP(AY290,INDIRECT(AQ289),2,FALSE),"----")</f>
        <v>----</v>
      </c>
      <c r="BA290" s="694" t="e">
        <f t="shared" ref="BA290" ca="1" si="4917">BA289-1</f>
        <v>#REF!</v>
      </c>
      <c r="BB290" s="686" t="str">
        <f ca="1">IFERROR(VLOOKUP(BA290,INDIRECT(AQ290),2,FALSE),"----")</f>
        <v>----</v>
      </c>
      <c r="BC290" s="694" t="e">
        <f t="shared" ca="1" si="3911"/>
        <v>#REF!</v>
      </c>
      <c r="BD290" s="686" t="str">
        <f ca="1">IFERROR(VLOOKUP(BC290,INDIRECT(AQ291),2,FALSE),"----")</f>
        <v>----</v>
      </c>
      <c r="BE290" s="694" t="e">
        <f t="shared" ca="1" si="3912"/>
        <v>#REF!</v>
      </c>
      <c r="BF290" s="686" t="str">
        <f ca="1">IFERROR(VLOOKUP(BE290,INDIRECT(AQ292),2,FALSE),"----")</f>
        <v>----</v>
      </c>
      <c r="BG290" s="694" t="e">
        <f t="shared" ca="1" si="3913"/>
        <v>#REF!</v>
      </c>
      <c r="BH290" s="686" t="str">
        <f ca="1">IFERROR(VLOOKUP(BG290,INDIRECT(AQ293),2,FALSE),"----")</f>
        <v>----</v>
      </c>
      <c r="BI290" s="694" t="e">
        <f t="shared" ca="1" si="3914"/>
        <v>#REF!</v>
      </c>
      <c r="BJ290" s="686" t="str">
        <f ca="1">IFERROR(VLOOKUP(BI290,INDIRECT(AQ294),2,FALSE),"----")</f>
        <v>----</v>
      </c>
      <c r="BK290" s="694" t="e">
        <f t="shared" ca="1" si="3915"/>
        <v>#REF!</v>
      </c>
      <c r="BL290" s="686" t="str">
        <f ca="1">IFERROR(VLOOKUP(BK290,INDIRECT(AQ295),2,FALSE),"----")</f>
        <v>----</v>
      </c>
      <c r="BM290" s="694" t="e">
        <f t="shared" ca="1" si="3916"/>
        <v>#REF!</v>
      </c>
      <c r="BN290" s="686" t="str">
        <f ca="1">IFERROR(VLOOKUP(BM290,INDIRECT(AQ296),2,FALSE),"----")</f>
        <v>----</v>
      </c>
      <c r="BO290" s="694" t="e">
        <f t="shared" ca="1" si="3917"/>
        <v>#REF!</v>
      </c>
      <c r="BP290" s="686" t="str">
        <f ca="1">IFERROR(VLOOKUP(BO290,INDIRECT(AQ297),2,FALSE),"----")</f>
        <v>----</v>
      </c>
      <c r="BQ290" s="694" t="e">
        <f t="shared" ca="1" si="3918"/>
        <v>#REF!</v>
      </c>
      <c r="BR290" s="686" t="str">
        <f ca="1">IFERROR(VLOOKUP(BQ290,INDIRECT(AQ298),2,FALSE),"----")</f>
        <v>----</v>
      </c>
      <c r="BS290" s="695">
        <f>IF(AI290="",1,IF(COUNTIF(BB287:BB298,AI290)=0,2,1))</f>
        <v>1</v>
      </c>
      <c r="BT290" s="696">
        <f>IF(AF290="",1,IF(BB287=".",2,1))</f>
        <v>1</v>
      </c>
      <c r="BU290" s="706"/>
      <c r="BV290" s="155">
        <f ca="1">IF(COUNTIF(CT287:CT298,AF290)=0,IF(AF290&lt;&gt;"",0,1),1)</f>
        <v>1</v>
      </c>
      <c r="BW290" s="157">
        <f ca="1">IFERROR(MATCH(AF290,CT287:CT298,0),1)</f>
        <v>1</v>
      </c>
      <c r="BX290" s="769"/>
      <c r="BY290" s="769"/>
      <c r="BZ290" s="1110"/>
      <c r="CA290" s="691" t="e">
        <f t="shared" ca="1" si="4866"/>
        <v>#REF!</v>
      </c>
      <c r="CB290" s="4" t="e" cm="1">
        <f t="array" aca="1" ref="CB290" ca="1">IF(AND(INDEX(INDIRECT(BY287),CA290,4)&gt;=$AB287,INDEX(INDIRECT(BY287),CA290,5)&gt;=$S287,INDEX(INDIRECT(BY287),CA290,6)&gt;=$R287),1,0)</f>
        <v>#REF!</v>
      </c>
      <c r="CC290" s="4" t="e">
        <f t="shared" ref="CC290" ca="1" si="4918">MATCH(1,OFFSET(CB287:CB298,CD289,0,COUNT(CB287:CB298)-CD289),0)</f>
        <v>#REF!</v>
      </c>
      <c r="CD290" s="4" t="e">
        <f t="shared" ca="1" si="4868"/>
        <v>#REF!</v>
      </c>
      <c r="CE290" s="692" t="str" cm="1">
        <f t="array" aca="1" ref="CE290" ca="1">IFERROR(VLOOKUP(INDEX(CA287:CA298,CD290),INDIRECT(BY287),2,FALSE),"----")</f>
        <v>----</v>
      </c>
      <c r="CF290" s="691" t="e">
        <f t="shared" ca="1" si="4869"/>
        <v>#N/A</v>
      </c>
      <c r="CG290" s="4" t="e">
        <f ca="1">IF(AND(INDEX(SSM,CF290,4)&gt;=$AB287,INDEX(SSM,CF290,5)&gt;=$S287,INDEX(SSM,CF290,6)&gt;=$R287),1,0)</f>
        <v>#N/A</v>
      </c>
      <c r="CH290" s="4" t="e">
        <f t="shared" ref="CH290" ca="1" si="4919">MATCH(1,OFFSET(CG287:CG298,CI289,0,COUNT(CG287:CG298)-CI289),0)</f>
        <v>#REF!</v>
      </c>
      <c r="CI290" s="4" t="e">
        <f t="shared" ca="1" si="4871"/>
        <v>#REF!</v>
      </c>
      <c r="CJ290" s="692" t="str">
        <f ca="1">IFERROR(IF(AD288="Nested Steel Stud (wood infill)",VLOOKUP(INDEX(CF287:CF298,CI290),SSW,2,FALSE),VLOOKUP(INDEX(CF287:CF298,CI290),SSM,2,FALSE)),"----")</f>
        <v>----</v>
      </c>
      <c r="CK290" s="691" t="e">
        <f t="shared" ca="1" si="4872"/>
        <v>#N/A</v>
      </c>
      <c r="CL290" s="4" t="e">
        <f ca="1">IF(AND(INDEX(WSM,CK290,4)&gt;=$AB287,INDEX(WSM,CK290,5)&gt;=$S287,INDEX(WSM,CK290,6)&gt;=$R287),1,0)</f>
        <v>#N/A</v>
      </c>
      <c r="CM290" s="4" t="e">
        <f t="shared" ref="CM290" ca="1" si="4920">MATCH(1,OFFSET(CL287:CL298,CN289,0,COUNT(CL287:CL298)-CN289),0)</f>
        <v>#REF!</v>
      </c>
      <c r="CN290" s="4" t="e">
        <f t="shared" ca="1" si="4874"/>
        <v>#REF!</v>
      </c>
      <c r="CO290" s="692" t="str">
        <f ca="1">IFERROR(VLOOKUP(INDEX(CK287:CK298,CN290),WSM,2,FALSE),"----")</f>
        <v>----</v>
      </c>
      <c r="CP290" s="691" t="e">
        <f t="shared" ca="1" si="4875"/>
        <v>#N/A</v>
      </c>
      <c r="CQ290" s="4" t="e">
        <f ca="1">IF(AND(INDEX(STM,CP290,4)&gt;=$AB287,INDEX(STM,CP290,5)&gt;=$S287,INDEX(STM,CP290,6)&gt;=$R287),1,0)</f>
        <v>#N/A</v>
      </c>
      <c r="CR290" s="4" t="e">
        <f t="shared" ref="CR290" ca="1" si="4921">MATCH(1,OFFSET(CQ287:CQ298,CS289,0,COUNT(CQ287:CQ298)-CS289),0)</f>
        <v>#REF!</v>
      </c>
      <c r="CS290" s="4" t="e">
        <f t="shared" ca="1" si="4877"/>
        <v>#REF!</v>
      </c>
      <c r="CT290" s="692" t="str">
        <f ca="1">IFERROR(VLOOKUP(INDEX(CP287:CP298,CS290),STM,2,FALSE),"----")</f>
        <v>----</v>
      </c>
      <c r="CU290" s="691" t="e">
        <f t="shared" ca="1" si="4878"/>
        <v>#N/A</v>
      </c>
      <c r="CV290" s="4" t="e">
        <f ca="1">IF(AND(INDEX(ELM,CU290,4)&gt;=$AB287,INDEX(ELM,CU290,5)&gt;=$S287,INDEX(ELM,CU290,6)&gt;=$R287),1,0)</f>
        <v>#N/A</v>
      </c>
      <c r="CW290" s="4" t="e">
        <f t="shared" ref="CW290" ca="1" si="4922">MATCH(1,OFFSET(CV287:CV298,CX289,0,COUNT(CV287:CV298)-CX289),0)</f>
        <v>#REF!</v>
      </c>
      <c r="CX290" s="4" t="e">
        <f t="shared" ca="1" si="4880"/>
        <v>#REF!</v>
      </c>
      <c r="CY290" s="692" t="str">
        <f ca="1">IFERROR(VLOOKUP(INDEX(CU287:CU298,CX290),ELM,2,FALSE),"----")</f>
        <v>----</v>
      </c>
      <c r="CZ290" s="691" t="e">
        <f t="shared" ca="1" si="4881"/>
        <v>#N/A</v>
      </c>
      <c r="DA290" s="4" t="e">
        <f ca="1">IF(LEFT($J287,7)="Clad Wo",IF(AND(INDEX(SPPWS,CZ290,4)&gt;=$AB287,INDEX(SPPWS,CZ290,5)&gt;=$S287,INDEX(SPPWS,CZ290,6)&gt;=$R287),1,0),IF(AND(INDEX(SPM,CZ290,4)&gt;=$AB287,INDEX(SPM,CZ290,5)&gt;=$S287,INDEX(SPM,CZ290,6)&gt;=$R287),1,0))</f>
        <v>#N/A</v>
      </c>
      <c r="DB290" s="4" t="e">
        <f t="shared" ref="DB290" ca="1" si="4923">MATCH(1,OFFSET(DA287:DA298,DC289,0,COUNT(DA287:DA298)-DC289),0)</f>
        <v>#REF!</v>
      </c>
      <c r="DC290" s="4" t="e">
        <f t="shared" ca="1" si="4883"/>
        <v>#REF!</v>
      </c>
      <c r="DD290" s="693" t="str">
        <f ca="1">IF(LEFT($J287,7)="Clad Wo",IFERROR(VLOOKUP(INDEX(CZ287:CZ298,DC290),SPPWS,2,FALSE),"----"),IFERROR(VLOOKUP(INDEX(CZ287:CZ298,DC290),SPM,2,FALSE),"----"))</f>
        <v>----</v>
      </c>
      <c r="DE290" s="691" t="e">
        <f t="shared" ca="1" si="4884"/>
        <v>#REF!</v>
      </c>
      <c r="DF290" s="4" t="e" cm="1">
        <f t="array" aca="1" ref="DF290" ca="1">IF(AND(INDEX(INDIRECT(BY287),DE290,4)&gt;=$AB293,INDEX(INDIRECT(BY287),DE290,5)&gt;=$S287,INDEX(INDIRECT(BY287),DE290,6)&gt;=$R287),1,0)</f>
        <v>#REF!</v>
      </c>
      <c r="DG290" s="4" t="e">
        <f t="shared" ref="DG290" ca="1" si="4924">MATCH(1,OFFSET(DF287:DF298,DH289,0,COUNT(DF287:DF298)-DH289),0)</f>
        <v>#REF!</v>
      </c>
      <c r="DH290" s="4" t="e">
        <f t="shared" ca="1" si="4886"/>
        <v>#REF!</v>
      </c>
      <c r="DI290" s="692" t="str" cm="1">
        <f t="array" aca="1" ref="DI290" ca="1">IFERROR(VLOOKUP(INDEX(DE287:DE298,DH290),INDIRECT(BY287),2,FALSE),"----")</f>
        <v>----</v>
      </c>
      <c r="DJ290" s="691" t="e">
        <f t="shared" ca="1" si="4887"/>
        <v>#N/A</v>
      </c>
      <c r="DK290" s="4" t="e">
        <f ca="1">IF(AND(INDEX(SSM,DJ290,4)&gt;=$AB293,INDEX(SSM,DJ290,5)&gt;=$S287,INDEX(SSM,DJ290,6)&gt;=$R287),1,0)</f>
        <v>#N/A</v>
      </c>
      <c r="DL290" s="4" t="e">
        <f t="shared" ref="DL290" ca="1" si="4925">MATCH(1,OFFSET(DK287:DK298,DM289,0,COUNT(DK287:DK298)-DM289),0)</f>
        <v>#REF!</v>
      </c>
      <c r="DM290" s="4" t="e">
        <f t="shared" ca="1" si="4889"/>
        <v>#REF!</v>
      </c>
      <c r="DN290" s="692" t="str">
        <f ca="1">IFERROR(IF(AD294="Nested Steel Stud (wood infill)",VLOOKUP(INDEX(DJ287:DJ298,DM290),SSW,2,FALSE),VLOOKUP(INDEX(DJ287:DJ298,DM290),SSM,2,FALSE)),"----")</f>
        <v>----</v>
      </c>
      <c r="DO290" s="691" t="e">
        <f t="shared" ca="1" si="4890"/>
        <v>#N/A</v>
      </c>
      <c r="DP290" s="4" t="e">
        <f ca="1">IF(AND(INDEX(WSM,DO290,4)&gt;=$AB293,INDEX(WSM,DO290,5)&gt;=$S287,INDEX(WSM,DO290,6)&gt;=$R287),1,0)</f>
        <v>#N/A</v>
      </c>
      <c r="DQ290" s="4" t="e">
        <f t="shared" ref="DQ290" ca="1" si="4926">MATCH(1,OFFSET(DP287:DP298,DR289,0,COUNT(DP287:DP298)-DR289),0)</f>
        <v>#REF!</v>
      </c>
      <c r="DR290" s="4" t="e">
        <f t="shared" ca="1" si="4892"/>
        <v>#REF!</v>
      </c>
      <c r="DS290" s="692" t="str">
        <f ca="1">IFERROR(VLOOKUP(INDEX(DO287:DO298,DR290),WSM,2,FALSE),"----")</f>
        <v>----</v>
      </c>
      <c r="DT290" s="691" t="e">
        <f t="shared" ca="1" si="4893"/>
        <v>#N/A</v>
      </c>
      <c r="DU290" s="4" t="e">
        <f ca="1">IF(AND(INDEX(STM,DT290,4)&gt;=$AB293,INDEX(STM,DT290,5)&gt;=$S287,INDEX(STM,DT290,6)&gt;=$R287),1,0)</f>
        <v>#N/A</v>
      </c>
      <c r="DV290" s="4" t="e">
        <f t="shared" ref="DV290" ca="1" si="4927">MATCH(1,OFFSET(DU287:DU298,DW289,0,COUNT(DU287:DU298)-DW289),0)</f>
        <v>#REF!</v>
      </c>
      <c r="DW290" s="4" t="e">
        <f t="shared" ca="1" si="4895"/>
        <v>#REF!</v>
      </c>
      <c r="DX290" s="692" t="str">
        <f ca="1">IFERROR(VLOOKUP(INDEX(DT287:DT298,DW290),STM,2,FALSE),"----")</f>
        <v>----</v>
      </c>
      <c r="DY290" s="691" t="e">
        <f t="shared" ca="1" si="4896"/>
        <v>#N/A</v>
      </c>
      <c r="DZ290" s="4" t="e">
        <f ca="1">IF(AND(INDEX(ELM,DY290,4)&gt;=$AB293,INDEX(ELM,DY290,5)&gt;=$S287,INDEX(ELM,DY290,6)&gt;=$R287),1,0)</f>
        <v>#N/A</v>
      </c>
      <c r="EA290" s="4" t="e">
        <f t="shared" ref="EA290" ca="1" si="4928">MATCH(1,OFFSET(DZ287:DZ298,EB289,0,COUNT(DZ287:DZ298)-EB289),0)</f>
        <v>#REF!</v>
      </c>
      <c r="EB290" s="4" t="e">
        <f t="shared" ca="1" si="4898"/>
        <v>#REF!</v>
      </c>
      <c r="EC290" s="692" t="str">
        <f ca="1">IFERROR(VLOOKUP(INDEX(DY287:DY298,EB290),ELM,2,FALSE),"----")</f>
        <v>----</v>
      </c>
      <c r="ED290" s="691" t="e">
        <f t="shared" ca="1" si="4899"/>
        <v>#N/A</v>
      </c>
      <c r="EE290" s="4" t="e">
        <f ca="1">IF(LEFT($J287,7)="Clad Wo",IF(AND(INDEX(SPPWS,ED290,4)&gt;=$AB293,INDEX(SPPWS,ED290,5)&gt;=$S287,INDEX(SPPWS,ED290,6)&gt;=$R287),1,0),IF(AND(INDEX(SPM,ED290,4)&gt;=$AB293,INDEX(SPM,ED290,5)&gt;=$S287,INDEX(SPM,ED290,6)&gt;=$R287),1,0))</f>
        <v>#N/A</v>
      </c>
      <c r="EF290" s="4" t="e">
        <f t="shared" ref="EF290" ca="1" si="4929">MATCH(1,OFFSET(EE287:EE298,EG289,0,COUNT(EE287:EE298)-EG289),0)</f>
        <v>#REF!</v>
      </c>
      <c r="EG290" s="4" t="e">
        <f t="shared" ca="1" si="4901"/>
        <v>#REF!</v>
      </c>
      <c r="EH290" s="692" t="str">
        <f ca="1">IF(LEFT($J287,7)="Clad Wo",IFERROR(VLOOKUP(INDEX(ED287:ED298,EG290),SPPWS,2,FALSE),"----"),IFERROR(VLOOKUP(INDEX(ED287:ED298,EG290),SPM,2,FALSE),"----"))</f>
        <v>----</v>
      </c>
    </row>
    <row r="291" spans="1:138" ht="15" customHeight="1" x14ac:dyDescent="0.25">
      <c r="A291" s="1085"/>
      <c r="B291" s="925"/>
      <c r="C291" s="926"/>
      <c r="D291" s="927"/>
      <c r="E291" s="995"/>
      <c r="F291" s="996"/>
      <c r="G291" s="997"/>
      <c r="H291" s="1062"/>
      <c r="I291" s="990"/>
      <c r="J291" s="910"/>
      <c r="K291" s="911"/>
      <c r="L291" s="1002"/>
      <c r="M291" s="923"/>
      <c r="N291" s="1042"/>
      <c r="O291" s="1018"/>
      <c r="P291" s="987"/>
      <c r="Q291" s="1015"/>
      <c r="R291" s="1012"/>
      <c r="S291" s="1006"/>
      <c r="T291" s="1007"/>
      <c r="U291" s="878"/>
      <c r="V291" s="881"/>
      <c r="W291" s="884"/>
      <c r="X291" s="884"/>
      <c r="Y291" s="887"/>
      <c r="Z291" s="887"/>
      <c r="AA291" s="887"/>
      <c r="AB291" s="1081"/>
      <c r="AC291" s="1078"/>
      <c r="AD291" s="1070" t="s">
        <v>39</v>
      </c>
      <c r="AE291" s="1071"/>
      <c r="AF291" s="1052"/>
      <c r="AG291" s="1053"/>
      <c r="AH291" s="1053"/>
      <c r="AI291" s="1068"/>
      <c r="AJ291" s="1069"/>
      <c r="AK291" s="154" t="str">
        <f t="shared" ca="1" si="3667"/>
        <v/>
      </c>
      <c r="AL291" s="1039"/>
      <c r="AM291" s="344" t="str">
        <f ca="1">IFERROR(Q287/12*ROUND(VLOOKUP(AF291,OFFSET(ELM,0,1),6,FALSE),2),"")</f>
        <v/>
      </c>
      <c r="AN291" t="str">
        <f t="shared" ca="1" si="3717"/>
        <v/>
      </c>
      <c r="AP291" s="122" t="str">
        <f t="shared" ref="AP291" si="4930">_xlfn.CONCAT(AR291,AS292)</f>
        <v/>
      </c>
      <c r="AQ291" s="683" t="str">
        <f t="shared" si="3881"/>
        <v/>
      </c>
      <c r="AR291" s="4" t="str">
        <f t="shared" ref="AR291:AR354" si="4931">IFERROR(VLOOKUP(AF291,MullList,2,FALSE),"")</f>
        <v/>
      </c>
      <c r="AS291" s="4"/>
      <c r="AT291" s="697" t="str">
        <f>AL287</f>
        <v/>
      </c>
      <c r="AU291" s="694" t="e">
        <f t="shared" ca="1" si="3907"/>
        <v>#REF!</v>
      </c>
      <c r="AV291" s="698" t="str">
        <f ca="1">IFERROR(VLOOKUP(AU291,INDIRECT(AQ287),2,FALSE),"----")</f>
        <v>----</v>
      </c>
      <c r="AW291" s="694" t="e">
        <f t="shared" ca="1" si="3908"/>
        <v>#REF!</v>
      </c>
      <c r="AX291" s="698" t="str">
        <f ca="1">IFERROR(VLOOKUP(AW291,INDIRECT(AQ288),2,FALSE),"----")</f>
        <v>----</v>
      </c>
      <c r="AY291" s="694" t="e">
        <f t="shared" ref="AY291" ca="1" si="4932">AY290-1</f>
        <v>#REF!</v>
      </c>
      <c r="AZ291" s="698" t="str">
        <f ca="1">IFERROR(VLOOKUP(AY291,INDIRECT(AQ289),2,FALSE),"----")</f>
        <v>----</v>
      </c>
      <c r="BA291" s="694" t="e">
        <f t="shared" ref="BA291" ca="1" si="4933">BA290-1</f>
        <v>#REF!</v>
      </c>
      <c r="BB291" s="698" t="str">
        <f ca="1">IFERROR(VLOOKUP(BA291,INDIRECT(AQ290),2,FALSE),"----")</f>
        <v>----</v>
      </c>
      <c r="BC291" s="694" t="e">
        <f t="shared" ca="1" si="3911"/>
        <v>#REF!</v>
      </c>
      <c r="BD291" s="698" t="str">
        <f ca="1">IFERROR(VLOOKUP(BC291,INDIRECT(AQ291),2,FALSE),"----")</f>
        <v>----</v>
      </c>
      <c r="BE291" s="694" t="e">
        <f t="shared" ca="1" si="3912"/>
        <v>#REF!</v>
      </c>
      <c r="BF291" s="698" t="str">
        <f ca="1">IFERROR(VLOOKUP(BE291,INDIRECT(AQ292),2,FALSE),"----")</f>
        <v>----</v>
      </c>
      <c r="BG291" s="694" t="e">
        <f t="shared" ca="1" si="3913"/>
        <v>#REF!</v>
      </c>
      <c r="BH291" s="686" t="str">
        <f ca="1">IFERROR(VLOOKUP(BG291,INDIRECT(AQ293),2,FALSE),"----")</f>
        <v>----</v>
      </c>
      <c r="BI291" s="694" t="e">
        <f t="shared" ca="1" si="3914"/>
        <v>#REF!</v>
      </c>
      <c r="BJ291" s="686" t="str">
        <f ca="1">IFERROR(VLOOKUP(BI291,INDIRECT(AQ294),2,FALSE),"----")</f>
        <v>----</v>
      </c>
      <c r="BK291" s="694" t="e">
        <f t="shared" ca="1" si="3915"/>
        <v>#REF!</v>
      </c>
      <c r="BL291" s="686" t="str">
        <f ca="1">IFERROR(VLOOKUP(BK291,INDIRECT(AQ295),2,FALSE),"----")</f>
        <v>----</v>
      </c>
      <c r="BM291" s="694" t="e">
        <f t="shared" ca="1" si="3916"/>
        <v>#REF!</v>
      </c>
      <c r="BN291" s="686" t="str">
        <f ca="1">IFERROR(VLOOKUP(BM291,INDIRECT(AQ296),2,FALSE),"----")</f>
        <v>----</v>
      </c>
      <c r="BO291" s="694" t="e">
        <f t="shared" ca="1" si="3917"/>
        <v>#REF!</v>
      </c>
      <c r="BP291" s="686" t="str">
        <f ca="1">IFERROR(VLOOKUP(BO291,INDIRECT(AQ297),2,FALSE),"----")</f>
        <v>----</v>
      </c>
      <c r="BQ291" s="694" t="e">
        <f t="shared" ca="1" si="3918"/>
        <v>#REF!</v>
      </c>
      <c r="BR291" s="686" t="str">
        <f ca="1">IFERROR(VLOOKUP(BQ291,INDIRECT(AQ298),2,FALSE),"----")</f>
        <v>----</v>
      </c>
      <c r="BS291" s="695">
        <f>IF(AI291="",1,IF(COUNTIF(BD287:BD298,AI291)=0,2,1))</f>
        <v>1</v>
      </c>
      <c r="BT291" s="696">
        <f>IF(AF291="",1,IF(BD287=".",2,1))</f>
        <v>1</v>
      </c>
      <c r="BU291" s="706"/>
      <c r="BV291" s="155">
        <f ca="1">IF(COUNTIF(CY287:CY298,AF291)=0,IF(AF291&lt;&gt;"",0,1),1)</f>
        <v>1</v>
      </c>
      <c r="BW291" s="157">
        <f ca="1">IFERROR(MATCH(AF291,CY287:CY298,0),1)</f>
        <v>1</v>
      </c>
      <c r="BX291" s="769"/>
      <c r="BY291" s="769"/>
      <c r="BZ291" s="1110"/>
      <c r="CA291" s="691" t="e">
        <f t="shared" ca="1" si="4866"/>
        <v>#REF!</v>
      </c>
      <c r="CB291" s="4" t="e" cm="1">
        <f t="array" aca="1" ref="CB291" ca="1">IF(AND(INDEX(INDIRECT(BY287),CA291,4)&gt;=$AB287,INDEX(INDIRECT(BY287),CA291,5)&gt;=$S287,INDEX(INDIRECT(BY287),CA291,6)&gt;=$R287),1,0)</f>
        <v>#REF!</v>
      </c>
      <c r="CC291" s="4" t="e">
        <f t="shared" ref="CC291" ca="1" si="4934">MATCH(1,OFFSET(CB287:CB298,CD290,0,COUNT(CB287:CB298)-CD290),0)</f>
        <v>#REF!</v>
      </c>
      <c r="CD291" s="4" t="e">
        <f t="shared" ca="1" si="4868"/>
        <v>#REF!</v>
      </c>
      <c r="CE291" s="692" t="str" cm="1">
        <f t="array" aca="1" ref="CE291" ca="1">IFERROR(VLOOKUP(INDEX(CA287:CA298,CD291),INDIRECT(BY287),2,FALSE),"----")</f>
        <v>----</v>
      </c>
      <c r="CF291" s="691" t="e">
        <f t="shared" ca="1" si="4869"/>
        <v>#N/A</v>
      </c>
      <c r="CG291" s="4" t="e">
        <f ca="1">IF(AND(INDEX(SSM,CF291,4)&gt;=$AB287,INDEX(SSM,CF291,5)&gt;=$S287,INDEX(SSM,CF291,6)&gt;=$R287),1,0)</f>
        <v>#N/A</v>
      </c>
      <c r="CH291" s="4" t="e">
        <f t="shared" ref="CH291" ca="1" si="4935">MATCH(1,OFFSET(CG287:CG298,CI290,0,COUNT(CG287:CG298)-CI290),0)</f>
        <v>#REF!</v>
      </c>
      <c r="CI291" s="4" t="e">
        <f t="shared" ca="1" si="4871"/>
        <v>#REF!</v>
      </c>
      <c r="CJ291" s="692" t="str">
        <f ca="1">IFERROR(IF(AD288="Nested Steel Stud (wood infill)",VLOOKUP(INDEX(CF287:CF298,CI291),SSW,2,FALSE),VLOOKUP(INDEX(CF287:CF298,CI291),SSM,2,FALSE)),"----")</f>
        <v>----</v>
      </c>
      <c r="CK291" s="691" t="e">
        <f t="shared" ca="1" si="4872"/>
        <v>#N/A</v>
      </c>
      <c r="CL291" s="4" t="e">
        <f ca="1">IF(AND(INDEX(WSM,CK291,4)&gt;=$AB287,INDEX(WSM,CK291,5)&gt;=$S287,INDEX(WSM,CK291,6)&gt;=$R287),1,0)</f>
        <v>#N/A</v>
      </c>
      <c r="CM291" s="4" t="e">
        <f t="shared" ref="CM291" ca="1" si="4936">MATCH(1,OFFSET(CL287:CL298,CN290,0,COUNT(CL287:CL298)-CN290),0)</f>
        <v>#REF!</v>
      </c>
      <c r="CN291" s="4" t="e">
        <f t="shared" ca="1" si="4874"/>
        <v>#REF!</v>
      </c>
      <c r="CO291" s="692" t="str">
        <f ca="1">IFERROR(VLOOKUP(INDEX(CK287:CK298,CN291),WSM,2,FALSE),"----")</f>
        <v>----</v>
      </c>
      <c r="CP291" s="691" t="e">
        <f t="shared" ca="1" si="4875"/>
        <v>#N/A</v>
      </c>
      <c r="CQ291" s="4" t="e">
        <f ca="1">IF(AND(INDEX(STM,CP291,4)&gt;=$AB287,INDEX(STM,CP291,5)&gt;=$S287,INDEX(STM,CP291,6)&gt;=$R287),1,0)</f>
        <v>#N/A</v>
      </c>
      <c r="CR291" s="4" t="e">
        <f t="shared" ref="CR291" ca="1" si="4937">MATCH(1,OFFSET(CQ287:CQ298,CS290,0,COUNT(CQ287:CQ298)-CS290),0)</f>
        <v>#REF!</v>
      </c>
      <c r="CS291" s="4" t="e">
        <f t="shared" ca="1" si="4877"/>
        <v>#REF!</v>
      </c>
      <c r="CT291" s="692" t="str">
        <f ca="1">IFERROR(VLOOKUP(INDEX(CP287:CP298,CS291),STM,2,FALSE),"----")</f>
        <v>----</v>
      </c>
      <c r="CU291" s="691" t="e">
        <f t="shared" ca="1" si="4878"/>
        <v>#N/A</v>
      </c>
      <c r="CV291" s="4" t="e">
        <f ca="1">IF(AND(INDEX(ELM,CU291,4)&gt;=$AB287,INDEX(ELM,CU291,5)&gt;=$S287,INDEX(ELM,CU291,6)&gt;=$R287),1,0)</f>
        <v>#N/A</v>
      </c>
      <c r="CW291" s="4" t="e">
        <f t="shared" ref="CW291" ca="1" si="4938">MATCH(1,OFFSET(CV287:CV298,CX290,0,COUNT(CV287:CV298)-CX290),0)</f>
        <v>#REF!</v>
      </c>
      <c r="CX291" s="4" t="e">
        <f t="shared" ca="1" si="4880"/>
        <v>#REF!</v>
      </c>
      <c r="CY291" s="692" t="str">
        <f ca="1">IFERROR(VLOOKUP(INDEX(CU287:CU298,CX291),ELM,2,FALSE),"----")</f>
        <v>----</v>
      </c>
      <c r="CZ291" s="691" t="e">
        <f t="shared" ca="1" si="4881"/>
        <v>#N/A</v>
      </c>
      <c r="DA291" s="4" t="e">
        <f ca="1">IF(LEFT($J287,7)="Clad Wo",IF(AND(INDEX(SPPWS,CZ291,4)&gt;=$AB287,INDEX(SPPWS,CZ291,5)&gt;=$S287,INDEX(SPPWS,CZ291,6)&gt;=$R287),1,0),IF(AND(INDEX(SPM,CZ291,4)&gt;=$AB287,INDEX(SPM,CZ291,5)&gt;=$S287,INDEX(SPM,CZ291,6)&gt;=$R287),1,0))</f>
        <v>#N/A</v>
      </c>
      <c r="DB291" s="4" t="e">
        <f t="shared" ref="DB291" ca="1" si="4939">MATCH(1,OFFSET(DA287:DA298,DC290,0,COUNT(DA287:DA298)-DC290),0)</f>
        <v>#REF!</v>
      </c>
      <c r="DC291" s="4" t="e">
        <f t="shared" ca="1" si="4883"/>
        <v>#REF!</v>
      </c>
      <c r="DD291" s="693" t="str">
        <f ca="1">IF(LEFT($J287,7)="Clad Wo",IFERROR(VLOOKUP(INDEX(CZ287:CZ298,DC291),SPPWS,2,FALSE),"----"),IFERROR(VLOOKUP(INDEX(CZ287:CZ298,DC291),SPM,2,FALSE),"----"))</f>
        <v>----</v>
      </c>
      <c r="DE291" s="691" t="e">
        <f t="shared" ca="1" si="4884"/>
        <v>#REF!</v>
      </c>
      <c r="DF291" s="4" t="e" cm="1">
        <f t="array" aca="1" ref="DF291" ca="1">IF(AND(INDEX(INDIRECT(BY287),DE291,4)&gt;=$AB293,INDEX(INDIRECT(BY287),DE291,5)&gt;=$S287,INDEX(INDIRECT(BY287),DE291,6)&gt;=$R287),1,0)</f>
        <v>#REF!</v>
      </c>
      <c r="DG291" s="4" t="e">
        <f t="shared" ref="DG291" ca="1" si="4940">MATCH(1,OFFSET(DF287:DF298,DH290,0,COUNT(DF287:DF298)-DH290),0)</f>
        <v>#REF!</v>
      </c>
      <c r="DH291" s="4" t="e">
        <f t="shared" ca="1" si="4886"/>
        <v>#REF!</v>
      </c>
      <c r="DI291" s="692" t="str" cm="1">
        <f t="array" aca="1" ref="DI291" ca="1">IFERROR(VLOOKUP(INDEX(DE287:DE298,DH291),INDIRECT(BY287),2,FALSE),"----")</f>
        <v>----</v>
      </c>
      <c r="DJ291" s="691" t="e">
        <f t="shared" ca="1" si="4887"/>
        <v>#N/A</v>
      </c>
      <c r="DK291" s="4" t="e">
        <f ca="1">IF(AND(INDEX(SSM,DJ291,4)&gt;=$AB293,INDEX(SSM,DJ291,5)&gt;=$S287,INDEX(SSM,DJ291,6)&gt;=$R287),1,0)</f>
        <v>#N/A</v>
      </c>
      <c r="DL291" s="4" t="e">
        <f t="shared" ref="DL291" ca="1" si="4941">MATCH(1,OFFSET(DK287:DK298,DM290,0,COUNT(DK287:DK298)-DM290),0)</f>
        <v>#REF!</v>
      </c>
      <c r="DM291" s="4" t="e">
        <f t="shared" ca="1" si="4889"/>
        <v>#REF!</v>
      </c>
      <c r="DN291" s="692" t="str">
        <f ca="1">IFERROR(IF(AD294="Nested Steel Stud (wood infill)",VLOOKUP(INDEX(DJ287:DJ298,DM291),SSW,2,FALSE),VLOOKUP(INDEX(DJ287:DJ298,DM291),SSM,2,FALSE)),"----")</f>
        <v>----</v>
      </c>
      <c r="DO291" s="691" t="e">
        <f t="shared" ca="1" si="4890"/>
        <v>#N/A</v>
      </c>
      <c r="DP291" s="4" t="e">
        <f ca="1">IF(AND(INDEX(WSM,DO291,4)&gt;=$AB293,INDEX(WSM,DO291,5)&gt;=$S287,INDEX(WSM,DO291,6)&gt;=$R287),1,0)</f>
        <v>#N/A</v>
      </c>
      <c r="DQ291" s="4" t="e">
        <f t="shared" ref="DQ291" ca="1" si="4942">MATCH(1,OFFSET(DP287:DP298,DR290,0,COUNT(DP287:DP298)-DR290),0)</f>
        <v>#REF!</v>
      </c>
      <c r="DR291" s="4" t="e">
        <f t="shared" ca="1" si="4892"/>
        <v>#REF!</v>
      </c>
      <c r="DS291" s="692" t="str">
        <f ca="1">IFERROR(VLOOKUP(INDEX(DO287:DO298,DR291),WSM,2,FALSE),"----")</f>
        <v>----</v>
      </c>
      <c r="DT291" s="691" t="e">
        <f t="shared" ca="1" si="4893"/>
        <v>#N/A</v>
      </c>
      <c r="DU291" s="4" t="e">
        <f ca="1">IF(AND(INDEX(STM,DT291,4)&gt;=$AB293,INDEX(STM,DT291,5)&gt;=$S287,INDEX(STM,DT291,6)&gt;=$R287),1,0)</f>
        <v>#N/A</v>
      </c>
      <c r="DV291" s="4" t="e">
        <f t="shared" ref="DV291" ca="1" si="4943">MATCH(1,OFFSET(DU287:DU298,DW290,0,COUNT(DU287:DU298)-DW290),0)</f>
        <v>#REF!</v>
      </c>
      <c r="DW291" s="4" t="e">
        <f t="shared" ca="1" si="4895"/>
        <v>#REF!</v>
      </c>
      <c r="DX291" s="692" t="str">
        <f ca="1">IFERROR(VLOOKUP(INDEX(DT287:DT298,DW291),STM,2,FALSE),"----")</f>
        <v>----</v>
      </c>
      <c r="DY291" s="691" t="e">
        <f t="shared" ca="1" si="4896"/>
        <v>#N/A</v>
      </c>
      <c r="DZ291" s="4" t="e">
        <f ca="1">IF(AND(INDEX(ELM,DY291,4)&gt;=$AB293,INDEX(ELM,DY291,5)&gt;=$S287,INDEX(ELM,DY291,6)&gt;=$R287),1,0)</f>
        <v>#N/A</v>
      </c>
      <c r="EA291" s="4" t="e">
        <f t="shared" ref="EA291" ca="1" si="4944">MATCH(1,OFFSET(DZ287:DZ298,EB290,0,COUNT(DZ287:DZ298)-EB290),0)</f>
        <v>#REF!</v>
      </c>
      <c r="EB291" s="4" t="e">
        <f t="shared" ca="1" si="4898"/>
        <v>#REF!</v>
      </c>
      <c r="EC291" s="692" t="str">
        <f ca="1">IFERROR(VLOOKUP(INDEX(DY287:DY298,EB291),ELM,2,FALSE),"----")</f>
        <v>----</v>
      </c>
      <c r="ED291" s="691" t="e">
        <f t="shared" ca="1" si="4899"/>
        <v>#N/A</v>
      </c>
      <c r="EE291" s="4" t="e">
        <f ca="1">IF(LEFT($J287,7)="Clad Wo",IF(AND(INDEX(SPPWS,ED291,4)&gt;=$AB293,INDEX(SPPWS,ED291,5)&gt;=$S287,INDEX(SPPWS,ED291,6)&gt;=$R287),1,0),IF(AND(INDEX(SPM,ED291,4)&gt;=$AB293,INDEX(SPM,ED291,5)&gt;=$S287,INDEX(SPM,ED291,6)&gt;=$R287),1,0))</f>
        <v>#N/A</v>
      </c>
      <c r="EF291" s="4" t="e">
        <f t="shared" ref="EF291" ca="1" si="4945">MATCH(1,OFFSET(EE287:EE298,EG290,0,COUNT(EE287:EE298)-EG290),0)</f>
        <v>#REF!</v>
      </c>
      <c r="EG291" s="4" t="e">
        <f t="shared" ca="1" si="4901"/>
        <v>#REF!</v>
      </c>
      <c r="EH291" s="692" t="str">
        <f ca="1">IF(LEFT($J287,7)="Clad Wo",IFERROR(VLOOKUP(INDEX(ED287:ED298,EG291),SPPWS,2,FALSE),"----"),IFERROR(VLOOKUP(INDEX(ED287:ED298,EG291),SPM,2,FALSE),"----"))</f>
        <v>----</v>
      </c>
    </row>
    <row r="292" spans="1:138" ht="15" customHeight="1" thickBot="1" x14ac:dyDescent="0.3">
      <c r="A292" s="1085"/>
      <c r="B292" s="934"/>
      <c r="C292" s="935"/>
      <c r="D292" s="936"/>
      <c r="E292" s="995"/>
      <c r="F292" s="996"/>
      <c r="G292" s="997"/>
      <c r="H292" s="1062"/>
      <c r="I292" s="990"/>
      <c r="J292" s="908"/>
      <c r="K292" s="909"/>
      <c r="L292" s="1010"/>
      <c r="M292" s="924"/>
      <c r="N292" s="1044"/>
      <c r="O292" s="1018"/>
      <c r="P292" s="987"/>
      <c r="Q292" s="1015"/>
      <c r="R292" s="1012"/>
      <c r="S292" s="1006"/>
      <c r="T292" s="1007"/>
      <c r="U292" s="878"/>
      <c r="V292" s="881"/>
      <c r="W292" s="889"/>
      <c r="X292" s="884"/>
      <c r="Y292" s="890"/>
      <c r="Z292" s="890"/>
      <c r="AA292" s="887"/>
      <c r="AB292" s="1084"/>
      <c r="AC292" s="1079"/>
      <c r="AD292" s="1072" t="str">
        <f t="shared" ref="AD292" si="4946">IF(LEFT(J287,7)="Clad Wo","Pella Wood Spr / Steel Pte","Steel Plate")</f>
        <v>Steel Plate</v>
      </c>
      <c r="AE292" s="1073"/>
      <c r="AF292" s="1054"/>
      <c r="AG292" s="1055"/>
      <c r="AH292" s="1055"/>
      <c r="AI292" s="1092"/>
      <c r="AJ292" s="1093"/>
      <c r="AK292" s="159" t="str">
        <f t="shared" ref="AK292:AK355" ca="1" si="4947">IFERROR(VLOOKUP(AI292,OFFSET(INDIRECT(AQ292),0,1),2,FALSE),"")</f>
        <v/>
      </c>
      <c r="AL292" s="1040"/>
      <c r="AM292" s="345" t="str">
        <f ca="1">IFERROR(Q287/12*ROUND(VLOOKUP(AF292,OFFSET(SPM,0,1),6,FALSE),2),"")</f>
        <v/>
      </c>
      <c r="AN292" t="str">
        <f t="shared" ca="1" si="3717"/>
        <v/>
      </c>
      <c r="AP292" s="699" t="str">
        <f t="shared" ref="AP292" si="4948">_xlfn.CONCAT(AR292,AS292)</f>
        <v/>
      </c>
      <c r="AQ292" s="700" t="str">
        <f t="shared" si="3881"/>
        <v/>
      </c>
      <c r="AR292" s="160" t="str">
        <f t="shared" si="4931"/>
        <v/>
      </c>
      <c r="AS292" s="160" t="str">
        <f>IFERROR(VLOOKUP(J295, WallType,2,FALSE),"")</f>
        <v/>
      </c>
      <c r="AT292" s="701" t="str">
        <f>AL287</f>
        <v/>
      </c>
      <c r="AU292" s="694" t="e">
        <f t="shared" ca="1" si="3907"/>
        <v>#REF!</v>
      </c>
      <c r="AV292" s="698" t="str">
        <f ca="1">IFERROR(VLOOKUP(AU292,INDIRECT(AQ287),2,FALSE),"----")</f>
        <v>----</v>
      </c>
      <c r="AW292" s="702" t="e">
        <f t="shared" ca="1" si="3908"/>
        <v>#REF!</v>
      </c>
      <c r="AX292" s="698" t="str">
        <f ca="1">IFERROR(VLOOKUP(AW292,INDIRECT(AQ288),2,FALSE),"----")</f>
        <v>----</v>
      </c>
      <c r="AY292" s="702" t="e">
        <f t="shared" ref="AY292:AY307" ca="1" si="4949">AY291-1</f>
        <v>#REF!</v>
      </c>
      <c r="AZ292" s="698" t="str">
        <f ca="1">IFERROR(VLOOKUP(AY292,INDIRECT(AQ289),2,FALSE),"----")</f>
        <v>----</v>
      </c>
      <c r="BA292" s="702" t="e">
        <f t="shared" ref="BA292:BA307" ca="1" si="4950">BA291-1</f>
        <v>#REF!</v>
      </c>
      <c r="BB292" s="698" t="str">
        <f ca="1">IFERROR(VLOOKUP(BA292,INDIRECT(AQ290),2,FALSE),"----")</f>
        <v>----</v>
      </c>
      <c r="BC292" s="702" t="e">
        <f t="shared" ca="1" si="3911"/>
        <v>#REF!</v>
      </c>
      <c r="BD292" s="698" t="str">
        <f ca="1">IFERROR(VLOOKUP(BC292,INDIRECT(AQ291),2,FALSE),"----")</f>
        <v>----</v>
      </c>
      <c r="BE292" s="702" t="e">
        <f t="shared" ca="1" si="3912"/>
        <v>#REF!</v>
      </c>
      <c r="BF292" s="698" t="str">
        <f ca="1">IFERROR(VLOOKUP(BE292,INDIRECT(AQ292),2,FALSE),"----")</f>
        <v>----</v>
      </c>
      <c r="BG292" s="702" t="e">
        <f t="shared" ca="1" si="3913"/>
        <v>#REF!</v>
      </c>
      <c r="BH292" s="686" t="str">
        <f ca="1">IFERROR(VLOOKUP(BG292,INDIRECT(AQ293),2,FALSE),"----")</f>
        <v>----</v>
      </c>
      <c r="BI292" s="702" t="e">
        <f t="shared" ca="1" si="3914"/>
        <v>#REF!</v>
      </c>
      <c r="BJ292" s="686" t="str">
        <f ca="1">IFERROR(VLOOKUP(BI292,INDIRECT(AQ294),2,FALSE),"----")</f>
        <v>----</v>
      </c>
      <c r="BK292" s="702" t="e">
        <f t="shared" ca="1" si="3915"/>
        <v>#REF!</v>
      </c>
      <c r="BL292" s="686" t="str">
        <f ca="1">IFERROR(VLOOKUP(BK292,INDIRECT(AQ295),2,FALSE),"----")</f>
        <v>----</v>
      </c>
      <c r="BM292" s="702" t="e">
        <f t="shared" ca="1" si="3916"/>
        <v>#REF!</v>
      </c>
      <c r="BN292" s="686" t="str">
        <f ca="1">IFERROR(VLOOKUP(BM292,INDIRECT(AQ296),2,FALSE),"----")</f>
        <v>----</v>
      </c>
      <c r="BO292" s="702" t="e">
        <f t="shared" ca="1" si="3917"/>
        <v>#REF!</v>
      </c>
      <c r="BP292" s="686" t="str">
        <f ca="1">IFERROR(VLOOKUP(BO292,INDIRECT(AQ297),2,FALSE),"----")</f>
        <v>----</v>
      </c>
      <c r="BQ292" s="702" t="e">
        <f t="shared" ca="1" si="3918"/>
        <v>#REF!</v>
      </c>
      <c r="BR292" s="686" t="str">
        <f ca="1">IFERROR(VLOOKUP(BQ292,INDIRECT(AQ298),2,FALSE),"----")</f>
        <v>----</v>
      </c>
      <c r="BS292" s="703">
        <f>IF(AI292="",1,IF(COUNTIF(BF287:BF298,AI292)=0,2,1))</f>
        <v>1</v>
      </c>
      <c r="BT292" s="704">
        <f>IF(AF292="",1,IF(BF287=".",2,1))</f>
        <v>1</v>
      </c>
      <c r="BV292" s="155">
        <f ca="1">IF(COUNTIF(DD287:DD298,AF292)=0,IF(AF292&lt;&gt;"",0,1),1)</f>
        <v>1</v>
      </c>
      <c r="BW292" s="157">
        <f ca="1">IFERROR(MATCH(AF292,DD287:DD298,0),1)</f>
        <v>1</v>
      </c>
      <c r="BX292" s="875" t="s">
        <v>1594</v>
      </c>
      <c r="BY292" s="876"/>
      <c r="BZ292" s="1110"/>
      <c r="CA292" s="691" t="e">
        <f t="shared" ca="1" si="4866"/>
        <v>#REF!</v>
      </c>
      <c r="CB292" s="4" t="e" cm="1">
        <f t="array" aca="1" ref="CB292" ca="1">IF(AND(INDEX(INDIRECT(BY287),CA292,4)&gt;=$AB287,INDEX(INDIRECT(BY287),CA292,5)&gt;=$S287,INDEX(INDIRECT(BY287),CA292,6)&gt;=$R287),1,0)</f>
        <v>#REF!</v>
      </c>
      <c r="CC292" s="4" t="e">
        <f t="shared" ref="CC292" ca="1" si="4951">MATCH(1,OFFSET(CB287:CB298,CD291,0,COUNT(CB287:CB298)-CD291),0)</f>
        <v>#REF!</v>
      </c>
      <c r="CD292" s="4" t="e">
        <f t="shared" ca="1" si="4868"/>
        <v>#REF!</v>
      </c>
      <c r="CE292" s="692" t="str" cm="1">
        <f t="array" aca="1" ref="CE292" ca="1">IFERROR(VLOOKUP(INDEX(CA287:CA298,CD292),INDIRECT(BY287),2,FALSE),"----")</f>
        <v>----</v>
      </c>
      <c r="CF292" s="691" t="e">
        <f t="shared" ca="1" si="4869"/>
        <v>#N/A</v>
      </c>
      <c r="CG292" s="4" t="e">
        <f ca="1">IF(AND(INDEX(SSM,CF292,4)&gt;=$AB287,INDEX(SSM,CF292,5)&gt;=$S287,INDEX(SSM,CF292,6)&gt;=$R287),1,0)</f>
        <v>#N/A</v>
      </c>
      <c r="CH292" s="4" t="e">
        <f t="shared" ref="CH292" ca="1" si="4952">MATCH(1,OFFSET(CG287:CG298,CI291,0,COUNT(CG287:CG298)-CI291),0)</f>
        <v>#REF!</v>
      </c>
      <c r="CI292" s="4" t="e">
        <f t="shared" ca="1" si="4871"/>
        <v>#REF!</v>
      </c>
      <c r="CJ292" s="692" t="str">
        <f ca="1">IFERROR(IF(AD288="Nested Steel Stud (wood infill)",VLOOKUP(INDEX(CF287:CF298,CI292),SSW,2,FALSE),VLOOKUP(INDEX(CF287:CF298,CI292),SSM,2,FALSE)),"----")</f>
        <v>----</v>
      </c>
      <c r="CK292" s="691" t="e">
        <f t="shared" ca="1" si="4872"/>
        <v>#N/A</v>
      </c>
      <c r="CL292" s="4" t="e">
        <f ca="1">IF(AND(INDEX(WSM,CK292,4)&gt;=$AB287,INDEX(WSM,CK292,5)&gt;=$S287,INDEX(WSM,CK292,6)&gt;=$R287),1,0)</f>
        <v>#N/A</v>
      </c>
      <c r="CM292" s="4" t="e">
        <f t="shared" ref="CM292" ca="1" si="4953">MATCH(1,OFFSET(CL287:CL298,CN291,0,COUNT(CL287:CL298)-CN291),0)</f>
        <v>#REF!</v>
      </c>
      <c r="CN292" s="4" t="e">
        <f t="shared" ca="1" si="4874"/>
        <v>#REF!</v>
      </c>
      <c r="CO292" s="692" t="str">
        <f ca="1">IFERROR(VLOOKUP(INDEX(CK287:CK298,CN292),WSM,2,FALSE),"----")</f>
        <v>----</v>
      </c>
      <c r="CP292" s="691" t="e">
        <f t="shared" ca="1" si="4875"/>
        <v>#N/A</v>
      </c>
      <c r="CQ292" s="4" t="e">
        <f ca="1">IF(AND(INDEX(STM,CP292,4)&gt;=$AB287,INDEX(STM,CP292,5)&gt;=$S287,INDEX(STM,CP292,6)&gt;=$R287),1,0)</f>
        <v>#N/A</v>
      </c>
      <c r="CR292" s="4" t="e">
        <f t="shared" ref="CR292" ca="1" si="4954">MATCH(1,OFFSET(CQ287:CQ298,CS291,0,COUNT(CQ287:CQ298)-CS291),0)</f>
        <v>#REF!</v>
      </c>
      <c r="CS292" s="4" t="e">
        <f t="shared" ca="1" si="4877"/>
        <v>#REF!</v>
      </c>
      <c r="CT292" s="692" t="str">
        <f ca="1">IFERROR(VLOOKUP(INDEX(CP287:CP298,CS292),STM,2,FALSE),"----")</f>
        <v>----</v>
      </c>
      <c r="CU292" s="691" t="e">
        <f t="shared" ca="1" si="4878"/>
        <v>#N/A</v>
      </c>
      <c r="CV292" s="4" t="e">
        <f ca="1">IF(AND(INDEX(ELM,CU292,4)&gt;=$AB287,INDEX(ELM,CU292,5)&gt;=$S287,INDEX(ELM,CU292,6)&gt;=$R287),1,0)</f>
        <v>#N/A</v>
      </c>
      <c r="CW292" s="4" t="e">
        <f t="shared" ref="CW292" ca="1" si="4955">MATCH(1,OFFSET(CV287:CV298,CX291,0,COUNT(CV287:CV298)-CX291),0)</f>
        <v>#REF!</v>
      </c>
      <c r="CX292" s="4" t="e">
        <f t="shared" ca="1" si="4880"/>
        <v>#REF!</v>
      </c>
      <c r="CY292" s="692" t="str">
        <f ca="1">IFERROR(VLOOKUP(INDEX(CU287:CU298,CX292),ELM,2,FALSE),"----")</f>
        <v>----</v>
      </c>
      <c r="CZ292" s="691" t="e">
        <f t="shared" ca="1" si="4881"/>
        <v>#N/A</v>
      </c>
      <c r="DA292" s="4" t="e">
        <f ca="1">IF(LEFT($J287,7)="Clad Wo",IF(AND(INDEX(SPPWS,CZ292,4)&gt;=$AB287,INDEX(SPPWS,CZ292,5)&gt;=$S287,INDEX(SPPWS,CZ292,6)&gt;=$R287),1,0),IF(AND(INDEX(SPM,CZ292,4)&gt;=$AB287,INDEX(SPM,CZ292,5)&gt;=$S287,INDEX(SPM,CZ292,6)&gt;=$R287),1,0))</f>
        <v>#N/A</v>
      </c>
      <c r="DB292" s="4" t="e">
        <f t="shared" ref="DB292" ca="1" si="4956">MATCH(1,OFFSET(DA287:DA298,DC291,0,COUNT(DA287:DA298)-DC291),0)</f>
        <v>#REF!</v>
      </c>
      <c r="DC292" s="4" t="e">
        <f t="shared" ca="1" si="4883"/>
        <v>#REF!</v>
      </c>
      <c r="DD292" s="693" t="str">
        <f ca="1">IF(LEFT($J287,7)="Clad Wo",IFERROR(VLOOKUP(INDEX(CZ287:CZ298,DC292),SPPWS,2,FALSE),"----"),IFERROR(VLOOKUP(INDEX(CZ287:CZ298,DC292),SPM,2,FALSE),"----"))</f>
        <v>----</v>
      </c>
      <c r="DE292" s="691" t="e">
        <f t="shared" ca="1" si="4884"/>
        <v>#REF!</v>
      </c>
      <c r="DF292" s="4" t="e" cm="1">
        <f t="array" aca="1" ref="DF292" ca="1">IF(AND(INDEX(INDIRECT(BY287),DE292,4)&gt;=$AB293,INDEX(INDIRECT(BY287),DE292,5)&gt;=$S287,INDEX(INDIRECT(BY287),DE292,6)&gt;=$R287),1,0)</f>
        <v>#REF!</v>
      </c>
      <c r="DG292" s="4" t="e">
        <f t="shared" ref="DG292" ca="1" si="4957">MATCH(1,OFFSET(DF287:DF298,DH291,0,COUNT(DF287:DF298)-DH291),0)</f>
        <v>#REF!</v>
      </c>
      <c r="DH292" s="4" t="e">
        <f t="shared" ca="1" si="4886"/>
        <v>#REF!</v>
      </c>
      <c r="DI292" s="692" t="str" cm="1">
        <f t="array" aca="1" ref="DI292" ca="1">IFERROR(VLOOKUP(INDEX(DE287:DE298,DH292),INDIRECT(BY287),2,FALSE),"----")</f>
        <v>----</v>
      </c>
      <c r="DJ292" s="691" t="e">
        <f t="shared" ca="1" si="4887"/>
        <v>#N/A</v>
      </c>
      <c r="DK292" s="4" t="e">
        <f ca="1">IF(AND(INDEX(SSM,DJ292,4)&gt;=$AB293,INDEX(SSM,DJ292,5)&gt;=$S287,INDEX(SSM,DJ292,6)&gt;=$R287),1,0)</f>
        <v>#N/A</v>
      </c>
      <c r="DL292" s="4" t="e">
        <f t="shared" ref="DL292" ca="1" si="4958">MATCH(1,OFFSET(DK287:DK298,DM291,0,COUNT(DK287:DK298)-DM291),0)</f>
        <v>#REF!</v>
      </c>
      <c r="DM292" s="4" t="e">
        <f t="shared" ca="1" si="4889"/>
        <v>#REF!</v>
      </c>
      <c r="DN292" s="692" t="str">
        <f ca="1">IFERROR(IF(AD294="Nested Steel Stud (wood infill)",VLOOKUP(INDEX(DJ287:DJ298,DM292),SSW,2,FALSE),VLOOKUP(INDEX(DJ287:DJ298,DM292),SSM,2,FALSE)),"----")</f>
        <v>----</v>
      </c>
      <c r="DO292" s="691" t="e">
        <f t="shared" ca="1" si="4890"/>
        <v>#N/A</v>
      </c>
      <c r="DP292" s="4" t="e">
        <f ca="1">IF(AND(INDEX(WSM,DO292,4)&gt;=$AB293,INDEX(WSM,DO292,5)&gt;=$S287,INDEX(WSM,DO292,6)&gt;=$R287),1,0)</f>
        <v>#N/A</v>
      </c>
      <c r="DQ292" s="4" t="e">
        <f t="shared" ref="DQ292" ca="1" si="4959">MATCH(1,OFFSET(DP287:DP298,DR291,0,COUNT(DP287:DP298)-DR291),0)</f>
        <v>#REF!</v>
      </c>
      <c r="DR292" s="4" t="e">
        <f t="shared" ca="1" si="4892"/>
        <v>#REF!</v>
      </c>
      <c r="DS292" s="692" t="str">
        <f ca="1">IFERROR(VLOOKUP(INDEX(DO287:DO298,DR292),WSM,2,FALSE),"----")</f>
        <v>----</v>
      </c>
      <c r="DT292" s="691" t="e">
        <f t="shared" ca="1" si="4893"/>
        <v>#N/A</v>
      </c>
      <c r="DU292" s="4" t="e">
        <f ca="1">IF(AND(INDEX(STM,DT292,4)&gt;=$AB293,INDEX(STM,DT292,5)&gt;=$S287,INDEX(STM,DT292,6)&gt;=$R287),1,0)</f>
        <v>#N/A</v>
      </c>
      <c r="DV292" s="4" t="e">
        <f t="shared" ref="DV292" ca="1" si="4960">MATCH(1,OFFSET(DU287:DU298,DW291,0,COUNT(DU287:DU298)-DW291),0)</f>
        <v>#REF!</v>
      </c>
      <c r="DW292" s="4" t="e">
        <f t="shared" ca="1" si="4895"/>
        <v>#REF!</v>
      </c>
      <c r="DX292" s="692" t="str">
        <f ca="1">IFERROR(VLOOKUP(INDEX(DT287:DT298,DW292),STM,2,FALSE),"----")</f>
        <v>----</v>
      </c>
      <c r="DY292" s="691" t="e">
        <f t="shared" ca="1" si="4896"/>
        <v>#N/A</v>
      </c>
      <c r="DZ292" s="4" t="e">
        <f ca="1">IF(AND(INDEX(ELM,DY292,4)&gt;=$AB293,INDEX(ELM,DY292,5)&gt;=$S287,INDEX(ELM,DY292,6)&gt;=$R287),1,0)</f>
        <v>#N/A</v>
      </c>
      <c r="EA292" s="4" t="e">
        <f t="shared" ref="EA292" ca="1" si="4961">MATCH(1,OFFSET(DZ287:DZ298,EB291,0,COUNT(DZ287:DZ298)-EB291),0)</f>
        <v>#REF!</v>
      </c>
      <c r="EB292" s="4" t="e">
        <f t="shared" ca="1" si="4898"/>
        <v>#REF!</v>
      </c>
      <c r="EC292" s="692" t="str">
        <f ca="1">IFERROR(VLOOKUP(INDEX(DY287:DY298,EB292),ELM,2,FALSE),"----")</f>
        <v>----</v>
      </c>
      <c r="ED292" s="691" t="e">
        <f t="shared" ca="1" si="4899"/>
        <v>#N/A</v>
      </c>
      <c r="EE292" s="4" t="e">
        <f ca="1">IF(LEFT($J287,7)="Clad Wo",IF(AND(INDEX(SPPWS,ED292,4)&gt;=$AB293,INDEX(SPPWS,ED292,5)&gt;=$S287,INDEX(SPPWS,ED292,6)&gt;=$R287),1,0),IF(AND(INDEX(SPM,ED292,4)&gt;=$AB293,INDEX(SPM,ED292,5)&gt;=$S287,INDEX(SPM,ED292,6)&gt;=$R287),1,0))</f>
        <v>#N/A</v>
      </c>
      <c r="EF292" s="4" t="e">
        <f t="shared" ref="EF292" ca="1" si="4962">MATCH(1,OFFSET(EE287:EE298,EG291,0,COUNT(EE287:EE298)-EG291),0)</f>
        <v>#REF!</v>
      </c>
      <c r="EG292" s="4" t="e">
        <f t="shared" ca="1" si="4901"/>
        <v>#REF!</v>
      </c>
      <c r="EH292" s="692" t="str">
        <f ca="1">IF(LEFT($J287,7)="Clad Wo",IFERROR(VLOOKUP(INDEX(ED287:ED298,EG292),SPPWS,2,FALSE),"----"),IFERROR(VLOOKUP(INDEX(ED287:ED298,EG292),SPM,2,FALSE),"----"))</f>
        <v>----</v>
      </c>
    </row>
    <row r="293" spans="1:138" ht="15" customHeight="1" x14ac:dyDescent="0.25">
      <c r="A293" s="1085"/>
      <c r="B293" s="925" t="s">
        <v>409</v>
      </c>
      <c r="C293" s="926"/>
      <c r="D293" s="927"/>
      <c r="E293" s="995"/>
      <c r="F293" s="996"/>
      <c r="G293" s="997"/>
      <c r="H293" s="1062"/>
      <c r="I293" s="990"/>
      <c r="J293" s="908"/>
      <c r="K293" s="909"/>
      <c r="L293" s="1001">
        <f>L287+1</f>
        <v>5</v>
      </c>
      <c r="M293" s="1064" t="str">
        <f t="shared" ref="M293" si="4963">IFERROR(IF($AE$17="",IF($AG$19="Wind Loading",MIN($V$31,IF(E$11="ASCE 7-05",$U$26,$V$7)*$V$9*(IF($E$12&lt;60,0.156*LN(MAX(MIN(500,O287),10)) -1.7618,IF($E$11="ASCE 7-22", 0.2026*LN(MAX(MIN(500,O287),20))-2.2638,0.2503*LN(MAX(MIN(500,O287),20)) -2.5526))-$V$8)),$V$7*IF(E$12&lt;60,$V$13*($V$15*(0.156*LN(MAX(MIN(500,O287),10)) -1.7618)-$V$16),$V$13*$V$15*((0.2026*LN(MAX(MIN(500,O287),20))-2.2638)-$V$16))),-ABS($AE$17)),"")</f>
        <v/>
      </c>
      <c r="N293" s="1041" t="str">
        <f t="shared" ref="N293" si="4964">IFERROR(IF($AE$19="",IF($AG$19="Wind Loading",MAX($U$31,IF(E$11="ASCE 7-05",$U$26,$V$7)*$V$9*((IF($E$12&lt;60,-0.077*LN(MAX(MIN(500,O287),10))+1.1737,IF($E$11="ASCE 7-22",-0.077*LN(MAX(MIN(500,O287),20))+1.0798,-0.093*LN(MAX(MIN(500,O287),20))+1.1776)))+$V$8)),$V$7*IF(E$12&lt;60,$V$13*($V$15*(-0.077*LN(MAX(MIN(500,O287),10))+1.1737)-$V$17),$V$13*$V$15*((-0.077*LN(MAX(MIN(500,O287),20))+1.0798)-$V$17))),ABS($AE$19)),"")</f>
        <v/>
      </c>
      <c r="O293" s="1018"/>
      <c r="P293" s="987"/>
      <c r="Q293" s="1015"/>
      <c r="R293" s="1012">
        <f>P293*Q293/8</f>
        <v>0</v>
      </c>
      <c r="S293" s="1006"/>
      <c r="T293" s="1007"/>
      <c r="U293" s="878"/>
      <c r="V293" s="881"/>
      <c r="W293" s="883" t="e">
        <f t="shared" ref="W293" si="4965">MAX(-M293,N293)*O287</f>
        <v>#VALUE!</v>
      </c>
      <c r="X293" s="884"/>
      <c r="Y293" s="886">
        <f>IFERROR(IF(AG$14="Trapezoidal",BY296,BX296)+IF($E$17="4",(400*E287^3)/(48*X287),0),0)</f>
        <v>0</v>
      </c>
      <c r="Z293" s="886" t="e">
        <f t="shared" ref="Z293" si="4966">+($V287*MAX(-$M293,$N293)*$E287^2)/(144*8)+IF($E$17=4,(400*$E287)/4,0)</f>
        <v>#VALUE!</v>
      </c>
      <c r="AA293" s="887"/>
      <c r="AB293" s="1080" t="str">
        <f t="shared" ref="AB293" ca="1" si="4967">IFERROR(Z293-AA287,"")</f>
        <v/>
      </c>
      <c r="AC293" s="1086" t="str">
        <f t="shared" ref="AC293" ca="1" si="4968">IFERROR(Y293-U287,"")</f>
        <v/>
      </c>
      <c r="AD293" s="1074" t="str">
        <f t="shared" ref="AD293" si="4969">AD287</f>
        <v/>
      </c>
      <c r="AE293" s="1075"/>
      <c r="AF293" s="1056"/>
      <c r="AG293" s="1057"/>
      <c r="AH293" s="1057"/>
      <c r="AI293" s="1088"/>
      <c r="AJ293" s="1089"/>
      <c r="AK293" s="162" t="str">
        <f t="shared" ca="1" si="4947"/>
        <v/>
      </c>
      <c r="AL293" s="1058" t="str">
        <f t="shared" ref="AL293" si="4970">IFERROR(ROUND(SQRT(P287^2+(W293/2+IF($E$17=4,200,0))^2),0),"")</f>
        <v/>
      </c>
      <c r="AM293" s="342" t="s">
        <v>669</v>
      </c>
      <c r="AN293" t="str">
        <f t="shared" ref="AN293:AN356" ca="1" si="4971">IF(BW293&gt;1,"Lighter Reinforcement Options Available","")</f>
        <v/>
      </c>
      <c r="AP293" s="122" t="str">
        <f t="shared" ref="AP293" si="4972">_xlfn.CONCAT(AR293,AS298)</f>
        <v/>
      </c>
      <c r="AQ293" s="683" t="str">
        <f t="shared" si="3881"/>
        <v/>
      </c>
      <c r="AR293" s="96" t="str">
        <f t="shared" si="4931"/>
        <v/>
      </c>
      <c r="AS293" s="96" t="str">
        <f>IF(COUNTIF(imp_1,AF293)=1,"imp_1",IF(COUNTIF(imp_2,AF293)=1,"imp_2",IF(COUNTIF(imp_3,AF293)=1,"imp_3",IF(COUNTIF(impdoor,AF293)=1,"impdoor",""))))</f>
        <v/>
      </c>
      <c r="AT293" s="684" t="str">
        <f>AL293</f>
        <v/>
      </c>
      <c r="AU293" s="685" t="e">
        <f t="shared" ca="1" si="3907"/>
        <v>#REF!</v>
      </c>
      <c r="AV293" s="686" t="str">
        <f ca="1">IFERROR(VLOOKUP(AU293,INDIRECT(AQ287),2,FALSE),"----")</f>
        <v>----</v>
      </c>
      <c r="AW293" s="685" t="e">
        <f t="shared" ca="1" si="3908"/>
        <v>#REF!</v>
      </c>
      <c r="AX293" s="686" t="str">
        <f ca="1">IFERROR(VLOOKUP(AW293,INDIRECT(AQ288),2,FALSE),"----")</f>
        <v>----</v>
      </c>
      <c r="AY293" s="685" t="e">
        <f t="shared" ca="1" si="4949"/>
        <v>#REF!</v>
      </c>
      <c r="AZ293" s="686" t="str">
        <f ca="1">IFERROR(VLOOKUP(AY293,INDIRECT(AQ289),2,FALSE),"----")</f>
        <v>----</v>
      </c>
      <c r="BA293" s="685" t="e">
        <f t="shared" ca="1" si="4950"/>
        <v>#REF!</v>
      </c>
      <c r="BB293" s="686" t="str">
        <f ca="1">IFERROR(VLOOKUP(BA293,INDIRECT(AQ290),2,FALSE),"----")</f>
        <v>----</v>
      </c>
      <c r="BC293" s="685" t="e">
        <f t="shared" ca="1" si="3911"/>
        <v>#REF!</v>
      </c>
      <c r="BD293" s="686" t="str">
        <f ca="1">IFERROR(VLOOKUP(BC293,INDIRECT(AQ291),2,FALSE),"----")</f>
        <v>----</v>
      </c>
      <c r="BE293" s="685" t="e">
        <f t="shared" ca="1" si="3912"/>
        <v>#REF!</v>
      </c>
      <c r="BF293" s="686" t="str">
        <f ca="1">IFERROR(VLOOKUP(BE293,INDIRECT(AQ292),2,FALSE),"----")</f>
        <v>----</v>
      </c>
      <c r="BG293" s="702" t="e">
        <f t="shared" ca="1" si="3913"/>
        <v>#REF!</v>
      </c>
      <c r="BH293" s="686" t="str">
        <f ca="1">IFERROR(VLOOKUP(BG293,INDIRECT(AQ293),2,FALSE),"----")</f>
        <v>----</v>
      </c>
      <c r="BI293" s="702" t="e">
        <f t="shared" ca="1" si="3914"/>
        <v>#REF!</v>
      </c>
      <c r="BJ293" s="686" t="str">
        <f ca="1">IFERROR(VLOOKUP(BI293,INDIRECT(AQ294),2,FALSE),"----")</f>
        <v>----</v>
      </c>
      <c r="BK293" s="702" t="e">
        <f t="shared" ca="1" si="3915"/>
        <v>#REF!</v>
      </c>
      <c r="BL293" s="686" t="str">
        <f ca="1">IFERROR(VLOOKUP(BK293,INDIRECT(AQ295),2,FALSE),"----")</f>
        <v>----</v>
      </c>
      <c r="BM293" s="702" t="e">
        <f t="shared" ca="1" si="3916"/>
        <v>#REF!</v>
      </c>
      <c r="BN293" s="686" t="str">
        <f ca="1">IFERROR(VLOOKUP(BM293,INDIRECT(AQ296),2,FALSE),"----")</f>
        <v>----</v>
      </c>
      <c r="BO293" s="702" t="e">
        <f t="shared" ca="1" si="3917"/>
        <v>#REF!</v>
      </c>
      <c r="BP293" s="686" t="str">
        <f ca="1">IFERROR(VLOOKUP(BO293,INDIRECT(AQ297),2,FALSE),"----")</f>
        <v>----</v>
      </c>
      <c r="BQ293" s="702" t="e">
        <f t="shared" ca="1" si="3918"/>
        <v>#REF!</v>
      </c>
      <c r="BR293" s="686" t="str">
        <f ca="1">IFERROR(VLOOKUP(BQ293,INDIRECT(AQ298),2,FALSE),"----")</f>
        <v>----</v>
      </c>
      <c r="BS293" s="695">
        <f>IF(AI293="",1,IF(COUNTIF(BH287:BH298,AI293)=0,2,1))</f>
        <v>1</v>
      </c>
      <c r="BT293" s="696">
        <f>IF(AP293="1",1,IF(AF293="",1,IF(BH287=".",2,1)))</f>
        <v>1</v>
      </c>
      <c r="BU293" s="706"/>
      <c r="BV293" s="155">
        <f ca="1">IF(COUNTIF(DI287:DI298,AF293)=0,IF(AF293&lt;&gt;"",0,1),1)</f>
        <v>1</v>
      </c>
      <c r="BW293" s="157">
        <f ca="1">IFERROR(MATCH(AF293,DI287:DI298,0),1)</f>
        <v>1</v>
      </c>
      <c r="BX293" s="769" t="s">
        <v>1593</v>
      </c>
      <c r="BY293" s="769" t="s">
        <v>1629</v>
      </c>
      <c r="BZ293" s="1110"/>
      <c r="CA293" s="691" t="e">
        <f t="shared" ca="1" si="4866"/>
        <v>#REF!</v>
      </c>
      <c r="CB293" s="4" t="e" cm="1">
        <f t="array" aca="1" ref="CB293" ca="1">IF(AND(INDEX(INDIRECT(BY287),CA293,4)&gt;=$AB287,INDEX(INDIRECT(BY287),CA293,5)&gt;=$S287,INDEX(INDIRECT(BY287),CA293,6)&gt;=$R287),1,0)</f>
        <v>#REF!</v>
      </c>
      <c r="CC293" s="4" t="e">
        <f t="shared" ref="CC293" ca="1" si="4973">MATCH(1,OFFSET(CB287:CB298,CD292,0,COUNT(CB287:CB298)-CD292),0)</f>
        <v>#REF!</v>
      </c>
      <c r="CD293" s="4" t="e">
        <f t="shared" ca="1" si="4868"/>
        <v>#REF!</v>
      </c>
      <c r="CE293" s="692" t="str" cm="1">
        <f t="array" aca="1" ref="CE293" ca="1">IFERROR(VLOOKUP(INDEX(CA287:CA298,CD293),INDIRECT(BY287),2,FALSE),"----")</f>
        <v>----</v>
      </c>
      <c r="CF293" s="691" t="e">
        <f t="shared" ca="1" si="4869"/>
        <v>#N/A</v>
      </c>
      <c r="CG293" s="4" t="e">
        <f ca="1">IF(AND(INDEX(SSM,CF293,4)&gt;=$AB287,INDEX(SSM,CF293,5)&gt;=$S287,INDEX(SSM,CF293,6)&gt;=$R287),1,0)</f>
        <v>#N/A</v>
      </c>
      <c r="CH293" s="4" t="e">
        <f t="shared" ref="CH293" ca="1" si="4974">MATCH(1,OFFSET(CG287:CG298,CI292,0,COUNT(CG287:CG298)-CI292),0)</f>
        <v>#REF!</v>
      </c>
      <c r="CI293" s="4" t="e">
        <f t="shared" ca="1" si="4871"/>
        <v>#REF!</v>
      </c>
      <c r="CJ293" s="692" t="str">
        <f ca="1">IFERROR(IF(AD288="Nested Steel Stud (wood infill)",VLOOKUP(INDEX(CF287:CF298,CI293),SSW,2,FALSE),VLOOKUP(INDEX(CF287:CF298,CI293),SSM,2,FALSE)),"----")</f>
        <v>----</v>
      </c>
      <c r="CK293" s="691" t="e">
        <f t="shared" ca="1" si="4872"/>
        <v>#N/A</v>
      </c>
      <c r="CL293" s="4" t="e">
        <f ca="1">IF(AND(INDEX(WSM,CK293,4)&gt;=$AB287,INDEX(WSM,CK293,5)&gt;=$S287,INDEX(WSM,CK293,6)&gt;=$R287),1,0)</f>
        <v>#N/A</v>
      </c>
      <c r="CM293" s="4" t="e">
        <f t="shared" ref="CM293" ca="1" si="4975">MATCH(1,OFFSET(CL287:CL298,CN292,0,COUNT(CL287:CL298)-CN292),0)</f>
        <v>#REF!</v>
      </c>
      <c r="CN293" s="4" t="e">
        <f t="shared" ca="1" si="4874"/>
        <v>#REF!</v>
      </c>
      <c r="CO293" s="692" t="str">
        <f ca="1">IFERROR(VLOOKUP(INDEX(CK287:CK298,CN293),WSM,2,FALSE),"----")</f>
        <v>----</v>
      </c>
      <c r="CP293" s="691" t="e">
        <f t="shared" ca="1" si="4875"/>
        <v>#N/A</v>
      </c>
      <c r="CQ293" s="4" t="e">
        <f ca="1">IF(AND(INDEX(STM,CP293,4)&gt;=$AB287,INDEX(STM,CP293,5)&gt;=$S287,INDEX(STM,CP293,6)&gt;=$R287),1,0)</f>
        <v>#N/A</v>
      </c>
      <c r="CR293" s="4" t="e">
        <f t="shared" ref="CR293" ca="1" si="4976">MATCH(1,OFFSET(CQ287:CQ298,CS292,0,COUNT(CQ287:CQ298)-CS292),0)</f>
        <v>#REF!</v>
      </c>
      <c r="CS293" s="4" t="e">
        <f t="shared" ca="1" si="4877"/>
        <v>#REF!</v>
      </c>
      <c r="CT293" s="692" t="str">
        <f ca="1">IFERROR(VLOOKUP(INDEX(CP287:CP298,CS293),STM,2,FALSE),"----")</f>
        <v>----</v>
      </c>
      <c r="CU293" s="691" t="e">
        <f t="shared" ca="1" si="4878"/>
        <v>#N/A</v>
      </c>
      <c r="CV293" s="4" t="e">
        <f ca="1">IF(AND(INDEX(ELM,CU293,4)&gt;=$AB287,INDEX(ELM,CU293,5)&gt;=$S287,INDEX(ELM,CU293,6)&gt;=$R287),1,0)</f>
        <v>#N/A</v>
      </c>
      <c r="CW293" s="4" t="e">
        <f t="shared" ref="CW293" ca="1" si="4977">MATCH(1,OFFSET(CV287:CV298,CX292,0,COUNT(CV287:CV298)-CX292),0)</f>
        <v>#REF!</v>
      </c>
      <c r="CX293" s="4" t="e">
        <f t="shared" ca="1" si="4880"/>
        <v>#REF!</v>
      </c>
      <c r="CY293" s="692" t="str">
        <f ca="1">IFERROR(VLOOKUP(INDEX(CU287:CU298,CX293),ELM,2,FALSE),"----")</f>
        <v>----</v>
      </c>
      <c r="CZ293" s="691" t="e">
        <f t="shared" ca="1" si="4881"/>
        <v>#N/A</v>
      </c>
      <c r="DA293" s="4" t="e">
        <f ca="1">IF(LEFT($J287,7)="Clad Wo",IF(AND(INDEX(SPPWS,CZ293,4)&gt;=$AB287,INDEX(SPPWS,CZ293,5)&gt;=$S287,INDEX(SPPWS,CZ293,6)&gt;=$R287),1,0),IF(AND(INDEX(SPM,CZ293,4)&gt;=$AB287,INDEX(SPM,CZ293,5)&gt;=$S287,INDEX(SPM,CZ293,6)&gt;=$R287),1,0))</f>
        <v>#N/A</v>
      </c>
      <c r="DB293" s="4" t="e">
        <f t="shared" ref="DB293" ca="1" si="4978">MATCH(1,OFFSET(DA287:DA298,DC292,0,COUNT(DA287:DA298)-DC292),0)</f>
        <v>#REF!</v>
      </c>
      <c r="DC293" s="4" t="e">
        <f t="shared" ca="1" si="4883"/>
        <v>#REF!</v>
      </c>
      <c r="DD293" s="693" t="str">
        <f ca="1">IF(LEFT($J287,7)="Clad Wo",IFERROR(VLOOKUP(INDEX(CZ287:CZ298,DC293),SPPWS,2,FALSE),"----"),IFERROR(VLOOKUP(INDEX(CZ287:CZ298,DC293),SPM,2,FALSE),"----"))</f>
        <v>----</v>
      </c>
      <c r="DE293" s="691" t="e">
        <f t="shared" ca="1" si="4884"/>
        <v>#REF!</v>
      </c>
      <c r="DF293" s="4" t="e" cm="1">
        <f t="array" aca="1" ref="DF293" ca="1">IF(AND(INDEX(INDIRECT(BY287),DE293,4)&gt;=$AB293,INDEX(INDIRECT(BY287),DE293,5)&gt;=$S287,INDEX(INDIRECT(BY287),DE293,6)&gt;=$R287),1,0)</f>
        <v>#REF!</v>
      </c>
      <c r="DG293" s="4" t="e">
        <f t="shared" ref="DG293" ca="1" si="4979">MATCH(1,OFFSET(DF287:DF298,DH292,0,COUNT(DF287:DF298)-DH292),0)</f>
        <v>#REF!</v>
      </c>
      <c r="DH293" s="4" t="e">
        <f t="shared" ca="1" si="4886"/>
        <v>#REF!</v>
      </c>
      <c r="DI293" s="692" t="str" cm="1">
        <f t="array" aca="1" ref="DI293" ca="1">IFERROR(VLOOKUP(INDEX(DE287:DE298,DH293),INDIRECT(BY287),2,FALSE),"----")</f>
        <v>----</v>
      </c>
      <c r="DJ293" s="691" t="e">
        <f t="shared" ca="1" si="4887"/>
        <v>#N/A</v>
      </c>
      <c r="DK293" s="4" t="e">
        <f ca="1">IF(AND(INDEX(SSM,DJ293,4)&gt;=$AB293,INDEX(SSM,DJ293,5)&gt;=$S287,INDEX(SSM,DJ293,6)&gt;=$R287),1,0)</f>
        <v>#N/A</v>
      </c>
      <c r="DL293" s="4" t="e">
        <f t="shared" ref="DL293" ca="1" si="4980">MATCH(1,OFFSET(DK287:DK298,DM292,0,COUNT(DK287:DK298)-DM292),0)</f>
        <v>#REF!</v>
      </c>
      <c r="DM293" s="4" t="e">
        <f t="shared" ca="1" si="4889"/>
        <v>#REF!</v>
      </c>
      <c r="DN293" s="692" t="str">
        <f ca="1">IFERROR(IF(AD294="Nested Steel Stud (wood infill)",VLOOKUP(INDEX(DJ287:DJ298,DM293),SSW,2,FALSE),VLOOKUP(INDEX(DJ287:DJ298,DM293),SSM,2,FALSE)),"----")</f>
        <v>----</v>
      </c>
      <c r="DO293" s="691" t="e">
        <f t="shared" ca="1" si="4890"/>
        <v>#N/A</v>
      </c>
      <c r="DP293" s="4" t="e">
        <f ca="1">IF(AND(INDEX(WSM,DO293,4)&gt;=$AB293,INDEX(WSM,DO293,5)&gt;=$S287,INDEX(WSM,DO293,6)&gt;=$R287),1,0)</f>
        <v>#N/A</v>
      </c>
      <c r="DQ293" s="4" t="e">
        <f t="shared" ref="DQ293" ca="1" si="4981">MATCH(1,OFFSET(DP287:DP298,DR292,0,COUNT(DP287:DP298)-DR292),0)</f>
        <v>#REF!</v>
      </c>
      <c r="DR293" s="4" t="e">
        <f t="shared" ca="1" si="4892"/>
        <v>#REF!</v>
      </c>
      <c r="DS293" s="692" t="str">
        <f ca="1">IFERROR(VLOOKUP(INDEX(DO287:DO298,DR293),WSM,2,FALSE),"----")</f>
        <v>----</v>
      </c>
      <c r="DT293" s="691" t="e">
        <f t="shared" ca="1" si="4893"/>
        <v>#N/A</v>
      </c>
      <c r="DU293" s="4" t="e">
        <f ca="1">IF(AND(INDEX(STM,DT293,4)&gt;=$AB293,INDEX(STM,DT293,5)&gt;=$S287,INDEX(STM,DT293,6)&gt;=$R287),1,0)</f>
        <v>#N/A</v>
      </c>
      <c r="DV293" s="4" t="e">
        <f t="shared" ref="DV293" ca="1" si="4982">MATCH(1,OFFSET(DU287:DU298,DW292,0,COUNT(DU287:DU298)-DW292),0)</f>
        <v>#REF!</v>
      </c>
      <c r="DW293" s="4" t="e">
        <f t="shared" ca="1" si="4895"/>
        <v>#REF!</v>
      </c>
      <c r="DX293" s="692" t="str">
        <f ca="1">IFERROR(VLOOKUP(INDEX(DT287:DT298,DW293),STM,2,FALSE),"----")</f>
        <v>----</v>
      </c>
      <c r="DY293" s="691" t="e">
        <f t="shared" ca="1" si="4896"/>
        <v>#N/A</v>
      </c>
      <c r="DZ293" s="4" t="e">
        <f ca="1">IF(AND(INDEX(ELM,DY293,4)&gt;=$AB293,INDEX(ELM,DY293,5)&gt;=$S287,INDEX(ELM,DY293,6)&gt;=$R287),1,0)</f>
        <v>#N/A</v>
      </c>
      <c r="EA293" s="4" t="e">
        <f t="shared" ref="EA293" ca="1" si="4983">MATCH(1,OFFSET(DZ287:DZ298,EB292,0,COUNT(DZ287:DZ298)-EB292),0)</f>
        <v>#REF!</v>
      </c>
      <c r="EB293" s="4" t="e">
        <f t="shared" ca="1" si="4898"/>
        <v>#REF!</v>
      </c>
      <c r="EC293" s="692" t="str">
        <f ca="1">IFERROR(VLOOKUP(INDEX(DY287:DY298,EB293),ELM,2,FALSE),"----")</f>
        <v>----</v>
      </c>
      <c r="ED293" s="691" t="e">
        <f t="shared" ca="1" si="4899"/>
        <v>#N/A</v>
      </c>
      <c r="EE293" s="4" t="e">
        <f ca="1">IF(LEFT($J287,7)="Clad Wo",IF(AND(INDEX(SPPWS,ED293,4)&gt;=$AB293,INDEX(SPPWS,ED293,5)&gt;=$S287,INDEX(SPPWS,ED293,6)&gt;=$R287),1,0),IF(AND(INDEX(SPM,ED293,4)&gt;=$AB293,INDEX(SPM,ED293,5)&gt;=$S287,INDEX(SPM,ED293,6)&gt;=$R287),1,0))</f>
        <v>#N/A</v>
      </c>
      <c r="EF293" s="4" t="e">
        <f t="shared" ref="EF293" ca="1" si="4984">MATCH(1,OFFSET(EE287:EE298,EG292,0,COUNT(EE287:EE298)-EG292),0)</f>
        <v>#REF!</v>
      </c>
      <c r="EG293" s="4" t="e">
        <f t="shared" ca="1" si="4901"/>
        <v>#REF!</v>
      </c>
      <c r="EH293" s="692" t="str">
        <f ca="1">IF(LEFT($J287,7)="Clad Wo",IFERROR(VLOOKUP(INDEX(ED287:ED298,EG293),SPPWS,2,FALSE),"----"),IFERROR(VLOOKUP(INDEX(ED287:ED298,EG293),SPM,2,FALSE),"----"))</f>
        <v>----</v>
      </c>
    </row>
    <row r="294" spans="1:138" ht="15" customHeight="1" x14ac:dyDescent="0.25">
      <c r="A294" s="1085"/>
      <c r="B294" s="925"/>
      <c r="C294" s="926"/>
      <c r="D294" s="927"/>
      <c r="E294" s="995"/>
      <c r="F294" s="996"/>
      <c r="G294" s="997"/>
      <c r="H294" s="1062"/>
      <c r="I294" s="990"/>
      <c r="J294" s="912"/>
      <c r="K294" s="913"/>
      <c r="L294" s="1002"/>
      <c r="M294" s="923"/>
      <c r="N294" s="1042"/>
      <c r="O294" s="1018"/>
      <c r="P294" s="987"/>
      <c r="Q294" s="1015"/>
      <c r="R294" s="1012"/>
      <c r="S294" s="1006"/>
      <c r="T294" s="1007"/>
      <c r="U294" s="878"/>
      <c r="V294" s="881"/>
      <c r="W294" s="884"/>
      <c r="X294" s="884"/>
      <c r="Y294" s="887"/>
      <c r="Z294" s="887"/>
      <c r="AA294" s="887"/>
      <c r="AB294" s="1081"/>
      <c r="AC294" s="1078"/>
      <c r="AD294" s="1070" t="str">
        <f t="shared" ref="AD294" si="4985">IF(ISBLANK(AD288)=TRUE,"",AD288)</f>
        <v>Nested Steel Stud</v>
      </c>
      <c r="AE294" s="1071"/>
      <c r="AF294" s="1052"/>
      <c r="AG294" s="1053"/>
      <c r="AH294" s="1053"/>
      <c r="AI294" s="1066"/>
      <c r="AJ294" s="1067"/>
      <c r="AK294" s="156" t="str">
        <f t="shared" ca="1" si="4947"/>
        <v/>
      </c>
      <c r="AL294" s="1059"/>
      <c r="AM294" s="343" t="str">
        <f ca="1">IFERROR(Q287/12*ROUND(VLOOKUP(AF294,OFFSET(SSM,0,1),6,FALSE),2),"")</f>
        <v/>
      </c>
      <c r="AN294" t="str">
        <f t="shared" ca="1" si="4971"/>
        <v/>
      </c>
      <c r="AP294" s="122" t="str">
        <f t="shared" ref="AP294" si="4986">_xlfn.CONCAT(AR294,AS298)</f>
        <v/>
      </c>
      <c r="AQ294" s="683" t="str">
        <f t="shared" si="3881"/>
        <v/>
      </c>
      <c r="AR294" s="96" t="str">
        <f t="shared" si="4931"/>
        <v/>
      </c>
      <c r="AS294" s="96" t="str">
        <f>IF(COUNTIF(Vista_1,AF293)=1,"Vista_1",IF(COUNTIF(Vista_2,AF293)=1,"Vista_2",""))</f>
        <v/>
      </c>
      <c r="AT294" s="684" t="str">
        <f>AL293</f>
        <v/>
      </c>
      <c r="AU294" s="694" t="e">
        <f t="shared" ca="1" si="3907"/>
        <v>#REF!</v>
      </c>
      <c r="AV294" s="686" t="str">
        <f ca="1">IFERROR(VLOOKUP(AU294,INDIRECT(AQ287),2,FALSE),"----")</f>
        <v>----</v>
      </c>
      <c r="AW294" s="694" t="e">
        <f t="shared" ca="1" si="3908"/>
        <v>#REF!</v>
      </c>
      <c r="AX294" s="686" t="str">
        <f ca="1">IFERROR(VLOOKUP(AW294,INDIRECT(AQ288),2,FALSE),"----")</f>
        <v>----</v>
      </c>
      <c r="AY294" s="694" t="e">
        <f t="shared" ca="1" si="4949"/>
        <v>#REF!</v>
      </c>
      <c r="AZ294" s="686" t="str">
        <f ca="1">IFERROR(VLOOKUP(AY294,INDIRECT(AQ289),2,FALSE),"----")</f>
        <v>----</v>
      </c>
      <c r="BA294" s="694" t="e">
        <f t="shared" ca="1" si="4950"/>
        <v>#REF!</v>
      </c>
      <c r="BB294" s="686" t="str">
        <f ca="1">IFERROR(VLOOKUP(BA294,INDIRECT(AQ290),2,FALSE),"----")</f>
        <v>----</v>
      </c>
      <c r="BC294" s="694" t="e">
        <f t="shared" ca="1" si="3911"/>
        <v>#REF!</v>
      </c>
      <c r="BD294" s="686" t="str">
        <f ca="1">IFERROR(VLOOKUP(BC294,INDIRECT(AQ291),2,FALSE),"----")</f>
        <v>----</v>
      </c>
      <c r="BE294" s="694" t="e">
        <f t="shared" ca="1" si="3912"/>
        <v>#REF!</v>
      </c>
      <c r="BF294" s="686" t="str">
        <f ca="1">IFERROR(VLOOKUP(BE294,INDIRECT(AQ292),2,FALSE),"----")</f>
        <v>----</v>
      </c>
      <c r="BG294" s="702" t="e">
        <f t="shared" ca="1" si="3913"/>
        <v>#REF!</v>
      </c>
      <c r="BH294" s="686" t="str">
        <f ca="1">IFERROR(VLOOKUP(BG294,INDIRECT(AQ293),2,FALSE),"----")</f>
        <v>----</v>
      </c>
      <c r="BI294" s="702" t="e">
        <f t="shared" ca="1" si="3914"/>
        <v>#REF!</v>
      </c>
      <c r="BJ294" s="686" t="str">
        <f ca="1">IFERROR(VLOOKUP(BI294,INDIRECT(AQ294),2,FALSE),"----")</f>
        <v>----</v>
      </c>
      <c r="BK294" s="702" t="e">
        <f t="shared" ca="1" si="3915"/>
        <v>#REF!</v>
      </c>
      <c r="BL294" s="686" t="str">
        <f ca="1">IFERROR(VLOOKUP(BK294,INDIRECT(AQ295),2,FALSE),"----")</f>
        <v>----</v>
      </c>
      <c r="BM294" s="702" t="e">
        <f t="shared" ca="1" si="3916"/>
        <v>#REF!</v>
      </c>
      <c r="BN294" s="686" t="str">
        <f ca="1">IFERROR(VLOOKUP(BM294,INDIRECT(AQ296),2,FALSE),"----")</f>
        <v>----</v>
      </c>
      <c r="BO294" s="702" t="e">
        <f t="shared" ca="1" si="3917"/>
        <v>#REF!</v>
      </c>
      <c r="BP294" s="686" t="str">
        <f ca="1">IFERROR(VLOOKUP(BO294,INDIRECT(AQ297),2,FALSE),"----")</f>
        <v>----</v>
      </c>
      <c r="BQ294" s="702" t="e">
        <f t="shared" ca="1" si="3918"/>
        <v>#REF!</v>
      </c>
      <c r="BR294" s="686" t="str">
        <f ca="1">IFERROR(VLOOKUP(BQ294,INDIRECT(AQ298),2,FALSE),"----")</f>
        <v>----</v>
      </c>
      <c r="BS294" s="695">
        <f>IF(AI294="",1,IF(COUNTIF(BJ287:BJ298,AI294)=0,2,1))</f>
        <v>1</v>
      </c>
      <c r="BT294" s="696">
        <f>IF(AF294="",1,IF(BJ287=".",2,1))</f>
        <v>1</v>
      </c>
      <c r="BU294" s="706"/>
      <c r="BV294" s="155">
        <f ca="1">IF(COUNTIF(DN287:DN298,AF294)=0,IF(AF294&lt;&gt;"",0,1),1)</f>
        <v>1</v>
      </c>
      <c r="BW294" s="157">
        <f ca="1">IFERROR(MATCH(AF294,DN287:DN298,0),1)</f>
        <v>1</v>
      </c>
      <c r="BX294" s="769">
        <f t="shared" ref="BX294" si="4987">E287*(H287+I287)/144/2</f>
        <v>0</v>
      </c>
      <c r="BY294" s="769">
        <f>SUM(IF(H287&gt;E287,E287^2/4,(H287*E287/2)-(H287^2/4))/144,IF(I287&gt;E287,E287^2/4,(I287*E287/2)-(I287^2/4))/144)</f>
        <v>0</v>
      </c>
      <c r="BZ294" s="1110"/>
      <c r="CA294" s="691" t="e">
        <f t="shared" ca="1" si="4866"/>
        <v>#REF!</v>
      </c>
      <c r="CB294" s="4" t="e" cm="1">
        <f t="array" aca="1" ref="CB294" ca="1">IF(AND(INDEX(INDIRECT(BY287),CA294,4)&gt;=$AB287,INDEX(INDIRECT(BY287),CA294,5)&gt;=$S287,INDEX(INDIRECT(BY287),CA294,6)&gt;=$R287),1,0)</f>
        <v>#REF!</v>
      </c>
      <c r="CC294" s="4" t="e">
        <f t="shared" ref="CC294" ca="1" si="4988">MATCH(1,OFFSET(CB287:CB298,CD293,0,COUNT(CB287:CB298)-CD293),0)</f>
        <v>#REF!</v>
      </c>
      <c r="CD294" s="4" t="e">
        <f t="shared" ca="1" si="4868"/>
        <v>#REF!</v>
      </c>
      <c r="CE294" s="692" t="str" cm="1">
        <f t="array" aca="1" ref="CE294" ca="1">IFERROR(VLOOKUP(INDEX(CA287:CA298,CD294),INDIRECT(BY287),2,FALSE),"----")</f>
        <v>----</v>
      </c>
      <c r="CF294" s="691" t="e">
        <f t="shared" ca="1" si="4869"/>
        <v>#N/A</v>
      </c>
      <c r="CG294" s="4" t="e">
        <f ca="1">IF(AND(INDEX(SSM,CF294,4)&gt;=$AB287,INDEX(SSM,CF294,5)&gt;=$S287,INDEX(SSM,CF294,6)&gt;=$R287),1,0)</f>
        <v>#N/A</v>
      </c>
      <c r="CH294" s="4" t="e">
        <f t="shared" ref="CH294" ca="1" si="4989">MATCH(1,OFFSET(CG287:CG298,CI293,0,COUNT(CG287:CG298)-CI293),0)</f>
        <v>#REF!</v>
      </c>
      <c r="CI294" s="4" t="e">
        <f t="shared" ca="1" si="4871"/>
        <v>#REF!</v>
      </c>
      <c r="CJ294" s="692" t="str">
        <f ca="1">IFERROR(IF(AD288="Nested Steel Stud (wood infill)",VLOOKUP(INDEX(CF287:CF298,CI294),SSW,2,FALSE),VLOOKUP(INDEX(CF287:CF298,CI294),SSM,2,FALSE)),"----")</f>
        <v>----</v>
      </c>
      <c r="CK294" s="691" t="e">
        <f t="shared" ca="1" si="4872"/>
        <v>#N/A</v>
      </c>
      <c r="CL294" s="4" t="e">
        <f ca="1">IF(AND(INDEX(WSM,CK294,4)&gt;=$AB287,INDEX(WSM,CK294,5)&gt;=$S287,INDEX(WSM,CK294,6)&gt;=$R287),1,0)</f>
        <v>#N/A</v>
      </c>
      <c r="CM294" s="4" t="e">
        <f t="shared" ref="CM294" ca="1" si="4990">MATCH(1,OFFSET(CL287:CL298,CN293,0,COUNT(CL287:CL298)-CN293),0)</f>
        <v>#REF!</v>
      </c>
      <c r="CN294" s="4" t="e">
        <f t="shared" ca="1" si="4874"/>
        <v>#REF!</v>
      </c>
      <c r="CO294" s="692" t="str">
        <f ca="1">IFERROR(VLOOKUP(INDEX(CK287:CK298,CN294),WSM,2,FALSE),"----")</f>
        <v>----</v>
      </c>
      <c r="CP294" s="691" t="e">
        <f t="shared" ca="1" si="4875"/>
        <v>#N/A</v>
      </c>
      <c r="CQ294" s="4" t="e">
        <f ca="1">IF(AND(INDEX(STM,CP294,4)&gt;=$AB287,INDEX(STM,CP294,5)&gt;=$S287,INDEX(STM,CP294,6)&gt;=$R287),1,0)</f>
        <v>#N/A</v>
      </c>
      <c r="CR294" s="4" t="e">
        <f t="shared" ref="CR294" ca="1" si="4991">MATCH(1,OFFSET(CQ287:CQ298,CS293,0,COUNT(CQ287:CQ298)-CS293),0)</f>
        <v>#REF!</v>
      </c>
      <c r="CS294" s="4" t="e">
        <f t="shared" ca="1" si="4877"/>
        <v>#REF!</v>
      </c>
      <c r="CT294" s="692" t="str">
        <f ca="1">IFERROR(VLOOKUP(INDEX(CP287:CP298,CS294),STM,2,FALSE),"----")</f>
        <v>----</v>
      </c>
      <c r="CU294" s="691" t="e">
        <f t="shared" ca="1" si="4878"/>
        <v>#N/A</v>
      </c>
      <c r="CV294" s="4" t="e">
        <f ca="1">IF(AND(INDEX(ELM,CU294,4)&gt;=$AB287,INDEX(ELM,CU294,5)&gt;=$S287,INDEX(ELM,CU294,6)&gt;=$R287),1,0)</f>
        <v>#N/A</v>
      </c>
      <c r="CW294" s="4" t="e">
        <f t="shared" ref="CW294" ca="1" si="4992">MATCH(1,OFFSET(CV287:CV298,CX293,0,COUNT(CV287:CV298)-CX293),0)</f>
        <v>#REF!</v>
      </c>
      <c r="CX294" s="4" t="e">
        <f t="shared" ca="1" si="4880"/>
        <v>#REF!</v>
      </c>
      <c r="CY294" s="692" t="str">
        <f ca="1">IFERROR(VLOOKUP(INDEX(CU287:CU298,CX294),ELM,2,FALSE),"----")</f>
        <v>----</v>
      </c>
      <c r="CZ294" s="691" t="e">
        <f t="shared" ca="1" si="4881"/>
        <v>#N/A</v>
      </c>
      <c r="DA294" s="4" t="e">
        <f ca="1">IF(LEFT($J287,7)="Clad Wo",IF(AND(INDEX(SPPWS,CZ294,4)&gt;=$AB287,INDEX(SPPWS,CZ294,5)&gt;=$S287,INDEX(SPPWS,CZ294,6)&gt;=$R287),1,0),IF(AND(INDEX(SPM,CZ294,4)&gt;=$AB287,INDEX(SPM,CZ294,5)&gt;=$S287,INDEX(SPM,CZ294,6)&gt;=$R287),1,0))</f>
        <v>#N/A</v>
      </c>
      <c r="DB294" s="4" t="e">
        <f t="shared" ref="DB294" ca="1" si="4993">MATCH(1,OFFSET(DA287:DA298,DC293,0,COUNT(DA287:DA298)-DC293),0)</f>
        <v>#REF!</v>
      </c>
      <c r="DC294" s="4" t="e">
        <f t="shared" ca="1" si="4883"/>
        <v>#REF!</v>
      </c>
      <c r="DD294" s="693" t="str">
        <f ca="1">IF(LEFT($J287,7)="Clad Wo",IFERROR(VLOOKUP(INDEX(CZ287:CZ298,DC294),SPPWS,2,FALSE),"----"),IFERROR(VLOOKUP(INDEX(CZ287:CZ298,DC294),SPM,2,FALSE),"----"))</f>
        <v>----</v>
      </c>
      <c r="DE294" s="691" t="e">
        <f t="shared" ca="1" si="4884"/>
        <v>#REF!</v>
      </c>
      <c r="DF294" s="4" t="e" cm="1">
        <f t="array" aca="1" ref="DF294" ca="1">IF(AND(INDEX(INDIRECT(BY287),DE294,4)&gt;=$AB293,INDEX(INDIRECT(BY287),DE294,5)&gt;=$S287,INDEX(INDIRECT(BY287),DE294,6)&gt;=$R287),1,0)</f>
        <v>#REF!</v>
      </c>
      <c r="DG294" s="4" t="e">
        <f t="shared" ref="DG294" ca="1" si="4994">MATCH(1,OFFSET(DF287:DF298,DH293,0,COUNT(DF287:DF298)-DH293),0)</f>
        <v>#REF!</v>
      </c>
      <c r="DH294" s="4" t="e">
        <f t="shared" ca="1" si="4886"/>
        <v>#REF!</v>
      </c>
      <c r="DI294" s="692" t="str" cm="1">
        <f t="array" aca="1" ref="DI294" ca="1">IFERROR(VLOOKUP(INDEX(DE287:DE298,DH294),INDIRECT(BY287),2,FALSE),"----")</f>
        <v>----</v>
      </c>
      <c r="DJ294" s="691" t="e">
        <f t="shared" ca="1" si="4887"/>
        <v>#N/A</v>
      </c>
      <c r="DK294" s="4" t="e">
        <f ca="1">IF(AND(INDEX(SSM,DJ294,4)&gt;=$AB293,INDEX(SSM,DJ294,5)&gt;=$S287,INDEX(SSM,DJ294,6)&gt;=$R287),1,0)</f>
        <v>#N/A</v>
      </c>
      <c r="DL294" s="4" t="e">
        <f t="shared" ref="DL294" ca="1" si="4995">MATCH(1,OFFSET(DK287:DK298,DM293,0,COUNT(DK287:DK298)-DM293),0)</f>
        <v>#REF!</v>
      </c>
      <c r="DM294" s="4" t="e">
        <f t="shared" ca="1" si="4889"/>
        <v>#REF!</v>
      </c>
      <c r="DN294" s="692" t="str">
        <f ca="1">IFERROR(IF(AD294="Nested Steel Stud (wood infill)",VLOOKUP(INDEX(DJ287:DJ298,DM294),SSW,2,FALSE),VLOOKUP(INDEX(DJ287:DJ298,DM294),SSM,2,FALSE)),"----")</f>
        <v>----</v>
      </c>
      <c r="DO294" s="691" t="e">
        <f t="shared" ca="1" si="4890"/>
        <v>#N/A</v>
      </c>
      <c r="DP294" s="4" t="e">
        <f ca="1">IF(AND(INDEX(WSM,DO294,4)&gt;=$AB293,INDEX(WSM,DO294,5)&gt;=$S287,INDEX(WSM,DO294,6)&gt;=$R287),1,0)</f>
        <v>#N/A</v>
      </c>
      <c r="DQ294" s="4" t="e">
        <f t="shared" ref="DQ294" ca="1" si="4996">MATCH(1,OFFSET(DP287:DP298,DR293,0,COUNT(DP287:DP298)-DR293),0)</f>
        <v>#REF!</v>
      </c>
      <c r="DR294" s="4" t="e">
        <f t="shared" ca="1" si="4892"/>
        <v>#REF!</v>
      </c>
      <c r="DS294" s="692" t="str">
        <f ca="1">IFERROR(VLOOKUP(INDEX(DO287:DO298,DR294),WSM,2,FALSE),"----")</f>
        <v>----</v>
      </c>
      <c r="DT294" s="691" t="e">
        <f t="shared" ca="1" si="4893"/>
        <v>#N/A</v>
      </c>
      <c r="DU294" s="4" t="e">
        <f ca="1">IF(AND(INDEX(STM,DT294,4)&gt;=$AB293,INDEX(STM,DT294,5)&gt;=$S287,INDEX(STM,DT294,6)&gt;=$R287),1,0)</f>
        <v>#N/A</v>
      </c>
      <c r="DV294" s="4" t="e">
        <f t="shared" ref="DV294" ca="1" si="4997">MATCH(1,OFFSET(DU287:DU298,DW293,0,COUNT(DU287:DU298)-DW293),0)</f>
        <v>#REF!</v>
      </c>
      <c r="DW294" s="4" t="e">
        <f t="shared" ca="1" si="4895"/>
        <v>#REF!</v>
      </c>
      <c r="DX294" s="692" t="str">
        <f ca="1">IFERROR(VLOOKUP(INDEX(DT287:DT298,DW294),STM,2,FALSE),"----")</f>
        <v>----</v>
      </c>
      <c r="DY294" s="691" t="e">
        <f t="shared" ca="1" si="4896"/>
        <v>#N/A</v>
      </c>
      <c r="DZ294" s="4" t="e">
        <f ca="1">IF(AND(INDEX(ELM,DY294,4)&gt;=$AB293,INDEX(ELM,DY294,5)&gt;=$S287,INDEX(ELM,DY294,6)&gt;=$R287),1,0)</f>
        <v>#N/A</v>
      </c>
      <c r="EA294" s="4" t="e">
        <f t="shared" ref="EA294" ca="1" si="4998">MATCH(1,OFFSET(DZ287:DZ298,EB293,0,COUNT(DZ287:DZ298)-EB293),0)</f>
        <v>#REF!</v>
      </c>
      <c r="EB294" s="4" t="e">
        <f t="shared" ca="1" si="4898"/>
        <v>#REF!</v>
      </c>
      <c r="EC294" s="692" t="str">
        <f ca="1">IFERROR(VLOOKUP(INDEX(DY287:DY298,EB294),ELM,2,FALSE),"----")</f>
        <v>----</v>
      </c>
      <c r="ED294" s="691" t="e">
        <f t="shared" ca="1" si="4899"/>
        <v>#N/A</v>
      </c>
      <c r="EE294" s="4" t="e">
        <f ca="1">IF(LEFT($J287,7)="Clad Wo",IF(AND(INDEX(SPPWS,ED294,4)&gt;=$AB293,INDEX(SPPWS,ED294,5)&gt;=$S287,INDEX(SPPWS,ED294,6)&gt;=$R287),1,0),IF(AND(INDEX(SPM,ED294,4)&gt;=$AB293,INDEX(SPM,ED294,5)&gt;=$S287,INDEX(SPM,ED294,6)&gt;=$R287),1,0))</f>
        <v>#N/A</v>
      </c>
      <c r="EF294" s="4" t="e">
        <f t="shared" ref="EF294" ca="1" si="4999">MATCH(1,OFFSET(EE287:EE298,EG293,0,COUNT(EE287:EE298)-EG293),0)</f>
        <v>#REF!</v>
      </c>
      <c r="EG294" s="4" t="e">
        <f t="shared" ca="1" si="4901"/>
        <v>#REF!</v>
      </c>
      <c r="EH294" s="692" t="str">
        <f ca="1">IF(LEFT($J287,7)="Clad Wo",IFERROR(VLOOKUP(INDEX(ED287:ED298,EG294),SPPWS,2,FALSE),"----"),IFERROR(VLOOKUP(INDEX(ED287:ED298,EG294),SPM,2,FALSE),"----"))</f>
        <v>----</v>
      </c>
    </row>
    <row r="295" spans="1:138" ht="15" customHeight="1" x14ac:dyDescent="0.25">
      <c r="A295" s="1085"/>
      <c r="B295" s="925"/>
      <c r="C295" s="926"/>
      <c r="D295" s="927"/>
      <c r="E295" s="995"/>
      <c r="F295" s="996"/>
      <c r="G295" s="997"/>
      <c r="H295" s="1062"/>
      <c r="I295" s="990"/>
      <c r="J295" s="902"/>
      <c r="K295" s="903"/>
      <c r="L295" s="1002"/>
      <c r="M295" s="923"/>
      <c r="N295" s="1042"/>
      <c r="O295" s="1018"/>
      <c r="P295" s="987"/>
      <c r="Q295" s="1015"/>
      <c r="R295" s="1012"/>
      <c r="S295" s="1006"/>
      <c r="T295" s="1007"/>
      <c r="U295" s="878"/>
      <c r="V295" s="881"/>
      <c r="W295" s="884"/>
      <c r="X295" s="884"/>
      <c r="Y295" s="887"/>
      <c r="Z295" s="887"/>
      <c r="AA295" s="887"/>
      <c r="AB295" s="1081"/>
      <c r="AC295" s="1078"/>
      <c r="AD295" s="1070" t="str">
        <f t="shared" si="4522"/>
        <v>Wood Stud Framing</v>
      </c>
      <c r="AE295" s="1071"/>
      <c r="AF295" s="1052"/>
      <c r="AG295" s="1053"/>
      <c r="AH295" s="1053"/>
      <c r="AI295" s="1066"/>
      <c r="AJ295" s="1067"/>
      <c r="AK295" s="156" t="str">
        <f t="shared" ca="1" si="4947"/>
        <v/>
      </c>
      <c r="AL295" s="1059"/>
      <c r="AM295" s="344" t="str">
        <f ca="1">IFERROR(Q287/12*ROUND(VLOOKUP(AF295,OFFSET(WSM,0,1),6,FALSE),2),"")</f>
        <v/>
      </c>
      <c r="AN295" t="str">
        <f t="shared" ca="1" si="4971"/>
        <v/>
      </c>
      <c r="AP295" s="122" t="str">
        <f t="shared" ref="AP295" si="5000">_xlfn.CONCAT(AR295,AS298)</f>
        <v/>
      </c>
      <c r="AQ295" s="683" t="str">
        <f t="shared" si="3881"/>
        <v/>
      </c>
      <c r="AR295" s="4" t="str">
        <f t="shared" si="4931"/>
        <v/>
      </c>
      <c r="AS295" s="4"/>
      <c r="AT295" s="697" t="str">
        <f>AL293</f>
        <v/>
      </c>
      <c r="AU295" s="694" t="e">
        <f t="shared" ca="1" si="3907"/>
        <v>#REF!</v>
      </c>
      <c r="AV295" s="686" t="str">
        <f ca="1">IFERROR(VLOOKUP(AU295,INDIRECT(AQ287),2,FALSE),"----")</f>
        <v>----</v>
      </c>
      <c r="AW295" s="694" t="e">
        <f t="shared" ca="1" si="3908"/>
        <v>#REF!</v>
      </c>
      <c r="AX295" s="686" t="str">
        <f ca="1">IFERROR(VLOOKUP(AW295,INDIRECT(AQ288),2,FALSE),"----")</f>
        <v>----</v>
      </c>
      <c r="AY295" s="694" t="e">
        <f t="shared" ca="1" si="4949"/>
        <v>#REF!</v>
      </c>
      <c r="AZ295" s="686" t="str">
        <f ca="1">IFERROR(VLOOKUP(AY295,INDIRECT(AQ289),2,FALSE),"----")</f>
        <v>----</v>
      </c>
      <c r="BA295" s="694" t="e">
        <f t="shared" ca="1" si="4950"/>
        <v>#REF!</v>
      </c>
      <c r="BB295" s="686" t="str">
        <f ca="1">IFERROR(VLOOKUP(BA295,INDIRECT(AQ290),2,FALSE),"----")</f>
        <v>----</v>
      </c>
      <c r="BC295" s="694" t="e">
        <f t="shared" ca="1" si="3911"/>
        <v>#REF!</v>
      </c>
      <c r="BD295" s="686" t="str">
        <f ca="1">IFERROR(VLOOKUP(BC295,INDIRECT(AQ291),2,FALSE),"----")</f>
        <v>----</v>
      </c>
      <c r="BE295" s="694" t="e">
        <f t="shared" ca="1" si="3912"/>
        <v>#REF!</v>
      </c>
      <c r="BF295" s="686" t="str">
        <f ca="1">IFERROR(VLOOKUP(BE295,INDIRECT(AQ292),2,FALSE),"----")</f>
        <v>----</v>
      </c>
      <c r="BG295" s="702" t="e">
        <f t="shared" ca="1" si="3913"/>
        <v>#REF!</v>
      </c>
      <c r="BH295" s="686" t="str">
        <f ca="1">IFERROR(VLOOKUP(BG295,INDIRECT(AQ293),2,FALSE),"----")</f>
        <v>----</v>
      </c>
      <c r="BI295" s="702" t="e">
        <f t="shared" ca="1" si="3914"/>
        <v>#REF!</v>
      </c>
      <c r="BJ295" s="686" t="str">
        <f ca="1">IFERROR(VLOOKUP(BI295,INDIRECT(AQ294),2,FALSE),"----")</f>
        <v>----</v>
      </c>
      <c r="BK295" s="702" t="e">
        <f t="shared" ca="1" si="3915"/>
        <v>#REF!</v>
      </c>
      <c r="BL295" s="686" t="str">
        <f ca="1">IFERROR(VLOOKUP(BK295,INDIRECT(AQ295),2,FALSE),"----")</f>
        <v>----</v>
      </c>
      <c r="BM295" s="702" t="e">
        <f t="shared" ca="1" si="3916"/>
        <v>#REF!</v>
      </c>
      <c r="BN295" s="686" t="str">
        <f ca="1">IFERROR(VLOOKUP(BM295,INDIRECT(AQ296),2,FALSE),"----")</f>
        <v>----</v>
      </c>
      <c r="BO295" s="702" t="e">
        <f t="shared" ca="1" si="3917"/>
        <v>#REF!</v>
      </c>
      <c r="BP295" s="686" t="str">
        <f ca="1">IFERROR(VLOOKUP(BO295,INDIRECT(AQ297),2,FALSE),"----")</f>
        <v>----</v>
      </c>
      <c r="BQ295" s="702" t="e">
        <f t="shared" ca="1" si="3918"/>
        <v>#REF!</v>
      </c>
      <c r="BR295" s="686" t="str">
        <f ca="1">IFERROR(VLOOKUP(BQ295,INDIRECT(AQ298),2,FALSE),"----")</f>
        <v>----</v>
      </c>
      <c r="BS295" s="695">
        <f>IF(AI295="",1,IF(COUNTIF(BL287:BL298,AI295)=0,2,1))</f>
        <v>1</v>
      </c>
      <c r="BT295" s="696">
        <f>IF(AF295="",1,IF(BL287=".",2,1))</f>
        <v>1</v>
      </c>
      <c r="BU295" s="706"/>
      <c r="BV295" s="155">
        <f ca="1">IF(COUNTIF(DS287:DS298,AF295)=0,IF(AF295&lt;&gt;"",0,1),1)</f>
        <v>1</v>
      </c>
      <c r="BW295" s="157">
        <f ca="1">IFERROR(MATCH(AF295,DS287:DS298,0),1)</f>
        <v>1</v>
      </c>
      <c r="BX295" s="769" t="e">
        <f t="shared" ref="BX295" si="5001">5*E287^3*W287/(384*X287)</f>
        <v>#VALUE!</v>
      </c>
      <c r="BY295" s="769" t="e">
        <f t="shared" ref="BY295" si="5002">W287*E287^3/(60*X287)</f>
        <v>#VALUE!</v>
      </c>
      <c r="BZ295" s="1110"/>
      <c r="CA295" s="691" t="e">
        <f t="shared" ca="1" si="4866"/>
        <v>#REF!</v>
      </c>
      <c r="CB295" s="4" t="e" cm="1">
        <f t="array" aca="1" ref="CB295" ca="1">IF(AND(INDEX(INDIRECT(BY287),CA295,4)&gt;=$AB287,INDEX(INDIRECT(BY287),CA295,5)&gt;=$S287,INDEX(INDIRECT(BY287),CA295,6)&gt;=$R287),1,0)</f>
        <v>#REF!</v>
      </c>
      <c r="CC295" s="4" t="e">
        <f t="shared" ref="CC295" ca="1" si="5003">MATCH(1,OFFSET(CB287:CB298,CD294,0,COUNT(CB287:CB298)-CD294),0)</f>
        <v>#REF!</v>
      </c>
      <c r="CD295" s="4" t="e">
        <f t="shared" ca="1" si="4868"/>
        <v>#REF!</v>
      </c>
      <c r="CE295" s="692" t="str" cm="1">
        <f t="array" aca="1" ref="CE295" ca="1">IFERROR(VLOOKUP(INDEX(CA287:CA298,CD295),INDIRECT(BY287),2,FALSE),"----")</f>
        <v>----</v>
      </c>
      <c r="CF295" s="691" t="e">
        <f t="shared" ca="1" si="4869"/>
        <v>#N/A</v>
      </c>
      <c r="CG295" s="4" t="e">
        <f ca="1">IF(AND(INDEX(SSM,CF295,4)&gt;=$AB287,INDEX(SSM,CF295,5)&gt;=$S287,INDEX(SSM,CF295,6)&gt;=$R287),1,0)</f>
        <v>#N/A</v>
      </c>
      <c r="CH295" s="4" t="e">
        <f t="shared" ref="CH295" ca="1" si="5004">MATCH(1,OFFSET(CG287:CG298,CI294,0,COUNT(CG287:CG298)-CI294),0)</f>
        <v>#REF!</v>
      </c>
      <c r="CI295" s="4" t="e">
        <f t="shared" ca="1" si="4871"/>
        <v>#REF!</v>
      </c>
      <c r="CJ295" s="692" t="str">
        <f ca="1">IFERROR(IF(AD288="Nested Steel Stud (wood infill)",VLOOKUP(INDEX(CF287:CF298,CI295),SSW,2,FALSE),VLOOKUP(INDEX(CF287:CF298,CI295),SSM,2,FALSE)),"----")</f>
        <v>----</v>
      </c>
      <c r="CK295" s="691" t="e">
        <f t="shared" ca="1" si="4872"/>
        <v>#N/A</v>
      </c>
      <c r="CL295" s="4" t="e">
        <f ca="1">IF(AND(INDEX(WSM,CK295,4)&gt;=$AB287,INDEX(WSM,CK295,5)&gt;=$S287,INDEX(WSM,CK295,6)&gt;=$R287),1,0)</f>
        <v>#N/A</v>
      </c>
      <c r="CM295" s="4" t="e">
        <f t="shared" ref="CM295" ca="1" si="5005">MATCH(1,OFFSET(CL287:CL298,CN294,0,COUNT(CL287:CL298)-CN294),0)</f>
        <v>#REF!</v>
      </c>
      <c r="CN295" s="4" t="e">
        <f t="shared" ca="1" si="4874"/>
        <v>#REF!</v>
      </c>
      <c r="CO295" s="692" t="str">
        <f ca="1">IFERROR(VLOOKUP(INDEX(CK287:CK298,CN295),WSM,2,FALSE),"----")</f>
        <v>----</v>
      </c>
      <c r="CP295" s="691" t="e">
        <f t="shared" ca="1" si="4875"/>
        <v>#N/A</v>
      </c>
      <c r="CQ295" s="4" t="e">
        <f ca="1">IF(AND(INDEX(STM,CP295,4)&gt;=$AB287,INDEX(STM,CP295,5)&gt;=$S287,INDEX(STM,CP295,6)&gt;=$R287),1,0)</f>
        <v>#N/A</v>
      </c>
      <c r="CR295" s="4" t="e">
        <f t="shared" ref="CR295" ca="1" si="5006">MATCH(1,OFFSET(CQ287:CQ298,CS294,0,COUNT(CQ287:CQ298)-CS294),0)</f>
        <v>#REF!</v>
      </c>
      <c r="CS295" s="4" t="e">
        <f t="shared" ca="1" si="4877"/>
        <v>#REF!</v>
      </c>
      <c r="CT295" s="692" t="str">
        <f ca="1">IFERROR(VLOOKUP(INDEX(CP287:CP298,CS295),STM,2,FALSE),"----")</f>
        <v>----</v>
      </c>
      <c r="CU295" s="691" t="e">
        <f t="shared" ca="1" si="4878"/>
        <v>#N/A</v>
      </c>
      <c r="CV295" s="4" t="e">
        <f ca="1">IF(AND(INDEX(ELM,CU295,4)&gt;=$AB287,INDEX(ELM,CU295,5)&gt;=$S287,INDEX(ELM,CU295,6)&gt;=$R287),1,0)</f>
        <v>#N/A</v>
      </c>
      <c r="CW295" s="4" t="e">
        <f t="shared" ref="CW295" ca="1" si="5007">MATCH(1,OFFSET(CV287:CV298,CX294,0,COUNT(CV287:CV298)-CX294),0)</f>
        <v>#REF!</v>
      </c>
      <c r="CX295" s="4" t="e">
        <f t="shared" ca="1" si="4880"/>
        <v>#REF!</v>
      </c>
      <c r="CY295" s="692" t="str">
        <f ca="1">IFERROR(VLOOKUP(INDEX(CU287:CU298,CX295),ELM,2,FALSE),"----")</f>
        <v>----</v>
      </c>
      <c r="CZ295" s="691" t="e">
        <f t="shared" ca="1" si="4881"/>
        <v>#N/A</v>
      </c>
      <c r="DA295" s="4" t="e">
        <f ca="1">IF(LEFT($J287,7)="Clad Wo",IF(AND(INDEX(SPPWS,CZ295,4)&gt;=$AB287,INDEX(SPPWS,CZ295,5)&gt;=$S287,INDEX(SPPWS,CZ295,6)&gt;=$R287),1,0),IF(AND(INDEX(SPM,CZ295,4)&gt;=$AB287,INDEX(SPM,CZ295,5)&gt;=$S287,INDEX(SPM,CZ295,6)&gt;=$R287),1,0))</f>
        <v>#N/A</v>
      </c>
      <c r="DB295" s="4" t="e">
        <f t="shared" ref="DB295" ca="1" si="5008">MATCH(1,OFFSET(DA287:DA298,DC294,0,COUNT(DA287:DA298)-DC294),0)</f>
        <v>#REF!</v>
      </c>
      <c r="DC295" s="4" t="e">
        <f t="shared" ca="1" si="4883"/>
        <v>#REF!</v>
      </c>
      <c r="DD295" s="693" t="str">
        <f ca="1">IF(LEFT($J287,7)="Clad Wo",IFERROR(VLOOKUP(INDEX(CZ287:CZ298,DC295),SPPWS,2,FALSE),"----"),IFERROR(VLOOKUP(INDEX(CZ287:CZ298,DC295),SPM,2,FALSE),"----"))</f>
        <v>----</v>
      </c>
      <c r="DE295" s="691" t="e">
        <f t="shared" ca="1" si="4884"/>
        <v>#REF!</v>
      </c>
      <c r="DF295" s="4" t="e" cm="1">
        <f t="array" aca="1" ref="DF295" ca="1">IF(AND(INDEX(INDIRECT(BY287),DE295,4)&gt;=$AB293,INDEX(INDIRECT(BY287),DE295,5)&gt;=$S287,INDEX(INDIRECT(BY287),DE295,6)&gt;=$R287),1,0)</f>
        <v>#REF!</v>
      </c>
      <c r="DG295" s="4" t="e">
        <f t="shared" ref="DG295" ca="1" si="5009">MATCH(1,OFFSET(DF287:DF298,DH294,0,COUNT(DF287:DF298)-DH294),0)</f>
        <v>#REF!</v>
      </c>
      <c r="DH295" s="4" t="e">
        <f t="shared" ca="1" si="4886"/>
        <v>#REF!</v>
      </c>
      <c r="DI295" s="692" t="str" cm="1">
        <f t="array" aca="1" ref="DI295" ca="1">IFERROR(VLOOKUP(INDEX(DE287:DE298,DH295),INDIRECT(BY287),2,FALSE),"----")</f>
        <v>----</v>
      </c>
      <c r="DJ295" s="691" t="e">
        <f t="shared" ca="1" si="4887"/>
        <v>#N/A</v>
      </c>
      <c r="DK295" s="4" t="e">
        <f ca="1">IF(AND(INDEX(SSM,DJ295,4)&gt;=$AB293,INDEX(SSM,DJ295,5)&gt;=$S287,INDEX(SSM,DJ295,6)&gt;=$R287),1,0)</f>
        <v>#N/A</v>
      </c>
      <c r="DL295" s="4" t="e">
        <f t="shared" ref="DL295" ca="1" si="5010">MATCH(1,OFFSET(DK287:DK298,DM294,0,COUNT(DK287:DK298)-DM294),0)</f>
        <v>#REF!</v>
      </c>
      <c r="DM295" s="4" t="e">
        <f t="shared" ca="1" si="4889"/>
        <v>#REF!</v>
      </c>
      <c r="DN295" s="692" t="str">
        <f ca="1">IFERROR(IF(AD294="Nested Steel Stud (wood infill)",VLOOKUP(INDEX(DJ287:DJ298,DM295),SSW,2,FALSE),VLOOKUP(INDEX(DJ287:DJ298,DM295),SSM,2,FALSE)),"----")</f>
        <v>----</v>
      </c>
      <c r="DO295" s="691" t="e">
        <f t="shared" ca="1" si="4890"/>
        <v>#N/A</v>
      </c>
      <c r="DP295" s="4" t="e">
        <f ca="1">IF(AND(INDEX(WSM,DO295,4)&gt;=$AB293,INDEX(WSM,DO295,5)&gt;=$S287,INDEX(WSM,DO295,6)&gt;=$R287),1,0)</f>
        <v>#N/A</v>
      </c>
      <c r="DQ295" s="4" t="e">
        <f t="shared" ref="DQ295" ca="1" si="5011">MATCH(1,OFFSET(DP287:DP298,DR294,0,COUNT(DP287:DP298)-DR294),0)</f>
        <v>#REF!</v>
      </c>
      <c r="DR295" s="4" t="e">
        <f t="shared" ca="1" si="4892"/>
        <v>#REF!</v>
      </c>
      <c r="DS295" s="692" t="str">
        <f ca="1">IFERROR(VLOOKUP(INDEX(DO287:DO298,DR295),WSM,2,FALSE),"----")</f>
        <v>----</v>
      </c>
      <c r="DT295" s="691" t="e">
        <f t="shared" ca="1" si="4893"/>
        <v>#N/A</v>
      </c>
      <c r="DU295" s="4" t="e">
        <f ca="1">IF(AND(INDEX(STM,DT295,4)&gt;=$AB293,INDEX(STM,DT295,5)&gt;=$S287,INDEX(STM,DT295,6)&gt;=$R287),1,0)</f>
        <v>#N/A</v>
      </c>
      <c r="DV295" s="4" t="e">
        <f t="shared" ref="DV295" ca="1" si="5012">MATCH(1,OFFSET(DU287:DU298,DW294,0,COUNT(DU287:DU298)-DW294),0)</f>
        <v>#REF!</v>
      </c>
      <c r="DW295" s="4" t="e">
        <f t="shared" ca="1" si="4895"/>
        <v>#REF!</v>
      </c>
      <c r="DX295" s="692" t="str">
        <f ca="1">IFERROR(VLOOKUP(INDEX(DT287:DT298,DW295),STM,2,FALSE),"----")</f>
        <v>----</v>
      </c>
      <c r="DY295" s="691" t="e">
        <f t="shared" ca="1" si="4896"/>
        <v>#N/A</v>
      </c>
      <c r="DZ295" s="4" t="e">
        <f ca="1">IF(AND(INDEX(ELM,DY295,4)&gt;=$AB293,INDEX(ELM,DY295,5)&gt;=$S287,INDEX(ELM,DY295,6)&gt;=$R287),1,0)</f>
        <v>#N/A</v>
      </c>
      <c r="EA295" s="4" t="e">
        <f t="shared" ref="EA295" ca="1" si="5013">MATCH(1,OFFSET(DZ287:DZ298,EB294,0,COUNT(DZ287:DZ298)-EB294),0)</f>
        <v>#REF!</v>
      </c>
      <c r="EB295" s="4" t="e">
        <f t="shared" ca="1" si="4898"/>
        <v>#REF!</v>
      </c>
      <c r="EC295" s="692" t="str">
        <f ca="1">IFERROR(VLOOKUP(INDEX(DY287:DY298,EB295),ELM,2,FALSE),"----")</f>
        <v>----</v>
      </c>
      <c r="ED295" s="691" t="e">
        <f t="shared" ca="1" si="4899"/>
        <v>#N/A</v>
      </c>
      <c r="EE295" s="4" t="e">
        <f ca="1">IF(LEFT($J287,7)="Clad Wo",IF(AND(INDEX(SPPWS,ED295,4)&gt;=$AB293,INDEX(SPPWS,ED295,5)&gt;=$S287,INDEX(SPPWS,ED295,6)&gt;=$R287),1,0),IF(AND(INDEX(SPM,ED295,4)&gt;=$AB293,INDEX(SPM,ED295,5)&gt;=$S287,INDEX(SPM,ED295,6)&gt;=$R287),1,0))</f>
        <v>#N/A</v>
      </c>
      <c r="EF295" s="4" t="e">
        <f t="shared" ref="EF295" ca="1" si="5014">MATCH(1,OFFSET(EE287:EE298,EG294,0,COUNT(EE287:EE298)-EG294),0)</f>
        <v>#REF!</v>
      </c>
      <c r="EG295" s="4" t="e">
        <f t="shared" ca="1" si="4901"/>
        <v>#REF!</v>
      </c>
      <c r="EH295" s="692" t="str">
        <f ca="1">IF(LEFT($J287,7)="Clad Wo",IFERROR(VLOOKUP(INDEX(ED287:ED298,EG295),SPPWS,2,FALSE),"----"),IFERROR(VLOOKUP(INDEX(ED287:ED298,EG295),SPM,2,FALSE),"----"))</f>
        <v>----</v>
      </c>
    </row>
    <row r="296" spans="1:138" ht="15" customHeight="1" x14ac:dyDescent="0.25">
      <c r="A296" s="1085"/>
      <c r="B296" s="925"/>
      <c r="C296" s="926"/>
      <c r="D296" s="927"/>
      <c r="E296" s="995"/>
      <c r="F296" s="996"/>
      <c r="G296" s="997"/>
      <c r="H296" s="1062"/>
      <c r="I296" s="990"/>
      <c r="J296" s="902"/>
      <c r="K296" s="903"/>
      <c r="L296" s="1002"/>
      <c r="M296" s="923"/>
      <c r="N296" s="1042"/>
      <c r="O296" s="1018"/>
      <c r="P296" s="987"/>
      <c r="Q296" s="1015"/>
      <c r="R296" s="1012"/>
      <c r="S296" s="1006"/>
      <c r="T296" s="1007"/>
      <c r="U296" s="878"/>
      <c r="V296" s="881"/>
      <c r="W296" s="884"/>
      <c r="X296" s="884"/>
      <c r="Y296" s="887"/>
      <c r="Z296" s="887"/>
      <c r="AA296" s="887"/>
      <c r="AB296" s="1081"/>
      <c r="AC296" s="1078"/>
      <c r="AD296" s="1070" t="str">
        <f t="shared" si="4522"/>
        <v>Steel Tube</v>
      </c>
      <c r="AE296" s="1071"/>
      <c r="AF296" s="1052"/>
      <c r="AG296" s="1053"/>
      <c r="AH296" s="1053"/>
      <c r="AI296" s="1066"/>
      <c r="AJ296" s="1067"/>
      <c r="AK296" s="156" t="str">
        <f t="shared" ca="1" si="4947"/>
        <v/>
      </c>
      <c r="AL296" s="1059"/>
      <c r="AM296" s="343" t="str">
        <f ca="1">IFERROR(Q287/12*ROUND(VLOOKUP(AF296,OFFSET(STM,0,1),6,FALSE),2),"")</f>
        <v/>
      </c>
      <c r="AN296" t="str">
        <f t="shared" ca="1" si="4971"/>
        <v/>
      </c>
      <c r="AP296" s="122" t="str">
        <f t="shared" ref="AP296" si="5015">_xlfn.CONCAT(AR296,AS298)</f>
        <v/>
      </c>
      <c r="AQ296" s="683" t="str">
        <f t="shared" si="3881"/>
        <v/>
      </c>
      <c r="AR296" s="4" t="str">
        <f t="shared" si="4931"/>
        <v/>
      </c>
      <c r="AS296" s="4"/>
      <c r="AT296" s="697" t="str">
        <f>AL293</f>
        <v/>
      </c>
      <c r="AU296" s="694" t="e">
        <f t="shared" ca="1" si="3907"/>
        <v>#REF!</v>
      </c>
      <c r="AV296" s="686" t="str">
        <f ca="1">IFERROR(VLOOKUP(AU296,INDIRECT(AQ287),2,FALSE),"----")</f>
        <v>----</v>
      </c>
      <c r="AW296" s="694" t="e">
        <f t="shared" ca="1" si="3908"/>
        <v>#REF!</v>
      </c>
      <c r="AX296" s="686" t="str">
        <f ca="1">IFERROR(VLOOKUP(AW296,INDIRECT(AQ288),2,FALSE),"----")</f>
        <v>----</v>
      </c>
      <c r="AY296" s="694" t="e">
        <f t="shared" ca="1" si="4775"/>
        <v>#REF!</v>
      </c>
      <c r="AZ296" s="686" t="str">
        <f ca="1">IFERROR(VLOOKUP(AY296,INDIRECT(AQ289),2,FALSE),"----")</f>
        <v>----</v>
      </c>
      <c r="BA296" s="694" t="e">
        <f t="shared" ca="1" si="4776"/>
        <v>#REF!</v>
      </c>
      <c r="BB296" s="686" t="str">
        <f ca="1">IFERROR(VLOOKUP(BA296,INDIRECT(AQ290),2,FALSE),"----")</f>
        <v>----</v>
      </c>
      <c r="BC296" s="694" t="e">
        <f t="shared" ca="1" si="3911"/>
        <v>#REF!</v>
      </c>
      <c r="BD296" s="686" t="str">
        <f ca="1">IFERROR(VLOOKUP(BC296,INDIRECT(AQ291),2,FALSE),"----")</f>
        <v>----</v>
      </c>
      <c r="BE296" s="694" t="e">
        <f t="shared" ca="1" si="3912"/>
        <v>#REF!</v>
      </c>
      <c r="BF296" s="686" t="str">
        <f ca="1">IFERROR(VLOOKUP(BE296,INDIRECT(AQ292),2,FALSE),"----")</f>
        <v>----</v>
      </c>
      <c r="BG296" s="702" t="e">
        <f t="shared" ca="1" si="3913"/>
        <v>#REF!</v>
      </c>
      <c r="BH296" s="686" t="str">
        <f ca="1">IFERROR(VLOOKUP(BG296,INDIRECT(AQ293),2,FALSE),"----")</f>
        <v>----</v>
      </c>
      <c r="BI296" s="702" t="e">
        <f t="shared" ca="1" si="3914"/>
        <v>#REF!</v>
      </c>
      <c r="BJ296" s="686" t="str">
        <f ca="1">IFERROR(VLOOKUP(BI296,INDIRECT(AQ294),2,FALSE),"----")</f>
        <v>----</v>
      </c>
      <c r="BK296" s="702" t="e">
        <f t="shared" ca="1" si="3915"/>
        <v>#REF!</v>
      </c>
      <c r="BL296" s="686" t="str">
        <f ca="1">IFERROR(VLOOKUP(BK296,INDIRECT(AQ295),2,FALSE),"----")</f>
        <v>----</v>
      </c>
      <c r="BM296" s="702" t="e">
        <f t="shared" ca="1" si="3916"/>
        <v>#REF!</v>
      </c>
      <c r="BN296" s="686" t="str">
        <f ca="1">IFERROR(VLOOKUP(BM296,INDIRECT(AQ296),2,FALSE),"----")</f>
        <v>----</v>
      </c>
      <c r="BO296" s="702" t="e">
        <f t="shared" ca="1" si="3917"/>
        <v>#REF!</v>
      </c>
      <c r="BP296" s="686" t="str">
        <f ca="1">IFERROR(VLOOKUP(BO296,INDIRECT(AQ297),2,FALSE),"----")</f>
        <v>----</v>
      </c>
      <c r="BQ296" s="702" t="e">
        <f t="shared" ca="1" si="3918"/>
        <v>#REF!</v>
      </c>
      <c r="BR296" s="686" t="str">
        <f ca="1">IFERROR(VLOOKUP(BQ296,INDIRECT(AQ298),2,FALSE),"----")</f>
        <v>----</v>
      </c>
      <c r="BS296" s="695">
        <f>IF(AI296="",1,IF(COUNTIF(BN287:BN298,AI296)=0,2,1))</f>
        <v>1</v>
      </c>
      <c r="BT296" s="696">
        <f>IF(AF296="",1,IF(BN287=".",2,1))</f>
        <v>1</v>
      </c>
      <c r="BU296" s="706"/>
      <c r="BV296" s="155">
        <f ca="1">IF(COUNTIF(DX287:DX298,AF296)=0,IF(AF296&lt;&gt;"",0,1),1)</f>
        <v>1</v>
      </c>
      <c r="BW296" s="157">
        <f ca="1">IFERROR(MATCH(AF296,DX287:DX298,0),1)</f>
        <v>1</v>
      </c>
      <c r="BX296" s="769" t="e">
        <f t="shared" ref="BX296" si="5016">5*E287^3*W293/(384*X287)</f>
        <v>#VALUE!</v>
      </c>
      <c r="BY296" s="769" t="e">
        <f t="shared" ref="BY296" si="5017">E287^3*W293/(60*X287)</f>
        <v>#VALUE!</v>
      </c>
      <c r="BZ296" s="1110"/>
      <c r="CA296" s="691" t="e">
        <f t="shared" ca="1" si="4866"/>
        <v>#REF!</v>
      </c>
      <c r="CB296" s="4" t="e" cm="1">
        <f t="array" aca="1" ref="CB296" ca="1">IF(AND(INDEX(INDIRECT(BY287),CA296,4)&gt;=$AB287,INDEX(INDIRECT(BY287),CA296,5)&gt;=$S287,INDEX(INDIRECT(BY287),CA296,6)&gt;=$R287),1,0)</f>
        <v>#REF!</v>
      </c>
      <c r="CC296" s="4" t="e">
        <f t="shared" ref="CC296" ca="1" si="5018">MATCH(1,OFFSET(CB287:CB298,CD295,0,COUNT(CB287:CB298)-CD295),0)</f>
        <v>#REF!</v>
      </c>
      <c r="CD296" s="4" t="e">
        <f t="shared" ca="1" si="4868"/>
        <v>#REF!</v>
      </c>
      <c r="CE296" s="692" t="str" cm="1">
        <f t="array" aca="1" ref="CE296" ca="1">IFERROR(VLOOKUP(INDEX(CA287:CA298,CD296),INDIRECT(BY287),2,FALSE),"----")</f>
        <v>----</v>
      </c>
      <c r="CF296" s="691" t="e">
        <f t="shared" ca="1" si="4869"/>
        <v>#N/A</v>
      </c>
      <c r="CG296" s="4" t="e">
        <f ca="1">IF(AND(INDEX(SSM,CF296,4)&gt;=$AB287,INDEX(SSM,CF296,5)&gt;=$S287,INDEX(SSM,CF296,6)&gt;=$R287),1,0)</f>
        <v>#N/A</v>
      </c>
      <c r="CH296" s="4" t="e">
        <f t="shared" ref="CH296" ca="1" si="5019">MATCH(1,OFFSET(CG287:CG298,CI295,0,COUNT(CG287:CG298)-CI295),0)</f>
        <v>#REF!</v>
      </c>
      <c r="CI296" s="4" t="e">
        <f t="shared" ca="1" si="4871"/>
        <v>#REF!</v>
      </c>
      <c r="CJ296" s="692" t="str">
        <f ca="1">IFERROR(IF(AD288="Nested Steel Stud (wood infill)",VLOOKUP(INDEX(CF287:CF298,CI296),SSW,2,FALSE),VLOOKUP(INDEX(CF287:CF298,CI296),SSM,2,FALSE)),"----")</f>
        <v>----</v>
      </c>
      <c r="CK296" s="691" t="e">
        <f t="shared" ca="1" si="4872"/>
        <v>#N/A</v>
      </c>
      <c r="CL296" s="4" t="e">
        <f ca="1">IF(AND(INDEX(WSM,CK296,4)&gt;=$AB287,INDEX(WSM,CK296,5)&gt;=$S287,INDEX(WSM,CK296,6)&gt;=$R287),1,0)</f>
        <v>#N/A</v>
      </c>
      <c r="CM296" s="4" t="e">
        <f t="shared" ref="CM296" ca="1" si="5020">MATCH(1,OFFSET(CL287:CL298,CN295,0,COUNT(CL287:CL298)-CN295),0)</f>
        <v>#REF!</v>
      </c>
      <c r="CN296" s="4" t="e">
        <f t="shared" ca="1" si="4874"/>
        <v>#REF!</v>
      </c>
      <c r="CO296" s="692" t="str">
        <f ca="1">IFERROR(VLOOKUP(INDEX(CK287:CK298,CN296),WSM,2,FALSE),"----")</f>
        <v>----</v>
      </c>
      <c r="CP296" s="691" t="e">
        <f t="shared" ca="1" si="4875"/>
        <v>#N/A</v>
      </c>
      <c r="CQ296" s="4" t="e">
        <f ca="1">IF(AND(INDEX(STM,CP296,4)&gt;=$AB287,INDEX(STM,CP296,5)&gt;=$S287,INDEX(STM,CP296,6)&gt;=$R287),1,0)</f>
        <v>#N/A</v>
      </c>
      <c r="CR296" s="4" t="e">
        <f t="shared" ref="CR296" ca="1" si="5021">MATCH(1,OFFSET(CQ287:CQ298,CS295,0,COUNT(CQ287:CQ298)-CS295),0)</f>
        <v>#REF!</v>
      </c>
      <c r="CS296" s="4" t="e">
        <f t="shared" ca="1" si="4877"/>
        <v>#REF!</v>
      </c>
      <c r="CT296" s="692" t="str">
        <f ca="1">IFERROR(VLOOKUP(INDEX(CP287:CP298,CS296),STM,2,FALSE),"----")</f>
        <v>----</v>
      </c>
      <c r="CU296" s="691" t="e">
        <f t="shared" ca="1" si="4878"/>
        <v>#N/A</v>
      </c>
      <c r="CV296" s="4" t="e">
        <f ca="1">IF(AND(INDEX(ELM,CU296,4)&gt;=$AB287,INDEX(ELM,CU296,5)&gt;=$S287,INDEX(ELM,CU296,6)&gt;=$R287),1,0)</f>
        <v>#N/A</v>
      </c>
      <c r="CW296" s="4" t="e">
        <f t="shared" ref="CW296" ca="1" si="5022">MATCH(1,OFFSET(CV287:CV298,CX295,0,COUNT(CV287:CV298)-CX295),0)</f>
        <v>#REF!</v>
      </c>
      <c r="CX296" s="4" t="e">
        <f t="shared" ca="1" si="4880"/>
        <v>#REF!</v>
      </c>
      <c r="CY296" s="692" t="str">
        <f ca="1">IFERROR(VLOOKUP(INDEX(CU287:CU298,CX296),ELM,2,FALSE),"----")</f>
        <v>----</v>
      </c>
      <c r="CZ296" s="691" t="e">
        <f t="shared" ca="1" si="4881"/>
        <v>#N/A</v>
      </c>
      <c r="DA296" s="4" t="e">
        <f ca="1">IF(LEFT($J287,7)="Clad Wo",IF(AND(INDEX(SPPWS,CZ296,4)&gt;=$AB287,INDEX(SPPWS,CZ296,5)&gt;=$S287,INDEX(SPPWS,CZ296,6)&gt;=$R287),1,0),IF(AND(INDEX(SPM,CZ296,4)&gt;=$AB287,INDEX(SPM,CZ296,5)&gt;=$S287,INDEX(SPM,CZ296,6)&gt;=$R287),1,0))</f>
        <v>#N/A</v>
      </c>
      <c r="DB296" s="4" t="e">
        <f t="shared" ref="DB296" ca="1" si="5023">MATCH(1,OFFSET(DA287:DA298,DC295,0,COUNT(DA287:DA298)-DC295),0)</f>
        <v>#REF!</v>
      </c>
      <c r="DC296" s="4" t="e">
        <f t="shared" ca="1" si="4883"/>
        <v>#REF!</v>
      </c>
      <c r="DD296" s="693" t="str">
        <f ca="1">IF(LEFT($J287,7)="Clad Wo",IFERROR(VLOOKUP(INDEX(CZ287:CZ298,DC296),SPPWS,2,FALSE),"----"),IFERROR(VLOOKUP(INDEX(CZ287:CZ298,DC296),SPM,2,FALSE),"----"))</f>
        <v>----</v>
      </c>
      <c r="DE296" s="691" t="e">
        <f t="shared" ca="1" si="4884"/>
        <v>#REF!</v>
      </c>
      <c r="DF296" s="4" t="e" cm="1">
        <f t="array" aca="1" ref="DF296" ca="1">IF(AND(INDEX(INDIRECT(BY287),DE296,4)&gt;=$AB293,INDEX(INDIRECT(BY287),DE296,5)&gt;=$S287,INDEX(INDIRECT(BY287),DE296,6)&gt;=$R287),1,0)</f>
        <v>#REF!</v>
      </c>
      <c r="DG296" s="4" t="e">
        <f t="shared" ref="DG296" ca="1" si="5024">MATCH(1,OFFSET(DF287:DF298,DH295,0,COUNT(DF287:DF298)-DH295),0)</f>
        <v>#REF!</v>
      </c>
      <c r="DH296" s="4" t="e">
        <f t="shared" ca="1" si="4886"/>
        <v>#REF!</v>
      </c>
      <c r="DI296" s="692" t="str" cm="1">
        <f t="array" aca="1" ref="DI296" ca="1">IFERROR(VLOOKUP(INDEX(DE287:DE298,DH296),INDIRECT(BY287),2,FALSE),"----")</f>
        <v>----</v>
      </c>
      <c r="DJ296" s="691" t="e">
        <f t="shared" ca="1" si="4887"/>
        <v>#N/A</v>
      </c>
      <c r="DK296" s="4" t="e">
        <f ca="1">IF(AND(INDEX(SSM,DJ296,4)&gt;=$AB293,INDEX(SSM,DJ296,5)&gt;=$S287,INDEX(SSM,DJ296,6)&gt;=$R287),1,0)</f>
        <v>#N/A</v>
      </c>
      <c r="DL296" s="4" t="e">
        <f t="shared" ref="DL296" ca="1" si="5025">MATCH(1,OFFSET(DK287:DK298,DM295,0,COUNT(DK287:DK298)-DM295),0)</f>
        <v>#REF!</v>
      </c>
      <c r="DM296" s="4" t="e">
        <f t="shared" ca="1" si="4889"/>
        <v>#REF!</v>
      </c>
      <c r="DN296" s="692" t="str">
        <f ca="1">IFERROR(IF(AD294="Nested Steel Stud (wood infill)",VLOOKUP(INDEX(DJ287:DJ298,DM296),SSW,2,FALSE),VLOOKUP(INDEX(DJ287:DJ298,DM296),SSM,2,FALSE)),"----")</f>
        <v>----</v>
      </c>
      <c r="DO296" s="691" t="e">
        <f t="shared" ca="1" si="4890"/>
        <v>#N/A</v>
      </c>
      <c r="DP296" s="4" t="e">
        <f ca="1">IF(AND(INDEX(WSM,DO296,4)&gt;=$AB293,INDEX(WSM,DO296,5)&gt;=$S287,INDEX(WSM,DO296,6)&gt;=$R287),1,0)</f>
        <v>#N/A</v>
      </c>
      <c r="DQ296" s="4" t="e">
        <f t="shared" ref="DQ296" ca="1" si="5026">MATCH(1,OFFSET(DP287:DP298,DR295,0,COUNT(DP287:DP298)-DR295),0)</f>
        <v>#REF!</v>
      </c>
      <c r="DR296" s="4" t="e">
        <f t="shared" ca="1" si="4892"/>
        <v>#REF!</v>
      </c>
      <c r="DS296" s="692" t="str">
        <f ca="1">IFERROR(VLOOKUP(INDEX(DO287:DO298,DR296),WSM,2,FALSE),"----")</f>
        <v>----</v>
      </c>
      <c r="DT296" s="691" t="e">
        <f t="shared" ca="1" si="4893"/>
        <v>#N/A</v>
      </c>
      <c r="DU296" s="4" t="e">
        <f ca="1">IF(AND(INDEX(STM,DT296,4)&gt;=$AB293,INDEX(STM,DT296,5)&gt;=$S287,INDEX(STM,DT296,6)&gt;=$R287),1,0)</f>
        <v>#N/A</v>
      </c>
      <c r="DV296" s="4" t="e">
        <f t="shared" ref="DV296" ca="1" si="5027">MATCH(1,OFFSET(DU287:DU298,DW295,0,COUNT(DU287:DU298)-DW295),0)</f>
        <v>#REF!</v>
      </c>
      <c r="DW296" s="4" t="e">
        <f t="shared" ca="1" si="4895"/>
        <v>#REF!</v>
      </c>
      <c r="DX296" s="692" t="str">
        <f ca="1">IFERROR(VLOOKUP(INDEX(DT287:DT298,DW296),STM,2,FALSE),"----")</f>
        <v>----</v>
      </c>
      <c r="DY296" s="691" t="e">
        <f t="shared" ca="1" si="4896"/>
        <v>#N/A</v>
      </c>
      <c r="DZ296" s="4" t="e">
        <f ca="1">IF(AND(INDEX(ELM,DY296,4)&gt;=$AB293,INDEX(ELM,DY296,5)&gt;=$S287,INDEX(ELM,DY296,6)&gt;=$R287),1,0)</f>
        <v>#N/A</v>
      </c>
      <c r="EA296" s="4" t="e">
        <f t="shared" ref="EA296" ca="1" si="5028">MATCH(1,OFFSET(DZ287:DZ298,EB295,0,COUNT(DZ287:DZ298)-EB295),0)</f>
        <v>#REF!</v>
      </c>
      <c r="EB296" s="4" t="e">
        <f t="shared" ca="1" si="4898"/>
        <v>#REF!</v>
      </c>
      <c r="EC296" s="692" t="str">
        <f ca="1">IFERROR(VLOOKUP(INDEX(DY287:DY298,EB296),ELM,2,FALSE),"----")</f>
        <v>----</v>
      </c>
      <c r="ED296" s="691" t="e">
        <f t="shared" ca="1" si="4899"/>
        <v>#N/A</v>
      </c>
      <c r="EE296" s="4" t="e">
        <f ca="1">IF(LEFT($J287,7)="Clad Wo",IF(AND(INDEX(SPPWS,ED296,4)&gt;=$AB293,INDEX(SPPWS,ED296,5)&gt;=$S287,INDEX(SPPWS,ED296,6)&gt;=$R287),1,0),IF(AND(INDEX(SPM,ED296,4)&gt;=$AB293,INDEX(SPM,ED296,5)&gt;=$S287,INDEX(SPM,ED296,6)&gt;=$R287),1,0))</f>
        <v>#N/A</v>
      </c>
      <c r="EF296" s="4" t="e">
        <f t="shared" ref="EF296" ca="1" si="5029">MATCH(1,OFFSET(EE287:EE298,EG295,0,COUNT(EE287:EE298)-EG295),0)</f>
        <v>#REF!</v>
      </c>
      <c r="EG296" s="4" t="e">
        <f t="shared" ca="1" si="4901"/>
        <v>#REF!</v>
      </c>
      <c r="EH296" s="692" t="str">
        <f ca="1">IF(LEFT($J287,7)="Clad Wo",IFERROR(VLOOKUP(INDEX(ED287:ED298,EG296),SPPWS,2,FALSE),"----"),IFERROR(VLOOKUP(INDEX(ED287:ED298,EG296),SPM,2,FALSE),"----"))</f>
        <v>----</v>
      </c>
    </row>
    <row r="297" spans="1:138" ht="15" customHeight="1" x14ac:dyDescent="0.25">
      <c r="A297" s="1085"/>
      <c r="B297" s="925"/>
      <c r="C297" s="926"/>
      <c r="D297" s="927"/>
      <c r="E297" s="995"/>
      <c r="F297" s="996"/>
      <c r="G297" s="997"/>
      <c r="H297" s="1062"/>
      <c r="I297" s="990"/>
      <c r="J297" s="902"/>
      <c r="K297" s="903"/>
      <c r="L297" s="1002"/>
      <c r="M297" s="923"/>
      <c r="N297" s="1042"/>
      <c r="O297" s="1018"/>
      <c r="P297" s="987"/>
      <c r="Q297" s="1015"/>
      <c r="R297" s="1012"/>
      <c r="S297" s="1006"/>
      <c r="T297" s="1007"/>
      <c r="U297" s="878"/>
      <c r="V297" s="881"/>
      <c r="W297" s="884"/>
      <c r="X297" s="884"/>
      <c r="Y297" s="887"/>
      <c r="Z297" s="887"/>
      <c r="AA297" s="887"/>
      <c r="AB297" s="1081"/>
      <c r="AC297" s="1078"/>
      <c r="AD297" s="1070" t="str">
        <f t="shared" si="4522"/>
        <v>Engineered Lumber</v>
      </c>
      <c r="AE297" s="1071"/>
      <c r="AF297" s="1052"/>
      <c r="AG297" s="1053"/>
      <c r="AH297" s="1053"/>
      <c r="AI297" s="1068"/>
      <c r="AJ297" s="1069"/>
      <c r="AK297" s="154" t="str">
        <f t="shared" ca="1" si="4947"/>
        <v/>
      </c>
      <c r="AL297" s="1059"/>
      <c r="AM297" s="344" t="str">
        <f ca="1">IFERROR(Q287/12*ROUND(VLOOKUP(AF297,OFFSET(ELM,0,1),6,FALSE),2),"")</f>
        <v/>
      </c>
      <c r="AN297" t="str">
        <f t="shared" ca="1" si="4971"/>
        <v/>
      </c>
      <c r="AP297" s="122" t="str">
        <f t="shared" ref="AP297" si="5030">_xlfn.CONCAT(AR297,AS298)</f>
        <v/>
      </c>
      <c r="AQ297" s="683" t="str">
        <f t="shared" si="3881"/>
        <v/>
      </c>
      <c r="AR297" s="4" t="str">
        <f t="shared" si="4931"/>
        <v/>
      </c>
      <c r="AS297" s="4"/>
      <c r="AT297" s="697" t="str">
        <f>AL293</f>
        <v/>
      </c>
      <c r="AU297" s="694" t="e">
        <f t="shared" ca="1" si="3907"/>
        <v>#REF!</v>
      </c>
      <c r="AV297" s="698" t="str">
        <f ca="1">IFERROR(VLOOKUP(AU297,INDIRECT(AQ287),2,FALSE),"----")</f>
        <v>----</v>
      </c>
      <c r="AW297" s="694" t="e">
        <f t="shared" ca="1" si="3908"/>
        <v>#REF!</v>
      </c>
      <c r="AX297" s="698" t="str">
        <f ca="1">IFERROR(VLOOKUP(AW297,INDIRECT(AQ288),2,FALSE),"----")</f>
        <v>----</v>
      </c>
      <c r="AY297" s="694" t="e">
        <f t="shared" ca="1" si="4775"/>
        <v>#REF!</v>
      </c>
      <c r="AZ297" s="698" t="str">
        <f ca="1">IFERROR(VLOOKUP(AY297,INDIRECT(AQ289),2,FALSE),"----")</f>
        <v>----</v>
      </c>
      <c r="BA297" s="694" t="e">
        <f t="shared" ca="1" si="4776"/>
        <v>#REF!</v>
      </c>
      <c r="BB297" s="698" t="str">
        <f ca="1">IFERROR(VLOOKUP(BA297,INDIRECT(AQ290),2,FALSE),"----")</f>
        <v>----</v>
      </c>
      <c r="BC297" s="694" t="e">
        <f t="shared" ca="1" si="3911"/>
        <v>#REF!</v>
      </c>
      <c r="BD297" s="698" t="str">
        <f ca="1">IFERROR(VLOOKUP(BC297,INDIRECT(AQ291),2,FALSE),"----")</f>
        <v>----</v>
      </c>
      <c r="BE297" s="694" t="e">
        <f t="shared" ca="1" si="3912"/>
        <v>#REF!</v>
      </c>
      <c r="BF297" s="698" t="str">
        <f ca="1">IFERROR(VLOOKUP(BE297,INDIRECT(AQ292),2,FALSE),"----")</f>
        <v>----</v>
      </c>
      <c r="BG297" s="702" t="e">
        <f t="shared" ca="1" si="3913"/>
        <v>#REF!</v>
      </c>
      <c r="BH297" s="686" t="str">
        <f ca="1">IFERROR(VLOOKUP(BG297,INDIRECT(AQ293),2,FALSE),"----")</f>
        <v>----</v>
      </c>
      <c r="BI297" s="702" t="e">
        <f t="shared" ca="1" si="3914"/>
        <v>#REF!</v>
      </c>
      <c r="BJ297" s="686" t="str">
        <f ca="1">IFERROR(VLOOKUP(BI297,INDIRECT(AQ294),2,FALSE),"----")</f>
        <v>----</v>
      </c>
      <c r="BK297" s="702" t="e">
        <f t="shared" ca="1" si="3915"/>
        <v>#REF!</v>
      </c>
      <c r="BL297" s="686" t="str">
        <f ca="1">IFERROR(VLOOKUP(BK297,INDIRECT(AQ295),2,FALSE),"----")</f>
        <v>----</v>
      </c>
      <c r="BM297" s="702" t="e">
        <f t="shared" ca="1" si="3916"/>
        <v>#REF!</v>
      </c>
      <c r="BN297" s="686" t="str">
        <f ca="1">IFERROR(VLOOKUP(BM297,INDIRECT(AQ296),2,FALSE),"----")</f>
        <v>----</v>
      </c>
      <c r="BO297" s="702" t="e">
        <f t="shared" ca="1" si="3917"/>
        <v>#REF!</v>
      </c>
      <c r="BP297" s="686" t="str">
        <f ca="1">IFERROR(VLOOKUP(BO297,INDIRECT(AQ297),2,FALSE),"----")</f>
        <v>----</v>
      </c>
      <c r="BQ297" s="702" t="e">
        <f t="shared" ca="1" si="3918"/>
        <v>#REF!</v>
      </c>
      <c r="BR297" s="686" t="str">
        <f ca="1">IFERROR(VLOOKUP(BQ297,INDIRECT(AQ298),2,FALSE),"----")</f>
        <v>----</v>
      </c>
      <c r="BS297" s="695">
        <f>IF(AI297="",1,IF(COUNTIF(BP287:BP298,AI297)=0,2,1))</f>
        <v>1</v>
      </c>
      <c r="BT297" s="696">
        <f>IF(AF297="",1,IF(BP287=".",2,1))</f>
        <v>1</v>
      </c>
      <c r="BU297" s="706"/>
      <c r="BV297" s="155">
        <f ca="1">IF(COUNTIF(EC287:EC298,AF297)=0,IF(AF297&lt;&gt;"",0,1),1)</f>
        <v>1</v>
      </c>
      <c r="BW297" s="157">
        <f ca="1">IFERROR(MATCH(AF297,EC287:EC298,0),1)</f>
        <v>1</v>
      </c>
      <c r="BX297" s="769"/>
      <c r="BY297" s="769"/>
      <c r="BZ297" s="1110"/>
      <c r="CA297" s="691" t="e">
        <f t="shared" ca="1" si="4866"/>
        <v>#REF!</v>
      </c>
      <c r="CB297" s="4" t="e" cm="1">
        <f t="array" aca="1" ref="CB297" ca="1">IF(AND(INDEX(INDIRECT(BY287),CA297,4)&gt;=$AB287,INDEX(INDIRECT(BY287),CA297,5)&gt;=$S287,INDEX(INDIRECT(BY287),CA297,6)&gt;=$R287),1,0)</f>
        <v>#REF!</v>
      </c>
      <c r="CC297" s="4" t="e">
        <f t="shared" ref="CC297" ca="1" si="5031">MATCH(1,OFFSET(CB287:CB298,CD296,0,COUNT(CB287:CB298)-CD296),0)</f>
        <v>#REF!</v>
      </c>
      <c r="CD297" s="4" t="e">
        <f t="shared" ca="1" si="4868"/>
        <v>#REF!</v>
      </c>
      <c r="CE297" s="692" t="str" cm="1">
        <f t="array" aca="1" ref="CE297" ca="1">IFERROR(VLOOKUP(INDEX(CA287:CA298,CD297),INDIRECT(BY287),2,FALSE),"----")</f>
        <v>----</v>
      </c>
      <c r="CF297" s="691" t="e">
        <f t="shared" ca="1" si="4869"/>
        <v>#N/A</v>
      </c>
      <c r="CG297" s="4" t="e">
        <f ca="1">IF(AND(INDEX(SSM,CF297,4)&gt;=$AB287,INDEX(SSM,CF297,5)&gt;=$S287,INDEX(SSM,CF297,6)&gt;=$R287),1,0)</f>
        <v>#N/A</v>
      </c>
      <c r="CH297" s="4" t="e">
        <f t="shared" ref="CH297" ca="1" si="5032">MATCH(1,OFFSET(CG287:CG298,CI296,0,COUNT(CG287:CG298)-CI296),0)</f>
        <v>#REF!</v>
      </c>
      <c r="CI297" s="4" t="e">
        <f t="shared" ca="1" si="4871"/>
        <v>#REF!</v>
      </c>
      <c r="CJ297" s="692" t="str">
        <f ca="1">IFERROR(IF(AD288="Nested Steel Stud (wood infill)",VLOOKUP(INDEX(CF287:CF298,CI297),SSW,2,FALSE),VLOOKUP(INDEX(CF287:CF298,CI297),SSM,2,FALSE)),"----")</f>
        <v>----</v>
      </c>
      <c r="CK297" s="691" t="e">
        <f t="shared" ca="1" si="4872"/>
        <v>#N/A</v>
      </c>
      <c r="CL297" s="4" t="e">
        <f ca="1">IF(AND(INDEX(WSM,CK297,4)&gt;=$AB287,INDEX(WSM,CK297,5)&gt;=$S287,INDEX(WSM,CK297,6)&gt;=$R287),1,0)</f>
        <v>#N/A</v>
      </c>
      <c r="CM297" s="4" t="e">
        <f t="shared" ref="CM297" ca="1" si="5033">MATCH(1,OFFSET(CL287:CL298,CN296,0,COUNT(CL287:CL298)-CN296),0)</f>
        <v>#REF!</v>
      </c>
      <c r="CN297" s="4" t="e">
        <f t="shared" ca="1" si="4874"/>
        <v>#REF!</v>
      </c>
      <c r="CO297" s="692" t="str">
        <f ca="1">IFERROR(VLOOKUP(INDEX(CK287:CK298,CN297),WSM,2,FALSE),"----")</f>
        <v>----</v>
      </c>
      <c r="CP297" s="691" t="e">
        <f t="shared" ca="1" si="4875"/>
        <v>#N/A</v>
      </c>
      <c r="CQ297" s="4" t="e">
        <f ca="1">IF(AND(INDEX(STM,CP297,4)&gt;=$AB287,INDEX(STM,CP297,5)&gt;=$S287,INDEX(STM,CP297,6)&gt;=$R287),1,0)</f>
        <v>#N/A</v>
      </c>
      <c r="CR297" s="4" t="e">
        <f t="shared" ref="CR297" ca="1" si="5034">MATCH(1,OFFSET(CQ287:CQ298,CS296,0,COUNT(CQ287:CQ298)-CS296),0)</f>
        <v>#REF!</v>
      </c>
      <c r="CS297" s="4" t="e">
        <f t="shared" ca="1" si="4877"/>
        <v>#REF!</v>
      </c>
      <c r="CT297" s="692" t="str">
        <f ca="1">IFERROR(VLOOKUP(INDEX(CP287:CP298,CS297),STM,2,FALSE),"----")</f>
        <v>----</v>
      </c>
      <c r="CU297" s="691" t="e">
        <f t="shared" ca="1" si="4878"/>
        <v>#N/A</v>
      </c>
      <c r="CV297" s="4" t="e">
        <f ca="1">IF(AND(INDEX(ELM,CU297,4)&gt;=$AB287,INDEX(ELM,CU297,5)&gt;=$S287,INDEX(ELM,CU297,6)&gt;=$R287),1,0)</f>
        <v>#N/A</v>
      </c>
      <c r="CW297" s="4" t="e">
        <f t="shared" ref="CW297" ca="1" si="5035">MATCH(1,OFFSET(CV287:CV298,CX296,0,COUNT(CV287:CV298)-CX296),0)</f>
        <v>#REF!</v>
      </c>
      <c r="CX297" s="4" t="e">
        <f t="shared" ca="1" si="4880"/>
        <v>#REF!</v>
      </c>
      <c r="CY297" s="692" t="str">
        <f ca="1">IFERROR(VLOOKUP(INDEX(CU287:CU298,CX297),ELM,2,FALSE),"----")</f>
        <v>----</v>
      </c>
      <c r="CZ297" s="691" t="e">
        <f t="shared" ca="1" si="4881"/>
        <v>#N/A</v>
      </c>
      <c r="DA297" s="4" t="e">
        <f ca="1">IF(LEFT($J287,7)="Clad Wo",IF(AND(INDEX(SPPWS,CZ297,4)&gt;=$AB287,INDEX(SPPWS,CZ297,5)&gt;=$S287,INDEX(SPPWS,CZ297,6)&gt;=$R287),1,0),IF(AND(INDEX(SPM,CZ297,4)&gt;=$AB287,INDEX(SPM,CZ297,5)&gt;=$S287,INDEX(SPM,CZ297,6)&gt;=$R287),1,0))</f>
        <v>#N/A</v>
      </c>
      <c r="DB297" s="4" t="e">
        <f t="shared" ref="DB297" ca="1" si="5036">MATCH(1,OFFSET(DA287:DA298,DC296,0,COUNT(DA287:DA298)-DC296),0)</f>
        <v>#REF!</v>
      </c>
      <c r="DC297" s="4" t="e">
        <f t="shared" ca="1" si="4883"/>
        <v>#REF!</v>
      </c>
      <c r="DD297" s="693" t="str">
        <f ca="1">IF(LEFT($J287,7)="Clad Wo",IFERROR(VLOOKUP(INDEX(CZ287:CZ298,DC297),SPPWS,2,FALSE),"----"),IFERROR(VLOOKUP(INDEX(CZ287:CZ298,DC297),SPM,2,FALSE),"----"))</f>
        <v>----</v>
      </c>
      <c r="DE297" s="691" t="e">
        <f t="shared" ca="1" si="4884"/>
        <v>#REF!</v>
      </c>
      <c r="DF297" s="4" t="e" cm="1">
        <f t="array" aca="1" ref="DF297" ca="1">IF(AND(INDEX(INDIRECT(BY287),DE297,4)&gt;=$AB293,INDEX(INDIRECT(BY287),DE297,5)&gt;=$S287,INDEX(INDIRECT(BY287),DE297,6)&gt;=$R287),1,0)</f>
        <v>#REF!</v>
      </c>
      <c r="DG297" s="4" t="e">
        <f t="shared" ref="DG297" ca="1" si="5037">MATCH(1,OFFSET(DF287:DF298,DH296,0,COUNT(DF287:DF298)-DH296),0)</f>
        <v>#REF!</v>
      </c>
      <c r="DH297" s="4" t="e">
        <f t="shared" ca="1" si="4886"/>
        <v>#REF!</v>
      </c>
      <c r="DI297" s="692" t="str" cm="1">
        <f t="array" aca="1" ref="DI297" ca="1">IFERROR(VLOOKUP(INDEX(DE287:DE298,DH297),INDIRECT(BY287),2,FALSE),"----")</f>
        <v>----</v>
      </c>
      <c r="DJ297" s="691" t="e">
        <f t="shared" ca="1" si="4887"/>
        <v>#N/A</v>
      </c>
      <c r="DK297" s="4" t="e">
        <f ca="1">IF(AND(INDEX(SSM,DJ297,4)&gt;=$AB293,INDEX(SSM,DJ297,5)&gt;=$S287,INDEX(SSM,DJ297,6)&gt;=$R287),1,0)</f>
        <v>#N/A</v>
      </c>
      <c r="DL297" s="4" t="e">
        <f t="shared" ref="DL297" ca="1" si="5038">MATCH(1,OFFSET(DK287:DK298,DM296,0,COUNT(DK287:DK298)-DM296),0)</f>
        <v>#REF!</v>
      </c>
      <c r="DM297" s="4" t="e">
        <f t="shared" ca="1" si="4889"/>
        <v>#REF!</v>
      </c>
      <c r="DN297" s="692" t="str">
        <f ca="1">IFERROR(IF(AD294="Nested Steel Stud (wood infill)",VLOOKUP(INDEX(DJ287:DJ298,DM297),SSW,2,FALSE),VLOOKUP(INDEX(DJ287:DJ298,DM297),SSM,2,FALSE)),"----")</f>
        <v>----</v>
      </c>
      <c r="DO297" s="691" t="e">
        <f t="shared" ca="1" si="4890"/>
        <v>#N/A</v>
      </c>
      <c r="DP297" s="4" t="e">
        <f ca="1">IF(AND(INDEX(WSM,DO297,4)&gt;=$AB293,INDEX(WSM,DO297,5)&gt;=$S287,INDEX(WSM,DO297,6)&gt;=$R287),1,0)</f>
        <v>#N/A</v>
      </c>
      <c r="DQ297" s="4" t="e">
        <f t="shared" ref="DQ297" ca="1" si="5039">MATCH(1,OFFSET(DP287:DP298,DR296,0,COUNT(DP287:DP298)-DR296),0)</f>
        <v>#REF!</v>
      </c>
      <c r="DR297" s="4" t="e">
        <f t="shared" ca="1" si="4892"/>
        <v>#REF!</v>
      </c>
      <c r="DS297" s="692" t="str">
        <f ca="1">IFERROR(VLOOKUP(INDEX(DO287:DO298,DR297),WSM,2,FALSE),"----")</f>
        <v>----</v>
      </c>
      <c r="DT297" s="691" t="e">
        <f t="shared" ca="1" si="4893"/>
        <v>#N/A</v>
      </c>
      <c r="DU297" s="4" t="e">
        <f ca="1">IF(AND(INDEX(STM,DT297,4)&gt;=$AB293,INDEX(STM,DT297,5)&gt;=$S287,INDEX(STM,DT297,6)&gt;=$R287),1,0)</f>
        <v>#N/A</v>
      </c>
      <c r="DV297" s="4" t="e">
        <f t="shared" ref="DV297" ca="1" si="5040">MATCH(1,OFFSET(DU287:DU298,DW296,0,COUNT(DU287:DU298)-DW296),0)</f>
        <v>#REF!</v>
      </c>
      <c r="DW297" s="4" t="e">
        <f t="shared" ca="1" si="4895"/>
        <v>#REF!</v>
      </c>
      <c r="DX297" s="692" t="str">
        <f ca="1">IFERROR(VLOOKUP(INDEX(DT287:DT298,DW297),STM,2,FALSE),"----")</f>
        <v>----</v>
      </c>
      <c r="DY297" s="691" t="e">
        <f t="shared" ca="1" si="4896"/>
        <v>#N/A</v>
      </c>
      <c r="DZ297" s="4" t="e">
        <f ca="1">IF(AND(INDEX(ELM,DY297,4)&gt;=$AB293,INDEX(ELM,DY297,5)&gt;=$S287,INDEX(ELM,DY297,6)&gt;=$R287),1,0)</f>
        <v>#N/A</v>
      </c>
      <c r="EA297" s="4" t="e">
        <f t="shared" ref="EA297" ca="1" si="5041">MATCH(1,OFFSET(DZ287:DZ298,EB296,0,COUNT(DZ287:DZ298)-EB296),0)</f>
        <v>#REF!</v>
      </c>
      <c r="EB297" s="4" t="e">
        <f t="shared" ca="1" si="4898"/>
        <v>#REF!</v>
      </c>
      <c r="EC297" s="692" t="str">
        <f ca="1">IFERROR(VLOOKUP(INDEX(DY287:DY298,EB297),ELM,2,FALSE),"----")</f>
        <v>----</v>
      </c>
      <c r="ED297" s="691" t="e">
        <f t="shared" ca="1" si="4899"/>
        <v>#N/A</v>
      </c>
      <c r="EE297" s="4" t="e">
        <f ca="1">IF(LEFT($J287,7)="Clad Wo",IF(AND(INDEX(SPPWS,ED297,4)&gt;=$AB293,INDEX(SPPWS,ED297,5)&gt;=$S287,INDEX(SPPWS,ED297,6)&gt;=$R287),1,0),IF(AND(INDEX(SPM,ED297,4)&gt;=$AB293,INDEX(SPM,ED297,5)&gt;=$S287,INDEX(SPM,ED297,6)&gt;=$R287),1,0))</f>
        <v>#N/A</v>
      </c>
      <c r="EF297" s="4" t="e">
        <f t="shared" ref="EF297" ca="1" si="5042">MATCH(1,OFFSET(EE287:EE298,EG296,0,COUNT(EE287:EE298)-EG296),0)</f>
        <v>#REF!</v>
      </c>
      <c r="EG297" s="4" t="e">
        <f t="shared" ca="1" si="4901"/>
        <v>#REF!</v>
      </c>
      <c r="EH297" s="692" t="str">
        <f ca="1">IF(LEFT($J287,7)="Clad Wo",IFERROR(VLOOKUP(INDEX(ED287:ED298,EG297),SPPWS,2,FALSE),"----"),IFERROR(VLOOKUP(INDEX(ED287:ED298,EG297),SPM,2,FALSE),"----"))</f>
        <v>----</v>
      </c>
    </row>
    <row r="298" spans="1:138" ht="15" customHeight="1" thickBot="1" x14ac:dyDescent="0.3">
      <c r="A298" s="1085"/>
      <c r="B298" s="928"/>
      <c r="C298" s="929"/>
      <c r="D298" s="930"/>
      <c r="E298" s="998"/>
      <c r="F298" s="999"/>
      <c r="G298" s="1000"/>
      <c r="H298" s="1063"/>
      <c r="I298" s="991"/>
      <c r="J298" s="904"/>
      <c r="K298" s="905"/>
      <c r="L298" s="1003"/>
      <c r="M298" s="1065"/>
      <c r="N298" s="1043"/>
      <c r="O298" s="1019"/>
      <c r="P298" s="988"/>
      <c r="Q298" s="1016"/>
      <c r="R298" s="1013"/>
      <c r="S298" s="1008"/>
      <c r="T298" s="1009"/>
      <c r="U298" s="879"/>
      <c r="V298" s="882"/>
      <c r="W298" s="885"/>
      <c r="X298" s="885"/>
      <c r="Y298" s="888"/>
      <c r="Z298" s="888"/>
      <c r="AA298" s="888"/>
      <c r="AB298" s="1082"/>
      <c r="AC298" s="1087"/>
      <c r="AD298" s="1098" t="str">
        <f t="shared" ref="AD298" si="5043">IF(LEFT(J287,7)="Clad Wo","Pella Wood Spr / Steel Pte","Steel Plate")</f>
        <v>Steel Plate</v>
      </c>
      <c r="AE298" s="1099"/>
      <c r="AF298" s="1096"/>
      <c r="AG298" s="1097"/>
      <c r="AH298" s="1097"/>
      <c r="AI298" s="1094"/>
      <c r="AJ298" s="1095"/>
      <c r="AK298" s="163" t="str">
        <f t="shared" ca="1" si="4947"/>
        <v/>
      </c>
      <c r="AL298" s="1060"/>
      <c r="AM298" s="345" t="str">
        <f ca="1">IFERROR(Q287/12*ROUND(VLOOKUP(AF298,OFFSET(SPM,0,1),6,FALSE),2),"")</f>
        <v/>
      </c>
      <c r="AN298" t="str">
        <f t="shared" ca="1" si="4971"/>
        <v/>
      </c>
      <c r="AP298" s="699" t="str">
        <f t="shared" ref="AP298" si="5044">_xlfn.CONCAT(AR298,AS298)</f>
        <v/>
      </c>
      <c r="AQ298" s="700" t="str">
        <f t="shared" si="3881"/>
        <v/>
      </c>
      <c r="AR298" s="160" t="str">
        <f t="shared" si="4931"/>
        <v/>
      </c>
      <c r="AS298" s="160" t="str">
        <f>IFERROR(VLOOKUP(J295, WallType,2,FALSE),"")</f>
        <v/>
      </c>
      <c r="AT298" s="707" t="str">
        <f>AL293</f>
        <v/>
      </c>
      <c r="AU298" s="708" t="e">
        <f t="shared" ca="1" si="3907"/>
        <v>#REF!</v>
      </c>
      <c r="AV298" s="709" t="str">
        <f ca="1">IFERROR(VLOOKUP(AU298,INDIRECT(AQ287),2,FALSE),"----")</f>
        <v>----</v>
      </c>
      <c r="AW298" s="710" t="e">
        <f t="shared" ca="1" si="3908"/>
        <v>#REF!</v>
      </c>
      <c r="AX298" s="709" t="str">
        <f ca="1">IFERROR(VLOOKUP(AW298,INDIRECT(AQ288),2,FALSE),"----")</f>
        <v>----</v>
      </c>
      <c r="AY298" s="710" t="e">
        <f t="shared" ca="1" si="4775"/>
        <v>#REF!</v>
      </c>
      <c r="AZ298" s="709" t="str">
        <f ca="1">IFERROR(VLOOKUP(AY298,INDIRECT(AQ289),2,FALSE),"----")</f>
        <v>----</v>
      </c>
      <c r="BA298" s="710" t="e">
        <f t="shared" ca="1" si="4776"/>
        <v>#REF!</v>
      </c>
      <c r="BB298" s="709" t="str">
        <f ca="1">IFERROR(VLOOKUP(BA298,INDIRECT(AQ290),2,FALSE),"----")</f>
        <v>----</v>
      </c>
      <c r="BC298" s="710" t="e">
        <f t="shared" ca="1" si="3911"/>
        <v>#REF!</v>
      </c>
      <c r="BD298" s="709" t="str">
        <f ca="1">IFERROR(VLOOKUP(BC298,INDIRECT(AQ291),2,FALSE),"----")</f>
        <v>----</v>
      </c>
      <c r="BE298" s="710" t="e">
        <f t="shared" ca="1" si="3912"/>
        <v>#REF!</v>
      </c>
      <c r="BF298" s="709" t="str">
        <f ca="1">IFERROR(VLOOKUP(BE298,INDIRECT(AQ292),2,FALSE),"----")</f>
        <v>----</v>
      </c>
      <c r="BG298" s="710" t="e">
        <f t="shared" ca="1" si="3913"/>
        <v>#REF!</v>
      </c>
      <c r="BH298" s="711" t="str">
        <f ca="1">IFERROR(VLOOKUP(BG298,INDIRECT(AQ293),2,FALSE),"----")</f>
        <v>----</v>
      </c>
      <c r="BI298" s="710" t="e">
        <f t="shared" ca="1" si="3914"/>
        <v>#REF!</v>
      </c>
      <c r="BJ298" s="711" t="str">
        <f ca="1">IFERROR(VLOOKUP(BI298,INDIRECT(AQ294),2,FALSE),"----")</f>
        <v>----</v>
      </c>
      <c r="BK298" s="710" t="e">
        <f t="shared" ca="1" si="3915"/>
        <v>#REF!</v>
      </c>
      <c r="BL298" s="711" t="str">
        <f ca="1">IFERROR(VLOOKUP(BK298,INDIRECT(AQ295),2,FALSE),"----")</f>
        <v>----</v>
      </c>
      <c r="BM298" s="710" t="e">
        <f t="shared" ca="1" si="3916"/>
        <v>#REF!</v>
      </c>
      <c r="BN298" s="711" t="str">
        <f ca="1">IFERROR(VLOOKUP(BM298,INDIRECT(AQ296),2,FALSE),"----")</f>
        <v>----</v>
      </c>
      <c r="BO298" s="710" t="e">
        <f t="shared" ca="1" si="3917"/>
        <v>#REF!</v>
      </c>
      <c r="BP298" s="711" t="str">
        <f ca="1">IFERROR(VLOOKUP(BO298,INDIRECT(AQ297),2,FALSE),"----")</f>
        <v>----</v>
      </c>
      <c r="BQ298" s="710" t="e">
        <f t="shared" ca="1" si="3918"/>
        <v>#REF!</v>
      </c>
      <c r="BR298" s="712" t="str">
        <f ca="1">IFERROR(VLOOKUP(BQ298,INDIRECT(AQ298),2,FALSE),"----")</f>
        <v>----</v>
      </c>
      <c r="BS298" s="695">
        <f>IF(AI298="",1,IF(COUNTIF(BR287:BR298,AI298)=0,2,1))</f>
        <v>1</v>
      </c>
      <c r="BT298" s="713">
        <f>IF(AF298="",1,IF(BR287=".",2,1))</f>
        <v>1</v>
      </c>
      <c r="BV298" s="155">
        <f ca="1">IF(COUNTIF(EH287:EH298,AF298)=0,IF(AF298&lt;&gt;"",0,1),1)</f>
        <v>1</v>
      </c>
      <c r="BW298" s="157">
        <f ca="1">IFERROR(MATCH(AF298,EH287:EH298,0),1)</f>
        <v>1</v>
      </c>
      <c r="BX298" s="718"/>
      <c r="BY298" s="777"/>
      <c r="BZ298" s="1110"/>
      <c r="CA298" s="714" t="e">
        <f t="shared" ca="1" si="4866"/>
        <v>#REF!</v>
      </c>
      <c r="CB298" s="715" t="e" cm="1">
        <f t="array" aca="1" ref="CB298" ca="1">IF(AND(INDEX(INDIRECT(BY287),CA298,4)&gt;=$AB287,INDEX(INDIRECT(BY287),CA298,5)&gt;=$S287,INDEX(INDIRECT(BY287),CA298,6)&gt;=$R287),1,0)</f>
        <v>#REF!</v>
      </c>
      <c r="CC298" s="715" t="e">
        <f t="shared" ref="CC298" ca="1" si="5045">MATCH(1,OFFSET(CB287:CB298,CD297,0,COUNT(CB287:CB298)-CD297),0)</f>
        <v>#REF!</v>
      </c>
      <c r="CD298" s="715" t="e">
        <f t="shared" ca="1" si="4868"/>
        <v>#REF!</v>
      </c>
      <c r="CE298" s="716" t="str" cm="1">
        <f t="array" aca="1" ref="CE298" ca="1">IFERROR(VLOOKUP(INDEX(CA287:CA298,CD298),INDIRECT(BY287),2,FALSE),"----")</f>
        <v>----</v>
      </c>
      <c r="CF298" s="714" t="e">
        <f t="shared" ca="1" si="4869"/>
        <v>#N/A</v>
      </c>
      <c r="CG298" s="715" t="e">
        <f ca="1">IF(AND(INDEX(SSM,CF298,4)&gt;=$AB287,INDEX(SSM,CF298,5)&gt;=$S287,INDEX(SSM,CF298,6)&gt;=$R287),1,0)</f>
        <v>#N/A</v>
      </c>
      <c r="CH298" s="715" t="e">
        <f t="shared" ref="CH298" ca="1" si="5046">MATCH(1,OFFSET(CG287:CG298,CI297,0,COUNT(CG287:CG298)-CI297),0)</f>
        <v>#REF!</v>
      </c>
      <c r="CI298" s="715" t="e">
        <f t="shared" ca="1" si="4871"/>
        <v>#REF!</v>
      </c>
      <c r="CJ298" s="716" t="str">
        <f ca="1">IFERROR(IF(AD288="Nested Steel Stud (wood infill)",VLOOKUP(INDEX(CF287:CF298,CI298),SSW,2,FALSE),VLOOKUP(INDEX(CF287:CF298,CI298),SSM,2,FALSE)),"----")</f>
        <v>----</v>
      </c>
      <c r="CK298" s="714" t="e">
        <f t="shared" ca="1" si="4872"/>
        <v>#N/A</v>
      </c>
      <c r="CL298" s="715" t="e">
        <f ca="1">IF(AND(INDEX(WSM,CK298,4)&gt;=$AB287,INDEX(WSM,CK298,5)&gt;=$S287,INDEX(WSM,CK298,6)&gt;=$R287),1,0)</f>
        <v>#N/A</v>
      </c>
      <c r="CM298" s="715" t="e">
        <f t="shared" ref="CM298" ca="1" si="5047">MATCH(1,OFFSET(CL287:CL298,CN297,0,COUNT(CL287:CL298)-CN297),0)</f>
        <v>#REF!</v>
      </c>
      <c r="CN298" s="715" t="e">
        <f t="shared" ca="1" si="4874"/>
        <v>#REF!</v>
      </c>
      <c r="CO298" s="716" t="str">
        <f ca="1">IFERROR(VLOOKUP(INDEX(CK287:CK298,CN298),WSM,2,FALSE),"----")</f>
        <v>----</v>
      </c>
      <c r="CP298" s="714" t="e">
        <f t="shared" ca="1" si="4875"/>
        <v>#N/A</v>
      </c>
      <c r="CQ298" s="715" t="e">
        <f ca="1">IF(AND(INDEX(STM,CP298,4)&gt;=$AB287,INDEX(STM,CP298,5)&gt;=$S287,INDEX(STM,CP298,6)&gt;=$R287),1,0)</f>
        <v>#N/A</v>
      </c>
      <c r="CR298" s="715" t="e">
        <f t="shared" ref="CR298" ca="1" si="5048">MATCH(1,OFFSET(CQ287:CQ298,CS297,0,COUNT(CQ287:CQ298)-CS297),0)</f>
        <v>#REF!</v>
      </c>
      <c r="CS298" s="715" t="e">
        <f t="shared" ca="1" si="4877"/>
        <v>#REF!</v>
      </c>
      <c r="CT298" s="716" t="str">
        <f ca="1">IFERROR(VLOOKUP(INDEX(CP287:CP298,CS298),STM,2,FALSE),"----")</f>
        <v>----</v>
      </c>
      <c r="CU298" s="714" t="e">
        <f t="shared" ca="1" si="4878"/>
        <v>#N/A</v>
      </c>
      <c r="CV298" s="715" t="e">
        <f ca="1">IF(AND(INDEX(ELM,CU298,4)&gt;=$AB287,INDEX(ELM,CU298,5)&gt;=$S287,INDEX(ELM,CU298,6)&gt;=$R287),1,0)</f>
        <v>#N/A</v>
      </c>
      <c r="CW298" s="715" t="e">
        <f t="shared" ref="CW298" ca="1" si="5049">MATCH(1,OFFSET(CV287:CV298,CX297,0,COUNT(CV287:CV298)-CX297),0)</f>
        <v>#REF!</v>
      </c>
      <c r="CX298" s="715" t="e">
        <f t="shared" ca="1" si="4880"/>
        <v>#REF!</v>
      </c>
      <c r="CY298" s="716" t="str">
        <f ca="1">IFERROR(VLOOKUP(INDEX(CU287:CU298,CX298),ELM,2,FALSE),"----")</f>
        <v>----</v>
      </c>
      <c r="CZ298" s="714" t="e">
        <f t="shared" ca="1" si="4881"/>
        <v>#N/A</v>
      </c>
      <c r="DA298" s="715" t="e">
        <f ca="1">IF(LEFT($J287,7)="Clad Wo",IF(AND(INDEX(SPPWS,CZ298,4)&gt;=$AB287,INDEX(SPPWS,CZ298,5)&gt;=$S287,INDEX(SPPWS,CZ298,6)&gt;=$R287),1,0),IF(AND(INDEX(SPM,CZ298,4)&gt;=$AB287,INDEX(SPM,CZ298,5)&gt;=$S287,INDEX(SPM,CZ298,6)&gt;=$R287),1,0))</f>
        <v>#N/A</v>
      </c>
      <c r="DB298" s="715" t="e">
        <f t="shared" ref="DB298" ca="1" si="5050">MATCH(1,OFFSET(DA287:DA298,DC297,0,COUNT(DA287:DA298)-DC297),0)</f>
        <v>#REF!</v>
      </c>
      <c r="DC298" s="715" t="e">
        <f t="shared" ca="1" si="4883"/>
        <v>#REF!</v>
      </c>
      <c r="DD298" s="717" t="str">
        <f ca="1">IF(LEFT($J287,7)="Clad Wo",IFERROR(VLOOKUP(INDEX(CZ287:CZ298,DC298),SPPWS,2,FALSE),"----"),IFERROR(VLOOKUP(INDEX(CZ287:CZ298,DC298),SPM,2,FALSE),"----"))</f>
        <v>----</v>
      </c>
      <c r="DE298" s="714" t="e">
        <f t="shared" ca="1" si="4884"/>
        <v>#REF!</v>
      </c>
      <c r="DF298" s="715" t="e" cm="1">
        <f t="array" aca="1" ref="DF298" ca="1">IF(AND(INDEX(INDIRECT(BY287),DE298,4)&gt;=$AB293,INDEX(INDIRECT(BY287),DE298,5)&gt;=$S287,INDEX(INDIRECT(BY287),DE298,6)&gt;=$R287),1,0)</f>
        <v>#REF!</v>
      </c>
      <c r="DG298" s="715" t="e">
        <f t="shared" ref="DG298" ca="1" si="5051">MATCH(1,OFFSET(DF287:DF298,DH297,0,COUNT(DF287:DF298)-DH297),0)</f>
        <v>#REF!</v>
      </c>
      <c r="DH298" s="715" t="e">
        <f t="shared" ca="1" si="4886"/>
        <v>#REF!</v>
      </c>
      <c r="DI298" s="716" t="str" cm="1">
        <f t="array" aca="1" ref="DI298" ca="1">IFERROR(VLOOKUP(INDEX(DE287:DE298,DH298),INDIRECT(BY287),2,FALSE),"----")</f>
        <v>----</v>
      </c>
      <c r="DJ298" s="714" t="e">
        <f t="shared" ca="1" si="4887"/>
        <v>#N/A</v>
      </c>
      <c r="DK298" s="715" t="e">
        <f ca="1">IF(AND(INDEX(SSM,DJ298,4)&gt;=$AB293,INDEX(SSM,DJ298,5)&gt;=$S287,INDEX(SSM,DJ298,6)&gt;=$R287),1,0)</f>
        <v>#N/A</v>
      </c>
      <c r="DL298" s="715" t="e">
        <f t="shared" ref="DL298" ca="1" si="5052">MATCH(1,OFFSET(DK287:DK298,DM297,0,COUNT(DK287:DK298)-DM297),0)</f>
        <v>#REF!</v>
      </c>
      <c r="DM298" s="715" t="e">
        <f t="shared" ca="1" si="4889"/>
        <v>#REF!</v>
      </c>
      <c r="DN298" s="716" t="str">
        <f ca="1">IFERROR(IF(AD294="Nested Steel Stud (wood infill)",VLOOKUP(INDEX(DJ287:DJ298,DM298),SSW,2,FALSE),VLOOKUP(INDEX(DJ287:DJ298,DM298),SSM,2,FALSE)),"----")</f>
        <v>----</v>
      </c>
      <c r="DO298" s="714" t="e">
        <f t="shared" ca="1" si="4890"/>
        <v>#N/A</v>
      </c>
      <c r="DP298" s="715" t="e">
        <f ca="1">IF(AND(INDEX(WSM,DO298,4)&gt;=$AB293,INDEX(WSM,DO298,5)&gt;=$S287,INDEX(WSM,DO298,6)&gt;=$R287),1,0)</f>
        <v>#N/A</v>
      </c>
      <c r="DQ298" s="715" t="e">
        <f t="shared" ref="DQ298" ca="1" si="5053">MATCH(1,OFFSET(DP287:DP298,DR297,0,COUNT(DP287:DP298)-DR297),0)</f>
        <v>#REF!</v>
      </c>
      <c r="DR298" s="715" t="e">
        <f t="shared" ca="1" si="4892"/>
        <v>#REF!</v>
      </c>
      <c r="DS298" s="716" t="str">
        <f ca="1">IFERROR(VLOOKUP(INDEX(DO287:DO298,DR298),WSM,2,FALSE),"----")</f>
        <v>----</v>
      </c>
      <c r="DT298" s="714" t="e">
        <f t="shared" ca="1" si="4893"/>
        <v>#N/A</v>
      </c>
      <c r="DU298" s="715" t="e">
        <f ca="1">IF(AND(INDEX(STM,DT298,4)&gt;=$AB293,INDEX(STM,DT298,5)&gt;=$S287,INDEX(STM,DT298,6)&gt;=$R287),1,0)</f>
        <v>#N/A</v>
      </c>
      <c r="DV298" s="715" t="e">
        <f t="shared" ref="DV298" ca="1" si="5054">MATCH(1,OFFSET(DU287:DU298,DW297,0,COUNT(DU287:DU298)-DW297),0)</f>
        <v>#REF!</v>
      </c>
      <c r="DW298" s="715" t="e">
        <f t="shared" ca="1" si="4895"/>
        <v>#REF!</v>
      </c>
      <c r="DX298" s="716" t="str">
        <f ca="1">IFERROR(VLOOKUP(INDEX(DT287:DT298,DW298),STM,2,FALSE),"----")</f>
        <v>----</v>
      </c>
      <c r="DY298" s="714" t="e">
        <f t="shared" ca="1" si="4896"/>
        <v>#N/A</v>
      </c>
      <c r="DZ298" s="715" t="e">
        <f ca="1">IF(AND(INDEX(ELM,DY298,4)&gt;=$AB293,INDEX(ELM,DY298,5)&gt;=$S287,INDEX(ELM,DY298,6)&gt;=$R287),1,0)</f>
        <v>#N/A</v>
      </c>
      <c r="EA298" s="715" t="e">
        <f t="shared" ref="EA298" ca="1" si="5055">MATCH(1,OFFSET(DZ287:DZ298,EB297,0,COUNT(DZ287:DZ298)-EB297),0)</f>
        <v>#REF!</v>
      </c>
      <c r="EB298" s="715" t="e">
        <f t="shared" ca="1" si="4898"/>
        <v>#REF!</v>
      </c>
      <c r="EC298" s="716" t="str">
        <f ca="1">IFERROR(VLOOKUP(INDEX(DY287:DY298,EB298),ELM,2,FALSE),"----")</f>
        <v>----</v>
      </c>
      <c r="ED298" s="714" t="e">
        <f t="shared" ca="1" si="4899"/>
        <v>#N/A</v>
      </c>
      <c r="EE298" s="715" t="e">
        <f ca="1">IF(LEFT($J287,7)="Clad Wo",IF(AND(INDEX(SPPWS,ED298,4)&gt;=$AB293,INDEX(SPPWS,ED298,5)&gt;=$S287,INDEX(SPPWS,ED298,6)&gt;=$R287),1,0),IF(AND(INDEX(SPM,ED298,4)&gt;=$AB293,INDEX(SPM,ED298,5)&gt;=$S287,INDEX(SPM,ED298,6)&gt;=$R287),1,0))</f>
        <v>#N/A</v>
      </c>
      <c r="EF298" s="715" t="e">
        <f t="shared" ref="EF298" ca="1" si="5056">MATCH(1,OFFSET(EE287:EE298,EG297,0,COUNT(EE287:EE298)-EG297),0)</f>
        <v>#REF!</v>
      </c>
      <c r="EG298" s="715" t="e">
        <f t="shared" ca="1" si="4901"/>
        <v>#REF!</v>
      </c>
      <c r="EH298" s="716" t="str">
        <f ca="1">IF(LEFT($J287,7)="Clad Wo",IFERROR(VLOOKUP(INDEX(ED287:ED298,EG298),SPPWS,2,FALSE),"----"),IFERROR(VLOOKUP(INDEX(ED287:ED298,EG298),SPM,2,FALSE),"----"))</f>
        <v>----</v>
      </c>
    </row>
    <row r="299" spans="1:138" ht="15" customHeight="1" thickTop="1" x14ac:dyDescent="0.25">
      <c r="A299" s="1085"/>
      <c r="B299" s="931" t="s">
        <v>92</v>
      </c>
      <c r="C299" s="932"/>
      <c r="D299" s="933"/>
      <c r="E299" s="992"/>
      <c r="F299" s="993"/>
      <c r="G299" s="994"/>
      <c r="H299" s="1061"/>
      <c r="I299" s="989"/>
      <c r="J299" s="906"/>
      <c r="K299" s="907"/>
      <c r="L299" s="1001">
        <f>$W$3</f>
        <v>4</v>
      </c>
      <c r="M299" s="923" t="str">
        <f t="shared" ref="M299" si="5057">IFERROR(IF($AE$13="",IF($AG$19="Wind Loading",MIN($V$31,IF(E$11="ASCE 7-05",$U$26,$V$7)*$V$9*(IF($E$12&lt;60,0.0771*LN(MAX(MIN(500,O299),10)) -1.2737,IF($E$11="ASCE 7-22",0.0524*LN(MAX(MIN(500,O299),50))-1.0278,0.0614*LN(MAX(MIN(500,O299),20)) -1.0829))-$V$8)),$V$7*IF(E$12&lt;60,$V$13*($V$15*0.0771*LN(MAX(MIN(500,O299),10))-1.2737-$V$16),$V$13*$V$15*((0.0524*LN(MAX(MIN(500,O299),20))-1.0278)-$V$16))),-ABS($AE$13)),"")</f>
        <v/>
      </c>
      <c r="N299" s="1042" t="str">
        <f t="shared" ref="N299" si="5058">IFERROR(IF($AE$15="",IF($AG$19="Wind Loading",MAX($U$31,IF(E$11="ASCE 7-05",$U$26,$V$7)*$V$9*((IF($E$12&lt;60,-0.077*LN(MAX(MIN(500,O299),10))+1.1737,IF($E$11="ASCE 7-22",-0.077*LN(MAX(MIN(500,O299),20))+1.0798,-0.093*LN(MAX(MIN(500,O299),20))+1.1776)))+$V$8)),$V$7*IF(E$12&lt;60,$V$13*($V$15*(-0.077*LN(MAX(MIN(500,O299),10))+1.1737)-$V$17),$V$13*$V$15*((-0.077*LN(MAX(MIN(500,O299),20))+1.0798)-$V$17))),ABS($AE$15)),"")</f>
        <v/>
      </c>
      <c r="O299" s="1017" t="str">
        <f>IF(BX306=0,"",IF(AG$14="Trapezoidal",BY306,BX306))</f>
        <v/>
      </c>
      <c r="P299" s="986"/>
      <c r="Q299" s="1014"/>
      <c r="R299" s="1011">
        <f>P299*Q299/8</f>
        <v>0</v>
      </c>
      <c r="S299" s="1004">
        <f t="shared" ref="S299" si="5059">IF(5*(P299*Q299^3/(384*0.125))=0,0,5*(P299*Q299^3/(384*0.125)))</f>
        <v>0</v>
      </c>
      <c r="T299" s="1005"/>
      <c r="U299" s="877" t="e">
        <f ca="1">VLOOKUP(J303,INDIRECT(VLOOKUP(J299,FrameStrength,2,FALSE)),3,FALSE)</f>
        <v>#N/A</v>
      </c>
      <c r="V299" s="880">
        <f t="shared" ref="V299" si="5060">(H299+I299)/2</f>
        <v>0</v>
      </c>
      <c r="W299" s="883" t="e">
        <f t="shared" ref="W299" si="5061">MAX(-M299,N299)*O299</f>
        <v>#VALUE!</v>
      </c>
      <c r="X299" s="883">
        <f t="shared" ref="X299" si="5062">IF(E299&gt;162,(E299/240+0.25),IF(AND(E299&lt;162,E299/175&lt;0.75),E299/175,0.75))</f>
        <v>0</v>
      </c>
      <c r="Y299" s="886">
        <f>IFERROR(IF(AG$14="Trapezoidal",BY307,BX307)+IF($E$17="4",(400*E299^3)/(48*X299),0),0)</f>
        <v>0</v>
      </c>
      <c r="Z299" s="886" t="e">
        <f t="shared" ref="Z299" si="5063">+($V299*MAX(-$M299,$N299)*$E299^2)/(144*8)+IF($E$17=4,(400*$E299)/4,0)</f>
        <v>#VALUE!</v>
      </c>
      <c r="AA299" s="886" t="e">
        <f ca="1">VLOOKUP(J303,INDIRECT(VLOOKUP(J299,FrameStrength,2,FALSE)),2,FALSE)</f>
        <v>#N/A</v>
      </c>
      <c r="AB299" s="1083" t="str">
        <f t="shared" ref="AB299" ca="1" si="5064">IFERROR(Z299-AA299,"")</f>
        <v/>
      </c>
      <c r="AC299" s="1077" t="str">
        <f t="shared" ref="AC299" ca="1" si="5065">IFERROR(Y299-U299,"")</f>
        <v/>
      </c>
      <c r="AD299" s="1100" t="str">
        <f>IFERROR(IF(LEFT(J303,2)="As",VLOOKUP(J303,EIMM,4,FALSE),VLOOKUP(J299,EIMM,4,FALSE)),IF(AND(ISNUMBER(SEARCH("Impervia",J299)),ISNUMBER(SEARCH("door",J303))),'New Lookup Cells'!AF$10,IF(ISNUMBER(SEARCH("Impervia",J299)),'New Lookup Cells'!AF$7,IF(AND(ISNUMBER(SEARCH("250",J299)),ISNUMBER(SEARCH("door",J303))),'New Lookup Cells'!AF$14,IF(ISNUMBER(SEARCH("250",J299)),'New Lookup Cells'!AF$13,"")))))</f>
        <v/>
      </c>
      <c r="AE299" s="1101"/>
      <c r="AF299" s="1050"/>
      <c r="AG299" s="1051"/>
      <c r="AH299" s="1051"/>
      <c r="AI299" s="1088"/>
      <c r="AJ299" s="1089"/>
      <c r="AK299" s="154" t="str">
        <f t="shared" ca="1" si="4947"/>
        <v/>
      </c>
      <c r="AL299" s="1038" t="str">
        <f t="shared" ref="AL299" si="5066">IFERROR(ROUND(SQRT(P299^2+(W299/2+IF($E$17=4,200,0))^2),0),"")</f>
        <v/>
      </c>
      <c r="AM299" s="342" t="s">
        <v>669</v>
      </c>
      <c r="AN299" t="str">
        <f t="shared" ca="1" si="4971"/>
        <v/>
      </c>
      <c r="AP299" s="122" t="str">
        <f t="shared" ref="AP299" si="5067">_xlfn.CONCAT(AR299,AS304)</f>
        <v/>
      </c>
      <c r="AQ299" s="683" t="str">
        <f t="shared" si="3881"/>
        <v/>
      </c>
      <c r="AR299" s="96" t="str">
        <f t="shared" si="4931"/>
        <v/>
      </c>
      <c r="AS299" s="96" t="str">
        <f>IF(COUNTIF(imp_1,AF299)=1,"imp_1",IF(COUNTIF(imp_2,AF299)=1,"imp_2",IF(COUNTIF(imp_3,AF299)=1,"imp_3",IF(COUNTIF(impdoor,AF299)=1,"impdoor",""))))</f>
        <v/>
      </c>
      <c r="AT299" s="684" t="str">
        <f>AL299</f>
        <v/>
      </c>
      <c r="AU299" s="685" t="e">
        <f ca="1">MATCH(AL299,INDIRECT(AP299),-1)</f>
        <v>#REF!</v>
      </c>
      <c r="AV299" s="686" t="str">
        <f ca="1">IFERROR(VLOOKUP(AU299,INDIRECT(AQ299),2,FALSE),"----")</f>
        <v>----</v>
      </c>
      <c r="AW299" s="685" t="e">
        <f ca="1">MATCH(AL299,INDIRECT(AP300),-1)</f>
        <v>#REF!</v>
      </c>
      <c r="AX299" s="686" t="str">
        <f ca="1">IFERROR(VLOOKUP(AW299,INDIRECT(AQ300),2,FALSE),"----")</f>
        <v>----</v>
      </c>
      <c r="AY299" s="685" t="e">
        <f ca="1">MATCH(AL299,INDIRECT(AP301),-1)</f>
        <v>#REF!</v>
      </c>
      <c r="AZ299" s="686" t="str">
        <f ca="1">IFERROR(VLOOKUP(AY299,INDIRECT(AQ301),2,FALSE),"----")</f>
        <v>----</v>
      </c>
      <c r="BA299" s="685" t="e">
        <f ca="1">MATCH(AL299,INDIRECT(AP302),-1)</f>
        <v>#REF!</v>
      </c>
      <c r="BB299" s="686" t="str">
        <f ca="1">IFERROR(VLOOKUP(BA299,INDIRECT(AQ302),2,FALSE),"----")</f>
        <v>----</v>
      </c>
      <c r="BC299" s="685" t="e">
        <f ca="1">MATCH(AL299,INDIRECT(AP303),-1)</f>
        <v>#REF!</v>
      </c>
      <c r="BD299" s="686" t="str">
        <f ca="1">IFERROR(VLOOKUP(BC299,INDIRECT(AQ303),2,FALSE),"----")</f>
        <v>----</v>
      </c>
      <c r="BE299" s="685" t="e">
        <f ca="1">MATCH(AL299,INDIRECT(AP304),-1)</f>
        <v>#REF!</v>
      </c>
      <c r="BF299" s="686" t="str">
        <f ca="1">IFERROR(VLOOKUP(BE299,INDIRECT(AQ304),2,FALSE),"----")</f>
        <v>----</v>
      </c>
      <c r="BG299" s="685" t="e">
        <f ca="1">MATCH(AL305,INDIRECT(AP305),-1)</f>
        <v>#REF!</v>
      </c>
      <c r="BH299" s="686" t="str">
        <f ca="1">IFERROR(VLOOKUP(BG299,INDIRECT(AQ305),2,FALSE),"----")</f>
        <v>----</v>
      </c>
      <c r="BI299" s="685" t="e">
        <f ca="1">MATCH(AL305,INDIRECT(AP306),-1)</f>
        <v>#REF!</v>
      </c>
      <c r="BJ299" s="686" t="str">
        <f ca="1">IFERROR(VLOOKUP(BI299,INDIRECT(AQ306),2,FALSE),"----")</f>
        <v>----</v>
      </c>
      <c r="BK299" s="685" t="e">
        <f ca="1">MATCH(AL305,INDIRECT(AP307),-1)</f>
        <v>#REF!</v>
      </c>
      <c r="BL299" s="686" t="str">
        <f ca="1">IFERROR(VLOOKUP(BK299,INDIRECT(AQ307),2,FALSE),"----")</f>
        <v>----</v>
      </c>
      <c r="BM299" s="685" t="e">
        <f ca="1">MATCH(AL305,INDIRECT(AP308),-1)</f>
        <v>#REF!</v>
      </c>
      <c r="BN299" s="686" t="str">
        <f ca="1">IFERROR(VLOOKUP(BM299,INDIRECT(AQ308),2,FALSE),"----")</f>
        <v>----</v>
      </c>
      <c r="BO299" s="685" t="e">
        <f ca="1">MATCH(AL305,INDIRECT(AP309),-1)</f>
        <v>#REF!</v>
      </c>
      <c r="BP299" s="686" t="str">
        <f ca="1">IFERROR(VLOOKUP(BO299,INDIRECT(AQ309),2,FALSE),"----")</f>
        <v>----</v>
      </c>
      <c r="BQ299" s="685" t="e">
        <f ca="1">MATCH(AL305,INDIRECT(AP310),-1)</f>
        <v>#REF!</v>
      </c>
      <c r="BR299" s="686" t="str">
        <f ca="1">IFERROR(VLOOKUP(BQ299,INDIRECT(AQ310),2,FALSE),"----")</f>
        <v>----</v>
      </c>
      <c r="BS299" s="687">
        <f>IF(AI299="",1,IF(COUNTIF(AV299:AV310,AI299)=0,2,1))</f>
        <v>1</v>
      </c>
      <c r="BT299" s="688">
        <f>IF(AP299="1",1,IF(AF299="",1,IF(AV299=".",2,1)))</f>
        <v>1</v>
      </c>
      <c r="BU299" s="706"/>
      <c r="BV299" s="155">
        <f ca="1">IF(COUNTIF(CE299:CE310,AF299)=0,IF(AF299&lt;&gt;"",0,1),1)</f>
        <v>1</v>
      </c>
      <c r="BW299" s="157">
        <f ca="1">IFERROR(MATCH(AF299,CE299:CE310,0),1)</f>
        <v>1</v>
      </c>
      <c r="BX299" s="769" t="str">
        <f>IFERROR(IF(LEFT(J303,2)="As",VLOOKUP(J303,EIMM,2,FALSE),IF(AND(ISNUMBER(SEARCH("Impervia",J299)),ISNUMBER(SEARCH("door",J303))),VLOOKUP("Impervia Door",EIMM,2,FALSE),IF(AND(ISNUMBER(SEARCH("250",J299)),ISNUMBER(SEARCH("door",J303))),VLOOKUP("250 Series Door",EIMM,2,FALSE),VLOOKUP(J299,EIMM,2,FALSE)))),"")</f>
        <v/>
      </c>
      <c r="BY299" s="769" t="str">
        <f ca="1">IFERROR(VLOOKUP(BX299,OFFSET(EIMM,0,1),2,FALSE),"")</f>
        <v/>
      </c>
      <c r="BZ299" s="1110" t="e">
        <f ca="1">IF((COUNTIF(INDIRECT(SUBSTITUTE(J299," ","_")),J303))=0,IF(J303="",1,0),1)</f>
        <v>#REF!</v>
      </c>
      <c r="CA299" s="691" t="e">
        <f ca="1">MATCH(AC299,INDIRECT(BX299),-1)</f>
        <v>#REF!</v>
      </c>
      <c r="CB299" s="4" t="e" cm="1">
        <f t="array" aca="1" ref="CB299" ca="1">IF(AND(INDEX(INDIRECT(BY299),CA299,4)&gt;=$AB299,INDEX(INDIRECT(BY299),CA299,5)&gt;=$S299,INDEX(INDIRECT(BY299),CA299,6)&gt;=$R299),1,0)</f>
        <v>#REF!</v>
      </c>
      <c r="CC299" s="4" t="e">
        <f t="shared" ref="CC299" ca="1" si="5068">MATCH(1,OFFSET(CB299:CB310,$W$2,0,COUNT(CB299:CB310)-$W$2),0)</f>
        <v>#REF!</v>
      </c>
      <c r="CD299" s="4" t="e">
        <f t="shared" ref="CD299" ca="1" si="5069">$W$2+CC299</f>
        <v>#REF!</v>
      </c>
      <c r="CE299" s="692" t="str" cm="1">
        <f t="array" aca="1" ref="CE299" ca="1">IFERROR(VLOOKUP(INDEX(CA299:CA310,CD299),INDIRECT(BY299),2,FALSE),"----")</f>
        <v>----</v>
      </c>
      <c r="CF299" s="691" t="e">
        <f ca="1">MATCH($AC299,SSEI,-1)</f>
        <v>#N/A</v>
      </c>
      <c r="CG299" s="4" t="e">
        <f ca="1">IF(AND(INDEX(SSM,CF299,4)&gt;=$AB299,INDEX(SSM,CF299,5)&gt;=$S299,INDEX(SSM,CF299,6)&gt;=$R299),1,0)</f>
        <v>#N/A</v>
      </c>
      <c r="CH299" s="4" t="e">
        <f t="shared" ref="CH299" ca="1" si="5070">MATCH(1,OFFSET(CG299:CG310,$W$2,0,COUNT(CG299:CG310)-$W$2),0)</f>
        <v>#REF!</v>
      </c>
      <c r="CI299" s="4" t="e">
        <f t="shared" ref="CI299" ca="1" si="5071">$W$2+CH299</f>
        <v>#REF!</v>
      </c>
      <c r="CJ299" s="692" t="str">
        <f ca="1">IFERROR(IF(AD300="Nested Steel Stud (wood infill)",VLOOKUP(INDEX(CF299:CF310,CI299),SSW,2,FALSE),VLOOKUP(INDEX(CF299:CF310,CI299),SSM,2,FALSE)),"----")</f>
        <v>----</v>
      </c>
      <c r="CK299" s="691" t="e">
        <f ca="1">MATCH($AC299,WSEI,-1)</f>
        <v>#N/A</v>
      </c>
      <c r="CL299" s="4" t="e">
        <f ca="1">IF(AND(INDEX(WSM,CK299,4)&gt;=$AB299,INDEX(WSM,CK299,5)&gt;=$S299,INDEX(WSM,CK299,6)&gt;=$R299),1,0)</f>
        <v>#N/A</v>
      </c>
      <c r="CM299" s="4" t="e">
        <f t="shared" ref="CM299" ca="1" si="5072">MATCH(1,OFFSET(CL299:CL310,$W$2,0,COUNT(CL299:CL310)-$W$2),0)</f>
        <v>#REF!</v>
      </c>
      <c r="CN299" s="4" t="e">
        <f t="shared" ref="CN299" ca="1" si="5073">$W$2+CM299</f>
        <v>#REF!</v>
      </c>
      <c r="CO299" s="692" t="str">
        <f ca="1">IFERROR(VLOOKUP(INDEX(CK299:CK310,CN299),WSM,2,FALSE),"----")</f>
        <v>----</v>
      </c>
      <c r="CP299" s="691" t="e">
        <f ca="1">MATCH($AC299,STEI,-1)</f>
        <v>#N/A</v>
      </c>
      <c r="CQ299" s="4" t="e">
        <f ca="1">IF(AND(INDEX(STM,CP299,4)&gt;=$AB299,INDEX(STM,CP299,5)&gt;=$S299,INDEX(STM,CP299,6)&gt;=$R299),1,0)</f>
        <v>#N/A</v>
      </c>
      <c r="CR299" s="4" t="e">
        <f t="shared" ref="CR299" ca="1" si="5074">MATCH(1,OFFSET(CQ299:CQ310,$W$2,0,COUNT(CQ299:CQ310)-$W$2),0)</f>
        <v>#REF!</v>
      </c>
      <c r="CS299" s="4" t="e">
        <f t="shared" ref="CS299" ca="1" si="5075">$W$2+CR299</f>
        <v>#REF!</v>
      </c>
      <c r="CT299" s="692" t="str">
        <f ca="1">IFERROR(VLOOKUP(INDEX(CP299:CP310,CS299),STM,2,FALSE),"----")</f>
        <v>----</v>
      </c>
      <c r="CU299" s="691" t="e">
        <f ca="1">MATCH($AC299,ELEI,-1)</f>
        <v>#N/A</v>
      </c>
      <c r="CV299" s="4" t="e">
        <f ca="1">IF(AND(INDEX(ELM,CU299,4)&gt;=$AB299,INDEX(ELM,CU299,5)&gt;=$S299,INDEX(ELM,CU299,6)&gt;=$R299),1,0)</f>
        <v>#N/A</v>
      </c>
      <c r="CW299" s="4" t="e">
        <f t="shared" ref="CW299" ca="1" si="5076">MATCH(1,OFFSET(CV299:CV310,$W$2,0,COUNT(CV299:CV310)-$W$2),0)</f>
        <v>#REF!</v>
      </c>
      <c r="CX299" s="4" t="e">
        <f t="shared" ref="CX299" ca="1" si="5077">$W$2+CW299</f>
        <v>#REF!</v>
      </c>
      <c r="CY299" s="692" t="str">
        <f ca="1">IFERROR(VLOOKUP(INDEX(CU299:CU310,CX299),ELM,2,FALSE),"----")</f>
        <v>----</v>
      </c>
      <c r="CZ299" s="691" t="e">
        <f ca="1">IF(LEFT($J299,7)="Clad Wo",MATCH($AC299,SPEIW,-1),MATCH($AC299,SPEI,-1))</f>
        <v>#N/A</v>
      </c>
      <c r="DA299" s="4" t="e">
        <f ca="1">IF(LEFT($J299,7)="Clad Wo",IF(AND(INDEX(SPPWS,CZ299,4)&gt;=$AB299,INDEX(SPPWS,CZ299,5)&gt;=$S299,INDEX(SPPWS,CZ299,6)&gt;=$R299),1,0),IF(AND(INDEX(SPM,CZ299,4)&gt;=$AB299,INDEX(SPM,CZ299,5)&gt;=$S299,INDEX(SPM,CZ299,6)&gt;=$R299),1,0))</f>
        <v>#N/A</v>
      </c>
      <c r="DB299" s="4" t="e">
        <f t="shared" ref="DB299" ca="1" si="5078">MATCH(1,OFFSET(DA299:DA310,$W$2,0,COUNT(DA299:DA310)-$W$2),0)</f>
        <v>#REF!</v>
      </c>
      <c r="DC299" s="4" t="e">
        <f t="shared" ref="DC299" ca="1" si="5079">$W$2+DB299</f>
        <v>#REF!</v>
      </c>
      <c r="DD299" s="693" t="str">
        <f ca="1">IF(LEFT($J299,7)="Clad Wo",IFERROR(VLOOKUP(INDEX(CZ299:CZ310,DC299),SPPWS,2,FALSE),"----"),IFERROR(VLOOKUP(INDEX(CZ299:CZ310,DC299),SPM,2,FALSE),"----"))</f>
        <v>----</v>
      </c>
      <c r="DE299" s="691" t="e">
        <f ca="1">MATCH(AC305,INDIRECT(BX299),-1)</f>
        <v>#REF!</v>
      </c>
      <c r="DF299" s="4" t="e" cm="1">
        <f t="array" aca="1" ref="DF299" ca="1">IF(AND(INDEX(INDIRECT(BY299),DE299,4)&gt;=$AB305,INDEX(INDIRECT(BY299),DE299,5)&gt;=$S299,INDEX(INDIRECT(BY299),DE299,6)&gt;=$R299),1,0)</f>
        <v>#REF!</v>
      </c>
      <c r="DG299" s="4" t="e">
        <f t="shared" ref="DG299" ca="1" si="5080">MATCH(1,OFFSET(DF299:DF310,$W$2,0,COUNT(DF299:DF310)-$W$2),0)</f>
        <v>#REF!</v>
      </c>
      <c r="DH299" s="4" t="e">
        <f t="shared" ref="DH299" ca="1" si="5081">$W$2+DG299</f>
        <v>#REF!</v>
      </c>
      <c r="DI299" s="692" t="str" cm="1">
        <f t="array" aca="1" ref="DI299" ca="1">IFERROR(VLOOKUP(INDEX(DE299:DE310,DH299),INDIRECT(BY299),2,FALSE),"----")</f>
        <v>----</v>
      </c>
      <c r="DJ299" s="691" t="e">
        <f ca="1">MATCH($AC305,SSEI,-1)</f>
        <v>#N/A</v>
      </c>
      <c r="DK299" s="4" t="e">
        <f ca="1">IF(AND(INDEX(SSM,DJ299,4)&gt;=$AB305,INDEX(SSM,DJ299,5)&gt;=$S299,INDEX(SSM,DJ299,6)&gt;=$R299),1,0)</f>
        <v>#N/A</v>
      </c>
      <c r="DL299" s="4" t="e">
        <f t="shared" ref="DL299" ca="1" si="5082">MATCH(1,OFFSET(DK299:DK310,$W$2,0,COUNT(DK299:DK310)-$W$2),0)</f>
        <v>#REF!</v>
      </c>
      <c r="DM299" s="4" t="e">
        <f t="shared" ref="DM299" ca="1" si="5083">$W$2+DL299</f>
        <v>#REF!</v>
      </c>
      <c r="DN299" s="692" t="str">
        <f ca="1">IFERROR(IF(AD306="Nested Steel Stud (wood infill)",VLOOKUP(INDEX(DJ299:DJ310,DM299),SSW,2,FALSE),VLOOKUP(INDEX(DJ299:DJ310,DM299),SSM,2,FALSE)),"----")</f>
        <v>----</v>
      </c>
      <c r="DO299" s="691" t="e">
        <f ca="1">MATCH($AC305,WSEI,-1)</f>
        <v>#N/A</v>
      </c>
      <c r="DP299" s="4" t="e">
        <f ca="1">IF(AND(INDEX(WSM,DO299,4)&gt;=$AB305,INDEX(WSM,DO299,5)&gt;=$S299,INDEX(WSM,DO299,6)&gt;=$R299),1,0)</f>
        <v>#N/A</v>
      </c>
      <c r="DQ299" s="4" t="e">
        <f t="shared" ref="DQ299" ca="1" si="5084">MATCH(1,OFFSET(DP299:DP310,$W$2,0,COUNT(DP299:DP310)-$W$2),0)</f>
        <v>#REF!</v>
      </c>
      <c r="DR299" s="4" t="e">
        <f t="shared" ref="DR299" ca="1" si="5085">$W$2+DQ299</f>
        <v>#REF!</v>
      </c>
      <c r="DS299" s="692" t="str">
        <f ca="1">IFERROR(VLOOKUP(INDEX(DO299:DO310,DR299),WSM,2,FALSE),"----")</f>
        <v>----</v>
      </c>
      <c r="DT299" s="691" t="e">
        <f ca="1">MATCH($AC305,STEI,-1)</f>
        <v>#N/A</v>
      </c>
      <c r="DU299" s="4" t="e">
        <f ca="1">IF(AND(INDEX(STM,DT299,4)&gt;=$AB305,INDEX(STM,DT299,5)&gt;=$S299,INDEX(STM,DT299,6)&gt;=$R299),1,0)</f>
        <v>#N/A</v>
      </c>
      <c r="DV299" s="4" t="e">
        <f t="shared" ref="DV299" ca="1" si="5086">MATCH(1,OFFSET(DU299:DU310,$W$2,0,COUNT(DU299:DU310)-$W$2),0)</f>
        <v>#REF!</v>
      </c>
      <c r="DW299" s="4" t="e">
        <f t="shared" ref="DW299" ca="1" si="5087">$W$2+DV299</f>
        <v>#REF!</v>
      </c>
      <c r="DX299" s="692" t="str">
        <f ca="1">IFERROR(VLOOKUP(INDEX(DT299:DT310,DW299),STM,2,FALSE),"----")</f>
        <v>----</v>
      </c>
      <c r="DY299" s="691" t="e">
        <f ca="1">MATCH($AC305,ELEI,-1)</f>
        <v>#N/A</v>
      </c>
      <c r="DZ299" s="4" t="e">
        <f ca="1">IF(AND(INDEX(ELM,DY299,4)&gt;=$AB305,INDEX(ELM,DY299,5)&gt;=$S299,INDEX(ELM,DY299,6)&gt;=$R299),1,0)</f>
        <v>#N/A</v>
      </c>
      <c r="EA299" s="4" t="e">
        <f t="shared" ref="EA299" ca="1" si="5088">MATCH(1,OFFSET(DZ299:DZ310,$W$2,0,COUNT(DZ299:DZ310)-$W$2),0)</f>
        <v>#REF!</v>
      </c>
      <c r="EB299" s="4" t="e">
        <f t="shared" ref="EB299" ca="1" si="5089">EA299+$W$2</f>
        <v>#REF!</v>
      </c>
      <c r="EC299" s="692" t="str">
        <f ca="1">IFERROR(VLOOKUP(INDEX(DY299:DY310,EB299),ELM,2,FALSE),"----")</f>
        <v>----</v>
      </c>
      <c r="ED299" s="691" t="e">
        <f ca="1">IF(LEFT($J299,7)="Clad Wo",MATCH($AC305,SPEIW,-1),MATCH($AC305,SPEI,-1))</f>
        <v>#N/A</v>
      </c>
      <c r="EE299" s="4" t="e">
        <f ca="1">IF(LEFT($J299,7)="Clad Wo",IF(AND(INDEX(SPPWS,ED299,4)&gt;=$AB305,INDEX(SPPWS,ED299,5)&gt;=$S299,INDEX(SPPWS,ED299,6)&gt;=$R299),1,0),IF(AND(INDEX(SPM,ED299,4)&gt;=$AB305,INDEX(SPM,ED299,5)&gt;=$S299,INDEX(SPM,ED299,6)&gt;=$R299),1,0))</f>
        <v>#N/A</v>
      </c>
      <c r="EF299" s="4" t="e">
        <f t="shared" ref="EF299" ca="1" si="5090">MATCH(1,OFFSET(EE299:EE310,$W$2,0,COUNT(EE299:EE310)-$W$2),0)</f>
        <v>#REF!</v>
      </c>
      <c r="EG299" s="4" t="e">
        <f t="shared" ref="EG299" ca="1" si="5091">$W$2+EF299</f>
        <v>#REF!</v>
      </c>
      <c r="EH299" s="692" t="str">
        <f ca="1">IF(LEFT($J299,7)="Clad Wo",IFERROR(VLOOKUP(INDEX(ED299:ED310,EG299),SPPWS,2,FALSE),"----"),IFERROR(VLOOKUP(INDEX(ED299:ED310,EG299),SPM,2,FALSE),"----"))</f>
        <v>----</v>
      </c>
    </row>
    <row r="300" spans="1:138" ht="15" customHeight="1" x14ac:dyDescent="0.25">
      <c r="A300" s="1085"/>
      <c r="B300" s="925"/>
      <c r="C300" s="926"/>
      <c r="D300" s="927"/>
      <c r="E300" s="995"/>
      <c r="F300" s="996"/>
      <c r="G300" s="997"/>
      <c r="H300" s="1062"/>
      <c r="I300" s="990"/>
      <c r="J300" s="908"/>
      <c r="K300" s="909"/>
      <c r="L300" s="1002"/>
      <c r="M300" s="923"/>
      <c r="N300" s="1042"/>
      <c r="O300" s="1018"/>
      <c r="P300" s="987"/>
      <c r="Q300" s="1015"/>
      <c r="R300" s="1012"/>
      <c r="S300" s="1006"/>
      <c r="T300" s="1007"/>
      <c r="U300" s="878"/>
      <c r="V300" s="881"/>
      <c r="W300" s="884"/>
      <c r="X300" s="884"/>
      <c r="Y300" s="887"/>
      <c r="Z300" s="887"/>
      <c r="AA300" s="887"/>
      <c r="AB300" s="1081"/>
      <c r="AC300" s="1078"/>
      <c r="AD300" s="1102" t="s">
        <v>38</v>
      </c>
      <c r="AE300" s="1103"/>
      <c r="AF300" s="1052"/>
      <c r="AG300" s="1053"/>
      <c r="AH300" s="1053"/>
      <c r="AI300" s="1066"/>
      <c r="AJ300" s="1067"/>
      <c r="AK300" s="156" t="str">
        <f t="shared" ca="1" si="4947"/>
        <v/>
      </c>
      <c r="AL300" s="1039"/>
      <c r="AM300" s="343" t="str">
        <f ca="1">IFERROR(Q299/12*ROUND(VLOOKUP(AF300,OFFSET(SSM,0,1),6,FALSE),2),"")</f>
        <v/>
      </c>
      <c r="AN300" t="str">
        <f t="shared" ca="1" si="4971"/>
        <v/>
      </c>
      <c r="AP300" s="122" t="str">
        <f t="shared" ref="AP300" si="5092">_xlfn.CONCAT(AR300,AS304)</f>
        <v/>
      </c>
      <c r="AQ300" s="683" t="str">
        <f t="shared" si="3881"/>
        <v/>
      </c>
      <c r="AR300" s="96" t="str">
        <f t="shared" si="4931"/>
        <v/>
      </c>
      <c r="AS300" s="96" t="str">
        <f>IF(COUNTIF(Vista_1,AF299)=1,"Vista_1",IF(COUNTIF(Vista_2,AF299)=1,"Vista_2",""))</f>
        <v/>
      </c>
      <c r="AT300" s="684" t="str">
        <f>AL299</f>
        <v/>
      </c>
      <c r="AU300" s="694" t="e">
        <f t="shared" ref="AU300" ca="1" si="5093">AU299-1</f>
        <v>#REF!</v>
      </c>
      <c r="AV300" s="686" t="str">
        <f ca="1">IFERROR(VLOOKUP(AU300,INDIRECT(AQ299),2,FALSE),"----")</f>
        <v>----</v>
      </c>
      <c r="AW300" s="694" t="e">
        <f t="shared" ref="AW300:AW301" ca="1" si="5094">AW299-1</f>
        <v>#REF!</v>
      </c>
      <c r="AX300" s="686" t="str">
        <f ca="1">IFERROR(VLOOKUP(AW300,INDIRECT(AQ300),2,FALSE),"----")</f>
        <v>----</v>
      </c>
      <c r="AY300" s="694" t="e">
        <f t="shared" ref="AY300:AY301" ca="1" si="5095">AY299-1</f>
        <v>#REF!</v>
      </c>
      <c r="AZ300" s="686" t="str">
        <f ca="1">IFERROR(VLOOKUP(AY300,INDIRECT(AQ301),2,FALSE),"----")</f>
        <v>----</v>
      </c>
      <c r="BA300" s="694" t="e">
        <f t="shared" ref="BA300:BA301" ca="1" si="5096">BA299-1</f>
        <v>#REF!</v>
      </c>
      <c r="BB300" s="686" t="str">
        <f ca="1">IFERROR(VLOOKUP(BA300,INDIRECT(AQ302),2,FALSE),"----")</f>
        <v>----</v>
      </c>
      <c r="BC300" s="694" t="e">
        <f t="shared" ref="BC300:BC301" ca="1" si="5097">BC299-1</f>
        <v>#REF!</v>
      </c>
      <c r="BD300" s="686" t="str">
        <f ca="1">IFERROR(VLOOKUP(BC300,INDIRECT(AQ303),2,FALSE),"----")</f>
        <v>----</v>
      </c>
      <c r="BE300" s="694" t="e">
        <f t="shared" ref="BE300" ca="1" si="5098">BE299-1</f>
        <v>#REF!</v>
      </c>
      <c r="BF300" s="686" t="str">
        <f ca="1">IFERROR(VLOOKUP(BE300,INDIRECT(AQ304),2,FALSE),"----")</f>
        <v>----</v>
      </c>
      <c r="BG300" s="694" t="e">
        <f t="shared" ref="BG300" ca="1" si="5099">BG299-1</f>
        <v>#REF!</v>
      </c>
      <c r="BH300" s="686" t="str">
        <f ca="1">IFERROR(VLOOKUP(BG300,INDIRECT(AQ305),2,FALSE),"----")</f>
        <v>----</v>
      </c>
      <c r="BI300" s="694" t="e">
        <f t="shared" ref="BI300:BI301" ca="1" si="5100">BI299-1</f>
        <v>#REF!</v>
      </c>
      <c r="BJ300" s="686" t="str">
        <f ca="1">IFERROR(VLOOKUP(BI300,INDIRECT(AQ306),2,FALSE),"----")</f>
        <v>----</v>
      </c>
      <c r="BK300" s="694" t="e">
        <f t="shared" ref="BK300:BK301" ca="1" si="5101">BK299-1</f>
        <v>#REF!</v>
      </c>
      <c r="BL300" s="686" t="str">
        <f ca="1">IFERROR(VLOOKUP(BK300,INDIRECT(AQ307),2,FALSE),"----")</f>
        <v>----</v>
      </c>
      <c r="BM300" s="694" t="e">
        <f t="shared" ref="BM300:BM301" ca="1" si="5102">BM299-1</f>
        <v>#REF!</v>
      </c>
      <c r="BN300" s="686" t="str">
        <f ca="1">IFERROR(VLOOKUP(BM300,INDIRECT(AQ308),2,FALSE),"----")</f>
        <v>----</v>
      </c>
      <c r="BO300" s="694" t="e">
        <f t="shared" ref="BO300:BO301" ca="1" si="5103">BO299-1</f>
        <v>#REF!</v>
      </c>
      <c r="BP300" s="686" t="str">
        <f ca="1">IFERROR(VLOOKUP(BO300,INDIRECT(AQ309),2,FALSE),"----")</f>
        <v>----</v>
      </c>
      <c r="BQ300" s="694" t="e">
        <f t="shared" ref="BQ300" ca="1" si="5104">BQ299-1</f>
        <v>#REF!</v>
      </c>
      <c r="BR300" s="686" t="str">
        <f ca="1">IFERROR(VLOOKUP(BQ300,INDIRECT(AQ310),2,FALSE),"----")</f>
        <v>----</v>
      </c>
      <c r="BS300" s="695">
        <f>IF(AI300="",1,IF(COUNTIF(AX299:AX310,AI300)=0,2,1))</f>
        <v>1</v>
      </c>
      <c r="BT300" s="696">
        <f>IF(AF300="",1,IF(AX299=".",2,1))</f>
        <v>1</v>
      </c>
      <c r="BU300" s="706"/>
      <c r="BV300" s="155">
        <f ca="1">IF(COUNTIF(CJ299:CJ310,AF300)=0,IF(AF300&lt;&gt;"",0,1),1)</f>
        <v>1</v>
      </c>
      <c r="BW300" s="157">
        <f ca="1">IFERROR(MATCH(AF300,CJ299:CJ310,0),1)</f>
        <v>1</v>
      </c>
      <c r="BX300" s="769"/>
      <c r="BY300" s="769"/>
      <c r="BZ300" s="1110"/>
      <c r="CA300" s="691" t="e">
        <f t="shared" ref="CA300:CA310" ca="1" si="5105">CA299-1</f>
        <v>#REF!</v>
      </c>
      <c r="CB300" s="4" t="e" cm="1">
        <f t="array" aca="1" ref="CB300" ca="1">IF(AND(INDEX(INDIRECT(BY299),CA300,4)&gt;=$AB299,INDEX(INDIRECT(BY299),CA300,5)&gt;=$S299,INDEX(INDIRECT(BY299),CA300,6)&gt;=$R299),1,0)</f>
        <v>#REF!</v>
      </c>
      <c r="CC300" s="4" t="e">
        <f t="shared" ref="CC300" ca="1" si="5106">MATCH(1,OFFSET(CB299:CB310,CD299,0,COUNT(CB299:CB310)-CD299),0)</f>
        <v>#REF!</v>
      </c>
      <c r="CD300" s="4" t="e">
        <f t="shared" ref="CD300:CD310" ca="1" si="5107">CD299+CC300</f>
        <v>#REF!</v>
      </c>
      <c r="CE300" s="692" t="str" cm="1">
        <f t="array" aca="1" ref="CE300" ca="1">IFERROR(VLOOKUP(INDEX(CA299:CA310,CD300),INDIRECT(BY299),2,FALSE),"----")</f>
        <v>----</v>
      </c>
      <c r="CF300" s="691" t="e">
        <f t="shared" ref="CF300:CF310" ca="1" si="5108">CF299-1</f>
        <v>#N/A</v>
      </c>
      <c r="CG300" s="4" t="e">
        <f ca="1">IF(AND(INDEX(SSM,CF300,4)&gt;=$AB299,INDEX(SSM,CF300,5)&gt;=$S299,INDEX(SSM,CF300,6)&gt;=$R299),1,0)</f>
        <v>#N/A</v>
      </c>
      <c r="CH300" s="4" t="e">
        <f t="shared" ref="CH300" ca="1" si="5109">MATCH(1,OFFSET(CG299:CG310,CI299,0,COUNT(CG299:CG310)-CI299),0)</f>
        <v>#REF!</v>
      </c>
      <c r="CI300" s="4" t="e">
        <f t="shared" ref="CI300:CI310" ca="1" si="5110">CI299+CH300</f>
        <v>#REF!</v>
      </c>
      <c r="CJ300" s="692" t="str">
        <f ca="1">IFERROR(IF(AD300="Nested Steel Stud (wood infill)",VLOOKUP(INDEX(CF299:CF310,CI300),SSW,2,FALSE),VLOOKUP(INDEX(CF299:CF310,CI300),SSM,2,FALSE)),"----")</f>
        <v>----</v>
      </c>
      <c r="CK300" s="691" t="e">
        <f t="shared" ref="CK300:CK310" ca="1" si="5111">CK299-1</f>
        <v>#N/A</v>
      </c>
      <c r="CL300" s="4" t="e">
        <f ca="1">IF(AND(INDEX(WSM,CK300,4)&gt;=$AB299,INDEX(WSM,CK300,5)&gt;=$S299,INDEX(WSM,CK300,6)&gt;=$R299),1,0)</f>
        <v>#N/A</v>
      </c>
      <c r="CM300" s="4" t="e">
        <f t="shared" ref="CM300" ca="1" si="5112">MATCH(1,OFFSET(CL299:CL310,CN299,0,COUNT(CL299:CL310)-CN299),0)</f>
        <v>#REF!</v>
      </c>
      <c r="CN300" s="4" t="e">
        <f t="shared" ref="CN300:CN310" ca="1" si="5113">CM300+CN299</f>
        <v>#REF!</v>
      </c>
      <c r="CO300" s="692" t="str">
        <f ca="1">IFERROR(VLOOKUP(INDEX(CK299:CK310,CN300),WSM,2,FALSE),"----")</f>
        <v>----</v>
      </c>
      <c r="CP300" s="691" t="e">
        <f t="shared" ref="CP300:CP310" ca="1" si="5114">CP299-1</f>
        <v>#N/A</v>
      </c>
      <c r="CQ300" s="4" t="e">
        <f ca="1">IF(AND(INDEX(STM,CP300,4)&gt;=$AB299,INDEX(STM,CP300,5)&gt;=$S299,INDEX(STM,CP300,6)&gt;=$R299),1,0)</f>
        <v>#N/A</v>
      </c>
      <c r="CR300" s="4" t="e">
        <f t="shared" ref="CR300" ca="1" si="5115">MATCH(1,OFFSET(CQ299:CQ310,CS299,0,COUNT(CQ299:CQ310)-CS299),0)</f>
        <v>#REF!</v>
      </c>
      <c r="CS300" s="4" t="e">
        <f t="shared" ref="CS300:CS310" ca="1" si="5116">CR300+CS299</f>
        <v>#REF!</v>
      </c>
      <c r="CT300" s="692" t="str">
        <f ca="1">IFERROR(VLOOKUP(INDEX(CP299:CP310,CS300),STM,2,FALSE),"----")</f>
        <v>----</v>
      </c>
      <c r="CU300" s="691" t="e">
        <f t="shared" ref="CU300:CU310" ca="1" si="5117">CU299-1</f>
        <v>#N/A</v>
      </c>
      <c r="CV300" s="4" t="e">
        <f ca="1">IF(AND(INDEX(ELM,CU300,4)&gt;=$AB299,INDEX(ELM,CU300,5)&gt;=$S299,INDEX(ELM,CU300,6)&gt;=$R299),1,0)</f>
        <v>#N/A</v>
      </c>
      <c r="CW300" s="4" t="e">
        <f t="shared" ref="CW300" ca="1" si="5118">MATCH(1,OFFSET(CV299:CV310,CX299,0,COUNT(CV299:CV310)-CX299),0)</f>
        <v>#REF!</v>
      </c>
      <c r="CX300" s="4" t="e">
        <f t="shared" ref="CX300:CX310" ca="1" si="5119">CW300+CX299</f>
        <v>#REF!</v>
      </c>
      <c r="CY300" s="692" t="str">
        <f ca="1">IFERROR(VLOOKUP(INDEX(CU299:CU310,CX300),ELM,2,FALSE),"----")</f>
        <v>----</v>
      </c>
      <c r="CZ300" s="691" t="e">
        <f t="shared" ref="CZ300:CZ310" ca="1" si="5120">CZ299-1</f>
        <v>#N/A</v>
      </c>
      <c r="DA300" s="4" t="e">
        <f ca="1">IF(LEFT($J299,7)="Clad Wo",IF(AND(INDEX(SPPWS,CZ300,4)&gt;=$AB299,INDEX(SPPWS,CZ300,5)&gt;=$S299,INDEX(SPPWS,CZ300,6)&gt;=$R299),1,0),IF(AND(INDEX(SPM,CZ300,4)&gt;=$AB299,INDEX(SPM,CZ300,5)&gt;=$S299,INDEX(SPM,CZ300,6)&gt;=$R299),1,0))</f>
        <v>#N/A</v>
      </c>
      <c r="DB300" s="4" t="e">
        <f t="shared" ref="DB300" ca="1" si="5121">MATCH(1,OFFSET(DA299:DA310,DC299,0,COUNT(DA299:DA310)-DC299),0)</f>
        <v>#REF!</v>
      </c>
      <c r="DC300" s="4" t="e">
        <f t="shared" ref="DC300:DC310" ca="1" si="5122">DC299+DB300</f>
        <v>#REF!</v>
      </c>
      <c r="DD300" s="693" t="str">
        <f ca="1">IF(LEFT($J299,7)="Clad Wo",IFERROR(VLOOKUP(INDEX(CZ299:CZ310,DC300),SPPWS,2,FALSE),"----"),IFERROR(VLOOKUP(INDEX(CZ299:CZ310,DC300),SPM,2,FALSE),"----"))</f>
        <v>----</v>
      </c>
      <c r="DE300" s="691" t="e">
        <f t="shared" ref="DE300:DE310" ca="1" si="5123">DE299-1</f>
        <v>#REF!</v>
      </c>
      <c r="DF300" s="4" t="e" cm="1">
        <f t="array" aca="1" ref="DF300" ca="1">IF(AND(INDEX(INDIRECT(BY299),DE300,4)&gt;=$AB305,INDEX(INDIRECT(BY299),DE300,5)&gt;=$S299,INDEX(INDIRECT(BY299),DE300,6)&gt;=$R299),1,0)</f>
        <v>#REF!</v>
      </c>
      <c r="DG300" s="4" t="e">
        <f t="shared" ref="DG300" ca="1" si="5124">MATCH(1,OFFSET(DF299:DF310,DH299,0,COUNT(DF299:DF310)-DH299),0)</f>
        <v>#REF!</v>
      </c>
      <c r="DH300" s="4" t="e">
        <f t="shared" ref="DH300:DH310" ca="1" si="5125">DH299+DG300</f>
        <v>#REF!</v>
      </c>
      <c r="DI300" s="692" t="str" cm="1">
        <f t="array" aca="1" ref="DI300" ca="1">IFERROR(VLOOKUP(INDEX(DE299:DE310,DH300),INDIRECT(BY299),2,FALSE),"----")</f>
        <v>----</v>
      </c>
      <c r="DJ300" s="691" t="e">
        <f t="shared" ref="DJ300:DJ310" ca="1" si="5126">DJ299-1</f>
        <v>#N/A</v>
      </c>
      <c r="DK300" s="4" t="e">
        <f ca="1">IF(AND(INDEX(SSM,DJ300,4)&gt;=$AB305,INDEX(SSM,DJ300,5)&gt;=$S299,INDEX(SSM,DJ300,6)&gt;=$R299),1,0)</f>
        <v>#N/A</v>
      </c>
      <c r="DL300" s="4" t="e">
        <f t="shared" ref="DL300" ca="1" si="5127">MATCH(1,OFFSET(DK299:DK310,DM299,0,COUNT(DK299:DK310)-DM299),0)</f>
        <v>#REF!</v>
      </c>
      <c r="DM300" s="4" t="e">
        <f t="shared" ref="DM300:DM310" ca="1" si="5128">DL300+DM299</f>
        <v>#REF!</v>
      </c>
      <c r="DN300" s="692" t="str">
        <f ca="1">IFERROR(IF(AD306="Nested Steel Stud (wood infill)",VLOOKUP(INDEX(DJ299:DJ310,DM300),SSW,2,FALSE),VLOOKUP(INDEX(DJ299:DJ310,DM300),SSM,2,FALSE)),"----")</f>
        <v>----</v>
      </c>
      <c r="DO300" s="691" t="e">
        <f t="shared" ref="DO300:DO310" ca="1" si="5129">DO299-1</f>
        <v>#N/A</v>
      </c>
      <c r="DP300" s="4" t="e">
        <f ca="1">IF(AND(INDEX(WSM,DO300,4)&gt;=$AB305,INDEX(WSM,DO300,5)&gt;=$S299,INDEX(WSM,DO300,6)&gt;=$R299),1,0)</f>
        <v>#N/A</v>
      </c>
      <c r="DQ300" s="4" t="e">
        <f t="shared" ref="DQ300" ca="1" si="5130">MATCH(1,OFFSET(DP299:DP310,DR299,0,COUNT(DP299:DP310)-DR299),0)</f>
        <v>#REF!</v>
      </c>
      <c r="DR300" s="4" t="e">
        <f t="shared" ref="DR300:DR310" ca="1" si="5131">DQ300+DR299</f>
        <v>#REF!</v>
      </c>
      <c r="DS300" s="692" t="str">
        <f ca="1">IFERROR(VLOOKUP(INDEX(DO299:DO310,DR300),WSM,2,FALSE),"----")</f>
        <v>----</v>
      </c>
      <c r="DT300" s="691" t="e">
        <f t="shared" ref="DT300:DT310" ca="1" si="5132">DT299-1</f>
        <v>#N/A</v>
      </c>
      <c r="DU300" s="4" t="e">
        <f ca="1">IF(AND(INDEX(STM,DT300,4)&gt;=$AB305,INDEX(STM,DT300,5)&gt;=$S299,INDEX(STM,DT300,6)&gt;=$R299),1,0)</f>
        <v>#N/A</v>
      </c>
      <c r="DV300" s="4" t="e">
        <f t="shared" ref="DV300" ca="1" si="5133">MATCH(1,OFFSET(DU299:DU310,DW299,0,COUNT(DU299:DU310)-DW299),0)</f>
        <v>#REF!</v>
      </c>
      <c r="DW300" s="4" t="e">
        <f t="shared" ref="DW300:DW310" ca="1" si="5134">DV300+DW299</f>
        <v>#REF!</v>
      </c>
      <c r="DX300" s="692" t="str">
        <f ca="1">IFERROR(VLOOKUP(INDEX(DT299:DT310,DW300),STM,2,FALSE),"----")</f>
        <v>----</v>
      </c>
      <c r="DY300" s="691" t="e">
        <f t="shared" ref="DY300:DY310" ca="1" si="5135">DY299-1</f>
        <v>#N/A</v>
      </c>
      <c r="DZ300" s="4" t="e">
        <f ca="1">IF(AND(INDEX(ELM,DY300,4)&gt;=$AB305,INDEX(ELM,DY300,5)&gt;=$S299,INDEX(ELM,DY300,6)&gt;=$R299),1,0)</f>
        <v>#N/A</v>
      </c>
      <c r="EA300" s="4" t="e">
        <f t="shared" ref="EA300" ca="1" si="5136">MATCH(1,OFFSET(DZ299:DZ310,EB299,0,COUNT(DZ299:DZ310)-EB299),0)</f>
        <v>#REF!</v>
      </c>
      <c r="EB300" s="4" t="e">
        <f t="shared" ref="EB300:EB310" ca="1" si="5137">EA300+EB299</f>
        <v>#REF!</v>
      </c>
      <c r="EC300" s="692" t="str">
        <f ca="1">IFERROR(VLOOKUP(INDEX(DY299:DY310,EB300),ELM,2,FALSE),"----")</f>
        <v>----</v>
      </c>
      <c r="ED300" s="691" t="e">
        <f t="shared" ref="ED300:ED310" ca="1" si="5138">ED299-1</f>
        <v>#N/A</v>
      </c>
      <c r="EE300" s="4" t="e">
        <f ca="1">IF(LEFT($J299,7)="Clad Wo",IF(AND(INDEX(SPPWS,ED300,4)&gt;=$AB305,INDEX(SPPWS,ED300,5)&gt;=$S299,INDEX(SPPWS,ED300,6)&gt;=$R299),1,0),IF(AND(INDEX(SPM,ED300,4)&gt;=$AB305,INDEX(SPM,ED300,5)&gt;=$S299,INDEX(SPM,ED300,6)&gt;=$R299),1,0))</f>
        <v>#N/A</v>
      </c>
      <c r="EF300" s="4" t="e">
        <f t="shared" ref="EF300" ca="1" si="5139">MATCH(1,OFFSET(EE299:EE310,EG299,0,COUNT(EE299:EE310)-EG299),0)</f>
        <v>#REF!</v>
      </c>
      <c r="EG300" s="4" t="e">
        <f t="shared" ref="EG300:EG310" ca="1" si="5140">EG299+EF300</f>
        <v>#REF!</v>
      </c>
      <c r="EH300" s="692" t="str">
        <f ca="1">IF(LEFT($J299,7)="Clad Wo",IFERROR(VLOOKUP(INDEX(ED299:ED310,EG300),SPPWS,2,FALSE),"----"),IFERROR(VLOOKUP(INDEX(ED299:ED310,EG300),SPM,2,FALSE),"----"))</f>
        <v>----</v>
      </c>
    </row>
    <row r="301" spans="1:138" ht="15" customHeight="1" x14ac:dyDescent="0.25">
      <c r="A301" s="1085"/>
      <c r="B301" s="925"/>
      <c r="C301" s="926"/>
      <c r="D301" s="927"/>
      <c r="E301" s="995"/>
      <c r="F301" s="996"/>
      <c r="G301" s="997"/>
      <c r="H301" s="1062"/>
      <c r="I301" s="990"/>
      <c r="J301" s="908"/>
      <c r="K301" s="909"/>
      <c r="L301" s="1002"/>
      <c r="M301" s="923"/>
      <c r="N301" s="1042"/>
      <c r="O301" s="1018"/>
      <c r="P301" s="987"/>
      <c r="Q301" s="1015"/>
      <c r="R301" s="1012"/>
      <c r="S301" s="1006"/>
      <c r="T301" s="1007"/>
      <c r="U301" s="878"/>
      <c r="V301" s="881"/>
      <c r="W301" s="884"/>
      <c r="X301" s="884"/>
      <c r="Y301" s="887"/>
      <c r="Z301" s="887"/>
      <c r="AA301" s="887"/>
      <c r="AB301" s="1081"/>
      <c r="AC301" s="1078"/>
      <c r="AD301" s="1070" t="s">
        <v>333</v>
      </c>
      <c r="AE301" s="1071"/>
      <c r="AF301" s="1052"/>
      <c r="AG301" s="1053"/>
      <c r="AH301" s="1053"/>
      <c r="AI301" s="1066"/>
      <c r="AJ301" s="1067"/>
      <c r="AK301" s="154" t="str">
        <f t="shared" ca="1" si="4947"/>
        <v/>
      </c>
      <c r="AL301" s="1039"/>
      <c r="AM301" s="344" t="str">
        <f ca="1">IFERROR(Q299/12*ROUND(VLOOKUP(AF301,OFFSET(WSM,0,1),6,FALSE),2),"")</f>
        <v/>
      </c>
      <c r="AN301" t="str">
        <f t="shared" ca="1" si="4971"/>
        <v/>
      </c>
      <c r="AP301" s="122" t="str">
        <f t="shared" ref="AP301" si="5141">_xlfn.CONCAT(AR301,AS304)</f>
        <v/>
      </c>
      <c r="AQ301" s="683" t="str">
        <f t="shared" si="3881"/>
        <v/>
      </c>
      <c r="AR301" s="4" t="str">
        <f t="shared" si="4931"/>
        <v/>
      </c>
      <c r="AS301" s="4"/>
      <c r="AT301" s="697" t="str">
        <f>AL299</f>
        <v/>
      </c>
      <c r="AU301" s="694" t="e">
        <f t="shared" ca="1" si="3907"/>
        <v>#REF!</v>
      </c>
      <c r="AV301" s="686" t="str">
        <f ca="1">IFERROR(VLOOKUP(AU301,INDIRECT(AQ299),2,FALSE),"----")</f>
        <v>----</v>
      </c>
      <c r="AW301" s="694" t="e">
        <f t="shared" ca="1" si="5094"/>
        <v>#REF!</v>
      </c>
      <c r="AX301" s="686" t="str">
        <f ca="1">IFERROR(VLOOKUP(AW301,INDIRECT(AQ300),2,FALSE),"----")</f>
        <v>----</v>
      </c>
      <c r="AY301" s="694" t="e">
        <f t="shared" ca="1" si="5095"/>
        <v>#REF!</v>
      </c>
      <c r="AZ301" s="686" t="str">
        <f ca="1">IFERROR(VLOOKUP(AY301,INDIRECT(AQ301),2,FALSE),"----")</f>
        <v>----</v>
      </c>
      <c r="BA301" s="694" t="e">
        <f t="shared" ca="1" si="5096"/>
        <v>#REF!</v>
      </c>
      <c r="BB301" s="686" t="str">
        <f ca="1">IFERROR(VLOOKUP(BA301,INDIRECT(AQ302),2,FALSE),"----")</f>
        <v>----</v>
      </c>
      <c r="BC301" s="694" t="e">
        <f t="shared" ca="1" si="5097"/>
        <v>#REF!</v>
      </c>
      <c r="BD301" s="686" t="str">
        <f ca="1">IFERROR(VLOOKUP(BC301,INDIRECT(AQ303),2,FALSE),"----")</f>
        <v>----</v>
      </c>
      <c r="BE301" s="694" t="e">
        <f t="shared" ca="1" si="3912"/>
        <v>#REF!</v>
      </c>
      <c r="BF301" s="686" t="str">
        <f ca="1">IFERROR(VLOOKUP(BE301,INDIRECT(AQ304),2,FALSE),"----")</f>
        <v>----</v>
      </c>
      <c r="BG301" s="694" t="e">
        <f t="shared" ca="1" si="3913"/>
        <v>#REF!</v>
      </c>
      <c r="BH301" s="686" t="str">
        <f ca="1">IFERROR(VLOOKUP(BG301,INDIRECT(AQ305),2,FALSE),"----")</f>
        <v>----</v>
      </c>
      <c r="BI301" s="694" t="e">
        <f t="shared" ca="1" si="5100"/>
        <v>#REF!</v>
      </c>
      <c r="BJ301" s="686" t="str">
        <f ca="1">IFERROR(VLOOKUP(BI301,INDIRECT(AQ306),2,FALSE),"----")</f>
        <v>----</v>
      </c>
      <c r="BK301" s="694" t="e">
        <f t="shared" ca="1" si="5101"/>
        <v>#REF!</v>
      </c>
      <c r="BL301" s="686" t="str">
        <f ca="1">IFERROR(VLOOKUP(BK301,INDIRECT(AQ307),2,FALSE),"----")</f>
        <v>----</v>
      </c>
      <c r="BM301" s="694" t="e">
        <f t="shared" ca="1" si="5102"/>
        <v>#REF!</v>
      </c>
      <c r="BN301" s="686" t="str">
        <f ca="1">IFERROR(VLOOKUP(BM301,INDIRECT(AQ308),2,FALSE),"----")</f>
        <v>----</v>
      </c>
      <c r="BO301" s="694" t="e">
        <f t="shared" ca="1" si="5103"/>
        <v>#REF!</v>
      </c>
      <c r="BP301" s="686" t="str">
        <f ca="1">IFERROR(VLOOKUP(BO301,INDIRECT(AQ309),2,FALSE),"----")</f>
        <v>----</v>
      </c>
      <c r="BQ301" s="694" t="e">
        <f t="shared" ca="1" si="3918"/>
        <v>#REF!</v>
      </c>
      <c r="BR301" s="686" t="str">
        <f ca="1">IFERROR(VLOOKUP(BQ301,INDIRECT(AQ310),2,FALSE),"----")</f>
        <v>----</v>
      </c>
      <c r="BS301" s="695">
        <f>IF(AI301="",1,IF(COUNTIF(AZ299:AZ310,AI301)=0,2,1))</f>
        <v>1</v>
      </c>
      <c r="BT301" s="696">
        <f>IF(AF301="",1,IF(AZ299=".",2,1))</f>
        <v>1</v>
      </c>
      <c r="BU301" s="706"/>
      <c r="BV301" s="155">
        <f ca="1">IF(COUNTIF(CO299:CO310,AF301)=0,IF(AF301&lt;&gt;"",0,1),1)</f>
        <v>1</v>
      </c>
      <c r="BW301" s="157">
        <f ca="1">IFERROR(MATCH(AF301,CO299:CO310,0),1)</f>
        <v>1</v>
      </c>
      <c r="BX301" s="769"/>
      <c r="BY301" s="769"/>
      <c r="BZ301" s="1110"/>
      <c r="CA301" s="691" t="e">
        <f t="shared" ca="1" si="5105"/>
        <v>#REF!</v>
      </c>
      <c r="CB301" s="4" t="e" cm="1">
        <f t="array" aca="1" ref="CB301" ca="1">IF(AND(INDEX(INDIRECT(BY299),CA301,4)&gt;=$AB299,INDEX(INDIRECT(BY299),CA301,5)&gt;=$S299,INDEX(INDIRECT(BY299),CA301,6)&gt;=$R299),1,0)</f>
        <v>#REF!</v>
      </c>
      <c r="CC301" s="4" t="e">
        <f t="shared" ref="CC301" ca="1" si="5142">MATCH(1,OFFSET(CB299:CB310,CD300,0,COUNT(CB299:CB310)-CD300),0)</f>
        <v>#REF!</v>
      </c>
      <c r="CD301" s="4" t="e">
        <f t="shared" ca="1" si="5107"/>
        <v>#REF!</v>
      </c>
      <c r="CE301" s="692" t="str" cm="1">
        <f t="array" aca="1" ref="CE301" ca="1">IFERROR(VLOOKUP(INDEX(CA299:CA310,CD301),INDIRECT(BY299),2,FALSE),"----")</f>
        <v>----</v>
      </c>
      <c r="CF301" s="691" t="e">
        <f t="shared" ca="1" si="5108"/>
        <v>#N/A</v>
      </c>
      <c r="CG301" s="4" t="e">
        <f ca="1">IF(AND(INDEX(SSM,CF301,4)&gt;=$AB299,INDEX(SSM,CF301,5)&gt;=$S299,INDEX(SSM,CF301,6)&gt;=$R299),1,0)</f>
        <v>#N/A</v>
      </c>
      <c r="CH301" s="4" t="e">
        <f t="shared" ref="CH301" ca="1" si="5143">MATCH(1,OFFSET(CG299:CG310,CI300,0,COUNT(CG299:CG310)-CI300),0)</f>
        <v>#REF!</v>
      </c>
      <c r="CI301" s="4" t="e">
        <f t="shared" ca="1" si="5110"/>
        <v>#REF!</v>
      </c>
      <c r="CJ301" s="692" t="str">
        <f ca="1">IFERROR(IF(AD300="Nested Steel Stud (wood infill)",VLOOKUP(INDEX(CF299:CF310,CI301),SSW,2,FALSE),VLOOKUP(INDEX(CF299:CF310,CI301),SSM,2,FALSE)),"----")</f>
        <v>----</v>
      </c>
      <c r="CK301" s="691" t="e">
        <f t="shared" ca="1" si="5111"/>
        <v>#N/A</v>
      </c>
      <c r="CL301" s="4" t="e">
        <f ca="1">IF(AND(INDEX(WSM,CK301,4)&gt;=$AB299,INDEX(WSM,CK301,5)&gt;=$S299,INDEX(WSM,CK301,6)&gt;=$R299),1,0)</f>
        <v>#N/A</v>
      </c>
      <c r="CM301" s="4" t="e">
        <f t="shared" ref="CM301" ca="1" si="5144">MATCH(1,OFFSET(CL299:CL310,CN300,0,COUNT(CL299:CL310)-CN300),0)</f>
        <v>#REF!</v>
      </c>
      <c r="CN301" s="4" t="e">
        <f t="shared" ca="1" si="5113"/>
        <v>#REF!</v>
      </c>
      <c r="CO301" s="692" t="str">
        <f ca="1">IFERROR(VLOOKUP(INDEX(CK299:CK310,CN301),WSM,2,FALSE),"----")</f>
        <v>----</v>
      </c>
      <c r="CP301" s="691" t="e">
        <f t="shared" ca="1" si="5114"/>
        <v>#N/A</v>
      </c>
      <c r="CQ301" s="4" t="e">
        <f ca="1">IF(AND(INDEX(STM,CP301,4)&gt;=$AB299,INDEX(STM,CP301,5)&gt;=$S299,INDEX(STM,CP301,6)&gt;=$R299),1,0)</f>
        <v>#N/A</v>
      </c>
      <c r="CR301" s="4" t="e">
        <f t="shared" ref="CR301" ca="1" si="5145">MATCH(1,OFFSET(CQ299:CQ310,CS300,0,COUNT(CQ299:CQ310)-CS300),0)</f>
        <v>#REF!</v>
      </c>
      <c r="CS301" s="4" t="e">
        <f t="shared" ca="1" si="5116"/>
        <v>#REF!</v>
      </c>
      <c r="CT301" s="692" t="str">
        <f ca="1">IFERROR(VLOOKUP(INDEX(CP299:CP310,CS301),STM,2,FALSE),"----")</f>
        <v>----</v>
      </c>
      <c r="CU301" s="691" t="e">
        <f t="shared" ca="1" si="5117"/>
        <v>#N/A</v>
      </c>
      <c r="CV301" s="4" t="e">
        <f ca="1">IF(AND(INDEX(ELM,CU301,4)&gt;=$AB299,INDEX(ELM,CU301,5)&gt;=$S299,INDEX(ELM,CU301,6)&gt;=$R299),1,0)</f>
        <v>#N/A</v>
      </c>
      <c r="CW301" s="4" t="e">
        <f t="shared" ref="CW301" ca="1" si="5146">MATCH(1,OFFSET(CV299:CV310,CX300,0,COUNT(CV299:CV310)-CX300),0)</f>
        <v>#REF!</v>
      </c>
      <c r="CX301" s="4" t="e">
        <f t="shared" ca="1" si="5119"/>
        <v>#REF!</v>
      </c>
      <c r="CY301" s="692" t="str">
        <f ca="1">IFERROR(VLOOKUP(INDEX(CU299:CU310,CX301),ELM,2,FALSE),"----")</f>
        <v>----</v>
      </c>
      <c r="CZ301" s="691" t="e">
        <f t="shared" ca="1" si="5120"/>
        <v>#N/A</v>
      </c>
      <c r="DA301" s="4" t="e">
        <f ca="1">IF(LEFT($J299,7)="Clad Wo",IF(AND(INDEX(SPPWS,CZ301,4)&gt;=$AB299,INDEX(SPPWS,CZ301,5)&gt;=$S299,INDEX(SPPWS,CZ301,6)&gt;=$R299),1,0),IF(AND(INDEX(SPM,CZ301,4)&gt;=$AB299,INDEX(SPM,CZ301,5)&gt;=$S299,INDEX(SPM,CZ301,6)&gt;=$R299),1,0))</f>
        <v>#N/A</v>
      </c>
      <c r="DB301" s="4" t="e">
        <f t="shared" ref="DB301" ca="1" si="5147">MATCH(1,OFFSET(DA299:DA310,DC300,0,COUNT(DA299:DA310)-DC300),0)</f>
        <v>#REF!</v>
      </c>
      <c r="DC301" s="4" t="e">
        <f t="shared" ca="1" si="5122"/>
        <v>#REF!</v>
      </c>
      <c r="DD301" s="693" t="str">
        <f ca="1">IF(LEFT($J299,7)="Clad Wo",IFERROR(VLOOKUP(INDEX(CZ299:CZ310,DC301),SPPWS,2,FALSE),"----"),IFERROR(VLOOKUP(INDEX(CZ299:CZ310,DC301),SPM,2,FALSE),"----"))</f>
        <v>----</v>
      </c>
      <c r="DE301" s="691" t="e">
        <f t="shared" ca="1" si="5123"/>
        <v>#REF!</v>
      </c>
      <c r="DF301" s="4" t="e" cm="1">
        <f t="array" aca="1" ref="DF301" ca="1">IF(AND(INDEX(INDIRECT(BY299),DE301,4)&gt;=$AB305,INDEX(INDIRECT(BY299),DE301,5)&gt;=$S299,INDEX(INDIRECT(BY299),DE301,6)&gt;=$R299),1,0)</f>
        <v>#REF!</v>
      </c>
      <c r="DG301" s="4" t="e">
        <f t="shared" ref="DG301" ca="1" si="5148">MATCH(1,OFFSET(DF299:DF310,DH300,0,COUNT(DF299:DF310)-DH300),0)</f>
        <v>#REF!</v>
      </c>
      <c r="DH301" s="4" t="e">
        <f t="shared" ca="1" si="5125"/>
        <v>#REF!</v>
      </c>
      <c r="DI301" s="692" t="str" cm="1">
        <f t="array" aca="1" ref="DI301" ca="1">IFERROR(VLOOKUP(INDEX(DE299:DE310,DH301),INDIRECT(BY299),2,FALSE),"----")</f>
        <v>----</v>
      </c>
      <c r="DJ301" s="691" t="e">
        <f t="shared" ca="1" si="5126"/>
        <v>#N/A</v>
      </c>
      <c r="DK301" s="4" t="e">
        <f ca="1">IF(AND(INDEX(SSM,DJ301,4)&gt;=$AB305,INDEX(SSM,DJ301,5)&gt;=$S299,INDEX(SSM,DJ301,6)&gt;=$R299),1,0)</f>
        <v>#N/A</v>
      </c>
      <c r="DL301" s="4" t="e">
        <f t="shared" ref="DL301" ca="1" si="5149">MATCH(1,OFFSET(DK299:DK310,DM300,0,COUNT(DK299:DK310)-DM300),0)</f>
        <v>#REF!</v>
      </c>
      <c r="DM301" s="4" t="e">
        <f t="shared" ca="1" si="5128"/>
        <v>#REF!</v>
      </c>
      <c r="DN301" s="692" t="str">
        <f ca="1">IFERROR(IF(AD306="Nested Steel Stud (wood infill)",VLOOKUP(INDEX(DJ299:DJ310,DM301),SSW,2,FALSE),VLOOKUP(INDEX(DJ299:DJ310,DM301),SSM,2,FALSE)),"----")</f>
        <v>----</v>
      </c>
      <c r="DO301" s="691" t="e">
        <f t="shared" ca="1" si="5129"/>
        <v>#N/A</v>
      </c>
      <c r="DP301" s="4" t="e">
        <f ca="1">IF(AND(INDEX(WSM,DO301,4)&gt;=$AB305,INDEX(WSM,DO301,5)&gt;=$S299,INDEX(WSM,DO301,6)&gt;=$R299),1,0)</f>
        <v>#N/A</v>
      </c>
      <c r="DQ301" s="4" t="e">
        <f t="shared" ref="DQ301" ca="1" si="5150">MATCH(1,OFFSET(DP299:DP310,DR300,0,COUNT(DP299:DP310)-DR300),0)</f>
        <v>#REF!</v>
      </c>
      <c r="DR301" s="4" t="e">
        <f t="shared" ca="1" si="5131"/>
        <v>#REF!</v>
      </c>
      <c r="DS301" s="692" t="str">
        <f ca="1">IFERROR(VLOOKUP(INDEX(DO299:DO310,DR301),WSM,2,FALSE),"----")</f>
        <v>----</v>
      </c>
      <c r="DT301" s="691" t="e">
        <f t="shared" ca="1" si="5132"/>
        <v>#N/A</v>
      </c>
      <c r="DU301" s="4" t="e">
        <f ca="1">IF(AND(INDEX(STM,DT301,4)&gt;=$AB305,INDEX(STM,DT301,5)&gt;=$S299,INDEX(STM,DT301,6)&gt;=$R299),1,0)</f>
        <v>#N/A</v>
      </c>
      <c r="DV301" s="4" t="e">
        <f t="shared" ref="DV301" ca="1" si="5151">MATCH(1,OFFSET(DU299:DU310,DW300,0,COUNT(DU299:DU310)-DW300),0)</f>
        <v>#REF!</v>
      </c>
      <c r="DW301" s="4" t="e">
        <f t="shared" ca="1" si="5134"/>
        <v>#REF!</v>
      </c>
      <c r="DX301" s="692" t="str">
        <f ca="1">IFERROR(VLOOKUP(INDEX(DT299:DT310,DW301),STM,2,FALSE),"----")</f>
        <v>----</v>
      </c>
      <c r="DY301" s="691" t="e">
        <f t="shared" ca="1" si="5135"/>
        <v>#N/A</v>
      </c>
      <c r="DZ301" s="4" t="e">
        <f ca="1">IF(AND(INDEX(ELM,DY301,4)&gt;=$AB305,INDEX(ELM,DY301,5)&gt;=$S299,INDEX(ELM,DY301,6)&gt;=$R299),1,0)</f>
        <v>#N/A</v>
      </c>
      <c r="EA301" s="4" t="e">
        <f t="shared" ref="EA301" ca="1" si="5152">MATCH(1,OFFSET(DZ299:DZ310,EB300,0,COUNT(DZ299:DZ310)-EB300),0)</f>
        <v>#REF!</v>
      </c>
      <c r="EB301" s="4" t="e">
        <f t="shared" ca="1" si="5137"/>
        <v>#REF!</v>
      </c>
      <c r="EC301" s="692" t="str">
        <f ca="1">IFERROR(VLOOKUP(INDEX(DY299:DY310,EB301),ELM,2,FALSE),"----")</f>
        <v>----</v>
      </c>
      <c r="ED301" s="691" t="e">
        <f t="shared" ca="1" si="5138"/>
        <v>#N/A</v>
      </c>
      <c r="EE301" s="4" t="e">
        <f ca="1">IF(LEFT($J299,7)="Clad Wo",IF(AND(INDEX(SPPWS,ED301,4)&gt;=$AB305,INDEX(SPPWS,ED301,5)&gt;=$S299,INDEX(SPPWS,ED301,6)&gt;=$R299),1,0),IF(AND(INDEX(SPM,ED301,4)&gt;=$AB305,INDEX(SPM,ED301,5)&gt;=$S299,INDEX(SPM,ED301,6)&gt;=$R299),1,0))</f>
        <v>#N/A</v>
      </c>
      <c r="EF301" s="4" t="e">
        <f t="shared" ref="EF301" ca="1" si="5153">MATCH(1,OFFSET(EE299:EE310,EG300,0,COUNT(EE299:EE310)-EG300),0)</f>
        <v>#REF!</v>
      </c>
      <c r="EG301" s="4" t="e">
        <f t="shared" ca="1" si="5140"/>
        <v>#REF!</v>
      </c>
      <c r="EH301" s="692" t="str">
        <f ca="1">IF(LEFT($J299,7)="Clad Wo",IFERROR(VLOOKUP(INDEX(ED299:ED310,EG301),SPPWS,2,FALSE),"----"),IFERROR(VLOOKUP(INDEX(ED299:ED310,EG301),SPM,2,FALSE),"----"))</f>
        <v>----</v>
      </c>
    </row>
    <row r="302" spans="1:138" ht="15" customHeight="1" x14ac:dyDescent="0.25">
      <c r="A302" s="1085"/>
      <c r="B302" s="925"/>
      <c r="C302" s="926"/>
      <c r="D302" s="927"/>
      <c r="E302" s="995"/>
      <c r="F302" s="996"/>
      <c r="G302" s="997"/>
      <c r="H302" s="1062"/>
      <c r="I302" s="990"/>
      <c r="J302" s="908"/>
      <c r="K302" s="909"/>
      <c r="L302" s="1002"/>
      <c r="M302" s="923"/>
      <c r="N302" s="1042"/>
      <c r="O302" s="1018"/>
      <c r="P302" s="987"/>
      <c r="Q302" s="1015"/>
      <c r="R302" s="1012"/>
      <c r="S302" s="1006"/>
      <c r="T302" s="1007"/>
      <c r="U302" s="878"/>
      <c r="V302" s="881"/>
      <c r="W302" s="884"/>
      <c r="X302" s="884"/>
      <c r="Y302" s="887"/>
      <c r="Z302" s="887"/>
      <c r="AA302" s="887"/>
      <c r="AB302" s="1081"/>
      <c r="AC302" s="1078"/>
      <c r="AD302" s="1070" t="s">
        <v>37</v>
      </c>
      <c r="AE302" s="1071"/>
      <c r="AF302" s="1052"/>
      <c r="AG302" s="1053"/>
      <c r="AH302" s="1053"/>
      <c r="AI302" s="1066"/>
      <c r="AJ302" s="1067"/>
      <c r="AK302" s="156" t="str">
        <f t="shared" ca="1" si="4947"/>
        <v/>
      </c>
      <c r="AL302" s="1039"/>
      <c r="AM302" s="343" t="str">
        <f ca="1">IFERROR(Q299/12*ROUND(VLOOKUP(AF302,OFFSET(STM,0,1),6,FALSE),2),"")</f>
        <v/>
      </c>
      <c r="AN302" t="str">
        <f t="shared" ca="1" si="4971"/>
        <v/>
      </c>
      <c r="AP302" s="122" t="str">
        <f t="shared" ref="AP302" si="5154">_xlfn.CONCAT(AR302,AS304)</f>
        <v/>
      </c>
      <c r="AQ302" s="683" t="str">
        <f t="shared" si="3881"/>
        <v/>
      </c>
      <c r="AR302" s="4" t="str">
        <f t="shared" si="4931"/>
        <v/>
      </c>
      <c r="AS302" s="4"/>
      <c r="AT302" s="697" t="str">
        <f>AL299</f>
        <v/>
      </c>
      <c r="AU302" s="694" t="e">
        <f t="shared" ca="1" si="3907"/>
        <v>#REF!</v>
      </c>
      <c r="AV302" s="686" t="str">
        <f ca="1">IFERROR(VLOOKUP(AU302,INDIRECT(AQ299),2,FALSE),"----")</f>
        <v>----</v>
      </c>
      <c r="AW302" s="694" t="e">
        <f t="shared" ca="1" si="3908"/>
        <v>#REF!</v>
      </c>
      <c r="AX302" s="686" t="str">
        <f ca="1">IFERROR(VLOOKUP(AW302,INDIRECT(AQ300),2,FALSE),"----")</f>
        <v>----</v>
      </c>
      <c r="AY302" s="694" t="e">
        <f t="shared" ref="AY302" ca="1" si="5155">AY301-1</f>
        <v>#REF!</v>
      </c>
      <c r="AZ302" s="686" t="str">
        <f ca="1">IFERROR(VLOOKUP(AY302,INDIRECT(AQ301),2,FALSE),"----")</f>
        <v>----</v>
      </c>
      <c r="BA302" s="694" t="e">
        <f t="shared" ref="BA302" ca="1" si="5156">BA301-1</f>
        <v>#REF!</v>
      </c>
      <c r="BB302" s="686" t="str">
        <f ca="1">IFERROR(VLOOKUP(BA302,INDIRECT(AQ302),2,FALSE),"----")</f>
        <v>----</v>
      </c>
      <c r="BC302" s="694" t="e">
        <f t="shared" ca="1" si="3911"/>
        <v>#REF!</v>
      </c>
      <c r="BD302" s="686" t="str">
        <f ca="1">IFERROR(VLOOKUP(BC302,INDIRECT(AQ303),2,FALSE),"----")</f>
        <v>----</v>
      </c>
      <c r="BE302" s="694" t="e">
        <f t="shared" ca="1" si="3912"/>
        <v>#REF!</v>
      </c>
      <c r="BF302" s="686" t="str">
        <f ca="1">IFERROR(VLOOKUP(BE302,INDIRECT(AQ304),2,FALSE),"----")</f>
        <v>----</v>
      </c>
      <c r="BG302" s="694" t="e">
        <f t="shared" ca="1" si="3913"/>
        <v>#REF!</v>
      </c>
      <c r="BH302" s="686" t="str">
        <f ca="1">IFERROR(VLOOKUP(BG302,INDIRECT(AQ305),2,FALSE),"----")</f>
        <v>----</v>
      </c>
      <c r="BI302" s="694" t="e">
        <f t="shared" ca="1" si="3914"/>
        <v>#REF!</v>
      </c>
      <c r="BJ302" s="686" t="str">
        <f ca="1">IFERROR(VLOOKUP(BI302,INDIRECT(AQ306),2,FALSE),"----")</f>
        <v>----</v>
      </c>
      <c r="BK302" s="694" t="e">
        <f t="shared" ca="1" si="3915"/>
        <v>#REF!</v>
      </c>
      <c r="BL302" s="686" t="str">
        <f ca="1">IFERROR(VLOOKUP(BK302,INDIRECT(AQ307),2,FALSE),"----")</f>
        <v>----</v>
      </c>
      <c r="BM302" s="694" t="e">
        <f t="shared" ca="1" si="3916"/>
        <v>#REF!</v>
      </c>
      <c r="BN302" s="686" t="str">
        <f ca="1">IFERROR(VLOOKUP(BM302,INDIRECT(AQ308),2,FALSE),"----")</f>
        <v>----</v>
      </c>
      <c r="BO302" s="694" t="e">
        <f t="shared" ca="1" si="3917"/>
        <v>#REF!</v>
      </c>
      <c r="BP302" s="686" t="str">
        <f ca="1">IFERROR(VLOOKUP(BO302,INDIRECT(AQ309),2,FALSE),"----")</f>
        <v>----</v>
      </c>
      <c r="BQ302" s="694" t="e">
        <f t="shared" ca="1" si="3918"/>
        <v>#REF!</v>
      </c>
      <c r="BR302" s="686" t="str">
        <f ca="1">IFERROR(VLOOKUP(BQ302,INDIRECT(AQ310),2,FALSE),"----")</f>
        <v>----</v>
      </c>
      <c r="BS302" s="695">
        <f>IF(AI302="",1,IF(COUNTIF(BB299:BB310,AI302)=0,2,1))</f>
        <v>1</v>
      </c>
      <c r="BT302" s="696">
        <f>IF(AF302="",1,IF(BB299=".",2,1))</f>
        <v>1</v>
      </c>
      <c r="BU302" s="706"/>
      <c r="BV302" s="155">
        <f ca="1">IF(COUNTIF(CT299:CT310,AF302)=0,IF(AF302&lt;&gt;"",0,1),1)</f>
        <v>1</v>
      </c>
      <c r="BW302" s="157">
        <f ca="1">IFERROR(MATCH(AF302,CT299:CT310,0),1)</f>
        <v>1</v>
      </c>
      <c r="BX302" s="769"/>
      <c r="BY302" s="769"/>
      <c r="BZ302" s="1110"/>
      <c r="CA302" s="691" t="e">
        <f t="shared" ca="1" si="5105"/>
        <v>#REF!</v>
      </c>
      <c r="CB302" s="4" t="e" cm="1">
        <f t="array" aca="1" ref="CB302" ca="1">IF(AND(INDEX(INDIRECT(BY299),CA302,4)&gt;=$AB299,INDEX(INDIRECT(BY299),CA302,5)&gt;=$S299,INDEX(INDIRECT(BY299),CA302,6)&gt;=$R299),1,0)</f>
        <v>#REF!</v>
      </c>
      <c r="CC302" s="4" t="e">
        <f t="shared" ref="CC302" ca="1" si="5157">MATCH(1,OFFSET(CB299:CB310,CD301,0,COUNT(CB299:CB310)-CD301),0)</f>
        <v>#REF!</v>
      </c>
      <c r="CD302" s="4" t="e">
        <f t="shared" ca="1" si="5107"/>
        <v>#REF!</v>
      </c>
      <c r="CE302" s="692" t="str" cm="1">
        <f t="array" aca="1" ref="CE302" ca="1">IFERROR(VLOOKUP(INDEX(CA299:CA310,CD302),INDIRECT(BY299),2,FALSE),"----")</f>
        <v>----</v>
      </c>
      <c r="CF302" s="691" t="e">
        <f t="shared" ca="1" si="5108"/>
        <v>#N/A</v>
      </c>
      <c r="CG302" s="4" t="e">
        <f ca="1">IF(AND(INDEX(SSM,CF302,4)&gt;=$AB299,INDEX(SSM,CF302,5)&gt;=$S299,INDEX(SSM,CF302,6)&gt;=$R299),1,0)</f>
        <v>#N/A</v>
      </c>
      <c r="CH302" s="4" t="e">
        <f t="shared" ref="CH302" ca="1" si="5158">MATCH(1,OFFSET(CG299:CG310,CI301,0,COUNT(CG299:CG310)-CI301),0)</f>
        <v>#REF!</v>
      </c>
      <c r="CI302" s="4" t="e">
        <f t="shared" ca="1" si="5110"/>
        <v>#REF!</v>
      </c>
      <c r="CJ302" s="692" t="str">
        <f ca="1">IFERROR(IF(AD300="Nested Steel Stud (wood infill)",VLOOKUP(INDEX(CF299:CF310,CI302),SSW,2,FALSE),VLOOKUP(INDEX(CF299:CF310,CI302),SSM,2,FALSE)),"----")</f>
        <v>----</v>
      </c>
      <c r="CK302" s="691" t="e">
        <f t="shared" ca="1" si="5111"/>
        <v>#N/A</v>
      </c>
      <c r="CL302" s="4" t="e">
        <f ca="1">IF(AND(INDEX(WSM,CK302,4)&gt;=$AB299,INDEX(WSM,CK302,5)&gt;=$S299,INDEX(WSM,CK302,6)&gt;=$R299),1,0)</f>
        <v>#N/A</v>
      </c>
      <c r="CM302" s="4" t="e">
        <f t="shared" ref="CM302" ca="1" si="5159">MATCH(1,OFFSET(CL299:CL310,CN301,0,COUNT(CL299:CL310)-CN301),0)</f>
        <v>#REF!</v>
      </c>
      <c r="CN302" s="4" t="e">
        <f t="shared" ca="1" si="5113"/>
        <v>#REF!</v>
      </c>
      <c r="CO302" s="692" t="str">
        <f ca="1">IFERROR(VLOOKUP(INDEX(CK299:CK310,CN302),WSM,2,FALSE),"----")</f>
        <v>----</v>
      </c>
      <c r="CP302" s="691" t="e">
        <f t="shared" ca="1" si="5114"/>
        <v>#N/A</v>
      </c>
      <c r="CQ302" s="4" t="e">
        <f ca="1">IF(AND(INDEX(STM,CP302,4)&gt;=$AB299,INDEX(STM,CP302,5)&gt;=$S299,INDEX(STM,CP302,6)&gt;=$R299),1,0)</f>
        <v>#N/A</v>
      </c>
      <c r="CR302" s="4" t="e">
        <f t="shared" ref="CR302" ca="1" si="5160">MATCH(1,OFFSET(CQ299:CQ310,CS301,0,COUNT(CQ299:CQ310)-CS301),0)</f>
        <v>#REF!</v>
      </c>
      <c r="CS302" s="4" t="e">
        <f t="shared" ca="1" si="5116"/>
        <v>#REF!</v>
      </c>
      <c r="CT302" s="692" t="str">
        <f ca="1">IFERROR(VLOOKUP(INDEX(CP299:CP310,CS302),STM,2,FALSE),"----")</f>
        <v>----</v>
      </c>
      <c r="CU302" s="691" t="e">
        <f t="shared" ca="1" si="5117"/>
        <v>#N/A</v>
      </c>
      <c r="CV302" s="4" t="e">
        <f ca="1">IF(AND(INDEX(ELM,CU302,4)&gt;=$AB299,INDEX(ELM,CU302,5)&gt;=$S299,INDEX(ELM,CU302,6)&gt;=$R299),1,0)</f>
        <v>#N/A</v>
      </c>
      <c r="CW302" s="4" t="e">
        <f t="shared" ref="CW302" ca="1" si="5161">MATCH(1,OFFSET(CV299:CV310,CX301,0,COUNT(CV299:CV310)-CX301),0)</f>
        <v>#REF!</v>
      </c>
      <c r="CX302" s="4" t="e">
        <f t="shared" ca="1" si="5119"/>
        <v>#REF!</v>
      </c>
      <c r="CY302" s="692" t="str">
        <f ca="1">IFERROR(VLOOKUP(INDEX(CU299:CU310,CX302),ELM,2,FALSE),"----")</f>
        <v>----</v>
      </c>
      <c r="CZ302" s="691" t="e">
        <f t="shared" ca="1" si="5120"/>
        <v>#N/A</v>
      </c>
      <c r="DA302" s="4" t="e">
        <f ca="1">IF(LEFT($J299,7)="Clad Wo",IF(AND(INDEX(SPPWS,CZ302,4)&gt;=$AB299,INDEX(SPPWS,CZ302,5)&gt;=$S299,INDEX(SPPWS,CZ302,6)&gt;=$R299),1,0),IF(AND(INDEX(SPM,CZ302,4)&gt;=$AB299,INDEX(SPM,CZ302,5)&gt;=$S299,INDEX(SPM,CZ302,6)&gt;=$R299),1,0))</f>
        <v>#N/A</v>
      </c>
      <c r="DB302" s="4" t="e">
        <f t="shared" ref="DB302" ca="1" si="5162">MATCH(1,OFFSET(DA299:DA310,DC301,0,COUNT(DA299:DA310)-DC301),0)</f>
        <v>#REF!</v>
      </c>
      <c r="DC302" s="4" t="e">
        <f t="shared" ca="1" si="5122"/>
        <v>#REF!</v>
      </c>
      <c r="DD302" s="693" t="str">
        <f ca="1">IF(LEFT($J299,7)="Clad Wo",IFERROR(VLOOKUP(INDEX(CZ299:CZ310,DC302),SPPWS,2,FALSE),"----"),IFERROR(VLOOKUP(INDEX(CZ299:CZ310,DC302),SPM,2,FALSE),"----"))</f>
        <v>----</v>
      </c>
      <c r="DE302" s="691" t="e">
        <f t="shared" ca="1" si="5123"/>
        <v>#REF!</v>
      </c>
      <c r="DF302" s="4" t="e" cm="1">
        <f t="array" aca="1" ref="DF302" ca="1">IF(AND(INDEX(INDIRECT(BY299),DE302,4)&gt;=$AB305,INDEX(INDIRECT(BY299),DE302,5)&gt;=$S299,INDEX(INDIRECT(BY299),DE302,6)&gt;=$R299),1,0)</f>
        <v>#REF!</v>
      </c>
      <c r="DG302" s="4" t="e">
        <f t="shared" ref="DG302" ca="1" si="5163">MATCH(1,OFFSET(DF299:DF310,DH301,0,COUNT(DF299:DF310)-DH301),0)</f>
        <v>#REF!</v>
      </c>
      <c r="DH302" s="4" t="e">
        <f t="shared" ca="1" si="5125"/>
        <v>#REF!</v>
      </c>
      <c r="DI302" s="692" t="str" cm="1">
        <f t="array" aca="1" ref="DI302" ca="1">IFERROR(VLOOKUP(INDEX(DE299:DE310,DH302),INDIRECT(BY299),2,FALSE),"----")</f>
        <v>----</v>
      </c>
      <c r="DJ302" s="691" t="e">
        <f t="shared" ca="1" si="5126"/>
        <v>#N/A</v>
      </c>
      <c r="DK302" s="4" t="e">
        <f ca="1">IF(AND(INDEX(SSM,DJ302,4)&gt;=$AB305,INDEX(SSM,DJ302,5)&gt;=$S299,INDEX(SSM,DJ302,6)&gt;=$R299),1,0)</f>
        <v>#N/A</v>
      </c>
      <c r="DL302" s="4" t="e">
        <f t="shared" ref="DL302" ca="1" si="5164">MATCH(1,OFFSET(DK299:DK310,DM301,0,COUNT(DK299:DK310)-DM301),0)</f>
        <v>#REF!</v>
      </c>
      <c r="DM302" s="4" t="e">
        <f t="shared" ca="1" si="5128"/>
        <v>#REF!</v>
      </c>
      <c r="DN302" s="692" t="str">
        <f ca="1">IFERROR(IF(AD306="Nested Steel Stud (wood infill)",VLOOKUP(INDEX(DJ299:DJ310,DM302),SSW,2,FALSE),VLOOKUP(INDEX(DJ299:DJ310,DM302),SSM,2,FALSE)),"----")</f>
        <v>----</v>
      </c>
      <c r="DO302" s="691" t="e">
        <f t="shared" ca="1" si="5129"/>
        <v>#N/A</v>
      </c>
      <c r="DP302" s="4" t="e">
        <f ca="1">IF(AND(INDEX(WSM,DO302,4)&gt;=$AB305,INDEX(WSM,DO302,5)&gt;=$S299,INDEX(WSM,DO302,6)&gt;=$R299),1,0)</f>
        <v>#N/A</v>
      </c>
      <c r="DQ302" s="4" t="e">
        <f t="shared" ref="DQ302" ca="1" si="5165">MATCH(1,OFFSET(DP299:DP310,DR301,0,COUNT(DP299:DP310)-DR301),0)</f>
        <v>#REF!</v>
      </c>
      <c r="DR302" s="4" t="e">
        <f t="shared" ca="1" si="5131"/>
        <v>#REF!</v>
      </c>
      <c r="DS302" s="692" t="str">
        <f ca="1">IFERROR(VLOOKUP(INDEX(DO299:DO310,DR302),WSM,2,FALSE),"----")</f>
        <v>----</v>
      </c>
      <c r="DT302" s="691" t="e">
        <f t="shared" ca="1" si="5132"/>
        <v>#N/A</v>
      </c>
      <c r="DU302" s="4" t="e">
        <f ca="1">IF(AND(INDEX(STM,DT302,4)&gt;=$AB305,INDEX(STM,DT302,5)&gt;=$S299,INDEX(STM,DT302,6)&gt;=$R299),1,0)</f>
        <v>#N/A</v>
      </c>
      <c r="DV302" s="4" t="e">
        <f t="shared" ref="DV302" ca="1" si="5166">MATCH(1,OFFSET(DU299:DU310,DW301,0,COUNT(DU299:DU310)-DW301),0)</f>
        <v>#REF!</v>
      </c>
      <c r="DW302" s="4" t="e">
        <f t="shared" ca="1" si="5134"/>
        <v>#REF!</v>
      </c>
      <c r="DX302" s="692" t="str">
        <f ca="1">IFERROR(VLOOKUP(INDEX(DT299:DT310,DW302),STM,2,FALSE),"----")</f>
        <v>----</v>
      </c>
      <c r="DY302" s="691" t="e">
        <f t="shared" ca="1" si="5135"/>
        <v>#N/A</v>
      </c>
      <c r="DZ302" s="4" t="e">
        <f ca="1">IF(AND(INDEX(ELM,DY302,4)&gt;=$AB305,INDEX(ELM,DY302,5)&gt;=$S299,INDEX(ELM,DY302,6)&gt;=$R299),1,0)</f>
        <v>#N/A</v>
      </c>
      <c r="EA302" s="4" t="e">
        <f t="shared" ref="EA302" ca="1" si="5167">MATCH(1,OFFSET(DZ299:DZ310,EB301,0,COUNT(DZ299:DZ310)-EB301),0)</f>
        <v>#REF!</v>
      </c>
      <c r="EB302" s="4" t="e">
        <f t="shared" ca="1" si="5137"/>
        <v>#REF!</v>
      </c>
      <c r="EC302" s="692" t="str">
        <f ca="1">IFERROR(VLOOKUP(INDEX(DY299:DY310,EB302),ELM,2,FALSE),"----")</f>
        <v>----</v>
      </c>
      <c r="ED302" s="691" t="e">
        <f t="shared" ca="1" si="5138"/>
        <v>#N/A</v>
      </c>
      <c r="EE302" s="4" t="e">
        <f ca="1">IF(LEFT($J299,7)="Clad Wo",IF(AND(INDEX(SPPWS,ED302,4)&gt;=$AB305,INDEX(SPPWS,ED302,5)&gt;=$S299,INDEX(SPPWS,ED302,6)&gt;=$R299),1,0),IF(AND(INDEX(SPM,ED302,4)&gt;=$AB305,INDEX(SPM,ED302,5)&gt;=$S299,INDEX(SPM,ED302,6)&gt;=$R299),1,0))</f>
        <v>#N/A</v>
      </c>
      <c r="EF302" s="4" t="e">
        <f t="shared" ref="EF302" ca="1" si="5168">MATCH(1,OFFSET(EE299:EE310,EG301,0,COUNT(EE299:EE310)-EG301),0)</f>
        <v>#REF!</v>
      </c>
      <c r="EG302" s="4" t="e">
        <f t="shared" ca="1" si="5140"/>
        <v>#REF!</v>
      </c>
      <c r="EH302" s="692" t="str">
        <f ca="1">IF(LEFT($J299,7)="Clad Wo",IFERROR(VLOOKUP(INDEX(ED299:ED310,EG302),SPPWS,2,FALSE),"----"),IFERROR(VLOOKUP(INDEX(ED299:ED310,EG302),SPM,2,FALSE),"----"))</f>
        <v>----</v>
      </c>
    </row>
    <row r="303" spans="1:138" ht="15" customHeight="1" x14ac:dyDescent="0.25">
      <c r="A303" s="1085"/>
      <c r="B303" s="925"/>
      <c r="C303" s="926"/>
      <c r="D303" s="927"/>
      <c r="E303" s="995"/>
      <c r="F303" s="996"/>
      <c r="G303" s="997"/>
      <c r="H303" s="1062"/>
      <c r="I303" s="990"/>
      <c r="J303" s="910"/>
      <c r="K303" s="911"/>
      <c r="L303" s="1002"/>
      <c r="M303" s="923"/>
      <c r="N303" s="1042"/>
      <c r="O303" s="1018"/>
      <c r="P303" s="987"/>
      <c r="Q303" s="1015"/>
      <c r="R303" s="1012"/>
      <c r="S303" s="1006"/>
      <c r="T303" s="1007"/>
      <c r="U303" s="878"/>
      <c r="V303" s="881"/>
      <c r="W303" s="884"/>
      <c r="X303" s="884"/>
      <c r="Y303" s="887"/>
      <c r="Z303" s="887"/>
      <c r="AA303" s="887"/>
      <c r="AB303" s="1081"/>
      <c r="AC303" s="1078"/>
      <c r="AD303" s="1070" t="s">
        <v>39</v>
      </c>
      <c r="AE303" s="1071"/>
      <c r="AF303" s="1052"/>
      <c r="AG303" s="1053"/>
      <c r="AH303" s="1053"/>
      <c r="AI303" s="1068"/>
      <c r="AJ303" s="1069"/>
      <c r="AK303" s="154" t="str">
        <f t="shared" ca="1" si="4947"/>
        <v/>
      </c>
      <c r="AL303" s="1039"/>
      <c r="AM303" s="344" t="str">
        <f ca="1">IFERROR(Q299/12*ROUND(VLOOKUP(AF303,OFFSET(ELM,0,1),6,FALSE),2),"")</f>
        <v/>
      </c>
      <c r="AN303" t="str">
        <f t="shared" ca="1" si="4971"/>
        <v/>
      </c>
      <c r="AP303" s="122" t="str">
        <f t="shared" ref="AP303" si="5169">_xlfn.CONCAT(AR303,AS304)</f>
        <v/>
      </c>
      <c r="AQ303" s="683" t="str">
        <f t="shared" ref="AQ303:AQ366" si="5170">IFERROR(LEFT(AP303,LEN(AP303)-1),"")</f>
        <v/>
      </c>
      <c r="AR303" s="4" t="str">
        <f t="shared" si="4931"/>
        <v/>
      </c>
      <c r="AS303" s="4"/>
      <c r="AT303" s="697" t="str">
        <f>AL299</f>
        <v/>
      </c>
      <c r="AU303" s="694" t="e">
        <f t="shared" ca="1" si="3907"/>
        <v>#REF!</v>
      </c>
      <c r="AV303" s="698" t="str">
        <f ca="1">IFERROR(VLOOKUP(AU303,INDIRECT(AQ299),2,FALSE),"----")</f>
        <v>----</v>
      </c>
      <c r="AW303" s="694" t="e">
        <f t="shared" ca="1" si="3908"/>
        <v>#REF!</v>
      </c>
      <c r="AX303" s="698" t="str">
        <f ca="1">IFERROR(VLOOKUP(AW303,INDIRECT(AQ300),2,FALSE),"----")</f>
        <v>----</v>
      </c>
      <c r="AY303" s="694" t="e">
        <f t="shared" ref="AY303" ca="1" si="5171">AY302-1</f>
        <v>#REF!</v>
      </c>
      <c r="AZ303" s="698" t="str">
        <f ca="1">IFERROR(VLOOKUP(AY303,INDIRECT(AQ301),2,FALSE),"----")</f>
        <v>----</v>
      </c>
      <c r="BA303" s="694" t="e">
        <f t="shared" ref="BA303" ca="1" si="5172">BA302-1</f>
        <v>#REF!</v>
      </c>
      <c r="BB303" s="698" t="str">
        <f ca="1">IFERROR(VLOOKUP(BA303,INDIRECT(AQ302),2,FALSE),"----")</f>
        <v>----</v>
      </c>
      <c r="BC303" s="694" t="e">
        <f t="shared" ca="1" si="3911"/>
        <v>#REF!</v>
      </c>
      <c r="BD303" s="698" t="str">
        <f ca="1">IFERROR(VLOOKUP(BC303,INDIRECT(AQ303),2,FALSE),"----")</f>
        <v>----</v>
      </c>
      <c r="BE303" s="694" t="e">
        <f t="shared" ca="1" si="3912"/>
        <v>#REF!</v>
      </c>
      <c r="BF303" s="698" t="str">
        <f ca="1">IFERROR(VLOOKUP(BE303,INDIRECT(AQ304),2,FALSE),"----")</f>
        <v>----</v>
      </c>
      <c r="BG303" s="694" t="e">
        <f t="shared" ca="1" si="3913"/>
        <v>#REF!</v>
      </c>
      <c r="BH303" s="686" t="str">
        <f ca="1">IFERROR(VLOOKUP(BG303,INDIRECT(AQ305),2,FALSE),"----")</f>
        <v>----</v>
      </c>
      <c r="BI303" s="694" t="e">
        <f t="shared" ca="1" si="3914"/>
        <v>#REF!</v>
      </c>
      <c r="BJ303" s="686" t="str">
        <f ca="1">IFERROR(VLOOKUP(BI303,INDIRECT(AQ306),2,FALSE),"----")</f>
        <v>----</v>
      </c>
      <c r="BK303" s="694" t="e">
        <f t="shared" ca="1" si="3915"/>
        <v>#REF!</v>
      </c>
      <c r="BL303" s="686" t="str">
        <f ca="1">IFERROR(VLOOKUP(BK303,INDIRECT(AQ307),2,FALSE),"----")</f>
        <v>----</v>
      </c>
      <c r="BM303" s="694" t="e">
        <f t="shared" ca="1" si="3916"/>
        <v>#REF!</v>
      </c>
      <c r="BN303" s="686" t="str">
        <f ca="1">IFERROR(VLOOKUP(BM303,INDIRECT(AQ308),2,FALSE),"----")</f>
        <v>----</v>
      </c>
      <c r="BO303" s="694" t="e">
        <f t="shared" ca="1" si="3917"/>
        <v>#REF!</v>
      </c>
      <c r="BP303" s="686" t="str">
        <f ca="1">IFERROR(VLOOKUP(BO303,INDIRECT(AQ309),2,FALSE),"----")</f>
        <v>----</v>
      </c>
      <c r="BQ303" s="694" t="e">
        <f t="shared" ca="1" si="3918"/>
        <v>#REF!</v>
      </c>
      <c r="BR303" s="686" t="str">
        <f ca="1">IFERROR(VLOOKUP(BQ303,INDIRECT(AQ310),2,FALSE),"----")</f>
        <v>----</v>
      </c>
      <c r="BS303" s="695">
        <f>IF(AI303="",1,IF(COUNTIF(BD299:BD310,AI303)=0,2,1))</f>
        <v>1</v>
      </c>
      <c r="BT303" s="696">
        <f>IF(AF303="",1,IF(BD299=".",2,1))</f>
        <v>1</v>
      </c>
      <c r="BU303" s="706"/>
      <c r="BV303" s="155">
        <f ca="1">IF(COUNTIF(CY299:CY310,AF303)=0,IF(AF303&lt;&gt;"",0,1),1)</f>
        <v>1</v>
      </c>
      <c r="BW303" s="157">
        <f ca="1">IFERROR(MATCH(AF303,CY299:CY310,0),1)</f>
        <v>1</v>
      </c>
      <c r="BX303" s="769"/>
      <c r="BY303" s="769"/>
      <c r="BZ303" s="1110"/>
      <c r="CA303" s="691" t="e">
        <f t="shared" ca="1" si="5105"/>
        <v>#REF!</v>
      </c>
      <c r="CB303" s="4" t="e" cm="1">
        <f t="array" aca="1" ref="CB303" ca="1">IF(AND(INDEX(INDIRECT(BY299),CA303,4)&gt;=$AB299,INDEX(INDIRECT(BY299),CA303,5)&gt;=$S299,INDEX(INDIRECT(BY299),CA303,6)&gt;=$R299),1,0)</f>
        <v>#REF!</v>
      </c>
      <c r="CC303" s="4" t="e">
        <f t="shared" ref="CC303" ca="1" si="5173">MATCH(1,OFFSET(CB299:CB310,CD302,0,COUNT(CB299:CB310)-CD302),0)</f>
        <v>#REF!</v>
      </c>
      <c r="CD303" s="4" t="e">
        <f t="shared" ca="1" si="5107"/>
        <v>#REF!</v>
      </c>
      <c r="CE303" s="692" t="str" cm="1">
        <f t="array" aca="1" ref="CE303" ca="1">IFERROR(VLOOKUP(INDEX(CA299:CA310,CD303),INDIRECT(BY299),2,FALSE),"----")</f>
        <v>----</v>
      </c>
      <c r="CF303" s="691" t="e">
        <f t="shared" ca="1" si="5108"/>
        <v>#N/A</v>
      </c>
      <c r="CG303" s="4" t="e">
        <f ca="1">IF(AND(INDEX(SSM,CF303,4)&gt;=$AB299,INDEX(SSM,CF303,5)&gt;=$S299,INDEX(SSM,CF303,6)&gt;=$R299),1,0)</f>
        <v>#N/A</v>
      </c>
      <c r="CH303" s="4" t="e">
        <f t="shared" ref="CH303" ca="1" si="5174">MATCH(1,OFFSET(CG299:CG310,CI302,0,COUNT(CG299:CG310)-CI302),0)</f>
        <v>#REF!</v>
      </c>
      <c r="CI303" s="4" t="e">
        <f t="shared" ca="1" si="5110"/>
        <v>#REF!</v>
      </c>
      <c r="CJ303" s="692" t="str">
        <f ca="1">IFERROR(IF(AD300="Nested Steel Stud (wood infill)",VLOOKUP(INDEX(CF299:CF310,CI303),SSW,2,FALSE),VLOOKUP(INDEX(CF299:CF310,CI303),SSM,2,FALSE)),"----")</f>
        <v>----</v>
      </c>
      <c r="CK303" s="691" t="e">
        <f t="shared" ca="1" si="5111"/>
        <v>#N/A</v>
      </c>
      <c r="CL303" s="4" t="e">
        <f ca="1">IF(AND(INDEX(WSM,CK303,4)&gt;=$AB299,INDEX(WSM,CK303,5)&gt;=$S299,INDEX(WSM,CK303,6)&gt;=$R299),1,0)</f>
        <v>#N/A</v>
      </c>
      <c r="CM303" s="4" t="e">
        <f t="shared" ref="CM303" ca="1" si="5175">MATCH(1,OFFSET(CL299:CL310,CN302,0,COUNT(CL299:CL310)-CN302),0)</f>
        <v>#REF!</v>
      </c>
      <c r="CN303" s="4" t="e">
        <f t="shared" ca="1" si="5113"/>
        <v>#REF!</v>
      </c>
      <c r="CO303" s="692" t="str">
        <f ca="1">IFERROR(VLOOKUP(INDEX(CK299:CK310,CN303),WSM,2,FALSE),"----")</f>
        <v>----</v>
      </c>
      <c r="CP303" s="691" t="e">
        <f t="shared" ca="1" si="5114"/>
        <v>#N/A</v>
      </c>
      <c r="CQ303" s="4" t="e">
        <f ca="1">IF(AND(INDEX(STM,CP303,4)&gt;=$AB299,INDEX(STM,CP303,5)&gt;=$S299,INDEX(STM,CP303,6)&gt;=$R299),1,0)</f>
        <v>#N/A</v>
      </c>
      <c r="CR303" s="4" t="e">
        <f t="shared" ref="CR303" ca="1" si="5176">MATCH(1,OFFSET(CQ299:CQ310,CS302,0,COUNT(CQ299:CQ310)-CS302),0)</f>
        <v>#REF!</v>
      </c>
      <c r="CS303" s="4" t="e">
        <f t="shared" ca="1" si="5116"/>
        <v>#REF!</v>
      </c>
      <c r="CT303" s="692" t="str">
        <f ca="1">IFERROR(VLOOKUP(INDEX(CP299:CP310,CS303),STM,2,FALSE),"----")</f>
        <v>----</v>
      </c>
      <c r="CU303" s="691" t="e">
        <f t="shared" ca="1" si="5117"/>
        <v>#N/A</v>
      </c>
      <c r="CV303" s="4" t="e">
        <f ca="1">IF(AND(INDEX(ELM,CU303,4)&gt;=$AB299,INDEX(ELM,CU303,5)&gt;=$S299,INDEX(ELM,CU303,6)&gt;=$R299),1,0)</f>
        <v>#N/A</v>
      </c>
      <c r="CW303" s="4" t="e">
        <f t="shared" ref="CW303" ca="1" si="5177">MATCH(1,OFFSET(CV299:CV310,CX302,0,COUNT(CV299:CV310)-CX302),0)</f>
        <v>#REF!</v>
      </c>
      <c r="CX303" s="4" t="e">
        <f t="shared" ca="1" si="5119"/>
        <v>#REF!</v>
      </c>
      <c r="CY303" s="692" t="str">
        <f ca="1">IFERROR(VLOOKUP(INDEX(CU299:CU310,CX303),ELM,2,FALSE),"----")</f>
        <v>----</v>
      </c>
      <c r="CZ303" s="691" t="e">
        <f t="shared" ca="1" si="5120"/>
        <v>#N/A</v>
      </c>
      <c r="DA303" s="4" t="e">
        <f ca="1">IF(LEFT($J299,7)="Clad Wo",IF(AND(INDEX(SPPWS,CZ303,4)&gt;=$AB299,INDEX(SPPWS,CZ303,5)&gt;=$S299,INDEX(SPPWS,CZ303,6)&gt;=$R299),1,0),IF(AND(INDEX(SPM,CZ303,4)&gt;=$AB299,INDEX(SPM,CZ303,5)&gt;=$S299,INDEX(SPM,CZ303,6)&gt;=$R299),1,0))</f>
        <v>#N/A</v>
      </c>
      <c r="DB303" s="4" t="e">
        <f t="shared" ref="DB303" ca="1" si="5178">MATCH(1,OFFSET(DA299:DA310,DC302,0,COUNT(DA299:DA310)-DC302),0)</f>
        <v>#REF!</v>
      </c>
      <c r="DC303" s="4" t="e">
        <f t="shared" ca="1" si="5122"/>
        <v>#REF!</v>
      </c>
      <c r="DD303" s="693" t="str">
        <f ca="1">IF(LEFT($J299,7)="Clad Wo",IFERROR(VLOOKUP(INDEX(CZ299:CZ310,DC303),SPPWS,2,FALSE),"----"),IFERROR(VLOOKUP(INDEX(CZ299:CZ310,DC303),SPM,2,FALSE),"----"))</f>
        <v>----</v>
      </c>
      <c r="DE303" s="691" t="e">
        <f t="shared" ca="1" si="5123"/>
        <v>#REF!</v>
      </c>
      <c r="DF303" s="4" t="e" cm="1">
        <f t="array" aca="1" ref="DF303" ca="1">IF(AND(INDEX(INDIRECT(BY299),DE303,4)&gt;=$AB305,INDEX(INDIRECT(BY299),DE303,5)&gt;=$S299,INDEX(INDIRECT(BY299),DE303,6)&gt;=$R299),1,0)</f>
        <v>#REF!</v>
      </c>
      <c r="DG303" s="4" t="e">
        <f t="shared" ref="DG303" ca="1" si="5179">MATCH(1,OFFSET(DF299:DF310,DH302,0,COUNT(DF299:DF310)-DH302),0)</f>
        <v>#REF!</v>
      </c>
      <c r="DH303" s="4" t="e">
        <f t="shared" ca="1" si="5125"/>
        <v>#REF!</v>
      </c>
      <c r="DI303" s="692" t="str" cm="1">
        <f t="array" aca="1" ref="DI303" ca="1">IFERROR(VLOOKUP(INDEX(DE299:DE310,DH303),INDIRECT(BY299),2,FALSE),"----")</f>
        <v>----</v>
      </c>
      <c r="DJ303" s="691" t="e">
        <f t="shared" ca="1" si="5126"/>
        <v>#N/A</v>
      </c>
      <c r="DK303" s="4" t="e">
        <f ca="1">IF(AND(INDEX(SSM,DJ303,4)&gt;=$AB305,INDEX(SSM,DJ303,5)&gt;=$S299,INDEX(SSM,DJ303,6)&gt;=$R299),1,0)</f>
        <v>#N/A</v>
      </c>
      <c r="DL303" s="4" t="e">
        <f t="shared" ref="DL303" ca="1" si="5180">MATCH(1,OFFSET(DK299:DK310,DM302,0,COUNT(DK299:DK310)-DM302),0)</f>
        <v>#REF!</v>
      </c>
      <c r="DM303" s="4" t="e">
        <f t="shared" ca="1" si="5128"/>
        <v>#REF!</v>
      </c>
      <c r="DN303" s="692" t="str">
        <f ca="1">IFERROR(IF(AD306="Nested Steel Stud (wood infill)",VLOOKUP(INDEX(DJ299:DJ310,DM303),SSW,2,FALSE),VLOOKUP(INDEX(DJ299:DJ310,DM303),SSM,2,FALSE)),"----")</f>
        <v>----</v>
      </c>
      <c r="DO303" s="691" t="e">
        <f t="shared" ca="1" si="5129"/>
        <v>#N/A</v>
      </c>
      <c r="DP303" s="4" t="e">
        <f ca="1">IF(AND(INDEX(WSM,DO303,4)&gt;=$AB305,INDEX(WSM,DO303,5)&gt;=$S299,INDEX(WSM,DO303,6)&gt;=$R299),1,0)</f>
        <v>#N/A</v>
      </c>
      <c r="DQ303" s="4" t="e">
        <f t="shared" ref="DQ303" ca="1" si="5181">MATCH(1,OFFSET(DP299:DP310,DR302,0,COUNT(DP299:DP310)-DR302),0)</f>
        <v>#REF!</v>
      </c>
      <c r="DR303" s="4" t="e">
        <f t="shared" ca="1" si="5131"/>
        <v>#REF!</v>
      </c>
      <c r="DS303" s="692" t="str">
        <f ca="1">IFERROR(VLOOKUP(INDEX(DO299:DO310,DR303),WSM,2,FALSE),"----")</f>
        <v>----</v>
      </c>
      <c r="DT303" s="691" t="e">
        <f t="shared" ca="1" si="5132"/>
        <v>#N/A</v>
      </c>
      <c r="DU303" s="4" t="e">
        <f ca="1">IF(AND(INDEX(STM,DT303,4)&gt;=$AB305,INDEX(STM,DT303,5)&gt;=$S299,INDEX(STM,DT303,6)&gt;=$R299),1,0)</f>
        <v>#N/A</v>
      </c>
      <c r="DV303" s="4" t="e">
        <f t="shared" ref="DV303" ca="1" si="5182">MATCH(1,OFFSET(DU299:DU310,DW302,0,COUNT(DU299:DU310)-DW302),0)</f>
        <v>#REF!</v>
      </c>
      <c r="DW303" s="4" t="e">
        <f t="shared" ca="1" si="5134"/>
        <v>#REF!</v>
      </c>
      <c r="DX303" s="692" t="str">
        <f ca="1">IFERROR(VLOOKUP(INDEX(DT299:DT310,DW303),STM,2,FALSE),"----")</f>
        <v>----</v>
      </c>
      <c r="DY303" s="691" t="e">
        <f t="shared" ca="1" si="5135"/>
        <v>#N/A</v>
      </c>
      <c r="DZ303" s="4" t="e">
        <f ca="1">IF(AND(INDEX(ELM,DY303,4)&gt;=$AB305,INDEX(ELM,DY303,5)&gt;=$S299,INDEX(ELM,DY303,6)&gt;=$R299),1,0)</f>
        <v>#N/A</v>
      </c>
      <c r="EA303" s="4" t="e">
        <f t="shared" ref="EA303" ca="1" si="5183">MATCH(1,OFFSET(DZ299:DZ310,EB302,0,COUNT(DZ299:DZ310)-EB302),0)</f>
        <v>#REF!</v>
      </c>
      <c r="EB303" s="4" t="e">
        <f t="shared" ca="1" si="5137"/>
        <v>#REF!</v>
      </c>
      <c r="EC303" s="692" t="str">
        <f ca="1">IFERROR(VLOOKUP(INDEX(DY299:DY310,EB303),ELM,2,FALSE),"----")</f>
        <v>----</v>
      </c>
      <c r="ED303" s="691" t="e">
        <f t="shared" ca="1" si="5138"/>
        <v>#N/A</v>
      </c>
      <c r="EE303" s="4" t="e">
        <f ca="1">IF(LEFT($J299,7)="Clad Wo",IF(AND(INDEX(SPPWS,ED303,4)&gt;=$AB305,INDEX(SPPWS,ED303,5)&gt;=$S299,INDEX(SPPWS,ED303,6)&gt;=$R299),1,0),IF(AND(INDEX(SPM,ED303,4)&gt;=$AB305,INDEX(SPM,ED303,5)&gt;=$S299,INDEX(SPM,ED303,6)&gt;=$R299),1,0))</f>
        <v>#N/A</v>
      </c>
      <c r="EF303" s="4" t="e">
        <f t="shared" ref="EF303" ca="1" si="5184">MATCH(1,OFFSET(EE299:EE310,EG302,0,COUNT(EE299:EE310)-EG302),0)</f>
        <v>#REF!</v>
      </c>
      <c r="EG303" s="4" t="e">
        <f t="shared" ca="1" si="5140"/>
        <v>#REF!</v>
      </c>
      <c r="EH303" s="692" t="str">
        <f ca="1">IF(LEFT($J299,7)="Clad Wo",IFERROR(VLOOKUP(INDEX(ED299:ED310,EG303),SPPWS,2,FALSE),"----"),IFERROR(VLOOKUP(INDEX(ED299:ED310,EG303),SPM,2,FALSE),"----"))</f>
        <v>----</v>
      </c>
    </row>
    <row r="304" spans="1:138" ht="15" customHeight="1" thickBot="1" x14ac:dyDescent="0.3">
      <c r="A304" s="1085"/>
      <c r="B304" s="934"/>
      <c r="C304" s="935"/>
      <c r="D304" s="936"/>
      <c r="E304" s="995"/>
      <c r="F304" s="996"/>
      <c r="G304" s="997"/>
      <c r="H304" s="1062"/>
      <c r="I304" s="990"/>
      <c r="J304" s="908"/>
      <c r="K304" s="909"/>
      <c r="L304" s="1010"/>
      <c r="M304" s="924"/>
      <c r="N304" s="1044"/>
      <c r="O304" s="1018"/>
      <c r="P304" s="987"/>
      <c r="Q304" s="1015"/>
      <c r="R304" s="1012"/>
      <c r="S304" s="1006"/>
      <c r="T304" s="1007"/>
      <c r="U304" s="878"/>
      <c r="V304" s="881"/>
      <c r="W304" s="889"/>
      <c r="X304" s="884"/>
      <c r="Y304" s="890"/>
      <c r="Z304" s="890"/>
      <c r="AA304" s="887"/>
      <c r="AB304" s="1084"/>
      <c r="AC304" s="1079"/>
      <c r="AD304" s="1072" t="str">
        <f t="shared" ref="AD304" si="5185">IF(LEFT(J299,7)="Clad Wo","Pella Wood Spr / Steel Pte","Steel Plate")</f>
        <v>Steel Plate</v>
      </c>
      <c r="AE304" s="1073"/>
      <c r="AF304" s="1054"/>
      <c r="AG304" s="1055"/>
      <c r="AH304" s="1055"/>
      <c r="AI304" s="1092"/>
      <c r="AJ304" s="1093"/>
      <c r="AK304" s="159" t="str">
        <f t="shared" ca="1" si="4947"/>
        <v/>
      </c>
      <c r="AL304" s="1040"/>
      <c r="AM304" s="345" t="str">
        <f ca="1">IFERROR(Q299/12*ROUND(VLOOKUP(AF304,OFFSET(SPM,0,1),6,FALSE),2),"")</f>
        <v/>
      </c>
      <c r="AN304" t="str">
        <f t="shared" ca="1" si="4971"/>
        <v/>
      </c>
      <c r="AP304" s="699" t="str">
        <f t="shared" ref="AP304" si="5186">_xlfn.CONCAT(AR304,AS304)</f>
        <v/>
      </c>
      <c r="AQ304" s="700" t="str">
        <f t="shared" si="5170"/>
        <v/>
      </c>
      <c r="AR304" s="160" t="str">
        <f t="shared" si="4931"/>
        <v/>
      </c>
      <c r="AS304" s="160" t="str">
        <f>IFERROR(VLOOKUP(J307, WallType,2,FALSE),"")</f>
        <v/>
      </c>
      <c r="AT304" s="701" t="str">
        <f>AL299</f>
        <v/>
      </c>
      <c r="AU304" s="694" t="e">
        <f t="shared" ref="AU304:AU367" ca="1" si="5187">AU303-1</f>
        <v>#REF!</v>
      </c>
      <c r="AV304" s="698" t="str">
        <f ca="1">IFERROR(VLOOKUP(AU304,INDIRECT(AQ299),2,FALSE),"----")</f>
        <v>----</v>
      </c>
      <c r="AW304" s="702" t="e">
        <f t="shared" ref="AW304:AW367" ca="1" si="5188">AW303-1</f>
        <v>#REF!</v>
      </c>
      <c r="AX304" s="698" t="str">
        <f ca="1">IFERROR(VLOOKUP(AW304,INDIRECT(AQ300),2,FALSE),"----")</f>
        <v>----</v>
      </c>
      <c r="AY304" s="702" t="e">
        <f t="shared" ref="AY304" ca="1" si="5189">AY303-1</f>
        <v>#REF!</v>
      </c>
      <c r="AZ304" s="698" t="str">
        <f ca="1">IFERROR(VLOOKUP(AY304,INDIRECT(AQ301),2,FALSE),"----")</f>
        <v>----</v>
      </c>
      <c r="BA304" s="702" t="e">
        <f t="shared" ref="BA304" ca="1" si="5190">BA303-1</f>
        <v>#REF!</v>
      </c>
      <c r="BB304" s="698" t="str">
        <f ca="1">IFERROR(VLOOKUP(BA304,INDIRECT(AQ302),2,FALSE),"----")</f>
        <v>----</v>
      </c>
      <c r="BC304" s="702" t="e">
        <f t="shared" ref="BC304:BC367" ca="1" si="5191">BC303-1</f>
        <v>#REF!</v>
      </c>
      <c r="BD304" s="698" t="str">
        <f ca="1">IFERROR(VLOOKUP(BC304,INDIRECT(AQ303),2,FALSE),"----")</f>
        <v>----</v>
      </c>
      <c r="BE304" s="702" t="e">
        <f t="shared" ref="BE304:BE367" ca="1" si="5192">BE303-1</f>
        <v>#REF!</v>
      </c>
      <c r="BF304" s="698" t="str">
        <f ca="1">IFERROR(VLOOKUP(BE304,INDIRECT(AQ304),2,FALSE),"----")</f>
        <v>----</v>
      </c>
      <c r="BG304" s="702" t="e">
        <f t="shared" ref="BG304:BG367" ca="1" si="5193">BG303-1</f>
        <v>#REF!</v>
      </c>
      <c r="BH304" s="686" t="str">
        <f ca="1">IFERROR(VLOOKUP(BG304,INDIRECT(AQ305),2,FALSE),"----")</f>
        <v>----</v>
      </c>
      <c r="BI304" s="702" t="e">
        <f t="shared" ref="BI304:BI367" ca="1" si="5194">BI303-1</f>
        <v>#REF!</v>
      </c>
      <c r="BJ304" s="686" t="str">
        <f ca="1">IFERROR(VLOOKUP(BI304,INDIRECT(AQ306),2,FALSE),"----")</f>
        <v>----</v>
      </c>
      <c r="BK304" s="702" t="e">
        <f t="shared" ref="BK304:BK367" ca="1" si="5195">BK303-1</f>
        <v>#REF!</v>
      </c>
      <c r="BL304" s="686" t="str">
        <f ca="1">IFERROR(VLOOKUP(BK304,INDIRECT(AQ307),2,FALSE),"----")</f>
        <v>----</v>
      </c>
      <c r="BM304" s="702" t="e">
        <f t="shared" ref="BM304:BM367" ca="1" si="5196">BM303-1</f>
        <v>#REF!</v>
      </c>
      <c r="BN304" s="686" t="str">
        <f ca="1">IFERROR(VLOOKUP(BM304,INDIRECT(AQ308),2,FALSE),"----")</f>
        <v>----</v>
      </c>
      <c r="BO304" s="702" t="e">
        <f t="shared" ref="BO304:BO367" ca="1" si="5197">BO303-1</f>
        <v>#REF!</v>
      </c>
      <c r="BP304" s="686" t="str">
        <f ca="1">IFERROR(VLOOKUP(BO304,INDIRECT(AQ309),2,FALSE),"----")</f>
        <v>----</v>
      </c>
      <c r="BQ304" s="702" t="e">
        <f t="shared" ref="BQ304:BQ367" ca="1" si="5198">BQ303-1</f>
        <v>#REF!</v>
      </c>
      <c r="BR304" s="686" t="str">
        <f ca="1">IFERROR(VLOOKUP(BQ304,INDIRECT(AQ310),2,FALSE),"----")</f>
        <v>----</v>
      </c>
      <c r="BS304" s="703">
        <f>IF(AI304="",1,IF(COUNTIF(BF299:BF310,AI304)=0,2,1))</f>
        <v>1</v>
      </c>
      <c r="BT304" s="704">
        <f>IF(AF304="",1,IF(BF299=".",2,1))</f>
        <v>1</v>
      </c>
      <c r="BV304" s="155">
        <f ca="1">IF(COUNTIF(DD299:DD310,AF304)=0,IF(AF304&lt;&gt;"",0,1),1)</f>
        <v>1</v>
      </c>
      <c r="BW304" s="157">
        <f ca="1">IFERROR(MATCH(AF304,DD299:DD310,0),1)</f>
        <v>1</v>
      </c>
      <c r="BX304" s="875" t="s">
        <v>1594</v>
      </c>
      <c r="BY304" s="876"/>
      <c r="BZ304" s="1110"/>
      <c r="CA304" s="691" t="e">
        <f t="shared" ca="1" si="5105"/>
        <v>#REF!</v>
      </c>
      <c r="CB304" s="4" t="e" cm="1">
        <f t="array" aca="1" ref="CB304" ca="1">IF(AND(INDEX(INDIRECT(BY299),CA304,4)&gt;=$AB299,INDEX(INDIRECT(BY299),CA304,5)&gt;=$S299,INDEX(INDIRECT(BY299),CA304,6)&gt;=$R299),1,0)</f>
        <v>#REF!</v>
      </c>
      <c r="CC304" s="4" t="e">
        <f t="shared" ref="CC304" ca="1" si="5199">MATCH(1,OFFSET(CB299:CB310,CD303,0,COUNT(CB299:CB310)-CD303),0)</f>
        <v>#REF!</v>
      </c>
      <c r="CD304" s="4" t="e">
        <f t="shared" ca="1" si="5107"/>
        <v>#REF!</v>
      </c>
      <c r="CE304" s="692" t="str" cm="1">
        <f t="array" aca="1" ref="CE304" ca="1">IFERROR(VLOOKUP(INDEX(CA299:CA310,CD304),INDIRECT(BY299),2,FALSE),"----")</f>
        <v>----</v>
      </c>
      <c r="CF304" s="691" t="e">
        <f t="shared" ca="1" si="5108"/>
        <v>#N/A</v>
      </c>
      <c r="CG304" s="4" t="e">
        <f ca="1">IF(AND(INDEX(SSM,CF304,4)&gt;=$AB299,INDEX(SSM,CF304,5)&gt;=$S299,INDEX(SSM,CF304,6)&gt;=$R299),1,0)</f>
        <v>#N/A</v>
      </c>
      <c r="CH304" s="4" t="e">
        <f t="shared" ref="CH304" ca="1" si="5200">MATCH(1,OFFSET(CG299:CG310,CI303,0,COUNT(CG299:CG310)-CI303),0)</f>
        <v>#REF!</v>
      </c>
      <c r="CI304" s="4" t="e">
        <f t="shared" ca="1" si="5110"/>
        <v>#REF!</v>
      </c>
      <c r="CJ304" s="692" t="str">
        <f ca="1">IFERROR(IF(AD300="Nested Steel Stud (wood infill)",VLOOKUP(INDEX(CF299:CF310,CI304),SSW,2,FALSE),VLOOKUP(INDEX(CF299:CF310,CI304),SSM,2,FALSE)),"----")</f>
        <v>----</v>
      </c>
      <c r="CK304" s="691" t="e">
        <f t="shared" ca="1" si="5111"/>
        <v>#N/A</v>
      </c>
      <c r="CL304" s="4" t="e">
        <f ca="1">IF(AND(INDEX(WSM,CK304,4)&gt;=$AB299,INDEX(WSM,CK304,5)&gt;=$S299,INDEX(WSM,CK304,6)&gt;=$R299),1,0)</f>
        <v>#N/A</v>
      </c>
      <c r="CM304" s="4" t="e">
        <f t="shared" ref="CM304" ca="1" si="5201">MATCH(1,OFFSET(CL299:CL310,CN303,0,COUNT(CL299:CL310)-CN303),0)</f>
        <v>#REF!</v>
      </c>
      <c r="CN304" s="4" t="e">
        <f t="shared" ca="1" si="5113"/>
        <v>#REF!</v>
      </c>
      <c r="CO304" s="692" t="str">
        <f ca="1">IFERROR(VLOOKUP(INDEX(CK299:CK310,CN304),WSM,2,FALSE),"----")</f>
        <v>----</v>
      </c>
      <c r="CP304" s="691" t="e">
        <f t="shared" ca="1" si="5114"/>
        <v>#N/A</v>
      </c>
      <c r="CQ304" s="4" t="e">
        <f ca="1">IF(AND(INDEX(STM,CP304,4)&gt;=$AB299,INDEX(STM,CP304,5)&gt;=$S299,INDEX(STM,CP304,6)&gt;=$R299),1,0)</f>
        <v>#N/A</v>
      </c>
      <c r="CR304" s="4" t="e">
        <f t="shared" ref="CR304" ca="1" si="5202">MATCH(1,OFFSET(CQ299:CQ310,CS303,0,COUNT(CQ299:CQ310)-CS303),0)</f>
        <v>#REF!</v>
      </c>
      <c r="CS304" s="4" t="e">
        <f t="shared" ca="1" si="5116"/>
        <v>#REF!</v>
      </c>
      <c r="CT304" s="692" t="str">
        <f ca="1">IFERROR(VLOOKUP(INDEX(CP299:CP310,CS304),STM,2,FALSE),"----")</f>
        <v>----</v>
      </c>
      <c r="CU304" s="691" t="e">
        <f t="shared" ca="1" si="5117"/>
        <v>#N/A</v>
      </c>
      <c r="CV304" s="4" t="e">
        <f ca="1">IF(AND(INDEX(ELM,CU304,4)&gt;=$AB299,INDEX(ELM,CU304,5)&gt;=$S299,INDEX(ELM,CU304,6)&gt;=$R299),1,0)</f>
        <v>#N/A</v>
      </c>
      <c r="CW304" s="4" t="e">
        <f t="shared" ref="CW304" ca="1" si="5203">MATCH(1,OFFSET(CV299:CV310,CX303,0,COUNT(CV299:CV310)-CX303),0)</f>
        <v>#REF!</v>
      </c>
      <c r="CX304" s="4" t="e">
        <f t="shared" ca="1" si="5119"/>
        <v>#REF!</v>
      </c>
      <c r="CY304" s="692" t="str">
        <f ca="1">IFERROR(VLOOKUP(INDEX(CU299:CU310,CX304),ELM,2,FALSE),"----")</f>
        <v>----</v>
      </c>
      <c r="CZ304" s="691" t="e">
        <f t="shared" ca="1" si="5120"/>
        <v>#N/A</v>
      </c>
      <c r="DA304" s="4" t="e">
        <f ca="1">IF(LEFT($J299,7)="Clad Wo",IF(AND(INDEX(SPPWS,CZ304,4)&gt;=$AB299,INDEX(SPPWS,CZ304,5)&gt;=$S299,INDEX(SPPWS,CZ304,6)&gt;=$R299),1,0),IF(AND(INDEX(SPM,CZ304,4)&gt;=$AB299,INDEX(SPM,CZ304,5)&gt;=$S299,INDEX(SPM,CZ304,6)&gt;=$R299),1,0))</f>
        <v>#N/A</v>
      </c>
      <c r="DB304" s="4" t="e">
        <f t="shared" ref="DB304" ca="1" si="5204">MATCH(1,OFFSET(DA299:DA310,DC303,0,COUNT(DA299:DA310)-DC303),0)</f>
        <v>#REF!</v>
      </c>
      <c r="DC304" s="4" t="e">
        <f t="shared" ca="1" si="5122"/>
        <v>#REF!</v>
      </c>
      <c r="DD304" s="693" t="str">
        <f ca="1">IF(LEFT($J299,7)="Clad Wo",IFERROR(VLOOKUP(INDEX(CZ299:CZ310,DC304),SPPWS,2,FALSE),"----"),IFERROR(VLOOKUP(INDEX(CZ299:CZ310,DC304),SPM,2,FALSE),"----"))</f>
        <v>----</v>
      </c>
      <c r="DE304" s="691" t="e">
        <f t="shared" ca="1" si="5123"/>
        <v>#REF!</v>
      </c>
      <c r="DF304" s="4" t="e" cm="1">
        <f t="array" aca="1" ref="DF304" ca="1">IF(AND(INDEX(INDIRECT(BY299),DE304,4)&gt;=$AB305,INDEX(INDIRECT(BY299),DE304,5)&gt;=$S299,INDEX(INDIRECT(BY299),DE304,6)&gt;=$R299),1,0)</f>
        <v>#REF!</v>
      </c>
      <c r="DG304" s="4" t="e">
        <f t="shared" ref="DG304" ca="1" si="5205">MATCH(1,OFFSET(DF299:DF310,DH303,0,COUNT(DF299:DF310)-DH303),0)</f>
        <v>#REF!</v>
      </c>
      <c r="DH304" s="4" t="e">
        <f t="shared" ca="1" si="5125"/>
        <v>#REF!</v>
      </c>
      <c r="DI304" s="692" t="str" cm="1">
        <f t="array" aca="1" ref="DI304" ca="1">IFERROR(VLOOKUP(INDEX(DE299:DE310,DH304),INDIRECT(BY299),2,FALSE),"----")</f>
        <v>----</v>
      </c>
      <c r="DJ304" s="691" t="e">
        <f t="shared" ca="1" si="5126"/>
        <v>#N/A</v>
      </c>
      <c r="DK304" s="4" t="e">
        <f ca="1">IF(AND(INDEX(SSM,DJ304,4)&gt;=$AB305,INDEX(SSM,DJ304,5)&gt;=$S299,INDEX(SSM,DJ304,6)&gt;=$R299),1,0)</f>
        <v>#N/A</v>
      </c>
      <c r="DL304" s="4" t="e">
        <f t="shared" ref="DL304" ca="1" si="5206">MATCH(1,OFFSET(DK299:DK310,DM303,0,COUNT(DK299:DK310)-DM303),0)</f>
        <v>#REF!</v>
      </c>
      <c r="DM304" s="4" t="e">
        <f t="shared" ca="1" si="5128"/>
        <v>#REF!</v>
      </c>
      <c r="DN304" s="692" t="str">
        <f ca="1">IFERROR(IF(AD306="Nested Steel Stud (wood infill)",VLOOKUP(INDEX(DJ299:DJ310,DM304),SSW,2,FALSE),VLOOKUP(INDEX(DJ299:DJ310,DM304),SSM,2,FALSE)),"----")</f>
        <v>----</v>
      </c>
      <c r="DO304" s="691" t="e">
        <f t="shared" ca="1" si="5129"/>
        <v>#N/A</v>
      </c>
      <c r="DP304" s="4" t="e">
        <f ca="1">IF(AND(INDEX(WSM,DO304,4)&gt;=$AB305,INDEX(WSM,DO304,5)&gt;=$S299,INDEX(WSM,DO304,6)&gt;=$R299),1,0)</f>
        <v>#N/A</v>
      </c>
      <c r="DQ304" s="4" t="e">
        <f t="shared" ref="DQ304" ca="1" si="5207">MATCH(1,OFFSET(DP299:DP310,DR303,0,COUNT(DP299:DP310)-DR303),0)</f>
        <v>#REF!</v>
      </c>
      <c r="DR304" s="4" t="e">
        <f t="shared" ca="1" si="5131"/>
        <v>#REF!</v>
      </c>
      <c r="DS304" s="692" t="str">
        <f ca="1">IFERROR(VLOOKUP(INDEX(DO299:DO310,DR304),WSM,2,FALSE),"----")</f>
        <v>----</v>
      </c>
      <c r="DT304" s="691" t="e">
        <f t="shared" ca="1" si="5132"/>
        <v>#N/A</v>
      </c>
      <c r="DU304" s="4" t="e">
        <f ca="1">IF(AND(INDEX(STM,DT304,4)&gt;=$AB305,INDEX(STM,DT304,5)&gt;=$S299,INDEX(STM,DT304,6)&gt;=$R299),1,0)</f>
        <v>#N/A</v>
      </c>
      <c r="DV304" s="4" t="e">
        <f t="shared" ref="DV304" ca="1" si="5208">MATCH(1,OFFSET(DU299:DU310,DW303,0,COUNT(DU299:DU310)-DW303),0)</f>
        <v>#REF!</v>
      </c>
      <c r="DW304" s="4" t="e">
        <f t="shared" ca="1" si="5134"/>
        <v>#REF!</v>
      </c>
      <c r="DX304" s="692" t="str">
        <f ca="1">IFERROR(VLOOKUP(INDEX(DT299:DT310,DW304),STM,2,FALSE),"----")</f>
        <v>----</v>
      </c>
      <c r="DY304" s="691" t="e">
        <f t="shared" ca="1" si="5135"/>
        <v>#N/A</v>
      </c>
      <c r="DZ304" s="4" t="e">
        <f ca="1">IF(AND(INDEX(ELM,DY304,4)&gt;=$AB305,INDEX(ELM,DY304,5)&gt;=$S299,INDEX(ELM,DY304,6)&gt;=$R299),1,0)</f>
        <v>#N/A</v>
      </c>
      <c r="EA304" s="4" t="e">
        <f t="shared" ref="EA304" ca="1" si="5209">MATCH(1,OFFSET(DZ299:DZ310,EB303,0,COUNT(DZ299:DZ310)-EB303),0)</f>
        <v>#REF!</v>
      </c>
      <c r="EB304" s="4" t="e">
        <f t="shared" ca="1" si="5137"/>
        <v>#REF!</v>
      </c>
      <c r="EC304" s="692" t="str">
        <f ca="1">IFERROR(VLOOKUP(INDEX(DY299:DY310,EB304),ELM,2,FALSE),"----")</f>
        <v>----</v>
      </c>
      <c r="ED304" s="691" t="e">
        <f t="shared" ca="1" si="5138"/>
        <v>#N/A</v>
      </c>
      <c r="EE304" s="4" t="e">
        <f ca="1">IF(LEFT($J299,7)="Clad Wo",IF(AND(INDEX(SPPWS,ED304,4)&gt;=$AB305,INDEX(SPPWS,ED304,5)&gt;=$S299,INDEX(SPPWS,ED304,6)&gt;=$R299),1,0),IF(AND(INDEX(SPM,ED304,4)&gt;=$AB305,INDEX(SPM,ED304,5)&gt;=$S299,INDEX(SPM,ED304,6)&gt;=$R299),1,0))</f>
        <v>#N/A</v>
      </c>
      <c r="EF304" s="4" t="e">
        <f t="shared" ref="EF304" ca="1" si="5210">MATCH(1,OFFSET(EE299:EE310,EG303,0,COUNT(EE299:EE310)-EG303),0)</f>
        <v>#REF!</v>
      </c>
      <c r="EG304" s="4" t="e">
        <f t="shared" ca="1" si="5140"/>
        <v>#REF!</v>
      </c>
      <c r="EH304" s="692" t="str">
        <f ca="1">IF(LEFT($J299,7)="Clad Wo",IFERROR(VLOOKUP(INDEX(ED299:ED310,EG304),SPPWS,2,FALSE),"----"),IFERROR(VLOOKUP(INDEX(ED299:ED310,EG304),SPM,2,FALSE),"----"))</f>
        <v>----</v>
      </c>
    </row>
    <row r="305" spans="1:138" ht="15" customHeight="1" x14ac:dyDescent="0.25">
      <c r="A305" s="1085"/>
      <c r="B305" s="925" t="s">
        <v>409</v>
      </c>
      <c r="C305" s="926"/>
      <c r="D305" s="927"/>
      <c r="E305" s="995"/>
      <c r="F305" s="996"/>
      <c r="G305" s="997"/>
      <c r="H305" s="1062"/>
      <c r="I305" s="990"/>
      <c r="J305" s="908"/>
      <c r="K305" s="909"/>
      <c r="L305" s="1001">
        <f>L299+1</f>
        <v>5</v>
      </c>
      <c r="M305" s="1064" t="str">
        <f t="shared" ref="M305" si="5211">IFERROR(IF($AE$17="",IF($AG$19="Wind Loading",MIN($V$31,IF(E$11="ASCE 7-05",$U$26,$V$7)*$V$9*(IF($E$12&lt;60,0.156*LN(MAX(MIN(500,O299),10)) -1.7618,IF($E$11="ASCE 7-22", 0.2026*LN(MAX(MIN(500,O299),20))-2.2638,0.2503*LN(MAX(MIN(500,O299),20)) -2.5526))-$V$8)),$V$7*IF(E$12&lt;60,$V$13*($V$15*(0.156*LN(MAX(MIN(500,O299),10)) -1.7618)-$V$16),$V$13*$V$15*((0.2026*LN(MAX(MIN(500,O299),20))-2.2638)-$V$16))),-ABS($AE$17)),"")</f>
        <v/>
      </c>
      <c r="N305" s="1041" t="str">
        <f t="shared" ref="N305" si="5212">IFERROR(IF($AE$19="",IF($AG$19="Wind Loading",MAX($U$31,IF(E$11="ASCE 7-05",$U$26,$V$7)*$V$9*((IF($E$12&lt;60,-0.077*LN(MAX(MIN(500,O299),10))+1.1737,IF($E$11="ASCE 7-22",-0.077*LN(MAX(MIN(500,O299),20))+1.0798,-0.093*LN(MAX(MIN(500,O299),20))+1.1776)))+$V$8)),$V$7*IF(E$12&lt;60,$V$13*($V$15*(-0.077*LN(MAX(MIN(500,O299),10))+1.1737)-$V$17),$V$13*$V$15*((-0.077*LN(MAX(MIN(500,O299),20))+1.0798)-$V$17))),ABS($AE$19)),"")</f>
        <v/>
      </c>
      <c r="O305" s="1018"/>
      <c r="P305" s="987"/>
      <c r="Q305" s="1015"/>
      <c r="R305" s="1012">
        <f>P305*Q305/8</f>
        <v>0</v>
      </c>
      <c r="S305" s="1006"/>
      <c r="T305" s="1007"/>
      <c r="U305" s="878"/>
      <c r="V305" s="881"/>
      <c r="W305" s="883" t="e">
        <f t="shared" ref="W305" si="5213">MAX(-M305,N305)*O299</f>
        <v>#VALUE!</v>
      </c>
      <c r="X305" s="884"/>
      <c r="Y305" s="886">
        <f>IFERROR(IF(AG$14="Trapezoidal",BY308,BX308)+IF($E$17="4",(400*E299^3)/(48*X299),0),0)</f>
        <v>0</v>
      </c>
      <c r="Z305" s="886" t="e">
        <f t="shared" ref="Z305" si="5214">+($V299*MAX(-$M305,$N305)*$E299^2)/(144*8)+IF($E$17=4,(400*$E299)/4,0)</f>
        <v>#VALUE!</v>
      </c>
      <c r="AA305" s="887"/>
      <c r="AB305" s="1080" t="str">
        <f t="shared" ref="AB305" ca="1" si="5215">IFERROR(Z305-AA299,"")</f>
        <v/>
      </c>
      <c r="AC305" s="1086" t="str">
        <f t="shared" ref="AC305" ca="1" si="5216">IFERROR(Y305-U299,"")</f>
        <v/>
      </c>
      <c r="AD305" s="1074" t="str">
        <f t="shared" ref="AD305" si="5217">AD299</f>
        <v/>
      </c>
      <c r="AE305" s="1075"/>
      <c r="AF305" s="1056"/>
      <c r="AG305" s="1057"/>
      <c r="AH305" s="1057"/>
      <c r="AI305" s="1088"/>
      <c r="AJ305" s="1089"/>
      <c r="AK305" s="162" t="str">
        <f t="shared" ca="1" si="4947"/>
        <v/>
      </c>
      <c r="AL305" s="1058" t="str">
        <f t="shared" ref="AL305" si="5218">IFERROR(ROUND(SQRT(P299^2+(W305/2+IF($E$17=4,200,0))^2),0),"")</f>
        <v/>
      </c>
      <c r="AM305" s="342" t="s">
        <v>669</v>
      </c>
      <c r="AN305" t="str">
        <f t="shared" ca="1" si="4971"/>
        <v/>
      </c>
      <c r="AP305" s="122" t="str">
        <f t="shared" ref="AP305" si="5219">_xlfn.CONCAT(AR305,AS310)</f>
        <v/>
      </c>
      <c r="AQ305" s="683" t="str">
        <f t="shared" si="5170"/>
        <v/>
      </c>
      <c r="AR305" s="96" t="str">
        <f t="shared" si="4931"/>
        <v/>
      </c>
      <c r="AS305" s="96" t="str">
        <f>IF(COUNTIF(imp_1,AF305)=1,"imp_1",IF(COUNTIF(imp_2,AF305)=1,"imp_2",IF(COUNTIF(imp_3,AF305)=1,"imp_3",IF(COUNTIF(impdoor,AF305)=1,"impdoor",""))))</f>
        <v/>
      </c>
      <c r="AT305" s="684" t="str">
        <f>AL305</f>
        <v/>
      </c>
      <c r="AU305" s="685" t="e">
        <f t="shared" ca="1" si="5187"/>
        <v>#REF!</v>
      </c>
      <c r="AV305" s="686" t="str">
        <f ca="1">IFERROR(VLOOKUP(AU305,INDIRECT(AQ299),2,FALSE),"----")</f>
        <v>----</v>
      </c>
      <c r="AW305" s="685" t="e">
        <f t="shared" ca="1" si="5188"/>
        <v>#REF!</v>
      </c>
      <c r="AX305" s="686" t="str">
        <f ca="1">IFERROR(VLOOKUP(AW305,INDIRECT(AQ300),2,FALSE),"----")</f>
        <v>----</v>
      </c>
      <c r="AY305" s="685" t="e">
        <f t="shared" ca="1" si="4949"/>
        <v>#REF!</v>
      </c>
      <c r="AZ305" s="686" t="str">
        <f ca="1">IFERROR(VLOOKUP(AY305,INDIRECT(AQ301),2,FALSE),"----")</f>
        <v>----</v>
      </c>
      <c r="BA305" s="685" t="e">
        <f t="shared" ca="1" si="4950"/>
        <v>#REF!</v>
      </c>
      <c r="BB305" s="686" t="str">
        <f ca="1">IFERROR(VLOOKUP(BA305,INDIRECT(AQ302),2,FALSE),"----")</f>
        <v>----</v>
      </c>
      <c r="BC305" s="685" t="e">
        <f t="shared" ca="1" si="5191"/>
        <v>#REF!</v>
      </c>
      <c r="BD305" s="686" t="str">
        <f ca="1">IFERROR(VLOOKUP(BC305,INDIRECT(AQ303),2,FALSE),"----")</f>
        <v>----</v>
      </c>
      <c r="BE305" s="685" t="e">
        <f t="shared" ca="1" si="5192"/>
        <v>#REF!</v>
      </c>
      <c r="BF305" s="686" t="str">
        <f ca="1">IFERROR(VLOOKUP(BE305,INDIRECT(AQ304),2,FALSE),"----")</f>
        <v>----</v>
      </c>
      <c r="BG305" s="702" t="e">
        <f t="shared" ca="1" si="5193"/>
        <v>#REF!</v>
      </c>
      <c r="BH305" s="686" t="str">
        <f ca="1">IFERROR(VLOOKUP(BG305,INDIRECT(AQ305),2,FALSE),"----")</f>
        <v>----</v>
      </c>
      <c r="BI305" s="702" t="e">
        <f t="shared" ca="1" si="5194"/>
        <v>#REF!</v>
      </c>
      <c r="BJ305" s="686" t="str">
        <f ca="1">IFERROR(VLOOKUP(BI305,INDIRECT(AQ306),2,FALSE),"----")</f>
        <v>----</v>
      </c>
      <c r="BK305" s="702" t="e">
        <f t="shared" ca="1" si="5195"/>
        <v>#REF!</v>
      </c>
      <c r="BL305" s="686" t="str">
        <f ca="1">IFERROR(VLOOKUP(BK305,INDIRECT(AQ307),2,FALSE),"----")</f>
        <v>----</v>
      </c>
      <c r="BM305" s="702" t="e">
        <f t="shared" ca="1" si="5196"/>
        <v>#REF!</v>
      </c>
      <c r="BN305" s="686" t="str">
        <f ca="1">IFERROR(VLOOKUP(BM305,INDIRECT(AQ308),2,FALSE),"----")</f>
        <v>----</v>
      </c>
      <c r="BO305" s="702" t="e">
        <f t="shared" ca="1" si="5197"/>
        <v>#REF!</v>
      </c>
      <c r="BP305" s="686" t="str">
        <f ca="1">IFERROR(VLOOKUP(BO305,INDIRECT(AQ309),2,FALSE),"----")</f>
        <v>----</v>
      </c>
      <c r="BQ305" s="702" t="e">
        <f t="shared" ca="1" si="5198"/>
        <v>#REF!</v>
      </c>
      <c r="BR305" s="686" t="str">
        <f ca="1">IFERROR(VLOOKUP(BQ305,INDIRECT(AQ310),2,FALSE),"----")</f>
        <v>----</v>
      </c>
      <c r="BS305" s="695">
        <f>IF(AI305="",1,IF(COUNTIF(BH299:BH310,AI305)=0,2,1))</f>
        <v>1</v>
      </c>
      <c r="BT305" s="696">
        <f>IF(AP305="1",1,IF(AF305="",1,IF(BH299=".",2,1)))</f>
        <v>1</v>
      </c>
      <c r="BU305" s="706"/>
      <c r="BV305" s="155">
        <f ca="1">IF(COUNTIF(DI299:DI310,AF305)=0,IF(AF305&lt;&gt;"",0,1),1)</f>
        <v>1</v>
      </c>
      <c r="BW305" s="157">
        <f ca="1">IFERROR(MATCH(AF305,DI299:DI310,0),1)</f>
        <v>1</v>
      </c>
      <c r="BX305" s="769" t="s">
        <v>1593</v>
      </c>
      <c r="BY305" s="769" t="s">
        <v>1629</v>
      </c>
      <c r="BZ305" s="1110"/>
      <c r="CA305" s="691" t="e">
        <f t="shared" ca="1" si="5105"/>
        <v>#REF!</v>
      </c>
      <c r="CB305" s="4" t="e" cm="1">
        <f t="array" aca="1" ref="CB305" ca="1">IF(AND(INDEX(INDIRECT(BY299),CA305,4)&gt;=$AB299,INDEX(INDIRECT(BY299),CA305,5)&gt;=$S299,INDEX(INDIRECT(BY299),CA305,6)&gt;=$R299),1,0)</f>
        <v>#REF!</v>
      </c>
      <c r="CC305" s="4" t="e">
        <f t="shared" ref="CC305" ca="1" si="5220">MATCH(1,OFFSET(CB299:CB310,CD304,0,COUNT(CB299:CB310)-CD304),0)</f>
        <v>#REF!</v>
      </c>
      <c r="CD305" s="4" t="e">
        <f t="shared" ca="1" si="5107"/>
        <v>#REF!</v>
      </c>
      <c r="CE305" s="692" t="str" cm="1">
        <f t="array" aca="1" ref="CE305" ca="1">IFERROR(VLOOKUP(INDEX(CA299:CA310,CD305),INDIRECT(BY299),2,FALSE),"----")</f>
        <v>----</v>
      </c>
      <c r="CF305" s="691" t="e">
        <f t="shared" ca="1" si="5108"/>
        <v>#N/A</v>
      </c>
      <c r="CG305" s="4" t="e">
        <f ca="1">IF(AND(INDEX(SSM,CF305,4)&gt;=$AB299,INDEX(SSM,CF305,5)&gt;=$S299,INDEX(SSM,CF305,6)&gt;=$R299),1,0)</f>
        <v>#N/A</v>
      </c>
      <c r="CH305" s="4" t="e">
        <f t="shared" ref="CH305" ca="1" si="5221">MATCH(1,OFFSET(CG299:CG310,CI304,0,COUNT(CG299:CG310)-CI304),0)</f>
        <v>#REF!</v>
      </c>
      <c r="CI305" s="4" t="e">
        <f t="shared" ca="1" si="5110"/>
        <v>#REF!</v>
      </c>
      <c r="CJ305" s="692" t="str">
        <f ca="1">IFERROR(IF(AD300="Nested Steel Stud (wood infill)",VLOOKUP(INDEX(CF299:CF310,CI305),SSW,2,FALSE),VLOOKUP(INDEX(CF299:CF310,CI305),SSM,2,FALSE)),"----")</f>
        <v>----</v>
      </c>
      <c r="CK305" s="691" t="e">
        <f t="shared" ca="1" si="5111"/>
        <v>#N/A</v>
      </c>
      <c r="CL305" s="4" t="e">
        <f ca="1">IF(AND(INDEX(WSM,CK305,4)&gt;=$AB299,INDEX(WSM,CK305,5)&gt;=$S299,INDEX(WSM,CK305,6)&gt;=$R299),1,0)</f>
        <v>#N/A</v>
      </c>
      <c r="CM305" s="4" t="e">
        <f t="shared" ref="CM305" ca="1" si="5222">MATCH(1,OFFSET(CL299:CL310,CN304,0,COUNT(CL299:CL310)-CN304),0)</f>
        <v>#REF!</v>
      </c>
      <c r="CN305" s="4" t="e">
        <f t="shared" ca="1" si="5113"/>
        <v>#REF!</v>
      </c>
      <c r="CO305" s="692" t="str">
        <f ca="1">IFERROR(VLOOKUP(INDEX(CK299:CK310,CN305),WSM,2,FALSE),"----")</f>
        <v>----</v>
      </c>
      <c r="CP305" s="691" t="e">
        <f t="shared" ca="1" si="5114"/>
        <v>#N/A</v>
      </c>
      <c r="CQ305" s="4" t="e">
        <f ca="1">IF(AND(INDEX(STM,CP305,4)&gt;=$AB299,INDEX(STM,CP305,5)&gt;=$S299,INDEX(STM,CP305,6)&gt;=$R299),1,0)</f>
        <v>#N/A</v>
      </c>
      <c r="CR305" s="4" t="e">
        <f t="shared" ref="CR305" ca="1" si="5223">MATCH(1,OFFSET(CQ299:CQ310,CS304,0,COUNT(CQ299:CQ310)-CS304),0)</f>
        <v>#REF!</v>
      </c>
      <c r="CS305" s="4" t="e">
        <f t="shared" ca="1" si="5116"/>
        <v>#REF!</v>
      </c>
      <c r="CT305" s="692" t="str">
        <f ca="1">IFERROR(VLOOKUP(INDEX(CP299:CP310,CS305),STM,2,FALSE),"----")</f>
        <v>----</v>
      </c>
      <c r="CU305" s="691" t="e">
        <f t="shared" ca="1" si="5117"/>
        <v>#N/A</v>
      </c>
      <c r="CV305" s="4" t="e">
        <f ca="1">IF(AND(INDEX(ELM,CU305,4)&gt;=$AB299,INDEX(ELM,CU305,5)&gt;=$S299,INDEX(ELM,CU305,6)&gt;=$R299),1,0)</f>
        <v>#N/A</v>
      </c>
      <c r="CW305" s="4" t="e">
        <f t="shared" ref="CW305" ca="1" si="5224">MATCH(1,OFFSET(CV299:CV310,CX304,0,COUNT(CV299:CV310)-CX304),0)</f>
        <v>#REF!</v>
      </c>
      <c r="CX305" s="4" t="e">
        <f t="shared" ca="1" si="5119"/>
        <v>#REF!</v>
      </c>
      <c r="CY305" s="692" t="str">
        <f ca="1">IFERROR(VLOOKUP(INDEX(CU299:CU310,CX305),ELM,2,FALSE),"----")</f>
        <v>----</v>
      </c>
      <c r="CZ305" s="691" t="e">
        <f t="shared" ca="1" si="5120"/>
        <v>#N/A</v>
      </c>
      <c r="DA305" s="4" t="e">
        <f ca="1">IF(LEFT($J299,7)="Clad Wo",IF(AND(INDEX(SPPWS,CZ305,4)&gt;=$AB299,INDEX(SPPWS,CZ305,5)&gt;=$S299,INDEX(SPPWS,CZ305,6)&gt;=$R299),1,0),IF(AND(INDEX(SPM,CZ305,4)&gt;=$AB299,INDEX(SPM,CZ305,5)&gt;=$S299,INDEX(SPM,CZ305,6)&gt;=$R299),1,0))</f>
        <v>#N/A</v>
      </c>
      <c r="DB305" s="4" t="e">
        <f t="shared" ref="DB305" ca="1" si="5225">MATCH(1,OFFSET(DA299:DA310,DC304,0,COUNT(DA299:DA310)-DC304),0)</f>
        <v>#REF!</v>
      </c>
      <c r="DC305" s="4" t="e">
        <f t="shared" ca="1" si="5122"/>
        <v>#REF!</v>
      </c>
      <c r="DD305" s="693" t="str">
        <f ca="1">IF(LEFT($J299,7)="Clad Wo",IFERROR(VLOOKUP(INDEX(CZ299:CZ310,DC305),SPPWS,2,FALSE),"----"),IFERROR(VLOOKUP(INDEX(CZ299:CZ310,DC305),SPM,2,FALSE),"----"))</f>
        <v>----</v>
      </c>
      <c r="DE305" s="691" t="e">
        <f t="shared" ca="1" si="5123"/>
        <v>#REF!</v>
      </c>
      <c r="DF305" s="4" t="e" cm="1">
        <f t="array" aca="1" ref="DF305" ca="1">IF(AND(INDEX(INDIRECT(BY299),DE305,4)&gt;=$AB305,INDEX(INDIRECT(BY299),DE305,5)&gt;=$S299,INDEX(INDIRECT(BY299),DE305,6)&gt;=$R299),1,0)</f>
        <v>#REF!</v>
      </c>
      <c r="DG305" s="4" t="e">
        <f t="shared" ref="DG305" ca="1" si="5226">MATCH(1,OFFSET(DF299:DF310,DH304,0,COUNT(DF299:DF310)-DH304),0)</f>
        <v>#REF!</v>
      </c>
      <c r="DH305" s="4" t="e">
        <f t="shared" ca="1" si="5125"/>
        <v>#REF!</v>
      </c>
      <c r="DI305" s="692" t="str" cm="1">
        <f t="array" aca="1" ref="DI305" ca="1">IFERROR(VLOOKUP(INDEX(DE299:DE310,DH305),INDIRECT(BY299),2,FALSE),"----")</f>
        <v>----</v>
      </c>
      <c r="DJ305" s="691" t="e">
        <f t="shared" ca="1" si="5126"/>
        <v>#N/A</v>
      </c>
      <c r="DK305" s="4" t="e">
        <f ca="1">IF(AND(INDEX(SSM,DJ305,4)&gt;=$AB305,INDEX(SSM,DJ305,5)&gt;=$S299,INDEX(SSM,DJ305,6)&gt;=$R299),1,0)</f>
        <v>#N/A</v>
      </c>
      <c r="DL305" s="4" t="e">
        <f t="shared" ref="DL305" ca="1" si="5227">MATCH(1,OFFSET(DK299:DK310,DM304,0,COUNT(DK299:DK310)-DM304),0)</f>
        <v>#REF!</v>
      </c>
      <c r="DM305" s="4" t="e">
        <f t="shared" ca="1" si="5128"/>
        <v>#REF!</v>
      </c>
      <c r="DN305" s="692" t="str">
        <f ca="1">IFERROR(IF(AD306="Nested Steel Stud (wood infill)",VLOOKUP(INDEX(DJ299:DJ310,DM305),SSW,2,FALSE),VLOOKUP(INDEX(DJ299:DJ310,DM305),SSM,2,FALSE)),"----")</f>
        <v>----</v>
      </c>
      <c r="DO305" s="691" t="e">
        <f t="shared" ca="1" si="5129"/>
        <v>#N/A</v>
      </c>
      <c r="DP305" s="4" t="e">
        <f ca="1">IF(AND(INDEX(WSM,DO305,4)&gt;=$AB305,INDEX(WSM,DO305,5)&gt;=$S299,INDEX(WSM,DO305,6)&gt;=$R299),1,0)</f>
        <v>#N/A</v>
      </c>
      <c r="DQ305" s="4" t="e">
        <f t="shared" ref="DQ305" ca="1" si="5228">MATCH(1,OFFSET(DP299:DP310,DR304,0,COUNT(DP299:DP310)-DR304),0)</f>
        <v>#REF!</v>
      </c>
      <c r="DR305" s="4" t="e">
        <f t="shared" ca="1" si="5131"/>
        <v>#REF!</v>
      </c>
      <c r="DS305" s="692" t="str">
        <f ca="1">IFERROR(VLOOKUP(INDEX(DO299:DO310,DR305),WSM,2,FALSE),"----")</f>
        <v>----</v>
      </c>
      <c r="DT305" s="691" t="e">
        <f t="shared" ca="1" si="5132"/>
        <v>#N/A</v>
      </c>
      <c r="DU305" s="4" t="e">
        <f ca="1">IF(AND(INDEX(STM,DT305,4)&gt;=$AB305,INDEX(STM,DT305,5)&gt;=$S299,INDEX(STM,DT305,6)&gt;=$R299),1,0)</f>
        <v>#N/A</v>
      </c>
      <c r="DV305" s="4" t="e">
        <f t="shared" ref="DV305" ca="1" si="5229">MATCH(1,OFFSET(DU299:DU310,DW304,0,COUNT(DU299:DU310)-DW304),0)</f>
        <v>#REF!</v>
      </c>
      <c r="DW305" s="4" t="e">
        <f t="shared" ca="1" si="5134"/>
        <v>#REF!</v>
      </c>
      <c r="DX305" s="692" t="str">
        <f ca="1">IFERROR(VLOOKUP(INDEX(DT299:DT310,DW305),STM,2,FALSE),"----")</f>
        <v>----</v>
      </c>
      <c r="DY305" s="691" t="e">
        <f t="shared" ca="1" si="5135"/>
        <v>#N/A</v>
      </c>
      <c r="DZ305" s="4" t="e">
        <f ca="1">IF(AND(INDEX(ELM,DY305,4)&gt;=$AB305,INDEX(ELM,DY305,5)&gt;=$S299,INDEX(ELM,DY305,6)&gt;=$R299),1,0)</f>
        <v>#N/A</v>
      </c>
      <c r="EA305" s="4" t="e">
        <f t="shared" ref="EA305" ca="1" si="5230">MATCH(1,OFFSET(DZ299:DZ310,EB304,0,COUNT(DZ299:DZ310)-EB304),0)</f>
        <v>#REF!</v>
      </c>
      <c r="EB305" s="4" t="e">
        <f t="shared" ca="1" si="5137"/>
        <v>#REF!</v>
      </c>
      <c r="EC305" s="692" t="str">
        <f ca="1">IFERROR(VLOOKUP(INDEX(DY299:DY310,EB305),ELM,2,FALSE),"----")</f>
        <v>----</v>
      </c>
      <c r="ED305" s="691" t="e">
        <f t="shared" ca="1" si="5138"/>
        <v>#N/A</v>
      </c>
      <c r="EE305" s="4" t="e">
        <f ca="1">IF(LEFT($J299,7)="Clad Wo",IF(AND(INDEX(SPPWS,ED305,4)&gt;=$AB305,INDEX(SPPWS,ED305,5)&gt;=$S299,INDEX(SPPWS,ED305,6)&gt;=$R299),1,0),IF(AND(INDEX(SPM,ED305,4)&gt;=$AB305,INDEX(SPM,ED305,5)&gt;=$S299,INDEX(SPM,ED305,6)&gt;=$R299),1,0))</f>
        <v>#N/A</v>
      </c>
      <c r="EF305" s="4" t="e">
        <f t="shared" ref="EF305" ca="1" si="5231">MATCH(1,OFFSET(EE299:EE310,EG304,0,COUNT(EE299:EE310)-EG304),0)</f>
        <v>#REF!</v>
      </c>
      <c r="EG305" s="4" t="e">
        <f t="shared" ca="1" si="5140"/>
        <v>#REF!</v>
      </c>
      <c r="EH305" s="692" t="str">
        <f ca="1">IF(LEFT($J299,7)="Clad Wo",IFERROR(VLOOKUP(INDEX(ED299:ED310,EG305),SPPWS,2,FALSE),"----"),IFERROR(VLOOKUP(INDEX(ED299:ED310,EG305),SPM,2,FALSE),"----"))</f>
        <v>----</v>
      </c>
    </row>
    <row r="306" spans="1:138" ht="15" customHeight="1" x14ac:dyDescent="0.25">
      <c r="A306" s="1085"/>
      <c r="B306" s="925"/>
      <c r="C306" s="926"/>
      <c r="D306" s="927"/>
      <c r="E306" s="995"/>
      <c r="F306" s="996"/>
      <c r="G306" s="997"/>
      <c r="H306" s="1062"/>
      <c r="I306" s="990"/>
      <c r="J306" s="912"/>
      <c r="K306" s="913"/>
      <c r="L306" s="1002"/>
      <c r="M306" s="923"/>
      <c r="N306" s="1042"/>
      <c r="O306" s="1018"/>
      <c r="P306" s="987"/>
      <c r="Q306" s="1015"/>
      <c r="R306" s="1012"/>
      <c r="S306" s="1006"/>
      <c r="T306" s="1007"/>
      <c r="U306" s="878"/>
      <c r="V306" s="881"/>
      <c r="W306" s="884"/>
      <c r="X306" s="884"/>
      <c r="Y306" s="887"/>
      <c r="Z306" s="887"/>
      <c r="AA306" s="887"/>
      <c r="AB306" s="1081"/>
      <c r="AC306" s="1078"/>
      <c r="AD306" s="1070" t="str">
        <f t="shared" ref="AD306" si="5232">IF(ISBLANK(AD300)=TRUE,"",AD300)</f>
        <v>Nested Steel Stud</v>
      </c>
      <c r="AE306" s="1071"/>
      <c r="AF306" s="1052"/>
      <c r="AG306" s="1053"/>
      <c r="AH306" s="1053"/>
      <c r="AI306" s="1066"/>
      <c r="AJ306" s="1067"/>
      <c r="AK306" s="156" t="str">
        <f t="shared" ca="1" si="4947"/>
        <v/>
      </c>
      <c r="AL306" s="1059"/>
      <c r="AM306" s="343" t="str">
        <f ca="1">IFERROR(Q299/12*ROUND(VLOOKUP(AF306,OFFSET(SSM,0,1),6,FALSE),2),"")</f>
        <v/>
      </c>
      <c r="AN306" t="str">
        <f t="shared" ca="1" si="4971"/>
        <v/>
      </c>
      <c r="AP306" s="122" t="str">
        <f t="shared" ref="AP306" si="5233">_xlfn.CONCAT(AR306,AS310)</f>
        <v/>
      </c>
      <c r="AQ306" s="683" t="str">
        <f t="shared" si="5170"/>
        <v/>
      </c>
      <c r="AR306" s="96" t="str">
        <f t="shared" si="4931"/>
        <v/>
      </c>
      <c r="AS306" s="96" t="str">
        <f>IF(COUNTIF(Vista_1,AF305)=1,"Vista_1",IF(COUNTIF(Vista_2,AF305)=1,"Vista_2",""))</f>
        <v/>
      </c>
      <c r="AT306" s="684" t="str">
        <f>AL305</f>
        <v/>
      </c>
      <c r="AU306" s="694" t="e">
        <f t="shared" ca="1" si="5187"/>
        <v>#REF!</v>
      </c>
      <c r="AV306" s="686" t="str">
        <f ca="1">IFERROR(VLOOKUP(AU306,INDIRECT(AQ299),2,FALSE),"----")</f>
        <v>----</v>
      </c>
      <c r="AW306" s="694" t="e">
        <f t="shared" ca="1" si="5188"/>
        <v>#REF!</v>
      </c>
      <c r="AX306" s="686" t="str">
        <f ca="1">IFERROR(VLOOKUP(AW306,INDIRECT(AQ300),2,FALSE),"----")</f>
        <v>----</v>
      </c>
      <c r="AY306" s="694" t="e">
        <f t="shared" ca="1" si="4949"/>
        <v>#REF!</v>
      </c>
      <c r="AZ306" s="686" t="str">
        <f ca="1">IFERROR(VLOOKUP(AY306,INDIRECT(AQ301),2,FALSE),"----")</f>
        <v>----</v>
      </c>
      <c r="BA306" s="694" t="e">
        <f t="shared" ca="1" si="4950"/>
        <v>#REF!</v>
      </c>
      <c r="BB306" s="686" t="str">
        <f ca="1">IFERROR(VLOOKUP(BA306,INDIRECT(AQ302),2,FALSE),"----")</f>
        <v>----</v>
      </c>
      <c r="BC306" s="694" t="e">
        <f t="shared" ca="1" si="5191"/>
        <v>#REF!</v>
      </c>
      <c r="BD306" s="686" t="str">
        <f ca="1">IFERROR(VLOOKUP(BC306,INDIRECT(AQ303),2,FALSE),"----")</f>
        <v>----</v>
      </c>
      <c r="BE306" s="694" t="e">
        <f t="shared" ca="1" si="5192"/>
        <v>#REF!</v>
      </c>
      <c r="BF306" s="686" t="str">
        <f ca="1">IFERROR(VLOOKUP(BE306,INDIRECT(AQ304),2,FALSE),"----")</f>
        <v>----</v>
      </c>
      <c r="BG306" s="702" t="e">
        <f t="shared" ca="1" si="5193"/>
        <v>#REF!</v>
      </c>
      <c r="BH306" s="686" t="str">
        <f ca="1">IFERROR(VLOOKUP(BG306,INDIRECT(AQ305),2,FALSE),"----")</f>
        <v>----</v>
      </c>
      <c r="BI306" s="702" t="e">
        <f t="shared" ca="1" si="5194"/>
        <v>#REF!</v>
      </c>
      <c r="BJ306" s="686" t="str">
        <f ca="1">IFERROR(VLOOKUP(BI306,INDIRECT(AQ306),2,FALSE),"----")</f>
        <v>----</v>
      </c>
      <c r="BK306" s="702" t="e">
        <f t="shared" ca="1" si="5195"/>
        <v>#REF!</v>
      </c>
      <c r="BL306" s="686" t="str">
        <f ca="1">IFERROR(VLOOKUP(BK306,INDIRECT(AQ307),2,FALSE),"----")</f>
        <v>----</v>
      </c>
      <c r="BM306" s="702" t="e">
        <f t="shared" ca="1" si="5196"/>
        <v>#REF!</v>
      </c>
      <c r="BN306" s="686" t="str">
        <f ca="1">IFERROR(VLOOKUP(BM306,INDIRECT(AQ308),2,FALSE),"----")</f>
        <v>----</v>
      </c>
      <c r="BO306" s="702" t="e">
        <f t="shared" ca="1" si="5197"/>
        <v>#REF!</v>
      </c>
      <c r="BP306" s="686" t="str">
        <f ca="1">IFERROR(VLOOKUP(BO306,INDIRECT(AQ309),2,FALSE),"----")</f>
        <v>----</v>
      </c>
      <c r="BQ306" s="702" t="e">
        <f t="shared" ca="1" si="5198"/>
        <v>#REF!</v>
      </c>
      <c r="BR306" s="686" t="str">
        <f ca="1">IFERROR(VLOOKUP(BQ306,INDIRECT(AQ310),2,FALSE),"----")</f>
        <v>----</v>
      </c>
      <c r="BS306" s="695">
        <f>IF(AI306="",1,IF(COUNTIF(BJ299:BJ310,AI306)=0,2,1))</f>
        <v>1</v>
      </c>
      <c r="BT306" s="696">
        <f>IF(AF306="",1,IF(BJ299=".",2,1))</f>
        <v>1</v>
      </c>
      <c r="BU306" s="706"/>
      <c r="BV306" s="155">
        <f ca="1">IF(COUNTIF(DN299:DN310,AF306)=0,IF(AF306&lt;&gt;"",0,1),1)</f>
        <v>1</v>
      </c>
      <c r="BW306" s="157">
        <f ca="1">IFERROR(MATCH(AF306,DN299:DN310,0),1)</f>
        <v>1</v>
      </c>
      <c r="BX306" s="769">
        <f t="shared" ref="BX306" si="5234">E299*(H299+I299)/144/2</f>
        <v>0</v>
      </c>
      <c r="BY306" s="769">
        <f>SUM(IF(H299&gt;E299,E299^2/4,(H299*E299/2)-(H299^2/4))/144,IF(I299&gt;E299,E299^2/4,(I299*E299/2)-(I299^2/4))/144)</f>
        <v>0</v>
      </c>
      <c r="BZ306" s="1110"/>
      <c r="CA306" s="691" t="e">
        <f t="shared" ca="1" si="5105"/>
        <v>#REF!</v>
      </c>
      <c r="CB306" s="4" t="e" cm="1">
        <f t="array" aca="1" ref="CB306" ca="1">IF(AND(INDEX(INDIRECT(BY299),CA306,4)&gt;=$AB299,INDEX(INDIRECT(BY299),CA306,5)&gt;=$S299,INDEX(INDIRECT(BY299),CA306,6)&gt;=$R299),1,0)</f>
        <v>#REF!</v>
      </c>
      <c r="CC306" s="4" t="e">
        <f t="shared" ref="CC306" ca="1" si="5235">MATCH(1,OFFSET(CB299:CB310,CD305,0,COUNT(CB299:CB310)-CD305),0)</f>
        <v>#REF!</v>
      </c>
      <c r="CD306" s="4" t="e">
        <f t="shared" ca="1" si="5107"/>
        <v>#REF!</v>
      </c>
      <c r="CE306" s="692" t="str" cm="1">
        <f t="array" aca="1" ref="CE306" ca="1">IFERROR(VLOOKUP(INDEX(CA299:CA310,CD306),INDIRECT(BY299),2,FALSE),"----")</f>
        <v>----</v>
      </c>
      <c r="CF306" s="691" t="e">
        <f t="shared" ca="1" si="5108"/>
        <v>#N/A</v>
      </c>
      <c r="CG306" s="4" t="e">
        <f ca="1">IF(AND(INDEX(SSM,CF306,4)&gt;=$AB299,INDEX(SSM,CF306,5)&gt;=$S299,INDEX(SSM,CF306,6)&gt;=$R299),1,0)</f>
        <v>#N/A</v>
      </c>
      <c r="CH306" s="4" t="e">
        <f t="shared" ref="CH306" ca="1" si="5236">MATCH(1,OFFSET(CG299:CG310,CI305,0,COUNT(CG299:CG310)-CI305),0)</f>
        <v>#REF!</v>
      </c>
      <c r="CI306" s="4" t="e">
        <f t="shared" ca="1" si="5110"/>
        <v>#REF!</v>
      </c>
      <c r="CJ306" s="692" t="str">
        <f ca="1">IFERROR(IF(AD300="Nested Steel Stud (wood infill)",VLOOKUP(INDEX(CF299:CF310,CI306),SSW,2,FALSE),VLOOKUP(INDEX(CF299:CF310,CI306),SSM,2,FALSE)),"----")</f>
        <v>----</v>
      </c>
      <c r="CK306" s="691" t="e">
        <f t="shared" ca="1" si="5111"/>
        <v>#N/A</v>
      </c>
      <c r="CL306" s="4" t="e">
        <f ca="1">IF(AND(INDEX(WSM,CK306,4)&gt;=$AB299,INDEX(WSM,CK306,5)&gt;=$S299,INDEX(WSM,CK306,6)&gt;=$R299),1,0)</f>
        <v>#N/A</v>
      </c>
      <c r="CM306" s="4" t="e">
        <f t="shared" ref="CM306" ca="1" si="5237">MATCH(1,OFFSET(CL299:CL310,CN305,0,COUNT(CL299:CL310)-CN305),0)</f>
        <v>#REF!</v>
      </c>
      <c r="CN306" s="4" t="e">
        <f t="shared" ca="1" si="5113"/>
        <v>#REF!</v>
      </c>
      <c r="CO306" s="692" t="str">
        <f ca="1">IFERROR(VLOOKUP(INDEX(CK299:CK310,CN306),WSM,2,FALSE),"----")</f>
        <v>----</v>
      </c>
      <c r="CP306" s="691" t="e">
        <f t="shared" ca="1" si="5114"/>
        <v>#N/A</v>
      </c>
      <c r="CQ306" s="4" t="e">
        <f ca="1">IF(AND(INDEX(STM,CP306,4)&gt;=$AB299,INDEX(STM,CP306,5)&gt;=$S299,INDEX(STM,CP306,6)&gt;=$R299),1,0)</f>
        <v>#N/A</v>
      </c>
      <c r="CR306" s="4" t="e">
        <f t="shared" ref="CR306" ca="1" si="5238">MATCH(1,OFFSET(CQ299:CQ310,CS305,0,COUNT(CQ299:CQ310)-CS305),0)</f>
        <v>#REF!</v>
      </c>
      <c r="CS306" s="4" t="e">
        <f t="shared" ca="1" si="5116"/>
        <v>#REF!</v>
      </c>
      <c r="CT306" s="692" t="str">
        <f ca="1">IFERROR(VLOOKUP(INDEX(CP299:CP310,CS306),STM,2,FALSE),"----")</f>
        <v>----</v>
      </c>
      <c r="CU306" s="691" t="e">
        <f t="shared" ca="1" si="5117"/>
        <v>#N/A</v>
      </c>
      <c r="CV306" s="4" t="e">
        <f ca="1">IF(AND(INDEX(ELM,CU306,4)&gt;=$AB299,INDEX(ELM,CU306,5)&gt;=$S299,INDEX(ELM,CU306,6)&gt;=$R299),1,0)</f>
        <v>#N/A</v>
      </c>
      <c r="CW306" s="4" t="e">
        <f t="shared" ref="CW306" ca="1" si="5239">MATCH(1,OFFSET(CV299:CV310,CX305,0,COUNT(CV299:CV310)-CX305),0)</f>
        <v>#REF!</v>
      </c>
      <c r="CX306" s="4" t="e">
        <f t="shared" ca="1" si="5119"/>
        <v>#REF!</v>
      </c>
      <c r="CY306" s="692" t="str">
        <f ca="1">IFERROR(VLOOKUP(INDEX(CU299:CU310,CX306),ELM,2,FALSE),"----")</f>
        <v>----</v>
      </c>
      <c r="CZ306" s="691" t="e">
        <f t="shared" ca="1" si="5120"/>
        <v>#N/A</v>
      </c>
      <c r="DA306" s="4" t="e">
        <f ca="1">IF(LEFT($J299,7)="Clad Wo",IF(AND(INDEX(SPPWS,CZ306,4)&gt;=$AB299,INDEX(SPPWS,CZ306,5)&gt;=$S299,INDEX(SPPWS,CZ306,6)&gt;=$R299),1,0),IF(AND(INDEX(SPM,CZ306,4)&gt;=$AB299,INDEX(SPM,CZ306,5)&gt;=$S299,INDEX(SPM,CZ306,6)&gt;=$R299),1,0))</f>
        <v>#N/A</v>
      </c>
      <c r="DB306" s="4" t="e">
        <f t="shared" ref="DB306" ca="1" si="5240">MATCH(1,OFFSET(DA299:DA310,DC305,0,COUNT(DA299:DA310)-DC305),0)</f>
        <v>#REF!</v>
      </c>
      <c r="DC306" s="4" t="e">
        <f t="shared" ca="1" si="5122"/>
        <v>#REF!</v>
      </c>
      <c r="DD306" s="693" t="str">
        <f ca="1">IF(LEFT($J299,7)="Clad Wo",IFERROR(VLOOKUP(INDEX(CZ299:CZ310,DC306),SPPWS,2,FALSE),"----"),IFERROR(VLOOKUP(INDEX(CZ299:CZ310,DC306),SPM,2,FALSE),"----"))</f>
        <v>----</v>
      </c>
      <c r="DE306" s="691" t="e">
        <f t="shared" ca="1" si="5123"/>
        <v>#REF!</v>
      </c>
      <c r="DF306" s="4" t="e" cm="1">
        <f t="array" aca="1" ref="DF306" ca="1">IF(AND(INDEX(INDIRECT(BY299),DE306,4)&gt;=$AB305,INDEX(INDIRECT(BY299),DE306,5)&gt;=$S299,INDEX(INDIRECT(BY299),DE306,6)&gt;=$R299),1,0)</f>
        <v>#REF!</v>
      </c>
      <c r="DG306" s="4" t="e">
        <f t="shared" ref="DG306" ca="1" si="5241">MATCH(1,OFFSET(DF299:DF310,DH305,0,COUNT(DF299:DF310)-DH305),0)</f>
        <v>#REF!</v>
      </c>
      <c r="DH306" s="4" t="e">
        <f t="shared" ca="1" si="5125"/>
        <v>#REF!</v>
      </c>
      <c r="DI306" s="692" t="str" cm="1">
        <f t="array" aca="1" ref="DI306" ca="1">IFERROR(VLOOKUP(INDEX(DE299:DE310,DH306),INDIRECT(BY299),2,FALSE),"----")</f>
        <v>----</v>
      </c>
      <c r="DJ306" s="691" t="e">
        <f t="shared" ca="1" si="5126"/>
        <v>#N/A</v>
      </c>
      <c r="DK306" s="4" t="e">
        <f ca="1">IF(AND(INDEX(SSM,DJ306,4)&gt;=$AB305,INDEX(SSM,DJ306,5)&gt;=$S299,INDEX(SSM,DJ306,6)&gt;=$R299),1,0)</f>
        <v>#N/A</v>
      </c>
      <c r="DL306" s="4" t="e">
        <f t="shared" ref="DL306" ca="1" si="5242">MATCH(1,OFFSET(DK299:DK310,DM305,0,COUNT(DK299:DK310)-DM305),0)</f>
        <v>#REF!</v>
      </c>
      <c r="DM306" s="4" t="e">
        <f t="shared" ca="1" si="5128"/>
        <v>#REF!</v>
      </c>
      <c r="DN306" s="692" t="str">
        <f ca="1">IFERROR(IF(AD306="Nested Steel Stud (wood infill)",VLOOKUP(INDEX(DJ299:DJ310,DM306),SSW,2,FALSE),VLOOKUP(INDEX(DJ299:DJ310,DM306),SSM,2,FALSE)),"----")</f>
        <v>----</v>
      </c>
      <c r="DO306" s="691" t="e">
        <f t="shared" ca="1" si="5129"/>
        <v>#N/A</v>
      </c>
      <c r="DP306" s="4" t="e">
        <f ca="1">IF(AND(INDEX(WSM,DO306,4)&gt;=$AB305,INDEX(WSM,DO306,5)&gt;=$S299,INDEX(WSM,DO306,6)&gt;=$R299),1,0)</f>
        <v>#N/A</v>
      </c>
      <c r="DQ306" s="4" t="e">
        <f t="shared" ref="DQ306" ca="1" si="5243">MATCH(1,OFFSET(DP299:DP310,DR305,0,COUNT(DP299:DP310)-DR305),0)</f>
        <v>#REF!</v>
      </c>
      <c r="DR306" s="4" t="e">
        <f t="shared" ca="1" si="5131"/>
        <v>#REF!</v>
      </c>
      <c r="DS306" s="692" t="str">
        <f ca="1">IFERROR(VLOOKUP(INDEX(DO299:DO310,DR306),WSM,2,FALSE),"----")</f>
        <v>----</v>
      </c>
      <c r="DT306" s="691" t="e">
        <f t="shared" ca="1" si="5132"/>
        <v>#N/A</v>
      </c>
      <c r="DU306" s="4" t="e">
        <f ca="1">IF(AND(INDEX(STM,DT306,4)&gt;=$AB305,INDEX(STM,DT306,5)&gt;=$S299,INDEX(STM,DT306,6)&gt;=$R299),1,0)</f>
        <v>#N/A</v>
      </c>
      <c r="DV306" s="4" t="e">
        <f t="shared" ref="DV306" ca="1" si="5244">MATCH(1,OFFSET(DU299:DU310,DW305,0,COUNT(DU299:DU310)-DW305),0)</f>
        <v>#REF!</v>
      </c>
      <c r="DW306" s="4" t="e">
        <f t="shared" ca="1" si="5134"/>
        <v>#REF!</v>
      </c>
      <c r="DX306" s="692" t="str">
        <f ca="1">IFERROR(VLOOKUP(INDEX(DT299:DT310,DW306),STM,2,FALSE),"----")</f>
        <v>----</v>
      </c>
      <c r="DY306" s="691" t="e">
        <f t="shared" ca="1" si="5135"/>
        <v>#N/A</v>
      </c>
      <c r="DZ306" s="4" t="e">
        <f ca="1">IF(AND(INDEX(ELM,DY306,4)&gt;=$AB305,INDEX(ELM,DY306,5)&gt;=$S299,INDEX(ELM,DY306,6)&gt;=$R299),1,0)</f>
        <v>#N/A</v>
      </c>
      <c r="EA306" s="4" t="e">
        <f t="shared" ref="EA306" ca="1" si="5245">MATCH(1,OFFSET(DZ299:DZ310,EB305,0,COUNT(DZ299:DZ310)-EB305),0)</f>
        <v>#REF!</v>
      </c>
      <c r="EB306" s="4" t="e">
        <f t="shared" ca="1" si="5137"/>
        <v>#REF!</v>
      </c>
      <c r="EC306" s="692" t="str">
        <f ca="1">IFERROR(VLOOKUP(INDEX(DY299:DY310,EB306),ELM,2,FALSE),"----")</f>
        <v>----</v>
      </c>
      <c r="ED306" s="691" t="e">
        <f t="shared" ca="1" si="5138"/>
        <v>#N/A</v>
      </c>
      <c r="EE306" s="4" t="e">
        <f ca="1">IF(LEFT($J299,7)="Clad Wo",IF(AND(INDEX(SPPWS,ED306,4)&gt;=$AB305,INDEX(SPPWS,ED306,5)&gt;=$S299,INDEX(SPPWS,ED306,6)&gt;=$R299),1,0),IF(AND(INDEX(SPM,ED306,4)&gt;=$AB305,INDEX(SPM,ED306,5)&gt;=$S299,INDEX(SPM,ED306,6)&gt;=$R299),1,0))</f>
        <v>#N/A</v>
      </c>
      <c r="EF306" s="4" t="e">
        <f t="shared" ref="EF306" ca="1" si="5246">MATCH(1,OFFSET(EE299:EE310,EG305,0,COUNT(EE299:EE310)-EG305),0)</f>
        <v>#REF!</v>
      </c>
      <c r="EG306" s="4" t="e">
        <f t="shared" ca="1" si="5140"/>
        <v>#REF!</v>
      </c>
      <c r="EH306" s="692" t="str">
        <f ca="1">IF(LEFT($J299,7)="Clad Wo",IFERROR(VLOOKUP(INDEX(ED299:ED310,EG306),SPPWS,2,FALSE),"----"),IFERROR(VLOOKUP(INDEX(ED299:ED310,EG306),SPM,2,FALSE),"----"))</f>
        <v>----</v>
      </c>
    </row>
    <row r="307" spans="1:138" ht="15" customHeight="1" x14ac:dyDescent="0.25">
      <c r="A307" s="1085"/>
      <c r="B307" s="925"/>
      <c r="C307" s="926"/>
      <c r="D307" s="927"/>
      <c r="E307" s="995"/>
      <c r="F307" s="996"/>
      <c r="G307" s="997"/>
      <c r="H307" s="1062"/>
      <c r="I307" s="990"/>
      <c r="J307" s="902"/>
      <c r="K307" s="903"/>
      <c r="L307" s="1002"/>
      <c r="M307" s="923"/>
      <c r="N307" s="1042"/>
      <c r="O307" s="1018"/>
      <c r="P307" s="987"/>
      <c r="Q307" s="1015"/>
      <c r="R307" s="1012"/>
      <c r="S307" s="1006"/>
      <c r="T307" s="1007"/>
      <c r="U307" s="878"/>
      <c r="V307" s="881"/>
      <c r="W307" s="884"/>
      <c r="X307" s="884"/>
      <c r="Y307" s="887"/>
      <c r="Z307" s="887"/>
      <c r="AA307" s="887"/>
      <c r="AB307" s="1081"/>
      <c r="AC307" s="1078"/>
      <c r="AD307" s="1070" t="str">
        <f t="shared" si="4522"/>
        <v>Wood Stud Framing</v>
      </c>
      <c r="AE307" s="1071"/>
      <c r="AF307" s="1052"/>
      <c r="AG307" s="1053"/>
      <c r="AH307" s="1053"/>
      <c r="AI307" s="1066"/>
      <c r="AJ307" s="1067"/>
      <c r="AK307" s="156" t="str">
        <f t="shared" ca="1" si="4947"/>
        <v/>
      </c>
      <c r="AL307" s="1059"/>
      <c r="AM307" s="344" t="str">
        <f ca="1">IFERROR(Q299/12*ROUND(VLOOKUP(AF307,OFFSET(WSM,0,1),6,FALSE),2),"")</f>
        <v/>
      </c>
      <c r="AN307" t="str">
        <f t="shared" ca="1" si="4971"/>
        <v/>
      </c>
      <c r="AP307" s="122" t="str">
        <f t="shared" ref="AP307" si="5247">_xlfn.CONCAT(AR307,AS310)</f>
        <v/>
      </c>
      <c r="AQ307" s="683" t="str">
        <f t="shared" si="5170"/>
        <v/>
      </c>
      <c r="AR307" s="4" t="str">
        <f t="shared" si="4931"/>
        <v/>
      </c>
      <c r="AS307" s="4"/>
      <c r="AT307" s="697" t="str">
        <f>AL305</f>
        <v/>
      </c>
      <c r="AU307" s="694" t="e">
        <f t="shared" ca="1" si="5187"/>
        <v>#REF!</v>
      </c>
      <c r="AV307" s="686" t="str">
        <f ca="1">IFERROR(VLOOKUP(AU307,INDIRECT(AQ299),2,FALSE),"----")</f>
        <v>----</v>
      </c>
      <c r="AW307" s="694" t="e">
        <f t="shared" ca="1" si="5188"/>
        <v>#REF!</v>
      </c>
      <c r="AX307" s="686" t="str">
        <f ca="1">IFERROR(VLOOKUP(AW307,INDIRECT(AQ300),2,FALSE),"----")</f>
        <v>----</v>
      </c>
      <c r="AY307" s="694" t="e">
        <f t="shared" ca="1" si="4949"/>
        <v>#REF!</v>
      </c>
      <c r="AZ307" s="686" t="str">
        <f ca="1">IFERROR(VLOOKUP(AY307,INDIRECT(AQ301),2,FALSE),"----")</f>
        <v>----</v>
      </c>
      <c r="BA307" s="694" t="e">
        <f t="shared" ca="1" si="4950"/>
        <v>#REF!</v>
      </c>
      <c r="BB307" s="686" t="str">
        <f ca="1">IFERROR(VLOOKUP(BA307,INDIRECT(AQ302),2,FALSE),"----")</f>
        <v>----</v>
      </c>
      <c r="BC307" s="694" t="e">
        <f t="shared" ca="1" si="5191"/>
        <v>#REF!</v>
      </c>
      <c r="BD307" s="686" t="str">
        <f ca="1">IFERROR(VLOOKUP(BC307,INDIRECT(AQ303),2,FALSE),"----")</f>
        <v>----</v>
      </c>
      <c r="BE307" s="694" t="e">
        <f t="shared" ca="1" si="5192"/>
        <v>#REF!</v>
      </c>
      <c r="BF307" s="686" t="str">
        <f ca="1">IFERROR(VLOOKUP(BE307,INDIRECT(AQ304),2,FALSE),"----")</f>
        <v>----</v>
      </c>
      <c r="BG307" s="702" t="e">
        <f t="shared" ca="1" si="5193"/>
        <v>#REF!</v>
      </c>
      <c r="BH307" s="686" t="str">
        <f ca="1">IFERROR(VLOOKUP(BG307,INDIRECT(AQ305),2,FALSE),"----")</f>
        <v>----</v>
      </c>
      <c r="BI307" s="702" t="e">
        <f t="shared" ca="1" si="5194"/>
        <v>#REF!</v>
      </c>
      <c r="BJ307" s="686" t="str">
        <f ca="1">IFERROR(VLOOKUP(BI307,INDIRECT(AQ306),2,FALSE),"----")</f>
        <v>----</v>
      </c>
      <c r="BK307" s="702" t="e">
        <f t="shared" ca="1" si="5195"/>
        <v>#REF!</v>
      </c>
      <c r="BL307" s="686" t="str">
        <f ca="1">IFERROR(VLOOKUP(BK307,INDIRECT(AQ307),2,FALSE),"----")</f>
        <v>----</v>
      </c>
      <c r="BM307" s="702" t="e">
        <f t="shared" ca="1" si="5196"/>
        <v>#REF!</v>
      </c>
      <c r="BN307" s="686" t="str">
        <f ca="1">IFERROR(VLOOKUP(BM307,INDIRECT(AQ308),2,FALSE),"----")</f>
        <v>----</v>
      </c>
      <c r="BO307" s="702" t="e">
        <f t="shared" ca="1" si="5197"/>
        <v>#REF!</v>
      </c>
      <c r="BP307" s="686" t="str">
        <f ca="1">IFERROR(VLOOKUP(BO307,INDIRECT(AQ309),2,FALSE),"----")</f>
        <v>----</v>
      </c>
      <c r="BQ307" s="702" t="e">
        <f t="shared" ca="1" si="5198"/>
        <v>#REF!</v>
      </c>
      <c r="BR307" s="686" t="str">
        <f ca="1">IFERROR(VLOOKUP(BQ307,INDIRECT(AQ310),2,FALSE),"----")</f>
        <v>----</v>
      </c>
      <c r="BS307" s="695">
        <f>IF(AI307="",1,IF(COUNTIF(BL299:BL310,AI307)=0,2,1))</f>
        <v>1</v>
      </c>
      <c r="BT307" s="696">
        <f>IF(AF307="",1,IF(BL299=".",2,1))</f>
        <v>1</v>
      </c>
      <c r="BU307" s="706"/>
      <c r="BV307" s="155">
        <f ca="1">IF(COUNTIF(DS299:DS310,AF307)=0,IF(AF307&lt;&gt;"",0,1),1)</f>
        <v>1</v>
      </c>
      <c r="BW307" s="157">
        <f ca="1">IFERROR(MATCH(AF307,DS299:DS310,0),1)</f>
        <v>1</v>
      </c>
      <c r="BX307" s="769" t="e">
        <f t="shared" ref="BX307" si="5248">5*E299^3*W299/(384*X299)</f>
        <v>#VALUE!</v>
      </c>
      <c r="BY307" s="769" t="e">
        <f t="shared" ref="BY307" si="5249">W299*E299^3/(60*X299)</f>
        <v>#VALUE!</v>
      </c>
      <c r="BZ307" s="1110"/>
      <c r="CA307" s="691" t="e">
        <f t="shared" ca="1" si="5105"/>
        <v>#REF!</v>
      </c>
      <c r="CB307" s="4" t="e" cm="1">
        <f t="array" aca="1" ref="CB307" ca="1">IF(AND(INDEX(INDIRECT(BY299),CA307,4)&gt;=$AB299,INDEX(INDIRECT(BY299),CA307,5)&gt;=$S299,INDEX(INDIRECT(BY299),CA307,6)&gt;=$R299),1,0)</f>
        <v>#REF!</v>
      </c>
      <c r="CC307" s="4" t="e">
        <f t="shared" ref="CC307" ca="1" si="5250">MATCH(1,OFFSET(CB299:CB310,CD306,0,COUNT(CB299:CB310)-CD306),0)</f>
        <v>#REF!</v>
      </c>
      <c r="CD307" s="4" t="e">
        <f t="shared" ca="1" si="5107"/>
        <v>#REF!</v>
      </c>
      <c r="CE307" s="692" t="str" cm="1">
        <f t="array" aca="1" ref="CE307" ca="1">IFERROR(VLOOKUP(INDEX(CA299:CA310,CD307),INDIRECT(BY299),2,FALSE),"----")</f>
        <v>----</v>
      </c>
      <c r="CF307" s="691" t="e">
        <f t="shared" ca="1" si="5108"/>
        <v>#N/A</v>
      </c>
      <c r="CG307" s="4" t="e">
        <f ca="1">IF(AND(INDEX(SSM,CF307,4)&gt;=$AB299,INDEX(SSM,CF307,5)&gt;=$S299,INDEX(SSM,CF307,6)&gt;=$R299),1,0)</f>
        <v>#N/A</v>
      </c>
      <c r="CH307" s="4" t="e">
        <f t="shared" ref="CH307" ca="1" si="5251">MATCH(1,OFFSET(CG299:CG310,CI306,0,COUNT(CG299:CG310)-CI306),0)</f>
        <v>#REF!</v>
      </c>
      <c r="CI307" s="4" t="e">
        <f t="shared" ca="1" si="5110"/>
        <v>#REF!</v>
      </c>
      <c r="CJ307" s="692" t="str">
        <f ca="1">IFERROR(IF(AD300="Nested Steel Stud (wood infill)",VLOOKUP(INDEX(CF299:CF310,CI307),SSW,2,FALSE),VLOOKUP(INDEX(CF299:CF310,CI307),SSM,2,FALSE)),"----")</f>
        <v>----</v>
      </c>
      <c r="CK307" s="691" t="e">
        <f t="shared" ca="1" si="5111"/>
        <v>#N/A</v>
      </c>
      <c r="CL307" s="4" t="e">
        <f ca="1">IF(AND(INDEX(WSM,CK307,4)&gt;=$AB299,INDEX(WSM,CK307,5)&gt;=$S299,INDEX(WSM,CK307,6)&gt;=$R299),1,0)</f>
        <v>#N/A</v>
      </c>
      <c r="CM307" s="4" t="e">
        <f t="shared" ref="CM307" ca="1" si="5252">MATCH(1,OFFSET(CL299:CL310,CN306,0,COUNT(CL299:CL310)-CN306),0)</f>
        <v>#REF!</v>
      </c>
      <c r="CN307" s="4" t="e">
        <f t="shared" ca="1" si="5113"/>
        <v>#REF!</v>
      </c>
      <c r="CO307" s="692" t="str">
        <f ca="1">IFERROR(VLOOKUP(INDEX(CK299:CK310,CN307),WSM,2,FALSE),"----")</f>
        <v>----</v>
      </c>
      <c r="CP307" s="691" t="e">
        <f t="shared" ca="1" si="5114"/>
        <v>#N/A</v>
      </c>
      <c r="CQ307" s="4" t="e">
        <f ca="1">IF(AND(INDEX(STM,CP307,4)&gt;=$AB299,INDEX(STM,CP307,5)&gt;=$S299,INDEX(STM,CP307,6)&gt;=$R299),1,0)</f>
        <v>#N/A</v>
      </c>
      <c r="CR307" s="4" t="e">
        <f t="shared" ref="CR307" ca="1" si="5253">MATCH(1,OFFSET(CQ299:CQ310,CS306,0,COUNT(CQ299:CQ310)-CS306),0)</f>
        <v>#REF!</v>
      </c>
      <c r="CS307" s="4" t="e">
        <f t="shared" ca="1" si="5116"/>
        <v>#REF!</v>
      </c>
      <c r="CT307" s="692" t="str">
        <f ca="1">IFERROR(VLOOKUP(INDEX(CP299:CP310,CS307),STM,2,FALSE),"----")</f>
        <v>----</v>
      </c>
      <c r="CU307" s="691" t="e">
        <f t="shared" ca="1" si="5117"/>
        <v>#N/A</v>
      </c>
      <c r="CV307" s="4" t="e">
        <f ca="1">IF(AND(INDEX(ELM,CU307,4)&gt;=$AB299,INDEX(ELM,CU307,5)&gt;=$S299,INDEX(ELM,CU307,6)&gt;=$R299),1,0)</f>
        <v>#N/A</v>
      </c>
      <c r="CW307" s="4" t="e">
        <f t="shared" ref="CW307" ca="1" si="5254">MATCH(1,OFFSET(CV299:CV310,CX306,0,COUNT(CV299:CV310)-CX306),0)</f>
        <v>#REF!</v>
      </c>
      <c r="CX307" s="4" t="e">
        <f t="shared" ca="1" si="5119"/>
        <v>#REF!</v>
      </c>
      <c r="CY307" s="692" t="str">
        <f ca="1">IFERROR(VLOOKUP(INDEX(CU299:CU310,CX307),ELM,2,FALSE),"----")</f>
        <v>----</v>
      </c>
      <c r="CZ307" s="691" t="e">
        <f t="shared" ca="1" si="5120"/>
        <v>#N/A</v>
      </c>
      <c r="DA307" s="4" t="e">
        <f ca="1">IF(LEFT($J299,7)="Clad Wo",IF(AND(INDEX(SPPWS,CZ307,4)&gt;=$AB299,INDEX(SPPWS,CZ307,5)&gt;=$S299,INDEX(SPPWS,CZ307,6)&gt;=$R299),1,0),IF(AND(INDEX(SPM,CZ307,4)&gt;=$AB299,INDEX(SPM,CZ307,5)&gt;=$S299,INDEX(SPM,CZ307,6)&gt;=$R299),1,0))</f>
        <v>#N/A</v>
      </c>
      <c r="DB307" s="4" t="e">
        <f t="shared" ref="DB307" ca="1" si="5255">MATCH(1,OFFSET(DA299:DA310,DC306,0,COUNT(DA299:DA310)-DC306),0)</f>
        <v>#REF!</v>
      </c>
      <c r="DC307" s="4" t="e">
        <f t="shared" ca="1" si="5122"/>
        <v>#REF!</v>
      </c>
      <c r="DD307" s="693" t="str">
        <f ca="1">IF(LEFT($J299,7)="Clad Wo",IFERROR(VLOOKUP(INDEX(CZ299:CZ310,DC307),SPPWS,2,FALSE),"----"),IFERROR(VLOOKUP(INDEX(CZ299:CZ310,DC307),SPM,2,FALSE),"----"))</f>
        <v>----</v>
      </c>
      <c r="DE307" s="691" t="e">
        <f t="shared" ca="1" si="5123"/>
        <v>#REF!</v>
      </c>
      <c r="DF307" s="4" t="e" cm="1">
        <f t="array" aca="1" ref="DF307" ca="1">IF(AND(INDEX(INDIRECT(BY299),DE307,4)&gt;=$AB305,INDEX(INDIRECT(BY299),DE307,5)&gt;=$S299,INDEX(INDIRECT(BY299),DE307,6)&gt;=$R299),1,0)</f>
        <v>#REF!</v>
      </c>
      <c r="DG307" s="4" t="e">
        <f t="shared" ref="DG307" ca="1" si="5256">MATCH(1,OFFSET(DF299:DF310,DH306,0,COUNT(DF299:DF310)-DH306),0)</f>
        <v>#REF!</v>
      </c>
      <c r="DH307" s="4" t="e">
        <f t="shared" ca="1" si="5125"/>
        <v>#REF!</v>
      </c>
      <c r="DI307" s="692" t="str" cm="1">
        <f t="array" aca="1" ref="DI307" ca="1">IFERROR(VLOOKUP(INDEX(DE299:DE310,DH307),INDIRECT(BY299),2,FALSE),"----")</f>
        <v>----</v>
      </c>
      <c r="DJ307" s="691" t="e">
        <f t="shared" ca="1" si="5126"/>
        <v>#N/A</v>
      </c>
      <c r="DK307" s="4" t="e">
        <f ca="1">IF(AND(INDEX(SSM,DJ307,4)&gt;=$AB305,INDEX(SSM,DJ307,5)&gt;=$S299,INDEX(SSM,DJ307,6)&gt;=$R299),1,0)</f>
        <v>#N/A</v>
      </c>
      <c r="DL307" s="4" t="e">
        <f t="shared" ref="DL307" ca="1" si="5257">MATCH(1,OFFSET(DK299:DK310,DM306,0,COUNT(DK299:DK310)-DM306),0)</f>
        <v>#REF!</v>
      </c>
      <c r="DM307" s="4" t="e">
        <f t="shared" ca="1" si="5128"/>
        <v>#REF!</v>
      </c>
      <c r="DN307" s="692" t="str">
        <f ca="1">IFERROR(IF(AD306="Nested Steel Stud (wood infill)",VLOOKUP(INDEX(DJ299:DJ310,DM307),SSW,2,FALSE),VLOOKUP(INDEX(DJ299:DJ310,DM307),SSM,2,FALSE)),"----")</f>
        <v>----</v>
      </c>
      <c r="DO307" s="691" t="e">
        <f t="shared" ca="1" si="5129"/>
        <v>#N/A</v>
      </c>
      <c r="DP307" s="4" t="e">
        <f ca="1">IF(AND(INDEX(WSM,DO307,4)&gt;=$AB305,INDEX(WSM,DO307,5)&gt;=$S299,INDEX(WSM,DO307,6)&gt;=$R299),1,0)</f>
        <v>#N/A</v>
      </c>
      <c r="DQ307" s="4" t="e">
        <f t="shared" ref="DQ307" ca="1" si="5258">MATCH(1,OFFSET(DP299:DP310,DR306,0,COUNT(DP299:DP310)-DR306),0)</f>
        <v>#REF!</v>
      </c>
      <c r="DR307" s="4" t="e">
        <f t="shared" ca="1" si="5131"/>
        <v>#REF!</v>
      </c>
      <c r="DS307" s="692" t="str">
        <f ca="1">IFERROR(VLOOKUP(INDEX(DO299:DO310,DR307),WSM,2,FALSE),"----")</f>
        <v>----</v>
      </c>
      <c r="DT307" s="691" t="e">
        <f t="shared" ca="1" si="5132"/>
        <v>#N/A</v>
      </c>
      <c r="DU307" s="4" t="e">
        <f ca="1">IF(AND(INDEX(STM,DT307,4)&gt;=$AB305,INDEX(STM,DT307,5)&gt;=$S299,INDEX(STM,DT307,6)&gt;=$R299),1,0)</f>
        <v>#N/A</v>
      </c>
      <c r="DV307" s="4" t="e">
        <f t="shared" ref="DV307" ca="1" si="5259">MATCH(1,OFFSET(DU299:DU310,DW306,0,COUNT(DU299:DU310)-DW306),0)</f>
        <v>#REF!</v>
      </c>
      <c r="DW307" s="4" t="e">
        <f t="shared" ca="1" si="5134"/>
        <v>#REF!</v>
      </c>
      <c r="DX307" s="692" t="str">
        <f ca="1">IFERROR(VLOOKUP(INDEX(DT299:DT310,DW307),STM,2,FALSE),"----")</f>
        <v>----</v>
      </c>
      <c r="DY307" s="691" t="e">
        <f t="shared" ca="1" si="5135"/>
        <v>#N/A</v>
      </c>
      <c r="DZ307" s="4" t="e">
        <f ca="1">IF(AND(INDEX(ELM,DY307,4)&gt;=$AB305,INDEX(ELM,DY307,5)&gt;=$S299,INDEX(ELM,DY307,6)&gt;=$R299),1,0)</f>
        <v>#N/A</v>
      </c>
      <c r="EA307" s="4" t="e">
        <f t="shared" ref="EA307" ca="1" si="5260">MATCH(1,OFFSET(DZ299:DZ310,EB306,0,COUNT(DZ299:DZ310)-EB306),0)</f>
        <v>#REF!</v>
      </c>
      <c r="EB307" s="4" t="e">
        <f t="shared" ca="1" si="5137"/>
        <v>#REF!</v>
      </c>
      <c r="EC307" s="692" t="str">
        <f ca="1">IFERROR(VLOOKUP(INDEX(DY299:DY310,EB307),ELM,2,FALSE),"----")</f>
        <v>----</v>
      </c>
      <c r="ED307" s="691" t="e">
        <f t="shared" ca="1" si="5138"/>
        <v>#N/A</v>
      </c>
      <c r="EE307" s="4" t="e">
        <f ca="1">IF(LEFT($J299,7)="Clad Wo",IF(AND(INDEX(SPPWS,ED307,4)&gt;=$AB305,INDEX(SPPWS,ED307,5)&gt;=$S299,INDEX(SPPWS,ED307,6)&gt;=$R299),1,0),IF(AND(INDEX(SPM,ED307,4)&gt;=$AB305,INDEX(SPM,ED307,5)&gt;=$S299,INDEX(SPM,ED307,6)&gt;=$R299),1,0))</f>
        <v>#N/A</v>
      </c>
      <c r="EF307" s="4" t="e">
        <f t="shared" ref="EF307" ca="1" si="5261">MATCH(1,OFFSET(EE299:EE310,EG306,0,COUNT(EE299:EE310)-EG306),0)</f>
        <v>#REF!</v>
      </c>
      <c r="EG307" s="4" t="e">
        <f t="shared" ca="1" si="5140"/>
        <v>#REF!</v>
      </c>
      <c r="EH307" s="692" t="str">
        <f ca="1">IF(LEFT($J299,7)="Clad Wo",IFERROR(VLOOKUP(INDEX(ED299:ED310,EG307),SPPWS,2,FALSE),"----"),IFERROR(VLOOKUP(INDEX(ED299:ED310,EG307),SPM,2,FALSE),"----"))</f>
        <v>----</v>
      </c>
    </row>
    <row r="308" spans="1:138" ht="15" customHeight="1" x14ac:dyDescent="0.25">
      <c r="A308" s="1085"/>
      <c r="B308" s="925"/>
      <c r="C308" s="926"/>
      <c r="D308" s="927"/>
      <c r="E308" s="995"/>
      <c r="F308" s="996"/>
      <c r="G308" s="997"/>
      <c r="H308" s="1062"/>
      <c r="I308" s="990"/>
      <c r="J308" s="902"/>
      <c r="K308" s="903"/>
      <c r="L308" s="1002"/>
      <c r="M308" s="923"/>
      <c r="N308" s="1042"/>
      <c r="O308" s="1018"/>
      <c r="P308" s="987"/>
      <c r="Q308" s="1015"/>
      <c r="R308" s="1012"/>
      <c r="S308" s="1006"/>
      <c r="T308" s="1007"/>
      <c r="U308" s="878"/>
      <c r="V308" s="881"/>
      <c r="W308" s="884"/>
      <c r="X308" s="884"/>
      <c r="Y308" s="887"/>
      <c r="Z308" s="887"/>
      <c r="AA308" s="887"/>
      <c r="AB308" s="1081"/>
      <c r="AC308" s="1078"/>
      <c r="AD308" s="1070" t="str">
        <f t="shared" si="4522"/>
        <v>Steel Tube</v>
      </c>
      <c r="AE308" s="1071"/>
      <c r="AF308" s="1052"/>
      <c r="AG308" s="1053"/>
      <c r="AH308" s="1053"/>
      <c r="AI308" s="1066"/>
      <c r="AJ308" s="1067"/>
      <c r="AK308" s="156" t="str">
        <f t="shared" ca="1" si="4947"/>
        <v/>
      </c>
      <c r="AL308" s="1059"/>
      <c r="AM308" s="343" t="str">
        <f ca="1">IFERROR(Q299/12*ROUND(VLOOKUP(AF308,OFFSET(STM,0,1),6,FALSE),2),"")</f>
        <v/>
      </c>
      <c r="AN308" t="str">
        <f t="shared" ca="1" si="4971"/>
        <v/>
      </c>
      <c r="AP308" s="122" t="str">
        <f t="shared" ref="AP308" si="5262">_xlfn.CONCAT(AR308,AS310)</f>
        <v/>
      </c>
      <c r="AQ308" s="683" t="str">
        <f t="shared" si="5170"/>
        <v/>
      </c>
      <c r="AR308" s="4" t="str">
        <f t="shared" si="4931"/>
        <v/>
      </c>
      <c r="AS308" s="4"/>
      <c r="AT308" s="697" t="str">
        <f>AL305</f>
        <v/>
      </c>
      <c r="AU308" s="694" t="e">
        <f t="shared" ca="1" si="5187"/>
        <v>#REF!</v>
      </c>
      <c r="AV308" s="686" t="str">
        <f ca="1">IFERROR(VLOOKUP(AU308,INDIRECT(AQ299),2,FALSE),"----")</f>
        <v>----</v>
      </c>
      <c r="AW308" s="694" t="e">
        <f t="shared" ca="1" si="5188"/>
        <v>#REF!</v>
      </c>
      <c r="AX308" s="686" t="str">
        <f ca="1">IFERROR(VLOOKUP(AW308,INDIRECT(AQ300),2,FALSE),"----")</f>
        <v>----</v>
      </c>
      <c r="AY308" s="694" t="e">
        <f t="shared" ca="1" si="4775"/>
        <v>#REF!</v>
      </c>
      <c r="AZ308" s="686" t="str">
        <f ca="1">IFERROR(VLOOKUP(AY308,INDIRECT(AQ301),2,FALSE),"----")</f>
        <v>----</v>
      </c>
      <c r="BA308" s="694" t="e">
        <f t="shared" ca="1" si="4776"/>
        <v>#REF!</v>
      </c>
      <c r="BB308" s="686" t="str">
        <f ca="1">IFERROR(VLOOKUP(BA308,INDIRECT(AQ302),2,FALSE),"----")</f>
        <v>----</v>
      </c>
      <c r="BC308" s="694" t="e">
        <f t="shared" ca="1" si="5191"/>
        <v>#REF!</v>
      </c>
      <c r="BD308" s="686" t="str">
        <f ca="1">IFERROR(VLOOKUP(BC308,INDIRECT(AQ303),2,FALSE),"----")</f>
        <v>----</v>
      </c>
      <c r="BE308" s="694" t="e">
        <f t="shared" ca="1" si="5192"/>
        <v>#REF!</v>
      </c>
      <c r="BF308" s="686" t="str">
        <f ca="1">IFERROR(VLOOKUP(BE308,INDIRECT(AQ304),2,FALSE),"----")</f>
        <v>----</v>
      </c>
      <c r="BG308" s="702" t="e">
        <f t="shared" ca="1" si="5193"/>
        <v>#REF!</v>
      </c>
      <c r="BH308" s="686" t="str">
        <f ca="1">IFERROR(VLOOKUP(BG308,INDIRECT(AQ305),2,FALSE),"----")</f>
        <v>----</v>
      </c>
      <c r="BI308" s="702" t="e">
        <f t="shared" ca="1" si="5194"/>
        <v>#REF!</v>
      </c>
      <c r="BJ308" s="686" t="str">
        <f ca="1">IFERROR(VLOOKUP(BI308,INDIRECT(AQ306),2,FALSE),"----")</f>
        <v>----</v>
      </c>
      <c r="BK308" s="702" t="e">
        <f t="shared" ca="1" si="5195"/>
        <v>#REF!</v>
      </c>
      <c r="BL308" s="686" t="str">
        <f ca="1">IFERROR(VLOOKUP(BK308,INDIRECT(AQ307),2,FALSE),"----")</f>
        <v>----</v>
      </c>
      <c r="BM308" s="702" t="e">
        <f t="shared" ca="1" si="5196"/>
        <v>#REF!</v>
      </c>
      <c r="BN308" s="686" t="str">
        <f ca="1">IFERROR(VLOOKUP(BM308,INDIRECT(AQ308),2,FALSE),"----")</f>
        <v>----</v>
      </c>
      <c r="BO308" s="702" t="e">
        <f t="shared" ca="1" si="5197"/>
        <v>#REF!</v>
      </c>
      <c r="BP308" s="686" t="str">
        <f ca="1">IFERROR(VLOOKUP(BO308,INDIRECT(AQ309),2,FALSE),"----")</f>
        <v>----</v>
      </c>
      <c r="BQ308" s="702" t="e">
        <f t="shared" ca="1" si="5198"/>
        <v>#REF!</v>
      </c>
      <c r="BR308" s="686" t="str">
        <f ca="1">IFERROR(VLOOKUP(BQ308,INDIRECT(AQ310),2,FALSE),"----")</f>
        <v>----</v>
      </c>
      <c r="BS308" s="695">
        <f>IF(AI308="",1,IF(COUNTIF(BN299:BN310,AI308)=0,2,1))</f>
        <v>1</v>
      </c>
      <c r="BT308" s="696">
        <f>IF(AF308="",1,IF(BN299=".",2,1))</f>
        <v>1</v>
      </c>
      <c r="BU308" s="706"/>
      <c r="BV308" s="155">
        <f ca="1">IF(COUNTIF(DX299:DX310,AF308)=0,IF(AF308&lt;&gt;"",0,1),1)</f>
        <v>1</v>
      </c>
      <c r="BW308" s="157">
        <f ca="1">IFERROR(MATCH(AF308,DX299:DX310,0),1)</f>
        <v>1</v>
      </c>
      <c r="BX308" s="769" t="e">
        <f t="shared" ref="BX308" si="5263">5*E299^3*W305/(384*X299)</f>
        <v>#VALUE!</v>
      </c>
      <c r="BY308" s="769" t="e">
        <f t="shared" ref="BY308" si="5264">E299^3*W305/(60*X299)</f>
        <v>#VALUE!</v>
      </c>
      <c r="BZ308" s="1110"/>
      <c r="CA308" s="691" t="e">
        <f t="shared" ca="1" si="5105"/>
        <v>#REF!</v>
      </c>
      <c r="CB308" s="4" t="e" cm="1">
        <f t="array" aca="1" ref="CB308" ca="1">IF(AND(INDEX(INDIRECT(BY299),CA308,4)&gt;=$AB299,INDEX(INDIRECT(BY299),CA308,5)&gt;=$S299,INDEX(INDIRECT(BY299),CA308,6)&gt;=$R299),1,0)</f>
        <v>#REF!</v>
      </c>
      <c r="CC308" s="4" t="e">
        <f t="shared" ref="CC308" ca="1" si="5265">MATCH(1,OFFSET(CB299:CB310,CD307,0,COUNT(CB299:CB310)-CD307),0)</f>
        <v>#REF!</v>
      </c>
      <c r="CD308" s="4" t="e">
        <f t="shared" ca="1" si="5107"/>
        <v>#REF!</v>
      </c>
      <c r="CE308" s="692" t="str" cm="1">
        <f t="array" aca="1" ref="CE308" ca="1">IFERROR(VLOOKUP(INDEX(CA299:CA310,CD308),INDIRECT(BY299),2,FALSE),"----")</f>
        <v>----</v>
      </c>
      <c r="CF308" s="691" t="e">
        <f t="shared" ca="1" si="5108"/>
        <v>#N/A</v>
      </c>
      <c r="CG308" s="4" t="e">
        <f ca="1">IF(AND(INDEX(SSM,CF308,4)&gt;=$AB299,INDEX(SSM,CF308,5)&gt;=$S299,INDEX(SSM,CF308,6)&gt;=$R299),1,0)</f>
        <v>#N/A</v>
      </c>
      <c r="CH308" s="4" t="e">
        <f t="shared" ref="CH308" ca="1" si="5266">MATCH(1,OFFSET(CG299:CG310,CI307,0,COUNT(CG299:CG310)-CI307),0)</f>
        <v>#REF!</v>
      </c>
      <c r="CI308" s="4" t="e">
        <f t="shared" ca="1" si="5110"/>
        <v>#REF!</v>
      </c>
      <c r="CJ308" s="692" t="str">
        <f ca="1">IFERROR(IF(AD300="Nested Steel Stud (wood infill)",VLOOKUP(INDEX(CF299:CF310,CI308),SSW,2,FALSE),VLOOKUP(INDEX(CF299:CF310,CI308),SSM,2,FALSE)),"----")</f>
        <v>----</v>
      </c>
      <c r="CK308" s="691" t="e">
        <f t="shared" ca="1" si="5111"/>
        <v>#N/A</v>
      </c>
      <c r="CL308" s="4" t="e">
        <f ca="1">IF(AND(INDEX(WSM,CK308,4)&gt;=$AB299,INDEX(WSM,CK308,5)&gt;=$S299,INDEX(WSM,CK308,6)&gt;=$R299),1,0)</f>
        <v>#N/A</v>
      </c>
      <c r="CM308" s="4" t="e">
        <f t="shared" ref="CM308" ca="1" si="5267">MATCH(1,OFFSET(CL299:CL310,CN307,0,COUNT(CL299:CL310)-CN307),0)</f>
        <v>#REF!</v>
      </c>
      <c r="CN308" s="4" t="e">
        <f t="shared" ca="1" si="5113"/>
        <v>#REF!</v>
      </c>
      <c r="CO308" s="692" t="str">
        <f ca="1">IFERROR(VLOOKUP(INDEX(CK299:CK310,CN308),WSM,2,FALSE),"----")</f>
        <v>----</v>
      </c>
      <c r="CP308" s="691" t="e">
        <f t="shared" ca="1" si="5114"/>
        <v>#N/A</v>
      </c>
      <c r="CQ308" s="4" t="e">
        <f ca="1">IF(AND(INDEX(STM,CP308,4)&gt;=$AB299,INDEX(STM,CP308,5)&gt;=$S299,INDEX(STM,CP308,6)&gt;=$R299),1,0)</f>
        <v>#N/A</v>
      </c>
      <c r="CR308" s="4" t="e">
        <f t="shared" ref="CR308" ca="1" si="5268">MATCH(1,OFFSET(CQ299:CQ310,CS307,0,COUNT(CQ299:CQ310)-CS307),0)</f>
        <v>#REF!</v>
      </c>
      <c r="CS308" s="4" t="e">
        <f t="shared" ca="1" si="5116"/>
        <v>#REF!</v>
      </c>
      <c r="CT308" s="692" t="str">
        <f ca="1">IFERROR(VLOOKUP(INDEX(CP299:CP310,CS308),STM,2,FALSE),"----")</f>
        <v>----</v>
      </c>
      <c r="CU308" s="691" t="e">
        <f t="shared" ca="1" si="5117"/>
        <v>#N/A</v>
      </c>
      <c r="CV308" s="4" t="e">
        <f ca="1">IF(AND(INDEX(ELM,CU308,4)&gt;=$AB299,INDEX(ELM,CU308,5)&gt;=$S299,INDEX(ELM,CU308,6)&gt;=$R299),1,0)</f>
        <v>#N/A</v>
      </c>
      <c r="CW308" s="4" t="e">
        <f t="shared" ref="CW308" ca="1" si="5269">MATCH(1,OFFSET(CV299:CV310,CX307,0,COUNT(CV299:CV310)-CX307),0)</f>
        <v>#REF!</v>
      </c>
      <c r="CX308" s="4" t="e">
        <f t="shared" ca="1" si="5119"/>
        <v>#REF!</v>
      </c>
      <c r="CY308" s="692" t="str">
        <f ca="1">IFERROR(VLOOKUP(INDEX(CU299:CU310,CX308),ELM,2,FALSE),"----")</f>
        <v>----</v>
      </c>
      <c r="CZ308" s="691" t="e">
        <f t="shared" ca="1" si="5120"/>
        <v>#N/A</v>
      </c>
      <c r="DA308" s="4" t="e">
        <f ca="1">IF(LEFT($J299,7)="Clad Wo",IF(AND(INDEX(SPPWS,CZ308,4)&gt;=$AB299,INDEX(SPPWS,CZ308,5)&gt;=$S299,INDEX(SPPWS,CZ308,6)&gt;=$R299),1,0),IF(AND(INDEX(SPM,CZ308,4)&gt;=$AB299,INDEX(SPM,CZ308,5)&gt;=$S299,INDEX(SPM,CZ308,6)&gt;=$R299),1,0))</f>
        <v>#N/A</v>
      </c>
      <c r="DB308" s="4" t="e">
        <f t="shared" ref="DB308" ca="1" si="5270">MATCH(1,OFFSET(DA299:DA310,DC307,0,COUNT(DA299:DA310)-DC307),0)</f>
        <v>#REF!</v>
      </c>
      <c r="DC308" s="4" t="e">
        <f t="shared" ca="1" si="5122"/>
        <v>#REF!</v>
      </c>
      <c r="DD308" s="693" t="str">
        <f ca="1">IF(LEFT($J299,7)="Clad Wo",IFERROR(VLOOKUP(INDEX(CZ299:CZ310,DC308),SPPWS,2,FALSE),"----"),IFERROR(VLOOKUP(INDEX(CZ299:CZ310,DC308),SPM,2,FALSE),"----"))</f>
        <v>----</v>
      </c>
      <c r="DE308" s="691" t="e">
        <f t="shared" ca="1" si="5123"/>
        <v>#REF!</v>
      </c>
      <c r="DF308" s="4" t="e" cm="1">
        <f t="array" aca="1" ref="DF308" ca="1">IF(AND(INDEX(INDIRECT(BY299),DE308,4)&gt;=$AB305,INDEX(INDIRECT(BY299),DE308,5)&gt;=$S299,INDEX(INDIRECT(BY299),DE308,6)&gt;=$R299),1,0)</f>
        <v>#REF!</v>
      </c>
      <c r="DG308" s="4" t="e">
        <f t="shared" ref="DG308" ca="1" si="5271">MATCH(1,OFFSET(DF299:DF310,DH307,0,COUNT(DF299:DF310)-DH307),0)</f>
        <v>#REF!</v>
      </c>
      <c r="DH308" s="4" t="e">
        <f t="shared" ca="1" si="5125"/>
        <v>#REF!</v>
      </c>
      <c r="DI308" s="692" t="str" cm="1">
        <f t="array" aca="1" ref="DI308" ca="1">IFERROR(VLOOKUP(INDEX(DE299:DE310,DH308),INDIRECT(BY299),2,FALSE),"----")</f>
        <v>----</v>
      </c>
      <c r="DJ308" s="691" t="e">
        <f t="shared" ca="1" si="5126"/>
        <v>#N/A</v>
      </c>
      <c r="DK308" s="4" t="e">
        <f ca="1">IF(AND(INDEX(SSM,DJ308,4)&gt;=$AB305,INDEX(SSM,DJ308,5)&gt;=$S299,INDEX(SSM,DJ308,6)&gt;=$R299),1,0)</f>
        <v>#N/A</v>
      </c>
      <c r="DL308" s="4" t="e">
        <f t="shared" ref="DL308" ca="1" si="5272">MATCH(1,OFFSET(DK299:DK310,DM307,0,COUNT(DK299:DK310)-DM307),0)</f>
        <v>#REF!</v>
      </c>
      <c r="DM308" s="4" t="e">
        <f t="shared" ca="1" si="5128"/>
        <v>#REF!</v>
      </c>
      <c r="DN308" s="692" t="str">
        <f ca="1">IFERROR(IF(AD306="Nested Steel Stud (wood infill)",VLOOKUP(INDEX(DJ299:DJ310,DM308),SSW,2,FALSE),VLOOKUP(INDEX(DJ299:DJ310,DM308),SSM,2,FALSE)),"----")</f>
        <v>----</v>
      </c>
      <c r="DO308" s="691" t="e">
        <f t="shared" ca="1" si="5129"/>
        <v>#N/A</v>
      </c>
      <c r="DP308" s="4" t="e">
        <f ca="1">IF(AND(INDEX(WSM,DO308,4)&gt;=$AB305,INDEX(WSM,DO308,5)&gt;=$S299,INDEX(WSM,DO308,6)&gt;=$R299),1,0)</f>
        <v>#N/A</v>
      </c>
      <c r="DQ308" s="4" t="e">
        <f t="shared" ref="DQ308" ca="1" si="5273">MATCH(1,OFFSET(DP299:DP310,DR307,0,COUNT(DP299:DP310)-DR307),0)</f>
        <v>#REF!</v>
      </c>
      <c r="DR308" s="4" t="e">
        <f t="shared" ca="1" si="5131"/>
        <v>#REF!</v>
      </c>
      <c r="DS308" s="692" t="str">
        <f ca="1">IFERROR(VLOOKUP(INDEX(DO299:DO310,DR308),WSM,2,FALSE),"----")</f>
        <v>----</v>
      </c>
      <c r="DT308" s="691" t="e">
        <f t="shared" ca="1" si="5132"/>
        <v>#N/A</v>
      </c>
      <c r="DU308" s="4" t="e">
        <f ca="1">IF(AND(INDEX(STM,DT308,4)&gt;=$AB305,INDEX(STM,DT308,5)&gt;=$S299,INDEX(STM,DT308,6)&gt;=$R299),1,0)</f>
        <v>#N/A</v>
      </c>
      <c r="DV308" s="4" t="e">
        <f t="shared" ref="DV308" ca="1" si="5274">MATCH(1,OFFSET(DU299:DU310,DW307,0,COUNT(DU299:DU310)-DW307),0)</f>
        <v>#REF!</v>
      </c>
      <c r="DW308" s="4" t="e">
        <f t="shared" ca="1" si="5134"/>
        <v>#REF!</v>
      </c>
      <c r="DX308" s="692" t="str">
        <f ca="1">IFERROR(VLOOKUP(INDEX(DT299:DT310,DW308),STM,2,FALSE),"----")</f>
        <v>----</v>
      </c>
      <c r="DY308" s="691" t="e">
        <f t="shared" ca="1" si="5135"/>
        <v>#N/A</v>
      </c>
      <c r="DZ308" s="4" t="e">
        <f ca="1">IF(AND(INDEX(ELM,DY308,4)&gt;=$AB305,INDEX(ELM,DY308,5)&gt;=$S299,INDEX(ELM,DY308,6)&gt;=$R299),1,0)</f>
        <v>#N/A</v>
      </c>
      <c r="EA308" s="4" t="e">
        <f t="shared" ref="EA308" ca="1" si="5275">MATCH(1,OFFSET(DZ299:DZ310,EB307,0,COUNT(DZ299:DZ310)-EB307),0)</f>
        <v>#REF!</v>
      </c>
      <c r="EB308" s="4" t="e">
        <f t="shared" ca="1" si="5137"/>
        <v>#REF!</v>
      </c>
      <c r="EC308" s="692" t="str">
        <f ca="1">IFERROR(VLOOKUP(INDEX(DY299:DY310,EB308),ELM,2,FALSE),"----")</f>
        <v>----</v>
      </c>
      <c r="ED308" s="691" t="e">
        <f t="shared" ca="1" si="5138"/>
        <v>#N/A</v>
      </c>
      <c r="EE308" s="4" t="e">
        <f ca="1">IF(LEFT($J299,7)="Clad Wo",IF(AND(INDEX(SPPWS,ED308,4)&gt;=$AB305,INDEX(SPPWS,ED308,5)&gt;=$S299,INDEX(SPPWS,ED308,6)&gt;=$R299),1,0),IF(AND(INDEX(SPM,ED308,4)&gt;=$AB305,INDEX(SPM,ED308,5)&gt;=$S299,INDEX(SPM,ED308,6)&gt;=$R299),1,0))</f>
        <v>#N/A</v>
      </c>
      <c r="EF308" s="4" t="e">
        <f t="shared" ref="EF308" ca="1" si="5276">MATCH(1,OFFSET(EE299:EE310,EG307,0,COUNT(EE299:EE310)-EG307),0)</f>
        <v>#REF!</v>
      </c>
      <c r="EG308" s="4" t="e">
        <f t="shared" ca="1" si="5140"/>
        <v>#REF!</v>
      </c>
      <c r="EH308" s="692" t="str">
        <f ca="1">IF(LEFT($J299,7)="Clad Wo",IFERROR(VLOOKUP(INDEX(ED299:ED310,EG308),SPPWS,2,FALSE),"----"),IFERROR(VLOOKUP(INDEX(ED299:ED310,EG308),SPM,2,FALSE),"----"))</f>
        <v>----</v>
      </c>
    </row>
    <row r="309" spans="1:138" ht="15" customHeight="1" x14ac:dyDescent="0.25">
      <c r="A309" s="1085"/>
      <c r="B309" s="925"/>
      <c r="C309" s="926"/>
      <c r="D309" s="927"/>
      <c r="E309" s="995"/>
      <c r="F309" s="996"/>
      <c r="G309" s="997"/>
      <c r="H309" s="1062"/>
      <c r="I309" s="990"/>
      <c r="J309" s="902"/>
      <c r="K309" s="903"/>
      <c r="L309" s="1002"/>
      <c r="M309" s="923"/>
      <c r="N309" s="1042"/>
      <c r="O309" s="1018"/>
      <c r="P309" s="987"/>
      <c r="Q309" s="1015"/>
      <c r="R309" s="1012"/>
      <c r="S309" s="1006"/>
      <c r="T309" s="1007"/>
      <c r="U309" s="878"/>
      <c r="V309" s="881"/>
      <c r="W309" s="884"/>
      <c r="X309" s="884"/>
      <c r="Y309" s="887"/>
      <c r="Z309" s="887"/>
      <c r="AA309" s="887"/>
      <c r="AB309" s="1081"/>
      <c r="AC309" s="1078"/>
      <c r="AD309" s="1070" t="str">
        <f t="shared" si="4522"/>
        <v>Engineered Lumber</v>
      </c>
      <c r="AE309" s="1071"/>
      <c r="AF309" s="1052"/>
      <c r="AG309" s="1053"/>
      <c r="AH309" s="1053"/>
      <c r="AI309" s="1068"/>
      <c r="AJ309" s="1069"/>
      <c r="AK309" s="154" t="str">
        <f t="shared" ca="1" si="4947"/>
        <v/>
      </c>
      <c r="AL309" s="1059"/>
      <c r="AM309" s="344" t="str">
        <f ca="1">IFERROR(Q299/12*ROUND(VLOOKUP(AF309,OFFSET(ELM,0,1),6,FALSE),2),"")</f>
        <v/>
      </c>
      <c r="AN309" t="str">
        <f t="shared" ca="1" si="4971"/>
        <v/>
      </c>
      <c r="AP309" s="122" t="str">
        <f t="shared" ref="AP309" si="5277">_xlfn.CONCAT(AR309,AS310)</f>
        <v/>
      </c>
      <c r="AQ309" s="683" t="str">
        <f t="shared" si="5170"/>
        <v/>
      </c>
      <c r="AR309" s="4" t="str">
        <f t="shared" si="4931"/>
        <v/>
      </c>
      <c r="AS309" s="4"/>
      <c r="AT309" s="697" t="str">
        <f>AL305</f>
        <v/>
      </c>
      <c r="AU309" s="694" t="e">
        <f t="shared" ca="1" si="5187"/>
        <v>#REF!</v>
      </c>
      <c r="AV309" s="698" t="str">
        <f ca="1">IFERROR(VLOOKUP(AU309,INDIRECT(AQ299),2,FALSE),"----")</f>
        <v>----</v>
      </c>
      <c r="AW309" s="694" t="e">
        <f t="shared" ca="1" si="5188"/>
        <v>#REF!</v>
      </c>
      <c r="AX309" s="698" t="str">
        <f ca="1">IFERROR(VLOOKUP(AW309,INDIRECT(AQ300),2,FALSE),"----")</f>
        <v>----</v>
      </c>
      <c r="AY309" s="694" t="e">
        <f t="shared" ca="1" si="4775"/>
        <v>#REF!</v>
      </c>
      <c r="AZ309" s="698" t="str">
        <f ca="1">IFERROR(VLOOKUP(AY309,INDIRECT(AQ301),2,FALSE),"----")</f>
        <v>----</v>
      </c>
      <c r="BA309" s="694" t="e">
        <f t="shared" ca="1" si="4776"/>
        <v>#REF!</v>
      </c>
      <c r="BB309" s="698" t="str">
        <f ca="1">IFERROR(VLOOKUP(BA309,INDIRECT(AQ302),2,FALSE),"----")</f>
        <v>----</v>
      </c>
      <c r="BC309" s="694" t="e">
        <f t="shared" ca="1" si="5191"/>
        <v>#REF!</v>
      </c>
      <c r="BD309" s="698" t="str">
        <f ca="1">IFERROR(VLOOKUP(BC309,INDIRECT(AQ303),2,FALSE),"----")</f>
        <v>----</v>
      </c>
      <c r="BE309" s="694" t="e">
        <f t="shared" ca="1" si="5192"/>
        <v>#REF!</v>
      </c>
      <c r="BF309" s="698" t="str">
        <f ca="1">IFERROR(VLOOKUP(BE309,INDIRECT(AQ304),2,FALSE),"----")</f>
        <v>----</v>
      </c>
      <c r="BG309" s="702" t="e">
        <f t="shared" ca="1" si="5193"/>
        <v>#REF!</v>
      </c>
      <c r="BH309" s="686" t="str">
        <f ca="1">IFERROR(VLOOKUP(BG309,INDIRECT(AQ305),2,FALSE),"----")</f>
        <v>----</v>
      </c>
      <c r="BI309" s="702" t="e">
        <f t="shared" ca="1" si="5194"/>
        <v>#REF!</v>
      </c>
      <c r="BJ309" s="686" t="str">
        <f ca="1">IFERROR(VLOOKUP(BI309,INDIRECT(AQ306),2,FALSE),"----")</f>
        <v>----</v>
      </c>
      <c r="BK309" s="702" t="e">
        <f t="shared" ca="1" si="5195"/>
        <v>#REF!</v>
      </c>
      <c r="BL309" s="686" t="str">
        <f ca="1">IFERROR(VLOOKUP(BK309,INDIRECT(AQ307),2,FALSE),"----")</f>
        <v>----</v>
      </c>
      <c r="BM309" s="702" t="e">
        <f t="shared" ca="1" si="5196"/>
        <v>#REF!</v>
      </c>
      <c r="BN309" s="686" t="str">
        <f ca="1">IFERROR(VLOOKUP(BM309,INDIRECT(AQ308),2,FALSE),"----")</f>
        <v>----</v>
      </c>
      <c r="BO309" s="702" t="e">
        <f t="shared" ca="1" si="5197"/>
        <v>#REF!</v>
      </c>
      <c r="BP309" s="686" t="str">
        <f ca="1">IFERROR(VLOOKUP(BO309,INDIRECT(AQ309),2,FALSE),"----")</f>
        <v>----</v>
      </c>
      <c r="BQ309" s="702" t="e">
        <f t="shared" ca="1" si="5198"/>
        <v>#REF!</v>
      </c>
      <c r="BR309" s="686" t="str">
        <f ca="1">IFERROR(VLOOKUP(BQ309,INDIRECT(AQ310),2,FALSE),"----")</f>
        <v>----</v>
      </c>
      <c r="BS309" s="695">
        <f>IF(AI309="",1,IF(COUNTIF(BP299:BP310,AI309)=0,2,1))</f>
        <v>1</v>
      </c>
      <c r="BT309" s="696">
        <f>IF(AF309="",1,IF(BP299=".",2,1))</f>
        <v>1</v>
      </c>
      <c r="BU309" s="706"/>
      <c r="BV309" s="155">
        <f ca="1">IF(COUNTIF(EC299:EC310,AF309)=0,IF(AF309&lt;&gt;"",0,1),1)</f>
        <v>1</v>
      </c>
      <c r="BW309" s="157">
        <f ca="1">IFERROR(MATCH(AF309,EC299:EC310,0),1)</f>
        <v>1</v>
      </c>
      <c r="BX309" s="769"/>
      <c r="BY309" s="769"/>
      <c r="BZ309" s="1110"/>
      <c r="CA309" s="691" t="e">
        <f t="shared" ca="1" si="5105"/>
        <v>#REF!</v>
      </c>
      <c r="CB309" s="4" t="e" cm="1">
        <f t="array" aca="1" ref="CB309" ca="1">IF(AND(INDEX(INDIRECT(BY299),CA309,4)&gt;=$AB299,INDEX(INDIRECT(BY299),CA309,5)&gt;=$S299,INDEX(INDIRECT(BY299),CA309,6)&gt;=$R299),1,0)</f>
        <v>#REF!</v>
      </c>
      <c r="CC309" s="4" t="e">
        <f t="shared" ref="CC309" ca="1" si="5278">MATCH(1,OFFSET(CB299:CB310,CD308,0,COUNT(CB299:CB310)-CD308),0)</f>
        <v>#REF!</v>
      </c>
      <c r="CD309" s="4" t="e">
        <f t="shared" ca="1" si="5107"/>
        <v>#REF!</v>
      </c>
      <c r="CE309" s="692" t="str" cm="1">
        <f t="array" aca="1" ref="CE309" ca="1">IFERROR(VLOOKUP(INDEX(CA299:CA310,CD309),INDIRECT(BY299),2,FALSE),"----")</f>
        <v>----</v>
      </c>
      <c r="CF309" s="691" t="e">
        <f t="shared" ca="1" si="5108"/>
        <v>#N/A</v>
      </c>
      <c r="CG309" s="4" t="e">
        <f ca="1">IF(AND(INDEX(SSM,CF309,4)&gt;=$AB299,INDEX(SSM,CF309,5)&gt;=$S299,INDEX(SSM,CF309,6)&gt;=$R299),1,0)</f>
        <v>#N/A</v>
      </c>
      <c r="CH309" s="4" t="e">
        <f t="shared" ref="CH309" ca="1" si="5279">MATCH(1,OFFSET(CG299:CG310,CI308,0,COUNT(CG299:CG310)-CI308),0)</f>
        <v>#REF!</v>
      </c>
      <c r="CI309" s="4" t="e">
        <f t="shared" ca="1" si="5110"/>
        <v>#REF!</v>
      </c>
      <c r="CJ309" s="692" t="str">
        <f ca="1">IFERROR(IF(AD300="Nested Steel Stud (wood infill)",VLOOKUP(INDEX(CF299:CF310,CI309),SSW,2,FALSE),VLOOKUP(INDEX(CF299:CF310,CI309),SSM,2,FALSE)),"----")</f>
        <v>----</v>
      </c>
      <c r="CK309" s="691" t="e">
        <f t="shared" ca="1" si="5111"/>
        <v>#N/A</v>
      </c>
      <c r="CL309" s="4" t="e">
        <f ca="1">IF(AND(INDEX(WSM,CK309,4)&gt;=$AB299,INDEX(WSM,CK309,5)&gt;=$S299,INDEX(WSM,CK309,6)&gt;=$R299),1,0)</f>
        <v>#N/A</v>
      </c>
      <c r="CM309" s="4" t="e">
        <f t="shared" ref="CM309" ca="1" si="5280">MATCH(1,OFFSET(CL299:CL310,CN308,0,COUNT(CL299:CL310)-CN308),0)</f>
        <v>#REF!</v>
      </c>
      <c r="CN309" s="4" t="e">
        <f t="shared" ca="1" si="5113"/>
        <v>#REF!</v>
      </c>
      <c r="CO309" s="692" t="str">
        <f ca="1">IFERROR(VLOOKUP(INDEX(CK299:CK310,CN309),WSM,2,FALSE),"----")</f>
        <v>----</v>
      </c>
      <c r="CP309" s="691" t="e">
        <f t="shared" ca="1" si="5114"/>
        <v>#N/A</v>
      </c>
      <c r="CQ309" s="4" t="e">
        <f ca="1">IF(AND(INDEX(STM,CP309,4)&gt;=$AB299,INDEX(STM,CP309,5)&gt;=$S299,INDEX(STM,CP309,6)&gt;=$R299),1,0)</f>
        <v>#N/A</v>
      </c>
      <c r="CR309" s="4" t="e">
        <f t="shared" ref="CR309" ca="1" si="5281">MATCH(1,OFFSET(CQ299:CQ310,CS308,0,COUNT(CQ299:CQ310)-CS308),0)</f>
        <v>#REF!</v>
      </c>
      <c r="CS309" s="4" t="e">
        <f t="shared" ca="1" si="5116"/>
        <v>#REF!</v>
      </c>
      <c r="CT309" s="692" t="str">
        <f ca="1">IFERROR(VLOOKUP(INDEX(CP299:CP310,CS309),STM,2,FALSE),"----")</f>
        <v>----</v>
      </c>
      <c r="CU309" s="691" t="e">
        <f t="shared" ca="1" si="5117"/>
        <v>#N/A</v>
      </c>
      <c r="CV309" s="4" t="e">
        <f ca="1">IF(AND(INDEX(ELM,CU309,4)&gt;=$AB299,INDEX(ELM,CU309,5)&gt;=$S299,INDEX(ELM,CU309,6)&gt;=$R299),1,0)</f>
        <v>#N/A</v>
      </c>
      <c r="CW309" s="4" t="e">
        <f t="shared" ref="CW309" ca="1" si="5282">MATCH(1,OFFSET(CV299:CV310,CX308,0,COUNT(CV299:CV310)-CX308),0)</f>
        <v>#REF!</v>
      </c>
      <c r="CX309" s="4" t="e">
        <f t="shared" ca="1" si="5119"/>
        <v>#REF!</v>
      </c>
      <c r="CY309" s="692" t="str">
        <f ca="1">IFERROR(VLOOKUP(INDEX(CU299:CU310,CX309),ELM,2,FALSE),"----")</f>
        <v>----</v>
      </c>
      <c r="CZ309" s="691" t="e">
        <f t="shared" ca="1" si="5120"/>
        <v>#N/A</v>
      </c>
      <c r="DA309" s="4" t="e">
        <f ca="1">IF(LEFT($J299,7)="Clad Wo",IF(AND(INDEX(SPPWS,CZ309,4)&gt;=$AB299,INDEX(SPPWS,CZ309,5)&gt;=$S299,INDEX(SPPWS,CZ309,6)&gt;=$R299),1,0),IF(AND(INDEX(SPM,CZ309,4)&gt;=$AB299,INDEX(SPM,CZ309,5)&gt;=$S299,INDEX(SPM,CZ309,6)&gt;=$R299),1,0))</f>
        <v>#N/A</v>
      </c>
      <c r="DB309" s="4" t="e">
        <f t="shared" ref="DB309" ca="1" si="5283">MATCH(1,OFFSET(DA299:DA310,DC308,0,COUNT(DA299:DA310)-DC308),0)</f>
        <v>#REF!</v>
      </c>
      <c r="DC309" s="4" t="e">
        <f t="shared" ca="1" si="5122"/>
        <v>#REF!</v>
      </c>
      <c r="DD309" s="693" t="str">
        <f ca="1">IF(LEFT($J299,7)="Clad Wo",IFERROR(VLOOKUP(INDEX(CZ299:CZ310,DC309),SPPWS,2,FALSE),"----"),IFERROR(VLOOKUP(INDEX(CZ299:CZ310,DC309),SPM,2,FALSE),"----"))</f>
        <v>----</v>
      </c>
      <c r="DE309" s="691" t="e">
        <f t="shared" ca="1" si="5123"/>
        <v>#REF!</v>
      </c>
      <c r="DF309" s="4" t="e" cm="1">
        <f t="array" aca="1" ref="DF309" ca="1">IF(AND(INDEX(INDIRECT(BY299),DE309,4)&gt;=$AB305,INDEX(INDIRECT(BY299),DE309,5)&gt;=$S299,INDEX(INDIRECT(BY299),DE309,6)&gt;=$R299),1,0)</f>
        <v>#REF!</v>
      </c>
      <c r="DG309" s="4" t="e">
        <f t="shared" ref="DG309" ca="1" si="5284">MATCH(1,OFFSET(DF299:DF310,DH308,0,COUNT(DF299:DF310)-DH308),0)</f>
        <v>#REF!</v>
      </c>
      <c r="DH309" s="4" t="e">
        <f t="shared" ca="1" si="5125"/>
        <v>#REF!</v>
      </c>
      <c r="DI309" s="692" t="str" cm="1">
        <f t="array" aca="1" ref="DI309" ca="1">IFERROR(VLOOKUP(INDEX(DE299:DE310,DH309),INDIRECT(BY299),2,FALSE),"----")</f>
        <v>----</v>
      </c>
      <c r="DJ309" s="691" t="e">
        <f t="shared" ca="1" si="5126"/>
        <v>#N/A</v>
      </c>
      <c r="DK309" s="4" t="e">
        <f ca="1">IF(AND(INDEX(SSM,DJ309,4)&gt;=$AB305,INDEX(SSM,DJ309,5)&gt;=$S299,INDEX(SSM,DJ309,6)&gt;=$R299),1,0)</f>
        <v>#N/A</v>
      </c>
      <c r="DL309" s="4" t="e">
        <f t="shared" ref="DL309" ca="1" si="5285">MATCH(1,OFFSET(DK299:DK310,DM308,0,COUNT(DK299:DK310)-DM308),0)</f>
        <v>#REF!</v>
      </c>
      <c r="DM309" s="4" t="e">
        <f t="shared" ca="1" si="5128"/>
        <v>#REF!</v>
      </c>
      <c r="DN309" s="692" t="str">
        <f ca="1">IFERROR(IF(AD306="Nested Steel Stud (wood infill)",VLOOKUP(INDEX(DJ299:DJ310,DM309),SSW,2,FALSE),VLOOKUP(INDEX(DJ299:DJ310,DM309),SSM,2,FALSE)),"----")</f>
        <v>----</v>
      </c>
      <c r="DO309" s="691" t="e">
        <f t="shared" ca="1" si="5129"/>
        <v>#N/A</v>
      </c>
      <c r="DP309" s="4" t="e">
        <f ca="1">IF(AND(INDEX(WSM,DO309,4)&gt;=$AB305,INDEX(WSM,DO309,5)&gt;=$S299,INDEX(WSM,DO309,6)&gt;=$R299),1,0)</f>
        <v>#N/A</v>
      </c>
      <c r="DQ309" s="4" t="e">
        <f t="shared" ref="DQ309" ca="1" si="5286">MATCH(1,OFFSET(DP299:DP310,DR308,0,COUNT(DP299:DP310)-DR308),0)</f>
        <v>#REF!</v>
      </c>
      <c r="DR309" s="4" t="e">
        <f t="shared" ca="1" si="5131"/>
        <v>#REF!</v>
      </c>
      <c r="DS309" s="692" t="str">
        <f ca="1">IFERROR(VLOOKUP(INDEX(DO299:DO310,DR309),WSM,2,FALSE),"----")</f>
        <v>----</v>
      </c>
      <c r="DT309" s="691" t="e">
        <f t="shared" ca="1" si="5132"/>
        <v>#N/A</v>
      </c>
      <c r="DU309" s="4" t="e">
        <f ca="1">IF(AND(INDEX(STM,DT309,4)&gt;=$AB305,INDEX(STM,DT309,5)&gt;=$S299,INDEX(STM,DT309,6)&gt;=$R299),1,0)</f>
        <v>#N/A</v>
      </c>
      <c r="DV309" s="4" t="e">
        <f t="shared" ref="DV309" ca="1" si="5287">MATCH(1,OFFSET(DU299:DU310,DW308,0,COUNT(DU299:DU310)-DW308),0)</f>
        <v>#REF!</v>
      </c>
      <c r="DW309" s="4" t="e">
        <f t="shared" ca="1" si="5134"/>
        <v>#REF!</v>
      </c>
      <c r="DX309" s="692" t="str">
        <f ca="1">IFERROR(VLOOKUP(INDEX(DT299:DT310,DW309),STM,2,FALSE),"----")</f>
        <v>----</v>
      </c>
      <c r="DY309" s="691" t="e">
        <f t="shared" ca="1" si="5135"/>
        <v>#N/A</v>
      </c>
      <c r="DZ309" s="4" t="e">
        <f ca="1">IF(AND(INDEX(ELM,DY309,4)&gt;=$AB305,INDEX(ELM,DY309,5)&gt;=$S299,INDEX(ELM,DY309,6)&gt;=$R299),1,0)</f>
        <v>#N/A</v>
      </c>
      <c r="EA309" s="4" t="e">
        <f t="shared" ref="EA309" ca="1" si="5288">MATCH(1,OFFSET(DZ299:DZ310,EB308,0,COUNT(DZ299:DZ310)-EB308),0)</f>
        <v>#REF!</v>
      </c>
      <c r="EB309" s="4" t="e">
        <f t="shared" ca="1" si="5137"/>
        <v>#REF!</v>
      </c>
      <c r="EC309" s="692" t="str">
        <f ca="1">IFERROR(VLOOKUP(INDEX(DY299:DY310,EB309),ELM,2,FALSE),"----")</f>
        <v>----</v>
      </c>
      <c r="ED309" s="691" t="e">
        <f t="shared" ca="1" si="5138"/>
        <v>#N/A</v>
      </c>
      <c r="EE309" s="4" t="e">
        <f ca="1">IF(LEFT($J299,7)="Clad Wo",IF(AND(INDEX(SPPWS,ED309,4)&gt;=$AB305,INDEX(SPPWS,ED309,5)&gt;=$S299,INDEX(SPPWS,ED309,6)&gt;=$R299),1,0),IF(AND(INDEX(SPM,ED309,4)&gt;=$AB305,INDEX(SPM,ED309,5)&gt;=$S299,INDEX(SPM,ED309,6)&gt;=$R299),1,0))</f>
        <v>#N/A</v>
      </c>
      <c r="EF309" s="4" t="e">
        <f t="shared" ref="EF309" ca="1" si="5289">MATCH(1,OFFSET(EE299:EE310,EG308,0,COUNT(EE299:EE310)-EG308),0)</f>
        <v>#REF!</v>
      </c>
      <c r="EG309" s="4" t="e">
        <f t="shared" ca="1" si="5140"/>
        <v>#REF!</v>
      </c>
      <c r="EH309" s="692" t="str">
        <f ca="1">IF(LEFT($J299,7)="Clad Wo",IFERROR(VLOOKUP(INDEX(ED299:ED310,EG309),SPPWS,2,FALSE),"----"),IFERROR(VLOOKUP(INDEX(ED299:ED310,EG309),SPM,2,FALSE),"----"))</f>
        <v>----</v>
      </c>
    </row>
    <row r="310" spans="1:138" ht="15" customHeight="1" thickBot="1" x14ac:dyDescent="0.3">
      <c r="A310" s="1085"/>
      <c r="B310" s="928"/>
      <c r="C310" s="929"/>
      <c r="D310" s="930"/>
      <c r="E310" s="998"/>
      <c r="F310" s="999"/>
      <c r="G310" s="1000"/>
      <c r="H310" s="1063"/>
      <c r="I310" s="991"/>
      <c r="J310" s="904"/>
      <c r="K310" s="905"/>
      <c r="L310" s="1003"/>
      <c r="M310" s="1065"/>
      <c r="N310" s="1043"/>
      <c r="O310" s="1019"/>
      <c r="P310" s="988"/>
      <c r="Q310" s="1016"/>
      <c r="R310" s="1013"/>
      <c r="S310" s="1008"/>
      <c r="T310" s="1009"/>
      <c r="U310" s="879"/>
      <c r="V310" s="882"/>
      <c r="W310" s="885"/>
      <c r="X310" s="885"/>
      <c r="Y310" s="888"/>
      <c r="Z310" s="888"/>
      <c r="AA310" s="888"/>
      <c r="AB310" s="1082"/>
      <c r="AC310" s="1087"/>
      <c r="AD310" s="1098" t="str">
        <f t="shared" ref="AD310" si="5290">IF(LEFT(J299,7)="Clad Wo","Pella Wood Spr / Steel Pte","Steel Plate")</f>
        <v>Steel Plate</v>
      </c>
      <c r="AE310" s="1099"/>
      <c r="AF310" s="1096"/>
      <c r="AG310" s="1097"/>
      <c r="AH310" s="1097"/>
      <c r="AI310" s="1094"/>
      <c r="AJ310" s="1095"/>
      <c r="AK310" s="163" t="str">
        <f t="shared" ca="1" si="4947"/>
        <v/>
      </c>
      <c r="AL310" s="1060"/>
      <c r="AM310" s="345" t="str">
        <f ca="1">IFERROR(Q299/12*ROUND(VLOOKUP(AF310,OFFSET(SPM,0,1),6,FALSE),2),"")</f>
        <v/>
      </c>
      <c r="AN310" t="str">
        <f t="shared" ca="1" si="4971"/>
        <v/>
      </c>
      <c r="AP310" s="699" t="str">
        <f t="shared" ref="AP310" si="5291">_xlfn.CONCAT(AR310,AS310)</f>
        <v/>
      </c>
      <c r="AQ310" s="700" t="str">
        <f t="shared" si="5170"/>
        <v/>
      </c>
      <c r="AR310" s="160" t="str">
        <f t="shared" si="4931"/>
        <v/>
      </c>
      <c r="AS310" s="160" t="str">
        <f>IFERROR(VLOOKUP(J307, WallType,2,FALSE),"")</f>
        <v/>
      </c>
      <c r="AT310" s="707" t="str">
        <f>AL305</f>
        <v/>
      </c>
      <c r="AU310" s="708" t="e">
        <f t="shared" ca="1" si="5187"/>
        <v>#REF!</v>
      </c>
      <c r="AV310" s="709" t="str">
        <f ca="1">IFERROR(VLOOKUP(AU310,INDIRECT(AQ299),2,FALSE),"----")</f>
        <v>----</v>
      </c>
      <c r="AW310" s="710" t="e">
        <f t="shared" ca="1" si="5188"/>
        <v>#REF!</v>
      </c>
      <c r="AX310" s="709" t="str">
        <f ca="1">IFERROR(VLOOKUP(AW310,INDIRECT(AQ300),2,FALSE),"----")</f>
        <v>----</v>
      </c>
      <c r="AY310" s="710" t="e">
        <f t="shared" ca="1" si="4775"/>
        <v>#REF!</v>
      </c>
      <c r="AZ310" s="709" t="str">
        <f ca="1">IFERROR(VLOOKUP(AY310,INDIRECT(AQ301),2,FALSE),"----")</f>
        <v>----</v>
      </c>
      <c r="BA310" s="710" t="e">
        <f t="shared" ca="1" si="4776"/>
        <v>#REF!</v>
      </c>
      <c r="BB310" s="709" t="str">
        <f ca="1">IFERROR(VLOOKUP(BA310,INDIRECT(AQ302),2,FALSE),"----")</f>
        <v>----</v>
      </c>
      <c r="BC310" s="710" t="e">
        <f t="shared" ca="1" si="5191"/>
        <v>#REF!</v>
      </c>
      <c r="BD310" s="709" t="str">
        <f ca="1">IFERROR(VLOOKUP(BC310,INDIRECT(AQ303),2,FALSE),"----")</f>
        <v>----</v>
      </c>
      <c r="BE310" s="710" t="e">
        <f t="shared" ca="1" si="5192"/>
        <v>#REF!</v>
      </c>
      <c r="BF310" s="709" t="str">
        <f ca="1">IFERROR(VLOOKUP(BE310,INDIRECT(AQ304),2,FALSE),"----")</f>
        <v>----</v>
      </c>
      <c r="BG310" s="710" t="e">
        <f t="shared" ca="1" si="5193"/>
        <v>#REF!</v>
      </c>
      <c r="BH310" s="711" t="str">
        <f ca="1">IFERROR(VLOOKUP(BG310,INDIRECT(AQ305),2,FALSE),"----")</f>
        <v>----</v>
      </c>
      <c r="BI310" s="710" t="e">
        <f t="shared" ca="1" si="5194"/>
        <v>#REF!</v>
      </c>
      <c r="BJ310" s="711" t="str">
        <f ca="1">IFERROR(VLOOKUP(BI310,INDIRECT(AQ306),2,FALSE),"----")</f>
        <v>----</v>
      </c>
      <c r="BK310" s="710" t="e">
        <f t="shared" ca="1" si="5195"/>
        <v>#REF!</v>
      </c>
      <c r="BL310" s="711" t="str">
        <f ca="1">IFERROR(VLOOKUP(BK310,INDIRECT(AQ307),2,FALSE),"----")</f>
        <v>----</v>
      </c>
      <c r="BM310" s="710" t="e">
        <f t="shared" ca="1" si="5196"/>
        <v>#REF!</v>
      </c>
      <c r="BN310" s="711" t="str">
        <f ca="1">IFERROR(VLOOKUP(BM310,INDIRECT(AQ308),2,FALSE),"----")</f>
        <v>----</v>
      </c>
      <c r="BO310" s="710" t="e">
        <f t="shared" ca="1" si="5197"/>
        <v>#REF!</v>
      </c>
      <c r="BP310" s="711" t="str">
        <f ca="1">IFERROR(VLOOKUP(BO310,INDIRECT(AQ309),2,FALSE),"----")</f>
        <v>----</v>
      </c>
      <c r="BQ310" s="710" t="e">
        <f t="shared" ca="1" si="5198"/>
        <v>#REF!</v>
      </c>
      <c r="BR310" s="712" t="str">
        <f ca="1">IFERROR(VLOOKUP(BQ310,INDIRECT(AQ310),2,FALSE),"----")</f>
        <v>----</v>
      </c>
      <c r="BS310" s="695">
        <f>IF(AI310="",1,IF(COUNTIF(BR299:BR310,AI310)=0,2,1))</f>
        <v>1</v>
      </c>
      <c r="BT310" s="713">
        <f>IF(AF310="",1,IF(BR299=".",2,1))</f>
        <v>1</v>
      </c>
      <c r="BV310" s="155">
        <f ca="1">IF(COUNTIF(EH299:EH310,AF310)=0,IF(AF310&lt;&gt;"",0,1),1)</f>
        <v>1</v>
      </c>
      <c r="BW310" s="157">
        <f ca="1">IFERROR(MATCH(AF310,EH299:EH310,0),1)</f>
        <v>1</v>
      </c>
      <c r="BX310" s="718"/>
      <c r="BY310" s="777"/>
      <c r="BZ310" s="1110"/>
      <c r="CA310" s="714" t="e">
        <f t="shared" ca="1" si="5105"/>
        <v>#REF!</v>
      </c>
      <c r="CB310" s="715" t="e" cm="1">
        <f t="array" aca="1" ref="CB310" ca="1">IF(AND(INDEX(INDIRECT(BY299),CA310,4)&gt;=$AB299,INDEX(INDIRECT(BY299),CA310,5)&gt;=$S299,INDEX(INDIRECT(BY299),CA310,6)&gt;=$R299),1,0)</f>
        <v>#REF!</v>
      </c>
      <c r="CC310" s="715" t="e">
        <f t="shared" ref="CC310" ca="1" si="5292">MATCH(1,OFFSET(CB299:CB310,CD309,0,COUNT(CB299:CB310)-CD309),0)</f>
        <v>#REF!</v>
      </c>
      <c r="CD310" s="715" t="e">
        <f t="shared" ca="1" si="5107"/>
        <v>#REF!</v>
      </c>
      <c r="CE310" s="716" t="str" cm="1">
        <f t="array" aca="1" ref="CE310" ca="1">IFERROR(VLOOKUP(INDEX(CA299:CA310,CD310),INDIRECT(BY299),2,FALSE),"----")</f>
        <v>----</v>
      </c>
      <c r="CF310" s="714" t="e">
        <f t="shared" ca="1" si="5108"/>
        <v>#N/A</v>
      </c>
      <c r="CG310" s="715" t="e">
        <f ca="1">IF(AND(INDEX(SSM,CF310,4)&gt;=$AB299,INDEX(SSM,CF310,5)&gt;=$S299,INDEX(SSM,CF310,6)&gt;=$R299),1,0)</f>
        <v>#N/A</v>
      </c>
      <c r="CH310" s="715" t="e">
        <f t="shared" ref="CH310" ca="1" si="5293">MATCH(1,OFFSET(CG299:CG310,CI309,0,COUNT(CG299:CG310)-CI309),0)</f>
        <v>#REF!</v>
      </c>
      <c r="CI310" s="715" t="e">
        <f t="shared" ca="1" si="5110"/>
        <v>#REF!</v>
      </c>
      <c r="CJ310" s="716" t="str">
        <f ca="1">IFERROR(IF(AD300="Nested Steel Stud (wood infill)",VLOOKUP(INDEX(CF299:CF310,CI310),SSW,2,FALSE),VLOOKUP(INDEX(CF299:CF310,CI310),SSM,2,FALSE)),"----")</f>
        <v>----</v>
      </c>
      <c r="CK310" s="714" t="e">
        <f t="shared" ca="1" si="5111"/>
        <v>#N/A</v>
      </c>
      <c r="CL310" s="715" t="e">
        <f ca="1">IF(AND(INDEX(WSM,CK310,4)&gt;=$AB299,INDEX(WSM,CK310,5)&gt;=$S299,INDEX(WSM,CK310,6)&gt;=$R299),1,0)</f>
        <v>#N/A</v>
      </c>
      <c r="CM310" s="715" t="e">
        <f t="shared" ref="CM310" ca="1" si="5294">MATCH(1,OFFSET(CL299:CL310,CN309,0,COUNT(CL299:CL310)-CN309),0)</f>
        <v>#REF!</v>
      </c>
      <c r="CN310" s="715" t="e">
        <f t="shared" ca="1" si="5113"/>
        <v>#REF!</v>
      </c>
      <c r="CO310" s="716" t="str">
        <f ca="1">IFERROR(VLOOKUP(INDEX(CK299:CK310,CN310),WSM,2,FALSE),"----")</f>
        <v>----</v>
      </c>
      <c r="CP310" s="714" t="e">
        <f t="shared" ca="1" si="5114"/>
        <v>#N/A</v>
      </c>
      <c r="CQ310" s="715" t="e">
        <f ca="1">IF(AND(INDEX(STM,CP310,4)&gt;=$AB299,INDEX(STM,CP310,5)&gt;=$S299,INDEX(STM,CP310,6)&gt;=$R299),1,0)</f>
        <v>#N/A</v>
      </c>
      <c r="CR310" s="715" t="e">
        <f t="shared" ref="CR310" ca="1" si="5295">MATCH(1,OFFSET(CQ299:CQ310,CS309,0,COUNT(CQ299:CQ310)-CS309),0)</f>
        <v>#REF!</v>
      </c>
      <c r="CS310" s="715" t="e">
        <f t="shared" ca="1" si="5116"/>
        <v>#REF!</v>
      </c>
      <c r="CT310" s="716" t="str">
        <f ca="1">IFERROR(VLOOKUP(INDEX(CP299:CP310,CS310),STM,2,FALSE),"----")</f>
        <v>----</v>
      </c>
      <c r="CU310" s="714" t="e">
        <f t="shared" ca="1" si="5117"/>
        <v>#N/A</v>
      </c>
      <c r="CV310" s="715" t="e">
        <f ca="1">IF(AND(INDEX(ELM,CU310,4)&gt;=$AB299,INDEX(ELM,CU310,5)&gt;=$S299,INDEX(ELM,CU310,6)&gt;=$R299),1,0)</f>
        <v>#N/A</v>
      </c>
      <c r="CW310" s="715" t="e">
        <f t="shared" ref="CW310" ca="1" si="5296">MATCH(1,OFFSET(CV299:CV310,CX309,0,COUNT(CV299:CV310)-CX309),0)</f>
        <v>#REF!</v>
      </c>
      <c r="CX310" s="715" t="e">
        <f t="shared" ca="1" si="5119"/>
        <v>#REF!</v>
      </c>
      <c r="CY310" s="716" t="str">
        <f ca="1">IFERROR(VLOOKUP(INDEX(CU299:CU310,CX310),ELM,2,FALSE),"----")</f>
        <v>----</v>
      </c>
      <c r="CZ310" s="714" t="e">
        <f t="shared" ca="1" si="5120"/>
        <v>#N/A</v>
      </c>
      <c r="DA310" s="715" t="e">
        <f ca="1">IF(LEFT($J299,7)="Clad Wo",IF(AND(INDEX(SPPWS,CZ310,4)&gt;=$AB299,INDEX(SPPWS,CZ310,5)&gt;=$S299,INDEX(SPPWS,CZ310,6)&gt;=$R299),1,0),IF(AND(INDEX(SPM,CZ310,4)&gt;=$AB299,INDEX(SPM,CZ310,5)&gt;=$S299,INDEX(SPM,CZ310,6)&gt;=$R299),1,0))</f>
        <v>#N/A</v>
      </c>
      <c r="DB310" s="715" t="e">
        <f t="shared" ref="DB310" ca="1" si="5297">MATCH(1,OFFSET(DA299:DA310,DC309,0,COUNT(DA299:DA310)-DC309),0)</f>
        <v>#REF!</v>
      </c>
      <c r="DC310" s="715" t="e">
        <f t="shared" ca="1" si="5122"/>
        <v>#REF!</v>
      </c>
      <c r="DD310" s="717" t="str">
        <f ca="1">IF(LEFT($J299,7)="Clad Wo",IFERROR(VLOOKUP(INDEX(CZ299:CZ310,DC310),SPPWS,2,FALSE),"----"),IFERROR(VLOOKUP(INDEX(CZ299:CZ310,DC310),SPM,2,FALSE),"----"))</f>
        <v>----</v>
      </c>
      <c r="DE310" s="714" t="e">
        <f t="shared" ca="1" si="5123"/>
        <v>#REF!</v>
      </c>
      <c r="DF310" s="715" t="e" cm="1">
        <f t="array" aca="1" ref="DF310" ca="1">IF(AND(INDEX(INDIRECT(BY299),DE310,4)&gt;=$AB305,INDEX(INDIRECT(BY299),DE310,5)&gt;=$S299,INDEX(INDIRECT(BY299),DE310,6)&gt;=$R299),1,0)</f>
        <v>#REF!</v>
      </c>
      <c r="DG310" s="715" t="e">
        <f t="shared" ref="DG310" ca="1" si="5298">MATCH(1,OFFSET(DF299:DF310,DH309,0,COUNT(DF299:DF310)-DH309),0)</f>
        <v>#REF!</v>
      </c>
      <c r="DH310" s="715" t="e">
        <f t="shared" ca="1" si="5125"/>
        <v>#REF!</v>
      </c>
      <c r="DI310" s="716" t="str" cm="1">
        <f t="array" aca="1" ref="DI310" ca="1">IFERROR(VLOOKUP(INDEX(DE299:DE310,DH310),INDIRECT(BY299),2,FALSE),"----")</f>
        <v>----</v>
      </c>
      <c r="DJ310" s="714" t="e">
        <f t="shared" ca="1" si="5126"/>
        <v>#N/A</v>
      </c>
      <c r="DK310" s="715" t="e">
        <f ca="1">IF(AND(INDEX(SSM,DJ310,4)&gt;=$AB305,INDEX(SSM,DJ310,5)&gt;=$S299,INDEX(SSM,DJ310,6)&gt;=$R299),1,0)</f>
        <v>#N/A</v>
      </c>
      <c r="DL310" s="715" t="e">
        <f t="shared" ref="DL310" ca="1" si="5299">MATCH(1,OFFSET(DK299:DK310,DM309,0,COUNT(DK299:DK310)-DM309),0)</f>
        <v>#REF!</v>
      </c>
      <c r="DM310" s="715" t="e">
        <f t="shared" ca="1" si="5128"/>
        <v>#REF!</v>
      </c>
      <c r="DN310" s="716" t="str">
        <f ca="1">IFERROR(IF(AD306="Nested Steel Stud (wood infill)",VLOOKUP(INDEX(DJ299:DJ310,DM310),SSW,2,FALSE),VLOOKUP(INDEX(DJ299:DJ310,DM310),SSM,2,FALSE)),"----")</f>
        <v>----</v>
      </c>
      <c r="DO310" s="714" t="e">
        <f t="shared" ca="1" si="5129"/>
        <v>#N/A</v>
      </c>
      <c r="DP310" s="715" t="e">
        <f ca="1">IF(AND(INDEX(WSM,DO310,4)&gt;=$AB305,INDEX(WSM,DO310,5)&gt;=$S299,INDEX(WSM,DO310,6)&gt;=$R299),1,0)</f>
        <v>#N/A</v>
      </c>
      <c r="DQ310" s="715" t="e">
        <f t="shared" ref="DQ310" ca="1" si="5300">MATCH(1,OFFSET(DP299:DP310,DR309,0,COUNT(DP299:DP310)-DR309),0)</f>
        <v>#REF!</v>
      </c>
      <c r="DR310" s="715" t="e">
        <f t="shared" ca="1" si="5131"/>
        <v>#REF!</v>
      </c>
      <c r="DS310" s="716" t="str">
        <f ca="1">IFERROR(VLOOKUP(INDEX(DO299:DO310,DR310),WSM,2,FALSE),"----")</f>
        <v>----</v>
      </c>
      <c r="DT310" s="714" t="e">
        <f t="shared" ca="1" si="5132"/>
        <v>#N/A</v>
      </c>
      <c r="DU310" s="715" t="e">
        <f ca="1">IF(AND(INDEX(STM,DT310,4)&gt;=$AB305,INDEX(STM,DT310,5)&gt;=$S299,INDEX(STM,DT310,6)&gt;=$R299),1,0)</f>
        <v>#N/A</v>
      </c>
      <c r="DV310" s="715" t="e">
        <f t="shared" ref="DV310" ca="1" si="5301">MATCH(1,OFFSET(DU299:DU310,DW309,0,COUNT(DU299:DU310)-DW309),0)</f>
        <v>#REF!</v>
      </c>
      <c r="DW310" s="715" t="e">
        <f t="shared" ca="1" si="5134"/>
        <v>#REF!</v>
      </c>
      <c r="DX310" s="716" t="str">
        <f ca="1">IFERROR(VLOOKUP(INDEX(DT299:DT310,DW310),STM,2,FALSE),"----")</f>
        <v>----</v>
      </c>
      <c r="DY310" s="714" t="e">
        <f t="shared" ca="1" si="5135"/>
        <v>#N/A</v>
      </c>
      <c r="DZ310" s="715" t="e">
        <f ca="1">IF(AND(INDEX(ELM,DY310,4)&gt;=$AB305,INDEX(ELM,DY310,5)&gt;=$S299,INDEX(ELM,DY310,6)&gt;=$R299),1,0)</f>
        <v>#N/A</v>
      </c>
      <c r="EA310" s="715" t="e">
        <f t="shared" ref="EA310" ca="1" si="5302">MATCH(1,OFFSET(DZ299:DZ310,EB309,0,COUNT(DZ299:DZ310)-EB309),0)</f>
        <v>#REF!</v>
      </c>
      <c r="EB310" s="715" t="e">
        <f t="shared" ca="1" si="5137"/>
        <v>#REF!</v>
      </c>
      <c r="EC310" s="716" t="str">
        <f ca="1">IFERROR(VLOOKUP(INDEX(DY299:DY310,EB310),ELM,2,FALSE),"----")</f>
        <v>----</v>
      </c>
      <c r="ED310" s="714" t="e">
        <f t="shared" ca="1" si="5138"/>
        <v>#N/A</v>
      </c>
      <c r="EE310" s="715" t="e">
        <f ca="1">IF(LEFT($J299,7)="Clad Wo",IF(AND(INDEX(SPPWS,ED310,4)&gt;=$AB305,INDEX(SPPWS,ED310,5)&gt;=$S299,INDEX(SPPWS,ED310,6)&gt;=$R299),1,0),IF(AND(INDEX(SPM,ED310,4)&gt;=$AB305,INDEX(SPM,ED310,5)&gt;=$S299,INDEX(SPM,ED310,6)&gt;=$R299),1,0))</f>
        <v>#N/A</v>
      </c>
      <c r="EF310" s="715" t="e">
        <f t="shared" ref="EF310" ca="1" si="5303">MATCH(1,OFFSET(EE299:EE310,EG309,0,COUNT(EE299:EE310)-EG309),0)</f>
        <v>#REF!</v>
      </c>
      <c r="EG310" s="715" t="e">
        <f t="shared" ca="1" si="5140"/>
        <v>#REF!</v>
      </c>
      <c r="EH310" s="716" t="str">
        <f ca="1">IF(LEFT($J299,7)="Clad Wo",IFERROR(VLOOKUP(INDEX(ED299:ED310,EG310),SPPWS,2,FALSE),"----"),IFERROR(VLOOKUP(INDEX(ED299:ED310,EG310),SPM,2,FALSE),"----"))</f>
        <v>----</v>
      </c>
    </row>
    <row r="311" spans="1:138" ht="15" customHeight="1" thickTop="1" x14ac:dyDescent="0.25">
      <c r="A311" s="1085"/>
      <c r="B311" s="931" t="s">
        <v>92</v>
      </c>
      <c r="C311" s="932"/>
      <c r="D311" s="933"/>
      <c r="E311" s="992"/>
      <c r="F311" s="993"/>
      <c r="G311" s="994"/>
      <c r="H311" s="1061"/>
      <c r="I311" s="989"/>
      <c r="J311" s="906"/>
      <c r="K311" s="907"/>
      <c r="L311" s="1001">
        <f>$W$3</f>
        <v>4</v>
      </c>
      <c r="M311" s="923" t="str">
        <f t="shared" ref="M311" si="5304">IFERROR(IF($AE$13="",IF($AG$19="Wind Loading",MIN($V$31,IF(E$11="ASCE 7-05",$U$26,$V$7)*$V$9*(IF($E$12&lt;60,0.0771*LN(MAX(MIN(500,O311),10)) -1.2737,IF($E$11="ASCE 7-22",0.0524*LN(MAX(MIN(500,O311),50))-1.0278,0.0614*LN(MAX(MIN(500,O311),20)) -1.0829))-$V$8)),$V$7*IF(E$12&lt;60,$V$13*($V$15*0.0771*LN(MAX(MIN(500,O311),10))-1.2737-$V$16),$V$13*$V$15*((0.0524*LN(MAX(MIN(500,O311),20))-1.0278)-$V$16))),-ABS($AE$13)),"")</f>
        <v/>
      </c>
      <c r="N311" s="1042" t="str">
        <f t="shared" ref="N311" si="5305">IFERROR(IF($AE$15="",IF($AG$19="Wind Loading",MAX($U$31,IF(E$11="ASCE 7-05",$U$26,$V$7)*$V$9*((IF($E$12&lt;60,-0.077*LN(MAX(MIN(500,O311),10))+1.1737,IF($E$11="ASCE 7-22",-0.077*LN(MAX(MIN(500,O311),20))+1.0798,-0.093*LN(MAX(MIN(500,O311),20))+1.1776)))+$V$8)),$V$7*IF(E$12&lt;60,$V$13*($V$15*(-0.077*LN(MAX(MIN(500,O311),10))+1.1737)-$V$17),$V$13*$V$15*((-0.077*LN(MAX(MIN(500,O311),20))+1.0798)-$V$17))),ABS($AE$15)),"")</f>
        <v/>
      </c>
      <c r="O311" s="1017" t="str">
        <f>IF(BX318=0,"",IF(AG$14="Trapezoidal",BY318,BX318))</f>
        <v/>
      </c>
      <c r="P311" s="986"/>
      <c r="Q311" s="1014"/>
      <c r="R311" s="1011">
        <f>P311*Q311/8</f>
        <v>0</v>
      </c>
      <c r="S311" s="1004">
        <f t="shared" ref="S311" si="5306">IF(5*(P311*Q311^3/(384*0.125))=0,0,5*(P311*Q311^3/(384*0.125)))</f>
        <v>0</v>
      </c>
      <c r="T311" s="1005"/>
      <c r="U311" s="877" t="e">
        <f ca="1">VLOOKUP(J315,INDIRECT(VLOOKUP(J311,FrameStrength,2,FALSE)),3,FALSE)</f>
        <v>#N/A</v>
      </c>
      <c r="V311" s="880">
        <f t="shared" ref="V311" si="5307">(H311+I311)/2</f>
        <v>0</v>
      </c>
      <c r="W311" s="883" t="e">
        <f t="shared" ref="W311" si="5308">MAX(-M311,N311)*O311</f>
        <v>#VALUE!</v>
      </c>
      <c r="X311" s="883">
        <f t="shared" ref="X311" si="5309">IF(E311&gt;162,(E311/240+0.25),IF(AND(E311&lt;162,E311/175&lt;0.75),E311/175,0.75))</f>
        <v>0</v>
      </c>
      <c r="Y311" s="886">
        <f>IFERROR(IF(AG$14="Trapezoidal",BY319,BX319)+IF($E$17="4",(400*E311^3)/(48*X311),0),0)</f>
        <v>0</v>
      </c>
      <c r="Z311" s="886" t="e">
        <f t="shared" ref="Z311" si="5310">+($V311*MAX(-$M311,$N311)*$E311^2)/(144*8)+IF($E$17=4,(400*$E311)/4,0)</f>
        <v>#VALUE!</v>
      </c>
      <c r="AA311" s="886" t="e">
        <f ca="1">VLOOKUP(J315,INDIRECT(VLOOKUP(J311,FrameStrength,2,FALSE)),2,FALSE)</f>
        <v>#N/A</v>
      </c>
      <c r="AB311" s="1083" t="str">
        <f t="shared" ref="AB311" ca="1" si="5311">IFERROR(Z311-AA311,"")</f>
        <v/>
      </c>
      <c r="AC311" s="1077" t="str">
        <f t="shared" ref="AC311" ca="1" si="5312">IFERROR(Y311-U311,"")</f>
        <v/>
      </c>
      <c r="AD311" s="1100" t="str">
        <f>IFERROR(IF(LEFT(J315,2)="As",VLOOKUP(J315,EIMM,4,FALSE),VLOOKUP(J311,EIMM,4,FALSE)),IF(AND(ISNUMBER(SEARCH("Impervia",J311)),ISNUMBER(SEARCH("door",J315))),'New Lookup Cells'!AF$10,IF(ISNUMBER(SEARCH("Impervia",J311)),'New Lookup Cells'!AF$7,IF(AND(ISNUMBER(SEARCH("250",J311)),ISNUMBER(SEARCH("door",J315))),'New Lookup Cells'!AF$14,IF(ISNUMBER(SEARCH("250",J311)),'New Lookup Cells'!AF$13,"")))))</f>
        <v/>
      </c>
      <c r="AE311" s="1101"/>
      <c r="AF311" s="1050"/>
      <c r="AG311" s="1051"/>
      <c r="AH311" s="1051"/>
      <c r="AI311" s="1088"/>
      <c r="AJ311" s="1089"/>
      <c r="AK311" s="154" t="str">
        <f t="shared" ca="1" si="4947"/>
        <v/>
      </c>
      <c r="AL311" s="1038" t="str">
        <f t="shared" ref="AL311" si="5313">IFERROR(ROUND(SQRT(P311^2+(W311/2+IF($E$17=4,200,0))^2),0),"")</f>
        <v/>
      </c>
      <c r="AM311" s="342" t="s">
        <v>669</v>
      </c>
      <c r="AN311" t="str">
        <f t="shared" ca="1" si="4971"/>
        <v/>
      </c>
      <c r="AP311" s="122" t="str">
        <f t="shared" ref="AP311" si="5314">_xlfn.CONCAT(AR311,AS316)</f>
        <v/>
      </c>
      <c r="AQ311" s="683" t="str">
        <f t="shared" si="5170"/>
        <v/>
      </c>
      <c r="AR311" s="96" t="str">
        <f t="shared" si="4931"/>
        <v/>
      </c>
      <c r="AS311" s="96" t="str">
        <f>IF(COUNTIF(imp_1,AF311)=1,"imp_1",IF(COUNTIF(imp_2,AF311)=1,"imp_2",IF(COUNTIF(imp_3,AF311)=1,"imp_3",IF(COUNTIF(impdoor,AF311)=1,"impdoor",""))))</f>
        <v/>
      </c>
      <c r="AT311" s="684" t="str">
        <f>AL311</f>
        <v/>
      </c>
      <c r="AU311" s="685" t="e">
        <f ca="1">MATCH(AL311,INDIRECT(AP311),-1)</f>
        <v>#REF!</v>
      </c>
      <c r="AV311" s="686" t="str">
        <f ca="1">IFERROR(VLOOKUP(AU311,INDIRECT(AQ311),2,FALSE),"----")</f>
        <v>----</v>
      </c>
      <c r="AW311" s="685" t="e">
        <f ca="1">MATCH(AL311,INDIRECT(AP312),-1)</f>
        <v>#REF!</v>
      </c>
      <c r="AX311" s="686" t="str">
        <f ca="1">IFERROR(VLOOKUP(AW311,INDIRECT(AQ312),2,FALSE),"----")</f>
        <v>----</v>
      </c>
      <c r="AY311" s="685" t="e">
        <f ca="1">MATCH(AL311,INDIRECT(AP313),-1)</f>
        <v>#REF!</v>
      </c>
      <c r="AZ311" s="686" t="str">
        <f ca="1">IFERROR(VLOOKUP(AY311,INDIRECT(AQ313),2,FALSE),"----")</f>
        <v>----</v>
      </c>
      <c r="BA311" s="685" t="e">
        <f ca="1">MATCH(AL311,INDIRECT(AP314),-1)</f>
        <v>#REF!</v>
      </c>
      <c r="BB311" s="686" t="str">
        <f ca="1">IFERROR(VLOOKUP(BA311,INDIRECT(AQ314),2,FALSE),"----")</f>
        <v>----</v>
      </c>
      <c r="BC311" s="685" t="e">
        <f ca="1">MATCH(AL311,INDIRECT(AP315),-1)</f>
        <v>#REF!</v>
      </c>
      <c r="BD311" s="686" t="str">
        <f ca="1">IFERROR(VLOOKUP(BC311,INDIRECT(AQ315),2,FALSE),"----")</f>
        <v>----</v>
      </c>
      <c r="BE311" s="685" t="e">
        <f ca="1">MATCH(AL311,INDIRECT(AP316),-1)</f>
        <v>#REF!</v>
      </c>
      <c r="BF311" s="686" t="str">
        <f ca="1">IFERROR(VLOOKUP(BE311,INDIRECT(AQ316),2,FALSE),"----")</f>
        <v>----</v>
      </c>
      <c r="BG311" s="685" t="e">
        <f ca="1">MATCH(AL317,INDIRECT(AP317),-1)</f>
        <v>#REF!</v>
      </c>
      <c r="BH311" s="686" t="str">
        <f ca="1">IFERROR(VLOOKUP(BG311,INDIRECT(AQ317),2,FALSE),"----")</f>
        <v>----</v>
      </c>
      <c r="BI311" s="685" t="e">
        <f ca="1">MATCH(AL317,INDIRECT(AP318),-1)</f>
        <v>#REF!</v>
      </c>
      <c r="BJ311" s="686" t="str">
        <f ca="1">IFERROR(VLOOKUP(BI311,INDIRECT(AQ318),2,FALSE),"----")</f>
        <v>----</v>
      </c>
      <c r="BK311" s="685" t="e">
        <f ca="1">MATCH(AL317,INDIRECT(AP319),-1)</f>
        <v>#REF!</v>
      </c>
      <c r="BL311" s="686" t="str">
        <f ca="1">IFERROR(VLOOKUP(BK311,INDIRECT(AQ319),2,FALSE),"----")</f>
        <v>----</v>
      </c>
      <c r="BM311" s="685" t="e">
        <f ca="1">MATCH(AL317,INDIRECT(AP320),-1)</f>
        <v>#REF!</v>
      </c>
      <c r="BN311" s="686" t="str">
        <f ca="1">IFERROR(VLOOKUP(BM311,INDIRECT(AQ320),2,FALSE),"----")</f>
        <v>----</v>
      </c>
      <c r="BO311" s="685" t="e">
        <f ca="1">MATCH(AL317,INDIRECT(AP321),-1)</f>
        <v>#REF!</v>
      </c>
      <c r="BP311" s="686" t="str">
        <f ca="1">IFERROR(VLOOKUP(BO311,INDIRECT(AQ321),2,FALSE),"----")</f>
        <v>----</v>
      </c>
      <c r="BQ311" s="685" t="e">
        <f ca="1">MATCH(AL317,INDIRECT(AP322),-1)</f>
        <v>#REF!</v>
      </c>
      <c r="BR311" s="686" t="str">
        <f ca="1">IFERROR(VLOOKUP(BQ311,INDIRECT(AQ322),2,FALSE),"----")</f>
        <v>----</v>
      </c>
      <c r="BS311" s="687">
        <f>IF(AI311="",1,IF(COUNTIF(AV311:AV322,AI311)=0,2,1))</f>
        <v>1</v>
      </c>
      <c r="BT311" s="688">
        <f>IF(AP311="1",1,IF(AF311="",1,IF(AV311=".",2,1)))</f>
        <v>1</v>
      </c>
      <c r="BU311" s="706"/>
      <c r="BV311" s="155">
        <f ca="1">IF(COUNTIF(CE311:CE322,AF311)=0,IF(AF311&lt;&gt;"",0,1),1)</f>
        <v>1</v>
      </c>
      <c r="BW311" s="157">
        <f ca="1">IFERROR(MATCH(AF311,CE311:CE322,0),1)</f>
        <v>1</v>
      </c>
      <c r="BX311" s="769" t="str">
        <f>IFERROR(IF(LEFT(J315,2)="As",VLOOKUP(J315,EIMM,2,FALSE),IF(AND(ISNUMBER(SEARCH("Impervia",J311)),ISNUMBER(SEARCH("door",J315))),VLOOKUP("Impervia Door",EIMM,2,FALSE),IF(AND(ISNUMBER(SEARCH("250",J311)),ISNUMBER(SEARCH("door",J315))),VLOOKUP("250 Series Door",EIMM,2,FALSE),VLOOKUP(J311,EIMM,2,FALSE)))),"")</f>
        <v/>
      </c>
      <c r="BY311" s="769" t="str">
        <f ca="1">IFERROR(VLOOKUP(BX311,OFFSET(EIMM,0,1),2,FALSE),"")</f>
        <v/>
      </c>
      <c r="BZ311" s="1110" t="e">
        <f ca="1">IF((COUNTIF(INDIRECT(SUBSTITUTE(J311," ","_")),J315))=0,IF(J315="",1,0),1)</f>
        <v>#REF!</v>
      </c>
      <c r="CA311" s="691" t="e">
        <f ca="1">MATCH(AC311,INDIRECT(BX311),-1)</f>
        <v>#REF!</v>
      </c>
      <c r="CB311" s="4" t="e" cm="1">
        <f t="array" aca="1" ref="CB311" ca="1">IF(AND(INDEX(INDIRECT(BY311),CA311,4)&gt;=$AB311,INDEX(INDIRECT(BY311),CA311,5)&gt;=$S311,INDEX(INDIRECT(BY311),CA311,6)&gt;=$R311),1,0)</f>
        <v>#REF!</v>
      </c>
      <c r="CC311" s="4" t="e">
        <f t="shared" ref="CC311" ca="1" si="5315">MATCH(1,OFFSET(CB311:CB322,$W$2,0,COUNT(CB311:CB322)-$W$2),0)</f>
        <v>#REF!</v>
      </c>
      <c r="CD311" s="4" t="e">
        <f t="shared" ref="CD311" ca="1" si="5316">$W$2+CC311</f>
        <v>#REF!</v>
      </c>
      <c r="CE311" s="692" t="str" cm="1">
        <f t="array" aca="1" ref="CE311" ca="1">IFERROR(VLOOKUP(INDEX(CA311:CA322,CD311),INDIRECT(BY311),2,FALSE),"----")</f>
        <v>----</v>
      </c>
      <c r="CF311" s="691" t="e">
        <f ca="1">MATCH($AC311,SSEI,-1)</f>
        <v>#N/A</v>
      </c>
      <c r="CG311" s="4" t="e">
        <f ca="1">IF(AND(INDEX(SSM,CF311,4)&gt;=$AB311,INDEX(SSM,CF311,5)&gt;=$S311,INDEX(SSM,CF311,6)&gt;=$R311),1,0)</f>
        <v>#N/A</v>
      </c>
      <c r="CH311" s="4" t="e">
        <f t="shared" ref="CH311" ca="1" si="5317">MATCH(1,OFFSET(CG311:CG322,$W$2,0,COUNT(CG311:CG322)-$W$2),0)</f>
        <v>#REF!</v>
      </c>
      <c r="CI311" s="4" t="e">
        <f t="shared" ref="CI311" ca="1" si="5318">$W$2+CH311</f>
        <v>#REF!</v>
      </c>
      <c r="CJ311" s="692" t="str">
        <f ca="1">IFERROR(IF(AD312="Nested Steel Stud (wood infill)",VLOOKUP(INDEX(CF311:CF322,CI311),SSW,2,FALSE),VLOOKUP(INDEX(CF311:CF322,CI311),SSM,2,FALSE)),"----")</f>
        <v>----</v>
      </c>
      <c r="CK311" s="691" t="e">
        <f ca="1">MATCH($AC311,WSEI,-1)</f>
        <v>#N/A</v>
      </c>
      <c r="CL311" s="4" t="e">
        <f ca="1">IF(AND(INDEX(WSM,CK311,4)&gt;=$AB311,INDEX(WSM,CK311,5)&gt;=$S311,INDEX(WSM,CK311,6)&gt;=$R311),1,0)</f>
        <v>#N/A</v>
      </c>
      <c r="CM311" s="4" t="e">
        <f t="shared" ref="CM311" ca="1" si="5319">MATCH(1,OFFSET(CL311:CL322,$W$2,0,COUNT(CL311:CL322)-$W$2),0)</f>
        <v>#REF!</v>
      </c>
      <c r="CN311" s="4" t="e">
        <f t="shared" ref="CN311" ca="1" si="5320">$W$2+CM311</f>
        <v>#REF!</v>
      </c>
      <c r="CO311" s="692" t="str">
        <f ca="1">IFERROR(VLOOKUP(INDEX(CK311:CK322,CN311),WSM,2,FALSE),"----")</f>
        <v>----</v>
      </c>
      <c r="CP311" s="691" t="e">
        <f ca="1">MATCH($AC311,STEI,-1)</f>
        <v>#N/A</v>
      </c>
      <c r="CQ311" s="4" t="e">
        <f ca="1">IF(AND(INDEX(STM,CP311,4)&gt;=$AB311,INDEX(STM,CP311,5)&gt;=$S311,INDEX(STM,CP311,6)&gt;=$R311),1,0)</f>
        <v>#N/A</v>
      </c>
      <c r="CR311" s="4" t="e">
        <f t="shared" ref="CR311" ca="1" si="5321">MATCH(1,OFFSET(CQ311:CQ322,$W$2,0,COUNT(CQ311:CQ322)-$W$2),0)</f>
        <v>#REF!</v>
      </c>
      <c r="CS311" s="4" t="e">
        <f t="shared" ref="CS311" ca="1" si="5322">$W$2+CR311</f>
        <v>#REF!</v>
      </c>
      <c r="CT311" s="692" t="str">
        <f ca="1">IFERROR(VLOOKUP(INDEX(CP311:CP322,CS311),STM,2,FALSE),"----")</f>
        <v>----</v>
      </c>
      <c r="CU311" s="691" t="e">
        <f ca="1">MATCH($AC311,ELEI,-1)</f>
        <v>#N/A</v>
      </c>
      <c r="CV311" s="4" t="e">
        <f ca="1">IF(AND(INDEX(ELM,CU311,4)&gt;=$AB311,INDEX(ELM,CU311,5)&gt;=$S311,INDEX(ELM,CU311,6)&gt;=$R311),1,0)</f>
        <v>#N/A</v>
      </c>
      <c r="CW311" s="4" t="e">
        <f t="shared" ref="CW311" ca="1" si="5323">MATCH(1,OFFSET(CV311:CV322,$W$2,0,COUNT(CV311:CV322)-$W$2),0)</f>
        <v>#REF!</v>
      </c>
      <c r="CX311" s="4" t="e">
        <f t="shared" ref="CX311" ca="1" si="5324">$W$2+CW311</f>
        <v>#REF!</v>
      </c>
      <c r="CY311" s="692" t="str">
        <f ca="1">IFERROR(VLOOKUP(INDEX(CU311:CU322,CX311),ELM,2,FALSE),"----")</f>
        <v>----</v>
      </c>
      <c r="CZ311" s="691" t="e">
        <f ca="1">IF(LEFT($J311,7)="Clad Wo",MATCH($AC311,SPEIW,-1),MATCH($AC311,SPEI,-1))</f>
        <v>#N/A</v>
      </c>
      <c r="DA311" s="4" t="e">
        <f ca="1">IF(LEFT($J311,7)="Clad Wo",IF(AND(INDEX(SPPWS,CZ311,4)&gt;=$AB311,INDEX(SPPWS,CZ311,5)&gt;=$S311,INDEX(SPPWS,CZ311,6)&gt;=$R311),1,0),IF(AND(INDEX(SPM,CZ311,4)&gt;=$AB311,INDEX(SPM,CZ311,5)&gt;=$S311,INDEX(SPM,CZ311,6)&gt;=$R311),1,0))</f>
        <v>#N/A</v>
      </c>
      <c r="DB311" s="4" t="e">
        <f t="shared" ref="DB311" ca="1" si="5325">MATCH(1,OFFSET(DA311:DA322,$W$2,0,COUNT(DA311:DA322)-$W$2),0)</f>
        <v>#REF!</v>
      </c>
      <c r="DC311" s="4" t="e">
        <f t="shared" ref="DC311" ca="1" si="5326">$W$2+DB311</f>
        <v>#REF!</v>
      </c>
      <c r="DD311" s="693" t="str">
        <f ca="1">IF(LEFT($J311,7)="Clad Wo",IFERROR(VLOOKUP(INDEX(CZ311:CZ322,DC311),SPPWS,2,FALSE),"----"),IFERROR(VLOOKUP(INDEX(CZ311:CZ322,DC311),SPM,2,FALSE),"----"))</f>
        <v>----</v>
      </c>
      <c r="DE311" s="691" t="e">
        <f ca="1">MATCH(AC317,INDIRECT(BX311),-1)</f>
        <v>#REF!</v>
      </c>
      <c r="DF311" s="4" t="e" cm="1">
        <f t="array" aca="1" ref="DF311" ca="1">IF(AND(INDEX(INDIRECT(BY311),DE311,4)&gt;=$AB317,INDEX(INDIRECT(BY311),DE311,5)&gt;=$S311,INDEX(INDIRECT(BY311),DE311,6)&gt;=$R311),1,0)</f>
        <v>#REF!</v>
      </c>
      <c r="DG311" s="4" t="e">
        <f t="shared" ref="DG311" ca="1" si="5327">MATCH(1,OFFSET(DF311:DF322,$W$2,0,COUNT(DF311:DF322)-$W$2),0)</f>
        <v>#REF!</v>
      </c>
      <c r="DH311" s="4" t="e">
        <f t="shared" ref="DH311" ca="1" si="5328">$W$2+DG311</f>
        <v>#REF!</v>
      </c>
      <c r="DI311" s="692" t="str" cm="1">
        <f t="array" aca="1" ref="DI311" ca="1">IFERROR(VLOOKUP(INDEX(DE311:DE322,DH311),INDIRECT(BY311),2,FALSE),"----")</f>
        <v>----</v>
      </c>
      <c r="DJ311" s="691" t="e">
        <f ca="1">MATCH($AC317,SSEI,-1)</f>
        <v>#N/A</v>
      </c>
      <c r="DK311" s="4" t="e">
        <f ca="1">IF(AND(INDEX(SSM,DJ311,4)&gt;=$AB317,INDEX(SSM,DJ311,5)&gt;=$S311,INDEX(SSM,DJ311,6)&gt;=$R311),1,0)</f>
        <v>#N/A</v>
      </c>
      <c r="DL311" s="4" t="e">
        <f t="shared" ref="DL311" ca="1" si="5329">MATCH(1,OFFSET(DK311:DK322,$W$2,0,COUNT(DK311:DK322)-$W$2),0)</f>
        <v>#REF!</v>
      </c>
      <c r="DM311" s="4" t="e">
        <f t="shared" ref="DM311" ca="1" si="5330">$W$2+DL311</f>
        <v>#REF!</v>
      </c>
      <c r="DN311" s="692" t="str">
        <f ca="1">IFERROR(IF(AD318="Nested Steel Stud (wood infill)",VLOOKUP(INDEX(DJ311:DJ322,DM311),SSW,2,FALSE),VLOOKUP(INDEX(DJ311:DJ322,DM311),SSM,2,FALSE)),"----")</f>
        <v>----</v>
      </c>
      <c r="DO311" s="691" t="e">
        <f ca="1">MATCH($AC317,WSEI,-1)</f>
        <v>#N/A</v>
      </c>
      <c r="DP311" s="4" t="e">
        <f ca="1">IF(AND(INDEX(WSM,DO311,4)&gt;=$AB317,INDEX(WSM,DO311,5)&gt;=$S311,INDEX(WSM,DO311,6)&gt;=$R311),1,0)</f>
        <v>#N/A</v>
      </c>
      <c r="DQ311" s="4" t="e">
        <f t="shared" ref="DQ311" ca="1" si="5331">MATCH(1,OFFSET(DP311:DP322,$W$2,0,COUNT(DP311:DP322)-$W$2),0)</f>
        <v>#REF!</v>
      </c>
      <c r="DR311" s="4" t="e">
        <f t="shared" ref="DR311" ca="1" si="5332">$W$2+DQ311</f>
        <v>#REF!</v>
      </c>
      <c r="DS311" s="692" t="str">
        <f ca="1">IFERROR(VLOOKUP(INDEX(DO311:DO322,DR311),WSM,2,FALSE),"----")</f>
        <v>----</v>
      </c>
      <c r="DT311" s="691" t="e">
        <f ca="1">MATCH($AC317,STEI,-1)</f>
        <v>#N/A</v>
      </c>
      <c r="DU311" s="4" t="e">
        <f ca="1">IF(AND(INDEX(STM,DT311,4)&gt;=$AB317,INDEX(STM,DT311,5)&gt;=$S311,INDEX(STM,DT311,6)&gt;=$R311),1,0)</f>
        <v>#N/A</v>
      </c>
      <c r="DV311" s="4" t="e">
        <f t="shared" ref="DV311" ca="1" si="5333">MATCH(1,OFFSET(DU311:DU322,$W$2,0,COUNT(DU311:DU322)-$W$2),0)</f>
        <v>#REF!</v>
      </c>
      <c r="DW311" s="4" t="e">
        <f t="shared" ref="DW311" ca="1" si="5334">$W$2+DV311</f>
        <v>#REF!</v>
      </c>
      <c r="DX311" s="692" t="str">
        <f ca="1">IFERROR(VLOOKUP(INDEX(DT311:DT322,DW311),STM,2,FALSE),"----")</f>
        <v>----</v>
      </c>
      <c r="DY311" s="691" t="e">
        <f ca="1">MATCH($AC317,ELEI,-1)</f>
        <v>#N/A</v>
      </c>
      <c r="DZ311" s="4" t="e">
        <f ca="1">IF(AND(INDEX(ELM,DY311,4)&gt;=$AB317,INDEX(ELM,DY311,5)&gt;=$S311,INDEX(ELM,DY311,6)&gt;=$R311),1,0)</f>
        <v>#N/A</v>
      </c>
      <c r="EA311" s="4" t="e">
        <f t="shared" ref="EA311" ca="1" si="5335">MATCH(1,OFFSET(DZ311:DZ322,$W$2,0,COUNT(DZ311:DZ322)-$W$2),0)</f>
        <v>#REF!</v>
      </c>
      <c r="EB311" s="4" t="e">
        <f t="shared" ref="EB311" ca="1" si="5336">EA311+$W$2</f>
        <v>#REF!</v>
      </c>
      <c r="EC311" s="692" t="str">
        <f ca="1">IFERROR(VLOOKUP(INDEX(DY311:DY322,EB311),ELM,2,FALSE),"----")</f>
        <v>----</v>
      </c>
      <c r="ED311" s="691" t="e">
        <f ca="1">IF(LEFT($J311,7)="Clad Wo",MATCH($AC317,SPEIW,-1),MATCH($AC317,SPEI,-1))</f>
        <v>#N/A</v>
      </c>
      <c r="EE311" s="4" t="e">
        <f ca="1">IF(LEFT($J311,7)="Clad Wo",IF(AND(INDEX(SPPWS,ED311,4)&gt;=$AB317,INDEX(SPPWS,ED311,5)&gt;=$S311,INDEX(SPPWS,ED311,6)&gt;=$R311),1,0),IF(AND(INDEX(SPM,ED311,4)&gt;=$AB317,INDEX(SPM,ED311,5)&gt;=$S311,INDEX(SPM,ED311,6)&gt;=$R311),1,0))</f>
        <v>#N/A</v>
      </c>
      <c r="EF311" s="4" t="e">
        <f t="shared" ref="EF311" ca="1" si="5337">MATCH(1,OFFSET(EE311:EE322,$W$2,0,COUNT(EE311:EE322)-$W$2),0)</f>
        <v>#REF!</v>
      </c>
      <c r="EG311" s="4" t="e">
        <f t="shared" ref="EG311" ca="1" si="5338">$W$2+EF311</f>
        <v>#REF!</v>
      </c>
      <c r="EH311" s="692" t="str">
        <f ca="1">IF(LEFT($J311,7)="Clad Wo",IFERROR(VLOOKUP(INDEX(ED311:ED322,EG311),SPPWS,2,FALSE),"----"),IFERROR(VLOOKUP(INDEX(ED311:ED322,EG311),SPM,2,FALSE),"----"))</f>
        <v>----</v>
      </c>
    </row>
    <row r="312" spans="1:138" ht="15" customHeight="1" x14ac:dyDescent="0.25">
      <c r="A312" s="1085"/>
      <c r="B312" s="925"/>
      <c r="C312" s="926"/>
      <c r="D312" s="927"/>
      <c r="E312" s="995"/>
      <c r="F312" s="996"/>
      <c r="G312" s="997"/>
      <c r="H312" s="1062"/>
      <c r="I312" s="990"/>
      <c r="J312" s="908"/>
      <c r="K312" s="909"/>
      <c r="L312" s="1002"/>
      <c r="M312" s="923"/>
      <c r="N312" s="1042"/>
      <c r="O312" s="1018"/>
      <c r="P312" s="987"/>
      <c r="Q312" s="1015"/>
      <c r="R312" s="1012"/>
      <c r="S312" s="1006"/>
      <c r="T312" s="1007"/>
      <c r="U312" s="878"/>
      <c r="V312" s="881"/>
      <c r="W312" s="884"/>
      <c r="X312" s="884"/>
      <c r="Y312" s="887"/>
      <c r="Z312" s="887"/>
      <c r="AA312" s="887"/>
      <c r="AB312" s="1081"/>
      <c r="AC312" s="1078"/>
      <c r="AD312" s="1102" t="s">
        <v>38</v>
      </c>
      <c r="AE312" s="1103"/>
      <c r="AF312" s="1052"/>
      <c r="AG312" s="1053"/>
      <c r="AH312" s="1053"/>
      <c r="AI312" s="1066"/>
      <c r="AJ312" s="1067"/>
      <c r="AK312" s="156" t="str">
        <f t="shared" ca="1" si="4947"/>
        <v/>
      </c>
      <c r="AL312" s="1039"/>
      <c r="AM312" s="343" t="str">
        <f ca="1">IFERROR(Q311/12*ROUND(VLOOKUP(AF312,OFFSET(SSM,0,1),6,FALSE),2),"")</f>
        <v/>
      </c>
      <c r="AN312" t="str">
        <f t="shared" ca="1" si="4971"/>
        <v/>
      </c>
      <c r="AP312" s="122" t="str">
        <f t="shared" ref="AP312" si="5339">_xlfn.CONCAT(AR312,AS316)</f>
        <v/>
      </c>
      <c r="AQ312" s="683" t="str">
        <f t="shared" si="5170"/>
        <v/>
      </c>
      <c r="AR312" s="96" t="str">
        <f t="shared" si="4931"/>
        <v/>
      </c>
      <c r="AS312" s="96" t="str">
        <f>IF(COUNTIF(Vista_1,AF311)=1,"Vista_1",IF(COUNTIF(Vista_2,AF311)=1,"Vista_2",""))</f>
        <v/>
      </c>
      <c r="AT312" s="684" t="str">
        <f>AL311</f>
        <v/>
      </c>
      <c r="AU312" s="694" t="e">
        <f t="shared" ref="AU312" ca="1" si="5340">AU311-1</f>
        <v>#REF!</v>
      </c>
      <c r="AV312" s="686" t="str">
        <f ca="1">IFERROR(VLOOKUP(AU312,INDIRECT(AQ311),2,FALSE),"----")</f>
        <v>----</v>
      </c>
      <c r="AW312" s="694" t="e">
        <f t="shared" ref="AW312:AW313" ca="1" si="5341">AW311-1</f>
        <v>#REF!</v>
      </c>
      <c r="AX312" s="686" t="str">
        <f ca="1">IFERROR(VLOOKUP(AW312,INDIRECT(AQ312),2,FALSE),"----")</f>
        <v>----</v>
      </c>
      <c r="AY312" s="694" t="e">
        <f t="shared" ref="AY312:AY313" ca="1" si="5342">AY311-1</f>
        <v>#REF!</v>
      </c>
      <c r="AZ312" s="686" t="str">
        <f ca="1">IFERROR(VLOOKUP(AY312,INDIRECT(AQ313),2,FALSE),"----")</f>
        <v>----</v>
      </c>
      <c r="BA312" s="694" t="e">
        <f t="shared" ref="BA312:BA313" ca="1" si="5343">BA311-1</f>
        <v>#REF!</v>
      </c>
      <c r="BB312" s="686" t="str">
        <f ca="1">IFERROR(VLOOKUP(BA312,INDIRECT(AQ314),2,FALSE),"----")</f>
        <v>----</v>
      </c>
      <c r="BC312" s="694" t="e">
        <f t="shared" ref="BC312:BC313" ca="1" si="5344">BC311-1</f>
        <v>#REF!</v>
      </c>
      <c r="BD312" s="686" t="str">
        <f ca="1">IFERROR(VLOOKUP(BC312,INDIRECT(AQ315),2,FALSE),"----")</f>
        <v>----</v>
      </c>
      <c r="BE312" s="694" t="e">
        <f t="shared" ref="BE312" ca="1" si="5345">BE311-1</f>
        <v>#REF!</v>
      </c>
      <c r="BF312" s="686" t="str">
        <f ca="1">IFERROR(VLOOKUP(BE312,INDIRECT(AQ316),2,FALSE),"----")</f>
        <v>----</v>
      </c>
      <c r="BG312" s="694" t="e">
        <f t="shared" ref="BG312" ca="1" si="5346">BG311-1</f>
        <v>#REF!</v>
      </c>
      <c r="BH312" s="686" t="str">
        <f ca="1">IFERROR(VLOOKUP(BG312,INDIRECT(AQ317),2,FALSE),"----")</f>
        <v>----</v>
      </c>
      <c r="BI312" s="694" t="e">
        <f t="shared" ref="BI312:BI313" ca="1" si="5347">BI311-1</f>
        <v>#REF!</v>
      </c>
      <c r="BJ312" s="686" t="str">
        <f ca="1">IFERROR(VLOOKUP(BI312,INDIRECT(AQ318),2,FALSE),"----")</f>
        <v>----</v>
      </c>
      <c r="BK312" s="694" t="e">
        <f t="shared" ref="BK312:BK313" ca="1" si="5348">BK311-1</f>
        <v>#REF!</v>
      </c>
      <c r="BL312" s="686" t="str">
        <f ca="1">IFERROR(VLOOKUP(BK312,INDIRECT(AQ319),2,FALSE),"----")</f>
        <v>----</v>
      </c>
      <c r="BM312" s="694" t="e">
        <f t="shared" ref="BM312:BM313" ca="1" si="5349">BM311-1</f>
        <v>#REF!</v>
      </c>
      <c r="BN312" s="686" t="str">
        <f ca="1">IFERROR(VLOOKUP(BM312,INDIRECT(AQ320),2,FALSE),"----")</f>
        <v>----</v>
      </c>
      <c r="BO312" s="694" t="e">
        <f t="shared" ref="BO312:BO313" ca="1" si="5350">BO311-1</f>
        <v>#REF!</v>
      </c>
      <c r="BP312" s="686" t="str">
        <f ca="1">IFERROR(VLOOKUP(BO312,INDIRECT(AQ321),2,FALSE),"----")</f>
        <v>----</v>
      </c>
      <c r="BQ312" s="694" t="e">
        <f t="shared" ref="BQ312" ca="1" si="5351">BQ311-1</f>
        <v>#REF!</v>
      </c>
      <c r="BR312" s="686" t="str">
        <f ca="1">IFERROR(VLOOKUP(BQ312,INDIRECT(AQ322),2,FALSE),"----")</f>
        <v>----</v>
      </c>
      <c r="BS312" s="695">
        <f>IF(AI312="",1,IF(COUNTIF(AX311:AX322,AI312)=0,2,1))</f>
        <v>1</v>
      </c>
      <c r="BT312" s="696">
        <f>IF(AF312="",1,IF(AX311=".",2,1))</f>
        <v>1</v>
      </c>
      <c r="BU312" s="706"/>
      <c r="BV312" s="155">
        <f ca="1">IF(COUNTIF(CJ311:CJ322,AF312)=0,IF(AF312&lt;&gt;"",0,1),1)</f>
        <v>1</v>
      </c>
      <c r="BW312" s="157">
        <f ca="1">IFERROR(MATCH(AF312,CJ311:CJ322,0),1)</f>
        <v>1</v>
      </c>
      <c r="BX312" s="769"/>
      <c r="BY312" s="769"/>
      <c r="BZ312" s="1110"/>
      <c r="CA312" s="691" t="e">
        <f t="shared" ref="CA312:CA322" ca="1" si="5352">CA311-1</f>
        <v>#REF!</v>
      </c>
      <c r="CB312" s="4" t="e" cm="1">
        <f t="array" aca="1" ref="CB312" ca="1">IF(AND(INDEX(INDIRECT(BY311),CA312,4)&gt;=$AB311,INDEX(INDIRECT(BY311),CA312,5)&gt;=$S311,INDEX(INDIRECT(BY311),CA312,6)&gt;=$R311),1,0)</f>
        <v>#REF!</v>
      </c>
      <c r="CC312" s="4" t="e">
        <f t="shared" ref="CC312" ca="1" si="5353">MATCH(1,OFFSET(CB311:CB322,CD311,0,COUNT(CB311:CB322)-CD311),0)</f>
        <v>#REF!</v>
      </c>
      <c r="CD312" s="4" t="e">
        <f t="shared" ref="CD312:CD322" ca="1" si="5354">CD311+CC312</f>
        <v>#REF!</v>
      </c>
      <c r="CE312" s="692" t="str" cm="1">
        <f t="array" aca="1" ref="CE312" ca="1">IFERROR(VLOOKUP(INDEX(CA311:CA322,CD312),INDIRECT(BY311),2,FALSE),"----")</f>
        <v>----</v>
      </c>
      <c r="CF312" s="691" t="e">
        <f t="shared" ref="CF312:CF322" ca="1" si="5355">CF311-1</f>
        <v>#N/A</v>
      </c>
      <c r="CG312" s="4" t="e">
        <f ca="1">IF(AND(INDEX(SSM,CF312,4)&gt;=$AB311,INDEX(SSM,CF312,5)&gt;=$S311,INDEX(SSM,CF312,6)&gt;=$R311),1,0)</f>
        <v>#N/A</v>
      </c>
      <c r="CH312" s="4" t="e">
        <f t="shared" ref="CH312" ca="1" si="5356">MATCH(1,OFFSET(CG311:CG322,CI311,0,COUNT(CG311:CG322)-CI311),0)</f>
        <v>#REF!</v>
      </c>
      <c r="CI312" s="4" t="e">
        <f t="shared" ref="CI312:CI322" ca="1" si="5357">CI311+CH312</f>
        <v>#REF!</v>
      </c>
      <c r="CJ312" s="692" t="str">
        <f ca="1">IFERROR(IF(AD312="Nested Steel Stud (wood infill)",VLOOKUP(INDEX(CF311:CF322,CI312),SSW,2,FALSE),VLOOKUP(INDEX(CF311:CF322,CI312),SSM,2,FALSE)),"----")</f>
        <v>----</v>
      </c>
      <c r="CK312" s="691" t="e">
        <f t="shared" ref="CK312:CK322" ca="1" si="5358">CK311-1</f>
        <v>#N/A</v>
      </c>
      <c r="CL312" s="4" t="e">
        <f ca="1">IF(AND(INDEX(WSM,CK312,4)&gt;=$AB311,INDEX(WSM,CK312,5)&gt;=$S311,INDEX(WSM,CK312,6)&gt;=$R311),1,0)</f>
        <v>#N/A</v>
      </c>
      <c r="CM312" s="4" t="e">
        <f t="shared" ref="CM312" ca="1" si="5359">MATCH(1,OFFSET(CL311:CL322,CN311,0,COUNT(CL311:CL322)-CN311),0)</f>
        <v>#REF!</v>
      </c>
      <c r="CN312" s="4" t="e">
        <f t="shared" ref="CN312:CN322" ca="1" si="5360">CM312+CN311</f>
        <v>#REF!</v>
      </c>
      <c r="CO312" s="692" t="str">
        <f ca="1">IFERROR(VLOOKUP(INDEX(CK311:CK322,CN312),WSM,2,FALSE),"----")</f>
        <v>----</v>
      </c>
      <c r="CP312" s="691" t="e">
        <f t="shared" ref="CP312:CP322" ca="1" si="5361">CP311-1</f>
        <v>#N/A</v>
      </c>
      <c r="CQ312" s="4" t="e">
        <f ca="1">IF(AND(INDEX(STM,CP312,4)&gt;=$AB311,INDEX(STM,CP312,5)&gt;=$S311,INDEX(STM,CP312,6)&gt;=$R311),1,0)</f>
        <v>#N/A</v>
      </c>
      <c r="CR312" s="4" t="e">
        <f t="shared" ref="CR312" ca="1" si="5362">MATCH(1,OFFSET(CQ311:CQ322,CS311,0,COUNT(CQ311:CQ322)-CS311),0)</f>
        <v>#REF!</v>
      </c>
      <c r="CS312" s="4" t="e">
        <f t="shared" ref="CS312:CS322" ca="1" si="5363">CR312+CS311</f>
        <v>#REF!</v>
      </c>
      <c r="CT312" s="692" t="str">
        <f ca="1">IFERROR(VLOOKUP(INDEX(CP311:CP322,CS312),STM,2,FALSE),"----")</f>
        <v>----</v>
      </c>
      <c r="CU312" s="691" t="e">
        <f t="shared" ref="CU312:CU322" ca="1" si="5364">CU311-1</f>
        <v>#N/A</v>
      </c>
      <c r="CV312" s="4" t="e">
        <f ca="1">IF(AND(INDEX(ELM,CU312,4)&gt;=$AB311,INDEX(ELM,CU312,5)&gt;=$S311,INDEX(ELM,CU312,6)&gt;=$R311),1,0)</f>
        <v>#N/A</v>
      </c>
      <c r="CW312" s="4" t="e">
        <f t="shared" ref="CW312" ca="1" si="5365">MATCH(1,OFFSET(CV311:CV322,CX311,0,COUNT(CV311:CV322)-CX311),0)</f>
        <v>#REF!</v>
      </c>
      <c r="CX312" s="4" t="e">
        <f t="shared" ref="CX312:CX322" ca="1" si="5366">CW312+CX311</f>
        <v>#REF!</v>
      </c>
      <c r="CY312" s="692" t="str">
        <f ca="1">IFERROR(VLOOKUP(INDEX(CU311:CU322,CX312),ELM,2,FALSE),"----")</f>
        <v>----</v>
      </c>
      <c r="CZ312" s="691" t="e">
        <f t="shared" ref="CZ312:CZ322" ca="1" si="5367">CZ311-1</f>
        <v>#N/A</v>
      </c>
      <c r="DA312" s="4" t="e">
        <f ca="1">IF(LEFT($J311,7)="Clad Wo",IF(AND(INDEX(SPPWS,CZ312,4)&gt;=$AB311,INDEX(SPPWS,CZ312,5)&gt;=$S311,INDEX(SPPWS,CZ312,6)&gt;=$R311),1,0),IF(AND(INDEX(SPM,CZ312,4)&gt;=$AB311,INDEX(SPM,CZ312,5)&gt;=$S311,INDEX(SPM,CZ312,6)&gt;=$R311),1,0))</f>
        <v>#N/A</v>
      </c>
      <c r="DB312" s="4" t="e">
        <f t="shared" ref="DB312" ca="1" si="5368">MATCH(1,OFFSET(DA311:DA322,DC311,0,COUNT(DA311:DA322)-DC311),0)</f>
        <v>#REF!</v>
      </c>
      <c r="DC312" s="4" t="e">
        <f t="shared" ref="DC312:DC322" ca="1" si="5369">DC311+DB312</f>
        <v>#REF!</v>
      </c>
      <c r="DD312" s="693" t="str">
        <f ca="1">IF(LEFT($J311,7)="Clad Wo",IFERROR(VLOOKUP(INDEX(CZ311:CZ322,DC312),SPPWS,2,FALSE),"----"),IFERROR(VLOOKUP(INDEX(CZ311:CZ322,DC312),SPM,2,FALSE),"----"))</f>
        <v>----</v>
      </c>
      <c r="DE312" s="691" t="e">
        <f t="shared" ref="DE312:DE322" ca="1" si="5370">DE311-1</f>
        <v>#REF!</v>
      </c>
      <c r="DF312" s="4" t="e" cm="1">
        <f t="array" aca="1" ref="DF312" ca="1">IF(AND(INDEX(INDIRECT(BY311),DE312,4)&gt;=$AB317,INDEX(INDIRECT(BY311),DE312,5)&gt;=$S311,INDEX(INDIRECT(BY311),DE312,6)&gt;=$R311),1,0)</f>
        <v>#REF!</v>
      </c>
      <c r="DG312" s="4" t="e">
        <f t="shared" ref="DG312" ca="1" si="5371">MATCH(1,OFFSET(DF311:DF322,DH311,0,COUNT(DF311:DF322)-DH311),0)</f>
        <v>#REF!</v>
      </c>
      <c r="DH312" s="4" t="e">
        <f t="shared" ref="DH312:DH322" ca="1" si="5372">DH311+DG312</f>
        <v>#REF!</v>
      </c>
      <c r="DI312" s="692" t="str" cm="1">
        <f t="array" aca="1" ref="DI312" ca="1">IFERROR(VLOOKUP(INDEX(DE311:DE322,DH312),INDIRECT(BY311),2,FALSE),"----")</f>
        <v>----</v>
      </c>
      <c r="DJ312" s="691" t="e">
        <f t="shared" ref="DJ312:DJ322" ca="1" si="5373">DJ311-1</f>
        <v>#N/A</v>
      </c>
      <c r="DK312" s="4" t="e">
        <f ca="1">IF(AND(INDEX(SSM,DJ312,4)&gt;=$AB317,INDEX(SSM,DJ312,5)&gt;=$S311,INDEX(SSM,DJ312,6)&gt;=$R311),1,0)</f>
        <v>#N/A</v>
      </c>
      <c r="DL312" s="4" t="e">
        <f t="shared" ref="DL312" ca="1" si="5374">MATCH(1,OFFSET(DK311:DK322,DM311,0,COUNT(DK311:DK322)-DM311),0)</f>
        <v>#REF!</v>
      </c>
      <c r="DM312" s="4" t="e">
        <f t="shared" ref="DM312:DM322" ca="1" si="5375">DL312+DM311</f>
        <v>#REF!</v>
      </c>
      <c r="DN312" s="692" t="str">
        <f ca="1">IFERROR(IF(AD318="Nested Steel Stud (wood infill)",VLOOKUP(INDEX(DJ311:DJ322,DM312),SSW,2,FALSE),VLOOKUP(INDEX(DJ311:DJ322,DM312),SSM,2,FALSE)),"----")</f>
        <v>----</v>
      </c>
      <c r="DO312" s="691" t="e">
        <f t="shared" ref="DO312:DO322" ca="1" si="5376">DO311-1</f>
        <v>#N/A</v>
      </c>
      <c r="DP312" s="4" t="e">
        <f ca="1">IF(AND(INDEX(WSM,DO312,4)&gt;=$AB317,INDEX(WSM,DO312,5)&gt;=$S311,INDEX(WSM,DO312,6)&gt;=$R311),1,0)</f>
        <v>#N/A</v>
      </c>
      <c r="DQ312" s="4" t="e">
        <f t="shared" ref="DQ312" ca="1" si="5377">MATCH(1,OFFSET(DP311:DP322,DR311,0,COUNT(DP311:DP322)-DR311),0)</f>
        <v>#REF!</v>
      </c>
      <c r="DR312" s="4" t="e">
        <f t="shared" ref="DR312:DR322" ca="1" si="5378">DQ312+DR311</f>
        <v>#REF!</v>
      </c>
      <c r="DS312" s="692" t="str">
        <f ca="1">IFERROR(VLOOKUP(INDEX(DO311:DO322,DR312),WSM,2,FALSE),"----")</f>
        <v>----</v>
      </c>
      <c r="DT312" s="691" t="e">
        <f t="shared" ref="DT312:DT322" ca="1" si="5379">DT311-1</f>
        <v>#N/A</v>
      </c>
      <c r="DU312" s="4" t="e">
        <f ca="1">IF(AND(INDEX(STM,DT312,4)&gt;=$AB317,INDEX(STM,DT312,5)&gt;=$S311,INDEX(STM,DT312,6)&gt;=$R311),1,0)</f>
        <v>#N/A</v>
      </c>
      <c r="DV312" s="4" t="e">
        <f t="shared" ref="DV312" ca="1" si="5380">MATCH(1,OFFSET(DU311:DU322,DW311,0,COUNT(DU311:DU322)-DW311),0)</f>
        <v>#REF!</v>
      </c>
      <c r="DW312" s="4" t="e">
        <f t="shared" ref="DW312:DW322" ca="1" si="5381">DV312+DW311</f>
        <v>#REF!</v>
      </c>
      <c r="DX312" s="692" t="str">
        <f ca="1">IFERROR(VLOOKUP(INDEX(DT311:DT322,DW312),STM,2,FALSE),"----")</f>
        <v>----</v>
      </c>
      <c r="DY312" s="691" t="e">
        <f t="shared" ref="DY312:DY322" ca="1" si="5382">DY311-1</f>
        <v>#N/A</v>
      </c>
      <c r="DZ312" s="4" t="e">
        <f ca="1">IF(AND(INDEX(ELM,DY312,4)&gt;=$AB317,INDEX(ELM,DY312,5)&gt;=$S311,INDEX(ELM,DY312,6)&gt;=$R311),1,0)</f>
        <v>#N/A</v>
      </c>
      <c r="EA312" s="4" t="e">
        <f t="shared" ref="EA312" ca="1" si="5383">MATCH(1,OFFSET(DZ311:DZ322,EB311,0,COUNT(DZ311:DZ322)-EB311),0)</f>
        <v>#REF!</v>
      </c>
      <c r="EB312" s="4" t="e">
        <f t="shared" ref="EB312:EB322" ca="1" si="5384">EA312+EB311</f>
        <v>#REF!</v>
      </c>
      <c r="EC312" s="692" t="str">
        <f ca="1">IFERROR(VLOOKUP(INDEX(DY311:DY322,EB312),ELM,2,FALSE),"----")</f>
        <v>----</v>
      </c>
      <c r="ED312" s="691" t="e">
        <f t="shared" ref="ED312:ED322" ca="1" si="5385">ED311-1</f>
        <v>#N/A</v>
      </c>
      <c r="EE312" s="4" t="e">
        <f ca="1">IF(LEFT($J311,7)="Clad Wo",IF(AND(INDEX(SPPWS,ED312,4)&gt;=$AB317,INDEX(SPPWS,ED312,5)&gt;=$S311,INDEX(SPPWS,ED312,6)&gt;=$R311),1,0),IF(AND(INDEX(SPM,ED312,4)&gt;=$AB317,INDEX(SPM,ED312,5)&gt;=$S311,INDEX(SPM,ED312,6)&gt;=$R311),1,0))</f>
        <v>#N/A</v>
      </c>
      <c r="EF312" s="4" t="e">
        <f t="shared" ref="EF312" ca="1" si="5386">MATCH(1,OFFSET(EE311:EE322,EG311,0,COUNT(EE311:EE322)-EG311),0)</f>
        <v>#REF!</v>
      </c>
      <c r="EG312" s="4" t="e">
        <f t="shared" ref="EG312:EG322" ca="1" si="5387">EG311+EF312</f>
        <v>#REF!</v>
      </c>
      <c r="EH312" s="692" t="str">
        <f ca="1">IF(LEFT($J311,7)="Clad Wo",IFERROR(VLOOKUP(INDEX(ED311:ED322,EG312),SPPWS,2,FALSE),"----"),IFERROR(VLOOKUP(INDEX(ED311:ED322,EG312),SPM,2,FALSE),"----"))</f>
        <v>----</v>
      </c>
    </row>
    <row r="313" spans="1:138" ht="15" customHeight="1" x14ac:dyDescent="0.25">
      <c r="A313" s="1085"/>
      <c r="B313" s="925"/>
      <c r="C313" s="926"/>
      <c r="D313" s="927"/>
      <c r="E313" s="995"/>
      <c r="F313" s="996"/>
      <c r="G313" s="997"/>
      <c r="H313" s="1062"/>
      <c r="I313" s="990"/>
      <c r="J313" s="908"/>
      <c r="K313" s="909"/>
      <c r="L313" s="1002"/>
      <c r="M313" s="923"/>
      <c r="N313" s="1042"/>
      <c r="O313" s="1018"/>
      <c r="P313" s="987"/>
      <c r="Q313" s="1015"/>
      <c r="R313" s="1012"/>
      <c r="S313" s="1006"/>
      <c r="T313" s="1007"/>
      <c r="U313" s="878"/>
      <c r="V313" s="881"/>
      <c r="W313" s="884"/>
      <c r="X313" s="884"/>
      <c r="Y313" s="887"/>
      <c r="Z313" s="887"/>
      <c r="AA313" s="887"/>
      <c r="AB313" s="1081"/>
      <c r="AC313" s="1078"/>
      <c r="AD313" s="1070" t="s">
        <v>333</v>
      </c>
      <c r="AE313" s="1071"/>
      <c r="AF313" s="1052"/>
      <c r="AG313" s="1053"/>
      <c r="AH313" s="1053"/>
      <c r="AI313" s="1066"/>
      <c r="AJ313" s="1067"/>
      <c r="AK313" s="154" t="str">
        <f t="shared" ca="1" si="4947"/>
        <v/>
      </c>
      <c r="AL313" s="1039"/>
      <c r="AM313" s="344" t="str">
        <f ca="1">IFERROR(Q311/12*ROUND(VLOOKUP(AF313,OFFSET(WSM,0,1),6,FALSE),2),"")</f>
        <v/>
      </c>
      <c r="AN313" t="str">
        <f t="shared" ca="1" si="4971"/>
        <v/>
      </c>
      <c r="AP313" s="122" t="str">
        <f t="shared" ref="AP313" si="5388">_xlfn.CONCAT(AR313,AS316)</f>
        <v/>
      </c>
      <c r="AQ313" s="683" t="str">
        <f t="shared" si="5170"/>
        <v/>
      </c>
      <c r="AR313" s="4" t="str">
        <f t="shared" si="4931"/>
        <v/>
      </c>
      <c r="AS313" s="4"/>
      <c r="AT313" s="697" t="str">
        <f>AL311</f>
        <v/>
      </c>
      <c r="AU313" s="694" t="e">
        <f t="shared" ca="1" si="5187"/>
        <v>#REF!</v>
      </c>
      <c r="AV313" s="686" t="str">
        <f ca="1">IFERROR(VLOOKUP(AU313,INDIRECT(AQ311),2,FALSE),"----")</f>
        <v>----</v>
      </c>
      <c r="AW313" s="694" t="e">
        <f t="shared" ca="1" si="5341"/>
        <v>#REF!</v>
      </c>
      <c r="AX313" s="686" t="str">
        <f ca="1">IFERROR(VLOOKUP(AW313,INDIRECT(AQ312),2,FALSE),"----")</f>
        <v>----</v>
      </c>
      <c r="AY313" s="694" t="e">
        <f t="shared" ca="1" si="5342"/>
        <v>#REF!</v>
      </c>
      <c r="AZ313" s="686" t="str">
        <f ca="1">IFERROR(VLOOKUP(AY313,INDIRECT(AQ313),2,FALSE),"----")</f>
        <v>----</v>
      </c>
      <c r="BA313" s="694" t="e">
        <f t="shared" ca="1" si="5343"/>
        <v>#REF!</v>
      </c>
      <c r="BB313" s="686" t="str">
        <f ca="1">IFERROR(VLOOKUP(BA313,INDIRECT(AQ314),2,FALSE),"----")</f>
        <v>----</v>
      </c>
      <c r="BC313" s="694" t="e">
        <f t="shared" ca="1" si="5344"/>
        <v>#REF!</v>
      </c>
      <c r="BD313" s="686" t="str">
        <f ca="1">IFERROR(VLOOKUP(BC313,INDIRECT(AQ315),2,FALSE),"----")</f>
        <v>----</v>
      </c>
      <c r="BE313" s="694" t="e">
        <f t="shared" ca="1" si="5192"/>
        <v>#REF!</v>
      </c>
      <c r="BF313" s="686" t="str">
        <f ca="1">IFERROR(VLOOKUP(BE313,INDIRECT(AQ316),2,FALSE),"----")</f>
        <v>----</v>
      </c>
      <c r="BG313" s="694" t="e">
        <f t="shared" ca="1" si="5193"/>
        <v>#REF!</v>
      </c>
      <c r="BH313" s="686" t="str">
        <f ca="1">IFERROR(VLOOKUP(BG313,INDIRECT(AQ317),2,FALSE),"----")</f>
        <v>----</v>
      </c>
      <c r="BI313" s="694" t="e">
        <f t="shared" ca="1" si="5347"/>
        <v>#REF!</v>
      </c>
      <c r="BJ313" s="686" t="str">
        <f ca="1">IFERROR(VLOOKUP(BI313,INDIRECT(AQ318),2,FALSE),"----")</f>
        <v>----</v>
      </c>
      <c r="BK313" s="694" t="e">
        <f t="shared" ca="1" si="5348"/>
        <v>#REF!</v>
      </c>
      <c r="BL313" s="686" t="str">
        <f ca="1">IFERROR(VLOOKUP(BK313,INDIRECT(AQ319),2,FALSE),"----")</f>
        <v>----</v>
      </c>
      <c r="BM313" s="694" t="e">
        <f t="shared" ca="1" si="5349"/>
        <v>#REF!</v>
      </c>
      <c r="BN313" s="686" t="str">
        <f ca="1">IFERROR(VLOOKUP(BM313,INDIRECT(AQ320),2,FALSE),"----")</f>
        <v>----</v>
      </c>
      <c r="BO313" s="694" t="e">
        <f t="shared" ca="1" si="5350"/>
        <v>#REF!</v>
      </c>
      <c r="BP313" s="686" t="str">
        <f ca="1">IFERROR(VLOOKUP(BO313,INDIRECT(AQ321),2,FALSE),"----")</f>
        <v>----</v>
      </c>
      <c r="BQ313" s="694" t="e">
        <f t="shared" ca="1" si="5198"/>
        <v>#REF!</v>
      </c>
      <c r="BR313" s="686" t="str">
        <f ca="1">IFERROR(VLOOKUP(BQ313,INDIRECT(AQ322),2,FALSE),"----")</f>
        <v>----</v>
      </c>
      <c r="BS313" s="695">
        <f>IF(AI313="",1,IF(COUNTIF(AZ311:AZ322,AI313)=0,2,1))</f>
        <v>1</v>
      </c>
      <c r="BT313" s="696">
        <f>IF(AF313="",1,IF(AZ311=".",2,1))</f>
        <v>1</v>
      </c>
      <c r="BU313" s="706"/>
      <c r="BV313" s="155">
        <f ca="1">IF(COUNTIF(CO311:CO322,AF313)=0,IF(AF313&lt;&gt;"",0,1),1)</f>
        <v>1</v>
      </c>
      <c r="BW313" s="157">
        <f ca="1">IFERROR(MATCH(AF313,CO311:CO322,0),1)</f>
        <v>1</v>
      </c>
      <c r="BX313" s="769"/>
      <c r="BY313" s="769"/>
      <c r="BZ313" s="1110"/>
      <c r="CA313" s="691" t="e">
        <f t="shared" ca="1" si="5352"/>
        <v>#REF!</v>
      </c>
      <c r="CB313" s="4" t="e" cm="1">
        <f t="array" aca="1" ref="CB313" ca="1">IF(AND(INDEX(INDIRECT(BY311),CA313,4)&gt;=$AB311,INDEX(INDIRECT(BY311),CA313,5)&gt;=$S311,INDEX(INDIRECT(BY311),CA313,6)&gt;=$R311),1,0)</f>
        <v>#REF!</v>
      </c>
      <c r="CC313" s="4" t="e">
        <f t="shared" ref="CC313" ca="1" si="5389">MATCH(1,OFFSET(CB311:CB322,CD312,0,COUNT(CB311:CB322)-CD312),0)</f>
        <v>#REF!</v>
      </c>
      <c r="CD313" s="4" t="e">
        <f t="shared" ca="1" si="5354"/>
        <v>#REF!</v>
      </c>
      <c r="CE313" s="692" t="str" cm="1">
        <f t="array" aca="1" ref="CE313" ca="1">IFERROR(VLOOKUP(INDEX(CA311:CA322,CD313),INDIRECT(BY311),2,FALSE),"----")</f>
        <v>----</v>
      </c>
      <c r="CF313" s="691" t="e">
        <f t="shared" ca="1" si="5355"/>
        <v>#N/A</v>
      </c>
      <c r="CG313" s="4" t="e">
        <f ca="1">IF(AND(INDEX(SSM,CF313,4)&gt;=$AB311,INDEX(SSM,CF313,5)&gt;=$S311,INDEX(SSM,CF313,6)&gt;=$R311),1,0)</f>
        <v>#N/A</v>
      </c>
      <c r="CH313" s="4" t="e">
        <f t="shared" ref="CH313" ca="1" si="5390">MATCH(1,OFFSET(CG311:CG322,CI312,0,COUNT(CG311:CG322)-CI312),0)</f>
        <v>#REF!</v>
      </c>
      <c r="CI313" s="4" t="e">
        <f t="shared" ca="1" si="5357"/>
        <v>#REF!</v>
      </c>
      <c r="CJ313" s="692" t="str">
        <f ca="1">IFERROR(IF(AD312="Nested Steel Stud (wood infill)",VLOOKUP(INDEX(CF311:CF322,CI313),SSW,2,FALSE),VLOOKUP(INDEX(CF311:CF322,CI313),SSM,2,FALSE)),"----")</f>
        <v>----</v>
      </c>
      <c r="CK313" s="691" t="e">
        <f t="shared" ca="1" si="5358"/>
        <v>#N/A</v>
      </c>
      <c r="CL313" s="4" t="e">
        <f ca="1">IF(AND(INDEX(WSM,CK313,4)&gt;=$AB311,INDEX(WSM,CK313,5)&gt;=$S311,INDEX(WSM,CK313,6)&gt;=$R311),1,0)</f>
        <v>#N/A</v>
      </c>
      <c r="CM313" s="4" t="e">
        <f t="shared" ref="CM313" ca="1" si="5391">MATCH(1,OFFSET(CL311:CL322,CN312,0,COUNT(CL311:CL322)-CN312),0)</f>
        <v>#REF!</v>
      </c>
      <c r="CN313" s="4" t="e">
        <f t="shared" ca="1" si="5360"/>
        <v>#REF!</v>
      </c>
      <c r="CO313" s="692" t="str">
        <f ca="1">IFERROR(VLOOKUP(INDEX(CK311:CK322,CN313),WSM,2,FALSE),"----")</f>
        <v>----</v>
      </c>
      <c r="CP313" s="691" t="e">
        <f t="shared" ca="1" si="5361"/>
        <v>#N/A</v>
      </c>
      <c r="CQ313" s="4" t="e">
        <f ca="1">IF(AND(INDEX(STM,CP313,4)&gt;=$AB311,INDEX(STM,CP313,5)&gt;=$S311,INDEX(STM,CP313,6)&gt;=$R311),1,0)</f>
        <v>#N/A</v>
      </c>
      <c r="CR313" s="4" t="e">
        <f t="shared" ref="CR313" ca="1" si="5392">MATCH(1,OFFSET(CQ311:CQ322,CS312,0,COUNT(CQ311:CQ322)-CS312),0)</f>
        <v>#REF!</v>
      </c>
      <c r="CS313" s="4" t="e">
        <f t="shared" ca="1" si="5363"/>
        <v>#REF!</v>
      </c>
      <c r="CT313" s="692" t="str">
        <f ca="1">IFERROR(VLOOKUP(INDEX(CP311:CP322,CS313),STM,2,FALSE),"----")</f>
        <v>----</v>
      </c>
      <c r="CU313" s="691" t="e">
        <f t="shared" ca="1" si="5364"/>
        <v>#N/A</v>
      </c>
      <c r="CV313" s="4" t="e">
        <f ca="1">IF(AND(INDEX(ELM,CU313,4)&gt;=$AB311,INDEX(ELM,CU313,5)&gt;=$S311,INDEX(ELM,CU313,6)&gt;=$R311),1,0)</f>
        <v>#N/A</v>
      </c>
      <c r="CW313" s="4" t="e">
        <f t="shared" ref="CW313" ca="1" si="5393">MATCH(1,OFFSET(CV311:CV322,CX312,0,COUNT(CV311:CV322)-CX312),0)</f>
        <v>#REF!</v>
      </c>
      <c r="CX313" s="4" t="e">
        <f t="shared" ca="1" si="5366"/>
        <v>#REF!</v>
      </c>
      <c r="CY313" s="692" t="str">
        <f ca="1">IFERROR(VLOOKUP(INDEX(CU311:CU322,CX313),ELM,2,FALSE),"----")</f>
        <v>----</v>
      </c>
      <c r="CZ313" s="691" t="e">
        <f t="shared" ca="1" si="5367"/>
        <v>#N/A</v>
      </c>
      <c r="DA313" s="4" t="e">
        <f ca="1">IF(LEFT($J311,7)="Clad Wo",IF(AND(INDEX(SPPWS,CZ313,4)&gt;=$AB311,INDEX(SPPWS,CZ313,5)&gt;=$S311,INDEX(SPPWS,CZ313,6)&gt;=$R311),1,0),IF(AND(INDEX(SPM,CZ313,4)&gt;=$AB311,INDEX(SPM,CZ313,5)&gt;=$S311,INDEX(SPM,CZ313,6)&gt;=$R311),1,0))</f>
        <v>#N/A</v>
      </c>
      <c r="DB313" s="4" t="e">
        <f t="shared" ref="DB313" ca="1" si="5394">MATCH(1,OFFSET(DA311:DA322,DC312,0,COUNT(DA311:DA322)-DC312),0)</f>
        <v>#REF!</v>
      </c>
      <c r="DC313" s="4" t="e">
        <f t="shared" ca="1" si="5369"/>
        <v>#REF!</v>
      </c>
      <c r="DD313" s="693" t="str">
        <f ca="1">IF(LEFT($J311,7)="Clad Wo",IFERROR(VLOOKUP(INDEX(CZ311:CZ322,DC313),SPPWS,2,FALSE),"----"),IFERROR(VLOOKUP(INDEX(CZ311:CZ322,DC313),SPM,2,FALSE),"----"))</f>
        <v>----</v>
      </c>
      <c r="DE313" s="691" t="e">
        <f t="shared" ca="1" si="5370"/>
        <v>#REF!</v>
      </c>
      <c r="DF313" s="4" t="e" cm="1">
        <f t="array" aca="1" ref="DF313" ca="1">IF(AND(INDEX(INDIRECT(BY311),DE313,4)&gt;=$AB317,INDEX(INDIRECT(BY311),DE313,5)&gt;=$S311,INDEX(INDIRECT(BY311),DE313,6)&gt;=$R311),1,0)</f>
        <v>#REF!</v>
      </c>
      <c r="DG313" s="4" t="e">
        <f t="shared" ref="DG313" ca="1" si="5395">MATCH(1,OFFSET(DF311:DF322,DH312,0,COUNT(DF311:DF322)-DH312),0)</f>
        <v>#REF!</v>
      </c>
      <c r="DH313" s="4" t="e">
        <f t="shared" ca="1" si="5372"/>
        <v>#REF!</v>
      </c>
      <c r="DI313" s="692" t="str" cm="1">
        <f t="array" aca="1" ref="DI313" ca="1">IFERROR(VLOOKUP(INDEX(DE311:DE322,DH313),INDIRECT(BY311),2,FALSE),"----")</f>
        <v>----</v>
      </c>
      <c r="DJ313" s="691" t="e">
        <f t="shared" ca="1" si="5373"/>
        <v>#N/A</v>
      </c>
      <c r="DK313" s="4" t="e">
        <f ca="1">IF(AND(INDEX(SSM,DJ313,4)&gt;=$AB317,INDEX(SSM,DJ313,5)&gt;=$S311,INDEX(SSM,DJ313,6)&gt;=$R311),1,0)</f>
        <v>#N/A</v>
      </c>
      <c r="DL313" s="4" t="e">
        <f t="shared" ref="DL313" ca="1" si="5396">MATCH(1,OFFSET(DK311:DK322,DM312,0,COUNT(DK311:DK322)-DM312),0)</f>
        <v>#REF!</v>
      </c>
      <c r="DM313" s="4" t="e">
        <f t="shared" ca="1" si="5375"/>
        <v>#REF!</v>
      </c>
      <c r="DN313" s="692" t="str">
        <f ca="1">IFERROR(IF(AD318="Nested Steel Stud (wood infill)",VLOOKUP(INDEX(DJ311:DJ322,DM313),SSW,2,FALSE),VLOOKUP(INDEX(DJ311:DJ322,DM313),SSM,2,FALSE)),"----")</f>
        <v>----</v>
      </c>
      <c r="DO313" s="691" t="e">
        <f t="shared" ca="1" si="5376"/>
        <v>#N/A</v>
      </c>
      <c r="DP313" s="4" t="e">
        <f ca="1">IF(AND(INDEX(WSM,DO313,4)&gt;=$AB317,INDEX(WSM,DO313,5)&gt;=$S311,INDEX(WSM,DO313,6)&gt;=$R311),1,0)</f>
        <v>#N/A</v>
      </c>
      <c r="DQ313" s="4" t="e">
        <f t="shared" ref="DQ313" ca="1" si="5397">MATCH(1,OFFSET(DP311:DP322,DR312,0,COUNT(DP311:DP322)-DR312),0)</f>
        <v>#REF!</v>
      </c>
      <c r="DR313" s="4" t="e">
        <f t="shared" ca="1" si="5378"/>
        <v>#REF!</v>
      </c>
      <c r="DS313" s="692" t="str">
        <f ca="1">IFERROR(VLOOKUP(INDEX(DO311:DO322,DR313),WSM,2,FALSE),"----")</f>
        <v>----</v>
      </c>
      <c r="DT313" s="691" t="e">
        <f t="shared" ca="1" si="5379"/>
        <v>#N/A</v>
      </c>
      <c r="DU313" s="4" t="e">
        <f ca="1">IF(AND(INDEX(STM,DT313,4)&gt;=$AB317,INDEX(STM,DT313,5)&gt;=$S311,INDEX(STM,DT313,6)&gt;=$R311),1,0)</f>
        <v>#N/A</v>
      </c>
      <c r="DV313" s="4" t="e">
        <f t="shared" ref="DV313" ca="1" si="5398">MATCH(1,OFFSET(DU311:DU322,DW312,0,COUNT(DU311:DU322)-DW312),0)</f>
        <v>#REF!</v>
      </c>
      <c r="DW313" s="4" t="e">
        <f t="shared" ca="1" si="5381"/>
        <v>#REF!</v>
      </c>
      <c r="DX313" s="692" t="str">
        <f ca="1">IFERROR(VLOOKUP(INDEX(DT311:DT322,DW313),STM,2,FALSE),"----")</f>
        <v>----</v>
      </c>
      <c r="DY313" s="691" t="e">
        <f t="shared" ca="1" si="5382"/>
        <v>#N/A</v>
      </c>
      <c r="DZ313" s="4" t="e">
        <f ca="1">IF(AND(INDEX(ELM,DY313,4)&gt;=$AB317,INDEX(ELM,DY313,5)&gt;=$S311,INDEX(ELM,DY313,6)&gt;=$R311),1,0)</f>
        <v>#N/A</v>
      </c>
      <c r="EA313" s="4" t="e">
        <f t="shared" ref="EA313" ca="1" si="5399">MATCH(1,OFFSET(DZ311:DZ322,EB312,0,COUNT(DZ311:DZ322)-EB312),0)</f>
        <v>#REF!</v>
      </c>
      <c r="EB313" s="4" t="e">
        <f t="shared" ca="1" si="5384"/>
        <v>#REF!</v>
      </c>
      <c r="EC313" s="692" t="str">
        <f ca="1">IFERROR(VLOOKUP(INDEX(DY311:DY322,EB313),ELM,2,FALSE),"----")</f>
        <v>----</v>
      </c>
      <c r="ED313" s="691" t="e">
        <f t="shared" ca="1" si="5385"/>
        <v>#N/A</v>
      </c>
      <c r="EE313" s="4" t="e">
        <f ca="1">IF(LEFT($J311,7)="Clad Wo",IF(AND(INDEX(SPPWS,ED313,4)&gt;=$AB317,INDEX(SPPWS,ED313,5)&gt;=$S311,INDEX(SPPWS,ED313,6)&gt;=$R311),1,0),IF(AND(INDEX(SPM,ED313,4)&gt;=$AB317,INDEX(SPM,ED313,5)&gt;=$S311,INDEX(SPM,ED313,6)&gt;=$R311),1,0))</f>
        <v>#N/A</v>
      </c>
      <c r="EF313" s="4" t="e">
        <f t="shared" ref="EF313" ca="1" si="5400">MATCH(1,OFFSET(EE311:EE322,EG312,0,COUNT(EE311:EE322)-EG312),0)</f>
        <v>#REF!</v>
      </c>
      <c r="EG313" s="4" t="e">
        <f t="shared" ca="1" si="5387"/>
        <v>#REF!</v>
      </c>
      <c r="EH313" s="692" t="str">
        <f ca="1">IF(LEFT($J311,7)="Clad Wo",IFERROR(VLOOKUP(INDEX(ED311:ED322,EG313),SPPWS,2,FALSE),"----"),IFERROR(VLOOKUP(INDEX(ED311:ED322,EG313),SPM,2,FALSE),"----"))</f>
        <v>----</v>
      </c>
    </row>
    <row r="314" spans="1:138" ht="15" customHeight="1" x14ac:dyDescent="0.25">
      <c r="A314" s="1085"/>
      <c r="B314" s="925"/>
      <c r="C314" s="926"/>
      <c r="D314" s="927"/>
      <c r="E314" s="995"/>
      <c r="F314" s="996"/>
      <c r="G314" s="997"/>
      <c r="H314" s="1062"/>
      <c r="I314" s="990"/>
      <c r="J314" s="908"/>
      <c r="K314" s="909"/>
      <c r="L314" s="1002"/>
      <c r="M314" s="923"/>
      <c r="N314" s="1042"/>
      <c r="O314" s="1018"/>
      <c r="P314" s="987"/>
      <c r="Q314" s="1015"/>
      <c r="R314" s="1012"/>
      <c r="S314" s="1006"/>
      <c r="T314" s="1007"/>
      <c r="U314" s="878"/>
      <c r="V314" s="881"/>
      <c r="W314" s="884"/>
      <c r="X314" s="884"/>
      <c r="Y314" s="887"/>
      <c r="Z314" s="887"/>
      <c r="AA314" s="887"/>
      <c r="AB314" s="1081"/>
      <c r="AC314" s="1078"/>
      <c r="AD314" s="1070" t="s">
        <v>37</v>
      </c>
      <c r="AE314" s="1071"/>
      <c r="AF314" s="1052"/>
      <c r="AG314" s="1053"/>
      <c r="AH314" s="1053"/>
      <c r="AI314" s="1066"/>
      <c r="AJ314" s="1067"/>
      <c r="AK314" s="156" t="str">
        <f t="shared" ca="1" si="4947"/>
        <v/>
      </c>
      <c r="AL314" s="1039"/>
      <c r="AM314" s="343" t="str">
        <f ca="1">IFERROR(Q311/12*ROUND(VLOOKUP(AF314,OFFSET(STM,0,1),6,FALSE),2),"")</f>
        <v/>
      </c>
      <c r="AN314" t="str">
        <f t="shared" ca="1" si="4971"/>
        <v/>
      </c>
      <c r="AP314" s="122" t="str">
        <f t="shared" ref="AP314" si="5401">_xlfn.CONCAT(AR314,AS316)</f>
        <v/>
      </c>
      <c r="AQ314" s="683" t="str">
        <f t="shared" si="5170"/>
        <v/>
      </c>
      <c r="AR314" s="4" t="str">
        <f t="shared" si="4931"/>
        <v/>
      </c>
      <c r="AS314" s="4"/>
      <c r="AT314" s="697" t="str">
        <f>AL311</f>
        <v/>
      </c>
      <c r="AU314" s="694" t="e">
        <f t="shared" ca="1" si="5187"/>
        <v>#REF!</v>
      </c>
      <c r="AV314" s="686" t="str">
        <f ca="1">IFERROR(VLOOKUP(AU314,INDIRECT(AQ311),2,FALSE),"----")</f>
        <v>----</v>
      </c>
      <c r="AW314" s="694" t="e">
        <f t="shared" ca="1" si="5188"/>
        <v>#REF!</v>
      </c>
      <c r="AX314" s="686" t="str">
        <f ca="1">IFERROR(VLOOKUP(AW314,INDIRECT(AQ312),2,FALSE),"----")</f>
        <v>----</v>
      </c>
      <c r="AY314" s="694" t="e">
        <f t="shared" ref="AY314" ca="1" si="5402">AY313-1</f>
        <v>#REF!</v>
      </c>
      <c r="AZ314" s="686" t="str">
        <f ca="1">IFERROR(VLOOKUP(AY314,INDIRECT(AQ313),2,FALSE),"----")</f>
        <v>----</v>
      </c>
      <c r="BA314" s="694" t="e">
        <f t="shared" ref="BA314" ca="1" si="5403">BA313-1</f>
        <v>#REF!</v>
      </c>
      <c r="BB314" s="686" t="str">
        <f ca="1">IFERROR(VLOOKUP(BA314,INDIRECT(AQ314),2,FALSE),"----")</f>
        <v>----</v>
      </c>
      <c r="BC314" s="694" t="e">
        <f t="shared" ca="1" si="5191"/>
        <v>#REF!</v>
      </c>
      <c r="BD314" s="686" t="str">
        <f ca="1">IFERROR(VLOOKUP(BC314,INDIRECT(AQ315),2,FALSE),"----")</f>
        <v>----</v>
      </c>
      <c r="BE314" s="694" t="e">
        <f t="shared" ca="1" si="5192"/>
        <v>#REF!</v>
      </c>
      <c r="BF314" s="686" t="str">
        <f ca="1">IFERROR(VLOOKUP(BE314,INDIRECT(AQ316),2,FALSE),"----")</f>
        <v>----</v>
      </c>
      <c r="BG314" s="694" t="e">
        <f t="shared" ca="1" si="5193"/>
        <v>#REF!</v>
      </c>
      <c r="BH314" s="686" t="str">
        <f ca="1">IFERROR(VLOOKUP(BG314,INDIRECT(AQ317),2,FALSE),"----")</f>
        <v>----</v>
      </c>
      <c r="BI314" s="694" t="e">
        <f t="shared" ca="1" si="5194"/>
        <v>#REF!</v>
      </c>
      <c r="BJ314" s="686" t="str">
        <f ca="1">IFERROR(VLOOKUP(BI314,INDIRECT(AQ318),2,FALSE),"----")</f>
        <v>----</v>
      </c>
      <c r="BK314" s="694" t="e">
        <f t="shared" ca="1" si="5195"/>
        <v>#REF!</v>
      </c>
      <c r="BL314" s="686" t="str">
        <f ca="1">IFERROR(VLOOKUP(BK314,INDIRECT(AQ319),2,FALSE),"----")</f>
        <v>----</v>
      </c>
      <c r="BM314" s="694" t="e">
        <f t="shared" ca="1" si="5196"/>
        <v>#REF!</v>
      </c>
      <c r="BN314" s="686" t="str">
        <f ca="1">IFERROR(VLOOKUP(BM314,INDIRECT(AQ320),2,FALSE),"----")</f>
        <v>----</v>
      </c>
      <c r="BO314" s="694" t="e">
        <f t="shared" ca="1" si="5197"/>
        <v>#REF!</v>
      </c>
      <c r="BP314" s="686" t="str">
        <f ca="1">IFERROR(VLOOKUP(BO314,INDIRECT(AQ321),2,FALSE),"----")</f>
        <v>----</v>
      </c>
      <c r="BQ314" s="694" t="e">
        <f t="shared" ca="1" si="5198"/>
        <v>#REF!</v>
      </c>
      <c r="BR314" s="686" t="str">
        <f ca="1">IFERROR(VLOOKUP(BQ314,INDIRECT(AQ322),2,FALSE),"----")</f>
        <v>----</v>
      </c>
      <c r="BS314" s="695">
        <f>IF(AI314="",1,IF(COUNTIF(BB311:BB322,AI314)=0,2,1))</f>
        <v>1</v>
      </c>
      <c r="BT314" s="696">
        <f>IF(AF314="",1,IF(BB311=".",2,1))</f>
        <v>1</v>
      </c>
      <c r="BU314" s="706"/>
      <c r="BV314" s="155">
        <f ca="1">IF(COUNTIF(CT311:CT322,AF314)=0,IF(AF314&lt;&gt;"",0,1),1)</f>
        <v>1</v>
      </c>
      <c r="BW314" s="157">
        <f ca="1">IFERROR(MATCH(AF314,CT311:CT322,0),1)</f>
        <v>1</v>
      </c>
      <c r="BX314" s="769"/>
      <c r="BY314" s="769"/>
      <c r="BZ314" s="1110"/>
      <c r="CA314" s="691" t="e">
        <f t="shared" ca="1" si="5352"/>
        <v>#REF!</v>
      </c>
      <c r="CB314" s="4" t="e" cm="1">
        <f t="array" aca="1" ref="CB314" ca="1">IF(AND(INDEX(INDIRECT(BY311),CA314,4)&gt;=$AB311,INDEX(INDIRECT(BY311),CA314,5)&gt;=$S311,INDEX(INDIRECT(BY311),CA314,6)&gt;=$R311),1,0)</f>
        <v>#REF!</v>
      </c>
      <c r="CC314" s="4" t="e">
        <f t="shared" ref="CC314" ca="1" si="5404">MATCH(1,OFFSET(CB311:CB322,CD313,0,COUNT(CB311:CB322)-CD313),0)</f>
        <v>#REF!</v>
      </c>
      <c r="CD314" s="4" t="e">
        <f t="shared" ca="1" si="5354"/>
        <v>#REF!</v>
      </c>
      <c r="CE314" s="692" t="str" cm="1">
        <f t="array" aca="1" ref="CE314" ca="1">IFERROR(VLOOKUP(INDEX(CA311:CA322,CD314),INDIRECT(BY311),2,FALSE),"----")</f>
        <v>----</v>
      </c>
      <c r="CF314" s="691" t="e">
        <f t="shared" ca="1" si="5355"/>
        <v>#N/A</v>
      </c>
      <c r="CG314" s="4" t="e">
        <f ca="1">IF(AND(INDEX(SSM,CF314,4)&gt;=$AB311,INDEX(SSM,CF314,5)&gt;=$S311,INDEX(SSM,CF314,6)&gt;=$R311),1,0)</f>
        <v>#N/A</v>
      </c>
      <c r="CH314" s="4" t="e">
        <f t="shared" ref="CH314" ca="1" si="5405">MATCH(1,OFFSET(CG311:CG322,CI313,0,COUNT(CG311:CG322)-CI313),0)</f>
        <v>#REF!</v>
      </c>
      <c r="CI314" s="4" t="e">
        <f t="shared" ca="1" si="5357"/>
        <v>#REF!</v>
      </c>
      <c r="CJ314" s="692" t="str">
        <f ca="1">IFERROR(IF(AD312="Nested Steel Stud (wood infill)",VLOOKUP(INDEX(CF311:CF322,CI314),SSW,2,FALSE),VLOOKUP(INDEX(CF311:CF322,CI314),SSM,2,FALSE)),"----")</f>
        <v>----</v>
      </c>
      <c r="CK314" s="691" t="e">
        <f t="shared" ca="1" si="5358"/>
        <v>#N/A</v>
      </c>
      <c r="CL314" s="4" t="e">
        <f ca="1">IF(AND(INDEX(WSM,CK314,4)&gt;=$AB311,INDEX(WSM,CK314,5)&gt;=$S311,INDEX(WSM,CK314,6)&gt;=$R311),1,0)</f>
        <v>#N/A</v>
      </c>
      <c r="CM314" s="4" t="e">
        <f t="shared" ref="CM314" ca="1" si="5406">MATCH(1,OFFSET(CL311:CL322,CN313,0,COUNT(CL311:CL322)-CN313),0)</f>
        <v>#REF!</v>
      </c>
      <c r="CN314" s="4" t="e">
        <f t="shared" ca="1" si="5360"/>
        <v>#REF!</v>
      </c>
      <c r="CO314" s="692" t="str">
        <f ca="1">IFERROR(VLOOKUP(INDEX(CK311:CK322,CN314),WSM,2,FALSE),"----")</f>
        <v>----</v>
      </c>
      <c r="CP314" s="691" t="e">
        <f t="shared" ca="1" si="5361"/>
        <v>#N/A</v>
      </c>
      <c r="CQ314" s="4" t="e">
        <f ca="1">IF(AND(INDEX(STM,CP314,4)&gt;=$AB311,INDEX(STM,CP314,5)&gt;=$S311,INDEX(STM,CP314,6)&gt;=$R311),1,0)</f>
        <v>#N/A</v>
      </c>
      <c r="CR314" s="4" t="e">
        <f t="shared" ref="CR314" ca="1" si="5407">MATCH(1,OFFSET(CQ311:CQ322,CS313,0,COUNT(CQ311:CQ322)-CS313),0)</f>
        <v>#REF!</v>
      </c>
      <c r="CS314" s="4" t="e">
        <f t="shared" ca="1" si="5363"/>
        <v>#REF!</v>
      </c>
      <c r="CT314" s="692" t="str">
        <f ca="1">IFERROR(VLOOKUP(INDEX(CP311:CP322,CS314),STM,2,FALSE),"----")</f>
        <v>----</v>
      </c>
      <c r="CU314" s="691" t="e">
        <f t="shared" ca="1" si="5364"/>
        <v>#N/A</v>
      </c>
      <c r="CV314" s="4" t="e">
        <f ca="1">IF(AND(INDEX(ELM,CU314,4)&gt;=$AB311,INDEX(ELM,CU314,5)&gt;=$S311,INDEX(ELM,CU314,6)&gt;=$R311),1,0)</f>
        <v>#N/A</v>
      </c>
      <c r="CW314" s="4" t="e">
        <f t="shared" ref="CW314" ca="1" si="5408">MATCH(1,OFFSET(CV311:CV322,CX313,0,COUNT(CV311:CV322)-CX313),0)</f>
        <v>#REF!</v>
      </c>
      <c r="CX314" s="4" t="e">
        <f t="shared" ca="1" si="5366"/>
        <v>#REF!</v>
      </c>
      <c r="CY314" s="692" t="str">
        <f ca="1">IFERROR(VLOOKUP(INDEX(CU311:CU322,CX314),ELM,2,FALSE),"----")</f>
        <v>----</v>
      </c>
      <c r="CZ314" s="691" t="e">
        <f t="shared" ca="1" si="5367"/>
        <v>#N/A</v>
      </c>
      <c r="DA314" s="4" t="e">
        <f ca="1">IF(LEFT($J311,7)="Clad Wo",IF(AND(INDEX(SPPWS,CZ314,4)&gt;=$AB311,INDEX(SPPWS,CZ314,5)&gt;=$S311,INDEX(SPPWS,CZ314,6)&gt;=$R311),1,0),IF(AND(INDEX(SPM,CZ314,4)&gt;=$AB311,INDEX(SPM,CZ314,5)&gt;=$S311,INDEX(SPM,CZ314,6)&gt;=$R311),1,0))</f>
        <v>#N/A</v>
      </c>
      <c r="DB314" s="4" t="e">
        <f t="shared" ref="DB314" ca="1" si="5409">MATCH(1,OFFSET(DA311:DA322,DC313,0,COUNT(DA311:DA322)-DC313),0)</f>
        <v>#REF!</v>
      </c>
      <c r="DC314" s="4" t="e">
        <f t="shared" ca="1" si="5369"/>
        <v>#REF!</v>
      </c>
      <c r="DD314" s="693" t="str">
        <f ca="1">IF(LEFT($J311,7)="Clad Wo",IFERROR(VLOOKUP(INDEX(CZ311:CZ322,DC314),SPPWS,2,FALSE),"----"),IFERROR(VLOOKUP(INDEX(CZ311:CZ322,DC314),SPM,2,FALSE),"----"))</f>
        <v>----</v>
      </c>
      <c r="DE314" s="691" t="e">
        <f t="shared" ca="1" si="5370"/>
        <v>#REF!</v>
      </c>
      <c r="DF314" s="4" t="e" cm="1">
        <f t="array" aca="1" ref="DF314" ca="1">IF(AND(INDEX(INDIRECT(BY311),DE314,4)&gt;=$AB317,INDEX(INDIRECT(BY311),DE314,5)&gt;=$S311,INDEX(INDIRECT(BY311),DE314,6)&gt;=$R311),1,0)</f>
        <v>#REF!</v>
      </c>
      <c r="DG314" s="4" t="e">
        <f t="shared" ref="DG314" ca="1" si="5410">MATCH(1,OFFSET(DF311:DF322,DH313,0,COUNT(DF311:DF322)-DH313),0)</f>
        <v>#REF!</v>
      </c>
      <c r="DH314" s="4" t="e">
        <f t="shared" ca="1" si="5372"/>
        <v>#REF!</v>
      </c>
      <c r="DI314" s="692" t="str" cm="1">
        <f t="array" aca="1" ref="DI314" ca="1">IFERROR(VLOOKUP(INDEX(DE311:DE322,DH314),INDIRECT(BY311),2,FALSE),"----")</f>
        <v>----</v>
      </c>
      <c r="DJ314" s="691" t="e">
        <f t="shared" ca="1" si="5373"/>
        <v>#N/A</v>
      </c>
      <c r="DK314" s="4" t="e">
        <f ca="1">IF(AND(INDEX(SSM,DJ314,4)&gt;=$AB317,INDEX(SSM,DJ314,5)&gt;=$S311,INDEX(SSM,DJ314,6)&gt;=$R311),1,0)</f>
        <v>#N/A</v>
      </c>
      <c r="DL314" s="4" t="e">
        <f t="shared" ref="DL314" ca="1" si="5411">MATCH(1,OFFSET(DK311:DK322,DM313,0,COUNT(DK311:DK322)-DM313),0)</f>
        <v>#REF!</v>
      </c>
      <c r="DM314" s="4" t="e">
        <f t="shared" ca="1" si="5375"/>
        <v>#REF!</v>
      </c>
      <c r="DN314" s="692" t="str">
        <f ca="1">IFERROR(IF(AD318="Nested Steel Stud (wood infill)",VLOOKUP(INDEX(DJ311:DJ322,DM314),SSW,2,FALSE),VLOOKUP(INDEX(DJ311:DJ322,DM314),SSM,2,FALSE)),"----")</f>
        <v>----</v>
      </c>
      <c r="DO314" s="691" t="e">
        <f t="shared" ca="1" si="5376"/>
        <v>#N/A</v>
      </c>
      <c r="DP314" s="4" t="e">
        <f ca="1">IF(AND(INDEX(WSM,DO314,4)&gt;=$AB317,INDEX(WSM,DO314,5)&gt;=$S311,INDEX(WSM,DO314,6)&gt;=$R311),1,0)</f>
        <v>#N/A</v>
      </c>
      <c r="DQ314" s="4" t="e">
        <f t="shared" ref="DQ314" ca="1" si="5412">MATCH(1,OFFSET(DP311:DP322,DR313,0,COUNT(DP311:DP322)-DR313),0)</f>
        <v>#REF!</v>
      </c>
      <c r="DR314" s="4" t="e">
        <f t="shared" ca="1" si="5378"/>
        <v>#REF!</v>
      </c>
      <c r="DS314" s="692" t="str">
        <f ca="1">IFERROR(VLOOKUP(INDEX(DO311:DO322,DR314),WSM,2,FALSE),"----")</f>
        <v>----</v>
      </c>
      <c r="DT314" s="691" t="e">
        <f t="shared" ca="1" si="5379"/>
        <v>#N/A</v>
      </c>
      <c r="DU314" s="4" t="e">
        <f ca="1">IF(AND(INDEX(STM,DT314,4)&gt;=$AB317,INDEX(STM,DT314,5)&gt;=$S311,INDEX(STM,DT314,6)&gt;=$R311),1,0)</f>
        <v>#N/A</v>
      </c>
      <c r="DV314" s="4" t="e">
        <f t="shared" ref="DV314" ca="1" si="5413">MATCH(1,OFFSET(DU311:DU322,DW313,0,COUNT(DU311:DU322)-DW313),0)</f>
        <v>#REF!</v>
      </c>
      <c r="DW314" s="4" t="e">
        <f t="shared" ca="1" si="5381"/>
        <v>#REF!</v>
      </c>
      <c r="DX314" s="692" t="str">
        <f ca="1">IFERROR(VLOOKUP(INDEX(DT311:DT322,DW314),STM,2,FALSE),"----")</f>
        <v>----</v>
      </c>
      <c r="DY314" s="691" t="e">
        <f t="shared" ca="1" si="5382"/>
        <v>#N/A</v>
      </c>
      <c r="DZ314" s="4" t="e">
        <f ca="1">IF(AND(INDEX(ELM,DY314,4)&gt;=$AB317,INDEX(ELM,DY314,5)&gt;=$S311,INDEX(ELM,DY314,6)&gt;=$R311),1,0)</f>
        <v>#N/A</v>
      </c>
      <c r="EA314" s="4" t="e">
        <f t="shared" ref="EA314" ca="1" si="5414">MATCH(1,OFFSET(DZ311:DZ322,EB313,0,COUNT(DZ311:DZ322)-EB313),0)</f>
        <v>#REF!</v>
      </c>
      <c r="EB314" s="4" t="e">
        <f t="shared" ca="1" si="5384"/>
        <v>#REF!</v>
      </c>
      <c r="EC314" s="692" t="str">
        <f ca="1">IFERROR(VLOOKUP(INDEX(DY311:DY322,EB314),ELM,2,FALSE),"----")</f>
        <v>----</v>
      </c>
      <c r="ED314" s="691" t="e">
        <f t="shared" ca="1" si="5385"/>
        <v>#N/A</v>
      </c>
      <c r="EE314" s="4" t="e">
        <f ca="1">IF(LEFT($J311,7)="Clad Wo",IF(AND(INDEX(SPPWS,ED314,4)&gt;=$AB317,INDEX(SPPWS,ED314,5)&gt;=$S311,INDEX(SPPWS,ED314,6)&gt;=$R311),1,0),IF(AND(INDEX(SPM,ED314,4)&gt;=$AB317,INDEX(SPM,ED314,5)&gt;=$S311,INDEX(SPM,ED314,6)&gt;=$R311),1,0))</f>
        <v>#N/A</v>
      </c>
      <c r="EF314" s="4" t="e">
        <f t="shared" ref="EF314" ca="1" si="5415">MATCH(1,OFFSET(EE311:EE322,EG313,0,COUNT(EE311:EE322)-EG313),0)</f>
        <v>#REF!</v>
      </c>
      <c r="EG314" s="4" t="e">
        <f t="shared" ca="1" si="5387"/>
        <v>#REF!</v>
      </c>
      <c r="EH314" s="692" t="str">
        <f ca="1">IF(LEFT($J311,7)="Clad Wo",IFERROR(VLOOKUP(INDEX(ED311:ED322,EG314),SPPWS,2,FALSE),"----"),IFERROR(VLOOKUP(INDEX(ED311:ED322,EG314),SPM,2,FALSE),"----"))</f>
        <v>----</v>
      </c>
    </row>
    <row r="315" spans="1:138" ht="15" customHeight="1" x14ac:dyDescent="0.25">
      <c r="A315" s="1085"/>
      <c r="B315" s="925"/>
      <c r="C315" s="926"/>
      <c r="D315" s="927"/>
      <c r="E315" s="995"/>
      <c r="F315" s="996"/>
      <c r="G315" s="997"/>
      <c r="H315" s="1062"/>
      <c r="I315" s="990"/>
      <c r="J315" s="910"/>
      <c r="K315" s="911"/>
      <c r="L315" s="1002"/>
      <c r="M315" s="923"/>
      <c r="N315" s="1042"/>
      <c r="O315" s="1018"/>
      <c r="P315" s="987"/>
      <c r="Q315" s="1015"/>
      <c r="R315" s="1012"/>
      <c r="S315" s="1006"/>
      <c r="T315" s="1007"/>
      <c r="U315" s="878"/>
      <c r="V315" s="881"/>
      <c r="W315" s="884"/>
      <c r="X315" s="884"/>
      <c r="Y315" s="887"/>
      <c r="Z315" s="887"/>
      <c r="AA315" s="887"/>
      <c r="AB315" s="1081"/>
      <c r="AC315" s="1078"/>
      <c r="AD315" s="1070" t="s">
        <v>39</v>
      </c>
      <c r="AE315" s="1071"/>
      <c r="AF315" s="1052"/>
      <c r="AG315" s="1053"/>
      <c r="AH315" s="1053"/>
      <c r="AI315" s="1068"/>
      <c r="AJ315" s="1069"/>
      <c r="AK315" s="154" t="str">
        <f t="shared" ca="1" si="4947"/>
        <v/>
      </c>
      <c r="AL315" s="1039"/>
      <c r="AM315" s="344" t="str">
        <f ca="1">IFERROR(Q311/12*ROUND(VLOOKUP(AF315,OFFSET(ELM,0,1),6,FALSE),2),"")</f>
        <v/>
      </c>
      <c r="AN315" t="str">
        <f t="shared" ca="1" si="4971"/>
        <v/>
      </c>
      <c r="AP315" s="122" t="str">
        <f t="shared" ref="AP315" si="5416">_xlfn.CONCAT(AR315,AS316)</f>
        <v/>
      </c>
      <c r="AQ315" s="683" t="str">
        <f t="shared" si="5170"/>
        <v/>
      </c>
      <c r="AR315" s="4" t="str">
        <f t="shared" si="4931"/>
        <v/>
      </c>
      <c r="AS315" s="4"/>
      <c r="AT315" s="697" t="str">
        <f>AL311</f>
        <v/>
      </c>
      <c r="AU315" s="694" t="e">
        <f t="shared" ca="1" si="5187"/>
        <v>#REF!</v>
      </c>
      <c r="AV315" s="698" t="str">
        <f ca="1">IFERROR(VLOOKUP(AU315,INDIRECT(AQ311),2,FALSE),"----")</f>
        <v>----</v>
      </c>
      <c r="AW315" s="694" t="e">
        <f t="shared" ca="1" si="5188"/>
        <v>#REF!</v>
      </c>
      <c r="AX315" s="698" t="str">
        <f ca="1">IFERROR(VLOOKUP(AW315,INDIRECT(AQ312),2,FALSE),"----")</f>
        <v>----</v>
      </c>
      <c r="AY315" s="694" t="e">
        <f t="shared" ref="AY315" ca="1" si="5417">AY314-1</f>
        <v>#REF!</v>
      </c>
      <c r="AZ315" s="698" t="str">
        <f ca="1">IFERROR(VLOOKUP(AY315,INDIRECT(AQ313),2,FALSE),"----")</f>
        <v>----</v>
      </c>
      <c r="BA315" s="694" t="e">
        <f t="shared" ref="BA315" ca="1" si="5418">BA314-1</f>
        <v>#REF!</v>
      </c>
      <c r="BB315" s="698" t="str">
        <f ca="1">IFERROR(VLOOKUP(BA315,INDIRECT(AQ314),2,FALSE),"----")</f>
        <v>----</v>
      </c>
      <c r="BC315" s="694" t="e">
        <f t="shared" ca="1" si="5191"/>
        <v>#REF!</v>
      </c>
      <c r="BD315" s="698" t="str">
        <f ca="1">IFERROR(VLOOKUP(BC315,INDIRECT(AQ315),2,FALSE),"----")</f>
        <v>----</v>
      </c>
      <c r="BE315" s="694" t="e">
        <f t="shared" ca="1" si="5192"/>
        <v>#REF!</v>
      </c>
      <c r="BF315" s="698" t="str">
        <f ca="1">IFERROR(VLOOKUP(BE315,INDIRECT(AQ316),2,FALSE),"----")</f>
        <v>----</v>
      </c>
      <c r="BG315" s="694" t="e">
        <f t="shared" ca="1" si="5193"/>
        <v>#REF!</v>
      </c>
      <c r="BH315" s="686" t="str">
        <f ca="1">IFERROR(VLOOKUP(BG315,INDIRECT(AQ317),2,FALSE),"----")</f>
        <v>----</v>
      </c>
      <c r="BI315" s="694" t="e">
        <f t="shared" ca="1" si="5194"/>
        <v>#REF!</v>
      </c>
      <c r="BJ315" s="686" t="str">
        <f ca="1">IFERROR(VLOOKUP(BI315,INDIRECT(AQ318),2,FALSE),"----")</f>
        <v>----</v>
      </c>
      <c r="BK315" s="694" t="e">
        <f t="shared" ca="1" si="5195"/>
        <v>#REF!</v>
      </c>
      <c r="BL315" s="686" t="str">
        <f ca="1">IFERROR(VLOOKUP(BK315,INDIRECT(AQ319),2,FALSE),"----")</f>
        <v>----</v>
      </c>
      <c r="BM315" s="694" t="e">
        <f t="shared" ca="1" si="5196"/>
        <v>#REF!</v>
      </c>
      <c r="BN315" s="686" t="str">
        <f ca="1">IFERROR(VLOOKUP(BM315,INDIRECT(AQ320),2,FALSE),"----")</f>
        <v>----</v>
      </c>
      <c r="BO315" s="694" t="e">
        <f t="shared" ca="1" si="5197"/>
        <v>#REF!</v>
      </c>
      <c r="BP315" s="686" t="str">
        <f ca="1">IFERROR(VLOOKUP(BO315,INDIRECT(AQ321),2,FALSE),"----")</f>
        <v>----</v>
      </c>
      <c r="BQ315" s="694" t="e">
        <f t="shared" ca="1" si="5198"/>
        <v>#REF!</v>
      </c>
      <c r="BR315" s="686" t="str">
        <f ca="1">IFERROR(VLOOKUP(BQ315,INDIRECT(AQ322),2,FALSE),"----")</f>
        <v>----</v>
      </c>
      <c r="BS315" s="695">
        <f>IF(AI315="",1,IF(COUNTIF(BD311:BD322,AI315)=0,2,1))</f>
        <v>1</v>
      </c>
      <c r="BT315" s="696">
        <f>IF(AF315="",1,IF(BD311=".",2,1))</f>
        <v>1</v>
      </c>
      <c r="BU315" s="706"/>
      <c r="BV315" s="155">
        <f ca="1">IF(COUNTIF(CY311:CY322,AF315)=0,IF(AF315&lt;&gt;"",0,1),1)</f>
        <v>1</v>
      </c>
      <c r="BW315" s="157">
        <f ca="1">IFERROR(MATCH(AF315,CY311:CY322,0),1)</f>
        <v>1</v>
      </c>
      <c r="BX315" s="769"/>
      <c r="BY315" s="769"/>
      <c r="BZ315" s="1110"/>
      <c r="CA315" s="691" t="e">
        <f t="shared" ca="1" si="5352"/>
        <v>#REF!</v>
      </c>
      <c r="CB315" s="4" t="e" cm="1">
        <f t="array" aca="1" ref="CB315" ca="1">IF(AND(INDEX(INDIRECT(BY311),CA315,4)&gt;=$AB311,INDEX(INDIRECT(BY311),CA315,5)&gt;=$S311,INDEX(INDIRECT(BY311),CA315,6)&gt;=$R311),1,0)</f>
        <v>#REF!</v>
      </c>
      <c r="CC315" s="4" t="e">
        <f t="shared" ref="CC315" ca="1" si="5419">MATCH(1,OFFSET(CB311:CB322,CD314,0,COUNT(CB311:CB322)-CD314),0)</f>
        <v>#REF!</v>
      </c>
      <c r="CD315" s="4" t="e">
        <f t="shared" ca="1" si="5354"/>
        <v>#REF!</v>
      </c>
      <c r="CE315" s="692" t="str" cm="1">
        <f t="array" aca="1" ref="CE315" ca="1">IFERROR(VLOOKUP(INDEX(CA311:CA322,CD315),INDIRECT(BY311),2,FALSE),"----")</f>
        <v>----</v>
      </c>
      <c r="CF315" s="691" t="e">
        <f t="shared" ca="1" si="5355"/>
        <v>#N/A</v>
      </c>
      <c r="CG315" s="4" t="e">
        <f ca="1">IF(AND(INDEX(SSM,CF315,4)&gt;=$AB311,INDEX(SSM,CF315,5)&gt;=$S311,INDEX(SSM,CF315,6)&gt;=$R311),1,0)</f>
        <v>#N/A</v>
      </c>
      <c r="CH315" s="4" t="e">
        <f t="shared" ref="CH315" ca="1" si="5420">MATCH(1,OFFSET(CG311:CG322,CI314,0,COUNT(CG311:CG322)-CI314),0)</f>
        <v>#REF!</v>
      </c>
      <c r="CI315" s="4" t="e">
        <f t="shared" ca="1" si="5357"/>
        <v>#REF!</v>
      </c>
      <c r="CJ315" s="692" t="str">
        <f ca="1">IFERROR(IF(AD312="Nested Steel Stud (wood infill)",VLOOKUP(INDEX(CF311:CF322,CI315),SSW,2,FALSE),VLOOKUP(INDEX(CF311:CF322,CI315),SSM,2,FALSE)),"----")</f>
        <v>----</v>
      </c>
      <c r="CK315" s="691" t="e">
        <f t="shared" ca="1" si="5358"/>
        <v>#N/A</v>
      </c>
      <c r="CL315" s="4" t="e">
        <f ca="1">IF(AND(INDEX(WSM,CK315,4)&gt;=$AB311,INDEX(WSM,CK315,5)&gt;=$S311,INDEX(WSM,CK315,6)&gt;=$R311),1,0)</f>
        <v>#N/A</v>
      </c>
      <c r="CM315" s="4" t="e">
        <f t="shared" ref="CM315" ca="1" si="5421">MATCH(1,OFFSET(CL311:CL322,CN314,0,COUNT(CL311:CL322)-CN314),0)</f>
        <v>#REF!</v>
      </c>
      <c r="CN315" s="4" t="e">
        <f t="shared" ca="1" si="5360"/>
        <v>#REF!</v>
      </c>
      <c r="CO315" s="692" t="str">
        <f ca="1">IFERROR(VLOOKUP(INDEX(CK311:CK322,CN315),WSM,2,FALSE),"----")</f>
        <v>----</v>
      </c>
      <c r="CP315" s="691" t="e">
        <f t="shared" ca="1" si="5361"/>
        <v>#N/A</v>
      </c>
      <c r="CQ315" s="4" t="e">
        <f ca="1">IF(AND(INDEX(STM,CP315,4)&gt;=$AB311,INDEX(STM,CP315,5)&gt;=$S311,INDEX(STM,CP315,6)&gt;=$R311),1,0)</f>
        <v>#N/A</v>
      </c>
      <c r="CR315" s="4" t="e">
        <f t="shared" ref="CR315" ca="1" si="5422">MATCH(1,OFFSET(CQ311:CQ322,CS314,0,COUNT(CQ311:CQ322)-CS314),0)</f>
        <v>#REF!</v>
      </c>
      <c r="CS315" s="4" t="e">
        <f t="shared" ca="1" si="5363"/>
        <v>#REF!</v>
      </c>
      <c r="CT315" s="692" t="str">
        <f ca="1">IFERROR(VLOOKUP(INDEX(CP311:CP322,CS315),STM,2,FALSE),"----")</f>
        <v>----</v>
      </c>
      <c r="CU315" s="691" t="e">
        <f t="shared" ca="1" si="5364"/>
        <v>#N/A</v>
      </c>
      <c r="CV315" s="4" t="e">
        <f ca="1">IF(AND(INDEX(ELM,CU315,4)&gt;=$AB311,INDEX(ELM,CU315,5)&gt;=$S311,INDEX(ELM,CU315,6)&gt;=$R311),1,0)</f>
        <v>#N/A</v>
      </c>
      <c r="CW315" s="4" t="e">
        <f t="shared" ref="CW315" ca="1" si="5423">MATCH(1,OFFSET(CV311:CV322,CX314,0,COUNT(CV311:CV322)-CX314),0)</f>
        <v>#REF!</v>
      </c>
      <c r="CX315" s="4" t="e">
        <f t="shared" ca="1" si="5366"/>
        <v>#REF!</v>
      </c>
      <c r="CY315" s="692" t="str">
        <f ca="1">IFERROR(VLOOKUP(INDEX(CU311:CU322,CX315),ELM,2,FALSE),"----")</f>
        <v>----</v>
      </c>
      <c r="CZ315" s="691" t="e">
        <f t="shared" ca="1" si="5367"/>
        <v>#N/A</v>
      </c>
      <c r="DA315" s="4" t="e">
        <f ca="1">IF(LEFT($J311,7)="Clad Wo",IF(AND(INDEX(SPPWS,CZ315,4)&gt;=$AB311,INDEX(SPPWS,CZ315,5)&gt;=$S311,INDEX(SPPWS,CZ315,6)&gt;=$R311),1,0),IF(AND(INDEX(SPM,CZ315,4)&gt;=$AB311,INDEX(SPM,CZ315,5)&gt;=$S311,INDEX(SPM,CZ315,6)&gt;=$R311),1,0))</f>
        <v>#N/A</v>
      </c>
      <c r="DB315" s="4" t="e">
        <f t="shared" ref="DB315" ca="1" si="5424">MATCH(1,OFFSET(DA311:DA322,DC314,0,COUNT(DA311:DA322)-DC314),0)</f>
        <v>#REF!</v>
      </c>
      <c r="DC315" s="4" t="e">
        <f t="shared" ca="1" si="5369"/>
        <v>#REF!</v>
      </c>
      <c r="DD315" s="693" t="str">
        <f ca="1">IF(LEFT($J311,7)="Clad Wo",IFERROR(VLOOKUP(INDEX(CZ311:CZ322,DC315),SPPWS,2,FALSE),"----"),IFERROR(VLOOKUP(INDEX(CZ311:CZ322,DC315),SPM,2,FALSE),"----"))</f>
        <v>----</v>
      </c>
      <c r="DE315" s="691" t="e">
        <f t="shared" ca="1" si="5370"/>
        <v>#REF!</v>
      </c>
      <c r="DF315" s="4" t="e" cm="1">
        <f t="array" aca="1" ref="DF315" ca="1">IF(AND(INDEX(INDIRECT(BY311),DE315,4)&gt;=$AB317,INDEX(INDIRECT(BY311),DE315,5)&gt;=$S311,INDEX(INDIRECT(BY311),DE315,6)&gt;=$R311),1,0)</f>
        <v>#REF!</v>
      </c>
      <c r="DG315" s="4" t="e">
        <f t="shared" ref="DG315" ca="1" si="5425">MATCH(1,OFFSET(DF311:DF322,DH314,0,COUNT(DF311:DF322)-DH314),0)</f>
        <v>#REF!</v>
      </c>
      <c r="DH315" s="4" t="e">
        <f t="shared" ca="1" si="5372"/>
        <v>#REF!</v>
      </c>
      <c r="DI315" s="692" t="str" cm="1">
        <f t="array" aca="1" ref="DI315" ca="1">IFERROR(VLOOKUP(INDEX(DE311:DE322,DH315),INDIRECT(BY311),2,FALSE),"----")</f>
        <v>----</v>
      </c>
      <c r="DJ315" s="691" t="e">
        <f t="shared" ca="1" si="5373"/>
        <v>#N/A</v>
      </c>
      <c r="DK315" s="4" t="e">
        <f ca="1">IF(AND(INDEX(SSM,DJ315,4)&gt;=$AB317,INDEX(SSM,DJ315,5)&gt;=$S311,INDEX(SSM,DJ315,6)&gt;=$R311),1,0)</f>
        <v>#N/A</v>
      </c>
      <c r="DL315" s="4" t="e">
        <f t="shared" ref="DL315" ca="1" si="5426">MATCH(1,OFFSET(DK311:DK322,DM314,0,COUNT(DK311:DK322)-DM314),0)</f>
        <v>#REF!</v>
      </c>
      <c r="DM315" s="4" t="e">
        <f t="shared" ca="1" si="5375"/>
        <v>#REF!</v>
      </c>
      <c r="DN315" s="692" t="str">
        <f ca="1">IFERROR(IF(AD318="Nested Steel Stud (wood infill)",VLOOKUP(INDEX(DJ311:DJ322,DM315),SSW,2,FALSE),VLOOKUP(INDEX(DJ311:DJ322,DM315),SSM,2,FALSE)),"----")</f>
        <v>----</v>
      </c>
      <c r="DO315" s="691" t="e">
        <f t="shared" ca="1" si="5376"/>
        <v>#N/A</v>
      </c>
      <c r="DP315" s="4" t="e">
        <f ca="1">IF(AND(INDEX(WSM,DO315,4)&gt;=$AB317,INDEX(WSM,DO315,5)&gt;=$S311,INDEX(WSM,DO315,6)&gt;=$R311),1,0)</f>
        <v>#N/A</v>
      </c>
      <c r="DQ315" s="4" t="e">
        <f t="shared" ref="DQ315" ca="1" si="5427">MATCH(1,OFFSET(DP311:DP322,DR314,0,COUNT(DP311:DP322)-DR314),0)</f>
        <v>#REF!</v>
      </c>
      <c r="DR315" s="4" t="e">
        <f t="shared" ca="1" si="5378"/>
        <v>#REF!</v>
      </c>
      <c r="DS315" s="692" t="str">
        <f ca="1">IFERROR(VLOOKUP(INDEX(DO311:DO322,DR315),WSM,2,FALSE),"----")</f>
        <v>----</v>
      </c>
      <c r="DT315" s="691" t="e">
        <f t="shared" ca="1" si="5379"/>
        <v>#N/A</v>
      </c>
      <c r="DU315" s="4" t="e">
        <f ca="1">IF(AND(INDEX(STM,DT315,4)&gt;=$AB317,INDEX(STM,DT315,5)&gt;=$S311,INDEX(STM,DT315,6)&gt;=$R311),1,0)</f>
        <v>#N/A</v>
      </c>
      <c r="DV315" s="4" t="e">
        <f t="shared" ref="DV315" ca="1" si="5428">MATCH(1,OFFSET(DU311:DU322,DW314,0,COUNT(DU311:DU322)-DW314),0)</f>
        <v>#REF!</v>
      </c>
      <c r="DW315" s="4" t="e">
        <f t="shared" ca="1" si="5381"/>
        <v>#REF!</v>
      </c>
      <c r="DX315" s="692" t="str">
        <f ca="1">IFERROR(VLOOKUP(INDEX(DT311:DT322,DW315),STM,2,FALSE),"----")</f>
        <v>----</v>
      </c>
      <c r="DY315" s="691" t="e">
        <f t="shared" ca="1" si="5382"/>
        <v>#N/A</v>
      </c>
      <c r="DZ315" s="4" t="e">
        <f ca="1">IF(AND(INDEX(ELM,DY315,4)&gt;=$AB317,INDEX(ELM,DY315,5)&gt;=$S311,INDEX(ELM,DY315,6)&gt;=$R311),1,0)</f>
        <v>#N/A</v>
      </c>
      <c r="EA315" s="4" t="e">
        <f t="shared" ref="EA315" ca="1" si="5429">MATCH(1,OFFSET(DZ311:DZ322,EB314,0,COUNT(DZ311:DZ322)-EB314),0)</f>
        <v>#REF!</v>
      </c>
      <c r="EB315" s="4" t="e">
        <f t="shared" ca="1" si="5384"/>
        <v>#REF!</v>
      </c>
      <c r="EC315" s="692" t="str">
        <f ca="1">IFERROR(VLOOKUP(INDEX(DY311:DY322,EB315),ELM,2,FALSE),"----")</f>
        <v>----</v>
      </c>
      <c r="ED315" s="691" t="e">
        <f t="shared" ca="1" si="5385"/>
        <v>#N/A</v>
      </c>
      <c r="EE315" s="4" t="e">
        <f ca="1">IF(LEFT($J311,7)="Clad Wo",IF(AND(INDEX(SPPWS,ED315,4)&gt;=$AB317,INDEX(SPPWS,ED315,5)&gt;=$S311,INDEX(SPPWS,ED315,6)&gt;=$R311),1,0),IF(AND(INDEX(SPM,ED315,4)&gt;=$AB317,INDEX(SPM,ED315,5)&gt;=$S311,INDEX(SPM,ED315,6)&gt;=$R311),1,0))</f>
        <v>#N/A</v>
      </c>
      <c r="EF315" s="4" t="e">
        <f t="shared" ref="EF315" ca="1" si="5430">MATCH(1,OFFSET(EE311:EE322,EG314,0,COUNT(EE311:EE322)-EG314),0)</f>
        <v>#REF!</v>
      </c>
      <c r="EG315" s="4" t="e">
        <f t="shared" ca="1" si="5387"/>
        <v>#REF!</v>
      </c>
      <c r="EH315" s="692" t="str">
        <f ca="1">IF(LEFT($J311,7)="Clad Wo",IFERROR(VLOOKUP(INDEX(ED311:ED322,EG315),SPPWS,2,FALSE),"----"),IFERROR(VLOOKUP(INDEX(ED311:ED322,EG315),SPM,2,FALSE),"----"))</f>
        <v>----</v>
      </c>
    </row>
    <row r="316" spans="1:138" ht="15" customHeight="1" thickBot="1" x14ac:dyDescent="0.3">
      <c r="A316" s="1085"/>
      <c r="B316" s="934"/>
      <c r="C316" s="935"/>
      <c r="D316" s="936"/>
      <c r="E316" s="995"/>
      <c r="F316" s="996"/>
      <c r="G316" s="997"/>
      <c r="H316" s="1062"/>
      <c r="I316" s="990"/>
      <c r="J316" s="908"/>
      <c r="K316" s="909"/>
      <c r="L316" s="1010"/>
      <c r="M316" s="924"/>
      <c r="N316" s="1044"/>
      <c r="O316" s="1018"/>
      <c r="P316" s="987"/>
      <c r="Q316" s="1015"/>
      <c r="R316" s="1012"/>
      <c r="S316" s="1006"/>
      <c r="T316" s="1007"/>
      <c r="U316" s="878"/>
      <c r="V316" s="881"/>
      <c r="W316" s="889"/>
      <c r="X316" s="884"/>
      <c r="Y316" s="890"/>
      <c r="Z316" s="890"/>
      <c r="AA316" s="887"/>
      <c r="AB316" s="1084"/>
      <c r="AC316" s="1079"/>
      <c r="AD316" s="1072" t="str">
        <f t="shared" ref="AD316" si="5431">IF(LEFT(J311,7)="Clad Wo","Pella Wood Spr / Steel Pte","Steel Plate")</f>
        <v>Steel Plate</v>
      </c>
      <c r="AE316" s="1073"/>
      <c r="AF316" s="1054"/>
      <c r="AG316" s="1055"/>
      <c r="AH316" s="1055"/>
      <c r="AI316" s="1092"/>
      <c r="AJ316" s="1093"/>
      <c r="AK316" s="159" t="str">
        <f t="shared" ca="1" si="4947"/>
        <v/>
      </c>
      <c r="AL316" s="1040"/>
      <c r="AM316" s="345" t="str">
        <f ca="1">IFERROR(Q311/12*ROUND(VLOOKUP(AF316,OFFSET(SPM,0,1),6,FALSE),2),"")</f>
        <v/>
      </c>
      <c r="AN316" t="str">
        <f t="shared" ca="1" si="4971"/>
        <v/>
      </c>
      <c r="AP316" s="699" t="str">
        <f t="shared" ref="AP316" si="5432">_xlfn.CONCAT(AR316,AS316)</f>
        <v/>
      </c>
      <c r="AQ316" s="700" t="str">
        <f t="shared" si="5170"/>
        <v/>
      </c>
      <c r="AR316" s="160" t="str">
        <f t="shared" si="4931"/>
        <v/>
      </c>
      <c r="AS316" s="160" t="str">
        <f>IFERROR(VLOOKUP(J319, WallType,2,FALSE),"")</f>
        <v/>
      </c>
      <c r="AT316" s="701" t="str">
        <f>AL311</f>
        <v/>
      </c>
      <c r="AU316" s="694" t="e">
        <f t="shared" ca="1" si="5187"/>
        <v>#REF!</v>
      </c>
      <c r="AV316" s="698" t="str">
        <f ca="1">IFERROR(VLOOKUP(AU316,INDIRECT(AQ311),2,FALSE),"----")</f>
        <v>----</v>
      </c>
      <c r="AW316" s="702" t="e">
        <f t="shared" ca="1" si="5188"/>
        <v>#REF!</v>
      </c>
      <c r="AX316" s="698" t="str">
        <f ca="1">IFERROR(VLOOKUP(AW316,INDIRECT(AQ312),2,FALSE),"----")</f>
        <v>----</v>
      </c>
      <c r="AY316" s="702" t="e">
        <f t="shared" ref="AY316:AY331" ca="1" si="5433">AY315-1</f>
        <v>#REF!</v>
      </c>
      <c r="AZ316" s="698" t="str">
        <f ca="1">IFERROR(VLOOKUP(AY316,INDIRECT(AQ313),2,FALSE),"----")</f>
        <v>----</v>
      </c>
      <c r="BA316" s="702" t="e">
        <f t="shared" ref="BA316:BA331" ca="1" si="5434">BA315-1</f>
        <v>#REF!</v>
      </c>
      <c r="BB316" s="698" t="str">
        <f ca="1">IFERROR(VLOOKUP(BA316,INDIRECT(AQ314),2,FALSE),"----")</f>
        <v>----</v>
      </c>
      <c r="BC316" s="702" t="e">
        <f t="shared" ca="1" si="5191"/>
        <v>#REF!</v>
      </c>
      <c r="BD316" s="698" t="str">
        <f ca="1">IFERROR(VLOOKUP(BC316,INDIRECT(AQ315),2,FALSE),"----")</f>
        <v>----</v>
      </c>
      <c r="BE316" s="702" t="e">
        <f t="shared" ca="1" si="5192"/>
        <v>#REF!</v>
      </c>
      <c r="BF316" s="698" t="str">
        <f ca="1">IFERROR(VLOOKUP(BE316,INDIRECT(AQ316),2,FALSE),"----")</f>
        <v>----</v>
      </c>
      <c r="BG316" s="702" t="e">
        <f t="shared" ca="1" si="5193"/>
        <v>#REF!</v>
      </c>
      <c r="BH316" s="686" t="str">
        <f ca="1">IFERROR(VLOOKUP(BG316,INDIRECT(AQ317),2,FALSE),"----")</f>
        <v>----</v>
      </c>
      <c r="BI316" s="702" t="e">
        <f t="shared" ca="1" si="5194"/>
        <v>#REF!</v>
      </c>
      <c r="BJ316" s="686" t="str">
        <f ca="1">IFERROR(VLOOKUP(BI316,INDIRECT(AQ318),2,FALSE),"----")</f>
        <v>----</v>
      </c>
      <c r="BK316" s="702" t="e">
        <f t="shared" ca="1" si="5195"/>
        <v>#REF!</v>
      </c>
      <c r="BL316" s="686" t="str">
        <f ca="1">IFERROR(VLOOKUP(BK316,INDIRECT(AQ319),2,FALSE),"----")</f>
        <v>----</v>
      </c>
      <c r="BM316" s="702" t="e">
        <f t="shared" ca="1" si="5196"/>
        <v>#REF!</v>
      </c>
      <c r="BN316" s="686" t="str">
        <f ca="1">IFERROR(VLOOKUP(BM316,INDIRECT(AQ320),2,FALSE),"----")</f>
        <v>----</v>
      </c>
      <c r="BO316" s="702" t="e">
        <f t="shared" ca="1" si="5197"/>
        <v>#REF!</v>
      </c>
      <c r="BP316" s="686" t="str">
        <f ca="1">IFERROR(VLOOKUP(BO316,INDIRECT(AQ321),2,FALSE),"----")</f>
        <v>----</v>
      </c>
      <c r="BQ316" s="702" t="e">
        <f t="shared" ca="1" si="5198"/>
        <v>#REF!</v>
      </c>
      <c r="BR316" s="686" t="str">
        <f ca="1">IFERROR(VLOOKUP(BQ316,INDIRECT(AQ322),2,FALSE),"----")</f>
        <v>----</v>
      </c>
      <c r="BS316" s="703">
        <f>IF(AI316="",1,IF(COUNTIF(BF311:BF322,AI316)=0,2,1))</f>
        <v>1</v>
      </c>
      <c r="BT316" s="704">
        <f>IF(AF316="",1,IF(BF311=".",2,1))</f>
        <v>1</v>
      </c>
      <c r="BV316" s="155">
        <f ca="1">IF(COUNTIF(DD311:DD322,AF316)=0,IF(AF316&lt;&gt;"",0,1),1)</f>
        <v>1</v>
      </c>
      <c r="BW316" s="157">
        <f ca="1">IFERROR(MATCH(AF316,DD311:DD322,0),1)</f>
        <v>1</v>
      </c>
      <c r="BX316" s="875" t="s">
        <v>1594</v>
      </c>
      <c r="BY316" s="876"/>
      <c r="BZ316" s="1110"/>
      <c r="CA316" s="691" t="e">
        <f t="shared" ca="1" si="5352"/>
        <v>#REF!</v>
      </c>
      <c r="CB316" s="4" t="e" cm="1">
        <f t="array" aca="1" ref="CB316" ca="1">IF(AND(INDEX(INDIRECT(BY311),CA316,4)&gt;=$AB311,INDEX(INDIRECT(BY311),CA316,5)&gt;=$S311,INDEX(INDIRECT(BY311),CA316,6)&gt;=$R311),1,0)</f>
        <v>#REF!</v>
      </c>
      <c r="CC316" s="4" t="e">
        <f t="shared" ref="CC316" ca="1" si="5435">MATCH(1,OFFSET(CB311:CB322,CD315,0,COUNT(CB311:CB322)-CD315),0)</f>
        <v>#REF!</v>
      </c>
      <c r="CD316" s="4" t="e">
        <f t="shared" ca="1" si="5354"/>
        <v>#REF!</v>
      </c>
      <c r="CE316" s="692" t="str" cm="1">
        <f t="array" aca="1" ref="CE316" ca="1">IFERROR(VLOOKUP(INDEX(CA311:CA322,CD316),INDIRECT(BY311),2,FALSE),"----")</f>
        <v>----</v>
      </c>
      <c r="CF316" s="691" t="e">
        <f t="shared" ca="1" si="5355"/>
        <v>#N/A</v>
      </c>
      <c r="CG316" s="4" t="e">
        <f ca="1">IF(AND(INDEX(SSM,CF316,4)&gt;=$AB311,INDEX(SSM,CF316,5)&gt;=$S311,INDEX(SSM,CF316,6)&gt;=$R311),1,0)</f>
        <v>#N/A</v>
      </c>
      <c r="CH316" s="4" t="e">
        <f t="shared" ref="CH316" ca="1" si="5436">MATCH(1,OFFSET(CG311:CG322,CI315,0,COUNT(CG311:CG322)-CI315),0)</f>
        <v>#REF!</v>
      </c>
      <c r="CI316" s="4" t="e">
        <f t="shared" ca="1" si="5357"/>
        <v>#REF!</v>
      </c>
      <c r="CJ316" s="692" t="str">
        <f ca="1">IFERROR(IF(AD312="Nested Steel Stud (wood infill)",VLOOKUP(INDEX(CF311:CF322,CI316),SSW,2,FALSE),VLOOKUP(INDEX(CF311:CF322,CI316),SSM,2,FALSE)),"----")</f>
        <v>----</v>
      </c>
      <c r="CK316" s="691" t="e">
        <f t="shared" ca="1" si="5358"/>
        <v>#N/A</v>
      </c>
      <c r="CL316" s="4" t="e">
        <f ca="1">IF(AND(INDEX(WSM,CK316,4)&gt;=$AB311,INDEX(WSM,CK316,5)&gt;=$S311,INDEX(WSM,CK316,6)&gt;=$R311),1,0)</f>
        <v>#N/A</v>
      </c>
      <c r="CM316" s="4" t="e">
        <f t="shared" ref="CM316" ca="1" si="5437">MATCH(1,OFFSET(CL311:CL322,CN315,0,COUNT(CL311:CL322)-CN315),0)</f>
        <v>#REF!</v>
      </c>
      <c r="CN316" s="4" t="e">
        <f t="shared" ca="1" si="5360"/>
        <v>#REF!</v>
      </c>
      <c r="CO316" s="692" t="str">
        <f ca="1">IFERROR(VLOOKUP(INDEX(CK311:CK322,CN316),WSM,2,FALSE),"----")</f>
        <v>----</v>
      </c>
      <c r="CP316" s="691" t="e">
        <f t="shared" ca="1" si="5361"/>
        <v>#N/A</v>
      </c>
      <c r="CQ316" s="4" t="e">
        <f ca="1">IF(AND(INDEX(STM,CP316,4)&gt;=$AB311,INDEX(STM,CP316,5)&gt;=$S311,INDEX(STM,CP316,6)&gt;=$R311),1,0)</f>
        <v>#N/A</v>
      </c>
      <c r="CR316" s="4" t="e">
        <f t="shared" ref="CR316" ca="1" si="5438">MATCH(1,OFFSET(CQ311:CQ322,CS315,0,COUNT(CQ311:CQ322)-CS315),0)</f>
        <v>#REF!</v>
      </c>
      <c r="CS316" s="4" t="e">
        <f t="shared" ca="1" si="5363"/>
        <v>#REF!</v>
      </c>
      <c r="CT316" s="692" t="str">
        <f ca="1">IFERROR(VLOOKUP(INDEX(CP311:CP322,CS316),STM,2,FALSE),"----")</f>
        <v>----</v>
      </c>
      <c r="CU316" s="691" t="e">
        <f t="shared" ca="1" si="5364"/>
        <v>#N/A</v>
      </c>
      <c r="CV316" s="4" t="e">
        <f ca="1">IF(AND(INDEX(ELM,CU316,4)&gt;=$AB311,INDEX(ELM,CU316,5)&gt;=$S311,INDEX(ELM,CU316,6)&gt;=$R311),1,0)</f>
        <v>#N/A</v>
      </c>
      <c r="CW316" s="4" t="e">
        <f t="shared" ref="CW316" ca="1" si="5439">MATCH(1,OFFSET(CV311:CV322,CX315,0,COUNT(CV311:CV322)-CX315),0)</f>
        <v>#REF!</v>
      </c>
      <c r="CX316" s="4" t="e">
        <f t="shared" ca="1" si="5366"/>
        <v>#REF!</v>
      </c>
      <c r="CY316" s="692" t="str">
        <f ca="1">IFERROR(VLOOKUP(INDEX(CU311:CU322,CX316),ELM,2,FALSE),"----")</f>
        <v>----</v>
      </c>
      <c r="CZ316" s="691" t="e">
        <f t="shared" ca="1" si="5367"/>
        <v>#N/A</v>
      </c>
      <c r="DA316" s="4" t="e">
        <f ca="1">IF(LEFT($J311,7)="Clad Wo",IF(AND(INDEX(SPPWS,CZ316,4)&gt;=$AB311,INDEX(SPPWS,CZ316,5)&gt;=$S311,INDEX(SPPWS,CZ316,6)&gt;=$R311),1,0),IF(AND(INDEX(SPM,CZ316,4)&gt;=$AB311,INDEX(SPM,CZ316,5)&gt;=$S311,INDEX(SPM,CZ316,6)&gt;=$R311),1,0))</f>
        <v>#N/A</v>
      </c>
      <c r="DB316" s="4" t="e">
        <f t="shared" ref="DB316" ca="1" si="5440">MATCH(1,OFFSET(DA311:DA322,DC315,0,COUNT(DA311:DA322)-DC315),0)</f>
        <v>#REF!</v>
      </c>
      <c r="DC316" s="4" t="e">
        <f t="shared" ca="1" si="5369"/>
        <v>#REF!</v>
      </c>
      <c r="DD316" s="693" t="str">
        <f ca="1">IF(LEFT($J311,7)="Clad Wo",IFERROR(VLOOKUP(INDEX(CZ311:CZ322,DC316),SPPWS,2,FALSE),"----"),IFERROR(VLOOKUP(INDEX(CZ311:CZ322,DC316),SPM,2,FALSE),"----"))</f>
        <v>----</v>
      </c>
      <c r="DE316" s="691" t="e">
        <f t="shared" ca="1" si="5370"/>
        <v>#REF!</v>
      </c>
      <c r="DF316" s="4" t="e" cm="1">
        <f t="array" aca="1" ref="DF316" ca="1">IF(AND(INDEX(INDIRECT(BY311),DE316,4)&gt;=$AB317,INDEX(INDIRECT(BY311),DE316,5)&gt;=$S311,INDEX(INDIRECT(BY311),DE316,6)&gt;=$R311),1,0)</f>
        <v>#REF!</v>
      </c>
      <c r="DG316" s="4" t="e">
        <f t="shared" ref="DG316" ca="1" si="5441">MATCH(1,OFFSET(DF311:DF322,DH315,0,COUNT(DF311:DF322)-DH315),0)</f>
        <v>#REF!</v>
      </c>
      <c r="DH316" s="4" t="e">
        <f t="shared" ca="1" si="5372"/>
        <v>#REF!</v>
      </c>
      <c r="DI316" s="692" t="str" cm="1">
        <f t="array" aca="1" ref="DI316" ca="1">IFERROR(VLOOKUP(INDEX(DE311:DE322,DH316),INDIRECT(BY311),2,FALSE),"----")</f>
        <v>----</v>
      </c>
      <c r="DJ316" s="691" t="e">
        <f t="shared" ca="1" si="5373"/>
        <v>#N/A</v>
      </c>
      <c r="DK316" s="4" t="e">
        <f ca="1">IF(AND(INDEX(SSM,DJ316,4)&gt;=$AB317,INDEX(SSM,DJ316,5)&gt;=$S311,INDEX(SSM,DJ316,6)&gt;=$R311),1,0)</f>
        <v>#N/A</v>
      </c>
      <c r="DL316" s="4" t="e">
        <f t="shared" ref="DL316" ca="1" si="5442">MATCH(1,OFFSET(DK311:DK322,DM315,0,COUNT(DK311:DK322)-DM315),0)</f>
        <v>#REF!</v>
      </c>
      <c r="DM316" s="4" t="e">
        <f t="shared" ca="1" si="5375"/>
        <v>#REF!</v>
      </c>
      <c r="DN316" s="692" t="str">
        <f ca="1">IFERROR(IF(AD318="Nested Steel Stud (wood infill)",VLOOKUP(INDEX(DJ311:DJ322,DM316),SSW,2,FALSE),VLOOKUP(INDEX(DJ311:DJ322,DM316),SSM,2,FALSE)),"----")</f>
        <v>----</v>
      </c>
      <c r="DO316" s="691" t="e">
        <f t="shared" ca="1" si="5376"/>
        <v>#N/A</v>
      </c>
      <c r="DP316" s="4" t="e">
        <f ca="1">IF(AND(INDEX(WSM,DO316,4)&gt;=$AB317,INDEX(WSM,DO316,5)&gt;=$S311,INDEX(WSM,DO316,6)&gt;=$R311),1,0)</f>
        <v>#N/A</v>
      </c>
      <c r="DQ316" s="4" t="e">
        <f t="shared" ref="DQ316" ca="1" si="5443">MATCH(1,OFFSET(DP311:DP322,DR315,0,COUNT(DP311:DP322)-DR315),0)</f>
        <v>#REF!</v>
      </c>
      <c r="DR316" s="4" t="e">
        <f t="shared" ca="1" si="5378"/>
        <v>#REF!</v>
      </c>
      <c r="DS316" s="692" t="str">
        <f ca="1">IFERROR(VLOOKUP(INDEX(DO311:DO322,DR316),WSM,2,FALSE),"----")</f>
        <v>----</v>
      </c>
      <c r="DT316" s="691" t="e">
        <f t="shared" ca="1" si="5379"/>
        <v>#N/A</v>
      </c>
      <c r="DU316" s="4" t="e">
        <f ca="1">IF(AND(INDEX(STM,DT316,4)&gt;=$AB317,INDEX(STM,DT316,5)&gt;=$S311,INDEX(STM,DT316,6)&gt;=$R311),1,0)</f>
        <v>#N/A</v>
      </c>
      <c r="DV316" s="4" t="e">
        <f t="shared" ref="DV316" ca="1" si="5444">MATCH(1,OFFSET(DU311:DU322,DW315,0,COUNT(DU311:DU322)-DW315),0)</f>
        <v>#REF!</v>
      </c>
      <c r="DW316" s="4" t="e">
        <f t="shared" ca="1" si="5381"/>
        <v>#REF!</v>
      </c>
      <c r="DX316" s="692" t="str">
        <f ca="1">IFERROR(VLOOKUP(INDEX(DT311:DT322,DW316),STM,2,FALSE),"----")</f>
        <v>----</v>
      </c>
      <c r="DY316" s="691" t="e">
        <f t="shared" ca="1" si="5382"/>
        <v>#N/A</v>
      </c>
      <c r="DZ316" s="4" t="e">
        <f ca="1">IF(AND(INDEX(ELM,DY316,4)&gt;=$AB317,INDEX(ELM,DY316,5)&gt;=$S311,INDEX(ELM,DY316,6)&gt;=$R311),1,0)</f>
        <v>#N/A</v>
      </c>
      <c r="EA316" s="4" t="e">
        <f t="shared" ref="EA316" ca="1" si="5445">MATCH(1,OFFSET(DZ311:DZ322,EB315,0,COUNT(DZ311:DZ322)-EB315),0)</f>
        <v>#REF!</v>
      </c>
      <c r="EB316" s="4" t="e">
        <f t="shared" ca="1" si="5384"/>
        <v>#REF!</v>
      </c>
      <c r="EC316" s="692" t="str">
        <f ca="1">IFERROR(VLOOKUP(INDEX(DY311:DY322,EB316),ELM,2,FALSE),"----")</f>
        <v>----</v>
      </c>
      <c r="ED316" s="691" t="e">
        <f t="shared" ca="1" si="5385"/>
        <v>#N/A</v>
      </c>
      <c r="EE316" s="4" t="e">
        <f ca="1">IF(LEFT($J311,7)="Clad Wo",IF(AND(INDEX(SPPWS,ED316,4)&gt;=$AB317,INDEX(SPPWS,ED316,5)&gt;=$S311,INDEX(SPPWS,ED316,6)&gt;=$R311),1,0),IF(AND(INDEX(SPM,ED316,4)&gt;=$AB317,INDEX(SPM,ED316,5)&gt;=$S311,INDEX(SPM,ED316,6)&gt;=$R311),1,0))</f>
        <v>#N/A</v>
      </c>
      <c r="EF316" s="4" t="e">
        <f t="shared" ref="EF316" ca="1" si="5446">MATCH(1,OFFSET(EE311:EE322,EG315,0,COUNT(EE311:EE322)-EG315),0)</f>
        <v>#REF!</v>
      </c>
      <c r="EG316" s="4" t="e">
        <f t="shared" ca="1" si="5387"/>
        <v>#REF!</v>
      </c>
      <c r="EH316" s="692" t="str">
        <f ca="1">IF(LEFT($J311,7)="Clad Wo",IFERROR(VLOOKUP(INDEX(ED311:ED322,EG316),SPPWS,2,FALSE),"----"),IFERROR(VLOOKUP(INDEX(ED311:ED322,EG316),SPM,2,FALSE),"----"))</f>
        <v>----</v>
      </c>
    </row>
    <row r="317" spans="1:138" ht="15" customHeight="1" x14ac:dyDescent="0.25">
      <c r="A317" s="1085"/>
      <c r="B317" s="925" t="s">
        <v>409</v>
      </c>
      <c r="C317" s="926"/>
      <c r="D317" s="927"/>
      <c r="E317" s="995"/>
      <c r="F317" s="996"/>
      <c r="G317" s="997"/>
      <c r="H317" s="1062"/>
      <c r="I317" s="990"/>
      <c r="J317" s="908"/>
      <c r="K317" s="909"/>
      <c r="L317" s="1001">
        <f>L311+1</f>
        <v>5</v>
      </c>
      <c r="M317" s="1064" t="str">
        <f t="shared" ref="M317" si="5447">IFERROR(IF($AE$17="",IF($AG$19="Wind Loading",MIN($V$31,IF(E$11="ASCE 7-05",$U$26,$V$7)*$V$9*(IF($E$12&lt;60,0.156*LN(MAX(MIN(500,O311),10)) -1.7618,IF($E$11="ASCE 7-22", 0.2026*LN(MAX(MIN(500,O311),20))-2.2638,0.2503*LN(MAX(MIN(500,O311),20)) -2.5526))-$V$8)),$V$7*IF(E$12&lt;60,$V$13*($V$15*(0.156*LN(MAX(MIN(500,O311),10)) -1.7618)-$V$16),$V$13*$V$15*((0.2026*LN(MAX(MIN(500,O311),20))-2.2638)-$V$16))),-ABS($AE$17)),"")</f>
        <v/>
      </c>
      <c r="N317" s="1041" t="str">
        <f t="shared" ref="N317" si="5448">IFERROR(IF($AE$19="",IF($AG$19="Wind Loading",MAX($U$31,IF(E$11="ASCE 7-05",$U$26,$V$7)*$V$9*((IF($E$12&lt;60,-0.077*LN(MAX(MIN(500,O311),10))+1.1737,IF($E$11="ASCE 7-22",-0.077*LN(MAX(MIN(500,O311),20))+1.0798,-0.093*LN(MAX(MIN(500,O311),20))+1.1776)))+$V$8)),$V$7*IF(E$12&lt;60,$V$13*($V$15*(-0.077*LN(MAX(MIN(500,O311),10))+1.1737)-$V$17),$V$13*$V$15*((-0.077*LN(MAX(MIN(500,O311),20))+1.0798)-$V$17))),ABS($AE$19)),"")</f>
        <v/>
      </c>
      <c r="O317" s="1018"/>
      <c r="P317" s="987"/>
      <c r="Q317" s="1015"/>
      <c r="R317" s="1012">
        <f>P317*Q317/8</f>
        <v>0</v>
      </c>
      <c r="S317" s="1006"/>
      <c r="T317" s="1007"/>
      <c r="U317" s="878"/>
      <c r="V317" s="881"/>
      <c r="W317" s="883" t="e">
        <f t="shared" ref="W317" si="5449">MAX(-M317,N317)*O311</f>
        <v>#VALUE!</v>
      </c>
      <c r="X317" s="884"/>
      <c r="Y317" s="886">
        <f>IFERROR(IF(AG$14="Trapezoidal",BY320,BX320)+IF($E$17="4",(400*E311^3)/(48*X311),0),0)</f>
        <v>0</v>
      </c>
      <c r="Z317" s="886" t="e">
        <f t="shared" ref="Z317" si="5450">+($V311*MAX(-$M317,$N317)*$E311^2)/(144*8)+IF($E$17=4,(400*$E311)/4,0)</f>
        <v>#VALUE!</v>
      </c>
      <c r="AA317" s="887"/>
      <c r="AB317" s="1080" t="str">
        <f t="shared" ref="AB317" ca="1" si="5451">IFERROR(Z317-AA311,"")</f>
        <v/>
      </c>
      <c r="AC317" s="1086" t="str">
        <f t="shared" ref="AC317" ca="1" si="5452">IFERROR(Y317-U311,"")</f>
        <v/>
      </c>
      <c r="AD317" s="1074" t="str">
        <f t="shared" ref="AD317" si="5453">AD311</f>
        <v/>
      </c>
      <c r="AE317" s="1075"/>
      <c r="AF317" s="1056"/>
      <c r="AG317" s="1057"/>
      <c r="AH317" s="1057"/>
      <c r="AI317" s="1088"/>
      <c r="AJ317" s="1089"/>
      <c r="AK317" s="162" t="str">
        <f t="shared" ca="1" si="4947"/>
        <v/>
      </c>
      <c r="AL317" s="1058" t="str">
        <f t="shared" ref="AL317" si="5454">IFERROR(ROUND(SQRT(P311^2+(W317/2+IF($E$17=4,200,0))^2),0),"")</f>
        <v/>
      </c>
      <c r="AM317" s="342" t="s">
        <v>669</v>
      </c>
      <c r="AN317" t="str">
        <f t="shared" ca="1" si="4971"/>
        <v/>
      </c>
      <c r="AP317" s="122" t="str">
        <f t="shared" ref="AP317" si="5455">_xlfn.CONCAT(AR317,AS322)</f>
        <v/>
      </c>
      <c r="AQ317" s="683" t="str">
        <f t="shared" si="5170"/>
        <v/>
      </c>
      <c r="AR317" s="96" t="str">
        <f t="shared" si="4931"/>
        <v/>
      </c>
      <c r="AS317" s="96" t="str">
        <f>IF(COUNTIF(imp_1,AF317)=1,"imp_1",IF(COUNTIF(imp_2,AF317)=1,"imp_2",IF(COUNTIF(imp_3,AF317)=1,"imp_3",IF(COUNTIF(impdoor,AF317)=1,"impdoor",""))))</f>
        <v/>
      </c>
      <c r="AT317" s="684" t="str">
        <f>AL317</f>
        <v/>
      </c>
      <c r="AU317" s="685" t="e">
        <f t="shared" ca="1" si="5187"/>
        <v>#REF!</v>
      </c>
      <c r="AV317" s="686" t="str">
        <f ca="1">IFERROR(VLOOKUP(AU317,INDIRECT(AQ311),2,FALSE),"----")</f>
        <v>----</v>
      </c>
      <c r="AW317" s="685" t="e">
        <f t="shared" ca="1" si="5188"/>
        <v>#REF!</v>
      </c>
      <c r="AX317" s="686" t="str">
        <f ca="1">IFERROR(VLOOKUP(AW317,INDIRECT(AQ312),2,FALSE),"----")</f>
        <v>----</v>
      </c>
      <c r="AY317" s="685" t="e">
        <f t="shared" ca="1" si="5433"/>
        <v>#REF!</v>
      </c>
      <c r="AZ317" s="686" t="str">
        <f ca="1">IFERROR(VLOOKUP(AY317,INDIRECT(AQ313),2,FALSE),"----")</f>
        <v>----</v>
      </c>
      <c r="BA317" s="685" t="e">
        <f t="shared" ca="1" si="5434"/>
        <v>#REF!</v>
      </c>
      <c r="BB317" s="686" t="str">
        <f ca="1">IFERROR(VLOOKUP(BA317,INDIRECT(AQ314),2,FALSE),"----")</f>
        <v>----</v>
      </c>
      <c r="BC317" s="685" t="e">
        <f t="shared" ca="1" si="5191"/>
        <v>#REF!</v>
      </c>
      <c r="BD317" s="686" t="str">
        <f ca="1">IFERROR(VLOOKUP(BC317,INDIRECT(AQ315),2,FALSE),"----")</f>
        <v>----</v>
      </c>
      <c r="BE317" s="685" t="e">
        <f t="shared" ca="1" si="5192"/>
        <v>#REF!</v>
      </c>
      <c r="BF317" s="686" t="str">
        <f ca="1">IFERROR(VLOOKUP(BE317,INDIRECT(AQ316),2,FALSE),"----")</f>
        <v>----</v>
      </c>
      <c r="BG317" s="702" t="e">
        <f t="shared" ca="1" si="5193"/>
        <v>#REF!</v>
      </c>
      <c r="BH317" s="686" t="str">
        <f ca="1">IFERROR(VLOOKUP(BG317,INDIRECT(AQ317),2,FALSE),"----")</f>
        <v>----</v>
      </c>
      <c r="BI317" s="702" t="e">
        <f t="shared" ca="1" si="5194"/>
        <v>#REF!</v>
      </c>
      <c r="BJ317" s="686" t="str">
        <f ca="1">IFERROR(VLOOKUP(BI317,INDIRECT(AQ318),2,FALSE),"----")</f>
        <v>----</v>
      </c>
      <c r="BK317" s="702" t="e">
        <f t="shared" ca="1" si="5195"/>
        <v>#REF!</v>
      </c>
      <c r="BL317" s="686" t="str">
        <f ca="1">IFERROR(VLOOKUP(BK317,INDIRECT(AQ319),2,FALSE),"----")</f>
        <v>----</v>
      </c>
      <c r="BM317" s="702" t="e">
        <f t="shared" ca="1" si="5196"/>
        <v>#REF!</v>
      </c>
      <c r="BN317" s="686" t="str">
        <f ca="1">IFERROR(VLOOKUP(BM317,INDIRECT(AQ320),2,FALSE),"----")</f>
        <v>----</v>
      </c>
      <c r="BO317" s="702" t="e">
        <f t="shared" ca="1" si="5197"/>
        <v>#REF!</v>
      </c>
      <c r="BP317" s="686" t="str">
        <f ca="1">IFERROR(VLOOKUP(BO317,INDIRECT(AQ321),2,FALSE),"----")</f>
        <v>----</v>
      </c>
      <c r="BQ317" s="702" t="e">
        <f t="shared" ca="1" si="5198"/>
        <v>#REF!</v>
      </c>
      <c r="BR317" s="686" t="str">
        <f ca="1">IFERROR(VLOOKUP(BQ317,INDIRECT(AQ322),2,FALSE),"----")</f>
        <v>----</v>
      </c>
      <c r="BS317" s="695">
        <f>IF(AI317="",1,IF(COUNTIF(BH311:BH322,AI317)=0,2,1))</f>
        <v>1</v>
      </c>
      <c r="BT317" s="696">
        <f>IF(AP317="1",1,IF(AF317="",1,IF(BH311=".",2,1)))</f>
        <v>1</v>
      </c>
      <c r="BU317" s="706"/>
      <c r="BV317" s="155">
        <f ca="1">IF(COUNTIF(DI311:DI322,AF317)=0,IF(AF317&lt;&gt;"",0,1),1)</f>
        <v>1</v>
      </c>
      <c r="BW317" s="157">
        <f ca="1">IFERROR(MATCH(AF317,DI311:DI322,0),1)</f>
        <v>1</v>
      </c>
      <c r="BX317" s="769" t="s">
        <v>1593</v>
      </c>
      <c r="BY317" s="769" t="s">
        <v>1629</v>
      </c>
      <c r="BZ317" s="1110"/>
      <c r="CA317" s="691" t="e">
        <f t="shared" ca="1" si="5352"/>
        <v>#REF!</v>
      </c>
      <c r="CB317" s="4" t="e" cm="1">
        <f t="array" aca="1" ref="CB317" ca="1">IF(AND(INDEX(INDIRECT(BY311),CA317,4)&gt;=$AB311,INDEX(INDIRECT(BY311),CA317,5)&gt;=$S311,INDEX(INDIRECT(BY311),CA317,6)&gt;=$R311),1,0)</f>
        <v>#REF!</v>
      </c>
      <c r="CC317" s="4" t="e">
        <f t="shared" ref="CC317" ca="1" si="5456">MATCH(1,OFFSET(CB311:CB322,CD316,0,COUNT(CB311:CB322)-CD316),0)</f>
        <v>#REF!</v>
      </c>
      <c r="CD317" s="4" t="e">
        <f t="shared" ca="1" si="5354"/>
        <v>#REF!</v>
      </c>
      <c r="CE317" s="692" t="str" cm="1">
        <f t="array" aca="1" ref="CE317" ca="1">IFERROR(VLOOKUP(INDEX(CA311:CA322,CD317),INDIRECT(BY311),2,FALSE),"----")</f>
        <v>----</v>
      </c>
      <c r="CF317" s="691" t="e">
        <f t="shared" ca="1" si="5355"/>
        <v>#N/A</v>
      </c>
      <c r="CG317" s="4" t="e">
        <f ca="1">IF(AND(INDEX(SSM,CF317,4)&gt;=$AB311,INDEX(SSM,CF317,5)&gt;=$S311,INDEX(SSM,CF317,6)&gt;=$R311),1,0)</f>
        <v>#N/A</v>
      </c>
      <c r="CH317" s="4" t="e">
        <f t="shared" ref="CH317" ca="1" si="5457">MATCH(1,OFFSET(CG311:CG322,CI316,0,COUNT(CG311:CG322)-CI316),0)</f>
        <v>#REF!</v>
      </c>
      <c r="CI317" s="4" t="e">
        <f t="shared" ca="1" si="5357"/>
        <v>#REF!</v>
      </c>
      <c r="CJ317" s="692" t="str">
        <f ca="1">IFERROR(IF(AD312="Nested Steel Stud (wood infill)",VLOOKUP(INDEX(CF311:CF322,CI317),SSW,2,FALSE),VLOOKUP(INDEX(CF311:CF322,CI317),SSM,2,FALSE)),"----")</f>
        <v>----</v>
      </c>
      <c r="CK317" s="691" t="e">
        <f t="shared" ca="1" si="5358"/>
        <v>#N/A</v>
      </c>
      <c r="CL317" s="4" t="e">
        <f ca="1">IF(AND(INDEX(WSM,CK317,4)&gt;=$AB311,INDEX(WSM,CK317,5)&gt;=$S311,INDEX(WSM,CK317,6)&gt;=$R311),1,0)</f>
        <v>#N/A</v>
      </c>
      <c r="CM317" s="4" t="e">
        <f t="shared" ref="CM317" ca="1" si="5458">MATCH(1,OFFSET(CL311:CL322,CN316,0,COUNT(CL311:CL322)-CN316),0)</f>
        <v>#REF!</v>
      </c>
      <c r="CN317" s="4" t="e">
        <f t="shared" ca="1" si="5360"/>
        <v>#REF!</v>
      </c>
      <c r="CO317" s="692" t="str">
        <f ca="1">IFERROR(VLOOKUP(INDEX(CK311:CK322,CN317),WSM,2,FALSE),"----")</f>
        <v>----</v>
      </c>
      <c r="CP317" s="691" t="e">
        <f t="shared" ca="1" si="5361"/>
        <v>#N/A</v>
      </c>
      <c r="CQ317" s="4" t="e">
        <f ca="1">IF(AND(INDEX(STM,CP317,4)&gt;=$AB311,INDEX(STM,CP317,5)&gt;=$S311,INDEX(STM,CP317,6)&gt;=$R311),1,0)</f>
        <v>#N/A</v>
      </c>
      <c r="CR317" s="4" t="e">
        <f t="shared" ref="CR317" ca="1" si="5459">MATCH(1,OFFSET(CQ311:CQ322,CS316,0,COUNT(CQ311:CQ322)-CS316),0)</f>
        <v>#REF!</v>
      </c>
      <c r="CS317" s="4" t="e">
        <f t="shared" ca="1" si="5363"/>
        <v>#REF!</v>
      </c>
      <c r="CT317" s="692" t="str">
        <f ca="1">IFERROR(VLOOKUP(INDEX(CP311:CP322,CS317),STM,2,FALSE),"----")</f>
        <v>----</v>
      </c>
      <c r="CU317" s="691" t="e">
        <f t="shared" ca="1" si="5364"/>
        <v>#N/A</v>
      </c>
      <c r="CV317" s="4" t="e">
        <f ca="1">IF(AND(INDEX(ELM,CU317,4)&gt;=$AB311,INDEX(ELM,CU317,5)&gt;=$S311,INDEX(ELM,CU317,6)&gt;=$R311),1,0)</f>
        <v>#N/A</v>
      </c>
      <c r="CW317" s="4" t="e">
        <f t="shared" ref="CW317" ca="1" si="5460">MATCH(1,OFFSET(CV311:CV322,CX316,0,COUNT(CV311:CV322)-CX316),0)</f>
        <v>#REF!</v>
      </c>
      <c r="CX317" s="4" t="e">
        <f t="shared" ca="1" si="5366"/>
        <v>#REF!</v>
      </c>
      <c r="CY317" s="692" t="str">
        <f ca="1">IFERROR(VLOOKUP(INDEX(CU311:CU322,CX317),ELM,2,FALSE),"----")</f>
        <v>----</v>
      </c>
      <c r="CZ317" s="691" t="e">
        <f t="shared" ca="1" si="5367"/>
        <v>#N/A</v>
      </c>
      <c r="DA317" s="4" t="e">
        <f ca="1">IF(LEFT($J311,7)="Clad Wo",IF(AND(INDEX(SPPWS,CZ317,4)&gt;=$AB311,INDEX(SPPWS,CZ317,5)&gt;=$S311,INDEX(SPPWS,CZ317,6)&gt;=$R311),1,0),IF(AND(INDEX(SPM,CZ317,4)&gt;=$AB311,INDEX(SPM,CZ317,5)&gt;=$S311,INDEX(SPM,CZ317,6)&gt;=$R311),1,0))</f>
        <v>#N/A</v>
      </c>
      <c r="DB317" s="4" t="e">
        <f t="shared" ref="DB317" ca="1" si="5461">MATCH(1,OFFSET(DA311:DA322,DC316,0,COUNT(DA311:DA322)-DC316),0)</f>
        <v>#REF!</v>
      </c>
      <c r="DC317" s="4" t="e">
        <f t="shared" ca="1" si="5369"/>
        <v>#REF!</v>
      </c>
      <c r="DD317" s="693" t="str">
        <f ca="1">IF(LEFT($J311,7)="Clad Wo",IFERROR(VLOOKUP(INDEX(CZ311:CZ322,DC317),SPPWS,2,FALSE),"----"),IFERROR(VLOOKUP(INDEX(CZ311:CZ322,DC317),SPM,2,FALSE),"----"))</f>
        <v>----</v>
      </c>
      <c r="DE317" s="691" t="e">
        <f t="shared" ca="1" si="5370"/>
        <v>#REF!</v>
      </c>
      <c r="DF317" s="4" t="e" cm="1">
        <f t="array" aca="1" ref="DF317" ca="1">IF(AND(INDEX(INDIRECT(BY311),DE317,4)&gt;=$AB317,INDEX(INDIRECT(BY311),DE317,5)&gt;=$S311,INDEX(INDIRECT(BY311),DE317,6)&gt;=$R311),1,0)</f>
        <v>#REF!</v>
      </c>
      <c r="DG317" s="4" t="e">
        <f t="shared" ref="DG317" ca="1" si="5462">MATCH(1,OFFSET(DF311:DF322,DH316,0,COUNT(DF311:DF322)-DH316),0)</f>
        <v>#REF!</v>
      </c>
      <c r="DH317" s="4" t="e">
        <f t="shared" ca="1" si="5372"/>
        <v>#REF!</v>
      </c>
      <c r="DI317" s="692" t="str" cm="1">
        <f t="array" aca="1" ref="DI317" ca="1">IFERROR(VLOOKUP(INDEX(DE311:DE322,DH317),INDIRECT(BY311),2,FALSE),"----")</f>
        <v>----</v>
      </c>
      <c r="DJ317" s="691" t="e">
        <f t="shared" ca="1" si="5373"/>
        <v>#N/A</v>
      </c>
      <c r="DK317" s="4" t="e">
        <f ca="1">IF(AND(INDEX(SSM,DJ317,4)&gt;=$AB317,INDEX(SSM,DJ317,5)&gt;=$S311,INDEX(SSM,DJ317,6)&gt;=$R311),1,0)</f>
        <v>#N/A</v>
      </c>
      <c r="DL317" s="4" t="e">
        <f t="shared" ref="DL317" ca="1" si="5463">MATCH(1,OFFSET(DK311:DK322,DM316,0,COUNT(DK311:DK322)-DM316),0)</f>
        <v>#REF!</v>
      </c>
      <c r="DM317" s="4" t="e">
        <f t="shared" ca="1" si="5375"/>
        <v>#REF!</v>
      </c>
      <c r="DN317" s="692" t="str">
        <f ca="1">IFERROR(IF(AD318="Nested Steel Stud (wood infill)",VLOOKUP(INDEX(DJ311:DJ322,DM317),SSW,2,FALSE),VLOOKUP(INDEX(DJ311:DJ322,DM317),SSM,2,FALSE)),"----")</f>
        <v>----</v>
      </c>
      <c r="DO317" s="691" t="e">
        <f t="shared" ca="1" si="5376"/>
        <v>#N/A</v>
      </c>
      <c r="DP317" s="4" t="e">
        <f ca="1">IF(AND(INDEX(WSM,DO317,4)&gt;=$AB317,INDEX(WSM,DO317,5)&gt;=$S311,INDEX(WSM,DO317,6)&gt;=$R311),1,0)</f>
        <v>#N/A</v>
      </c>
      <c r="DQ317" s="4" t="e">
        <f t="shared" ref="DQ317" ca="1" si="5464">MATCH(1,OFFSET(DP311:DP322,DR316,0,COUNT(DP311:DP322)-DR316),0)</f>
        <v>#REF!</v>
      </c>
      <c r="DR317" s="4" t="e">
        <f t="shared" ca="1" si="5378"/>
        <v>#REF!</v>
      </c>
      <c r="DS317" s="692" t="str">
        <f ca="1">IFERROR(VLOOKUP(INDEX(DO311:DO322,DR317),WSM,2,FALSE),"----")</f>
        <v>----</v>
      </c>
      <c r="DT317" s="691" t="e">
        <f t="shared" ca="1" si="5379"/>
        <v>#N/A</v>
      </c>
      <c r="DU317" s="4" t="e">
        <f ca="1">IF(AND(INDEX(STM,DT317,4)&gt;=$AB317,INDEX(STM,DT317,5)&gt;=$S311,INDEX(STM,DT317,6)&gt;=$R311),1,0)</f>
        <v>#N/A</v>
      </c>
      <c r="DV317" s="4" t="e">
        <f t="shared" ref="DV317" ca="1" si="5465">MATCH(1,OFFSET(DU311:DU322,DW316,0,COUNT(DU311:DU322)-DW316),0)</f>
        <v>#REF!</v>
      </c>
      <c r="DW317" s="4" t="e">
        <f t="shared" ca="1" si="5381"/>
        <v>#REF!</v>
      </c>
      <c r="DX317" s="692" t="str">
        <f ca="1">IFERROR(VLOOKUP(INDEX(DT311:DT322,DW317),STM,2,FALSE),"----")</f>
        <v>----</v>
      </c>
      <c r="DY317" s="691" t="e">
        <f t="shared" ca="1" si="5382"/>
        <v>#N/A</v>
      </c>
      <c r="DZ317" s="4" t="e">
        <f ca="1">IF(AND(INDEX(ELM,DY317,4)&gt;=$AB317,INDEX(ELM,DY317,5)&gt;=$S311,INDEX(ELM,DY317,6)&gt;=$R311),1,0)</f>
        <v>#N/A</v>
      </c>
      <c r="EA317" s="4" t="e">
        <f t="shared" ref="EA317" ca="1" si="5466">MATCH(1,OFFSET(DZ311:DZ322,EB316,0,COUNT(DZ311:DZ322)-EB316),0)</f>
        <v>#REF!</v>
      </c>
      <c r="EB317" s="4" t="e">
        <f t="shared" ca="1" si="5384"/>
        <v>#REF!</v>
      </c>
      <c r="EC317" s="692" t="str">
        <f ca="1">IFERROR(VLOOKUP(INDEX(DY311:DY322,EB317),ELM,2,FALSE),"----")</f>
        <v>----</v>
      </c>
      <c r="ED317" s="691" t="e">
        <f t="shared" ca="1" si="5385"/>
        <v>#N/A</v>
      </c>
      <c r="EE317" s="4" t="e">
        <f ca="1">IF(LEFT($J311,7)="Clad Wo",IF(AND(INDEX(SPPWS,ED317,4)&gt;=$AB317,INDEX(SPPWS,ED317,5)&gt;=$S311,INDEX(SPPWS,ED317,6)&gt;=$R311),1,0),IF(AND(INDEX(SPM,ED317,4)&gt;=$AB317,INDEX(SPM,ED317,5)&gt;=$S311,INDEX(SPM,ED317,6)&gt;=$R311),1,0))</f>
        <v>#N/A</v>
      </c>
      <c r="EF317" s="4" t="e">
        <f t="shared" ref="EF317" ca="1" si="5467">MATCH(1,OFFSET(EE311:EE322,EG316,0,COUNT(EE311:EE322)-EG316),0)</f>
        <v>#REF!</v>
      </c>
      <c r="EG317" s="4" t="e">
        <f t="shared" ca="1" si="5387"/>
        <v>#REF!</v>
      </c>
      <c r="EH317" s="692" t="str">
        <f ca="1">IF(LEFT($J311,7)="Clad Wo",IFERROR(VLOOKUP(INDEX(ED311:ED322,EG317),SPPWS,2,FALSE),"----"),IFERROR(VLOOKUP(INDEX(ED311:ED322,EG317),SPM,2,FALSE),"----"))</f>
        <v>----</v>
      </c>
    </row>
    <row r="318" spans="1:138" ht="15" customHeight="1" x14ac:dyDescent="0.25">
      <c r="A318" s="1085"/>
      <c r="B318" s="925"/>
      <c r="C318" s="926"/>
      <c r="D318" s="927"/>
      <c r="E318" s="995"/>
      <c r="F318" s="996"/>
      <c r="G318" s="997"/>
      <c r="H318" s="1062"/>
      <c r="I318" s="990"/>
      <c r="J318" s="912"/>
      <c r="K318" s="913"/>
      <c r="L318" s="1002"/>
      <c r="M318" s="923"/>
      <c r="N318" s="1042"/>
      <c r="O318" s="1018"/>
      <c r="P318" s="987"/>
      <c r="Q318" s="1015"/>
      <c r="R318" s="1012"/>
      <c r="S318" s="1006"/>
      <c r="T318" s="1007"/>
      <c r="U318" s="878"/>
      <c r="V318" s="881"/>
      <c r="W318" s="884"/>
      <c r="X318" s="884"/>
      <c r="Y318" s="887"/>
      <c r="Z318" s="887"/>
      <c r="AA318" s="887"/>
      <c r="AB318" s="1081"/>
      <c r="AC318" s="1078"/>
      <c r="AD318" s="1070" t="str">
        <f t="shared" ref="AD318" si="5468">IF(ISBLANK(AD312)=TRUE,"",AD312)</f>
        <v>Nested Steel Stud</v>
      </c>
      <c r="AE318" s="1071"/>
      <c r="AF318" s="1052"/>
      <c r="AG318" s="1053"/>
      <c r="AH318" s="1053"/>
      <c r="AI318" s="1066"/>
      <c r="AJ318" s="1067"/>
      <c r="AK318" s="156" t="str">
        <f t="shared" ca="1" si="4947"/>
        <v/>
      </c>
      <c r="AL318" s="1059"/>
      <c r="AM318" s="343" t="str">
        <f ca="1">IFERROR(Q311/12*ROUND(VLOOKUP(AF318,OFFSET(SSM,0,1),6,FALSE),2),"")</f>
        <v/>
      </c>
      <c r="AN318" t="str">
        <f t="shared" ca="1" si="4971"/>
        <v/>
      </c>
      <c r="AP318" s="122" t="str">
        <f t="shared" ref="AP318" si="5469">_xlfn.CONCAT(AR318,AS322)</f>
        <v/>
      </c>
      <c r="AQ318" s="683" t="str">
        <f t="shared" si="5170"/>
        <v/>
      </c>
      <c r="AR318" s="96" t="str">
        <f t="shared" si="4931"/>
        <v/>
      </c>
      <c r="AS318" s="96" t="str">
        <f>IF(COUNTIF(Vista_1,AF317)=1,"Vista_1",IF(COUNTIF(Vista_2,AF317)=1,"Vista_2",""))</f>
        <v/>
      </c>
      <c r="AT318" s="684" t="str">
        <f>AL317</f>
        <v/>
      </c>
      <c r="AU318" s="694" t="e">
        <f t="shared" ca="1" si="5187"/>
        <v>#REF!</v>
      </c>
      <c r="AV318" s="686" t="str">
        <f ca="1">IFERROR(VLOOKUP(AU318,INDIRECT(AQ311),2,FALSE),"----")</f>
        <v>----</v>
      </c>
      <c r="AW318" s="694" t="e">
        <f t="shared" ca="1" si="5188"/>
        <v>#REF!</v>
      </c>
      <c r="AX318" s="686" t="str">
        <f ca="1">IFERROR(VLOOKUP(AW318,INDIRECT(AQ312),2,FALSE),"----")</f>
        <v>----</v>
      </c>
      <c r="AY318" s="694" t="e">
        <f t="shared" ca="1" si="5433"/>
        <v>#REF!</v>
      </c>
      <c r="AZ318" s="686" t="str">
        <f ca="1">IFERROR(VLOOKUP(AY318,INDIRECT(AQ313),2,FALSE),"----")</f>
        <v>----</v>
      </c>
      <c r="BA318" s="694" t="e">
        <f t="shared" ca="1" si="5434"/>
        <v>#REF!</v>
      </c>
      <c r="BB318" s="686" t="str">
        <f ca="1">IFERROR(VLOOKUP(BA318,INDIRECT(AQ314),2,FALSE),"----")</f>
        <v>----</v>
      </c>
      <c r="BC318" s="694" t="e">
        <f t="shared" ca="1" si="5191"/>
        <v>#REF!</v>
      </c>
      <c r="BD318" s="686" t="str">
        <f ca="1">IFERROR(VLOOKUP(BC318,INDIRECT(AQ315),2,FALSE),"----")</f>
        <v>----</v>
      </c>
      <c r="BE318" s="694" t="e">
        <f t="shared" ca="1" si="5192"/>
        <v>#REF!</v>
      </c>
      <c r="BF318" s="686" t="str">
        <f ca="1">IFERROR(VLOOKUP(BE318,INDIRECT(AQ316),2,FALSE),"----")</f>
        <v>----</v>
      </c>
      <c r="BG318" s="702" t="e">
        <f t="shared" ca="1" si="5193"/>
        <v>#REF!</v>
      </c>
      <c r="BH318" s="686" t="str">
        <f ca="1">IFERROR(VLOOKUP(BG318,INDIRECT(AQ317),2,FALSE),"----")</f>
        <v>----</v>
      </c>
      <c r="BI318" s="702" t="e">
        <f t="shared" ca="1" si="5194"/>
        <v>#REF!</v>
      </c>
      <c r="BJ318" s="686" t="str">
        <f ca="1">IFERROR(VLOOKUP(BI318,INDIRECT(AQ318),2,FALSE),"----")</f>
        <v>----</v>
      </c>
      <c r="BK318" s="702" t="e">
        <f t="shared" ca="1" si="5195"/>
        <v>#REF!</v>
      </c>
      <c r="BL318" s="686" t="str">
        <f ca="1">IFERROR(VLOOKUP(BK318,INDIRECT(AQ319),2,FALSE),"----")</f>
        <v>----</v>
      </c>
      <c r="BM318" s="702" t="e">
        <f t="shared" ca="1" si="5196"/>
        <v>#REF!</v>
      </c>
      <c r="BN318" s="686" t="str">
        <f ca="1">IFERROR(VLOOKUP(BM318,INDIRECT(AQ320),2,FALSE),"----")</f>
        <v>----</v>
      </c>
      <c r="BO318" s="702" t="e">
        <f t="shared" ca="1" si="5197"/>
        <v>#REF!</v>
      </c>
      <c r="BP318" s="686" t="str">
        <f ca="1">IFERROR(VLOOKUP(BO318,INDIRECT(AQ321),2,FALSE),"----")</f>
        <v>----</v>
      </c>
      <c r="BQ318" s="702" t="e">
        <f t="shared" ca="1" si="5198"/>
        <v>#REF!</v>
      </c>
      <c r="BR318" s="686" t="str">
        <f ca="1">IFERROR(VLOOKUP(BQ318,INDIRECT(AQ322),2,FALSE),"----")</f>
        <v>----</v>
      </c>
      <c r="BS318" s="695">
        <f>IF(AI318="",1,IF(COUNTIF(BJ311:BJ322,AI318)=0,2,1))</f>
        <v>1</v>
      </c>
      <c r="BT318" s="696">
        <f>IF(AF318="",1,IF(BJ311=".",2,1))</f>
        <v>1</v>
      </c>
      <c r="BU318" s="706"/>
      <c r="BV318" s="155">
        <f ca="1">IF(COUNTIF(DN311:DN322,AF318)=0,IF(AF318&lt;&gt;"",0,1),1)</f>
        <v>1</v>
      </c>
      <c r="BW318" s="157">
        <f ca="1">IFERROR(MATCH(AF318,DN311:DN322,0),1)</f>
        <v>1</v>
      </c>
      <c r="BX318" s="769">
        <f t="shared" ref="BX318" si="5470">E311*(H311+I311)/144/2</f>
        <v>0</v>
      </c>
      <c r="BY318" s="769">
        <f>SUM(IF(H311&gt;E311,E311^2/4,(H311*E311/2)-(H311^2/4))/144,IF(I311&gt;E311,E311^2/4,(I311*E311/2)-(I311^2/4))/144)</f>
        <v>0</v>
      </c>
      <c r="BZ318" s="1110"/>
      <c r="CA318" s="691" t="e">
        <f t="shared" ca="1" si="5352"/>
        <v>#REF!</v>
      </c>
      <c r="CB318" s="4" t="e" cm="1">
        <f t="array" aca="1" ref="CB318" ca="1">IF(AND(INDEX(INDIRECT(BY311),CA318,4)&gt;=$AB311,INDEX(INDIRECT(BY311),CA318,5)&gt;=$S311,INDEX(INDIRECT(BY311),CA318,6)&gt;=$R311),1,0)</f>
        <v>#REF!</v>
      </c>
      <c r="CC318" s="4" t="e">
        <f t="shared" ref="CC318" ca="1" si="5471">MATCH(1,OFFSET(CB311:CB322,CD317,0,COUNT(CB311:CB322)-CD317),0)</f>
        <v>#REF!</v>
      </c>
      <c r="CD318" s="4" t="e">
        <f t="shared" ca="1" si="5354"/>
        <v>#REF!</v>
      </c>
      <c r="CE318" s="692" t="str" cm="1">
        <f t="array" aca="1" ref="CE318" ca="1">IFERROR(VLOOKUP(INDEX(CA311:CA322,CD318),INDIRECT(BY311),2,FALSE),"----")</f>
        <v>----</v>
      </c>
      <c r="CF318" s="691" t="e">
        <f t="shared" ca="1" si="5355"/>
        <v>#N/A</v>
      </c>
      <c r="CG318" s="4" t="e">
        <f ca="1">IF(AND(INDEX(SSM,CF318,4)&gt;=$AB311,INDEX(SSM,CF318,5)&gt;=$S311,INDEX(SSM,CF318,6)&gt;=$R311),1,0)</f>
        <v>#N/A</v>
      </c>
      <c r="CH318" s="4" t="e">
        <f t="shared" ref="CH318" ca="1" si="5472">MATCH(1,OFFSET(CG311:CG322,CI317,0,COUNT(CG311:CG322)-CI317),0)</f>
        <v>#REF!</v>
      </c>
      <c r="CI318" s="4" t="e">
        <f t="shared" ca="1" si="5357"/>
        <v>#REF!</v>
      </c>
      <c r="CJ318" s="692" t="str">
        <f ca="1">IFERROR(IF(AD312="Nested Steel Stud (wood infill)",VLOOKUP(INDEX(CF311:CF322,CI318),SSW,2,FALSE),VLOOKUP(INDEX(CF311:CF322,CI318),SSM,2,FALSE)),"----")</f>
        <v>----</v>
      </c>
      <c r="CK318" s="691" t="e">
        <f t="shared" ca="1" si="5358"/>
        <v>#N/A</v>
      </c>
      <c r="CL318" s="4" t="e">
        <f ca="1">IF(AND(INDEX(WSM,CK318,4)&gt;=$AB311,INDEX(WSM,CK318,5)&gt;=$S311,INDEX(WSM,CK318,6)&gt;=$R311),1,0)</f>
        <v>#N/A</v>
      </c>
      <c r="CM318" s="4" t="e">
        <f t="shared" ref="CM318" ca="1" si="5473">MATCH(1,OFFSET(CL311:CL322,CN317,0,COUNT(CL311:CL322)-CN317),0)</f>
        <v>#REF!</v>
      </c>
      <c r="CN318" s="4" t="e">
        <f t="shared" ca="1" si="5360"/>
        <v>#REF!</v>
      </c>
      <c r="CO318" s="692" t="str">
        <f ca="1">IFERROR(VLOOKUP(INDEX(CK311:CK322,CN318),WSM,2,FALSE),"----")</f>
        <v>----</v>
      </c>
      <c r="CP318" s="691" t="e">
        <f t="shared" ca="1" si="5361"/>
        <v>#N/A</v>
      </c>
      <c r="CQ318" s="4" t="e">
        <f ca="1">IF(AND(INDEX(STM,CP318,4)&gt;=$AB311,INDEX(STM,CP318,5)&gt;=$S311,INDEX(STM,CP318,6)&gt;=$R311),1,0)</f>
        <v>#N/A</v>
      </c>
      <c r="CR318" s="4" t="e">
        <f t="shared" ref="CR318" ca="1" si="5474">MATCH(1,OFFSET(CQ311:CQ322,CS317,0,COUNT(CQ311:CQ322)-CS317),0)</f>
        <v>#REF!</v>
      </c>
      <c r="CS318" s="4" t="e">
        <f t="shared" ca="1" si="5363"/>
        <v>#REF!</v>
      </c>
      <c r="CT318" s="692" t="str">
        <f ca="1">IFERROR(VLOOKUP(INDEX(CP311:CP322,CS318),STM,2,FALSE),"----")</f>
        <v>----</v>
      </c>
      <c r="CU318" s="691" t="e">
        <f t="shared" ca="1" si="5364"/>
        <v>#N/A</v>
      </c>
      <c r="CV318" s="4" t="e">
        <f ca="1">IF(AND(INDEX(ELM,CU318,4)&gt;=$AB311,INDEX(ELM,CU318,5)&gt;=$S311,INDEX(ELM,CU318,6)&gt;=$R311),1,0)</f>
        <v>#N/A</v>
      </c>
      <c r="CW318" s="4" t="e">
        <f t="shared" ref="CW318" ca="1" si="5475">MATCH(1,OFFSET(CV311:CV322,CX317,0,COUNT(CV311:CV322)-CX317),0)</f>
        <v>#REF!</v>
      </c>
      <c r="CX318" s="4" t="e">
        <f t="shared" ca="1" si="5366"/>
        <v>#REF!</v>
      </c>
      <c r="CY318" s="692" t="str">
        <f ca="1">IFERROR(VLOOKUP(INDEX(CU311:CU322,CX318),ELM,2,FALSE),"----")</f>
        <v>----</v>
      </c>
      <c r="CZ318" s="691" t="e">
        <f t="shared" ca="1" si="5367"/>
        <v>#N/A</v>
      </c>
      <c r="DA318" s="4" t="e">
        <f ca="1">IF(LEFT($J311,7)="Clad Wo",IF(AND(INDEX(SPPWS,CZ318,4)&gt;=$AB311,INDEX(SPPWS,CZ318,5)&gt;=$S311,INDEX(SPPWS,CZ318,6)&gt;=$R311),1,0),IF(AND(INDEX(SPM,CZ318,4)&gt;=$AB311,INDEX(SPM,CZ318,5)&gt;=$S311,INDEX(SPM,CZ318,6)&gt;=$R311),1,0))</f>
        <v>#N/A</v>
      </c>
      <c r="DB318" s="4" t="e">
        <f t="shared" ref="DB318" ca="1" si="5476">MATCH(1,OFFSET(DA311:DA322,DC317,0,COUNT(DA311:DA322)-DC317),0)</f>
        <v>#REF!</v>
      </c>
      <c r="DC318" s="4" t="e">
        <f t="shared" ca="1" si="5369"/>
        <v>#REF!</v>
      </c>
      <c r="DD318" s="693" t="str">
        <f ca="1">IF(LEFT($J311,7)="Clad Wo",IFERROR(VLOOKUP(INDEX(CZ311:CZ322,DC318),SPPWS,2,FALSE),"----"),IFERROR(VLOOKUP(INDEX(CZ311:CZ322,DC318),SPM,2,FALSE),"----"))</f>
        <v>----</v>
      </c>
      <c r="DE318" s="691" t="e">
        <f t="shared" ca="1" si="5370"/>
        <v>#REF!</v>
      </c>
      <c r="DF318" s="4" t="e" cm="1">
        <f t="array" aca="1" ref="DF318" ca="1">IF(AND(INDEX(INDIRECT(BY311),DE318,4)&gt;=$AB317,INDEX(INDIRECT(BY311),DE318,5)&gt;=$S311,INDEX(INDIRECT(BY311),DE318,6)&gt;=$R311),1,0)</f>
        <v>#REF!</v>
      </c>
      <c r="DG318" s="4" t="e">
        <f t="shared" ref="DG318" ca="1" si="5477">MATCH(1,OFFSET(DF311:DF322,DH317,0,COUNT(DF311:DF322)-DH317),0)</f>
        <v>#REF!</v>
      </c>
      <c r="DH318" s="4" t="e">
        <f t="shared" ca="1" si="5372"/>
        <v>#REF!</v>
      </c>
      <c r="DI318" s="692" t="str" cm="1">
        <f t="array" aca="1" ref="DI318" ca="1">IFERROR(VLOOKUP(INDEX(DE311:DE322,DH318),INDIRECT(BY311),2,FALSE),"----")</f>
        <v>----</v>
      </c>
      <c r="DJ318" s="691" t="e">
        <f t="shared" ca="1" si="5373"/>
        <v>#N/A</v>
      </c>
      <c r="DK318" s="4" t="e">
        <f ca="1">IF(AND(INDEX(SSM,DJ318,4)&gt;=$AB317,INDEX(SSM,DJ318,5)&gt;=$S311,INDEX(SSM,DJ318,6)&gt;=$R311),1,0)</f>
        <v>#N/A</v>
      </c>
      <c r="DL318" s="4" t="e">
        <f t="shared" ref="DL318" ca="1" si="5478">MATCH(1,OFFSET(DK311:DK322,DM317,0,COUNT(DK311:DK322)-DM317),0)</f>
        <v>#REF!</v>
      </c>
      <c r="DM318" s="4" t="e">
        <f t="shared" ca="1" si="5375"/>
        <v>#REF!</v>
      </c>
      <c r="DN318" s="692" t="str">
        <f ca="1">IFERROR(IF(AD318="Nested Steel Stud (wood infill)",VLOOKUP(INDEX(DJ311:DJ322,DM318),SSW,2,FALSE),VLOOKUP(INDEX(DJ311:DJ322,DM318),SSM,2,FALSE)),"----")</f>
        <v>----</v>
      </c>
      <c r="DO318" s="691" t="e">
        <f t="shared" ca="1" si="5376"/>
        <v>#N/A</v>
      </c>
      <c r="DP318" s="4" t="e">
        <f ca="1">IF(AND(INDEX(WSM,DO318,4)&gt;=$AB317,INDEX(WSM,DO318,5)&gt;=$S311,INDEX(WSM,DO318,6)&gt;=$R311),1,0)</f>
        <v>#N/A</v>
      </c>
      <c r="DQ318" s="4" t="e">
        <f t="shared" ref="DQ318" ca="1" si="5479">MATCH(1,OFFSET(DP311:DP322,DR317,0,COUNT(DP311:DP322)-DR317),0)</f>
        <v>#REF!</v>
      </c>
      <c r="DR318" s="4" t="e">
        <f t="shared" ca="1" si="5378"/>
        <v>#REF!</v>
      </c>
      <c r="DS318" s="692" t="str">
        <f ca="1">IFERROR(VLOOKUP(INDEX(DO311:DO322,DR318),WSM,2,FALSE),"----")</f>
        <v>----</v>
      </c>
      <c r="DT318" s="691" t="e">
        <f t="shared" ca="1" si="5379"/>
        <v>#N/A</v>
      </c>
      <c r="DU318" s="4" t="e">
        <f ca="1">IF(AND(INDEX(STM,DT318,4)&gt;=$AB317,INDEX(STM,DT318,5)&gt;=$S311,INDEX(STM,DT318,6)&gt;=$R311),1,0)</f>
        <v>#N/A</v>
      </c>
      <c r="DV318" s="4" t="e">
        <f t="shared" ref="DV318" ca="1" si="5480">MATCH(1,OFFSET(DU311:DU322,DW317,0,COUNT(DU311:DU322)-DW317),0)</f>
        <v>#REF!</v>
      </c>
      <c r="DW318" s="4" t="e">
        <f t="shared" ca="1" si="5381"/>
        <v>#REF!</v>
      </c>
      <c r="DX318" s="692" t="str">
        <f ca="1">IFERROR(VLOOKUP(INDEX(DT311:DT322,DW318),STM,2,FALSE),"----")</f>
        <v>----</v>
      </c>
      <c r="DY318" s="691" t="e">
        <f t="shared" ca="1" si="5382"/>
        <v>#N/A</v>
      </c>
      <c r="DZ318" s="4" t="e">
        <f ca="1">IF(AND(INDEX(ELM,DY318,4)&gt;=$AB317,INDEX(ELM,DY318,5)&gt;=$S311,INDEX(ELM,DY318,6)&gt;=$R311),1,0)</f>
        <v>#N/A</v>
      </c>
      <c r="EA318" s="4" t="e">
        <f t="shared" ref="EA318" ca="1" si="5481">MATCH(1,OFFSET(DZ311:DZ322,EB317,0,COUNT(DZ311:DZ322)-EB317),0)</f>
        <v>#REF!</v>
      </c>
      <c r="EB318" s="4" t="e">
        <f t="shared" ca="1" si="5384"/>
        <v>#REF!</v>
      </c>
      <c r="EC318" s="692" t="str">
        <f ca="1">IFERROR(VLOOKUP(INDEX(DY311:DY322,EB318),ELM,2,FALSE),"----")</f>
        <v>----</v>
      </c>
      <c r="ED318" s="691" t="e">
        <f t="shared" ca="1" si="5385"/>
        <v>#N/A</v>
      </c>
      <c r="EE318" s="4" t="e">
        <f ca="1">IF(LEFT($J311,7)="Clad Wo",IF(AND(INDEX(SPPWS,ED318,4)&gt;=$AB317,INDEX(SPPWS,ED318,5)&gt;=$S311,INDEX(SPPWS,ED318,6)&gt;=$R311),1,0),IF(AND(INDEX(SPM,ED318,4)&gt;=$AB317,INDEX(SPM,ED318,5)&gt;=$S311,INDEX(SPM,ED318,6)&gt;=$R311),1,0))</f>
        <v>#N/A</v>
      </c>
      <c r="EF318" s="4" t="e">
        <f t="shared" ref="EF318" ca="1" si="5482">MATCH(1,OFFSET(EE311:EE322,EG317,0,COUNT(EE311:EE322)-EG317),0)</f>
        <v>#REF!</v>
      </c>
      <c r="EG318" s="4" t="e">
        <f t="shared" ca="1" si="5387"/>
        <v>#REF!</v>
      </c>
      <c r="EH318" s="692" t="str">
        <f ca="1">IF(LEFT($J311,7)="Clad Wo",IFERROR(VLOOKUP(INDEX(ED311:ED322,EG318),SPPWS,2,FALSE),"----"),IFERROR(VLOOKUP(INDEX(ED311:ED322,EG318),SPM,2,FALSE),"----"))</f>
        <v>----</v>
      </c>
    </row>
    <row r="319" spans="1:138" ht="15" customHeight="1" x14ac:dyDescent="0.25">
      <c r="A319" s="1085"/>
      <c r="B319" s="925"/>
      <c r="C319" s="926"/>
      <c r="D319" s="927"/>
      <c r="E319" s="995"/>
      <c r="F319" s="996"/>
      <c r="G319" s="997"/>
      <c r="H319" s="1062"/>
      <c r="I319" s="990"/>
      <c r="J319" s="902"/>
      <c r="K319" s="903"/>
      <c r="L319" s="1002"/>
      <c r="M319" s="923"/>
      <c r="N319" s="1042"/>
      <c r="O319" s="1018"/>
      <c r="P319" s="987"/>
      <c r="Q319" s="1015"/>
      <c r="R319" s="1012"/>
      <c r="S319" s="1006"/>
      <c r="T319" s="1007"/>
      <c r="U319" s="878"/>
      <c r="V319" s="881"/>
      <c r="W319" s="884"/>
      <c r="X319" s="884"/>
      <c r="Y319" s="887"/>
      <c r="Z319" s="887"/>
      <c r="AA319" s="887"/>
      <c r="AB319" s="1081"/>
      <c r="AC319" s="1078"/>
      <c r="AD319" s="1070" t="str">
        <f t="shared" si="4522"/>
        <v>Wood Stud Framing</v>
      </c>
      <c r="AE319" s="1071"/>
      <c r="AF319" s="1052"/>
      <c r="AG319" s="1053"/>
      <c r="AH319" s="1053"/>
      <c r="AI319" s="1066"/>
      <c r="AJ319" s="1067"/>
      <c r="AK319" s="156" t="str">
        <f t="shared" ca="1" si="4947"/>
        <v/>
      </c>
      <c r="AL319" s="1059"/>
      <c r="AM319" s="344" t="str">
        <f ca="1">IFERROR(Q311/12*ROUND(VLOOKUP(AF319,OFFSET(WSM,0,1),6,FALSE),2),"")</f>
        <v/>
      </c>
      <c r="AN319" t="str">
        <f t="shared" ca="1" si="4971"/>
        <v/>
      </c>
      <c r="AP319" s="122" t="str">
        <f t="shared" ref="AP319" si="5483">_xlfn.CONCAT(AR319,AS322)</f>
        <v/>
      </c>
      <c r="AQ319" s="683" t="str">
        <f t="shared" si="5170"/>
        <v/>
      </c>
      <c r="AR319" s="4" t="str">
        <f t="shared" si="4931"/>
        <v/>
      </c>
      <c r="AS319" s="4"/>
      <c r="AT319" s="697" t="str">
        <f>AL317</f>
        <v/>
      </c>
      <c r="AU319" s="694" t="e">
        <f t="shared" ca="1" si="5187"/>
        <v>#REF!</v>
      </c>
      <c r="AV319" s="686" t="str">
        <f ca="1">IFERROR(VLOOKUP(AU319,INDIRECT(AQ311),2,FALSE),"----")</f>
        <v>----</v>
      </c>
      <c r="AW319" s="694" t="e">
        <f t="shared" ca="1" si="5188"/>
        <v>#REF!</v>
      </c>
      <c r="AX319" s="686" t="str">
        <f ca="1">IFERROR(VLOOKUP(AW319,INDIRECT(AQ312),2,FALSE),"----")</f>
        <v>----</v>
      </c>
      <c r="AY319" s="694" t="e">
        <f t="shared" ca="1" si="5433"/>
        <v>#REF!</v>
      </c>
      <c r="AZ319" s="686" t="str">
        <f ca="1">IFERROR(VLOOKUP(AY319,INDIRECT(AQ313),2,FALSE),"----")</f>
        <v>----</v>
      </c>
      <c r="BA319" s="694" t="e">
        <f t="shared" ca="1" si="5434"/>
        <v>#REF!</v>
      </c>
      <c r="BB319" s="686" t="str">
        <f ca="1">IFERROR(VLOOKUP(BA319,INDIRECT(AQ314),2,FALSE),"----")</f>
        <v>----</v>
      </c>
      <c r="BC319" s="694" t="e">
        <f t="shared" ca="1" si="5191"/>
        <v>#REF!</v>
      </c>
      <c r="BD319" s="686" t="str">
        <f ca="1">IFERROR(VLOOKUP(BC319,INDIRECT(AQ315),2,FALSE),"----")</f>
        <v>----</v>
      </c>
      <c r="BE319" s="694" t="e">
        <f t="shared" ca="1" si="5192"/>
        <v>#REF!</v>
      </c>
      <c r="BF319" s="686" t="str">
        <f ca="1">IFERROR(VLOOKUP(BE319,INDIRECT(AQ316),2,FALSE),"----")</f>
        <v>----</v>
      </c>
      <c r="BG319" s="702" t="e">
        <f t="shared" ca="1" si="5193"/>
        <v>#REF!</v>
      </c>
      <c r="BH319" s="686" t="str">
        <f ca="1">IFERROR(VLOOKUP(BG319,INDIRECT(AQ317),2,FALSE),"----")</f>
        <v>----</v>
      </c>
      <c r="BI319" s="702" t="e">
        <f t="shared" ca="1" si="5194"/>
        <v>#REF!</v>
      </c>
      <c r="BJ319" s="686" t="str">
        <f ca="1">IFERROR(VLOOKUP(BI319,INDIRECT(AQ318),2,FALSE),"----")</f>
        <v>----</v>
      </c>
      <c r="BK319" s="702" t="e">
        <f t="shared" ca="1" si="5195"/>
        <v>#REF!</v>
      </c>
      <c r="BL319" s="686" t="str">
        <f ca="1">IFERROR(VLOOKUP(BK319,INDIRECT(AQ319),2,FALSE),"----")</f>
        <v>----</v>
      </c>
      <c r="BM319" s="702" t="e">
        <f t="shared" ca="1" si="5196"/>
        <v>#REF!</v>
      </c>
      <c r="BN319" s="686" t="str">
        <f ca="1">IFERROR(VLOOKUP(BM319,INDIRECT(AQ320),2,FALSE),"----")</f>
        <v>----</v>
      </c>
      <c r="BO319" s="702" t="e">
        <f t="shared" ca="1" si="5197"/>
        <v>#REF!</v>
      </c>
      <c r="BP319" s="686" t="str">
        <f ca="1">IFERROR(VLOOKUP(BO319,INDIRECT(AQ321),2,FALSE),"----")</f>
        <v>----</v>
      </c>
      <c r="BQ319" s="702" t="e">
        <f t="shared" ca="1" si="5198"/>
        <v>#REF!</v>
      </c>
      <c r="BR319" s="686" t="str">
        <f ca="1">IFERROR(VLOOKUP(BQ319,INDIRECT(AQ322),2,FALSE),"----")</f>
        <v>----</v>
      </c>
      <c r="BS319" s="695">
        <f>IF(AI319="",1,IF(COUNTIF(BL311:BL322,AI319)=0,2,1))</f>
        <v>1</v>
      </c>
      <c r="BT319" s="696">
        <f>IF(AF319="",1,IF(BL311=".",2,1))</f>
        <v>1</v>
      </c>
      <c r="BU319" s="706"/>
      <c r="BV319" s="155">
        <f ca="1">IF(COUNTIF(DS311:DS322,AF319)=0,IF(AF319&lt;&gt;"",0,1),1)</f>
        <v>1</v>
      </c>
      <c r="BW319" s="157">
        <f ca="1">IFERROR(MATCH(AF319,DS311:DS322,0),1)</f>
        <v>1</v>
      </c>
      <c r="BX319" s="769" t="e">
        <f t="shared" ref="BX319" si="5484">5*E311^3*W311/(384*X311)</f>
        <v>#VALUE!</v>
      </c>
      <c r="BY319" s="769" t="e">
        <f t="shared" ref="BY319" si="5485">W311*E311^3/(60*X311)</f>
        <v>#VALUE!</v>
      </c>
      <c r="BZ319" s="1110"/>
      <c r="CA319" s="691" t="e">
        <f t="shared" ca="1" si="5352"/>
        <v>#REF!</v>
      </c>
      <c r="CB319" s="4" t="e" cm="1">
        <f t="array" aca="1" ref="CB319" ca="1">IF(AND(INDEX(INDIRECT(BY311),CA319,4)&gt;=$AB311,INDEX(INDIRECT(BY311),CA319,5)&gt;=$S311,INDEX(INDIRECT(BY311),CA319,6)&gt;=$R311),1,0)</f>
        <v>#REF!</v>
      </c>
      <c r="CC319" s="4" t="e">
        <f t="shared" ref="CC319" ca="1" si="5486">MATCH(1,OFFSET(CB311:CB322,CD318,0,COUNT(CB311:CB322)-CD318),0)</f>
        <v>#REF!</v>
      </c>
      <c r="CD319" s="4" t="e">
        <f t="shared" ca="1" si="5354"/>
        <v>#REF!</v>
      </c>
      <c r="CE319" s="692" t="str" cm="1">
        <f t="array" aca="1" ref="CE319" ca="1">IFERROR(VLOOKUP(INDEX(CA311:CA322,CD319),INDIRECT(BY311),2,FALSE),"----")</f>
        <v>----</v>
      </c>
      <c r="CF319" s="691" t="e">
        <f t="shared" ca="1" si="5355"/>
        <v>#N/A</v>
      </c>
      <c r="CG319" s="4" t="e">
        <f ca="1">IF(AND(INDEX(SSM,CF319,4)&gt;=$AB311,INDEX(SSM,CF319,5)&gt;=$S311,INDEX(SSM,CF319,6)&gt;=$R311),1,0)</f>
        <v>#N/A</v>
      </c>
      <c r="CH319" s="4" t="e">
        <f t="shared" ref="CH319" ca="1" si="5487">MATCH(1,OFFSET(CG311:CG322,CI318,0,COUNT(CG311:CG322)-CI318),0)</f>
        <v>#REF!</v>
      </c>
      <c r="CI319" s="4" t="e">
        <f t="shared" ca="1" si="5357"/>
        <v>#REF!</v>
      </c>
      <c r="CJ319" s="692" t="str">
        <f ca="1">IFERROR(IF(AD312="Nested Steel Stud (wood infill)",VLOOKUP(INDEX(CF311:CF322,CI319),SSW,2,FALSE),VLOOKUP(INDEX(CF311:CF322,CI319),SSM,2,FALSE)),"----")</f>
        <v>----</v>
      </c>
      <c r="CK319" s="691" t="e">
        <f t="shared" ca="1" si="5358"/>
        <v>#N/A</v>
      </c>
      <c r="CL319" s="4" t="e">
        <f ca="1">IF(AND(INDEX(WSM,CK319,4)&gt;=$AB311,INDEX(WSM,CK319,5)&gt;=$S311,INDEX(WSM,CK319,6)&gt;=$R311),1,0)</f>
        <v>#N/A</v>
      </c>
      <c r="CM319" s="4" t="e">
        <f t="shared" ref="CM319" ca="1" si="5488">MATCH(1,OFFSET(CL311:CL322,CN318,0,COUNT(CL311:CL322)-CN318),0)</f>
        <v>#REF!</v>
      </c>
      <c r="CN319" s="4" t="e">
        <f t="shared" ca="1" si="5360"/>
        <v>#REF!</v>
      </c>
      <c r="CO319" s="692" t="str">
        <f ca="1">IFERROR(VLOOKUP(INDEX(CK311:CK322,CN319),WSM,2,FALSE),"----")</f>
        <v>----</v>
      </c>
      <c r="CP319" s="691" t="e">
        <f t="shared" ca="1" si="5361"/>
        <v>#N/A</v>
      </c>
      <c r="CQ319" s="4" t="e">
        <f ca="1">IF(AND(INDEX(STM,CP319,4)&gt;=$AB311,INDEX(STM,CP319,5)&gt;=$S311,INDEX(STM,CP319,6)&gt;=$R311),1,0)</f>
        <v>#N/A</v>
      </c>
      <c r="CR319" s="4" t="e">
        <f t="shared" ref="CR319" ca="1" si="5489">MATCH(1,OFFSET(CQ311:CQ322,CS318,0,COUNT(CQ311:CQ322)-CS318),0)</f>
        <v>#REF!</v>
      </c>
      <c r="CS319" s="4" t="e">
        <f t="shared" ca="1" si="5363"/>
        <v>#REF!</v>
      </c>
      <c r="CT319" s="692" t="str">
        <f ca="1">IFERROR(VLOOKUP(INDEX(CP311:CP322,CS319),STM,2,FALSE),"----")</f>
        <v>----</v>
      </c>
      <c r="CU319" s="691" t="e">
        <f t="shared" ca="1" si="5364"/>
        <v>#N/A</v>
      </c>
      <c r="CV319" s="4" t="e">
        <f ca="1">IF(AND(INDEX(ELM,CU319,4)&gt;=$AB311,INDEX(ELM,CU319,5)&gt;=$S311,INDEX(ELM,CU319,6)&gt;=$R311),1,0)</f>
        <v>#N/A</v>
      </c>
      <c r="CW319" s="4" t="e">
        <f t="shared" ref="CW319" ca="1" si="5490">MATCH(1,OFFSET(CV311:CV322,CX318,0,COUNT(CV311:CV322)-CX318),0)</f>
        <v>#REF!</v>
      </c>
      <c r="CX319" s="4" t="e">
        <f t="shared" ca="1" si="5366"/>
        <v>#REF!</v>
      </c>
      <c r="CY319" s="692" t="str">
        <f ca="1">IFERROR(VLOOKUP(INDEX(CU311:CU322,CX319),ELM,2,FALSE),"----")</f>
        <v>----</v>
      </c>
      <c r="CZ319" s="691" t="e">
        <f t="shared" ca="1" si="5367"/>
        <v>#N/A</v>
      </c>
      <c r="DA319" s="4" t="e">
        <f ca="1">IF(LEFT($J311,7)="Clad Wo",IF(AND(INDEX(SPPWS,CZ319,4)&gt;=$AB311,INDEX(SPPWS,CZ319,5)&gt;=$S311,INDEX(SPPWS,CZ319,6)&gt;=$R311),1,0),IF(AND(INDEX(SPM,CZ319,4)&gt;=$AB311,INDEX(SPM,CZ319,5)&gt;=$S311,INDEX(SPM,CZ319,6)&gt;=$R311),1,0))</f>
        <v>#N/A</v>
      </c>
      <c r="DB319" s="4" t="e">
        <f t="shared" ref="DB319" ca="1" si="5491">MATCH(1,OFFSET(DA311:DA322,DC318,0,COUNT(DA311:DA322)-DC318),0)</f>
        <v>#REF!</v>
      </c>
      <c r="DC319" s="4" t="e">
        <f t="shared" ca="1" si="5369"/>
        <v>#REF!</v>
      </c>
      <c r="DD319" s="693" t="str">
        <f ca="1">IF(LEFT($J311,7)="Clad Wo",IFERROR(VLOOKUP(INDEX(CZ311:CZ322,DC319),SPPWS,2,FALSE),"----"),IFERROR(VLOOKUP(INDEX(CZ311:CZ322,DC319),SPM,2,FALSE),"----"))</f>
        <v>----</v>
      </c>
      <c r="DE319" s="691" t="e">
        <f t="shared" ca="1" si="5370"/>
        <v>#REF!</v>
      </c>
      <c r="DF319" s="4" t="e" cm="1">
        <f t="array" aca="1" ref="DF319" ca="1">IF(AND(INDEX(INDIRECT(BY311),DE319,4)&gt;=$AB317,INDEX(INDIRECT(BY311),DE319,5)&gt;=$S311,INDEX(INDIRECT(BY311),DE319,6)&gt;=$R311),1,0)</f>
        <v>#REF!</v>
      </c>
      <c r="DG319" s="4" t="e">
        <f t="shared" ref="DG319" ca="1" si="5492">MATCH(1,OFFSET(DF311:DF322,DH318,0,COUNT(DF311:DF322)-DH318),0)</f>
        <v>#REF!</v>
      </c>
      <c r="DH319" s="4" t="e">
        <f t="shared" ca="1" si="5372"/>
        <v>#REF!</v>
      </c>
      <c r="DI319" s="692" t="str" cm="1">
        <f t="array" aca="1" ref="DI319" ca="1">IFERROR(VLOOKUP(INDEX(DE311:DE322,DH319),INDIRECT(BY311),2,FALSE),"----")</f>
        <v>----</v>
      </c>
      <c r="DJ319" s="691" t="e">
        <f t="shared" ca="1" si="5373"/>
        <v>#N/A</v>
      </c>
      <c r="DK319" s="4" t="e">
        <f ca="1">IF(AND(INDEX(SSM,DJ319,4)&gt;=$AB317,INDEX(SSM,DJ319,5)&gt;=$S311,INDEX(SSM,DJ319,6)&gt;=$R311),1,0)</f>
        <v>#N/A</v>
      </c>
      <c r="DL319" s="4" t="e">
        <f t="shared" ref="DL319" ca="1" si="5493">MATCH(1,OFFSET(DK311:DK322,DM318,0,COUNT(DK311:DK322)-DM318),0)</f>
        <v>#REF!</v>
      </c>
      <c r="DM319" s="4" t="e">
        <f t="shared" ca="1" si="5375"/>
        <v>#REF!</v>
      </c>
      <c r="DN319" s="692" t="str">
        <f ca="1">IFERROR(IF(AD318="Nested Steel Stud (wood infill)",VLOOKUP(INDEX(DJ311:DJ322,DM319),SSW,2,FALSE),VLOOKUP(INDEX(DJ311:DJ322,DM319),SSM,2,FALSE)),"----")</f>
        <v>----</v>
      </c>
      <c r="DO319" s="691" t="e">
        <f t="shared" ca="1" si="5376"/>
        <v>#N/A</v>
      </c>
      <c r="DP319" s="4" t="e">
        <f ca="1">IF(AND(INDEX(WSM,DO319,4)&gt;=$AB317,INDEX(WSM,DO319,5)&gt;=$S311,INDEX(WSM,DO319,6)&gt;=$R311),1,0)</f>
        <v>#N/A</v>
      </c>
      <c r="DQ319" s="4" t="e">
        <f t="shared" ref="DQ319" ca="1" si="5494">MATCH(1,OFFSET(DP311:DP322,DR318,0,COUNT(DP311:DP322)-DR318),0)</f>
        <v>#REF!</v>
      </c>
      <c r="DR319" s="4" t="e">
        <f t="shared" ca="1" si="5378"/>
        <v>#REF!</v>
      </c>
      <c r="DS319" s="692" t="str">
        <f ca="1">IFERROR(VLOOKUP(INDEX(DO311:DO322,DR319),WSM,2,FALSE),"----")</f>
        <v>----</v>
      </c>
      <c r="DT319" s="691" t="e">
        <f t="shared" ca="1" si="5379"/>
        <v>#N/A</v>
      </c>
      <c r="DU319" s="4" t="e">
        <f ca="1">IF(AND(INDEX(STM,DT319,4)&gt;=$AB317,INDEX(STM,DT319,5)&gt;=$S311,INDEX(STM,DT319,6)&gt;=$R311),1,0)</f>
        <v>#N/A</v>
      </c>
      <c r="DV319" s="4" t="e">
        <f t="shared" ref="DV319" ca="1" si="5495">MATCH(1,OFFSET(DU311:DU322,DW318,0,COUNT(DU311:DU322)-DW318),0)</f>
        <v>#REF!</v>
      </c>
      <c r="DW319" s="4" t="e">
        <f t="shared" ca="1" si="5381"/>
        <v>#REF!</v>
      </c>
      <c r="DX319" s="692" t="str">
        <f ca="1">IFERROR(VLOOKUP(INDEX(DT311:DT322,DW319),STM,2,FALSE),"----")</f>
        <v>----</v>
      </c>
      <c r="DY319" s="691" t="e">
        <f t="shared" ca="1" si="5382"/>
        <v>#N/A</v>
      </c>
      <c r="DZ319" s="4" t="e">
        <f ca="1">IF(AND(INDEX(ELM,DY319,4)&gt;=$AB317,INDEX(ELM,DY319,5)&gt;=$S311,INDEX(ELM,DY319,6)&gt;=$R311),1,0)</f>
        <v>#N/A</v>
      </c>
      <c r="EA319" s="4" t="e">
        <f t="shared" ref="EA319" ca="1" si="5496">MATCH(1,OFFSET(DZ311:DZ322,EB318,0,COUNT(DZ311:DZ322)-EB318),0)</f>
        <v>#REF!</v>
      </c>
      <c r="EB319" s="4" t="e">
        <f t="shared" ca="1" si="5384"/>
        <v>#REF!</v>
      </c>
      <c r="EC319" s="692" t="str">
        <f ca="1">IFERROR(VLOOKUP(INDEX(DY311:DY322,EB319),ELM,2,FALSE),"----")</f>
        <v>----</v>
      </c>
      <c r="ED319" s="691" t="e">
        <f t="shared" ca="1" si="5385"/>
        <v>#N/A</v>
      </c>
      <c r="EE319" s="4" t="e">
        <f ca="1">IF(LEFT($J311,7)="Clad Wo",IF(AND(INDEX(SPPWS,ED319,4)&gt;=$AB317,INDEX(SPPWS,ED319,5)&gt;=$S311,INDEX(SPPWS,ED319,6)&gt;=$R311),1,0),IF(AND(INDEX(SPM,ED319,4)&gt;=$AB317,INDEX(SPM,ED319,5)&gt;=$S311,INDEX(SPM,ED319,6)&gt;=$R311),1,0))</f>
        <v>#N/A</v>
      </c>
      <c r="EF319" s="4" t="e">
        <f t="shared" ref="EF319" ca="1" si="5497">MATCH(1,OFFSET(EE311:EE322,EG318,0,COUNT(EE311:EE322)-EG318),0)</f>
        <v>#REF!</v>
      </c>
      <c r="EG319" s="4" t="e">
        <f t="shared" ca="1" si="5387"/>
        <v>#REF!</v>
      </c>
      <c r="EH319" s="692" t="str">
        <f ca="1">IF(LEFT($J311,7)="Clad Wo",IFERROR(VLOOKUP(INDEX(ED311:ED322,EG319),SPPWS,2,FALSE),"----"),IFERROR(VLOOKUP(INDEX(ED311:ED322,EG319),SPM,2,FALSE),"----"))</f>
        <v>----</v>
      </c>
    </row>
    <row r="320" spans="1:138" ht="15" customHeight="1" x14ac:dyDescent="0.25">
      <c r="A320" s="1085"/>
      <c r="B320" s="925"/>
      <c r="C320" s="926"/>
      <c r="D320" s="927"/>
      <c r="E320" s="995"/>
      <c r="F320" s="996"/>
      <c r="G320" s="997"/>
      <c r="H320" s="1062"/>
      <c r="I320" s="990"/>
      <c r="J320" s="902"/>
      <c r="K320" s="903"/>
      <c r="L320" s="1002"/>
      <c r="M320" s="923"/>
      <c r="N320" s="1042"/>
      <c r="O320" s="1018"/>
      <c r="P320" s="987"/>
      <c r="Q320" s="1015"/>
      <c r="R320" s="1012"/>
      <c r="S320" s="1006"/>
      <c r="T320" s="1007"/>
      <c r="U320" s="878"/>
      <c r="V320" s="881"/>
      <c r="W320" s="884"/>
      <c r="X320" s="884"/>
      <c r="Y320" s="887"/>
      <c r="Z320" s="887"/>
      <c r="AA320" s="887"/>
      <c r="AB320" s="1081"/>
      <c r="AC320" s="1078"/>
      <c r="AD320" s="1070" t="str">
        <f t="shared" si="4522"/>
        <v>Steel Tube</v>
      </c>
      <c r="AE320" s="1071"/>
      <c r="AF320" s="1052"/>
      <c r="AG320" s="1053"/>
      <c r="AH320" s="1053"/>
      <c r="AI320" s="1066"/>
      <c r="AJ320" s="1067"/>
      <c r="AK320" s="156" t="str">
        <f t="shared" ca="1" si="4947"/>
        <v/>
      </c>
      <c r="AL320" s="1059"/>
      <c r="AM320" s="343" t="str">
        <f ca="1">IFERROR(Q311/12*ROUND(VLOOKUP(AF320,OFFSET(STM,0,1),6,FALSE),2),"")</f>
        <v/>
      </c>
      <c r="AN320" t="str">
        <f t="shared" ca="1" si="4971"/>
        <v/>
      </c>
      <c r="AP320" s="122" t="str">
        <f t="shared" ref="AP320" si="5498">_xlfn.CONCAT(AR320,AS322)</f>
        <v/>
      </c>
      <c r="AQ320" s="683" t="str">
        <f t="shared" si="5170"/>
        <v/>
      </c>
      <c r="AR320" s="4" t="str">
        <f t="shared" si="4931"/>
        <v/>
      </c>
      <c r="AS320" s="4"/>
      <c r="AT320" s="697" t="str">
        <f>AL317</f>
        <v/>
      </c>
      <c r="AU320" s="694" t="e">
        <f t="shared" ca="1" si="5187"/>
        <v>#REF!</v>
      </c>
      <c r="AV320" s="686" t="str">
        <f ca="1">IFERROR(VLOOKUP(AU320,INDIRECT(AQ311),2,FALSE),"----")</f>
        <v>----</v>
      </c>
      <c r="AW320" s="694" t="e">
        <f t="shared" ca="1" si="5188"/>
        <v>#REF!</v>
      </c>
      <c r="AX320" s="686" t="str">
        <f ca="1">IFERROR(VLOOKUP(AW320,INDIRECT(AQ312),2,FALSE),"----")</f>
        <v>----</v>
      </c>
      <c r="AY320" s="694" t="e">
        <f t="shared" ca="1" si="4775"/>
        <v>#REF!</v>
      </c>
      <c r="AZ320" s="686" t="str">
        <f ca="1">IFERROR(VLOOKUP(AY320,INDIRECT(AQ313),2,FALSE),"----")</f>
        <v>----</v>
      </c>
      <c r="BA320" s="694" t="e">
        <f t="shared" ca="1" si="4776"/>
        <v>#REF!</v>
      </c>
      <c r="BB320" s="686" t="str">
        <f ca="1">IFERROR(VLOOKUP(BA320,INDIRECT(AQ314),2,FALSE),"----")</f>
        <v>----</v>
      </c>
      <c r="BC320" s="694" t="e">
        <f t="shared" ca="1" si="5191"/>
        <v>#REF!</v>
      </c>
      <c r="BD320" s="686" t="str">
        <f ca="1">IFERROR(VLOOKUP(BC320,INDIRECT(AQ315),2,FALSE),"----")</f>
        <v>----</v>
      </c>
      <c r="BE320" s="694" t="e">
        <f t="shared" ca="1" si="5192"/>
        <v>#REF!</v>
      </c>
      <c r="BF320" s="686" t="str">
        <f ca="1">IFERROR(VLOOKUP(BE320,INDIRECT(AQ316),2,FALSE),"----")</f>
        <v>----</v>
      </c>
      <c r="BG320" s="702" t="e">
        <f t="shared" ca="1" si="5193"/>
        <v>#REF!</v>
      </c>
      <c r="BH320" s="686" t="str">
        <f ca="1">IFERROR(VLOOKUP(BG320,INDIRECT(AQ317),2,FALSE),"----")</f>
        <v>----</v>
      </c>
      <c r="BI320" s="702" t="e">
        <f t="shared" ca="1" si="5194"/>
        <v>#REF!</v>
      </c>
      <c r="BJ320" s="686" t="str">
        <f ca="1">IFERROR(VLOOKUP(BI320,INDIRECT(AQ318),2,FALSE),"----")</f>
        <v>----</v>
      </c>
      <c r="BK320" s="702" t="e">
        <f t="shared" ca="1" si="5195"/>
        <v>#REF!</v>
      </c>
      <c r="BL320" s="686" t="str">
        <f ca="1">IFERROR(VLOOKUP(BK320,INDIRECT(AQ319),2,FALSE),"----")</f>
        <v>----</v>
      </c>
      <c r="BM320" s="702" t="e">
        <f t="shared" ca="1" si="5196"/>
        <v>#REF!</v>
      </c>
      <c r="BN320" s="686" t="str">
        <f ca="1">IFERROR(VLOOKUP(BM320,INDIRECT(AQ320),2,FALSE),"----")</f>
        <v>----</v>
      </c>
      <c r="BO320" s="702" t="e">
        <f t="shared" ca="1" si="5197"/>
        <v>#REF!</v>
      </c>
      <c r="BP320" s="686" t="str">
        <f ca="1">IFERROR(VLOOKUP(BO320,INDIRECT(AQ321),2,FALSE),"----")</f>
        <v>----</v>
      </c>
      <c r="BQ320" s="702" t="e">
        <f t="shared" ca="1" si="5198"/>
        <v>#REF!</v>
      </c>
      <c r="BR320" s="686" t="str">
        <f ca="1">IFERROR(VLOOKUP(BQ320,INDIRECT(AQ322),2,FALSE),"----")</f>
        <v>----</v>
      </c>
      <c r="BS320" s="695">
        <f>IF(AI320="",1,IF(COUNTIF(BN311:BN322,AI320)=0,2,1))</f>
        <v>1</v>
      </c>
      <c r="BT320" s="696">
        <f>IF(AF320="",1,IF(BN311=".",2,1))</f>
        <v>1</v>
      </c>
      <c r="BU320" s="706"/>
      <c r="BV320" s="155">
        <f ca="1">IF(COUNTIF(DX311:DX322,AF320)=0,IF(AF320&lt;&gt;"",0,1),1)</f>
        <v>1</v>
      </c>
      <c r="BW320" s="157">
        <f ca="1">IFERROR(MATCH(AF320,DX311:DX322,0),1)</f>
        <v>1</v>
      </c>
      <c r="BX320" s="769" t="e">
        <f t="shared" ref="BX320" si="5499">5*E311^3*W317/(384*X311)</f>
        <v>#VALUE!</v>
      </c>
      <c r="BY320" s="769" t="e">
        <f t="shared" ref="BY320" si="5500">E311^3*W317/(60*X311)</f>
        <v>#VALUE!</v>
      </c>
      <c r="BZ320" s="1110"/>
      <c r="CA320" s="691" t="e">
        <f t="shared" ca="1" si="5352"/>
        <v>#REF!</v>
      </c>
      <c r="CB320" s="4" t="e" cm="1">
        <f t="array" aca="1" ref="CB320" ca="1">IF(AND(INDEX(INDIRECT(BY311),CA320,4)&gt;=$AB311,INDEX(INDIRECT(BY311),CA320,5)&gt;=$S311,INDEX(INDIRECT(BY311),CA320,6)&gt;=$R311),1,0)</f>
        <v>#REF!</v>
      </c>
      <c r="CC320" s="4" t="e">
        <f t="shared" ref="CC320" ca="1" si="5501">MATCH(1,OFFSET(CB311:CB322,CD319,0,COUNT(CB311:CB322)-CD319),0)</f>
        <v>#REF!</v>
      </c>
      <c r="CD320" s="4" t="e">
        <f t="shared" ca="1" si="5354"/>
        <v>#REF!</v>
      </c>
      <c r="CE320" s="692" t="str" cm="1">
        <f t="array" aca="1" ref="CE320" ca="1">IFERROR(VLOOKUP(INDEX(CA311:CA322,CD320),INDIRECT(BY311),2,FALSE),"----")</f>
        <v>----</v>
      </c>
      <c r="CF320" s="691" t="e">
        <f t="shared" ca="1" si="5355"/>
        <v>#N/A</v>
      </c>
      <c r="CG320" s="4" t="e">
        <f ca="1">IF(AND(INDEX(SSM,CF320,4)&gt;=$AB311,INDEX(SSM,CF320,5)&gt;=$S311,INDEX(SSM,CF320,6)&gt;=$R311),1,0)</f>
        <v>#N/A</v>
      </c>
      <c r="CH320" s="4" t="e">
        <f t="shared" ref="CH320" ca="1" si="5502">MATCH(1,OFFSET(CG311:CG322,CI319,0,COUNT(CG311:CG322)-CI319),0)</f>
        <v>#REF!</v>
      </c>
      <c r="CI320" s="4" t="e">
        <f t="shared" ca="1" si="5357"/>
        <v>#REF!</v>
      </c>
      <c r="CJ320" s="692" t="str">
        <f ca="1">IFERROR(IF(AD312="Nested Steel Stud (wood infill)",VLOOKUP(INDEX(CF311:CF322,CI320),SSW,2,FALSE),VLOOKUP(INDEX(CF311:CF322,CI320),SSM,2,FALSE)),"----")</f>
        <v>----</v>
      </c>
      <c r="CK320" s="691" t="e">
        <f t="shared" ca="1" si="5358"/>
        <v>#N/A</v>
      </c>
      <c r="CL320" s="4" t="e">
        <f ca="1">IF(AND(INDEX(WSM,CK320,4)&gt;=$AB311,INDEX(WSM,CK320,5)&gt;=$S311,INDEX(WSM,CK320,6)&gt;=$R311),1,0)</f>
        <v>#N/A</v>
      </c>
      <c r="CM320" s="4" t="e">
        <f t="shared" ref="CM320" ca="1" si="5503">MATCH(1,OFFSET(CL311:CL322,CN319,0,COUNT(CL311:CL322)-CN319),0)</f>
        <v>#REF!</v>
      </c>
      <c r="CN320" s="4" t="e">
        <f t="shared" ca="1" si="5360"/>
        <v>#REF!</v>
      </c>
      <c r="CO320" s="692" t="str">
        <f ca="1">IFERROR(VLOOKUP(INDEX(CK311:CK322,CN320),WSM,2,FALSE),"----")</f>
        <v>----</v>
      </c>
      <c r="CP320" s="691" t="e">
        <f t="shared" ca="1" si="5361"/>
        <v>#N/A</v>
      </c>
      <c r="CQ320" s="4" t="e">
        <f ca="1">IF(AND(INDEX(STM,CP320,4)&gt;=$AB311,INDEX(STM,CP320,5)&gt;=$S311,INDEX(STM,CP320,6)&gt;=$R311),1,0)</f>
        <v>#N/A</v>
      </c>
      <c r="CR320" s="4" t="e">
        <f t="shared" ref="CR320" ca="1" si="5504">MATCH(1,OFFSET(CQ311:CQ322,CS319,0,COUNT(CQ311:CQ322)-CS319),0)</f>
        <v>#REF!</v>
      </c>
      <c r="CS320" s="4" t="e">
        <f t="shared" ca="1" si="5363"/>
        <v>#REF!</v>
      </c>
      <c r="CT320" s="692" t="str">
        <f ca="1">IFERROR(VLOOKUP(INDEX(CP311:CP322,CS320),STM,2,FALSE),"----")</f>
        <v>----</v>
      </c>
      <c r="CU320" s="691" t="e">
        <f t="shared" ca="1" si="5364"/>
        <v>#N/A</v>
      </c>
      <c r="CV320" s="4" t="e">
        <f ca="1">IF(AND(INDEX(ELM,CU320,4)&gt;=$AB311,INDEX(ELM,CU320,5)&gt;=$S311,INDEX(ELM,CU320,6)&gt;=$R311),1,0)</f>
        <v>#N/A</v>
      </c>
      <c r="CW320" s="4" t="e">
        <f t="shared" ref="CW320" ca="1" si="5505">MATCH(1,OFFSET(CV311:CV322,CX319,0,COUNT(CV311:CV322)-CX319),0)</f>
        <v>#REF!</v>
      </c>
      <c r="CX320" s="4" t="e">
        <f t="shared" ca="1" si="5366"/>
        <v>#REF!</v>
      </c>
      <c r="CY320" s="692" t="str">
        <f ca="1">IFERROR(VLOOKUP(INDEX(CU311:CU322,CX320),ELM,2,FALSE),"----")</f>
        <v>----</v>
      </c>
      <c r="CZ320" s="691" t="e">
        <f t="shared" ca="1" si="5367"/>
        <v>#N/A</v>
      </c>
      <c r="DA320" s="4" t="e">
        <f ca="1">IF(LEFT($J311,7)="Clad Wo",IF(AND(INDEX(SPPWS,CZ320,4)&gt;=$AB311,INDEX(SPPWS,CZ320,5)&gt;=$S311,INDEX(SPPWS,CZ320,6)&gt;=$R311),1,0),IF(AND(INDEX(SPM,CZ320,4)&gt;=$AB311,INDEX(SPM,CZ320,5)&gt;=$S311,INDEX(SPM,CZ320,6)&gt;=$R311),1,0))</f>
        <v>#N/A</v>
      </c>
      <c r="DB320" s="4" t="e">
        <f t="shared" ref="DB320" ca="1" si="5506">MATCH(1,OFFSET(DA311:DA322,DC319,0,COUNT(DA311:DA322)-DC319),0)</f>
        <v>#REF!</v>
      </c>
      <c r="DC320" s="4" t="e">
        <f t="shared" ca="1" si="5369"/>
        <v>#REF!</v>
      </c>
      <c r="DD320" s="693" t="str">
        <f ca="1">IF(LEFT($J311,7)="Clad Wo",IFERROR(VLOOKUP(INDEX(CZ311:CZ322,DC320),SPPWS,2,FALSE),"----"),IFERROR(VLOOKUP(INDEX(CZ311:CZ322,DC320),SPM,2,FALSE),"----"))</f>
        <v>----</v>
      </c>
      <c r="DE320" s="691" t="e">
        <f t="shared" ca="1" si="5370"/>
        <v>#REF!</v>
      </c>
      <c r="DF320" s="4" t="e" cm="1">
        <f t="array" aca="1" ref="DF320" ca="1">IF(AND(INDEX(INDIRECT(BY311),DE320,4)&gt;=$AB317,INDEX(INDIRECT(BY311),DE320,5)&gt;=$S311,INDEX(INDIRECT(BY311),DE320,6)&gt;=$R311),1,0)</f>
        <v>#REF!</v>
      </c>
      <c r="DG320" s="4" t="e">
        <f t="shared" ref="DG320" ca="1" si="5507">MATCH(1,OFFSET(DF311:DF322,DH319,0,COUNT(DF311:DF322)-DH319),0)</f>
        <v>#REF!</v>
      </c>
      <c r="DH320" s="4" t="e">
        <f t="shared" ca="1" si="5372"/>
        <v>#REF!</v>
      </c>
      <c r="DI320" s="692" t="str" cm="1">
        <f t="array" aca="1" ref="DI320" ca="1">IFERROR(VLOOKUP(INDEX(DE311:DE322,DH320),INDIRECT(BY311),2,FALSE),"----")</f>
        <v>----</v>
      </c>
      <c r="DJ320" s="691" t="e">
        <f t="shared" ca="1" si="5373"/>
        <v>#N/A</v>
      </c>
      <c r="DK320" s="4" t="e">
        <f ca="1">IF(AND(INDEX(SSM,DJ320,4)&gt;=$AB317,INDEX(SSM,DJ320,5)&gt;=$S311,INDEX(SSM,DJ320,6)&gt;=$R311),1,0)</f>
        <v>#N/A</v>
      </c>
      <c r="DL320" s="4" t="e">
        <f t="shared" ref="DL320" ca="1" si="5508">MATCH(1,OFFSET(DK311:DK322,DM319,0,COUNT(DK311:DK322)-DM319),0)</f>
        <v>#REF!</v>
      </c>
      <c r="DM320" s="4" t="e">
        <f t="shared" ca="1" si="5375"/>
        <v>#REF!</v>
      </c>
      <c r="DN320" s="692" t="str">
        <f ca="1">IFERROR(IF(AD318="Nested Steel Stud (wood infill)",VLOOKUP(INDEX(DJ311:DJ322,DM320),SSW,2,FALSE),VLOOKUP(INDEX(DJ311:DJ322,DM320),SSM,2,FALSE)),"----")</f>
        <v>----</v>
      </c>
      <c r="DO320" s="691" t="e">
        <f t="shared" ca="1" si="5376"/>
        <v>#N/A</v>
      </c>
      <c r="DP320" s="4" t="e">
        <f ca="1">IF(AND(INDEX(WSM,DO320,4)&gt;=$AB317,INDEX(WSM,DO320,5)&gt;=$S311,INDEX(WSM,DO320,6)&gt;=$R311),1,0)</f>
        <v>#N/A</v>
      </c>
      <c r="DQ320" s="4" t="e">
        <f t="shared" ref="DQ320" ca="1" si="5509">MATCH(1,OFFSET(DP311:DP322,DR319,0,COUNT(DP311:DP322)-DR319),0)</f>
        <v>#REF!</v>
      </c>
      <c r="DR320" s="4" t="e">
        <f t="shared" ca="1" si="5378"/>
        <v>#REF!</v>
      </c>
      <c r="DS320" s="692" t="str">
        <f ca="1">IFERROR(VLOOKUP(INDEX(DO311:DO322,DR320),WSM,2,FALSE),"----")</f>
        <v>----</v>
      </c>
      <c r="DT320" s="691" t="e">
        <f t="shared" ca="1" si="5379"/>
        <v>#N/A</v>
      </c>
      <c r="DU320" s="4" t="e">
        <f ca="1">IF(AND(INDEX(STM,DT320,4)&gt;=$AB317,INDEX(STM,DT320,5)&gt;=$S311,INDEX(STM,DT320,6)&gt;=$R311),1,0)</f>
        <v>#N/A</v>
      </c>
      <c r="DV320" s="4" t="e">
        <f t="shared" ref="DV320" ca="1" si="5510">MATCH(1,OFFSET(DU311:DU322,DW319,0,COUNT(DU311:DU322)-DW319),0)</f>
        <v>#REF!</v>
      </c>
      <c r="DW320" s="4" t="e">
        <f t="shared" ca="1" si="5381"/>
        <v>#REF!</v>
      </c>
      <c r="DX320" s="692" t="str">
        <f ca="1">IFERROR(VLOOKUP(INDEX(DT311:DT322,DW320),STM,2,FALSE),"----")</f>
        <v>----</v>
      </c>
      <c r="DY320" s="691" t="e">
        <f t="shared" ca="1" si="5382"/>
        <v>#N/A</v>
      </c>
      <c r="DZ320" s="4" t="e">
        <f ca="1">IF(AND(INDEX(ELM,DY320,4)&gt;=$AB317,INDEX(ELM,DY320,5)&gt;=$S311,INDEX(ELM,DY320,6)&gt;=$R311),1,0)</f>
        <v>#N/A</v>
      </c>
      <c r="EA320" s="4" t="e">
        <f t="shared" ref="EA320" ca="1" si="5511">MATCH(1,OFFSET(DZ311:DZ322,EB319,0,COUNT(DZ311:DZ322)-EB319),0)</f>
        <v>#REF!</v>
      </c>
      <c r="EB320" s="4" t="e">
        <f t="shared" ca="1" si="5384"/>
        <v>#REF!</v>
      </c>
      <c r="EC320" s="692" t="str">
        <f ca="1">IFERROR(VLOOKUP(INDEX(DY311:DY322,EB320),ELM,2,FALSE),"----")</f>
        <v>----</v>
      </c>
      <c r="ED320" s="691" t="e">
        <f t="shared" ca="1" si="5385"/>
        <v>#N/A</v>
      </c>
      <c r="EE320" s="4" t="e">
        <f ca="1">IF(LEFT($J311,7)="Clad Wo",IF(AND(INDEX(SPPWS,ED320,4)&gt;=$AB317,INDEX(SPPWS,ED320,5)&gt;=$S311,INDEX(SPPWS,ED320,6)&gt;=$R311),1,0),IF(AND(INDEX(SPM,ED320,4)&gt;=$AB317,INDEX(SPM,ED320,5)&gt;=$S311,INDEX(SPM,ED320,6)&gt;=$R311),1,0))</f>
        <v>#N/A</v>
      </c>
      <c r="EF320" s="4" t="e">
        <f t="shared" ref="EF320" ca="1" si="5512">MATCH(1,OFFSET(EE311:EE322,EG319,0,COUNT(EE311:EE322)-EG319),0)</f>
        <v>#REF!</v>
      </c>
      <c r="EG320" s="4" t="e">
        <f t="shared" ca="1" si="5387"/>
        <v>#REF!</v>
      </c>
      <c r="EH320" s="692" t="str">
        <f ca="1">IF(LEFT($J311,7)="Clad Wo",IFERROR(VLOOKUP(INDEX(ED311:ED322,EG320),SPPWS,2,FALSE),"----"),IFERROR(VLOOKUP(INDEX(ED311:ED322,EG320),SPM,2,FALSE),"----"))</f>
        <v>----</v>
      </c>
    </row>
    <row r="321" spans="1:138" ht="15" customHeight="1" x14ac:dyDescent="0.25">
      <c r="A321" s="1085"/>
      <c r="B321" s="925"/>
      <c r="C321" s="926"/>
      <c r="D321" s="927"/>
      <c r="E321" s="995"/>
      <c r="F321" s="996"/>
      <c r="G321" s="997"/>
      <c r="H321" s="1062"/>
      <c r="I321" s="990"/>
      <c r="J321" s="902"/>
      <c r="K321" s="903"/>
      <c r="L321" s="1002"/>
      <c r="M321" s="923"/>
      <c r="N321" s="1042"/>
      <c r="O321" s="1018"/>
      <c r="P321" s="987"/>
      <c r="Q321" s="1015"/>
      <c r="R321" s="1012"/>
      <c r="S321" s="1006"/>
      <c r="T321" s="1007"/>
      <c r="U321" s="878"/>
      <c r="V321" s="881"/>
      <c r="W321" s="884"/>
      <c r="X321" s="884"/>
      <c r="Y321" s="887"/>
      <c r="Z321" s="887"/>
      <c r="AA321" s="887"/>
      <c r="AB321" s="1081"/>
      <c r="AC321" s="1078"/>
      <c r="AD321" s="1070" t="str">
        <f t="shared" si="4522"/>
        <v>Engineered Lumber</v>
      </c>
      <c r="AE321" s="1071"/>
      <c r="AF321" s="1052"/>
      <c r="AG321" s="1053"/>
      <c r="AH321" s="1053"/>
      <c r="AI321" s="1068"/>
      <c r="AJ321" s="1069"/>
      <c r="AK321" s="154" t="str">
        <f t="shared" ca="1" si="4947"/>
        <v/>
      </c>
      <c r="AL321" s="1059"/>
      <c r="AM321" s="344" t="str">
        <f ca="1">IFERROR(Q311/12*ROUND(VLOOKUP(AF321,OFFSET(ELM,0,1),6,FALSE),2),"")</f>
        <v/>
      </c>
      <c r="AN321" t="str">
        <f t="shared" ca="1" si="4971"/>
        <v/>
      </c>
      <c r="AP321" s="122" t="str">
        <f t="shared" ref="AP321" si="5513">_xlfn.CONCAT(AR321,AS322)</f>
        <v/>
      </c>
      <c r="AQ321" s="683" t="str">
        <f t="shared" si="5170"/>
        <v/>
      </c>
      <c r="AR321" s="4" t="str">
        <f t="shared" si="4931"/>
        <v/>
      </c>
      <c r="AS321" s="4"/>
      <c r="AT321" s="697" t="str">
        <f>AL317</f>
        <v/>
      </c>
      <c r="AU321" s="694" t="e">
        <f t="shared" ca="1" si="5187"/>
        <v>#REF!</v>
      </c>
      <c r="AV321" s="698" t="str">
        <f ca="1">IFERROR(VLOOKUP(AU321,INDIRECT(AQ311),2,FALSE),"----")</f>
        <v>----</v>
      </c>
      <c r="AW321" s="694" t="e">
        <f t="shared" ca="1" si="5188"/>
        <v>#REF!</v>
      </c>
      <c r="AX321" s="698" t="str">
        <f ca="1">IFERROR(VLOOKUP(AW321,INDIRECT(AQ312),2,FALSE),"----")</f>
        <v>----</v>
      </c>
      <c r="AY321" s="694" t="e">
        <f t="shared" ca="1" si="4775"/>
        <v>#REF!</v>
      </c>
      <c r="AZ321" s="698" t="str">
        <f ca="1">IFERROR(VLOOKUP(AY321,INDIRECT(AQ313),2,FALSE),"----")</f>
        <v>----</v>
      </c>
      <c r="BA321" s="694" t="e">
        <f t="shared" ca="1" si="4776"/>
        <v>#REF!</v>
      </c>
      <c r="BB321" s="698" t="str">
        <f ca="1">IFERROR(VLOOKUP(BA321,INDIRECT(AQ314),2,FALSE),"----")</f>
        <v>----</v>
      </c>
      <c r="BC321" s="694" t="e">
        <f t="shared" ca="1" si="5191"/>
        <v>#REF!</v>
      </c>
      <c r="BD321" s="698" t="str">
        <f ca="1">IFERROR(VLOOKUP(BC321,INDIRECT(AQ315),2,FALSE),"----")</f>
        <v>----</v>
      </c>
      <c r="BE321" s="694" t="e">
        <f t="shared" ca="1" si="5192"/>
        <v>#REF!</v>
      </c>
      <c r="BF321" s="698" t="str">
        <f ca="1">IFERROR(VLOOKUP(BE321,INDIRECT(AQ316),2,FALSE),"----")</f>
        <v>----</v>
      </c>
      <c r="BG321" s="702" t="e">
        <f t="shared" ca="1" si="5193"/>
        <v>#REF!</v>
      </c>
      <c r="BH321" s="686" t="str">
        <f ca="1">IFERROR(VLOOKUP(BG321,INDIRECT(AQ317),2,FALSE),"----")</f>
        <v>----</v>
      </c>
      <c r="BI321" s="702" t="e">
        <f t="shared" ca="1" si="5194"/>
        <v>#REF!</v>
      </c>
      <c r="BJ321" s="686" t="str">
        <f ca="1">IFERROR(VLOOKUP(BI321,INDIRECT(AQ318),2,FALSE),"----")</f>
        <v>----</v>
      </c>
      <c r="BK321" s="702" t="e">
        <f t="shared" ca="1" si="5195"/>
        <v>#REF!</v>
      </c>
      <c r="BL321" s="686" t="str">
        <f ca="1">IFERROR(VLOOKUP(BK321,INDIRECT(AQ319),2,FALSE),"----")</f>
        <v>----</v>
      </c>
      <c r="BM321" s="702" t="e">
        <f t="shared" ca="1" si="5196"/>
        <v>#REF!</v>
      </c>
      <c r="BN321" s="686" t="str">
        <f ca="1">IFERROR(VLOOKUP(BM321,INDIRECT(AQ320),2,FALSE),"----")</f>
        <v>----</v>
      </c>
      <c r="BO321" s="702" t="e">
        <f t="shared" ca="1" si="5197"/>
        <v>#REF!</v>
      </c>
      <c r="BP321" s="686" t="str">
        <f ca="1">IFERROR(VLOOKUP(BO321,INDIRECT(AQ321),2,FALSE),"----")</f>
        <v>----</v>
      </c>
      <c r="BQ321" s="702" t="e">
        <f t="shared" ca="1" si="5198"/>
        <v>#REF!</v>
      </c>
      <c r="BR321" s="686" t="str">
        <f ca="1">IFERROR(VLOOKUP(BQ321,INDIRECT(AQ322),2,FALSE),"----")</f>
        <v>----</v>
      </c>
      <c r="BS321" s="695">
        <f>IF(AI321="",1,IF(COUNTIF(BP311:BP322,AI321)=0,2,1))</f>
        <v>1</v>
      </c>
      <c r="BT321" s="696">
        <f>IF(AF321="",1,IF(BP311=".",2,1))</f>
        <v>1</v>
      </c>
      <c r="BU321" s="706"/>
      <c r="BV321" s="155">
        <f ca="1">IF(COUNTIF(EC311:EC322,AF321)=0,IF(AF321&lt;&gt;"",0,1),1)</f>
        <v>1</v>
      </c>
      <c r="BW321" s="157">
        <f ca="1">IFERROR(MATCH(AF321,EC311:EC322,0),1)</f>
        <v>1</v>
      </c>
      <c r="BX321" s="769"/>
      <c r="BY321" s="769"/>
      <c r="BZ321" s="1110"/>
      <c r="CA321" s="691" t="e">
        <f t="shared" ca="1" si="5352"/>
        <v>#REF!</v>
      </c>
      <c r="CB321" s="4" t="e" cm="1">
        <f t="array" aca="1" ref="CB321" ca="1">IF(AND(INDEX(INDIRECT(BY311),CA321,4)&gt;=$AB311,INDEX(INDIRECT(BY311),CA321,5)&gt;=$S311,INDEX(INDIRECT(BY311),CA321,6)&gt;=$R311),1,0)</f>
        <v>#REF!</v>
      </c>
      <c r="CC321" s="4" t="e">
        <f t="shared" ref="CC321" ca="1" si="5514">MATCH(1,OFFSET(CB311:CB322,CD320,0,COUNT(CB311:CB322)-CD320),0)</f>
        <v>#REF!</v>
      </c>
      <c r="CD321" s="4" t="e">
        <f t="shared" ca="1" si="5354"/>
        <v>#REF!</v>
      </c>
      <c r="CE321" s="692" t="str" cm="1">
        <f t="array" aca="1" ref="CE321" ca="1">IFERROR(VLOOKUP(INDEX(CA311:CA322,CD321),INDIRECT(BY311),2,FALSE),"----")</f>
        <v>----</v>
      </c>
      <c r="CF321" s="691" t="e">
        <f t="shared" ca="1" si="5355"/>
        <v>#N/A</v>
      </c>
      <c r="CG321" s="4" t="e">
        <f ca="1">IF(AND(INDEX(SSM,CF321,4)&gt;=$AB311,INDEX(SSM,CF321,5)&gt;=$S311,INDEX(SSM,CF321,6)&gt;=$R311),1,0)</f>
        <v>#N/A</v>
      </c>
      <c r="CH321" s="4" t="e">
        <f t="shared" ref="CH321" ca="1" si="5515">MATCH(1,OFFSET(CG311:CG322,CI320,0,COUNT(CG311:CG322)-CI320),0)</f>
        <v>#REF!</v>
      </c>
      <c r="CI321" s="4" t="e">
        <f t="shared" ca="1" si="5357"/>
        <v>#REF!</v>
      </c>
      <c r="CJ321" s="692" t="str">
        <f ca="1">IFERROR(IF(AD312="Nested Steel Stud (wood infill)",VLOOKUP(INDEX(CF311:CF322,CI321),SSW,2,FALSE),VLOOKUP(INDEX(CF311:CF322,CI321),SSM,2,FALSE)),"----")</f>
        <v>----</v>
      </c>
      <c r="CK321" s="691" t="e">
        <f t="shared" ca="1" si="5358"/>
        <v>#N/A</v>
      </c>
      <c r="CL321" s="4" t="e">
        <f ca="1">IF(AND(INDEX(WSM,CK321,4)&gt;=$AB311,INDEX(WSM,CK321,5)&gt;=$S311,INDEX(WSM,CK321,6)&gt;=$R311),1,0)</f>
        <v>#N/A</v>
      </c>
      <c r="CM321" s="4" t="e">
        <f t="shared" ref="CM321" ca="1" si="5516">MATCH(1,OFFSET(CL311:CL322,CN320,0,COUNT(CL311:CL322)-CN320),0)</f>
        <v>#REF!</v>
      </c>
      <c r="CN321" s="4" t="e">
        <f t="shared" ca="1" si="5360"/>
        <v>#REF!</v>
      </c>
      <c r="CO321" s="692" t="str">
        <f ca="1">IFERROR(VLOOKUP(INDEX(CK311:CK322,CN321),WSM,2,FALSE),"----")</f>
        <v>----</v>
      </c>
      <c r="CP321" s="691" t="e">
        <f t="shared" ca="1" si="5361"/>
        <v>#N/A</v>
      </c>
      <c r="CQ321" s="4" t="e">
        <f ca="1">IF(AND(INDEX(STM,CP321,4)&gt;=$AB311,INDEX(STM,CP321,5)&gt;=$S311,INDEX(STM,CP321,6)&gt;=$R311),1,0)</f>
        <v>#N/A</v>
      </c>
      <c r="CR321" s="4" t="e">
        <f t="shared" ref="CR321" ca="1" si="5517">MATCH(1,OFFSET(CQ311:CQ322,CS320,0,COUNT(CQ311:CQ322)-CS320),0)</f>
        <v>#REF!</v>
      </c>
      <c r="CS321" s="4" t="e">
        <f t="shared" ca="1" si="5363"/>
        <v>#REF!</v>
      </c>
      <c r="CT321" s="692" t="str">
        <f ca="1">IFERROR(VLOOKUP(INDEX(CP311:CP322,CS321),STM,2,FALSE),"----")</f>
        <v>----</v>
      </c>
      <c r="CU321" s="691" t="e">
        <f t="shared" ca="1" si="5364"/>
        <v>#N/A</v>
      </c>
      <c r="CV321" s="4" t="e">
        <f ca="1">IF(AND(INDEX(ELM,CU321,4)&gt;=$AB311,INDEX(ELM,CU321,5)&gt;=$S311,INDEX(ELM,CU321,6)&gt;=$R311),1,0)</f>
        <v>#N/A</v>
      </c>
      <c r="CW321" s="4" t="e">
        <f t="shared" ref="CW321" ca="1" si="5518">MATCH(1,OFFSET(CV311:CV322,CX320,0,COUNT(CV311:CV322)-CX320),0)</f>
        <v>#REF!</v>
      </c>
      <c r="CX321" s="4" t="e">
        <f t="shared" ca="1" si="5366"/>
        <v>#REF!</v>
      </c>
      <c r="CY321" s="692" t="str">
        <f ca="1">IFERROR(VLOOKUP(INDEX(CU311:CU322,CX321),ELM,2,FALSE),"----")</f>
        <v>----</v>
      </c>
      <c r="CZ321" s="691" t="e">
        <f t="shared" ca="1" si="5367"/>
        <v>#N/A</v>
      </c>
      <c r="DA321" s="4" t="e">
        <f ca="1">IF(LEFT($J311,7)="Clad Wo",IF(AND(INDEX(SPPWS,CZ321,4)&gt;=$AB311,INDEX(SPPWS,CZ321,5)&gt;=$S311,INDEX(SPPWS,CZ321,6)&gt;=$R311),1,0),IF(AND(INDEX(SPM,CZ321,4)&gt;=$AB311,INDEX(SPM,CZ321,5)&gt;=$S311,INDEX(SPM,CZ321,6)&gt;=$R311),1,0))</f>
        <v>#N/A</v>
      </c>
      <c r="DB321" s="4" t="e">
        <f t="shared" ref="DB321" ca="1" si="5519">MATCH(1,OFFSET(DA311:DA322,DC320,0,COUNT(DA311:DA322)-DC320),0)</f>
        <v>#REF!</v>
      </c>
      <c r="DC321" s="4" t="e">
        <f t="shared" ca="1" si="5369"/>
        <v>#REF!</v>
      </c>
      <c r="DD321" s="693" t="str">
        <f ca="1">IF(LEFT($J311,7)="Clad Wo",IFERROR(VLOOKUP(INDEX(CZ311:CZ322,DC321),SPPWS,2,FALSE),"----"),IFERROR(VLOOKUP(INDEX(CZ311:CZ322,DC321),SPM,2,FALSE),"----"))</f>
        <v>----</v>
      </c>
      <c r="DE321" s="691" t="e">
        <f t="shared" ca="1" si="5370"/>
        <v>#REF!</v>
      </c>
      <c r="DF321" s="4" t="e" cm="1">
        <f t="array" aca="1" ref="DF321" ca="1">IF(AND(INDEX(INDIRECT(BY311),DE321,4)&gt;=$AB317,INDEX(INDIRECT(BY311),DE321,5)&gt;=$S311,INDEX(INDIRECT(BY311),DE321,6)&gt;=$R311),1,0)</f>
        <v>#REF!</v>
      </c>
      <c r="DG321" s="4" t="e">
        <f t="shared" ref="DG321" ca="1" si="5520">MATCH(1,OFFSET(DF311:DF322,DH320,0,COUNT(DF311:DF322)-DH320),0)</f>
        <v>#REF!</v>
      </c>
      <c r="DH321" s="4" t="e">
        <f t="shared" ca="1" si="5372"/>
        <v>#REF!</v>
      </c>
      <c r="DI321" s="692" t="str" cm="1">
        <f t="array" aca="1" ref="DI321" ca="1">IFERROR(VLOOKUP(INDEX(DE311:DE322,DH321),INDIRECT(BY311),2,FALSE),"----")</f>
        <v>----</v>
      </c>
      <c r="DJ321" s="691" t="e">
        <f t="shared" ca="1" si="5373"/>
        <v>#N/A</v>
      </c>
      <c r="DK321" s="4" t="e">
        <f ca="1">IF(AND(INDEX(SSM,DJ321,4)&gt;=$AB317,INDEX(SSM,DJ321,5)&gt;=$S311,INDEX(SSM,DJ321,6)&gt;=$R311),1,0)</f>
        <v>#N/A</v>
      </c>
      <c r="DL321" s="4" t="e">
        <f t="shared" ref="DL321" ca="1" si="5521">MATCH(1,OFFSET(DK311:DK322,DM320,0,COUNT(DK311:DK322)-DM320),0)</f>
        <v>#REF!</v>
      </c>
      <c r="DM321" s="4" t="e">
        <f t="shared" ca="1" si="5375"/>
        <v>#REF!</v>
      </c>
      <c r="DN321" s="692" t="str">
        <f ca="1">IFERROR(IF(AD318="Nested Steel Stud (wood infill)",VLOOKUP(INDEX(DJ311:DJ322,DM321),SSW,2,FALSE),VLOOKUP(INDEX(DJ311:DJ322,DM321),SSM,2,FALSE)),"----")</f>
        <v>----</v>
      </c>
      <c r="DO321" s="691" t="e">
        <f t="shared" ca="1" si="5376"/>
        <v>#N/A</v>
      </c>
      <c r="DP321" s="4" t="e">
        <f ca="1">IF(AND(INDEX(WSM,DO321,4)&gt;=$AB317,INDEX(WSM,DO321,5)&gt;=$S311,INDEX(WSM,DO321,6)&gt;=$R311),1,0)</f>
        <v>#N/A</v>
      </c>
      <c r="DQ321" s="4" t="e">
        <f t="shared" ref="DQ321" ca="1" si="5522">MATCH(1,OFFSET(DP311:DP322,DR320,0,COUNT(DP311:DP322)-DR320),0)</f>
        <v>#REF!</v>
      </c>
      <c r="DR321" s="4" t="e">
        <f t="shared" ca="1" si="5378"/>
        <v>#REF!</v>
      </c>
      <c r="DS321" s="692" t="str">
        <f ca="1">IFERROR(VLOOKUP(INDEX(DO311:DO322,DR321),WSM,2,FALSE),"----")</f>
        <v>----</v>
      </c>
      <c r="DT321" s="691" t="e">
        <f t="shared" ca="1" si="5379"/>
        <v>#N/A</v>
      </c>
      <c r="DU321" s="4" t="e">
        <f ca="1">IF(AND(INDEX(STM,DT321,4)&gt;=$AB317,INDEX(STM,DT321,5)&gt;=$S311,INDEX(STM,DT321,6)&gt;=$R311),1,0)</f>
        <v>#N/A</v>
      </c>
      <c r="DV321" s="4" t="e">
        <f t="shared" ref="DV321" ca="1" si="5523">MATCH(1,OFFSET(DU311:DU322,DW320,0,COUNT(DU311:DU322)-DW320),0)</f>
        <v>#REF!</v>
      </c>
      <c r="DW321" s="4" t="e">
        <f t="shared" ca="1" si="5381"/>
        <v>#REF!</v>
      </c>
      <c r="DX321" s="692" t="str">
        <f ca="1">IFERROR(VLOOKUP(INDEX(DT311:DT322,DW321),STM,2,FALSE),"----")</f>
        <v>----</v>
      </c>
      <c r="DY321" s="691" t="e">
        <f t="shared" ca="1" si="5382"/>
        <v>#N/A</v>
      </c>
      <c r="DZ321" s="4" t="e">
        <f ca="1">IF(AND(INDEX(ELM,DY321,4)&gt;=$AB317,INDEX(ELM,DY321,5)&gt;=$S311,INDEX(ELM,DY321,6)&gt;=$R311),1,0)</f>
        <v>#N/A</v>
      </c>
      <c r="EA321" s="4" t="e">
        <f t="shared" ref="EA321" ca="1" si="5524">MATCH(1,OFFSET(DZ311:DZ322,EB320,0,COUNT(DZ311:DZ322)-EB320),0)</f>
        <v>#REF!</v>
      </c>
      <c r="EB321" s="4" t="e">
        <f t="shared" ca="1" si="5384"/>
        <v>#REF!</v>
      </c>
      <c r="EC321" s="692" t="str">
        <f ca="1">IFERROR(VLOOKUP(INDEX(DY311:DY322,EB321),ELM,2,FALSE),"----")</f>
        <v>----</v>
      </c>
      <c r="ED321" s="691" t="e">
        <f t="shared" ca="1" si="5385"/>
        <v>#N/A</v>
      </c>
      <c r="EE321" s="4" t="e">
        <f ca="1">IF(LEFT($J311,7)="Clad Wo",IF(AND(INDEX(SPPWS,ED321,4)&gt;=$AB317,INDEX(SPPWS,ED321,5)&gt;=$S311,INDEX(SPPWS,ED321,6)&gt;=$R311),1,0),IF(AND(INDEX(SPM,ED321,4)&gt;=$AB317,INDEX(SPM,ED321,5)&gt;=$S311,INDEX(SPM,ED321,6)&gt;=$R311),1,0))</f>
        <v>#N/A</v>
      </c>
      <c r="EF321" s="4" t="e">
        <f t="shared" ref="EF321" ca="1" si="5525">MATCH(1,OFFSET(EE311:EE322,EG320,0,COUNT(EE311:EE322)-EG320),0)</f>
        <v>#REF!</v>
      </c>
      <c r="EG321" s="4" t="e">
        <f t="shared" ca="1" si="5387"/>
        <v>#REF!</v>
      </c>
      <c r="EH321" s="692" t="str">
        <f ca="1">IF(LEFT($J311,7)="Clad Wo",IFERROR(VLOOKUP(INDEX(ED311:ED322,EG321),SPPWS,2,FALSE),"----"),IFERROR(VLOOKUP(INDEX(ED311:ED322,EG321),SPM,2,FALSE),"----"))</f>
        <v>----</v>
      </c>
    </row>
    <row r="322" spans="1:138" ht="15" customHeight="1" thickBot="1" x14ac:dyDescent="0.3">
      <c r="A322" s="1085"/>
      <c r="B322" s="928"/>
      <c r="C322" s="929"/>
      <c r="D322" s="930"/>
      <c r="E322" s="998"/>
      <c r="F322" s="999"/>
      <c r="G322" s="1000"/>
      <c r="H322" s="1063"/>
      <c r="I322" s="991"/>
      <c r="J322" s="904"/>
      <c r="K322" s="905"/>
      <c r="L322" s="1003"/>
      <c r="M322" s="1065"/>
      <c r="N322" s="1043"/>
      <c r="O322" s="1019"/>
      <c r="P322" s="988"/>
      <c r="Q322" s="1016"/>
      <c r="R322" s="1013"/>
      <c r="S322" s="1008"/>
      <c r="T322" s="1009"/>
      <c r="U322" s="879"/>
      <c r="V322" s="882"/>
      <c r="W322" s="885"/>
      <c r="X322" s="885"/>
      <c r="Y322" s="888"/>
      <c r="Z322" s="888"/>
      <c r="AA322" s="888"/>
      <c r="AB322" s="1082"/>
      <c r="AC322" s="1087"/>
      <c r="AD322" s="1098" t="str">
        <f t="shared" ref="AD322" si="5526">IF(LEFT(J311,7)="Clad Wo","Pella Wood Spr / Steel Pte","Steel Plate")</f>
        <v>Steel Plate</v>
      </c>
      <c r="AE322" s="1099"/>
      <c r="AF322" s="1096"/>
      <c r="AG322" s="1097"/>
      <c r="AH322" s="1097"/>
      <c r="AI322" s="1094"/>
      <c r="AJ322" s="1095"/>
      <c r="AK322" s="163" t="str">
        <f t="shared" ca="1" si="4947"/>
        <v/>
      </c>
      <c r="AL322" s="1060"/>
      <c r="AM322" s="345" t="str">
        <f ca="1">IFERROR(Q311/12*ROUND(VLOOKUP(AF322,OFFSET(SPM,0,1),6,FALSE),2),"")</f>
        <v/>
      </c>
      <c r="AN322" t="str">
        <f t="shared" ca="1" si="4971"/>
        <v/>
      </c>
      <c r="AP322" s="699" t="str">
        <f t="shared" ref="AP322" si="5527">_xlfn.CONCAT(AR322,AS322)</f>
        <v/>
      </c>
      <c r="AQ322" s="700" t="str">
        <f t="shared" si="5170"/>
        <v/>
      </c>
      <c r="AR322" s="160" t="str">
        <f t="shared" si="4931"/>
        <v/>
      </c>
      <c r="AS322" s="160" t="str">
        <f>IFERROR(VLOOKUP(J319, WallType,2,FALSE),"")</f>
        <v/>
      </c>
      <c r="AT322" s="707" t="str">
        <f>AL317</f>
        <v/>
      </c>
      <c r="AU322" s="708" t="e">
        <f t="shared" ca="1" si="5187"/>
        <v>#REF!</v>
      </c>
      <c r="AV322" s="709" t="str">
        <f ca="1">IFERROR(VLOOKUP(AU322,INDIRECT(AQ311),2,FALSE),"----")</f>
        <v>----</v>
      </c>
      <c r="AW322" s="710" t="e">
        <f t="shared" ca="1" si="5188"/>
        <v>#REF!</v>
      </c>
      <c r="AX322" s="709" t="str">
        <f ca="1">IFERROR(VLOOKUP(AW322,INDIRECT(AQ312),2,FALSE),"----")</f>
        <v>----</v>
      </c>
      <c r="AY322" s="710" t="e">
        <f t="shared" ca="1" si="4775"/>
        <v>#REF!</v>
      </c>
      <c r="AZ322" s="709" t="str">
        <f ca="1">IFERROR(VLOOKUP(AY322,INDIRECT(AQ313),2,FALSE),"----")</f>
        <v>----</v>
      </c>
      <c r="BA322" s="710" t="e">
        <f t="shared" ca="1" si="4776"/>
        <v>#REF!</v>
      </c>
      <c r="BB322" s="709" t="str">
        <f ca="1">IFERROR(VLOOKUP(BA322,INDIRECT(AQ314),2,FALSE),"----")</f>
        <v>----</v>
      </c>
      <c r="BC322" s="710" t="e">
        <f t="shared" ca="1" si="5191"/>
        <v>#REF!</v>
      </c>
      <c r="BD322" s="709" t="str">
        <f ca="1">IFERROR(VLOOKUP(BC322,INDIRECT(AQ315),2,FALSE),"----")</f>
        <v>----</v>
      </c>
      <c r="BE322" s="710" t="e">
        <f t="shared" ca="1" si="5192"/>
        <v>#REF!</v>
      </c>
      <c r="BF322" s="709" t="str">
        <f ca="1">IFERROR(VLOOKUP(BE322,INDIRECT(AQ316),2,FALSE),"----")</f>
        <v>----</v>
      </c>
      <c r="BG322" s="710" t="e">
        <f t="shared" ca="1" si="5193"/>
        <v>#REF!</v>
      </c>
      <c r="BH322" s="711" t="str">
        <f ca="1">IFERROR(VLOOKUP(BG322,INDIRECT(AQ317),2,FALSE),"----")</f>
        <v>----</v>
      </c>
      <c r="BI322" s="710" t="e">
        <f t="shared" ca="1" si="5194"/>
        <v>#REF!</v>
      </c>
      <c r="BJ322" s="711" t="str">
        <f ca="1">IFERROR(VLOOKUP(BI322,INDIRECT(AQ318),2,FALSE),"----")</f>
        <v>----</v>
      </c>
      <c r="BK322" s="710" t="e">
        <f t="shared" ca="1" si="5195"/>
        <v>#REF!</v>
      </c>
      <c r="BL322" s="711" t="str">
        <f ca="1">IFERROR(VLOOKUP(BK322,INDIRECT(AQ319),2,FALSE),"----")</f>
        <v>----</v>
      </c>
      <c r="BM322" s="710" t="e">
        <f t="shared" ca="1" si="5196"/>
        <v>#REF!</v>
      </c>
      <c r="BN322" s="711" t="str">
        <f ca="1">IFERROR(VLOOKUP(BM322,INDIRECT(AQ320),2,FALSE),"----")</f>
        <v>----</v>
      </c>
      <c r="BO322" s="710" t="e">
        <f t="shared" ca="1" si="5197"/>
        <v>#REF!</v>
      </c>
      <c r="BP322" s="711" t="str">
        <f ca="1">IFERROR(VLOOKUP(BO322,INDIRECT(AQ321),2,FALSE),"----")</f>
        <v>----</v>
      </c>
      <c r="BQ322" s="710" t="e">
        <f t="shared" ca="1" si="5198"/>
        <v>#REF!</v>
      </c>
      <c r="BR322" s="712" t="str">
        <f ca="1">IFERROR(VLOOKUP(BQ322,INDIRECT(AQ322),2,FALSE),"----")</f>
        <v>----</v>
      </c>
      <c r="BS322" s="695">
        <f>IF(AI322="",1,IF(COUNTIF(BR311:BR322,AI322)=0,2,1))</f>
        <v>1</v>
      </c>
      <c r="BT322" s="713">
        <f>IF(AF322="",1,IF(BR311=".",2,1))</f>
        <v>1</v>
      </c>
      <c r="BV322" s="155">
        <f ca="1">IF(COUNTIF(EH311:EH322,AF322)=0,IF(AF322&lt;&gt;"",0,1),1)</f>
        <v>1</v>
      </c>
      <c r="BW322" s="157">
        <f ca="1">IFERROR(MATCH(AF322,EH311:EH322,0),1)</f>
        <v>1</v>
      </c>
      <c r="BX322" s="718"/>
      <c r="BY322" s="777"/>
      <c r="BZ322" s="1110"/>
      <c r="CA322" s="714" t="e">
        <f t="shared" ca="1" si="5352"/>
        <v>#REF!</v>
      </c>
      <c r="CB322" s="715" t="e" cm="1">
        <f t="array" aca="1" ref="CB322" ca="1">IF(AND(INDEX(INDIRECT(BY311),CA322,4)&gt;=$AB311,INDEX(INDIRECT(BY311),CA322,5)&gt;=$S311,INDEX(INDIRECT(BY311),CA322,6)&gt;=$R311),1,0)</f>
        <v>#REF!</v>
      </c>
      <c r="CC322" s="715" t="e">
        <f t="shared" ref="CC322" ca="1" si="5528">MATCH(1,OFFSET(CB311:CB322,CD321,0,COUNT(CB311:CB322)-CD321),0)</f>
        <v>#REF!</v>
      </c>
      <c r="CD322" s="715" t="e">
        <f t="shared" ca="1" si="5354"/>
        <v>#REF!</v>
      </c>
      <c r="CE322" s="716" t="str" cm="1">
        <f t="array" aca="1" ref="CE322" ca="1">IFERROR(VLOOKUP(INDEX(CA311:CA322,CD322),INDIRECT(BY311),2,FALSE),"----")</f>
        <v>----</v>
      </c>
      <c r="CF322" s="714" t="e">
        <f t="shared" ca="1" si="5355"/>
        <v>#N/A</v>
      </c>
      <c r="CG322" s="715" t="e">
        <f ca="1">IF(AND(INDEX(SSM,CF322,4)&gt;=$AB311,INDEX(SSM,CF322,5)&gt;=$S311,INDEX(SSM,CF322,6)&gt;=$R311),1,0)</f>
        <v>#N/A</v>
      </c>
      <c r="CH322" s="715" t="e">
        <f t="shared" ref="CH322" ca="1" si="5529">MATCH(1,OFFSET(CG311:CG322,CI321,0,COUNT(CG311:CG322)-CI321),0)</f>
        <v>#REF!</v>
      </c>
      <c r="CI322" s="715" t="e">
        <f t="shared" ca="1" si="5357"/>
        <v>#REF!</v>
      </c>
      <c r="CJ322" s="716" t="str">
        <f ca="1">IFERROR(IF(AD312="Nested Steel Stud (wood infill)",VLOOKUP(INDEX(CF311:CF322,CI322),SSW,2,FALSE),VLOOKUP(INDEX(CF311:CF322,CI322),SSM,2,FALSE)),"----")</f>
        <v>----</v>
      </c>
      <c r="CK322" s="714" t="e">
        <f t="shared" ca="1" si="5358"/>
        <v>#N/A</v>
      </c>
      <c r="CL322" s="715" t="e">
        <f ca="1">IF(AND(INDEX(WSM,CK322,4)&gt;=$AB311,INDEX(WSM,CK322,5)&gt;=$S311,INDEX(WSM,CK322,6)&gt;=$R311),1,0)</f>
        <v>#N/A</v>
      </c>
      <c r="CM322" s="715" t="e">
        <f t="shared" ref="CM322" ca="1" si="5530">MATCH(1,OFFSET(CL311:CL322,CN321,0,COUNT(CL311:CL322)-CN321),0)</f>
        <v>#REF!</v>
      </c>
      <c r="CN322" s="715" t="e">
        <f t="shared" ca="1" si="5360"/>
        <v>#REF!</v>
      </c>
      <c r="CO322" s="716" t="str">
        <f ca="1">IFERROR(VLOOKUP(INDEX(CK311:CK322,CN322),WSM,2,FALSE),"----")</f>
        <v>----</v>
      </c>
      <c r="CP322" s="714" t="e">
        <f t="shared" ca="1" si="5361"/>
        <v>#N/A</v>
      </c>
      <c r="CQ322" s="715" t="e">
        <f ca="1">IF(AND(INDEX(STM,CP322,4)&gt;=$AB311,INDEX(STM,CP322,5)&gt;=$S311,INDEX(STM,CP322,6)&gt;=$R311),1,0)</f>
        <v>#N/A</v>
      </c>
      <c r="CR322" s="715" t="e">
        <f t="shared" ref="CR322" ca="1" si="5531">MATCH(1,OFFSET(CQ311:CQ322,CS321,0,COUNT(CQ311:CQ322)-CS321),0)</f>
        <v>#REF!</v>
      </c>
      <c r="CS322" s="715" t="e">
        <f t="shared" ca="1" si="5363"/>
        <v>#REF!</v>
      </c>
      <c r="CT322" s="716" t="str">
        <f ca="1">IFERROR(VLOOKUP(INDEX(CP311:CP322,CS322),STM,2,FALSE),"----")</f>
        <v>----</v>
      </c>
      <c r="CU322" s="714" t="e">
        <f t="shared" ca="1" si="5364"/>
        <v>#N/A</v>
      </c>
      <c r="CV322" s="715" t="e">
        <f ca="1">IF(AND(INDEX(ELM,CU322,4)&gt;=$AB311,INDEX(ELM,CU322,5)&gt;=$S311,INDEX(ELM,CU322,6)&gt;=$R311),1,0)</f>
        <v>#N/A</v>
      </c>
      <c r="CW322" s="715" t="e">
        <f t="shared" ref="CW322" ca="1" si="5532">MATCH(1,OFFSET(CV311:CV322,CX321,0,COUNT(CV311:CV322)-CX321),0)</f>
        <v>#REF!</v>
      </c>
      <c r="CX322" s="715" t="e">
        <f t="shared" ca="1" si="5366"/>
        <v>#REF!</v>
      </c>
      <c r="CY322" s="716" t="str">
        <f ca="1">IFERROR(VLOOKUP(INDEX(CU311:CU322,CX322),ELM,2,FALSE),"----")</f>
        <v>----</v>
      </c>
      <c r="CZ322" s="714" t="e">
        <f t="shared" ca="1" si="5367"/>
        <v>#N/A</v>
      </c>
      <c r="DA322" s="715" t="e">
        <f ca="1">IF(LEFT($J311,7)="Clad Wo",IF(AND(INDEX(SPPWS,CZ322,4)&gt;=$AB311,INDEX(SPPWS,CZ322,5)&gt;=$S311,INDEX(SPPWS,CZ322,6)&gt;=$R311),1,0),IF(AND(INDEX(SPM,CZ322,4)&gt;=$AB311,INDEX(SPM,CZ322,5)&gt;=$S311,INDEX(SPM,CZ322,6)&gt;=$R311),1,0))</f>
        <v>#N/A</v>
      </c>
      <c r="DB322" s="715" t="e">
        <f t="shared" ref="DB322" ca="1" si="5533">MATCH(1,OFFSET(DA311:DA322,DC321,0,COUNT(DA311:DA322)-DC321),0)</f>
        <v>#REF!</v>
      </c>
      <c r="DC322" s="715" t="e">
        <f t="shared" ca="1" si="5369"/>
        <v>#REF!</v>
      </c>
      <c r="DD322" s="717" t="str">
        <f ca="1">IF(LEFT($J311,7)="Clad Wo",IFERROR(VLOOKUP(INDEX(CZ311:CZ322,DC322),SPPWS,2,FALSE),"----"),IFERROR(VLOOKUP(INDEX(CZ311:CZ322,DC322),SPM,2,FALSE),"----"))</f>
        <v>----</v>
      </c>
      <c r="DE322" s="714" t="e">
        <f t="shared" ca="1" si="5370"/>
        <v>#REF!</v>
      </c>
      <c r="DF322" s="715" t="e" cm="1">
        <f t="array" aca="1" ref="DF322" ca="1">IF(AND(INDEX(INDIRECT(BY311),DE322,4)&gt;=$AB317,INDEX(INDIRECT(BY311),DE322,5)&gt;=$S311,INDEX(INDIRECT(BY311),DE322,6)&gt;=$R311),1,0)</f>
        <v>#REF!</v>
      </c>
      <c r="DG322" s="715" t="e">
        <f t="shared" ref="DG322" ca="1" si="5534">MATCH(1,OFFSET(DF311:DF322,DH321,0,COUNT(DF311:DF322)-DH321),0)</f>
        <v>#REF!</v>
      </c>
      <c r="DH322" s="715" t="e">
        <f t="shared" ca="1" si="5372"/>
        <v>#REF!</v>
      </c>
      <c r="DI322" s="716" t="str" cm="1">
        <f t="array" aca="1" ref="DI322" ca="1">IFERROR(VLOOKUP(INDEX(DE311:DE322,DH322),INDIRECT(BY311),2,FALSE),"----")</f>
        <v>----</v>
      </c>
      <c r="DJ322" s="714" t="e">
        <f t="shared" ca="1" si="5373"/>
        <v>#N/A</v>
      </c>
      <c r="DK322" s="715" t="e">
        <f ca="1">IF(AND(INDEX(SSM,DJ322,4)&gt;=$AB317,INDEX(SSM,DJ322,5)&gt;=$S311,INDEX(SSM,DJ322,6)&gt;=$R311),1,0)</f>
        <v>#N/A</v>
      </c>
      <c r="DL322" s="715" t="e">
        <f t="shared" ref="DL322" ca="1" si="5535">MATCH(1,OFFSET(DK311:DK322,DM321,0,COUNT(DK311:DK322)-DM321),0)</f>
        <v>#REF!</v>
      </c>
      <c r="DM322" s="715" t="e">
        <f t="shared" ca="1" si="5375"/>
        <v>#REF!</v>
      </c>
      <c r="DN322" s="716" t="str">
        <f ca="1">IFERROR(IF(AD318="Nested Steel Stud (wood infill)",VLOOKUP(INDEX(DJ311:DJ322,DM322),SSW,2,FALSE),VLOOKUP(INDEX(DJ311:DJ322,DM322),SSM,2,FALSE)),"----")</f>
        <v>----</v>
      </c>
      <c r="DO322" s="714" t="e">
        <f t="shared" ca="1" si="5376"/>
        <v>#N/A</v>
      </c>
      <c r="DP322" s="715" t="e">
        <f ca="1">IF(AND(INDEX(WSM,DO322,4)&gt;=$AB317,INDEX(WSM,DO322,5)&gt;=$S311,INDEX(WSM,DO322,6)&gt;=$R311),1,0)</f>
        <v>#N/A</v>
      </c>
      <c r="DQ322" s="715" t="e">
        <f t="shared" ref="DQ322" ca="1" si="5536">MATCH(1,OFFSET(DP311:DP322,DR321,0,COUNT(DP311:DP322)-DR321),0)</f>
        <v>#REF!</v>
      </c>
      <c r="DR322" s="715" t="e">
        <f t="shared" ca="1" si="5378"/>
        <v>#REF!</v>
      </c>
      <c r="DS322" s="716" t="str">
        <f ca="1">IFERROR(VLOOKUP(INDEX(DO311:DO322,DR322),WSM,2,FALSE),"----")</f>
        <v>----</v>
      </c>
      <c r="DT322" s="714" t="e">
        <f t="shared" ca="1" si="5379"/>
        <v>#N/A</v>
      </c>
      <c r="DU322" s="715" t="e">
        <f ca="1">IF(AND(INDEX(STM,DT322,4)&gt;=$AB317,INDEX(STM,DT322,5)&gt;=$S311,INDEX(STM,DT322,6)&gt;=$R311),1,0)</f>
        <v>#N/A</v>
      </c>
      <c r="DV322" s="715" t="e">
        <f t="shared" ref="DV322" ca="1" si="5537">MATCH(1,OFFSET(DU311:DU322,DW321,0,COUNT(DU311:DU322)-DW321),0)</f>
        <v>#REF!</v>
      </c>
      <c r="DW322" s="715" t="e">
        <f t="shared" ca="1" si="5381"/>
        <v>#REF!</v>
      </c>
      <c r="DX322" s="716" t="str">
        <f ca="1">IFERROR(VLOOKUP(INDEX(DT311:DT322,DW322),STM,2,FALSE),"----")</f>
        <v>----</v>
      </c>
      <c r="DY322" s="714" t="e">
        <f t="shared" ca="1" si="5382"/>
        <v>#N/A</v>
      </c>
      <c r="DZ322" s="715" t="e">
        <f ca="1">IF(AND(INDEX(ELM,DY322,4)&gt;=$AB317,INDEX(ELM,DY322,5)&gt;=$S311,INDEX(ELM,DY322,6)&gt;=$R311),1,0)</f>
        <v>#N/A</v>
      </c>
      <c r="EA322" s="715" t="e">
        <f t="shared" ref="EA322" ca="1" si="5538">MATCH(1,OFFSET(DZ311:DZ322,EB321,0,COUNT(DZ311:DZ322)-EB321),0)</f>
        <v>#REF!</v>
      </c>
      <c r="EB322" s="715" t="e">
        <f t="shared" ca="1" si="5384"/>
        <v>#REF!</v>
      </c>
      <c r="EC322" s="716" t="str">
        <f ca="1">IFERROR(VLOOKUP(INDEX(DY311:DY322,EB322),ELM,2,FALSE),"----")</f>
        <v>----</v>
      </c>
      <c r="ED322" s="714" t="e">
        <f t="shared" ca="1" si="5385"/>
        <v>#N/A</v>
      </c>
      <c r="EE322" s="715" t="e">
        <f ca="1">IF(LEFT($J311,7)="Clad Wo",IF(AND(INDEX(SPPWS,ED322,4)&gt;=$AB317,INDEX(SPPWS,ED322,5)&gt;=$S311,INDEX(SPPWS,ED322,6)&gt;=$R311),1,0),IF(AND(INDEX(SPM,ED322,4)&gt;=$AB317,INDEX(SPM,ED322,5)&gt;=$S311,INDEX(SPM,ED322,6)&gt;=$R311),1,0))</f>
        <v>#N/A</v>
      </c>
      <c r="EF322" s="715" t="e">
        <f t="shared" ref="EF322" ca="1" si="5539">MATCH(1,OFFSET(EE311:EE322,EG321,0,COUNT(EE311:EE322)-EG321),0)</f>
        <v>#REF!</v>
      </c>
      <c r="EG322" s="715" t="e">
        <f t="shared" ca="1" si="5387"/>
        <v>#REF!</v>
      </c>
      <c r="EH322" s="716" t="str">
        <f ca="1">IF(LEFT($J311,7)="Clad Wo",IFERROR(VLOOKUP(INDEX(ED311:ED322,EG322),SPPWS,2,FALSE),"----"),IFERROR(VLOOKUP(INDEX(ED311:ED322,EG322),SPM,2,FALSE),"----"))</f>
        <v>----</v>
      </c>
    </row>
    <row r="323" spans="1:138" ht="15" customHeight="1" thickTop="1" x14ac:dyDescent="0.25">
      <c r="A323" s="1085"/>
      <c r="B323" s="931" t="s">
        <v>92</v>
      </c>
      <c r="C323" s="932"/>
      <c r="D323" s="933"/>
      <c r="E323" s="992"/>
      <c r="F323" s="993"/>
      <c r="G323" s="994"/>
      <c r="H323" s="1061"/>
      <c r="I323" s="989"/>
      <c r="J323" s="906"/>
      <c r="K323" s="907"/>
      <c r="L323" s="1001">
        <f>$W$3</f>
        <v>4</v>
      </c>
      <c r="M323" s="923" t="str">
        <f t="shared" ref="M323" si="5540">IFERROR(IF($AE$13="",IF($AG$19="Wind Loading",MIN($V$31,IF(E$11="ASCE 7-05",$U$26,$V$7)*$V$9*(IF($E$12&lt;60,0.0771*LN(MAX(MIN(500,O323),10)) -1.2737,IF($E$11="ASCE 7-22",0.0524*LN(MAX(MIN(500,O323),50))-1.0278,0.0614*LN(MAX(MIN(500,O323),20)) -1.0829))-$V$8)),$V$7*IF(E$12&lt;60,$V$13*($V$15*0.0771*LN(MAX(MIN(500,O323),10))-1.2737-$V$16),$V$13*$V$15*((0.0524*LN(MAX(MIN(500,O323),20))-1.0278)-$V$16))),-ABS($AE$13)),"")</f>
        <v/>
      </c>
      <c r="N323" s="1042" t="str">
        <f t="shared" ref="N323" si="5541">IFERROR(IF($AE$15="",IF($AG$19="Wind Loading",MAX($U$31,IF(E$11="ASCE 7-05",$U$26,$V$7)*$V$9*((IF($E$12&lt;60,-0.077*LN(MAX(MIN(500,O323),10))+1.1737,IF($E$11="ASCE 7-22",-0.077*LN(MAX(MIN(500,O323),20))+1.0798,-0.093*LN(MAX(MIN(500,O323),20))+1.1776)))+$V$8)),$V$7*IF(E$12&lt;60,$V$13*($V$15*(-0.077*LN(MAX(MIN(500,O323),10))+1.1737)-$V$17),$V$13*$V$15*((-0.077*LN(MAX(MIN(500,O323),20))+1.0798)-$V$17))),ABS($AE$15)),"")</f>
        <v/>
      </c>
      <c r="O323" s="1017" t="str">
        <f>IF(BX330=0,"",IF(AG$14="Trapezoidal",BY330,BX330))</f>
        <v/>
      </c>
      <c r="P323" s="986"/>
      <c r="Q323" s="1014"/>
      <c r="R323" s="1011">
        <f>P323*Q323/8</f>
        <v>0</v>
      </c>
      <c r="S323" s="1004">
        <f t="shared" ref="S323" si="5542">IF(5*(P323*Q323^3/(384*0.125))=0,0,5*(P323*Q323^3/(384*0.125)))</f>
        <v>0</v>
      </c>
      <c r="T323" s="1005"/>
      <c r="U323" s="877" t="e">
        <f ca="1">VLOOKUP(J327,INDIRECT(VLOOKUP(J323,FrameStrength,2,FALSE)),3,FALSE)</f>
        <v>#N/A</v>
      </c>
      <c r="V323" s="880">
        <f t="shared" ref="V323" si="5543">(H323+I323)/2</f>
        <v>0</v>
      </c>
      <c r="W323" s="883" t="e">
        <f t="shared" ref="W323" si="5544">MAX(-M323,N323)*O323</f>
        <v>#VALUE!</v>
      </c>
      <c r="X323" s="883">
        <f t="shared" ref="X323" si="5545">IF(E323&gt;162,(E323/240+0.25),IF(AND(E323&lt;162,E323/175&lt;0.75),E323/175,0.75))</f>
        <v>0</v>
      </c>
      <c r="Y323" s="886">
        <f>IFERROR(IF(AG$14="Trapezoidal",BY331,BX331)+IF($E$17="4",(400*E323^3)/(48*X323),0),0)</f>
        <v>0</v>
      </c>
      <c r="Z323" s="886" t="e">
        <f t="shared" ref="Z323" si="5546">+($V323*MAX(-$M323,$N323)*$E323^2)/(144*8)+IF($E$17=4,(400*$E323)/4,0)</f>
        <v>#VALUE!</v>
      </c>
      <c r="AA323" s="886" t="e">
        <f ca="1">VLOOKUP(J327,INDIRECT(VLOOKUP(J323,FrameStrength,2,FALSE)),2,FALSE)</f>
        <v>#N/A</v>
      </c>
      <c r="AB323" s="1083" t="str">
        <f t="shared" ref="AB323" ca="1" si="5547">IFERROR(Z323-AA323,"")</f>
        <v/>
      </c>
      <c r="AC323" s="1077" t="str">
        <f t="shared" ref="AC323" ca="1" si="5548">IFERROR(Y323-U323,"")</f>
        <v/>
      </c>
      <c r="AD323" s="1100" t="str">
        <f>IFERROR(IF(LEFT(J327,2)="As",VLOOKUP(J327,EIMM,4,FALSE),VLOOKUP(J323,EIMM,4,FALSE)),IF(AND(ISNUMBER(SEARCH("Impervia",J323)),ISNUMBER(SEARCH("door",J327))),'New Lookup Cells'!AF$10,IF(ISNUMBER(SEARCH("Impervia",J323)),'New Lookup Cells'!AF$7,IF(AND(ISNUMBER(SEARCH("250",J323)),ISNUMBER(SEARCH("door",J327))),'New Lookup Cells'!AF$14,IF(ISNUMBER(SEARCH("250",J323)),'New Lookup Cells'!AF$13,"")))))</f>
        <v/>
      </c>
      <c r="AE323" s="1101"/>
      <c r="AF323" s="1050"/>
      <c r="AG323" s="1051"/>
      <c r="AH323" s="1051"/>
      <c r="AI323" s="1088"/>
      <c r="AJ323" s="1089"/>
      <c r="AK323" s="154" t="str">
        <f t="shared" ca="1" si="4947"/>
        <v/>
      </c>
      <c r="AL323" s="1038" t="str">
        <f t="shared" ref="AL323" si="5549">IFERROR(ROUND(SQRT(P323^2+(W323/2+IF($E$17=4,200,0))^2),0),"")</f>
        <v/>
      </c>
      <c r="AM323" s="342" t="s">
        <v>669</v>
      </c>
      <c r="AN323" t="str">
        <f t="shared" ca="1" si="4971"/>
        <v/>
      </c>
      <c r="AP323" s="122" t="str">
        <f t="shared" ref="AP323" si="5550">_xlfn.CONCAT(AR323,AS328)</f>
        <v/>
      </c>
      <c r="AQ323" s="683" t="str">
        <f t="shared" si="5170"/>
        <v/>
      </c>
      <c r="AR323" s="96" t="str">
        <f t="shared" si="4931"/>
        <v/>
      </c>
      <c r="AS323" s="96" t="str">
        <f>IF(COUNTIF(imp_1,AF323)=1,"imp_1",IF(COUNTIF(imp_2,AF323)=1,"imp_2",IF(COUNTIF(imp_3,AF323)=1,"imp_3",IF(COUNTIF(impdoor,AF323)=1,"impdoor",""))))</f>
        <v/>
      </c>
      <c r="AT323" s="684" t="str">
        <f>AL323</f>
        <v/>
      </c>
      <c r="AU323" s="685" t="e">
        <f ca="1">MATCH(AL323,INDIRECT(AP323),-1)</f>
        <v>#REF!</v>
      </c>
      <c r="AV323" s="686" t="str">
        <f ca="1">IFERROR(VLOOKUP(AU323,INDIRECT(AQ323),2,FALSE),"----")</f>
        <v>----</v>
      </c>
      <c r="AW323" s="685" t="e">
        <f ca="1">MATCH(AL323,INDIRECT(AP324),-1)</f>
        <v>#REF!</v>
      </c>
      <c r="AX323" s="686" t="str">
        <f ca="1">IFERROR(VLOOKUP(AW323,INDIRECT(AQ324),2,FALSE),"----")</f>
        <v>----</v>
      </c>
      <c r="AY323" s="685" t="e">
        <f ca="1">MATCH(AL323,INDIRECT(AP325),-1)</f>
        <v>#REF!</v>
      </c>
      <c r="AZ323" s="686" t="str">
        <f ca="1">IFERROR(VLOOKUP(AY323,INDIRECT(AQ325),2,FALSE),"----")</f>
        <v>----</v>
      </c>
      <c r="BA323" s="685" t="e">
        <f ca="1">MATCH(AL323,INDIRECT(AP326),-1)</f>
        <v>#REF!</v>
      </c>
      <c r="BB323" s="686" t="str">
        <f ca="1">IFERROR(VLOOKUP(BA323,INDIRECT(AQ326),2,FALSE),"----")</f>
        <v>----</v>
      </c>
      <c r="BC323" s="685" t="e">
        <f ca="1">MATCH(AL323,INDIRECT(AP327),-1)</f>
        <v>#REF!</v>
      </c>
      <c r="BD323" s="686" t="str">
        <f ca="1">IFERROR(VLOOKUP(BC323,INDIRECT(AQ327),2,FALSE),"----")</f>
        <v>----</v>
      </c>
      <c r="BE323" s="685" t="e">
        <f ca="1">MATCH(AL323,INDIRECT(AP328),-1)</f>
        <v>#REF!</v>
      </c>
      <c r="BF323" s="686" t="str">
        <f ca="1">IFERROR(VLOOKUP(BE323,INDIRECT(AQ328),2,FALSE),"----")</f>
        <v>----</v>
      </c>
      <c r="BG323" s="685" t="e">
        <f ca="1">MATCH(AL329,INDIRECT(AP329),-1)</f>
        <v>#REF!</v>
      </c>
      <c r="BH323" s="686" t="str">
        <f ca="1">IFERROR(VLOOKUP(BG323,INDIRECT(AQ329),2,FALSE),"----")</f>
        <v>----</v>
      </c>
      <c r="BI323" s="685" t="e">
        <f ca="1">MATCH(AL329,INDIRECT(AP330),-1)</f>
        <v>#REF!</v>
      </c>
      <c r="BJ323" s="686" t="str">
        <f ca="1">IFERROR(VLOOKUP(BI323,INDIRECT(AQ330),2,FALSE),"----")</f>
        <v>----</v>
      </c>
      <c r="BK323" s="685" t="e">
        <f ca="1">MATCH(AL329,INDIRECT(AP331),-1)</f>
        <v>#REF!</v>
      </c>
      <c r="BL323" s="686" t="str">
        <f ca="1">IFERROR(VLOOKUP(BK323,INDIRECT(AQ331),2,FALSE),"----")</f>
        <v>----</v>
      </c>
      <c r="BM323" s="685" t="e">
        <f ca="1">MATCH(AL329,INDIRECT(AP332),-1)</f>
        <v>#REF!</v>
      </c>
      <c r="BN323" s="686" t="str">
        <f ca="1">IFERROR(VLOOKUP(BM323,INDIRECT(AQ332),2,FALSE),"----")</f>
        <v>----</v>
      </c>
      <c r="BO323" s="685" t="e">
        <f ca="1">MATCH(AL329,INDIRECT(AP333),-1)</f>
        <v>#REF!</v>
      </c>
      <c r="BP323" s="686" t="str">
        <f ca="1">IFERROR(VLOOKUP(BO323,INDIRECT(AQ333),2,FALSE),"----")</f>
        <v>----</v>
      </c>
      <c r="BQ323" s="685" t="e">
        <f ca="1">MATCH(AL329,INDIRECT(AP334),-1)</f>
        <v>#REF!</v>
      </c>
      <c r="BR323" s="686" t="str">
        <f ca="1">IFERROR(VLOOKUP(BQ323,INDIRECT(AQ334),2,FALSE),"----")</f>
        <v>----</v>
      </c>
      <c r="BS323" s="687">
        <f>IF(AI323="",1,IF(COUNTIF(AV323:AV334,AI323)=0,2,1))</f>
        <v>1</v>
      </c>
      <c r="BT323" s="688">
        <f>IF(AP323="1",1,IF(AF323="",1,IF(AV323=".",2,1)))</f>
        <v>1</v>
      </c>
      <c r="BU323" s="706"/>
      <c r="BV323" s="155">
        <f ca="1">IF(COUNTIF(CE323:CE334,AF323)=0,IF(AF323&lt;&gt;"",0,1),1)</f>
        <v>1</v>
      </c>
      <c r="BW323" s="157">
        <f ca="1">IFERROR(MATCH(AF323,CE323:CE334,0),1)</f>
        <v>1</v>
      </c>
      <c r="BX323" s="769" t="str">
        <f>IFERROR(IF(LEFT(J327,2)="As",VLOOKUP(J327,EIMM,2,FALSE),IF(AND(ISNUMBER(SEARCH("Impervia",J323)),ISNUMBER(SEARCH("door",J327))),VLOOKUP("Impervia Door",EIMM,2,FALSE),IF(AND(ISNUMBER(SEARCH("250",J323)),ISNUMBER(SEARCH("door",J327))),VLOOKUP("250 Series Door",EIMM,2,FALSE),VLOOKUP(J323,EIMM,2,FALSE)))),"")</f>
        <v/>
      </c>
      <c r="BY323" s="769" t="str">
        <f ca="1">IFERROR(VLOOKUP(BX323,OFFSET(EIMM,0,1),2,FALSE),"")</f>
        <v/>
      </c>
      <c r="BZ323" s="1110" t="e">
        <f ca="1">IF((COUNTIF(INDIRECT(SUBSTITUTE(J323," ","_")),J327))=0,IF(J327="",1,0),1)</f>
        <v>#REF!</v>
      </c>
      <c r="CA323" s="691" t="e">
        <f ca="1">MATCH(AC323,INDIRECT(BX323),-1)</f>
        <v>#REF!</v>
      </c>
      <c r="CB323" s="4" t="e" cm="1">
        <f t="array" aca="1" ref="CB323" ca="1">IF(AND(INDEX(INDIRECT(BY323),CA323,4)&gt;=$AB323,INDEX(INDIRECT(BY323),CA323,5)&gt;=$S323,INDEX(INDIRECT(BY323),CA323,6)&gt;=$R323),1,0)</f>
        <v>#REF!</v>
      </c>
      <c r="CC323" s="4" t="e">
        <f t="shared" ref="CC323" ca="1" si="5551">MATCH(1,OFFSET(CB323:CB334,$W$2,0,COUNT(CB323:CB334)-$W$2),0)</f>
        <v>#REF!</v>
      </c>
      <c r="CD323" s="4" t="e">
        <f t="shared" ref="CD323" ca="1" si="5552">$W$2+CC323</f>
        <v>#REF!</v>
      </c>
      <c r="CE323" s="692" t="str" cm="1">
        <f t="array" aca="1" ref="CE323" ca="1">IFERROR(VLOOKUP(INDEX(CA323:CA334,CD323),INDIRECT(BY323),2,FALSE),"----")</f>
        <v>----</v>
      </c>
      <c r="CF323" s="691" t="e">
        <f ca="1">MATCH($AC323,SSEI,-1)</f>
        <v>#N/A</v>
      </c>
      <c r="CG323" s="4" t="e">
        <f ca="1">IF(AND(INDEX(SSM,CF323,4)&gt;=$AB323,INDEX(SSM,CF323,5)&gt;=$S323,INDEX(SSM,CF323,6)&gt;=$R323),1,0)</f>
        <v>#N/A</v>
      </c>
      <c r="CH323" s="4" t="e">
        <f t="shared" ref="CH323" ca="1" si="5553">MATCH(1,OFFSET(CG323:CG334,$W$2,0,COUNT(CG323:CG334)-$W$2),0)</f>
        <v>#REF!</v>
      </c>
      <c r="CI323" s="4" t="e">
        <f t="shared" ref="CI323" ca="1" si="5554">$W$2+CH323</f>
        <v>#REF!</v>
      </c>
      <c r="CJ323" s="692" t="str">
        <f ca="1">IFERROR(IF(AD324="Nested Steel Stud (wood infill)",VLOOKUP(INDEX(CF323:CF334,CI323),SSW,2,FALSE),VLOOKUP(INDEX(CF323:CF334,CI323),SSM,2,FALSE)),"----")</f>
        <v>----</v>
      </c>
      <c r="CK323" s="691" t="e">
        <f ca="1">MATCH($AC323,WSEI,-1)</f>
        <v>#N/A</v>
      </c>
      <c r="CL323" s="4" t="e">
        <f ca="1">IF(AND(INDEX(WSM,CK323,4)&gt;=$AB323,INDEX(WSM,CK323,5)&gt;=$S323,INDEX(WSM,CK323,6)&gt;=$R323),1,0)</f>
        <v>#N/A</v>
      </c>
      <c r="CM323" s="4" t="e">
        <f t="shared" ref="CM323" ca="1" si="5555">MATCH(1,OFFSET(CL323:CL334,$W$2,0,COUNT(CL323:CL334)-$W$2),0)</f>
        <v>#REF!</v>
      </c>
      <c r="CN323" s="4" t="e">
        <f t="shared" ref="CN323" ca="1" si="5556">$W$2+CM323</f>
        <v>#REF!</v>
      </c>
      <c r="CO323" s="692" t="str">
        <f ca="1">IFERROR(VLOOKUP(INDEX(CK323:CK334,CN323),WSM,2,FALSE),"----")</f>
        <v>----</v>
      </c>
      <c r="CP323" s="691" t="e">
        <f ca="1">MATCH($AC323,STEI,-1)</f>
        <v>#N/A</v>
      </c>
      <c r="CQ323" s="4" t="e">
        <f ca="1">IF(AND(INDEX(STM,CP323,4)&gt;=$AB323,INDEX(STM,CP323,5)&gt;=$S323,INDEX(STM,CP323,6)&gt;=$R323),1,0)</f>
        <v>#N/A</v>
      </c>
      <c r="CR323" s="4" t="e">
        <f t="shared" ref="CR323" ca="1" si="5557">MATCH(1,OFFSET(CQ323:CQ334,$W$2,0,COUNT(CQ323:CQ334)-$W$2),0)</f>
        <v>#REF!</v>
      </c>
      <c r="CS323" s="4" t="e">
        <f t="shared" ref="CS323" ca="1" si="5558">$W$2+CR323</f>
        <v>#REF!</v>
      </c>
      <c r="CT323" s="692" t="str">
        <f ca="1">IFERROR(VLOOKUP(INDEX(CP323:CP334,CS323),STM,2,FALSE),"----")</f>
        <v>----</v>
      </c>
      <c r="CU323" s="691" t="e">
        <f ca="1">MATCH($AC323,ELEI,-1)</f>
        <v>#N/A</v>
      </c>
      <c r="CV323" s="4" t="e">
        <f ca="1">IF(AND(INDEX(ELM,CU323,4)&gt;=$AB323,INDEX(ELM,CU323,5)&gt;=$S323,INDEX(ELM,CU323,6)&gt;=$R323),1,0)</f>
        <v>#N/A</v>
      </c>
      <c r="CW323" s="4" t="e">
        <f t="shared" ref="CW323" ca="1" si="5559">MATCH(1,OFFSET(CV323:CV334,$W$2,0,COUNT(CV323:CV334)-$W$2),0)</f>
        <v>#REF!</v>
      </c>
      <c r="CX323" s="4" t="e">
        <f t="shared" ref="CX323" ca="1" si="5560">$W$2+CW323</f>
        <v>#REF!</v>
      </c>
      <c r="CY323" s="692" t="str">
        <f ca="1">IFERROR(VLOOKUP(INDEX(CU323:CU334,CX323),ELM,2,FALSE),"----")</f>
        <v>----</v>
      </c>
      <c r="CZ323" s="691" t="e">
        <f ca="1">IF(LEFT($J323,7)="Clad Wo",MATCH($AC323,SPEIW,-1),MATCH($AC323,SPEI,-1))</f>
        <v>#N/A</v>
      </c>
      <c r="DA323" s="4" t="e">
        <f ca="1">IF(LEFT($J323,7)="Clad Wo",IF(AND(INDEX(SPPWS,CZ323,4)&gt;=$AB323,INDEX(SPPWS,CZ323,5)&gt;=$S323,INDEX(SPPWS,CZ323,6)&gt;=$R323),1,0),IF(AND(INDEX(SPM,CZ323,4)&gt;=$AB323,INDEX(SPM,CZ323,5)&gt;=$S323,INDEX(SPM,CZ323,6)&gt;=$R323),1,0))</f>
        <v>#N/A</v>
      </c>
      <c r="DB323" s="4" t="e">
        <f t="shared" ref="DB323" ca="1" si="5561">MATCH(1,OFFSET(DA323:DA334,$W$2,0,COUNT(DA323:DA334)-$W$2),0)</f>
        <v>#REF!</v>
      </c>
      <c r="DC323" s="4" t="e">
        <f t="shared" ref="DC323" ca="1" si="5562">$W$2+DB323</f>
        <v>#REF!</v>
      </c>
      <c r="DD323" s="693" t="str">
        <f ca="1">IF(LEFT($J323,7)="Clad Wo",IFERROR(VLOOKUP(INDEX(CZ323:CZ334,DC323),SPPWS,2,FALSE),"----"),IFERROR(VLOOKUP(INDEX(CZ323:CZ334,DC323),SPM,2,FALSE),"----"))</f>
        <v>----</v>
      </c>
      <c r="DE323" s="691" t="e">
        <f ca="1">MATCH(AC329,INDIRECT(BX323),-1)</f>
        <v>#REF!</v>
      </c>
      <c r="DF323" s="4" t="e" cm="1">
        <f t="array" aca="1" ref="DF323" ca="1">IF(AND(INDEX(INDIRECT(BY323),DE323,4)&gt;=$AB329,INDEX(INDIRECT(BY323),DE323,5)&gt;=$S323,INDEX(INDIRECT(BY323),DE323,6)&gt;=$R323),1,0)</f>
        <v>#REF!</v>
      </c>
      <c r="DG323" s="4" t="e">
        <f t="shared" ref="DG323" ca="1" si="5563">MATCH(1,OFFSET(DF323:DF334,$W$2,0,COUNT(DF323:DF334)-$W$2),0)</f>
        <v>#REF!</v>
      </c>
      <c r="DH323" s="4" t="e">
        <f t="shared" ref="DH323" ca="1" si="5564">$W$2+DG323</f>
        <v>#REF!</v>
      </c>
      <c r="DI323" s="692" t="str" cm="1">
        <f t="array" aca="1" ref="DI323" ca="1">IFERROR(VLOOKUP(INDEX(DE323:DE334,DH323),INDIRECT(BY323),2,FALSE),"----")</f>
        <v>----</v>
      </c>
      <c r="DJ323" s="691" t="e">
        <f ca="1">MATCH($AC329,SSEI,-1)</f>
        <v>#N/A</v>
      </c>
      <c r="DK323" s="4" t="e">
        <f ca="1">IF(AND(INDEX(SSM,DJ323,4)&gt;=$AB329,INDEX(SSM,DJ323,5)&gt;=$S323,INDEX(SSM,DJ323,6)&gt;=$R323),1,0)</f>
        <v>#N/A</v>
      </c>
      <c r="DL323" s="4" t="e">
        <f t="shared" ref="DL323" ca="1" si="5565">MATCH(1,OFFSET(DK323:DK334,$W$2,0,COUNT(DK323:DK334)-$W$2),0)</f>
        <v>#REF!</v>
      </c>
      <c r="DM323" s="4" t="e">
        <f t="shared" ref="DM323" ca="1" si="5566">$W$2+DL323</f>
        <v>#REF!</v>
      </c>
      <c r="DN323" s="692" t="str">
        <f ca="1">IFERROR(IF(AD330="Nested Steel Stud (wood infill)",VLOOKUP(INDEX(DJ323:DJ334,DM323),SSW,2,FALSE),VLOOKUP(INDEX(DJ323:DJ334,DM323),SSM,2,FALSE)),"----")</f>
        <v>----</v>
      </c>
      <c r="DO323" s="691" t="e">
        <f ca="1">MATCH($AC329,WSEI,-1)</f>
        <v>#N/A</v>
      </c>
      <c r="DP323" s="4" t="e">
        <f ca="1">IF(AND(INDEX(WSM,DO323,4)&gt;=$AB329,INDEX(WSM,DO323,5)&gt;=$S323,INDEX(WSM,DO323,6)&gt;=$R323),1,0)</f>
        <v>#N/A</v>
      </c>
      <c r="DQ323" s="4" t="e">
        <f t="shared" ref="DQ323" ca="1" si="5567">MATCH(1,OFFSET(DP323:DP334,$W$2,0,COUNT(DP323:DP334)-$W$2),0)</f>
        <v>#REF!</v>
      </c>
      <c r="DR323" s="4" t="e">
        <f t="shared" ref="DR323" ca="1" si="5568">$W$2+DQ323</f>
        <v>#REF!</v>
      </c>
      <c r="DS323" s="692" t="str">
        <f ca="1">IFERROR(VLOOKUP(INDEX(DO323:DO334,DR323),WSM,2,FALSE),"----")</f>
        <v>----</v>
      </c>
      <c r="DT323" s="691" t="e">
        <f ca="1">MATCH($AC329,STEI,-1)</f>
        <v>#N/A</v>
      </c>
      <c r="DU323" s="4" t="e">
        <f ca="1">IF(AND(INDEX(STM,DT323,4)&gt;=$AB329,INDEX(STM,DT323,5)&gt;=$S323,INDEX(STM,DT323,6)&gt;=$R323),1,0)</f>
        <v>#N/A</v>
      </c>
      <c r="DV323" s="4" t="e">
        <f t="shared" ref="DV323" ca="1" si="5569">MATCH(1,OFFSET(DU323:DU334,$W$2,0,COUNT(DU323:DU334)-$W$2),0)</f>
        <v>#REF!</v>
      </c>
      <c r="DW323" s="4" t="e">
        <f t="shared" ref="DW323" ca="1" si="5570">$W$2+DV323</f>
        <v>#REF!</v>
      </c>
      <c r="DX323" s="692" t="str">
        <f ca="1">IFERROR(VLOOKUP(INDEX(DT323:DT334,DW323),STM,2,FALSE),"----")</f>
        <v>----</v>
      </c>
      <c r="DY323" s="691" t="e">
        <f ca="1">MATCH($AC329,ELEI,-1)</f>
        <v>#N/A</v>
      </c>
      <c r="DZ323" s="4" t="e">
        <f ca="1">IF(AND(INDEX(ELM,DY323,4)&gt;=$AB329,INDEX(ELM,DY323,5)&gt;=$S323,INDEX(ELM,DY323,6)&gt;=$R323),1,0)</f>
        <v>#N/A</v>
      </c>
      <c r="EA323" s="4" t="e">
        <f t="shared" ref="EA323" ca="1" si="5571">MATCH(1,OFFSET(DZ323:DZ334,$W$2,0,COUNT(DZ323:DZ334)-$W$2),0)</f>
        <v>#REF!</v>
      </c>
      <c r="EB323" s="4" t="e">
        <f t="shared" ref="EB323" ca="1" si="5572">EA323+$W$2</f>
        <v>#REF!</v>
      </c>
      <c r="EC323" s="692" t="str">
        <f ca="1">IFERROR(VLOOKUP(INDEX(DY323:DY334,EB323),ELM,2,FALSE),"----")</f>
        <v>----</v>
      </c>
      <c r="ED323" s="691" t="e">
        <f ca="1">IF(LEFT($J323,7)="Clad Wo",MATCH($AC329,SPEIW,-1),MATCH($AC329,SPEI,-1))</f>
        <v>#N/A</v>
      </c>
      <c r="EE323" s="4" t="e">
        <f ca="1">IF(LEFT($J323,7)="Clad Wo",IF(AND(INDEX(SPPWS,ED323,4)&gt;=$AB329,INDEX(SPPWS,ED323,5)&gt;=$S323,INDEX(SPPWS,ED323,6)&gt;=$R323),1,0),IF(AND(INDEX(SPM,ED323,4)&gt;=$AB329,INDEX(SPM,ED323,5)&gt;=$S323,INDEX(SPM,ED323,6)&gt;=$R323),1,0))</f>
        <v>#N/A</v>
      </c>
      <c r="EF323" s="4" t="e">
        <f t="shared" ref="EF323" ca="1" si="5573">MATCH(1,OFFSET(EE323:EE334,$W$2,0,COUNT(EE323:EE334)-$W$2),0)</f>
        <v>#REF!</v>
      </c>
      <c r="EG323" s="4" t="e">
        <f t="shared" ref="EG323" ca="1" si="5574">$W$2+EF323</f>
        <v>#REF!</v>
      </c>
      <c r="EH323" s="692" t="str">
        <f ca="1">IF(LEFT($J323,7)="Clad Wo",IFERROR(VLOOKUP(INDEX(ED323:ED334,EG323),SPPWS,2,FALSE),"----"),IFERROR(VLOOKUP(INDEX(ED323:ED334,EG323),SPM,2,FALSE),"----"))</f>
        <v>----</v>
      </c>
    </row>
    <row r="324" spans="1:138" ht="15" customHeight="1" x14ac:dyDescent="0.25">
      <c r="A324" s="1085"/>
      <c r="B324" s="925"/>
      <c r="C324" s="926"/>
      <c r="D324" s="927"/>
      <c r="E324" s="995"/>
      <c r="F324" s="996"/>
      <c r="G324" s="997"/>
      <c r="H324" s="1062"/>
      <c r="I324" s="990"/>
      <c r="J324" s="908"/>
      <c r="K324" s="909"/>
      <c r="L324" s="1002"/>
      <c r="M324" s="923"/>
      <c r="N324" s="1042"/>
      <c r="O324" s="1018"/>
      <c r="P324" s="987"/>
      <c r="Q324" s="1015"/>
      <c r="R324" s="1012"/>
      <c r="S324" s="1006"/>
      <c r="T324" s="1007"/>
      <c r="U324" s="878"/>
      <c r="V324" s="881"/>
      <c r="W324" s="884"/>
      <c r="X324" s="884"/>
      <c r="Y324" s="887"/>
      <c r="Z324" s="887"/>
      <c r="AA324" s="887"/>
      <c r="AB324" s="1081"/>
      <c r="AC324" s="1078"/>
      <c r="AD324" s="1102" t="s">
        <v>38</v>
      </c>
      <c r="AE324" s="1103"/>
      <c r="AF324" s="1052"/>
      <c r="AG324" s="1053"/>
      <c r="AH324" s="1053"/>
      <c r="AI324" s="1066"/>
      <c r="AJ324" s="1067"/>
      <c r="AK324" s="156" t="str">
        <f t="shared" ca="1" si="4947"/>
        <v/>
      </c>
      <c r="AL324" s="1039"/>
      <c r="AM324" s="343" t="str">
        <f ca="1">IFERROR(Q323/12*ROUND(VLOOKUP(AF324,OFFSET(SSM,0,1),6,FALSE),2),"")</f>
        <v/>
      </c>
      <c r="AN324" t="str">
        <f t="shared" ca="1" si="4971"/>
        <v/>
      </c>
      <c r="AP324" s="122" t="str">
        <f t="shared" ref="AP324" si="5575">_xlfn.CONCAT(AR324,AS328)</f>
        <v/>
      </c>
      <c r="AQ324" s="683" t="str">
        <f t="shared" si="5170"/>
        <v/>
      </c>
      <c r="AR324" s="96" t="str">
        <f t="shared" si="4931"/>
        <v/>
      </c>
      <c r="AS324" s="96" t="str">
        <f>IF(COUNTIF(Vista_1,AF323)=1,"Vista_1",IF(COUNTIF(Vista_2,AF323)=1,"Vista_2",""))</f>
        <v/>
      </c>
      <c r="AT324" s="684" t="str">
        <f>AL323</f>
        <v/>
      </c>
      <c r="AU324" s="694" t="e">
        <f t="shared" ref="AU324" ca="1" si="5576">AU323-1</f>
        <v>#REF!</v>
      </c>
      <c r="AV324" s="686" t="str">
        <f ca="1">IFERROR(VLOOKUP(AU324,INDIRECT(AQ323),2,FALSE),"----")</f>
        <v>----</v>
      </c>
      <c r="AW324" s="694" t="e">
        <f t="shared" ref="AW324:AW325" ca="1" si="5577">AW323-1</f>
        <v>#REF!</v>
      </c>
      <c r="AX324" s="686" t="str">
        <f ca="1">IFERROR(VLOOKUP(AW324,INDIRECT(AQ324),2,FALSE),"----")</f>
        <v>----</v>
      </c>
      <c r="AY324" s="694" t="e">
        <f t="shared" ref="AY324:AY325" ca="1" si="5578">AY323-1</f>
        <v>#REF!</v>
      </c>
      <c r="AZ324" s="686" t="str">
        <f ca="1">IFERROR(VLOOKUP(AY324,INDIRECT(AQ325),2,FALSE),"----")</f>
        <v>----</v>
      </c>
      <c r="BA324" s="694" t="e">
        <f t="shared" ref="BA324:BA325" ca="1" si="5579">BA323-1</f>
        <v>#REF!</v>
      </c>
      <c r="BB324" s="686" t="str">
        <f ca="1">IFERROR(VLOOKUP(BA324,INDIRECT(AQ326),2,FALSE),"----")</f>
        <v>----</v>
      </c>
      <c r="BC324" s="694" t="e">
        <f t="shared" ref="BC324:BC325" ca="1" si="5580">BC323-1</f>
        <v>#REF!</v>
      </c>
      <c r="BD324" s="686" t="str">
        <f ca="1">IFERROR(VLOOKUP(BC324,INDIRECT(AQ327),2,FALSE),"----")</f>
        <v>----</v>
      </c>
      <c r="BE324" s="694" t="e">
        <f t="shared" ref="BE324" ca="1" si="5581">BE323-1</f>
        <v>#REF!</v>
      </c>
      <c r="BF324" s="686" t="str">
        <f ca="1">IFERROR(VLOOKUP(BE324,INDIRECT(AQ328),2,FALSE),"----")</f>
        <v>----</v>
      </c>
      <c r="BG324" s="694" t="e">
        <f t="shared" ref="BG324" ca="1" si="5582">BG323-1</f>
        <v>#REF!</v>
      </c>
      <c r="BH324" s="686" t="str">
        <f ca="1">IFERROR(VLOOKUP(BG324,INDIRECT(AQ329),2,FALSE),"----")</f>
        <v>----</v>
      </c>
      <c r="BI324" s="694" t="e">
        <f t="shared" ref="BI324:BI325" ca="1" si="5583">BI323-1</f>
        <v>#REF!</v>
      </c>
      <c r="BJ324" s="686" t="str">
        <f ca="1">IFERROR(VLOOKUP(BI324,INDIRECT(AQ330),2,FALSE),"----")</f>
        <v>----</v>
      </c>
      <c r="BK324" s="694" t="e">
        <f t="shared" ref="BK324:BK325" ca="1" si="5584">BK323-1</f>
        <v>#REF!</v>
      </c>
      <c r="BL324" s="686" t="str">
        <f ca="1">IFERROR(VLOOKUP(BK324,INDIRECT(AQ331),2,FALSE),"----")</f>
        <v>----</v>
      </c>
      <c r="BM324" s="694" t="e">
        <f t="shared" ref="BM324:BM325" ca="1" si="5585">BM323-1</f>
        <v>#REF!</v>
      </c>
      <c r="BN324" s="686" t="str">
        <f ca="1">IFERROR(VLOOKUP(BM324,INDIRECT(AQ332),2,FALSE),"----")</f>
        <v>----</v>
      </c>
      <c r="BO324" s="694" t="e">
        <f t="shared" ref="BO324:BO325" ca="1" si="5586">BO323-1</f>
        <v>#REF!</v>
      </c>
      <c r="BP324" s="686" t="str">
        <f ca="1">IFERROR(VLOOKUP(BO324,INDIRECT(AQ333),2,FALSE),"----")</f>
        <v>----</v>
      </c>
      <c r="BQ324" s="694" t="e">
        <f t="shared" ref="BQ324" ca="1" si="5587">BQ323-1</f>
        <v>#REF!</v>
      </c>
      <c r="BR324" s="686" t="str">
        <f ca="1">IFERROR(VLOOKUP(BQ324,INDIRECT(AQ334),2,FALSE),"----")</f>
        <v>----</v>
      </c>
      <c r="BS324" s="695">
        <f>IF(AI324="",1,IF(COUNTIF(AX323:AX334,AI324)=0,2,1))</f>
        <v>1</v>
      </c>
      <c r="BT324" s="696">
        <f>IF(AF324="",1,IF(AX323=".",2,1))</f>
        <v>1</v>
      </c>
      <c r="BU324" s="706"/>
      <c r="BV324" s="155">
        <f ca="1">IF(COUNTIF(CJ323:CJ334,AF324)=0,IF(AF324&lt;&gt;"",0,1),1)</f>
        <v>1</v>
      </c>
      <c r="BW324" s="157">
        <f ca="1">IFERROR(MATCH(AF324,CJ323:CJ334,0),1)</f>
        <v>1</v>
      </c>
      <c r="BX324" s="769"/>
      <c r="BY324" s="769"/>
      <c r="BZ324" s="1110"/>
      <c r="CA324" s="691" t="e">
        <f t="shared" ref="CA324:CA334" ca="1" si="5588">CA323-1</f>
        <v>#REF!</v>
      </c>
      <c r="CB324" s="4" t="e" cm="1">
        <f t="array" aca="1" ref="CB324" ca="1">IF(AND(INDEX(INDIRECT(BY323),CA324,4)&gt;=$AB323,INDEX(INDIRECT(BY323),CA324,5)&gt;=$S323,INDEX(INDIRECT(BY323),CA324,6)&gt;=$R323),1,0)</f>
        <v>#REF!</v>
      </c>
      <c r="CC324" s="4" t="e">
        <f t="shared" ref="CC324" ca="1" si="5589">MATCH(1,OFFSET(CB323:CB334,CD323,0,COUNT(CB323:CB334)-CD323),0)</f>
        <v>#REF!</v>
      </c>
      <c r="CD324" s="4" t="e">
        <f t="shared" ref="CD324:CD334" ca="1" si="5590">CD323+CC324</f>
        <v>#REF!</v>
      </c>
      <c r="CE324" s="692" t="str" cm="1">
        <f t="array" aca="1" ref="CE324" ca="1">IFERROR(VLOOKUP(INDEX(CA323:CA334,CD324),INDIRECT(BY323),2,FALSE),"----")</f>
        <v>----</v>
      </c>
      <c r="CF324" s="691" t="e">
        <f t="shared" ref="CF324:CF334" ca="1" si="5591">CF323-1</f>
        <v>#N/A</v>
      </c>
      <c r="CG324" s="4" t="e">
        <f ca="1">IF(AND(INDEX(SSM,CF324,4)&gt;=$AB323,INDEX(SSM,CF324,5)&gt;=$S323,INDEX(SSM,CF324,6)&gt;=$R323),1,0)</f>
        <v>#N/A</v>
      </c>
      <c r="CH324" s="4" t="e">
        <f t="shared" ref="CH324" ca="1" si="5592">MATCH(1,OFFSET(CG323:CG334,CI323,0,COUNT(CG323:CG334)-CI323),0)</f>
        <v>#REF!</v>
      </c>
      <c r="CI324" s="4" t="e">
        <f t="shared" ref="CI324:CI334" ca="1" si="5593">CI323+CH324</f>
        <v>#REF!</v>
      </c>
      <c r="CJ324" s="692" t="str">
        <f ca="1">IFERROR(IF(AD324="Nested Steel Stud (wood infill)",VLOOKUP(INDEX(CF323:CF334,CI324),SSW,2,FALSE),VLOOKUP(INDEX(CF323:CF334,CI324),SSM,2,FALSE)),"----")</f>
        <v>----</v>
      </c>
      <c r="CK324" s="691" t="e">
        <f t="shared" ref="CK324:CK334" ca="1" si="5594">CK323-1</f>
        <v>#N/A</v>
      </c>
      <c r="CL324" s="4" t="e">
        <f ca="1">IF(AND(INDEX(WSM,CK324,4)&gt;=$AB323,INDEX(WSM,CK324,5)&gt;=$S323,INDEX(WSM,CK324,6)&gt;=$R323),1,0)</f>
        <v>#N/A</v>
      </c>
      <c r="CM324" s="4" t="e">
        <f t="shared" ref="CM324" ca="1" si="5595">MATCH(1,OFFSET(CL323:CL334,CN323,0,COUNT(CL323:CL334)-CN323),0)</f>
        <v>#REF!</v>
      </c>
      <c r="CN324" s="4" t="e">
        <f t="shared" ref="CN324:CN334" ca="1" si="5596">CM324+CN323</f>
        <v>#REF!</v>
      </c>
      <c r="CO324" s="692" t="str">
        <f ca="1">IFERROR(VLOOKUP(INDEX(CK323:CK334,CN324),WSM,2,FALSE),"----")</f>
        <v>----</v>
      </c>
      <c r="CP324" s="691" t="e">
        <f t="shared" ref="CP324:CP334" ca="1" si="5597">CP323-1</f>
        <v>#N/A</v>
      </c>
      <c r="CQ324" s="4" t="e">
        <f ca="1">IF(AND(INDEX(STM,CP324,4)&gt;=$AB323,INDEX(STM,CP324,5)&gt;=$S323,INDEX(STM,CP324,6)&gt;=$R323),1,0)</f>
        <v>#N/A</v>
      </c>
      <c r="CR324" s="4" t="e">
        <f t="shared" ref="CR324" ca="1" si="5598">MATCH(1,OFFSET(CQ323:CQ334,CS323,0,COUNT(CQ323:CQ334)-CS323),0)</f>
        <v>#REF!</v>
      </c>
      <c r="CS324" s="4" t="e">
        <f t="shared" ref="CS324:CS334" ca="1" si="5599">CR324+CS323</f>
        <v>#REF!</v>
      </c>
      <c r="CT324" s="692" t="str">
        <f ca="1">IFERROR(VLOOKUP(INDEX(CP323:CP334,CS324),STM,2,FALSE),"----")</f>
        <v>----</v>
      </c>
      <c r="CU324" s="691" t="e">
        <f t="shared" ref="CU324:CU334" ca="1" si="5600">CU323-1</f>
        <v>#N/A</v>
      </c>
      <c r="CV324" s="4" t="e">
        <f ca="1">IF(AND(INDEX(ELM,CU324,4)&gt;=$AB323,INDEX(ELM,CU324,5)&gt;=$S323,INDEX(ELM,CU324,6)&gt;=$R323),1,0)</f>
        <v>#N/A</v>
      </c>
      <c r="CW324" s="4" t="e">
        <f t="shared" ref="CW324" ca="1" si="5601">MATCH(1,OFFSET(CV323:CV334,CX323,0,COUNT(CV323:CV334)-CX323),0)</f>
        <v>#REF!</v>
      </c>
      <c r="CX324" s="4" t="e">
        <f t="shared" ref="CX324:CX334" ca="1" si="5602">CW324+CX323</f>
        <v>#REF!</v>
      </c>
      <c r="CY324" s="692" t="str">
        <f ca="1">IFERROR(VLOOKUP(INDEX(CU323:CU334,CX324),ELM,2,FALSE),"----")</f>
        <v>----</v>
      </c>
      <c r="CZ324" s="691" t="e">
        <f t="shared" ref="CZ324:CZ334" ca="1" si="5603">CZ323-1</f>
        <v>#N/A</v>
      </c>
      <c r="DA324" s="4" t="e">
        <f ca="1">IF(LEFT($J323,7)="Clad Wo",IF(AND(INDEX(SPPWS,CZ324,4)&gt;=$AB323,INDEX(SPPWS,CZ324,5)&gt;=$S323,INDEX(SPPWS,CZ324,6)&gt;=$R323),1,0),IF(AND(INDEX(SPM,CZ324,4)&gt;=$AB323,INDEX(SPM,CZ324,5)&gt;=$S323,INDEX(SPM,CZ324,6)&gt;=$R323),1,0))</f>
        <v>#N/A</v>
      </c>
      <c r="DB324" s="4" t="e">
        <f t="shared" ref="DB324" ca="1" si="5604">MATCH(1,OFFSET(DA323:DA334,DC323,0,COUNT(DA323:DA334)-DC323),0)</f>
        <v>#REF!</v>
      </c>
      <c r="DC324" s="4" t="e">
        <f t="shared" ref="DC324:DC334" ca="1" si="5605">DC323+DB324</f>
        <v>#REF!</v>
      </c>
      <c r="DD324" s="693" t="str">
        <f ca="1">IF(LEFT($J323,7)="Clad Wo",IFERROR(VLOOKUP(INDEX(CZ323:CZ334,DC324),SPPWS,2,FALSE),"----"),IFERROR(VLOOKUP(INDEX(CZ323:CZ334,DC324),SPM,2,FALSE),"----"))</f>
        <v>----</v>
      </c>
      <c r="DE324" s="691" t="e">
        <f t="shared" ref="DE324:DE334" ca="1" si="5606">DE323-1</f>
        <v>#REF!</v>
      </c>
      <c r="DF324" s="4" t="e" cm="1">
        <f t="array" aca="1" ref="DF324" ca="1">IF(AND(INDEX(INDIRECT(BY323),DE324,4)&gt;=$AB329,INDEX(INDIRECT(BY323),DE324,5)&gt;=$S323,INDEX(INDIRECT(BY323),DE324,6)&gt;=$R323),1,0)</f>
        <v>#REF!</v>
      </c>
      <c r="DG324" s="4" t="e">
        <f t="shared" ref="DG324" ca="1" si="5607">MATCH(1,OFFSET(DF323:DF334,DH323,0,COUNT(DF323:DF334)-DH323),0)</f>
        <v>#REF!</v>
      </c>
      <c r="DH324" s="4" t="e">
        <f t="shared" ref="DH324:DH334" ca="1" si="5608">DH323+DG324</f>
        <v>#REF!</v>
      </c>
      <c r="DI324" s="692" t="str" cm="1">
        <f t="array" aca="1" ref="DI324" ca="1">IFERROR(VLOOKUP(INDEX(DE323:DE334,DH324),INDIRECT(BY323),2,FALSE),"----")</f>
        <v>----</v>
      </c>
      <c r="DJ324" s="691" t="e">
        <f t="shared" ref="DJ324:DJ334" ca="1" si="5609">DJ323-1</f>
        <v>#N/A</v>
      </c>
      <c r="DK324" s="4" t="e">
        <f ca="1">IF(AND(INDEX(SSM,DJ324,4)&gt;=$AB329,INDEX(SSM,DJ324,5)&gt;=$S323,INDEX(SSM,DJ324,6)&gt;=$R323),1,0)</f>
        <v>#N/A</v>
      </c>
      <c r="DL324" s="4" t="e">
        <f t="shared" ref="DL324" ca="1" si="5610">MATCH(1,OFFSET(DK323:DK334,DM323,0,COUNT(DK323:DK334)-DM323),0)</f>
        <v>#REF!</v>
      </c>
      <c r="DM324" s="4" t="e">
        <f t="shared" ref="DM324:DM334" ca="1" si="5611">DL324+DM323</f>
        <v>#REF!</v>
      </c>
      <c r="DN324" s="692" t="str">
        <f ca="1">IFERROR(IF(AD330="Nested Steel Stud (wood infill)",VLOOKUP(INDEX(DJ323:DJ334,DM324),SSW,2,FALSE),VLOOKUP(INDEX(DJ323:DJ334,DM324),SSM,2,FALSE)),"----")</f>
        <v>----</v>
      </c>
      <c r="DO324" s="691" t="e">
        <f t="shared" ref="DO324:DO334" ca="1" si="5612">DO323-1</f>
        <v>#N/A</v>
      </c>
      <c r="DP324" s="4" t="e">
        <f ca="1">IF(AND(INDEX(WSM,DO324,4)&gt;=$AB329,INDEX(WSM,DO324,5)&gt;=$S323,INDEX(WSM,DO324,6)&gt;=$R323),1,0)</f>
        <v>#N/A</v>
      </c>
      <c r="DQ324" s="4" t="e">
        <f t="shared" ref="DQ324" ca="1" si="5613">MATCH(1,OFFSET(DP323:DP334,DR323,0,COUNT(DP323:DP334)-DR323),0)</f>
        <v>#REF!</v>
      </c>
      <c r="DR324" s="4" t="e">
        <f t="shared" ref="DR324:DR334" ca="1" si="5614">DQ324+DR323</f>
        <v>#REF!</v>
      </c>
      <c r="DS324" s="692" t="str">
        <f ca="1">IFERROR(VLOOKUP(INDEX(DO323:DO334,DR324),WSM,2,FALSE),"----")</f>
        <v>----</v>
      </c>
      <c r="DT324" s="691" t="e">
        <f t="shared" ref="DT324:DT334" ca="1" si="5615">DT323-1</f>
        <v>#N/A</v>
      </c>
      <c r="DU324" s="4" t="e">
        <f ca="1">IF(AND(INDEX(STM,DT324,4)&gt;=$AB329,INDEX(STM,DT324,5)&gt;=$S323,INDEX(STM,DT324,6)&gt;=$R323),1,0)</f>
        <v>#N/A</v>
      </c>
      <c r="DV324" s="4" t="e">
        <f t="shared" ref="DV324" ca="1" si="5616">MATCH(1,OFFSET(DU323:DU334,DW323,0,COUNT(DU323:DU334)-DW323),0)</f>
        <v>#REF!</v>
      </c>
      <c r="DW324" s="4" t="e">
        <f t="shared" ref="DW324:DW334" ca="1" si="5617">DV324+DW323</f>
        <v>#REF!</v>
      </c>
      <c r="DX324" s="692" t="str">
        <f ca="1">IFERROR(VLOOKUP(INDEX(DT323:DT334,DW324),STM,2,FALSE),"----")</f>
        <v>----</v>
      </c>
      <c r="DY324" s="691" t="e">
        <f t="shared" ref="DY324:DY334" ca="1" si="5618">DY323-1</f>
        <v>#N/A</v>
      </c>
      <c r="DZ324" s="4" t="e">
        <f ca="1">IF(AND(INDEX(ELM,DY324,4)&gt;=$AB329,INDEX(ELM,DY324,5)&gt;=$S323,INDEX(ELM,DY324,6)&gt;=$R323),1,0)</f>
        <v>#N/A</v>
      </c>
      <c r="EA324" s="4" t="e">
        <f t="shared" ref="EA324" ca="1" si="5619">MATCH(1,OFFSET(DZ323:DZ334,EB323,0,COUNT(DZ323:DZ334)-EB323),0)</f>
        <v>#REF!</v>
      </c>
      <c r="EB324" s="4" t="e">
        <f t="shared" ref="EB324:EB334" ca="1" si="5620">EA324+EB323</f>
        <v>#REF!</v>
      </c>
      <c r="EC324" s="692" t="str">
        <f ca="1">IFERROR(VLOOKUP(INDEX(DY323:DY334,EB324),ELM,2,FALSE),"----")</f>
        <v>----</v>
      </c>
      <c r="ED324" s="691" t="e">
        <f t="shared" ref="ED324:ED334" ca="1" si="5621">ED323-1</f>
        <v>#N/A</v>
      </c>
      <c r="EE324" s="4" t="e">
        <f ca="1">IF(LEFT($J323,7)="Clad Wo",IF(AND(INDEX(SPPWS,ED324,4)&gt;=$AB329,INDEX(SPPWS,ED324,5)&gt;=$S323,INDEX(SPPWS,ED324,6)&gt;=$R323),1,0),IF(AND(INDEX(SPM,ED324,4)&gt;=$AB329,INDEX(SPM,ED324,5)&gt;=$S323,INDEX(SPM,ED324,6)&gt;=$R323),1,0))</f>
        <v>#N/A</v>
      </c>
      <c r="EF324" s="4" t="e">
        <f t="shared" ref="EF324" ca="1" si="5622">MATCH(1,OFFSET(EE323:EE334,EG323,0,COUNT(EE323:EE334)-EG323),0)</f>
        <v>#REF!</v>
      </c>
      <c r="EG324" s="4" t="e">
        <f t="shared" ref="EG324:EG334" ca="1" si="5623">EG323+EF324</f>
        <v>#REF!</v>
      </c>
      <c r="EH324" s="692" t="str">
        <f ca="1">IF(LEFT($J323,7)="Clad Wo",IFERROR(VLOOKUP(INDEX(ED323:ED334,EG324),SPPWS,2,FALSE),"----"),IFERROR(VLOOKUP(INDEX(ED323:ED334,EG324),SPM,2,FALSE),"----"))</f>
        <v>----</v>
      </c>
    </row>
    <row r="325" spans="1:138" ht="15" customHeight="1" x14ac:dyDescent="0.25">
      <c r="A325" s="1085"/>
      <c r="B325" s="925"/>
      <c r="C325" s="926"/>
      <c r="D325" s="927"/>
      <c r="E325" s="995"/>
      <c r="F325" s="996"/>
      <c r="G325" s="997"/>
      <c r="H325" s="1062"/>
      <c r="I325" s="990"/>
      <c r="J325" s="908"/>
      <c r="K325" s="909"/>
      <c r="L325" s="1002"/>
      <c r="M325" s="923"/>
      <c r="N325" s="1042"/>
      <c r="O325" s="1018"/>
      <c r="P325" s="987"/>
      <c r="Q325" s="1015"/>
      <c r="R325" s="1012"/>
      <c r="S325" s="1006"/>
      <c r="T325" s="1007"/>
      <c r="U325" s="878"/>
      <c r="V325" s="881"/>
      <c r="W325" s="884"/>
      <c r="X325" s="884"/>
      <c r="Y325" s="887"/>
      <c r="Z325" s="887"/>
      <c r="AA325" s="887"/>
      <c r="AB325" s="1081"/>
      <c r="AC325" s="1078"/>
      <c r="AD325" s="1070" t="s">
        <v>333</v>
      </c>
      <c r="AE325" s="1071"/>
      <c r="AF325" s="1052"/>
      <c r="AG325" s="1053"/>
      <c r="AH325" s="1053"/>
      <c r="AI325" s="1066"/>
      <c r="AJ325" s="1067"/>
      <c r="AK325" s="154" t="str">
        <f t="shared" ca="1" si="4947"/>
        <v/>
      </c>
      <c r="AL325" s="1039"/>
      <c r="AM325" s="344" t="str">
        <f ca="1">IFERROR(Q323/12*ROUND(VLOOKUP(AF325,OFFSET(WSM,0,1),6,FALSE),2),"")</f>
        <v/>
      </c>
      <c r="AN325" t="str">
        <f t="shared" ca="1" si="4971"/>
        <v/>
      </c>
      <c r="AP325" s="122" t="str">
        <f t="shared" ref="AP325" si="5624">_xlfn.CONCAT(AR325,AS328)</f>
        <v/>
      </c>
      <c r="AQ325" s="683" t="str">
        <f t="shared" si="5170"/>
        <v/>
      </c>
      <c r="AR325" s="4" t="str">
        <f t="shared" si="4931"/>
        <v/>
      </c>
      <c r="AS325" s="4"/>
      <c r="AT325" s="697" t="str">
        <f>AL323</f>
        <v/>
      </c>
      <c r="AU325" s="694" t="e">
        <f t="shared" ca="1" si="5187"/>
        <v>#REF!</v>
      </c>
      <c r="AV325" s="686" t="str">
        <f ca="1">IFERROR(VLOOKUP(AU325,INDIRECT(AQ323),2,FALSE),"----")</f>
        <v>----</v>
      </c>
      <c r="AW325" s="694" t="e">
        <f t="shared" ca="1" si="5577"/>
        <v>#REF!</v>
      </c>
      <c r="AX325" s="686" t="str">
        <f ca="1">IFERROR(VLOOKUP(AW325,INDIRECT(AQ324),2,FALSE),"----")</f>
        <v>----</v>
      </c>
      <c r="AY325" s="694" t="e">
        <f t="shared" ca="1" si="5578"/>
        <v>#REF!</v>
      </c>
      <c r="AZ325" s="686" t="str">
        <f ca="1">IFERROR(VLOOKUP(AY325,INDIRECT(AQ325),2,FALSE),"----")</f>
        <v>----</v>
      </c>
      <c r="BA325" s="694" t="e">
        <f t="shared" ca="1" si="5579"/>
        <v>#REF!</v>
      </c>
      <c r="BB325" s="686" t="str">
        <f ca="1">IFERROR(VLOOKUP(BA325,INDIRECT(AQ326),2,FALSE),"----")</f>
        <v>----</v>
      </c>
      <c r="BC325" s="694" t="e">
        <f t="shared" ca="1" si="5580"/>
        <v>#REF!</v>
      </c>
      <c r="BD325" s="686" t="str">
        <f ca="1">IFERROR(VLOOKUP(BC325,INDIRECT(AQ327),2,FALSE),"----")</f>
        <v>----</v>
      </c>
      <c r="BE325" s="694" t="e">
        <f t="shared" ca="1" si="5192"/>
        <v>#REF!</v>
      </c>
      <c r="BF325" s="686" t="str">
        <f ca="1">IFERROR(VLOOKUP(BE325,INDIRECT(AQ328),2,FALSE),"----")</f>
        <v>----</v>
      </c>
      <c r="BG325" s="694" t="e">
        <f t="shared" ca="1" si="5193"/>
        <v>#REF!</v>
      </c>
      <c r="BH325" s="686" t="str">
        <f ca="1">IFERROR(VLOOKUP(BG325,INDIRECT(AQ329),2,FALSE),"----")</f>
        <v>----</v>
      </c>
      <c r="BI325" s="694" t="e">
        <f t="shared" ca="1" si="5583"/>
        <v>#REF!</v>
      </c>
      <c r="BJ325" s="686" t="str">
        <f ca="1">IFERROR(VLOOKUP(BI325,INDIRECT(AQ330),2,FALSE),"----")</f>
        <v>----</v>
      </c>
      <c r="BK325" s="694" t="e">
        <f t="shared" ca="1" si="5584"/>
        <v>#REF!</v>
      </c>
      <c r="BL325" s="686" t="str">
        <f ca="1">IFERROR(VLOOKUP(BK325,INDIRECT(AQ331),2,FALSE),"----")</f>
        <v>----</v>
      </c>
      <c r="BM325" s="694" t="e">
        <f t="shared" ca="1" si="5585"/>
        <v>#REF!</v>
      </c>
      <c r="BN325" s="686" t="str">
        <f ca="1">IFERROR(VLOOKUP(BM325,INDIRECT(AQ332),2,FALSE),"----")</f>
        <v>----</v>
      </c>
      <c r="BO325" s="694" t="e">
        <f t="shared" ca="1" si="5586"/>
        <v>#REF!</v>
      </c>
      <c r="BP325" s="686" t="str">
        <f ca="1">IFERROR(VLOOKUP(BO325,INDIRECT(AQ333),2,FALSE),"----")</f>
        <v>----</v>
      </c>
      <c r="BQ325" s="694" t="e">
        <f t="shared" ca="1" si="5198"/>
        <v>#REF!</v>
      </c>
      <c r="BR325" s="686" t="str">
        <f ca="1">IFERROR(VLOOKUP(BQ325,INDIRECT(AQ334),2,FALSE),"----")</f>
        <v>----</v>
      </c>
      <c r="BS325" s="695">
        <f>IF(AI325="",1,IF(COUNTIF(AZ323:AZ334,AI325)=0,2,1))</f>
        <v>1</v>
      </c>
      <c r="BT325" s="696">
        <f>IF(AF325="",1,IF(AZ323=".",2,1))</f>
        <v>1</v>
      </c>
      <c r="BU325" s="706"/>
      <c r="BV325" s="155">
        <f ca="1">IF(COUNTIF(CO323:CO334,AF325)=0,IF(AF325&lt;&gt;"",0,1),1)</f>
        <v>1</v>
      </c>
      <c r="BW325" s="157">
        <f ca="1">IFERROR(MATCH(AF325,CO323:CO334,0),1)</f>
        <v>1</v>
      </c>
      <c r="BX325" s="769"/>
      <c r="BY325" s="769"/>
      <c r="BZ325" s="1110"/>
      <c r="CA325" s="691" t="e">
        <f t="shared" ca="1" si="5588"/>
        <v>#REF!</v>
      </c>
      <c r="CB325" s="4" t="e" cm="1">
        <f t="array" aca="1" ref="CB325" ca="1">IF(AND(INDEX(INDIRECT(BY323),CA325,4)&gt;=$AB323,INDEX(INDIRECT(BY323),CA325,5)&gt;=$S323,INDEX(INDIRECT(BY323),CA325,6)&gt;=$R323),1,0)</f>
        <v>#REF!</v>
      </c>
      <c r="CC325" s="4" t="e">
        <f t="shared" ref="CC325" ca="1" si="5625">MATCH(1,OFFSET(CB323:CB334,CD324,0,COUNT(CB323:CB334)-CD324),0)</f>
        <v>#REF!</v>
      </c>
      <c r="CD325" s="4" t="e">
        <f t="shared" ca="1" si="5590"/>
        <v>#REF!</v>
      </c>
      <c r="CE325" s="692" t="str" cm="1">
        <f t="array" aca="1" ref="CE325" ca="1">IFERROR(VLOOKUP(INDEX(CA323:CA334,CD325),INDIRECT(BY323),2,FALSE),"----")</f>
        <v>----</v>
      </c>
      <c r="CF325" s="691" t="e">
        <f t="shared" ca="1" si="5591"/>
        <v>#N/A</v>
      </c>
      <c r="CG325" s="4" t="e">
        <f ca="1">IF(AND(INDEX(SSM,CF325,4)&gt;=$AB323,INDEX(SSM,CF325,5)&gt;=$S323,INDEX(SSM,CF325,6)&gt;=$R323),1,0)</f>
        <v>#N/A</v>
      </c>
      <c r="CH325" s="4" t="e">
        <f t="shared" ref="CH325" ca="1" si="5626">MATCH(1,OFFSET(CG323:CG334,CI324,0,COUNT(CG323:CG334)-CI324),0)</f>
        <v>#REF!</v>
      </c>
      <c r="CI325" s="4" t="e">
        <f t="shared" ca="1" si="5593"/>
        <v>#REF!</v>
      </c>
      <c r="CJ325" s="692" t="str">
        <f ca="1">IFERROR(IF(AD324="Nested Steel Stud (wood infill)",VLOOKUP(INDEX(CF323:CF334,CI325),SSW,2,FALSE),VLOOKUP(INDEX(CF323:CF334,CI325),SSM,2,FALSE)),"----")</f>
        <v>----</v>
      </c>
      <c r="CK325" s="691" t="e">
        <f t="shared" ca="1" si="5594"/>
        <v>#N/A</v>
      </c>
      <c r="CL325" s="4" t="e">
        <f ca="1">IF(AND(INDEX(WSM,CK325,4)&gt;=$AB323,INDEX(WSM,CK325,5)&gt;=$S323,INDEX(WSM,CK325,6)&gt;=$R323),1,0)</f>
        <v>#N/A</v>
      </c>
      <c r="CM325" s="4" t="e">
        <f t="shared" ref="CM325" ca="1" si="5627">MATCH(1,OFFSET(CL323:CL334,CN324,0,COUNT(CL323:CL334)-CN324),0)</f>
        <v>#REF!</v>
      </c>
      <c r="CN325" s="4" t="e">
        <f t="shared" ca="1" si="5596"/>
        <v>#REF!</v>
      </c>
      <c r="CO325" s="692" t="str">
        <f ca="1">IFERROR(VLOOKUP(INDEX(CK323:CK334,CN325),WSM,2,FALSE),"----")</f>
        <v>----</v>
      </c>
      <c r="CP325" s="691" t="e">
        <f t="shared" ca="1" si="5597"/>
        <v>#N/A</v>
      </c>
      <c r="CQ325" s="4" t="e">
        <f ca="1">IF(AND(INDEX(STM,CP325,4)&gt;=$AB323,INDEX(STM,CP325,5)&gt;=$S323,INDEX(STM,CP325,6)&gt;=$R323),1,0)</f>
        <v>#N/A</v>
      </c>
      <c r="CR325" s="4" t="e">
        <f t="shared" ref="CR325" ca="1" si="5628">MATCH(1,OFFSET(CQ323:CQ334,CS324,0,COUNT(CQ323:CQ334)-CS324),0)</f>
        <v>#REF!</v>
      </c>
      <c r="CS325" s="4" t="e">
        <f t="shared" ca="1" si="5599"/>
        <v>#REF!</v>
      </c>
      <c r="CT325" s="692" t="str">
        <f ca="1">IFERROR(VLOOKUP(INDEX(CP323:CP334,CS325),STM,2,FALSE),"----")</f>
        <v>----</v>
      </c>
      <c r="CU325" s="691" t="e">
        <f t="shared" ca="1" si="5600"/>
        <v>#N/A</v>
      </c>
      <c r="CV325" s="4" t="e">
        <f ca="1">IF(AND(INDEX(ELM,CU325,4)&gt;=$AB323,INDEX(ELM,CU325,5)&gt;=$S323,INDEX(ELM,CU325,6)&gt;=$R323),1,0)</f>
        <v>#N/A</v>
      </c>
      <c r="CW325" s="4" t="e">
        <f t="shared" ref="CW325" ca="1" si="5629">MATCH(1,OFFSET(CV323:CV334,CX324,0,COUNT(CV323:CV334)-CX324),0)</f>
        <v>#REF!</v>
      </c>
      <c r="CX325" s="4" t="e">
        <f t="shared" ca="1" si="5602"/>
        <v>#REF!</v>
      </c>
      <c r="CY325" s="692" t="str">
        <f ca="1">IFERROR(VLOOKUP(INDEX(CU323:CU334,CX325),ELM,2,FALSE),"----")</f>
        <v>----</v>
      </c>
      <c r="CZ325" s="691" t="e">
        <f t="shared" ca="1" si="5603"/>
        <v>#N/A</v>
      </c>
      <c r="DA325" s="4" t="e">
        <f ca="1">IF(LEFT($J323,7)="Clad Wo",IF(AND(INDEX(SPPWS,CZ325,4)&gt;=$AB323,INDEX(SPPWS,CZ325,5)&gt;=$S323,INDEX(SPPWS,CZ325,6)&gt;=$R323),1,0),IF(AND(INDEX(SPM,CZ325,4)&gt;=$AB323,INDEX(SPM,CZ325,5)&gt;=$S323,INDEX(SPM,CZ325,6)&gt;=$R323),1,0))</f>
        <v>#N/A</v>
      </c>
      <c r="DB325" s="4" t="e">
        <f t="shared" ref="DB325" ca="1" si="5630">MATCH(1,OFFSET(DA323:DA334,DC324,0,COUNT(DA323:DA334)-DC324),0)</f>
        <v>#REF!</v>
      </c>
      <c r="DC325" s="4" t="e">
        <f t="shared" ca="1" si="5605"/>
        <v>#REF!</v>
      </c>
      <c r="DD325" s="693" t="str">
        <f ca="1">IF(LEFT($J323,7)="Clad Wo",IFERROR(VLOOKUP(INDEX(CZ323:CZ334,DC325),SPPWS,2,FALSE),"----"),IFERROR(VLOOKUP(INDEX(CZ323:CZ334,DC325),SPM,2,FALSE),"----"))</f>
        <v>----</v>
      </c>
      <c r="DE325" s="691" t="e">
        <f t="shared" ca="1" si="5606"/>
        <v>#REF!</v>
      </c>
      <c r="DF325" s="4" t="e" cm="1">
        <f t="array" aca="1" ref="DF325" ca="1">IF(AND(INDEX(INDIRECT(BY323),DE325,4)&gt;=$AB329,INDEX(INDIRECT(BY323),DE325,5)&gt;=$S323,INDEX(INDIRECT(BY323),DE325,6)&gt;=$R323),1,0)</f>
        <v>#REF!</v>
      </c>
      <c r="DG325" s="4" t="e">
        <f t="shared" ref="DG325" ca="1" si="5631">MATCH(1,OFFSET(DF323:DF334,DH324,0,COUNT(DF323:DF334)-DH324),0)</f>
        <v>#REF!</v>
      </c>
      <c r="DH325" s="4" t="e">
        <f t="shared" ca="1" si="5608"/>
        <v>#REF!</v>
      </c>
      <c r="DI325" s="692" t="str" cm="1">
        <f t="array" aca="1" ref="DI325" ca="1">IFERROR(VLOOKUP(INDEX(DE323:DE334,DH325),INDIRECT(BY323),2,FALSE),"----")</f>
        <v>----</v>
      </c>
      <c r="DJ325" s="691" t="e">
        <f t="shared" ca="1" si="5609"/>
        <v>#N/A</v>
      </c>
      <c r="DK325" s="4" t="e">
        <f ca="1">IF(AND(INDEX(SSM,DJ325,4)&gt;=$AB329,INDEX(SSM,DJ325,5)&gt;=$S323,INDEX(SSM,DJ325,6)&gt;=$R323),1,0)</f>
        <v>#N/A</v>
      </c>
      <c r="DL325" s="4" t="e">
        <f t="shared" ref="DL325" ca="1" si="5632">MATCH(1,OFFSET(DK323:DK334,DM324,0,COUNT(DK323:DK334)-DM324),0)</f>
        <v>#REF!</v>
      </c>
      <c r="DM325" s="4" t="e">
        <f t="shared" ca="1" si="5611"/>
        <v>#REF!</v>
      </c>
      <c r="DN325" s="692" t="str">
        <f ca="1">IFERROR(IF(AD330="Nested Steel Stud (wood infill)",VLOOKUP(INDEX(DJ323:DJ334,DM325),SSW,2,FALSE),VLOOKUP(INDEX(DJ323:DJ334,DM325),SSM,2,FALSE)),"----")</f>
        <v>----</v>
      </c>
      <c r="DO325" s="691" t="e">
        <f t="shared" ca="1" si="5612"/>
        <v>#N/A</v>
      </c>
      <c r="DP325" s="4" t="e">
        <f ca="1">IF(AND(INDEX(WSM,DO325,4)&gt;=$AB329,INDEX(WSM,DO325,5)&gt;=$S323,INDEX(WSM,DO325,6)&gt;=$R323),1,0)</f>
        <v>#N/A</v>
      </c>
      <c r="DQ325" s="4" t="e">
        <f t="shared" ref="DQ325" ca="1" si="5633">MATCH(1,OFFSET(DP323:DP334,DR324,0,COUNT(DP323:DP334)-DR324),0)</f>
        <v>#REF!</v>
      </c>
      <c r="DR325" s="4" t="e">
        <f t="shared" ca="1" si="5614"/>
        <v>#REF!</v>
      </c>
      <c r="DS325" s="692" t="str">
        <f ca="1">IFERROR(VLOOKUP(INDEX(DO323:DO334,DR325),WSM,2,FALSE),"----")</f>
        <v>----</v>
      </c>
      <c r="DT325" s="691" t="e">
        <f t="shared" ca="1" si="5615"/>
        <v>#N/A</v>
      </c>
      <c r="DU325" s="4" t="e">
        <f ca="1">IF(AND(INDEX(STM,DT325,4)&gt;=$AB329,INDEX(STM,DT325,5)&gt;=$S323,INDEX(STM,DT325,6)&gt;=$R323),1,0)</f>
        <v>#N/A</v>
      </c>
      <c r="DV325" s="4" t="e">
        <f t="shared" ref="DV325" ca="1" si="5634">MATCH(1,OFFSET(DU323:DU334,DW324,0,COUNT(DU323:DU334)-DW324),0)</f>
        <v>#REF!</v>
      </c>
      <c r="DW325" s="4" t="e">
        <f t="shared" ca="1" si="5617"/>
        <v>#REF!</v>
      </c>
      <c r="DX325" s="692" t="str">
        <f ca="1">IFERROR(VLOOKUP(INDEX(DT323:DT334,DW325),STM,2,FALSE),"----")</f>
        <v>----</v>
      </c>
      <c r="DY325" s="691" t="e">
        <f t="shared" ca="1" si="5618"/>
        <v>#N/A</v>
      </c>
      <c r="DZ325" s="4" t="e">
        <f ca="1">IF(AND(INDEX(ELM,DY325,4)&gt;=$AB329,INDEX(ELM,DY325,5)&gt;=$S323,INDEX(ELM,DY325,6)&gt;=$R323),1,0)</f>
        <v>#N/A</v>
      </c>
      <c r="EA325" s="4" t="e">
        <f t="shared" ref="EA325" ca="1" si="5635">MATCH(1,OFFSET(DZ323:DZ334,EB324,0,COUNT(DZ323:DZ334)-EB324),0)</f>
        <v>#REF!</v>
      </c>
      <c r="EB325" s="4" t="e">
        <f t="shared" ca="1" si="5620"/>
        <v>#REF!</v>
      </c>
      <c r="EC325" s="692" t="str">
        <f ca="1">IFERROR(VLOOKUP(INDEX(DY323:DY334,EB325),ELM,2,FALSE),"----")</f>
        <v>----</v>
      </c>
      <c r="ED325" s="691" t="e">
        <f t="shared" ca="1" si="5621"/>
        <v>#N/A</v>
      </c>
      <c r="EE325" s="4" t="e">
        <f ca="1">IF(LEFT($J323,7)="Clad Wo",IF(AND(INDEX(SPPWS,ED325,4)&gt;=$AB329,INDEX(SPPWS,ED325,5)&gt;=$S323,INDEX(SPPWS,ED325,6)&gt;=$R323),1,0),IF(AND(INDEX(SPM,ED325,4)&gt;=$AB329,INDEX(SPM,ED325,5)&gt;=$S323,INDEX(SPM,ED325,6)&gt;=$R323),1,0))</f>
        <v>#N/A</v>
      </c>
      <c r="EF325" s="4" t="e">
        <f t="shared" ref="EF325" ca="1" si="5636">MATCH(1,OFFSET(EE323:EE334,EG324,0,COUNT(EE323:EE334)-EG324),0)</f>
        <v>#REF!</v>
      </c>
      <c r="EG325" s="4" t="e">
        <f t="shared" ca="1" si="5623"/>
        <v>#REF!</v>
      </c>
      <c r="EH325" s="692" t="str">
        <f ca="1">IF(LEFT($J323,7)="Clad Wo",IFERROR(VLOOKUP(INDEX(ED323:ED334,EG325),SPPWS,2,FALSE),"----"),IFERROR(VLOOKUP(INDEX(ED323:ED334,EG325),SPM,2,FALSE),"----"))</f>
        <v>----</v>
      </c>
    </row>
    <row r="326" spans="1:138" ht="15" customHeight="1" x14ac:dyDescent="0.25">
      <c r="A326" s="1085"/>
      <c r="B326" s="925"/>
      <c r="C326" s="926"/>
      <c r="D326" s="927"/>
      <c r="E326" s="995"/>
      <c r="F326" s="996"/>
      <c r="G326" s="997"/>
      <c r="H326" s="1062"/>
      <c r="I326" s="990"/>
      <c r="J326" s="908"/>
      <c r="K326" s="909"/>
      <c r="L326" s="1002"/>
      <c r="M326" s="923"/>
      <c r="N326" s="1042"/>
      <c r="O326" s="1018"/>
      <c r="P326" s="987"/>
      <c r="Q326" s="1015"/>
      <c r="R326" s="1012"/>
      <c r="S326" s="1006"/>
      <c r="T326" s="1007"/>
      <c r="U326" s="878"/>
      <c r="V326" s="881"/>
      <c r="W326" s="884"/>
      <c r="X326" s="884"/>
      <c r="Y326" s="887"/>
      <c r="Z326" s="887"/>
      <c r="AA326" s="887"/>
      <c r="AB326" s="1081"/>
      <c r="AC326" s="1078"/>
      <c r="AD326" s="1070" t="s">
        <v>37</v>
      </c>
      <c r="AE326" s="1071"/>
      <c r="AF326" s="1052"/>
      <c r="AG326" s="1053"/>
      <c r="AH326" s="1053"/>
      <c r="AI326" s="1066"/>
      <c r="AJ326" s="1067"/>
      <c r="AK326" s="156" t="str">
        <f t="shared" ca="1" si="4947"/>
        <v/>
      </c>
      <c r="AL326" s="1039"/>
      <c r="AM326" s="343" t="str">
        <f ca="1">IFERROR(Q323/12*ROUND(VLOOKUP(AF326,OFFSET(STM,0,1),6,FALSE),2),"")</f>
        <v/>
      </c>
      <c r="AN326" t="str">
        <f t="shared" ca="1" si="4971"/>
        <v/>
      </c>
      <c r="AP326" s="122" t="str">
        <f t="shared" ref="AP326" si="5637">_xlfn.CONCAT(AR326,AS328)</f>
        <v/>
      </c>
      <c r="AQ326" s="683" t="str">
        <f t="shared" si="5170"/>
        <v/>
      </c>
      <c r="AR326" s="4" t="str">
        <f t="shared" si="4931"/>
        <v/>
      </c>
      <c r="AS326" s="4"/>
      <c r="AT326" s="697" t="str">
        <f>AL323</f>
        <v/>
      </c>
      <c r="AU326" s="694" t="e">
        <f t="shared" ca="1" si="5187"/>
        <v>#REF!</v>
      </c>
      <c r="AV326" s="686" t="str">
        <f ca="1">IFERROR(VLOOKUP(AU326,INDIRECT(AQ323),2,FALSE),"----")</f>
        <v>----</v>
      </c>
      <c r="AW326" s="694" t="e">
        <f t="shared" ca="1" si="5188"/>
        <v>#REF!</v>
      </c>
      <c r="AX326" s="686" t="str">
        <f ca="1">IFERROR(VLOOKUP(AW326,INDIRECT(AQ324),2,FALSE),"----")</f>
        <v>----</v>
      </c>
      <c r="AY326" s="694" t="e">
        <f t="shared" ref="AY326" ca="1" si="5638">AY325-1</f>
        <v>#REF!</v>
      </c>
      <c r="AZ326" s="686" t="str">
        <f ca="1">IFERROR(VLOOKUP(AY326,INDIRECT(AQ325),2,FALSE),"----")</f>
        <v>----</v>
      </c>
      <c r="BA326" s="694" t="e">
        <f t="shared" ref="BA326" ca="1" si="5639">BA325-1</f>
        <v>#REF!</v>
      </c>
      <c r="BB326" s="686" t="str">
        <f ca="1">IFERROR(VLOOKUP(BA326,INDIRECT(AQ326),2,FALSE),"----")</f>
        <v>----</v>
      </c>
      <c r="BC326" s="694" t="e">
        <f t="shared" ca="1" si="5191"/>
        <v>#REF!</v>
      </c>
      <c r="BD326" s="686" t="str">
        <f ca="1">IFERROR(VLOOKUP(BC326,INDIRECT(AQ327),2,FALSE),"----")</f>
        <v>----</v>
      </c>
      <c r="BE326" s="694" t="e">
        <f t="shared" ca="1" si="5192"/>
        <v>#REF!</v>
      </c>
      <c r="BF326" s="686" t="str">
        <f ca="1">IFERROR(VLOOKUP(BE326,INDIRECT(AQ328),2,FALSE),"----")</f>
        <v>----</v>
      </c>
      <c r="BG326" s="694" t="e">
        <f t="shared" ca="1" si="5193"/>
        <v>#REF!</v>
      </c>
      <c r="BH326" s="686" t="str">
        <f ca="1">IFERROR(VLOOKUP(BG326,INDIRECT(AQ329),2,FALSE),"----")</f>
        <v>----</v>
      </c>
      <c r="BI326" s="694" t="e">
        <f t="shared" ca="1" si="5194"/>
        <v>#REF!</v>
      </c>
      <c r="BJ326" s="686" t="str">
        <f ca="1">IFERROR(VLOOKUP(BI326,INDIRECT(AQ330),2,FALSE),"----")</f>
        <v>----</v>
      </c>
      <c r="BK326" s="694" t="e">
        <f t="shared" ca="1" si="5195"/>
        <v>#REF!</v>
      </c>
      <c r="BL326" s="686" t="str">
        <f ca="1">IFERROR(VLOOKUP(BK326,INDIRECT(AQ331),2,FALSE),"----")</f>
        <v>----</v>
      </c>
      <c r="BM326" s="694" t="e">
        <f t="shared" ca="1" si="5196"/>
        <v>#REF!</v>
      </c>
      <c r="BN326" s="686" t="str">
        <f ca="1">IFERROR(VLOOKUP(BM326,INDIRECT(AQ332),2,FALSE),"----")</f>
        <v>----</v>
      </c>
      <c r="BO326" s="694" t="e">
        <f t="shared" ca="1" si="5197"/>
        <v>#REF!</v>
      </c>
      <c r="BP326" s="686" t="str">
        <f ca="1">IFERROR(VLOOKUP(BO326,INDIRECT(AQ333),2,FALSE),"----")</f>
        <v>----</v>
      </c>
      <c r="BQ326" s="694" t="e">
        <f t="shared" ca="1" si="5198"/>
        <v>#REF!</v>
      </c>
      <c r="BR326" s="686" t="str">
        <f ca="1">IFERROR(VLOOKUP(BQ326,INDIRECT(AQ334),2,FALSE),"----")</f>
        <v>----</v>
      </c>
      <c r="BS326" s="695">
        <f>IF(AI326="",1,IF(COUNTIF(BB323:BB334,AI326)=0,2,1))</f>
        <v>1</v>
      </c>
      <c r="BT326" s="696">
        <f>IF(AF326="",1,IF(BB323=".",2,1))</f>
        <v>1</v>
      </c>
      <c r="BU326" s="706"/>
      <c r="BV326" s="155">
        <f ca="1">IF(COUNTIF(CT323:CT334,AF326)=0,IF(AF326&lt;&gt;"",0,1),1)</f>
        <v>1</v>
      </c>
      <c r="BW326" s="157">
        <f ca="1">IFERROR(MATCH(AF326,CT323:CT334,0),1)</f>
        <v>1</v>
      </c>
      <c r="BX326" s="769"/>
      <c r="BY326" s="769"/>
      <c r="BZ326" s="1110"/>
      <c r="CA326" s="691" t="e">
        <f t="shared" ca="1" si="5588"/>
        <v>#REF!</v>
      </c>
      <c r="CB326" s="4" t="e" cm="1">
        <f t="array" aca="1" ref="CB326" ca="1">IF(AND(INDEX(INDIRECT(BY323),CA326,4)&gt;=$AB323,INDEX(INDIRECT(BY323),CA326,5)&gt;=$S323,INDEX(INDIRECT(BY323),CA326,6)&gt;=$R323),1,0)</f>
        <v>#REF!</v>
      </c>
      <c r="CC326" s="4" t="e">
        <f t="shared" ref="CC326" ca="1" si="5640">MATCH(1,OFFSET(CB323:CB334,CD325,0,COUNT(CB323:CB334)-CD325),0)</f>
        <v>#REF!</v>
      </c>
      <c r="CD326" s="4" t="e">
        <f t="shared" ca="1" si="5590"/>
        <v>#REF!</v>
      </c>
      <c r="CE326" s="692" t="str" cm="1">
        <f t="array" aca="1" ref="CE326" ca="1">IFERROR(VLOOKUP(INDEX(CA323:CA334,CD326),INDIRECT(BY323),2,FALSE),"----")</f>
        <v>----</v>
      </c>
      <c r="CF326" s="691" t="e">
        <f t="shared" ca="1" si="5591"/>
        <v>#N/A</v>
      </c>
      <c r="CG326" s="4" t="e">
        <f ca="1">IF(AND(INDEX(SSM,CF326,4)&gt;=$AB323,INDEX(SSM,CF326,5)&gt;=$S323,INDEX(SSM,CF326,6)&gt;=$R323),1,0)</f>
        <v>#N/A</v>
      </c>
      <c r="CH326" s="4" t="e">
        <f t="shared" ref="CH326" ca="1" si="5641">MATCH(1,OFFSET(CG323:CG334,CI325,0,COUNT(CG323:CG334)-CI325),0)</f>
        <v>#REF!</v>
      </c>
      <c r="CI326" s="4" t="e">
        <f t="shared" ca="1" si="5593"/>
        <v>#REF!</v>
      </c>
      <c r="CJ326" s="692" t="str">
        <f ca="1">IFERROR(IF(AD324="Nested Steel Stud (wood infill)",VLOOKUP(INDEX(CF323:CF334,CI326),SSW,2,FALSE),VLOOKUP(INDEX(CF323:CF334,CI326),SSM,2,FALSE)),"----")</f>
        <v>----</v>
      </c>
      <c r="CK326" s="691" t="e">
        <f t="shared" ca="1" si="5594"/>
        <v>#N/A</v>
      </c>
      <c r="CL326" s="4" t="e">
        <f ca="1">IF(AND(INDEX(WSM,CK326,4)&gt;=$AB323,INDEX(WSM,CK326,5)&gt;=$S323,INDEX(WSM,CK326,6)&gt;=$R323),1,0)</f>
        <v>#N/A</v>
      </c>
      <c r="CM326" s="4" t="e">
        <f t="shared" ref="CM326" ca="1" si="5642">MATCH(1,OFFSET(CL323:CL334,CN325,0,COUNT(CL323:CL334)-CN325),0)</f>
        <v>#REF!</v>
      </c>
      <c r="CN326" s="4" t="e">
        <f t="shared" ca="1" si="5596"/>
        <v>#REF!</v>
      </c>
      <c r="CO326" s="692" t="str">
        <f ca="1">IFERROR(VLOOKUP(INDEX(CK323:CK334,CN326),WSM,2,FALSE),"----")</f>
        <v>----</v>
      </c>
      <c r="CP326" s="691" t="e">
        <f t="shared" ca="1" si="5597"/>
        <v>#N/A</v>
      </c>
      <c r="CQ326" s="4" t="e">
        <f ca="1">IF(AND(INDEX(STM,CP326,4)&gt;=$AB323,INDEX(STM,CP326,5)&gt;=$S323,INDEX(STM,CP326,6)&gt;=$R323),1,0)</f>
        <v>#N/A</v>
      </c>
      <c r="CR326" s="4" t="e">
        <f t="shared" ref="CR326" ca="1" si="5643">MATCH(1,OFFSET(CQ323:CQ334,CS325,0,COUNT(CQ323:CQ334)-CS325),0)</f>
        <v>#REF!</v>
      </c>
      <c r="CS326" s="4" t="e">
        <f t="shared" ca="1" si="5599"/>
        <v>#REF!</v>
      </c>
      <c r="CT326" s="692" t="str">
        <f ca="1">IFERROR(VLOOKUP(INDEX(CP323:CP334,CS326),STM,2,FALSE),"----")</f>
        <v>----</v>
      </c>
      <c r="CU326" s="691" t="e">
        <f t="shared" ca="1" si="5600"/>
        <v>#N/A</v>
      </c>
      <c r="CV326" s="4" t="e">
        <f ca="1">IF(AND(INDEX(ELM,CU326,4)&gt;=$AB323,INDEX(ELM,CU326,5)&gt;=$S323,INDEX(ELM,CU326,6)&gt;=$R323),1,0)</f>
        <v>#N/A</v>
      </c>
      <c r="CW326" s="4" t="e">
        <f t="shared" ref="CW326" ca="1" si="5644">MATCH(1,OFFSET(CV323:CV334,CX325,0,COUNT(CV323:CV334)-CX325),0)</f>
        <v>#REF!</v>
      </c>
      <c r="CX326" s="4" t="e">
        <f t="shared" ca="1" si="5602"/>
        <v>#REF!</v>
      </c>
      <c r="CY326" s="692" t="str">
        <f ca="1">IFERROR(VLOOKUP(INDEX(CU323:CU334,CX326),ELM,2,FALSE),"----")</f>
        <v>----</v>
      </c>
      <c r="CZ326" s="691" t="e">
        <f t="shared" ca="1" si="5603"/>
        <v>#N/A</v>
      </c>
      <c r="DA326" s="4" t="e">
        <f ca="1">IF(LEFT($J323,7)="Clad Wo",IF(AND(INDEX(SPPWS,CZ326,4)&gt;=$AB323,INDEX(SPPWS,CZ326,5)&gt;=$S323,INDEX(SPPWS,CZ326,6)&gt;=$R323),1,0),IF(AND(INDEX(SPM,CZ326,4)&gt;=$AB323,INDEX(SPM,CZ326,5)&gt;=$S323,INDEX(SPM,CZ326,6)&gt;=$R323),1,0))</f>
        <v>#N/A</v>
      </c>
      <c r="DB326" s="4" t="e">
        <f t="shared" ref="DB326" ca="1" si="5645">MATCH(1,OFFSET(DA323:DA334,DC325,0,COUNT(DA323:DA334)-DC325),0)</f>
        <v>#REF!</v>
      </c>
      <c r="DC326" s="4" t="e">
        <f t="shared" ca="1" si="5605"/>
        <v>#REF!</v>
      </c>
      <c r="DD326" s="693" t="str">
        <f ca="1">IF(LEFT($J323,7)="Clad Wo",IFERROR(VLOOKUP(INDEX(CZ323:CZ334,DC326),SPPWS,2,FALSE),"----"),IFERROR(VLOOKUP(INDEX(CZ323:CZ334,DC326),SPM,2,FALSE),"----"))</f>
        <v>----</v>
      </c>
      <c r="DE326" s="691" t="e">
        <f t="shared" ca="1" si="5606"/>
        <v>#REF!</v>
      </c>
      <c r="DF326" s="4" t="e" cm="1">
        <f t="array" aca="1" ref="DF326" ca="1">IF(AND(INDEX(INDIRECT(BY323),DE326,4)&gt;=$AB329,INDEX(INDIRECT(BY323),DE326,5)&gt;=$S323,INDEX(INDIRECT(BY323),DE326,6)&gt;=$R323),1,0)</f>
        <v>#REF!</v>
      </c>
      <c r="DG326" s="4" t="e">
        <f t="shared" ref="DG326" ca="1" si="5646">MATCH(1,OFFSET(DF323:DF334,DH325,0,COUNT(DF323:DF334)-DH325),0)</f>
        <v>#REF!</v>
      </c>
      <c r="DH326" s="4" t="e">
        <f t="shared" ca="1" si="5608"/>
        <v>#REF!</v>
      </c>
      <c r="DI326" s="692" t="str" cm="1">
        <f t="array" aca="1" ref="DI326" ca="1">IFERROR(VLOOKUP(INDEX(DE323:DE334,DH326),INDIRECT(BY323),2,FALSE),"----")</f>
        <v>----</v>
      </c>
      <c r="DJ326" s="691" t="e">
        <f t="shared" ca="1" si="5609"/>
        <v>#N/A</v>
      </c>
      <c r="DK326" s="4" t="e">
        <f ca="1">IF(AND(INDEX(SSM,DJ326,4)&gt;=$AB329,INDEX(SSM,DJ326,5)&gt;=$S323,INDEX(SSM,DJ326,6)&gt;=$R323),1,0)</f>
        <v>#N/A</v>
      </c>
      <c r="DL326" s="4" t="e">
        <f t="shared" ref="DL326" ca="1" si="5647">MATCH(1,OFFSET(DK323:DK334,DM325,0,COUNT(DK323:DK334)-DM325),0)</f>
        <v>#REF!</v>
      </c>
      <c r="DM326" s="4" t="e">
        <f t="shared" ca="1" si="5611"/>
        <v>#REF!</v>
      </c>
      <c r="DN326" s="692" t="str">
        <f ca="1">IFERROR(IF(AD330="Nested Steel Stud (wood infill)",VLOOKUP(INDEX(DJ323:DJ334,DM326),SSW,2,FALSE),VLOOKUP(INDEX(DJ323:DJ334,DM326),SSM,2,FALSE)),"----")</f>
        <v>----</v>
      </c>
      <c r="DO326" s="691" t="e">
        <f t="shared" ca="1" si="5612"/>
        <v>#N/A</v>
      </c>
      <c r="DP326" s="4" t="e">
        <f ca="1">IF(AND(INDEX(WSM,DO326,4)&gt;=$AB329,INDEX(WSM,DO326,5)&gt;=$S323,INDEX(WSM,DO326,6)&gt;=$R323),1,0)</f>
        <v>#N/A</v>
      </c>
      <c r="DQ326" s="4" t="e">
        <f t="shared" ref="DQ326" ca="1" si="5648">MATCH(1,OFFSET(DP323:DP334,DR325,0,COUNT(DP323:DP334)-DR325),0)</f>
        <v>#REF!</v>
      </c>
      <c r="DR326" s="4" t="e">
        <f t="shared" ca="1" si="5614"/>
        <v>#REF!</v>
      </c>
      <c r="DS326" s="692" t="str">
        <f ca="1">IFERROR(VLOOKUP(INDEX(DO323:DO334,DR326),WSM,2,FALSE),"----")</f>
        <v>----</v>
      </c>
      <c r="DT326" s="691" t="e">
        <f t="shared" ca="1" si="5615"/>
        <v>#N/A</v>
      </c>
      <c r="DU326" s="4" t="e">
        <f ca="1">IF(AND(INDEX(STM,DT326,4)&gt;=$AB329,INDEX(STM,DT326,5)&gt;=$S323,INDEX(STM,DT326,6)&gt;=$R323),1,0)</f>
        <v>#N/A</v>
      </c>
      <c r="DV326" s="4" t="e">
        <f t="shared" ref="DV326" ca="1" si="5649">MATCH(1,OFFSET(DU323:DU334,DW325,0,COUNT(DU323:DU334)-DW325),0)</f>
        <v>#REF!</v>
      </c>
      <c r="DW326" s="4" t="e">
        <f t="shared" ca="1" si="5617"/>
        <v>#REF!</v>
      </c>
      <c r="DX326" s="692" t="str">
        <f ca="1">IFERROR(VLOOKUP(INDEX(DT323:DT334,DW326),STM,2,FALSE),"----")</f>
        <v>----</v>
      </c>
      <c r="DY326" s="691" t="e">
        <f t="shared" ca="1" si="5618"/>
        <v>#N/A</v>
      </c>
      <c r="DZ326" s="4" t="e">
        <f ca="1">IF(AND(INDEX(ELM,DY326,4)&gt;=$AB329,INDEX(ELM,DY326,5)&gt;=$S323,INDEX(ELM,DY326,6)&gt;=$R323),1,0)</f>
        <v>#N/A</v>
      </c>
      <c r="EA326" s="4" t="e">
        <f t="shared" ref="EA326" ca="1" si="5650">MATCH(1,OFFSET(DZ323:DZ334,EB325,0,COUNT(DZ323:DZ334)-EB325),0)</f>
        <v>#REF!</v>
      </c>
      <c r="EB326" s="4" t="e">
        <f t="shared" ca="1" si="5620"/>
        <v>#REF!</v>
      </c>
      <c r="EC326" s="692" t="str">
        <f ca="1">IFERROR(VLOOKUP(INDEX(DY323:DY334,EB326),ELM,2,FALSE),"----")</f>
        <v>----</v>
      </c>
      <c r="ED326" s="691" t="e">
        <f t="shared" ca="1" si="5621"/>
        <v>#N/A</v>
      </c>
      <c r="EE326" s="4" t="e">
        <f ca="1">IF(LEFT($J323,7)="Clad Wo",IF(AND(INDEX(SPPWS,ED326,4)&gt;=$AB329,INDEX(SPPWS,ED326,5)&gt;=$S323,INDEX(SPPWS,ED326,6)&gt;=$R323),1,0),IF(AND(INDEX(SPM,ED326,4)&gt;=$AB329,INDEX(SPM,ED326,5)&gt;=$S323,INDEX(SPM,ED326,6)&gt;=$R323),1,0))</f>
        <v>#N/A</v>
      </c>
      <c r="EF326" s="4" t="e">
        <f t="shared" ref="EF326" ca="1" si="5651">MATCH(1,OFFSET(EE323:EE334,EG325,0,COUNT(EE323:EE334)-EG325),0)</f>
        <v>#REF!</v>
      </c>
      <c r="EG326" s="4" t="e">
        <f t="shared" ca="1" si="5623"/>
        <v>#REF!</v>
      </c>
      <c r="EH326" s="692" t="str">
        <f ca="1">IF(LEFT($J323,7)="Clad Wo",IFERROR(VLOOKUP(INDEX(ED323:ED334,EG326),SPPWS,2,FALSE),"----"),IFERROR(VLOOKUP(INDEX(ED323:ED334,EG326),SPM,2,FALSE),"----"))</f>
        <v>----</v>
      </c>
    </row>
    <row r="327" spans="1:138" ht="15" customHeight="1" x14ac:dyDescent="0.25">
      <c r="A327" s="1085"/>
      <c r="B327" s="925"/>
      <c r="C327" s="926"/>
      <c r="D327" s="927"/>
      <c r="E327" s="995"/>
      <c r="F327" s="996"/>
      <c r="G327" s="997"/>
      <c r="H327" s="1062"/>
      <c r="I327" s="990"/>
      <c r="J327" s="910"/>
      <c r="K327" s="911"/>
      <c r="L327" s="1002"/>
      <c r="M327" s="923"/>
      <c r="N327" s="1042"/>
      <c r="O327" s="1018"/>
      <c r="P327" s="987"/>
      <c r="Q327" s="1015"/>
      <c r="R327" s="1012"/>
      <c r="S327" s="1006"/>
      <c r="T327" s="1007"/>
      <c r="U327" s="878"/>
      <c r="V327" s="881"/>
      <c r="W327" s="884"/>
      <c r="X327" s="884"/>
      <c r="Y327" s="887"/>
      <c r="Z327" s="887"/>
      <c r="AA327" s="887"/>
      <c r="AB327" s="1081"/>
      <c r="AC327" s="1078"/>
      <c r="AD327" s="1070" t="s">
        <v>39</v>
      </c>
      <c r="AE327" s="1071"/>
      <c r="AF327" s="1052"/>
      <c r="AG327" s="1053"/>
      <c r="AH327" s="1053"/>
      <c r="AI327" s="1068"/>
      <c r="AJ327" s="1069"/>
      <c r="AK327" s="154" t="str">
        <f t="shared" ca="1" si="4947"/>
        <v/>
      </c>
      <c r="AL327" s="1039"/>
      <c r="AM327" s="344" t="str">
        <f ca="1">IFERROR(Q323/12*ROUND(VLOOKUP(AF327,OFFSET(ELM,0,1),6,FALSE),2),"")</f>
        <v/>
      </c>
      <c r="AN327" t="str">
        <f t="shared" ca="1" si="4971"/>
        <v/>
      </c>
      <c r="AP327" s="122" t="str">
        <f t="shared" ref="AP327" si="5652">_xlfn.CONCAT(AR327,AS328)</f>
        <v/>
      </c>
      <c r="AQ327" s="683" t="str">
        <f t="shared" si="5170"/>
        <v/>
      </c>
      <c r="AR327" s="4" t="str">
        <f t="shared" si="4931"/>
        <v/>
      </c>
      <c r="AS327" s="4"/>
      <c r="AT327" s="697" t="str">
        <f>AL323</f>
        <v/>
      </c>
      <c r="AU327" s="694" t="e">
        <f t="shared" ca="1" si="5187"/>
        <v>#REF!</v>
      </c>
      <c r="AV327" s="698" t="str">
        <f ca="1">IFERROR(VLOOKUP(AU327,INDIRECT(AQ323),2,FALSE),"----")</f>
        <v>----</v>
      </c>
      <c r="AW327" s="694" t="e">
        <f t="shared" ca="1" si="5188"/>
        <v>#REF!</v>
      </c>
      <c r="AX327" s="698" t="str">
        <f ca="1">IFERROR(VLOOKUP(AW327,INDIRECT(AQ324),2,FALSE),"----")</f>
        <v>----</v>
      </c>
      <c r="AY327" s="694" t="e">
        <f t="shared" ref="AY327" ca="1" si="5653">AY326-1</f>
        <v>#REF!</v>
      </c>
      <c r="AZ327" s="698" t="str">
        <f ca="1">IFERROR(VLOOKUP(AY327,INDIRECT(AQ325),2,FALSE),"----")</f>
        <v>----</v>
      </c>
      <c r="BA327" s="694" t="e">
        <f t="shared" ref="BA327" ca="1" si="5654">BA326-1</f>
        <v>#REF!</v>
      </c>
      <c r="BB327" s="698" t="str">
        <f ca="1">IFERROR(VLOOKUP(BA327,INDIRECT(AQ326),2,FALSE),"----")</f>
        <v>----</v>
      </c>
      <c r="BC327" s="694" t="e">
        <f t="shared" ca="1" si="5191"/>
        <v>#REF!</v>
      </c>
      <c r="BD327" s="698" t="str">
        <f ca="1">IFERROR(VLOOKUP(BC327,INDIRECT(AQ327),2,FALSE),"----")</f>
        <v>----</v>
      </c>
      <c r="BE327" s="694" t="e">
        <f t="shared" ca="1" si="5192"/>
        <v>#REF!</v>
      </c>
      <c r="BF327" s="698" t="str">
        <f ca="1">IFERROR(VLOOKUP(BE327,INDIRECT(AQ328),2,FALSE),"----")</f>
        <v>----</v>
      </c>
      <c r="BG327" s="694" t="e">
        <f t="shared" ca="1" si="5193"/>
        <v>#REF!</v>
      </c>
      <c r="BH327" s="686" t="str">
        <f ca="1">IFERROR(VLOOKUP(BG327,INDIRECT(AQ329),2,FALSE),"----")</f>
        <v>----</v>
      </c>
      <c r="BI327" s="694" t="e">
        <f t="shared" ca="1" si="5194"/>
        <v>#REF!</v>
      </c>
      <c r="BJ327" s="686" t="str">
        <f ca="1">IFERROR(VLOOKUP(BI327,INDIRECT(AQ330),2,FALSE),"----")</f>
        <v>----</v>
      </c>
      <c r="BK327" s="694" t="e">
        <f t="shared" ca="1" si="5195"/>
        <v>#REF!</v>
      </c>
      <c r="BL327" s="686" t="str">
        <f ca="1">IFERROR(VLOOKUP(BK327,INDIRECT(AQ331),2,FALSE),"----")</f>
        <v>----</v>
      </c>
      <c r="BM327" s="694" t="e">
        <f t="shared" ca="1" si="5196"/>
        <v>#REF!</v>
      </c>
      <c r="BN327" s="686" t="str">
        <f ca="1">IFERROR(VLOOKUP(BM327,INDIRECT(AQ332),2,FALSE),"----")</f>
        <v>----</v>
      </c>
      <c r="BO327" s="694" t="e">
        <f t="shared" ca="1" si="5197"/>
        <v>#REF!</v>
      </c>
      <c r="BP327" s="686" t="str">
        <f ca="1">IFERROR(VLOOKUP(BO327,INDIRECT(AQ333),2,FALSE),"----")</f>
        <v>----</v>
      </c>
      <c r="BQ327" s="694" t="e">
        <f t="shared" ca="1" si="5198"/>
        <v>#REF!</v>
      </c>
      <c r="BR327" s="686" t="str">
        <f ca="1">IFERROR(VLOOKUP(BQ327,INDIRECT(AQ334),2,FALSE),"----")</f>
        <v>----</v>
      </c>
      <c r="BS327" s="695">
        <f>IF(AI327="",1,IF(COUNTIF(BD323:BD334,AI327)=0,2,1))</f>
        <v>1</v>
      </c>
      <c r="BT327" s="696">
        <f>IF(AF327="",1,IF(BD323=".",2,1))</f>
        <v>1</v>
      </c>
      <c r="BU327" s="706"/>
      <c r="BV327" s="155">
        <f ca="1">IF(COUNTIF(CY323:CY334,AF327)=0,IF(AF327&lt;&gt;"",0,1),1)</f>
        <v>1</v>
      </c>
      <c r="BW327" s="157">
        <f ca="1">IFERROR(MATCH(AF327,CY323:CY334,0),1)</f>
        <v>1</v>
      </c>
      <c r="BX327" s="769"/>
      <c r="BY327" s="769"/>
      <c r="BZ327" s="1110"/>
      <c r="CA327" s="691" t="e">
        <f t="shared" ca="1" si="5588"/>
        <v>#REF!</v>
      </c>
      <c r="CB327" s="4" t="e" cm="1">
        <f t="array" aca="1" ref="CB327" ca="1">IF(AND(INDEX(INDIRECT(BY323),CA327,4)&gt;=$AB323,INDEX(INDIRECT(BY323),CA327,5)&gt;=$S323,INDEX(INDIRECT(BY323),CA327,6)&gt;=$R323),1,0)</f>
        <v>#REF!</v>
      </c>
      <c r="CC327" s="4" t="e">
        <f t="shared" ref="CC327" ca="1" si="5655">MATCH(1,OFFSET(CB323:CB334,CD326,0,COUNT(CB323:CB334)-CD326),0)</f>
        <v>#REF!</v>
      </c>
      <c r="CD327" s="4" t="e">
        <f t="shared" ca="1" si="5590"/>
        <v>#REF!</v>
      </c>
      <c r="CE327" s="692" t="str" cm="1">
        <f t="array" aca="1" ref="CE327" ca="1">IFERROR(VLOOKUP(INDEX(CA323:CA334,CD327),INDIRECT(BY323),2,FALSE),"----")</f>
        <v>----</v>
      </c>
      <c r="CF327" s="691" t="e">
        <f t="shared" ca="1" si="5591"/>
        <v>#N/A</v>
      </c>
      <c r="CG327" s="4" t="e">
        <f ca="1">IF(AND(INDEX(SSM,CF327,4)&gt;=$AB323,INDEX(SSM,CF327,5)&gt;=$S323,INDEX(SSM,CF327,6)&gt;=$R323),1,0)</f>
        <v>#N/A</v>
      </c>
      <c r="CH327" s="4" t="e">
        <f t="shared" ref="CH327" ca="1" si="5656">MATCH(1,OFFSET(CG323:CG334,CI326,0,COUNT(CG323:CG334)-CI326),0)</f>
        <v>#REF!</v>
      </c>
      <c r="CI327" s="4" t="e">
        <f t="shared" ca="1" si="5593"/>
        <v>#REF!</v>
      </c>
      <c r="CJ327" s="692" t="str">
        <f ca="1">IFERROR(IF(AD324="Nested Steel Stud (wood infill)",VLOOKUP(INDEX(CF323:CF334,CI327),SSW,2,FALSE),VLOOKUP(INDEX(CF323:CF334,CI327),SSM,2,FALSE)),"----")</f>
        <v>----</v>
      </c>
      <c r="CK327" s="691" t="e">
        <f t="shared" ca="1" si="5594"/>
        <v>#N/A</v>
      </c>
      <c r="CL327" s="4" t="e">
        <f ca="1">IF(AND(INDEX(WSM,CK327,4)&gt;=$AB323,INDEX(WSM,CK327,5)&gt;=$S323,INDEX(WSM,CK327,6)&gt;=$R323),1,0)</f>
        <v>#N/A</v>
      </c>
      <c r="CM327" s="4" t="e">
        <f t="shared" ref="CM327" ca="1" si="5657">MATCH(1,OFFSET(CL323:CL334,CN326,0,COUNT(CL323:CL334)-CN326),0)</f>
        <v>#REF!</v>
      </c>
      <c r="CN327" s="4" t="e">
        <f t="shared" ca="1" si="5596"/>
        <v>#REF!</v>
      </c>
      <c r="CO327" s="692" t="str">
        <f ca="1">IFERROR(VLOOKUP(INDEX(CK323:CK334,CN327),WSM,2,FALSE),"----")</f>
        <v>----</v>
      </c>
      <c r="CP327" s="691" t="e">
        <f t="shared" ca="1" si="5597"/>
        <v>#N/A</v>
      </c>
      <c r="CQ327" s="4" t="e">
        <f ca="1">IF(AND(INDEX(STM,CP327,4)&gt;=$AB323,INDEX(STM,CP327,5)&gt;=$S323,INDEX(STM,CP327,6)&gt;=$R323),1,0)</f>
        <v>#N/A</v>
      </c>
      <c r="CR327" s="4" t="e">
        <f t="shared" ref="CR327" ca="1" si="5658">MATCH(1,OFFSET(CQ323:CQ334,CS326,0,COUNT(CQ323:CQ334)-CS326),0)</f>
        <v>#REF!</v>
      </c>
      <c r="CS327" s="4" t="e">
        <f t="shared" ca="1" si="5599"/>
        <v>#REF!</v>
      </c>
      <c r="CT327" s="692" t="str">
        <f ca="1">IFERROR(VLOOKUP(INDEX(CP323:CP334,CS327),STM,2,FALSE),"----")</f>
        <v>----</v>
      </c>
      <c r="CU327" s="691" t="e">
        <f t="shared" ca="1" si="5600"/>
        <v>#N/A</v>
      </c>
      <c r="CV327" s="4" t="e">
        <f ca="1">IF(AND(INDEX(ELM,CU327,4)&gt;=$AB323,INDEX(ELM,CU327,5)&gt;=$S323,INDEX(ELM,CU327,6)&gt;=$R323),1,0)</f>
        <v>#N/A</v>
      </c>
      <c r="CW327" s="4" t="e">
        <f t="shared" ref="CW327" ca="1" si="5659">MATCH(1,OFFSET(CV323:CV334,CX326,0,COUNT(CV323:CV334)-CX326),0)</f>
        <v>#REF!</v>
      </c>
      <c r="CX327" s="4" t="e">
        <f t="shared" ca="1" si="5602"/>
        <v>#REF!</v>
      </c>
      <c r="CY327" s="692" t="str">
        <f ca="1">IFERROR(VLOOKUP(INDEX(CU323:CU334,CX327),ELM,2,FALSE),"----")</f>
        <v>----</v>
      </c>
      <c r="CZ327" s="691" t="e">
        <f t="shared" ca="1" si="5603"/>
        <v>#N/A</v>
      </c>
      <c r="DA327" s="4" t="e">
        <f ca="1">IF(LEFT($J323,7)="Clad Wo",IF(AND(INDEX(SPPWS,CZ327,4)&gt;=$AB323,INDEX(SPPWS,CZ327,5)&gt;=$S323,INDEX(SPPWS,CZ327,6)&gt;=$R323),1,0),IF(AND(INDEX(SPM,CZ327,4)&gt;=$AB323,INDEX(SPM,CZ327,5)&gt;=$S323,INDEX(SPM,CZ327,6)&gt;=$R323),1,0))</f>
        <v>#N/A</v>
      </c>
      <c r="DB327" s="4" t="e">
        <f t="shared" ref="DB327" ca="1" si="5660">MATCH(1,OFFSET(DA323:DA334,DC326,0,COUNT(DA323:DA334)-DC326),0)</f>
        <v>#REF!</v>
      </c>
      <c r="DC327" s="4" t="e">
        <f t="shared" ca="1" si="5605"/>
        <v>#REF!</v>
      </c>
      <c r="DD327" s="693" t="str">
        <f ca="1">IF(LEFT($J323,7)="Clad Wo",IFERROR(VLOOKUP(INDEX(CZ323:CZ334,DC327),SPPWS,2,FALSE),"----"),IFERROR(VLOOKUP(INDEX(CZ323:CZ334,DC327),SPM,2,FALSE),"----"))</f>
        <v>----</v>
      </c>
      <c r="DE327" s="691" t="e">
        <f t="shared" ca="1" si="5606"/>
        <v>#REF!</v>
      </c>
      <c r="DF327" s="4" t="e" cm="1">
        <f t="array" aca="1" ref="DF327" ca="1">IF(AND(INDEX(INDIRECT(BY323),DE327,4)&gt;=$AB329,INDEX(INDIRECT(BY323),DE327,5)&gt;=$S323,INDEX(INDIRECT(BY323),DE327,6)&gt;=$R323),1,0)</f>
        <v>#REF!</v>
      </c>
      <c r="DG327" s="4" t="e">
        <f t="shared" ref="DG327" ca="1" si="5661">MATCH(1,OFFSET(DF323:DF334,DH326,0,COUNT(DF323:DF334)-DH326),0)</f>
        <v>#REF!</v>
      </c>
      <c r="DH327" s="4" t="e">
        <f t="shared" ca="1" si="5608"/>
        <v>#REF!</v>
      </c>
      <c r="DI327" s="692" t="str" cm="1">
        <f t="array" aca="1" ref="DI327" ca="1">IFERROR(VLOOKUP(INDEX(DE323:DE334,DH327),INDIRECT(BY323),2,FALSE),"----")</f>
        <v>----</v>
      </c>
      <c r="DJ327" s="691" t="e">
        <f t="shared" ca="1" si="5609"/>
        <v>#N/A</v>
      </c>
      <c r="DK327" s="4" t="e">
        <f ca="1">IF(AND(INDEX(SSM,DJ327,4)&gt;=$AB329,INDEX(SSM,DJ327,5)&gt;=$S323,INDEX(SSM,DJ327,6)&gt;=$R323),1,0)</f>
        <v>#N/A</v>
      </c>
      <c r="DL327" s="4" t="e">
        <f t="shared" ref="DL327" ca="1" si="5662">MATCH(1,OFFSET(DK323:DK334,DM326,0,COUNT(DK323:DK334)-DM326),0)</f>
        <v>#REF!</v>
      </c>
      <c r="DM327" s="4" t="e">
        <f t="shared" ca="1" si="5611"/>
        <v>#REF!</v>
      </c>
      <c r="DN327" s="692" t="str">
        <f ca="1">IFERROR(IF(AD330="Nested Steel Stud (wood infill)",VLOOKUP(INDEX(DJ323:DJ334,DM327),SSW,2,FALSE),VLOOKUP(INDEX(DJ323:DJ334,DM327),SSM,2,FALSE)),"----")</f>
        <v>----</v>
      </c>
      <c r="DO327" s="691" t="e">
        <f t="shared" ca="1" si="5612"/>
        <v>#N/A</v>
      </c>
      <c r="DP327" s="4" t="e">
        <f ca="1">IF(AND(INDEX(WSM,DO327,4)&gt;=$AB329,INDEX(WSM,DO327,5)&gt;=$S323,INDEX(WSM,DO327,6)&gt;=$R323),1,0)</f>
        <v>#N/A</v>
      </c>
      <c r="DQ327" s="4" t="e">
        <f t="shared" ref="DQ327" ca="1" si="5663">MATCH(1,OFFSET(DP323:DP334,DR326,0,COUNT(DP323:DP334)-DR326),0)</f>
        <v>#REF!</v>
      </c>
      <c r="DR327" s="4" t="e">
        <f t="shared" ca="1" si="5614"/>
        <v>#REF!</v>
      </c>
      <c r="DS327" s="692" t="str">
        <f ca="1">IFERROR(VLOOKUP(INDEX(DO323:DO334,DR327),WSM,2,FALSE),"----")</f>
        <v>----</v>
      </c>
      <c r="DT327" s="691" t="e">
        <f t="shared" ca="1" si="5615"/>
        <v>#N/A</v>
      </c>
      <c r="DU327" s="4" t="e">
        <f ca="1">IF(AND(INDEX(STM,DT327,4)&gt;=$AB329,INDEX(STM,DT327,5)&gt;=$S323,INDEX(STM,DT327,6)&gt;=$R323),1,0)</f>
        <v>#N/A</v>
      </c>
      <c r="DV327" s="4" t="e">
        <f t="shared" ref="DV327" ca="1" si="5664">MATCH(1,OFFSET(DU323:DU334,DW326,0,COUNT(DU323:DU334)-DW326),0)</f>
        <v>#REF!</v>
      </c>
      <c r="DW327" s="4" t="e">
        <f t="shared" ca="1" si="5617"/>
        <v>#REF!</v>
      </c>
      <c r="DX327" s="692" t="str">
        <f ca="1">IFERROR(VLOOKUP(INDEX(DT323:DT334,DW327),STM,2,FALSE),"----")</f>
        <v>----</v>
      </c>
      <c r="DY327" s="691" t="e">
        <f t="shared" ca="1" si="5618"/>
        <v>#N/A</v>
      </c>
      <c r="DZ327" s="4" t="e">
        <f ca="1">IF(AND(INDEX(ELM,DY327,4)&gt;=$AB329,INDEX(ELM,DY327,5)&gt;=$S323,INDEX(ELM,DY327,6)&gt;=$R323),1,0)</f>
        <v>#N/A</v>
      </c>
      <c r="EA327" s="4" t="e">
        <f t="shared" ref="EA327" ca="1" si="5665">MATCH(1,OFFSET(DZ323:DZ334,EB326,0,COUNT(DZ323:DZ334)-EB326),0)</f>
        <v>#REF!</v>
      </c>
      <c r="EB327" s="4" t="e">
        <f t="shared" ca="1" si="5620"/>
        <v>#REF!</v>
      </c>
      <c r="EC327" s="692" t="str">
        <f ca="1">IFERROR(VLOOKUP(INDEX(DY323:DY334,EB327),ELM,2,FALSE),"----")</f>
        <v>----</v>
      </c>
      <c r="ED327" s="691" t="e">
        <f t="shared" ca="1" si="5621"/>
        <v>#N/A</v>
      </c>
      <c r="EE327" s="4" t="e">
        <f ca="1">IF(LEFT($J323,7)="Clad Wo",IF(AND(INDEX(SPPWS,ED327,4)&gt;=$AB329,INDEX(SPPWS,ED327,5)&gt;=$S323,INDEX(SPPWS,ED327,6)&gt;=$R323),1,0),IF(AND(INDEX(SPM,ED327,4)&gt;=$AB329,INDEX(SPM,ED327,5)&gt;=$S323,INDEX(SPM,ED327,6)&gt;=$R323),1,0))</f>
        <v>#N/A</v>
      </c>
      <c r="EF327" s="4" t="e">
        <f t="shared" ref="EF327" ca="1" si="5666">MATCH(1,OFFSET(EE323:EE334,EG326,0,COUNT(EE323:EE334)-EG326),0)</f>
        <v>#REF!</v>
      </c>
      <c r="EG327" s="4" t="e">
        <f t="shared" ca="1" si="5623"/>
        <v>#REF!</v>
      </c>
      <c r="EH327" s="692" t="str">
        <f ca="1">IF(LEFT($J323,7)="Clad Wo",IFERROR(VLOOKUP(INDEX(ED323:ED334,EG327),SPPWS,2,FALSE),"----"),IFERROR(VLOOKUP(INDEX(ED323:ED334,EG327),SPM,2,FALSE),"----"))</f>
        <v>----</v>
      </c>
    </row>
    <row r="328" spans="1:138" ht="15" customHeight="1" thickBot="1" x14ac:dyDescent="0.3">
      <c r="A328" s="1085"/>
      <c r="B328" s="934"/>
      <c r="C328" s="935"/>
      <c r="D328" s="936"/>
      <c r="E328" s="995"/>
      <c r="F328" s="996"/>
      <c r="G328" s="997"/>
      <c r="H328" s="1062"/>
      <c r="I328" s="990"/>
      <c r="J328" s="908"/>
      <c r="K328" s="909"/>
      <c r="L328" s="1010"/>
      <c r="M328" s="924"/>
      <c r="N328" s="1044"/>
      <c r="O328" s="1018"/>
      <c r="P328" s="987"/>
      <c r="Q328" s="1015"/>
      <c r="R328" s="1012"/>
      <c r="S328" s="1006"/>
      <c r="T328" s="1007"/>
      <c r="U328" s="878"/>
      <c r="V328" s="881"/>
      <c r="W328" s="889"/>
      <c r="X328" s="884"/>
      <c r="Y328" s="890"/>
      <c r="Z328" s="890"/>
      <c r="AA328" s="887"/>
      <c r="AB328" s="1084"/>
      <c r="AC328" s="1079"/>
      <c r="AD328" s="1072" t="str">
        <f t="shared" ref="AD328" si="5667">IF(LEFT(J323,7)="Clad Wo","Pella Wood Spr / Steel Pte","Steel Plate")</f>
        <v>Steel Plate</v>
      </c>
      <c r="AE328" s="1073"/>
      <c r="AF328" s="1054"/>
      <c r="AG328" s="1055"/>
      <c r="AH328" s="1055"/>
      <c r="AI328" s="1092"/>
      <c r="AJ328" s="1093"/>
      <c r="AK328" s="159" t="str">
        <f t="shared" ca="1" si="4947"/>
        <v/>
      </c>
      <c r="AL328" s="1040"/>
      <c r="AM328" s="345" t="str">
        <f ca="1">IFERROR(Q323/12*ROUND(VLOOKUP(AF328,OFFSET(SPM,0,1),6,FALSE),2),"")</f>
        <v/>
      </c>
      <c r="AN328" t="str">
        <f t="shared" ca="1" si="4971"/>
        <v/>
      </c>
      <c r="AP328" s="699" t="str">
        <f t="shared" ref="AP328" si="5668">_xlfn.CONCAT(AR328,AS328)</f>
        <v/>
      </c>
      <c r="AQ328" s="700" t="str">
        <f t="shared" si="5170"/>
        <v/>
      </c>
      <c r="AR328" s="160" t="str">
        <f t="shared" si="4931"/>
        <v/>
      </c>
      <c r="AS328" s="160" t="str">
        <f>IFERROR(VLOOKUP(J331, WallType,2,FALSE),"")</f>
        <v/>
      </c>
      <c r="AT328" s="701" t="str">
        <f>AL323</f>
        <v/>
      </c>
      <c r="AU328" s="694" t="e">
        <f t="shared" ca="1" si="5187"/>
        <v>#REF!</v>
      </c>
      <c r="AV328" s="698" t="str">
        <f ca="1">IFERROR(VLOOKUP(AU328,INDIRECT(AQ323),2,FALSE),"----")</f>
        <v>----</v>
      </c>
      <c r="AW328" s="702" t="e">
        <f t="shared" ca="1" si="5188"/>
        <v>#REF!</v>
      </c>
      <c r="AX328" s="698" t="str">
        <f ca="1">IFERROR(VLOOKUP(AW328,INDIRECT(AQ324),2,FALSE),"----")</f>
        <v>----</v>
      </c>
      <c r="AY328" s="702" t="e">
        <f t="shared" ref="AY328" ca="1" si="5669">AY327-1</f>
        <v>#REF!</v>
      </c>
      <c r="AZ328" s="698" t="str">
        <f ca="1">IFERROR(VLOOKUP(AY328,INDIRECT(AQ325),2,FALSE),"----")</f>
        <v>----</v>
      </c>
      <c r="BA328" s="702" t="e">
        <f t="shared" ref="BA328" ca="1" si="5670">BA327-1</f>
        <v>#REF!</v>
      </c>
      <c r="BB328" s="698" t="str">
        <f ca="1">IFERROR(VLOOKUP(BA328,INDIRECT(AQ326),2,FALSE),"----")</f>
        <v>----</v>
      </c>
      <c r="BC328" s="702" t="e">
        <f t="shared" ca="1" si="5191"/>
        <v>#REF!</v>
      </c>
      <c r="BD328" s="698" t="str">
        <f ca="1">IFERROR(VLOOKUP(BC328,INDIRECT(AQ327),2,FALSE),"----")</f>
        <v>----</v>
      </c>
      <c r="BE328" s="702" t="e">
        <f t="shared" ca="1" si="5192"/>
        <v>#REF!</v>
      </c>
      <c r="BF328" s="698" t="str">
        <f ca="1">IFERROR(VLOOKUP(BE328,INDIRECT(AQ328),2,FALSE),"----")</f>
        <v>----</v>
      </c>
      <c r="BG328" s="702" t="e">
        <f t="shared" ca="1" si="5193"/>
        <v>#REF!</v>
      </c>
      <c r="BH328" s="686" t="str">
        <f ca="1">IFERROR(VLOOKUP(BG328,INDIRECT(AQ329),2,FALSE),"----")</f>
        <v>----</v>
      </c>
      <c r="BI328" s="702" t="e">
        <f t="shared" ca="1" si="5194"/>
        <v>#REF!</v>
      </c>
      <c r="BJ328" s="686" t="str">
        <f ca="1">IFERROR(VLOOKUP(BI328,INDIRECT(AQ330),2,FALSE),"----")</f>
        <v>----</v>
      </c>
      <c r="BK328" s="702" t="e">
        <f t="shared" ca="1" si="5195"/>
        <v>#REF!</v>
      </c>
      <c r="BL328" s="686" t="str">
        <f ca="1">IFERROR(VLOOKUP(BK328,INDIRECT(AQ331),2,FALSE),"----")</f>
        <v>----</v>
      </c>
      <c r="BM328" s="702" t="e">
        <f t="shared" ca="1" si="5196"/>
        <v>#REF!</v>
      </c>
      <c r="BN328" s="686" t="str">
        <f ca="1">IFERROR(VLOOKUP(BM328,INDIRECT(AQ332),2,FALSE),"----")</f>
        <v>----</v>
      </c>
      <c r="BO328" s="702" t="e">
        <f t="shared" ca="1" si="5197"/>
        <v>#REF!</v>
      </c>
      <c r="BP328" s="686" t="str">
        <f ca="1">IFERROR(VLOOKUP(BO328,INDIRECT(AQ333),2,FALSE),"----")</f>
        <v>----</v>
      </c>
      <c r="BQ328" s="702" t="e">
        <f t="shared" ca="1" si="5198"/>
        <v>#REF!</v>
      </c>
      <c r="BR328" s="686" t="str">
        <f ca="1">IFERROR(VLOOKUP(BQ328,INDIRECT(AQ334),2,FALSE),"----")</f>
        <v>----</v>
      </c>
      <c r="BS328" s="703">
        <f>IF(AI328="",1,IF(COUNTIF(BF323:BF334,AI328)=0,2,1))</f>
        <v>1</v>
      </c>
      <c r="BT328" s="704">
        <f>IF(AF328="",1,IF(BF323=".",2,1))</f>
        <v>1</v>
      </c>
      <c r="BV328" s="155">
        <f ca="1">IF(COUNTIF(DD323:DD334,AF328)=0,IF(AF328&lt;&gt;"",0,1),1)</f>
        <v>1</v>
      </c>
      <c r="BW328" s="157">
        <f ca="1">IFERROR(MATCH(AF328,DD323:DD334,0),1)</f>
        <v>1</v>
      </c>
      <c r="BX328" s="875" t="s">
        <v>1594</v>
      </c>
      <c r="BY328" s="876"/>
      <c r="BZ328" s="1110"/>
      <c r="CA328" s="691" t="e">
        <f t="shared" ca="1" si="5588"/>
        <v>#REF!</v>
      </c>
      <c r="CB328" s="4" t="e" cm="1">
        <f t="array" aca="1" ref="CB328" ca="1">IF(AND(INDEX(INDIRECT(BY323),CA328,4)&gt;=$AB323,INDEX(INDIRECT(BY323),CA328,5)&gt;=$S323,INDEX(INDIRECT(BY323),CA328,6)&gt;=$R323),1,0)</f>
        <v>#REF!</v>
      </c>
      <c r="CC328" s="4" t="e">
        <f t="shared" ref="CC328" ca="1" si="5671">MATCH(1,OFFSET(CB323:CB334,CD327,0,COUNT(CB323:CB334)-CD327),0)</f>
        <v>#REF!</v>
      </c>
      <c r="CD328" s="4" t="e">
        <f t="shared" ca="1" si="5590"/>
        <v>#REF!</v>
      </c>
      <c r="CE328" s="692" t="str" cm="1">
        <f t="array" aca="1" ref="CE328" ca="1">IFERROR(VLOOKUP(INDEX(CA323:CA334,CD328),INDIRECT(BY323),2,FALSE),"----")</f>
        <v>----</v>
      </c>
      <c r="CF328" s="691" t="e">
        <f t="shared" ca="1" si="5591"/>
        <v>#N/A</v>
      </c>
      <c r="CG328" s="4" t="e">
        <f ca="1">IF(AND(INDEX(SSM,CF328,4)&gt;=$AB323,INDEX(SSM,CF328,5)&gt;=$S323,INDEX(SSM,CF328,6)&gt;=$R323),1,0)</f>
        <v>#N/A</v>
      </c>
      <c r="CH328" s="4" t="e">
        <f t="shared" ref="CH328" ca="1" si="5672">MATCH(1,OFFSET(CG323:CG334,CI327,0,COUNT(CG323:CG334)-CI327),0)</f>
        <v>#REF!</v>
      </c>
      <c r="CI328" s="4" t="e">
        <f t="shared" ca="1" si="5593"/>
        <v>#REF!</v>
      </c>
      <c r="CJ328" s="692" t="str">
        <f ca="1">IFERROR(IF(AD324="Nested Steel Stud (wood infill)",VLOOKUP(INDEX(CF323:CF334,CI328),SSW,2,FALSE),VLOOKUP(INDEX(CF323:CF334,CI328),SSM,2,FALSE)),"----")</f>
        <v>----</v>
      </c>
      <c r="CK328" s="691" t="e">
        <f t="shared" ca="1" si="5594"/>
        <v>#N/A</v>
      </c>
      <c r="CL328" s="4" t="e">
        <f ca="1">IF(AND(INDEX(WSM,CK328,4)&gt;=$AB323,INDEX(WSM,CK328,5)&gt;=$S323,INDEX(WSM,CK328,6)&gt;=$R323),1,0)</f>
        <v>#N/A</v>
      </c>
      <c r="CM328" s="4" t="e">
        <f t="shared" ref="CM328" ca="1" si="5673">MATCH(1,OFFSET(CL323:CL334,CN327,0,COUNT(CL323:CL334)-CN327),0)</f>
        <v>#REF!</v>
      </c>
      <c r="CN328" s="4" t="e">
        <f t="shared" ca="1" si="5596"/>
        <v>#REF!</v>
      </c>
      <c r="CO328" s="692" t="str">
        <f ca="1">IFERROR(VLOOKUP(INDEX(CK323:CK334,CN328),WSM,2,FALSE),"----")</f>
        <v>----</v>
      </c>
      <c r="CP328" s="691" t="e">
        <f t="shared" ca="1" si="5597"/>
        <v>#N/A</v>
      </c>
      <c r="CQ328" s="4" t="e">
        <f ca="1">IF(AND(INDEX(STM,CP328,4)&gt;=$AB323,INDEX(STM,CP328,5)&gt;=$S323,INDEX(STM,CP328,6)&gt;=$R323),1,0)</f>
        <v>#N/A</v>
      </c>
      <c r="CR328" s="4" t="e">
        <f t="shared" ref="CR328" ca="1" si="5674">MATCH(1,OFFSET(CQ323:CQ334,CS327,0,COUNT(CQ323:CQ334)-CS327),0)</f>
        <v>#REF!</v>
      </c>
      <c r="CS328" s="4" t="e">
        <f t="shared" ca="1" si="5599"/>
        <v>#REF!</v>
      </c>
      <c r="CT328" s="692" t="str">
        <f ca="1">IFERROR(VLOOKUP(INDEX(CP323:CP334,CS328),STM,2,FALSE),"----")</f>
        <v>----</v>
      </c>
      <c r="CU328" s="691" t="e">
        <f t="shared" ca="1" si="5600"/>
        <v>#N/A</v>
      </c>
      <c r="CV328" s="4" t="e">
        <f ca="1">IF(AND(INDEX(ELM,CU328,4)&gt;=$AB323,INDEX(ELM,CU328,5)&gt;=$S323,INDEX(ELM,CU328,6)&gt;=$R323),1,0)</f>
        <v>#N/A</v>
      </c>
      <c r="CW328" s="4" t="e">
        <f t="shared" ref="CW328" ca="1" si="5675">MATCH(1,OFFSET(CV323:CV334,CX327,0,COUNT(CV323:CV334)-CX327),0)</f>
        <v>#REF!</v>
      </c>
      <c r="CX328" s="4" t="e">
        <f t="shared" ca="1" si="5602"/>
        <v>#REF!</v>
      </c>
      <c r="CY328" s="692" t="str">
        <f ca="1">IFERROR(VLOOKUP(INDEX(CU323:CU334,CX328),ELM,2,FALSE),"----")</f>
        <v>----</v>
      </c>
      <c r="CZ328" s="691" t="e">
        <f t="shared" ca="1" si="5603"/>
        <v>#N/A</v>
      </c>
      <c r="DA328" s="4" t="e">
        <f ca="1">IF(LEFT($J323,7)="Clad Wo",IF(AND(INDEX(SPPWS,CZ328,4)&gt;=$AB323,INDEX(SPPWS,CZ328,5)&gt;=$S323,INDEX(SPPWS,CZ328,6)&gt;=$R323),1,0),IF(AND(INDEX(SPM,CZ328,4)&gt;=$AB323,INDEX(SPM,CZ328,5)&gt;=$S323,INDEX(SPM,CZ328,6)&gt;=$R323),1,0))</f>
        <v>#N/A</v>
      </c>
      <c r="DB328" s="4" t="e">
        <f t="shared" ref="DB328" ca="1" si="5676">MATCH(1,OFFSET(DA323:DA334,DC327,0,COUNT(DA323:DA334)-DC327),0)</f>
        <v>#REF!</v>
      </c>
      <c r="DC328" s="4" t="e">
        <f t="shared" ca="1" si="5605"/>
        <v>#REF!</v>
      </c>
      <c r="DD328" s="693" t="str">
        <f ca="1">IF(LEFT($J323,7)="Clad Wo",IFERROR(VLOOKUP(INDEX(CZ323:CZ334,DC328),SPPWS,2,FALSE),"----"),IFERROR(VLOOKUP(INDEX(CZ323:CZ334,DC328),SPM,2,FALSE),"----"))</f>
        <v>----</v>
      </c>
      <c r="DE328" s="691" t="e">
        <f t="shared" ca="1" si="5606"/>
        <v>#REF!</v>
      </c>
      <c r="DF328" s="4" t="e" cm="1">
        <f t="array" aca="1" ref="DF328" ca="1">IF(AND(INDEX(INDIRECT(BY323),DE328,4)&gt;=$AB329,INDEX(INDIRECT(BY323),DE328,5)&gt;=$S323,INDEX(INDIRECT(BY323),DE328,6)&gt;=$R323),1,0)</f>
        <v>#REF!</v>
      </c>
      <c r="DG328" s="4" t="e">
        <f t="shared" ref="DG328" ca="1" si="5677">MATCH(1,OFFSET(DF323:DF334,DH327,0,COUNT(DF323:DF334)-DH327),0)</f>
        <v>#REF!</v>
      </c>
      <c r="DH328" s="4" t="e">
        <f t="shared" ca="1" si="5608"/>
        <v>#REF!</v>
      </c>
      <c r="DI328" s="692" t="str" cm="1">
        <f t="array" aca="1" ref="DI328" ca="1">IFERROR(VLOOKUP(INDEX(DE323:DE334,DH328),INDIRECT(BY323),2,FALSE),"----")</f>
        <v>----</v>
      </c>
      <c r="DJ328" s="691" t="e">
        <f t="shared" ca="1" si="5609"/>
        <v>#N/A</v>
      </c>
      <c r="DK328" s="4" t="e">
        <f ca="1">IF(AND(INDEX(SSM,DJ328,4)&gt;=$AB329,INDEX(SSM,DJ328,5)&gt;=$S323,INDEX(SSM,DJ328,6)&gt;=$R323),1,0)</f>
        <v>#N/A</v>
      </c>
      <c r="DL328" s="4" t="e">
        <f t="shared" ref="DL328" ca="1" si="5678">MATCH(1,OFFSET(DK323:DK334,DM327,0,COUNT(DK323:DK334)-DM327),0)</f>
        <v>#REF!</v>
      </c>
      <c r="DM328" s="4" t="e">
        <f t="shared" ca="1" si="5611"/>
        <v>#REF!</v>
      </c>
      <c r="DN328" s="692" t="str">
        <f ca="1">IFERROR(IF(AD330="Nested Steel Stud (wood infill)",VLOOKUP(INDEX(DJ323:DJ334,DM328),SSW,2,FALSE),VLOOKUP(INDEX(DJ323:DJ334,DM328),SSM,2,FALSE)),"----")</f>
        <v>----</v>
      </c>
      <c r="DO328" s="691" t="e">
        <f t="shared" ca="1" si="5612"/>
        <v>#N/A</v>
      </c>
      <c r="DP328" s="4" t="e">
        <f ca="1">IF(AND(INDEX(WSM,DO328,4)&gt;=$AB329,INDEX(WSM,DO328,5)&gt;=$S323,INDEX(WSM,DO328,6)&gt;=$R323),1,0)</f>
        <v>#N/A</v>
      </c>
      <c r="DQ328" s="4" t="e">
        <f t="shared" ref="DQ328" ca="1" si="5679">MATCH(1,OFFSET(DP323:DP334,DR327,0,COUNT(DP323:DP334)-DR327),0)</f>
        <v>#REF!</v>
      </c>
      <c r="DR328" s="4" t="e">
        <f t="shared" ca="1" si="5614"/>
        <v>#REF!</v>
      </c>
      <c r="DS328" s="692" t="str">
        <f ca="1">IFERROR(VLOOKUP(INDEX(DO323:DO334,DR328),WSM,2,FALSE),"----")</f>
        <v>----</v>
      </c>
      <c r="DT328" s="691" t="e">
        <f t="shared" ca="1" si="5615"/>
        <v>#N/A</v>
      </c>
      <c r="DU328" s="4" t="e">
        <f ca="1">IF(AND(INDEX(STM,DT328,4)&gt;=$AB329,INDEX(STM,DT328,5)&gt;=$S323,INDEX(STM,DT328,6)&gt;=$R323),1,0)</f>
        <v>#N/A</v>
      </c>
      <c r="DV328" s="4" t="e">
        <f t="shared" ref="DV328" ca="1" si="5680">MATCH(1,OFFSET(DU323:DU334,DW327,0,COUNT(DU323:DU334)-DW327),0)</f>
        <v>#REF!</v>
      </c>
      <c r="DW328" s="4" t="e">
        <f t="shared" ca="1" si="5617"/>
        <v>#REF!</v>
      </c>
      <c r="DX328" s="692" t="str">
        <f ca="1">IFERROR(VLOOKUP(INDEX(DT323:DT334,DW328),STM,2,FALSE),"----")</f>
        <v>----</v>
      </c>
      <c r="DY328" s="691" t="e">
        <f t="shared" ca="1" si="5618"/>
        <v>#N/A</v>
      </c>
      <c r="DZ328" s="4" t="e">
        <f ca="1">IF(AND(INDEX(ELM,DY328,4)&gt;=$AB329,INDEX(ELM,DY328,5)&gt;=$S323,INDEX(ELM,DY328,6)&gt;=$R323),1,0)</f>
        <v>#N/A</v>
      </c>
      <c r="EA328" s="4" t="e">
        <f t="shared" ref="EA328" ca="1" si="5681">MATCH(1,OFFSET(DZ323:DZ334,EB327,0,COUNT(DZ323:DZ334)-EB327),0)</f>
        <v>#REF!</v>
      </c>
      <c r="EB328" s="4" t="e">
        <f t="shared" ca="1" si="5620"/>
        <v>#REF!</v>
      </c>
      <c r="EC328" s="692" t="str">
        <f ca="1">IFERROR(VLOOKUP(INDEX(DY323:DY334,EB328),ELM,2,FALSE),"----")</f>
        <v>----</v>
      </c>
      <c r="ED328" s="691" t="e">
        <f t="shared" ca="1" si="5621"/>
        <v>#N/A</v>
      </c>
      <c r="EE328" s="4" t="e">
        <f ca="1">IF(LEFT($J323,7)="Clad Wo",IF(AND(INDEX(SPPWS,ED328,4)&gt;=$AB329,INDEX(SPPWS,ED328,5)&gt;=$S323,INDEX(SPPWS,ED328,6)&gt;=$R323),1,0),IF(AND(INDEX(SPM,ED328,4)&gt;=$AB329,INDEX(SPM,ED328,5)&gt;=$S323,INDEX(SPM,ED328,6)&gt;=$R323),1,0))</f>
        <v>#N/A</v>
      </c>
      <c r="EF328" s="4" t="e">
        <f t="shared" ref="EF328" ca="1" si="5682">MATCH(1,OFFSET(EE323:EE334,EG327,0,COUNT(EE323:EE334)-EG327),0)</f>
        <v>#REF!</v>
      </c>
      <c r="EG328" s="4" t="e">
        <f t="shared" ca="1" si="5623"/>
        <v>#REF!</v>
      </c>
      <c r="EH328" s="692" t="str">
        <f ca="1">IF(LEFT($J323,7)="Clad Wo",IFERROR(VLOOKUP(INDEX(ED323:ED334,EG328),SPPWS,2,FALSE),"----"),IFERROR(VLOOKUP(INDEX(ED323:ED334,EG328),SPM,2,FALSE),"----"))</f>
        <v>----</v>
      </c>
    </row>
    <row r="329" spans="1:138" ht="15" customHeight="1" x14ac:dyDescent="0.25">
      <c r="A329" s="1085"/>
      <c r="B329" s="925" t="s">
        <v>409</v>
      </c>
      <c r="C329" s="926"/>
      <c r="D329" s="927"/>
      <c r="E329" s="995"/>
      <c r="F329" s="996"/>
      <c r="G329" s="997"/>
      <c r="H329" s="1062"/>
      <c r="I329" s="990"/>
      <c r="J329" s="908"/>
      <c r="K329" s="909"/>
      <c r="L329" s="1001">
        <f>L323+1</f>
        <v>5</v>
      </c>
      <c r="M329" s="1064" t="str">
        <f t="shared" ref="M329" si="5683">IFERROR(IF($AE$17="",IF($AG$19="Wind Loading",MIN($V$31,IF(E$11="ASCE 7-05",$U$26,$V$7)*$V$9*(IF($E$12&lt;60,0.156*LN(MAX(MIN(500,O323),10)) -1.7618,IF($E$11="ASCE 7-22", 0.2026*LN(MAX(MIN(500,O323),20))-2.2638,0.2503*LN(MAX(MIN(500,O323),20)) -2.5526))-$V$8)),$V$7*IF(E$12&lt;60,$V$13*($V$15*(0.156*LN(MAX(MIN(500,O323),10)) -1.7618)-$V$16),$V$13*$V$15*((0.2026*LN(MAX(MIN(500,O323),20))-2.2638)-$V$16))),-ABS($AE$17)),"")</f>
        <v/>
      </c>
      <c r="N329" s="1041" t="str">
        <f t="shared" ref="N329" si="5684">IFERROR(IF($AE$19="",IF($AG$19="Wind Loading",MAX($U$31,IF(E$11="ASCE 7-05",$U$26,$V$7)*$V$9*((IF($E$12&lt;60,-0.077*LN(MAX(MIN(500,O323),10))+1.1737,IF($E$11="ASCE 7-22",-0.077*LN(MAX(MIN(500,O323),20))+1.0798,-0.093*LN(MAX(MIN(500,O323),20))+1.1776)))+$V$8)),$V$7*IF(E$12&lt;60,$V$13*($V$15*(-0.077*LN(MAX(MIN(500,O323),10))+1.1737)-$V$17),$V$13*$V$15*((-0.077*LN(MAX(MIN(500,O323),20))+1.0798)-$V$17))),ABS($AE$19)),"")</f>
        <v/>
      </c>
      <c r="O329" s="1018"/>
      <c r="P329" s="987"/>
      <c r="Q329" s="1015"/>
      <c r="R329" s="1012">
        <f>P329*Q329/8</f>
        <v>0</v>
      </c>
      <c r="S329" s="1006"/>
      <c r="T329" s="1007"/>
      <c r="U329" s="878"/>
      <c r="V329" s="881"/>
      <c r="W329" s="883" t="e">
        <f t="shared" ref="W329" si="5685">MAX(-M329,N329)*O323</f>
        <v>#VALUE!</v>
      </c>
      <c r="X329" s="884"/>
      <c r="Y329" s="886">
        <f>IFERROR(IF(AG$14="Trapezoidal",BY332,BX332)+IF($E$17="4",(400*E323^3)/(48*X323),0),0)</f>
        <v>0</v>
      </c>
      <c r="Z329" s="886" t="e">
        <f t="shared" ref="Z329" si="5686">+($V323*MAX(-$M329,$N329)*$E323^2)/(144*8)+IF($E$17=4,(400*$E323)/4,0)</f>
        <v>#VALUE!</v>
      </c>
      <c r="AA329" s="887"/>
      <c r="AB329" s="1080" t="str">
        <f t="shared" ref="AB329" ca="1" si="5687">IFERROR(Z329-AA323,"")</f>
        <v/>
      </c>
      <c r="AC329" s="1086" t="str">
        <f t="shared" ref="AC329" ca="1" si="5688">IFERROR(Y329-U323,"")</f>
        <v/>
      </c>
      <c r="AD329" s="1074" t="str">
        <f t="shared" ref="AD329" si="5689">AD323</f>
        <v/>
      </c>
      <c r="AE329" s="1075"/>
      <c r="AF329" s="1056"/>
      <c r="AG329" s="1057"/>
      <c r="AH329" s="1057"/>
      <c r="AI329" s="1088"/>
      <c r="AJ329" s="1089"/>
      <c r="AK329" s="162" t="str">
        <f t="shared" ca="1" si="4947"/>
        <v/>
      </c>
      <c r="AL329" s="1058" t="str">
        <f t="shared" ref="AL329" si="5690">IFERROR(ROUND(SQRT(P323^2+(W329/2+IF($E$17=4,200,0))^2),0),"")</f>
        <v/>
      </c>
      <c r="AM329" s="342" t="s">
        <v>669</v>
      </c>
      <c r="AN329" t="str">
        <f t="shared" ca="1" si="4971"/>
        <v/>
      </c>
      <c r="AP329" s="122" t="str">
        <f t="shared" ref="AP329" si="5691">_xlfn.CONCAT(AR329,AS334)</f>
        <v/>
      </c>
      <c r="AQ329" s="683" t="str">
        <f t="shared" si="5170"/>
        <v/>
      </c>
      <c r="AR329" s="96" t="str">
        <f t="shared" si="4931"/>
        <v/>
      </c>
      <c r="AS329" s="96" t="str">
        <f>IF(COUNTIF(imp_1,AF329)=1,"imp_1",IF(COUNTIF(imp_2,AF329)=1,"imp_2",IF(COUNTIF(imp_3,AF329)=1,"imp_3",IF(COUNTIF(impdoor,AF329)=1,"impdoor",""))))</f>
        <v/>
      </c>
      <c r="AT329" s="684" t="str">
        <f>AL329</f>
        <v/>
      </c>
      <c r="AU329" s="685" t="e">
        <f t="shared" ca="1" si="5187"/>
        <v>#REF!</v>
      </c>
      <c r="AV329" s="686" t="str">
        <f ca="1">IFERROR(VLOOKUP(AU329,INDIRECT(AQ323),2,FALSE),"----")</f>
        <v>----</v>
      </c>
      <c r="AW329" s="685" t="e">
        <f t="shared" ca="1" si="5188"/>
        <v>#REF!</v>
      </c>
      <c r="AX329" s="686" t="str">
        <f ca="1">IFERROR(VLOOKUP(AW329,INDIRECT(AQ324),2,FALSE),"----")</f>
        <v>----</v>
      </c>
      <c r="AY329" s="685" t="e">
        <f t="shared" ca="1" si="5433"/>
        <v>#REF!</v>
      </c>
      <c r="AZ329" s="686" t="str">
        <f ca="1">IFERROR(VLOOKUP(AY329,INDIRECT(AQ325),2,FALSE),"----")</f>
        <v>----</v>
      </c>
      <c r="BA329" s="685" t="e">
        <f t="shared" ca="1" si="5434"/>
        <v>#REF!</v>
      </c>
      <c r="BB329" s="686" t="str">
        <f ca="1">IFERROR(VLOOKUP(BA329,INDIRECT(AQ326),2,FALSE),"----")</f>
        <v>----</v>
      </c>
      <c r="BC329" s="685" t="e">
        <f t="shared" ca="1" si="5191"/>
        <v>#REF!</v>
      </c>
      <c r="BD329" s="686" t="str">
        <f ca="1">IFERROR(VLOOKUP(BC329,INDIRECT(AQ327),2,FALSE),"----")</f>
        <v>----</v>
      </c>
      <c r="BE329" s="685" t="e">
        <f t="shared" ca="1" si="5192"/>
        <v>#REF!</v>
      </c>
      <c r="BF329" s="686" t="str">
        <f ca="1">IFERROR(VLOOKUP(BE329,INDIRECT(AQ328),2,FALSE),"----")</f>
        <v>----</v>
      </c>
      <c r="BG329" s="702" t="e">
        <f t="shared" ca="1" si="5193"/>
        <v>#REF!</v>
      </c>
      <c r="BH329" s="686" t="str">
        <f ca="1">IFERROR(VLOOKUP(BG329,INDIRECT(AQ329),2,FALSE),"----")</f>
        <v>----</v>
      </c>
      <c r="BI329" s="702" t="e">
        <f t="shared" ca="1" si="5194"/>
        <v>#REF!</v>
      </c>
      <c r="BJ329" s="686" t="str">
        <f ca="1">IFERROR(VLOOKUP(BI329,INDIRECT(AQ330),2,FALSE),"----")</f>
        <v>----</v>
      </c>
      <c r="BK329" s="702" t="e">
        <f t="shared" ca="1" si="5195"/>
        <v>#REF!</v>
      </c>
      <c r="BL329" s="686" t="str">
        <f ca="1">IFERROR(VLOOKUP(BK329,INDIRECT(AQ331),2,FALSE),"----")</f>
        <v>----</v>
      </c>
      <c r="BM329" s="702" t="e">
        <f t="shared" ca="1" si="5196"/>
        <v>#REF!</v>
      </c>
      <c r="BN329" s="686" t="str">
        <f ca="1">IFERROR(VLOOKUP(BM329,INDIRECT(AQ332),2,FALSE),"----")</f>
        <v>----</v>
      </c>
      <c r="BO329" s="702" t="e">
        <f t="shared" ca="1" si="5197"/>
        <v>#REF!</v>
      </c>
      <c r="BP329" s="686" t="str">
        <f ca="1">IFERROR(VLOOKUP(BO329,INDIRECT(AQ333),2,FALSE),"----")</f>
        <v>----</v>
      </c>
      <c r="BQ329" s="702" t="e">
        <f t="shared" ca="1" si="5198"/>
        <v>#REF!</v>
      </c>
      <c r="BR329" s="686" t="str">
        <f ca="1">IFERROR(VLOOKUP(BQ329,INDIRECT(AQ334),2,FALSE),"----")</f>
        <v>----</v>
      </c>
      <c r="BS329" s="695">
        <f>IF(AI329="",1,IF(COUNTIF(BH323:BH334,AI329)=0,2,1))</f>
        <v>1</v>
      </c>
      <c r="BT329" s="696">
        <f>IF(AP329="1",1,IF(AF329="",1,IF(BH323=".",2,1)))</f>
        <v>1</v>
      </c>
      <c r="BU329" s="706"/>
      <c r="BV329" s="155">
        <f ca="1">IF(COUNTIF(DI323:DI334,AF329)=0,IF(AF329&lt;&gt;"",0,1),1)</f>
        <v>1</v>
      </c>
      <c r="BW329" s="157">
        <f ca="1">IFERROR(MATCH(AF329,DI323:DI334,0),1)</f>
        <v>1</v>
      </c>
      <c r="BX329" s="769" t="s">
        <v>1593</v>
      </c>
      <c r="BY329" s="769" t="s">
        <v>1629</v>
      </c>
      <c r="BZ329" s="1110"/>
      <c r="CA329" s="691" t="e">
        <f t="shared" ca="1" si="5588"/>
        <v>#REF!</v>
      </c>
      <c r="CB329" s="4" t="e" cm="1">
        <f t="array" aca="1" ref="CB329" ca="1">IF(AND(INDEX(INDIRECT(BY323),CA329,4)&gt;=$AB323,INDEX(INDIRECT(BY323),CA329,5)&gt;=$S323,INDEX(INDIRECT(BY323),CA329,6)&gt;=$R323),1,0)</f>
        <v>#REF!</v>
      </c>
      <c r="CC329" s="4" t="e">
        <f t="shared" ref="CC329" ca="1" si="5692">MATCH(1,OFFSET(CB323:CB334,CD328,0,COUNT(CB323:CB334)-CD328),0)</f>
        <v>#REF!</v>
      </c>
      <c r="CD329" s="4" t="e">
        <f t="shared" ca="1" si="5590"/>
        <v>#REF!</v>
      </c>
      <c r="CE329" s="692" t="str" cm="1">
        <f t="array" aca="1" ref="CE329" ca="1">IFERROR(VLOOKUP(INDEX(CA323:CA334,CD329),INDIRECT(BY323),2,FALSE),"----")</f>
        <v>----</v>
      </c>
      <c r="CF329" s="691" t="e">
        <f t="shared" ca="1" si="5591"/>
        <v>#N/A</v>
      </c>
      <c r="CG329" s="4" t="e">
        <f ca="1">IF(AND(INDEX(SSM,CF329,4)&gt;=$AB323,INDEX(SSM,CF329,5)&gt;=$S323,INDEX(SSM,CF329,6)&gt;=$R323),1,0)</f>
        <v>#N/A</v>
      </c>
      <c r="CH329" s="4" t="e">
        <f t="shared" ref="CH329" ca="1" si="5693">MATCH(1,OFFSET(CG323:CG334,CI328,0,COUNT(CG323:CG334)-CI328),0)</f>
        <v>#REF!</v>
      </c>
      <c r="CI329" s="4" t="e">
        <f t="shared" ca="1" si="5593"/>
        <v>#REF!</v>
      </c>
      <c r="CJ329" s="692" t="str">
        <f ca="1">IFERROR(IF(AD324="Nested Steel Stud (wood infill)",VLOOKUP(INDEX(CF323:CF334,CI329),SSW,2,FALSE),VLOOKUP(INDEX(CF323:CF334,CI329),SSM,2,FALSE)),"----")</f>
        <v>----</v>
      </c>
      <c r="CK329" s="691" t="e">
        <f t="shared" ca="1" si="5594"/>
        <v>#N/A</v>
      </c>
      <c r="CL329" s="4" t="e">
        <f ca="1">IF(AND(INDEX(WSM,CK329,4)&gt;=$AB323,INDEX(WSM,CK329,5)&gt;=$S323,INDEX(WSM,CK329,6)&gt;=$R323),1,0)</f>
        <v>#N/A</v>
      </c>
      <c r="CM329" s="4" t="e">
        <f t="shared" ref="CM329" ca="1" si="5694">MATCH(1,OFFSET(CL323:CL334,CN328,0,COUNT(CL323:CL334)-CN328),0)</f>
        <v>#REF!</v>
      </c>
      <c r="CN329" s="4" t="e">
        <f t="shared" ca="1" si="5596"/>
        <v>#REF!</v>
      </c>
      <c r="CO329" s="692" t="str">
        <f ca="1">IFERROR(VLOOKUP(INDEX(CK323:CK334,CN329),WSM,2,FALSE),"----")</f>
        <v>----</v>
      </c>
      <c r="CP329" s="691" t="e">
        <f t="shared" ca="1" si="5597"/>
        <v>#N/A</v>
      </c>
      <c r="CQ329" s="4" t="e">
        <f ca="1">IF(AND(INDEX(STM,CP329,4)&gt;=$AB323,INDEX(STM,CP329,5)&gt;=$S323,INDEX(STM,CP329,6)&gt;=$R323),1,0)</f>
        <v>#N/A</v>
      </c>
      <c r="CR329" s="4" t="e">
        <f t="shared" ref="CR329" ca="1" si="5695">MATCH(1,OFFSET(CQ323:CQ334,CS328,0,COUNT(CQ323:CQ334)-CS328),0)</f>
        <v>#REF!</v>
      </c>
      <c r="CS329" s="4" t="e">
        <f t="shared" ca="1" si="5599"/>
        <v>#REF!</v>
      </c>
      <c r="CT329" s="692" t="str">
        <f ca="1">IFERROR(VLOOKUP(INDEX(CP323:CP334,CS329),STM,2,FALSE),"----")</f>
        <v>----</v>
      </c>
      <c r="CU329" s="691" t="e">
        <f t="shared" ca="1" si="5600"/>
        <v>#N/A</v>
      </c>
      <c r="CV329" s="4" t="e">
        <f ca="1">IF(AND(INDEX(ELM,CU329,4)&gt;=$AB323,INDEX(ELM,CU329,5)&gt;=$S323,INDEX(ELM,CU329,6)&gt;=$R323),1,0)</f>
        <v>#N/A</v>
      </c>
      <c r="CW329" s="4" t="e">
        <f t="shared" ref="CW329" ca="1" si="5696">MATCH(1,OFFSET(CV323:CV334,CX328,0,COUNT(CV323:CV334)-CX328),0)</f>
        <v>#REF!</v>
      </c>
      <c r="CX329" s="4" t="e">
        <f t="shared" ca="1" si="5602"/>
        <v>#REF!</v>
      </c>
      <c r="CY329" s="692" t="str">
        <f ca="1">IFERROR(VLOOKUP(INDEX(CU323:CU334,CX329),ELM,2,FALSE),"----")</f>
        <v>----</v>
      </c>
      <c r="CZ329" s="691" t="e">
        <f t="shared" ca="1" si="5603"/>
        <v>#N/A</v>
      </c>
      <c r="DA329" s="4" t="e">
        <f ca="1">IF(LEFT($J323,7)="Clad Wo",IF(AND(INDEX(SPPWS,CZ329,4)&gt;=$AB323,INDEX(SPPWS,CZ329,5)&gt;=$S323,INDEX(SPPWS,CZ329,6)&gt;=$R323),1,0),IF(AND(INDEX(SPM,CZ329,4)&gt;=$AB323,INDEX(SPM,CZ329,5)&gt;=$S323,INDEX(SPM,CZ329,6)&gt;=$R323),1,0))</f>
        <v>#N/A</v>
      </c>
      <c r="DB329" s="4" t="e">
        <f t="shared" ref="DB329" ca="1" si="5697">MATCH(1,OFFSET(DA323:DA334,DC328,0,COUNT(DA323:DA334)-DC328),0)</f>
        <v>#REF!</v>
      </c>
      <c r="DC329" s="4" t="e">
        <f t="shared" ca="1" si="5605"/>
        <v>#REF!</v>
      </c>
      <c r="DD329" s="693" t="str">
        <f ca="1">IF(LEFT($J323,7)="Clad Wo",IFERROR(VLOOKUP(INDEX(CZ323:CZ334,DC329),SPPWS,2,FALSE),"----"),IFERROR(VLOOKUP(INDEX(CZ323:CZ334,DC329),SPM,2,FALSE),"----"))</f>
        <v>----</v>
      </c>
      <c r="DE329" s="691" t="e">
        <f t="shared" ca="1" si="5606"/>
        <v>#REF!</v>
      </c>
      <c r="DF329" s="4" t="e" cm="1">
        <f t="array" aca="1" ref="DF329" ca="1">IF(AND(INDEX(INDIRECT(BY323),DE329,4)&gt;=$AB329,INDEX(INDIRECT(BY323),DE329,5)&gt;=$S323,INDEX(INDIRECT(BY323),DE329,6)&gt;=$R323),1,0)</f>
        <v>#REF!</v>
      </c>
      <c r="DG329" s="4" t="e">
        <f t="shared" ref="DG329" ca="1" si="5698">MATCH(1,OFFSET(DF323:DF334,DH328,0,COUNT(DF323:DF334)-DH328),0)</f>
        <v>#REF!</v>
      </c>
      <c r="DH329" s="4" t="e">
        <f t="shared" ca="1" si="5608"/>
        <v>#REF!</v>
      </c>
      <c r="DI329" s="692" t="str" cm="1">
        <f t="array" aca="1" ref="DI329" ca="1">IFERROR(VLOOKUP(INDEX(DE323:DE334,DH329),INDIRECT(BY323),2,FALSE),"----")</f>
        <v>----</v>
      </c>
      <c r="DJ329" s="691" t="e">
        <f t="shared" ca="1" si="5609"/>
        <v>#N/A</v>
      </c>
      <c r="DK329" s="4" t="e">
        <f ca="1">IF(AND(INDEX(SSM,DJ329,4)&gt;=$AB329,INDEX(SSM,DJ329,5)&gt;=$S323,INDEX(SSM,DJ329,6)&gt;=$R323),1,0)</f>
        <v>#N/A</v>
      </c>
      <c r="DL329" s="4" t="e">
        <f t="shared" ref="DL329" ca="1" si="5699">MATCH(1,OFFSET(DK323:DK334,DM328,0,COUNT(DK323:DK334)-DM328),0)</f>
        <v>#REF!</v>
      </c>
      <c r="DM329" s="4" t="e">
        <f t="shared" ca="1" si="5611"/>
        <v>#REF!</v>
      </c>
      <c r="DN329" s="692" t="str">
        <f ca="1">IFERROR(IF(AD330="Nested Steel Stud (wood infill)",VLOOKUP(INDEX(DJ323:DJ334,DM329),SSW,2,FALSE),VLOOKUP(INDEX(DJ323:DJ334,DM329),SSM,2,FALSE)),"----")</f>
        <v>----</v>
      </c>
      <c r="DO329" s="691" t="e">
        <f t="shared" ca="1" si="5612"/>
        <v>#N/A</v>
      </c>
      <c r="DP329" s="4" t="e">
        <f ca="1">IF(AND(INDEX(WSM,DO329,4)&gt;=$AB329,INDEX(WSM,DO329,5)&gt;=$S323,INDEX(WSM,DO329,6)&gt;=$R323),1,0)</f>
        <v>#N/A</v>
      </c>
      <c r="DQ329" s="4" t="e">
        <f t="shared" ref="DQ329" ca="1" si="5700">MATCH(1,OFFSET(DP323:DP334,DR328,0,COUNT(DP323:DP334)-DR328),0)</f>
        <v>#REF!</v>
      </c>
      <c r="DR329" s="4" t="e">
        <f t="shared" ca="1" si="5614"/>
        <v>#REF!</v>
      </c>
      <c r="DS329" s="692" t="str">
        <f ca="1">IFERROR(VLOOKUP(INDEX(DO323:DO334,DR329),WSM,2,FALSE),"----")</f>
        <v>----</v>
      </c>
      <c r="DT329" s="691" t="e">
        <f t="shared" ca="1" si="5615"/>
        <v>#N/A</v>
      </c>
      <c r="DU329" s="4" t="e">
        <f ca="1">IF(AND(INDEX(STM,DT329,4)&gt;=$AB329,INDEX(STM,DT329,5)&gt;=$S323,INDEX(STM,DT329,6)&gt;=$R323),1,0)</f>
        <v>#N/A</v>
      </c>
      <c r="DV329" s="4" t="e">
        <f t="shared" ref="DV329" ca="1" si="5701">MATCH(1,OFFSET(DU323:DU334,DW328,0,COUNT(DU323:DU334)-DW328),0)</f>
        <v>#REF!</v>
      </c>
      <c r="DW329" s="4" t="e">
        <f t="shared" ca="1" si="5617"/>
        <v>#REF!</v>
      </c>
      <c r="DX329" s="692" t="str">
        <f ca="1">IFERROR(VLOOKUP(INDEX(DT323:DT334,DW329),STM,2,FALSE),"----")</f>
        <v>----</v>
      </c>
      <c r="DY329" s="691" t="e">
        <f t="shared" ca="1" si="5618"/>
        <v>#N/A</v>
      </c>
      <c r="DZ329" s="4" t="e">
        <f ca="1">IF(AND(INDEX(ELM,DY329,4)&gt;=$AB329,INDEX(ELM,DY329,5)&gt;=$S323,INDEX(ELM,DY329,6)&gt;=$R323),1,0)</f>
        <v>#N/A</v>
      </c>
      <c r="EA329" s="4" t="e">
        <f t="shared" ref="EA329" ca="1" si="5702">MATCH(1,OFFSET(DZ323:DZ334,EB328,0,COUNT(DZ323:DZ334)-EB328),0)</f>
        <v>#REF!</v>
      </c>
      <c r="EB329" s="4" t="e">
        <f t="shared" ca="1" si="5620"/>
        <v>#REF!</v>
      </c>
      <c r="EC329" s="692" t="str">
        <f ca="1">IFERROR(VLOOKUP(INDEX(DY323:DY334,EB329),ELM,2,FALSE),"----")</f>
        <v>----</v>
      </c>
      <c r="ED329" s="691" t="e">
        <f t="shared" ca="1" si="5621"/>
        <v>#N/A</v>
      </c>
      <c r="EE329" s="4" t="e">
        <f ca="1">IF(LEFT($J323,7)="Clad Wo",IF(AND(INDEX(SPPWS,ED329,4)&gt;=$AB329,INDEX(SPPWS,ED329,5)&gt;=$S323,INDEX(SPPWS,ED329,6)&gt;=$R323),1,0),IF(AND(INDEX(SPM,ED329,4)&gt;=$AB329,INDEX(SPM,ED329,5)&gt;=$S323,INDEX(SPM,ED329,6)&gt;=$R323),1,0))</f>
        <v>#N/A</v>
      </c>
      <c r="EF329" s="4" t="e">
        <f t="shared" ref="EF329" ca="1" si="5703">MATCH(1,OFFSET(EE323:EE334,EG328,0,COUNT(EE323:EE334)-EG328),0)</f>
        <v>#REF!</v>
      </c>
      <c r="EG329" s="4" t="e">
        <f t="shared" ca="1" si="5623"/>
        <v>#REF!</v>
      </c>
      <c r="EH329" s="692" t="str">
        <f ca="1">IF(LEFT($J323,7)="Clad Wo",IFERROR(VLOOKUP(INDEX(ED323:ED334,EG329),SPPWS,2,FALSE),"----"),IFERROR(VLOOKUP(INDEX(ED323:ED334,EG329),SPM,2,FALSE),"----"))</f>
        <v>----</v>
      </c>
    </row>
    <row r="330" spans="1:138" ht="15" customHeight="1" x14ac:dyDescent="0.25">
      <c r="A330" s="1085"/>
      <c r="B330" s="925"/>
      <c r="C330" s="926"/>
      <c r="D330" s="927"/>
      <c r="E330" s="995"/>
      <c r="F330" s="996"/>
      <c r="G330" s="997"/>
      <c r="H330" s="1062"/>
      <c r="I330" s="990"/>
      <c r="J330" s="912"/>
      <c r="K330" s="913"/>
      <c r="L330" s="1002"/>
      <c r="M330" s="923"/>
      <c r="N330" s="1042"/>
      <c r="O330" s="1018"/>
      <c r="P330" s="987"/>
      <c r="Q330" s="1015"/>
      <c r="R330" s="1012"/>
      <c r="S330" s="1006"/>
      <c r="T330" s="1007"/>
      <c r="U330" s="878"/>
      <c r="V330" s="881"/>
      <c r="W330" s="884"/>
      <c r="X330" s="884"/>
      <c r="Y330" s="887"/>
      <c r="Z330" s="887"/>
      <c r="AA330" s="887"/>
      <c r="AB330" s="1081"/>
      <c r="AC330" s="1078"/>
      <c r="AD330" s="1070" t="str">
        <f t="shared" ref="AD330" si="5704">IF(ISBLANK(AD324)=TRUE,"",AD324)</f>
        <v>Nested Steel Stud</v>
      </c>
      <c r="AE330" s="1071"/>
      <c r="AF330" s="1052"/>
      <c r="AG330" s="1053"/>
      <c r="AH330" s="1053"/>
      <c r="AI330" s="1066"/>
      <c r="AJ330" s="1067"/>
      <c r="AK330" s="156" t="str">
        <f t="shared" ca="1" si="4947"/>
        <v/>
      </c>
      <c r="AL330" s="1059"/>
      <c r="AM330" s="343" t="str">
        <f ca="1">IFERROR(Q323/12*ROUND(VLOOKUP(AF330,OFFSET(SSM,0,1),6,FALSE),2),"")</f>
        <v/>
      </c>
      <c r="AN330" t="str">
        <f t="shared" ca="1" si="4971"/>
        <v/>
      </c>
      <c r="AP330" s="122" t="str">
        <f t="shared" ref="AP330" si="5705">_xlfn.CONCAT(AR330,AS334)</f>
        <v/>
      </c>
      <c r="AQ330" s="683" t="str">
        <f t="shared" si="5170"/>
        <v/>
      </c>
      <c r="AR330" s="96" t="str">
        <f t="shared" si="4931"/>
        <v/>
      </c>
      <c r="AS330" s="96" t="str">
        <f>IF(COUNTIF(Vista_1,AF329)=1,"Vista_1",IF(COUNTIF(Vista_2,AF329)=1,"Vista_2",""))</f>
        <v/>
      </c>
      <c r="AT330" s="684" t="str">
        <f>AL329</f>
        <v/>
      </c>
      <c r="AU330" s="694" t="e">
        <f t="shared" ca="1" si="5187"/>
        <v>#REF!</v>
      </c>
      <c r="AV330" s="686" t="str">
        <f ca="1">IFERROR(VLOOKUP(AU330,INDIRECT(AQ323),2,FALSE),"----")</f>
        <v>----</v>
      </c>
      <c r="AW330" s="694" t="e">
        <f t="shared" ca="1" si="5188"/>
        <v>#REF!</v>
      </c>
      <c r="AX330" s="686" t="str">
        <f ca="1">IFERROR(VLOOKUP(AW330,INDIRECT(AQ324),2,FALSE),"----")</f>
        <v>----</v>
      </c>
      <c r="AY330" s="694" t="e">
        <f t="shared" ca="1" si="5433"/>
        <v>#REF!</v>
      </c>
      <c r="AZ330" s="686" t="str">
        <f ca="1">IFERROR(VLOOKUP(AY330,INDIRECT(AQ325),2,FALSE),"----")</f>
        <v>----</v>
      </c>
      <c r="BA330" s="694" t="e">
        <f t="shared" ca="1" si="5434"/>
        <v>#REF!</v>
      </c>
      <c r="BB330" s="686" t="str">
        <f ca="1">IFERROR(VLOOKUP(BA330,INDIRECT(AQ326),2,FALSE),"----")</f>
        <v>----</v>
      </c>
      <c r="BC330" s="694" t="e">
        <f t="shared" ca="1" si="5191"/>
        <v>#REF!</v>
      </c>
      <c r="BD330" s="686" t="str">
        <f ca="1">IFERROR(VLOOKUP(BC330,INDIRECT(AQ327),2,FALSE),"----")</f>
        <v>----</v>
      </c>
      <c r="BE330" s="694" t="e">
        <f t="shared" ca="1" si="5192"/>
        <v>#REF!</v>
      </c>
      <c r="BF330" s="686" t="str">
        <f ca="1">IFERROR(VLOOKUP(BE330,INDIRECT(AQ328),2,FALSE),"----")</f>
        <v>----</v>
      </c>
      <c r="BG330" s="702" t="e">
        <f t="shared" ca="1" si="5193"/>
        <v>#REF!</v>
      </c>
      <c r="BH330" s="686" t="str">
        <f ca="1">IFERROR(VLOOKUP(BG330,INDIRECT(AQ329),2,FALSE),"----")</f>
        <v>----</v>
      </c>
      <c r="BI330" s="702" t="e">
        <f t="shared" ca="1" si="5194"/>
        <v>#REF!</v>
      </c>
      <c r="BJ330" s="686" t="str">
        <f ca="1">IFERROR(VLOOKUP(BI330,INDIRECT(AQ330),2,FALSE),"----")</f>
        <v>----</v>
      </c>
      <c r="BK330" s="702" t="e">
        <f t="shared" ca="1" si="5195"/>
        <v>#REF!</v>
      </c>
      <c r="BL330" s="686" t="str">
        <f ca="1">IFERROR(VLOOKUP(BK330,INDIRECT(AQ331),2,FALSE),"----")</f>
        <v>----</v>
      </c>
      <c r="BM330" s="702" t="e">
        <f t="shared" ca="1" si="5196"/>
        <v>#REF!</v>
      </c>
      <c r="BN330" s="686" t="str">
        <f ca="1">IFERROR(VLOOKUP(BM330,INDIRECT(AQ332),2,FALSE),"----")</f>
        <v>----</v>
      </c>
      <c r="BO330" s="702" t="e">
        <f t="shared" ca="1" si="5197"/>
        <v>#REF!</v>
      </c>
      <c r="BP330" s="686" t="str">
        <f ca="1">IFERROR(VLOOKUP(BO330,INDIRECT(AQ333),2,FALSE),"----")</f>
        <v>----</v>
      </c>
      <c r="BQ330" s="702" t="e">
        <f t="shared" ca="1" si="5198"/>
        <v>#REF!</v>
      </c>
      <c r="BR330" s="686" t="str">
        <f ca="1">IFERROR(VLOOKUP(BQ330,INDIRECT(AQ334),2,FALSE),"----")</f>
        <v>----</v>
      </c>
      <c r="BS330" s="695">
        <f>IF(AI330="",1,IF(COUNTIF(BJ323:BJ334,AI330)=0,2,1))</f>
        <v>1</v>
      </c>
      <c r="BT330" s="696">
        <f>IF(AF330="",1,IF(BJ323=".",2,1))</f>
        <v>1</v>
      </c>
      <c r="BU330" s="706"/>
      <c r="BV330" s="155">
        <f ca="1">IF(COUNTIF(DN323:DN334,AF330)=0,IF(AF330&lt;&gt;"",0,1),1)</f>
        <v>1</v>
      </c>
      <c r="BW330" s="157">
        <f ca="1">IFERROR(MATCH(AF330,DN323:DN334,0),1)</f>
        <v>1</v>
      </c>
      <c r="BX330" s="769">
        <f t="shared" ref="BX330" si="5706">E323*(H323+I323)/144/2</f>
        <v>0</v>
      </c>
      <c r="BY330" s="769">
        <f>SUM(IF(H323&gt;E323,E323^2/4,(H323*E323/2)-(H323^2/4))/144,IF(I323&gt;E323,E323^2/4,(I323*E323/2)-(I323^2/4))/144)</f>
        <v>0</v>
      </c>
      <c r="BZ330" s="1110"/>
      <c r="CA330" s="691" t="e">
        <f t="shared" ca="1" si="5588"/>
        <v>#REF!</v>
      </c>
      <c r="CB330" s="4" t="e" cm="1">
        <f t="array" aca="1" ref="CB330" ca="1">IF(AND(INDEX(INDIRECT(BY323),CA330,4)&gt;=$AB323,INDEX(INDIRECT(BY323),CA330,5)&gt;=$S323,INDEX(INDIRECT(BY323),CA330,6)&gt;=$R323),1,0)</f>
        <v>#REF!</v>
      </c>
      <c r="CC330" s="4" t="e">
        <f t="shared" ref="CC330" ca="1" si="5707">MATCH(1,OFFSET(CB323:CB334,CD329,0,COUNT(CB323:CB334)-CD329),0)</f>
        <v>#REF!</v>
      </c>
      <c r="CD330" s="4" t="e">
        <f t="shared" ca="1" si="5590"/>
        <v>#REF!</v>
      </c>
      <c r="CE330" s="692" t="str" cm="1">
        <f t="array" aca="1" ref="CE330" ca="1">IFERROR(VLOOKUP(INDEX(CA323:CA334,CD330),INDIRECT(BY323),2,FALSE),"----")</f>
        <v>----</v>
      </c>
      <c r="CF330" s="691" t="e">
        <f t="shared" ca="1" si="5591"/>
        <v>#N/A</v>
      </c>
      <c r="CG330" s="4" t="e">
        <f ca="1">IF(AND(INDEX(SSM,CF330,4)&gt;=$AB323,INDEX(SSM,CF330,5)&gt;=$S323,INDEX(SSM,CF330,6)&gt;=$R323),1,0)</f>
        <v>#N/A</v>
      </c>
      <c r="CH330" s="4" t="e">
        <f t="shared" ref="CH330" ca="1" si="5708">MATCH(1,OFFSET(CG323:CG334,CI329,0,COUNT(CG323:CG334)-CI329),0)</f>
        <v>#REF!</v>
      </c>
      <c r="CI330" s="4" t="e">
        <f t="shared" ca="1" si="5593"/>
        <v>#REF!</v>
      </c>
      <c r="CJ330" s="692" t="str">
        <f ca="1">IFERROR(IF(AD324="Nested Steel Stud (wood infill)",VLOOKUP(INDEX(CF323:CF334,CI330),SSW,2,FALSE),VLOOKUP(INDEX(CF323:CF334,CI330),SSM,2,FALSE)),"----")</f>
        <v>----</v>
      </c>
      <c r="CK330" s="691" t="e">
        <f t="shared" ca="1" si="5594"/>
        <v>#N/A</v>
      </c>
      <c r="CL330" s="4" t="e">
        <f ca="1">IF(AND(INDEX(WSM,CK330,4)&gt;=$AB323,INDEX(WSM,CK330,5)&gt;=$S323,INDEX(WSM,CK330,6)&gt;=$R323),1,0)</f>
        <v>#N/A</v>
      </c>
      <c r="CM330" s="4" t="e">
        <f t="shared" ref="CM330" ca="1" si="5709">MATCH(1,OFFSET(CL323:CL334,CN329,0,COUNT(CL323:CL334)-CN329),0)</f>
        <v>#REF!</v>
      </c>
      <c r="CN330" s="4" t="e">
        <f t="shared" ca="1" si="5596"/>
        <v>#REF!</v>
      </c>
      <c r="CO330" s="692" t="str">
        <f ca="1">IFERROR(VLOOKUP(INDEX(CK323:CK334,CN330),WSM,2,FALSE),"----")</f>
        <v>----</v>
      </c>
      <c r="CP330" s="691" t="e">
        <f t="shared" ca="1" si="5597"/>
        <v>#N/A</v>
      </c>
      <c r="CQ330" s="4" t="e">
        <f ca="1">IF(AND(INDEX(STM,CP330,4)&gt;=$AB323,INDEX(STM,CP330,5)&gt;=$S323,INDEX(STM,CP330,6)&gt;=$R323),1,0)</f>
        <v>#N/A</v>
      </c>
      <c r="CR330" s="4" t="e">
        <f t="shared" ref="CR330" ca="1" si="5710">MATCH(1,OFFSET(CQ323:CQ334,CS329,0,COUNT(CQ323:CQ334)-CS329),0)</f>
        <v>#REF!</v>
      </c>
      <c r="CS330" s="4" t="e">
        <f t="shared" ca="1" si="5599"/>
        <v>#REF!</v>
      </c>
      <c r="CT330" s="692" t="str">
        <f ca="1">IFERROR(VLOOKUP(INDEX(CP323:CP334,CS330),STM,2,FALSE),"----")</f>
        <v>----</v>
      </c>
      <c r="CU330" s="691" t="e">
        <f t="shared" ca="1" si="5600"/>
        <v>#N/A</v>
      </c>
      <c r="CV330" s="4" t="e">
        <f ca="1">IF(AND(INDEX(ELM,CU330,4)&gt;=$AB323,INDEX(ELM,CU330,5)&gt;=$S323,INDEX(ELM,CU330,6)&gt;=$R323),1,0)</f>
        <v>#N/A</v>
      </c>
      <c r="CW330" s="4" t="e">
        <f t="shared" ref="CW330" ca="1" si="5711">MATCH(1,OFFSET(CV323:CV334,CX329,0,COUNT(CV323:CV334)-CX329),0)</f>
        <v>#REF!</v>
      </c>
      <c r="CX330" s="4" t="e">
        <f t="shared" ca="1" si="5602"/>
        <v>#REF!</v>
      </c>
      <c r="CY330" s="692" t="str">
        <f ca="1">IFERROR(VLOOKUP(INDEX(CU323:CU334,CX330),ELM,2,FALSE),"----")</f>
        <v>----</v>
      </c>
      <c r="CZ330" s="691" t="e">
        <f t="shared" ca="1" si="5603"/>
        <v>#N/A</v>
      </c>
      <c r="DA330" s="4" t="e">
        <f ca="1">IF(LEFT($J323,7)="Clad Wo",IF(AND(INDEX(SPPWS,CZ330,4)&gt;=$AB323,INDEX(SPPWS,CZ330,5)&gt;=$S323,INDEX(SPPWS,CZ330,6)&gt;=$R323),1,0),IF(AND(INDEX(SPM,CZ330,4)&gt;=$AB323,INDEX(SPM,CZ330,5)&gt;=$S323,INDEX(SPM,CZ330,6)&gt;=$R323),1,0))</f>
        <v>#N/A</v>
      </c>
      <c r="DB330" s="4" t="e">
        <f t="shared" ref="DB330" ca="1" si="5712">MATCH(1,OFFSET(DA323:DA334,DC329,0,COUNT(DA323:DA334)-DC329),0)</f>
        <v>#REF!</v>
      </c>
      <c r="DC330" s="4" t="e">
        <f t="shared" ca="1" si="5605"/>
        <v>#REF!</v>
      </c>
      <c r="DD330" s="693" t="str">
        <f ca="1">IF(LEFT($J323,7)="Clad Wo",IFERROR(VLOOKUP(INDEX(CZ323:CZ334,DC330),SPPWS,2,FALSE),"----"),IFERROR(VLOOKUP(INDEX(CZ323:CZ334,DC330),SPM,2,FALSE),"----"))</f>
        <v>----</v>
      </c>
      <c r="DE330" s="691" t="e">
        <f t="shared" ca="1" si="5606"/>
        <v>#REF!</v>
      </c>
      <c r="DF330" s="4" t="e" cm="1">
        <f t="array" aca="1" ref="DF330" ca="1">IF(AND(INDEX(INDIRECT(BY323),DE330,4)&gt;=$AB329,INDEX(INDIRECT(BY323),DE330,5)&gt;=$S323,INDEX(INDIRECT(BY323),DE330,6)&gt;=$R323),1,0)</f>
        <v>#REF!</v>
      </c>
      <c r="DG330" s="4" t="e">
        <f t="shared" ref="DG330" ca="1" si="5713">MATCH(1,OFFSET(DF323:DF334,DH329,0,COUNT(DF323:DF334)-DH329),0)</f>
        <v>#REF!</v>
      </c>
      <c r="DH330" s="4" t="e">
        <f t="shared" ca="1" si="5608"/>
        <v>#REF!</v>
      </c>
      <c r="DI330" s="692" t="str" cm="1">
        <f t="array" aca="1" ref="DI330" ca="1">IFERROR(VLOOKUP(INDEX(DE323:DE334,DH330),INDIRECT(BY323),2,FALSE),"----")</f>
        <v>----</v>
      </c>
      <c r="DJ330" s="691" t="e">
        <f t="shared" ca="1" si="5609"/>
        <v>#N/A</v>
      </c>
      <c r="DK330" s="4" t="e">
        <f ca="1">IF(AND(INDEX(SSM,DJ330,4)&gt;=$AB329,INDEX(SSM,DJ330,5)&gt;=$S323,INDEX(SSM,DJ330,6)&gt;=$R323),1,0)</f>
        <v>#N/A</v>
      </c>
      <c r="DL330" s="4" t="e">
        <f t="shared" ref="DL330" ca="1" si="5714">MATCH(1,OFFSET(DK323:DK334,DM329,0,COUNT(DK323:DK334)-DM329),0)</f>
        <v>#REF!</v>
      </c>
      <c r="DM330" s="4" t="e">
        <f t="shared" ca="1" si="5611"/>
        <v>#REF!</v>
      </c>
      <c r="DN330" s="692" t="str">
        <f ca="1">IFERROR(IF(AD330="Nested Steel Stud (wood infill)",VLOOKUP(INDEX(DJ323:DJ334,DM330),SSW,2,FALSE),VLOOKUP(INDEX(DJ323:DJ334,DM330),SSM,2,FALSE)),"----")</f>
        <v>----</v>
      </c>
      <c r="DO330" s="691" t="e">
        <f t="shared" ca="1" si="5612"/>
        <v>#N/A</v>
      </c>
      <c r="DP330" s="4" t="e">
        <f ca="1">IF(AND(INDEX(WSM,DO330,4)&gt;=$AB329,INDEX(WSM,DO330,5)&gt;=$S323,INDEX(WSM,DO330,6)&gt;=$R323),1,0)</f>
        <v>#N/A</v>
      </c>
      <c r="DQ330" s="4" t="e">
        <f t="shared" ref="DQ330" ca="1" si="5715">MATCH(1,OFFSET(DP323:DP334,DR329,0,COUNT(DP323:DP334)-DR329),0)</f>
        <v>#REF!</v>
      </c>
      <c r="DR330" s="4" t="e">
        <f t="shared" ca="1" si="5614"/>
        <v>#REF!</v>
      </c>
      <c r="DS330" s="692" t="str">
        <f ca="1">IFERROR(VLOOKUP(INDEX(DO323:DO334,DR330),WSM,2,FALSE),"----")</f>
        <v>----</v>
      </c>
      <c r="DT330" s="691" t="e">
        <f t="shared" ca="1" si="5615"/>
        <v>#N/A</v>
      </c>
      <c r="DU330" s="4" t="e">
        <f ca="1">IF(AND(INDEX(STM,DT330,4)&gt;=$AB329,INDEX(STM,DT330,5)&gt;=$S323,INDEX(STM,DT330,6)&gt;=$R323),1,0)</f>
        <v>#N/A</v>
      </c>
      <c r="DV330" s="4" t="e">
        <f t="shared" ref="DV330" ca="1" si="5716">MATCH(1,OFFSET(DU323:DU334,DW329,0,COUNT(DU323:DU334)-DW329),0)</f>
        <v>#REF!</v>
      </c>
      <c r="DW330" s="4" t="e">
        <f t="shared" ca="1" si="5617"/>
        <v>#REF!</v>
      </c>
      <c r="DX330" s="692" t="str">
        <f ca="1">IFERROR(VLOOKUP(INDEX(DT323:DT334,DW330),STM,2,FALSE),"----")</f>
        <v>----</v>
      </c>
      <c r="DY330" s="691" t="e">
        <f t="shared" ca="1" si="5618"/>
        <v>#N/A</v>
      </c>
      <c r="DZ330" s="4" t="e">
        <f ca="1">IF(AND(INDEX(ELM,DY330,4)&gt;=$AB329,INDEX(ELM,DY330,5)&gt;=$S323,INDEX(ELM,DY330,6)&gt;=$R323),1,0)</f>
        <v>#N/A</v>
      </c>
      <c r="EA330" s="4" t="e">
        <f t="shared" ref="EA330" ca="1" si="5717">MATCH(1,OFFSET(DZ323:DZ334,EB329,0,COUNT(DZ323:DZ334)-EB329),0)</f>
        <v>#REF!</v>
      </c>
      <c r="EB330" s="4" t="e">
        <f t="shared" ca="1" si="5620"/>
        <v>#REF!</v>
      </c>
      <c r="EC330" s="692" t="str">
        <f ca="1">IFERROR(VLOOKUP(INDEX(DY323:DY334,EB330),ELM,2,FALSE),"----")</f>
        <v>----</v>
      </c>
      <c r="ED330" s="691" t="e">
        <f t="shared" ca="1" si="5621"/>
        <v>#N/A</v>
      </c>
      <c r="EE330" s="4" t="e">
        <f ca="1">IF(LEFT($J323,7)="Clad Wo",IF(AND(INDEX(SPPWS,ED330,4)&gt;=$AB329,INDEX(SPPWS,ED330,5)&gt;=$S323,INDEX(SPPWS,ED330,6)&gt;=$R323),1,0),IF(AND(INDEX(SPM,ED330,4)&gt;=$AB329,INDEX(SPM,ED330,5)&gt;=$S323,INDEX(SPM,ED330,6)&gt;=$R323),1,0))</f>
        <v>#N/A</v>
      </c>
      <c r="EF330" s="4" t="e">
        <f t="shared" ref="EF330" ca="1" si="5718">MATCH(1,OFFSET(EE323:EE334,EG329,0,COUNT(EE323:EE334)-EG329),0)</f>
        <v>#REF!</v>
      </c>
      <c r="EG330" s="4" t="e">
        <f t="shared" ca="1" si="5623"/>
        <v>#REF!</v>
      </c>
      <c r="EH330" s="692" t="str">
        <f ca="1">IF(LEFT($J323,7)="Clad Wo",IFERROR(VLOOKUP(INDEX(ED323:ED334,EG330),SPPWS,2,FALSE),"----"),IFERROR(VLOOKUP(INDEX(ED323:ED334,EG330),SPM,2,FALSE),"----"))</f>
        <v>----</v>
      </c>
    </row>
    <row r="331" spans="1:138" ht="15" customHeight="1" x14ac:dyDescent="0.25">
      <c r="A331" s="1085"/>
      <c r="B331" s="925"/>
      <c r="C331" s="926"/>
      <c r="D331" s="927"/>
      <c r="E331" s="995"/>
      <c r="F331" s="996"/>
      <c r="G331" s="997"/>
      <c r="H331" s="1062"/>
      <c r="I331" s="990"/>
      <c r="J331" s="902"/>
      <c r="K331" s="903"/>
      <c r="L331" s="1002"/>
      <c r="M331" s="923"/>
      <c r="N331" s="1042"/>
      <c r="O331" s="1018"/>
      <c r="P331" s="987"/>
      <c r="Q331" s="1015"/>
      <c r="R331" s="1012"/>
      <c r="S331" s="1006"/>
      <c r="T331" s="1007"/>
      <c r="U331" s="878"/>
      <c r="V331" s="881"/>
      <c r="W331" s="884"/>
      <c r="X331" s="884"/>
      <c r="Y331" s="887"/>
      <c r="Z331" s="887"/>
      <c r="AA331" s="887"/>
      <c r="AB331" s="1081"/>
      <c r="AC331" s="1078"/>
      <c r="AD331" s="1070" t="str">
        <f t="shared" si="4522"/>
        <v>Wood Stud Framing</v>
      </c>
      <c r="AE331" s="1071"/>
      <c r="AF331" s="1052"/>
      <c r="AG331" s="1053"/>
      <c r="AH331" s="1053"/>
      <c r="AI331" s="1066"/>
      <c r="AJ331" s="1067"/>
      <c r="AK331" s="156" t="str">
        <f t="shared" ca="1" si="4947"/>
        <v/>
      </c>
      <c r="AL331" s="1059"/>
      <c r="AM331" s="344" t="str">
        <f ca="1">IFERROR(Q323/12*ROUND(VLOOKUP(AF331,OFFSET(WSM,0,1),6,FALSE),2),"")</f>
        <v/>
      </c>
      <c r="AN331" t="str">
        <f t="shared" ca="1" si="4971"/>
        <v/>
      </c>
      <c r="AP331" s="122" t="str">
        <f t="shared" ref="AP331" si="5719">_xlfn.CONCAT(AR331,AS334)</f>
        <v/>
      </c>
      <c r="AQ331" s="683" t="str">
        <f t="shared" si="5170"/>
        <v/>
      </c>
      <c r="AR331" s="4" t="str">
        <f t="shared" si="4931"/>
        <v/>
      </c>
      <c r="AS331" s="4"/>
      <c r="AT331" s="697" t="str">
        <f>AL329</f>
        <v/>
      </c>
      <c r="AU331" s="694" t="e">
        <f t="shared" ca="1" si="5187"/>
        <v>#REF!</v>
      </c>
      <c r="AV331" s="686" t="str">
        <f ca="1">IFERROR(VLOOKUP(AU331,INDIRECT(AQ323),2,FALSE),"----")</f>
        <v>----</v>
      </c>
      <c r="AW331" s="694" t="e">
        <f t="shared" ca="1" si="5188"/>
        <v>#REF!</v>
      </c>
      <c r="AX331" s="686" t="str">
        <f ca="1">IFERROR(VLOOKUP(AW331,INDIRECT(AQ324),2,FALSE),"----")</f>
        <v>----</v>
      </c>
      <c r="AY331" s="694" t="e">
        <f t="shared" ca="1" si="5433"/>
        <v>#REF!</v>
      </c>
      <c r="AZ331" s="686" t="str">
        <f ca="1">IFERROR(VLOOKUP(AY331,INDIRECT(AQ325),2,FALSE),"----")</f>
        <v>----</v>
      </c>
      <c r="BA331" s="694" t="e">
        <f t="shared" ca="1" si="5434"/>
        <v>#REF!</v>
      </c>
      <c r="BB331" s="686" t="str">
        <f ca="1">IFERROR(VLOOKUP(BA331,INDIRECT(AQ326),2,FALSE),"----")</f>
        <v>----</v>
      </c>
      <c r="BC331" s="694" t="e">
        <f t="shared" ca="1" si="5191"/>
        <v>#REF!</v>
      </c>
      <c r="BD331" s="686" t="str">
        <f ca="1">IFERROR(VLOOKUP(BC331,INDIRECT(AQ327),2,FALSE),"----")</f>
        <v>----</v>
      </c>
      <c r="BE331" s="694" t="e">
        <f t="shared" ca="1" si="5192"/>
        <v>#REF!</v>
      </c>
      <c r="BF331" s="686" t="str">
        <f ca="1">IFERROR(VLOOKUP(BE331,INDIRECT(AQ328),2,FALSE),"----")</f>
        <v>----</v>
      </c>
      <c r="BG331" s="702" t="e">
        <f t="shared" ca="1" si="5193"/>
        <v>#REF!</v>
      </c>
      <c r="BH331" s="686" t="str">
        <f ca="1">IFERROR(VLOOKUP(BG331,INDIRECT(AQ329),2,FALSE),"----")</f>
        <v>----</v>
      </c>
      <c r="BI331" s="702" t="e">
        <f t="shared" ca="1" si="5194"/>
        <v>#REF!</v>
      </c>
      <c r="BJ331" s="686" t="str">
        <f ca="1">IFERROR(VLOOKUP(BI331,INDIRECT(AQ330),2,FALSE),"----")</f>
        <v>----</v>
      </c>
      <c r="BK331" s="702" t="e">
        <f t="shared" ca="1" si="5195"/>
        <v>#REF!</v>
      </c>
      <c r="BL331" s="686" t="str">
        <f ca="1">IFERROR(VLOOKUP(BK331,INDIRECT(AQ331),2,FALSE),"----")</f>
        <v>----</v>
      </c>
      <c r="BM331" s="702" t="e">
        <f t="shared" ca="1" si="5196"/>
        <v>#REF!</v>
      </c>
      <c r="BN331" s="686" t="str">
        <f ca="1">IFERROR(VLOOKUP(BM331,INDIRECT(AQ332),2,FALSE),"----")</f>
        <v>----</v>
      </c>
      <c r="BO331" s="702" t="e">
        <f t="shared" ca="1" si="5197"/>
        <v>#REF!</v>
      </c>
      <c r="BP331" s="686" t="str">
        <f ca="1">IFERROR(VLOOKUP(BO331,INDIRECT(AQ333),2,FALSE),"----")</f>
        <v>----</v>
      </c>
      <c r="BQ331" s="702" t="e">
        <f t="shared" ca="1" si="5198"/>
        <v>#REF!</v>
      </c>
      <c r="BR331" s="686" t="str">
        <f ca="1">IFERROR(VLOOKUP(BQ331,INDIRECT(AQ334),2,FALSE),"----")</f>
        <v>----</v>
      </c>
      <c r="BS331" s="695">
        <f>IF(AI331="",1,IF(COUNTIF(BL323:BL334,AI331)=0,2,1))</f>
        <v>1</v>
      </c>
      <c r="BT331" s="696">
        <f>IF(AF331="",1,IF(BL323=".",2,1))</f>
        <v>1</v>
      </c>
      <c r="BU331" s="706"/>
      <c r="BV331" s="155">
        <f ca="1">IF(COUNTIF(DS323:DS334,AF331)=0,IF(AF331&lt;&gt;"",0,1),1)</f>
        <v>1</v>
      </c>
      <c r="BW331" s="157">
        <f ca="1">IFERROR(MATCH(AF331,DS323:DS334,0),1)</f>
        <v>1</v>
      </c>
      <c r="BX331" s="769" t="e">
        <f t="shared" ref="BX331" si="5720">5*E323^3*W323/(384*X323)</f>
        <v>#VALUE!</v>
      </c>
      <c r="BY331" s="769" t="e">
        <f t="shared" ref="BY331" si="5721">W323*E323^3/(60*X323)</f>
        <v>#VALUE!</v>
      </c>
      <c r="BZ331" s="1110"/>
      <c r="CA331" s="691" t="e">
        <f t="shared" ca="1" si="5588"/>
        <v>#REF!</v>
      </c>
      <c r="CB331" s="4" t="e" cm="1">
        <f t="array" aca="1" ref="CB331" ca="1">IF(AND(INDEX(INDIRECT(BY323),CA331,4)&gt;=$AB323,INDEX(INDIRECT(BY323),CA331,5)&gt;=$S323,INDEX(INDIRECT(BY323),CA331,6)&gt;=$R323),1,0)</f>
        <v>#REF!</v>
      </c>
      <c r="CC331" s="4" t="e">
        <f t="shared" ref="CC331" ca="1" si="5722">MATCH(1,OFFSET(CB323:CB334,CD330,0,COUNT(CB323:CB334)-CD330),0)</f>
        <v>#REF!</v>
      </c>
      <c r="CD331" s="4" t="e">
        <f t="shared" ca="1" si="5590"/>
        <v>#REF!</v>
      </c>
      <c r="CE331" s="692" t="str" cm="1">
        <f t="array" aca="1" ref="CE331" ca="1">IFERROR(VLOOKUP(INDEX(CA323:CA334,CD331),INDIRECT(BY323),2,FALSE),"----")</f>
        <v>----</v>
      </c>
      <c r="CF331" s="691" t="e">
        <f t="shared" ca="1" si="5591"/>
        <v>#N/A</v>
      </c>
      <c r="CG331" s="4" t="e">
        <f ca="1">IF(AND(INDEX(SSM,CF331,4)&gt;=$AB323,INDEX(SSM,CF331,5)&gt;=$S323,INDEX(SSM,CF331,6)&gt;=$R323),1,0)</f>
        <v>#N/A</v>
      </c>
      <c r="CH331" s="4" t="e">
        <f t="shared" ref="CH331" ca="1" si="5723">MATCH(1,OFFSET(CG323:CG334,CI330,0,COUNT(CG323:CG334)-CI330),0)</f>
        <v>#REF!</v>
      </c>
      <c r="CI331" s="4" t="e">
        <f t="shared" ca="1" si="5593"/>
        <v>#REF!</v>
      </c>
      <c r="CJ331" s="692" t="str">
        <f ca="1">IFERROR(IF(AD324="Nested Steel Stud (wood infill)",VLOOKUP(INDEX(CF323:CF334,CI331),SSW,2,FALSE),VLOOKUP(INDEX(CF323:CF334,CI331),SSM,2,FALSE)),"----")</f>
        <v>----</v>
      </c>
      <c r="CK331" s="691" t="e">
        <f t="shared" ca="1" si="5594"/>
        <v>#N/A</v>
      </c>
      <c r="CL331" s="4" t="e">
        <f ca="1">IF(AND(INDEX(WSM,CK331,4)&gt;=$AB323,INDEX(WSM,CK331,5)&gt;=$S323,INDEX(WSM,CK331,6)&gt;=$R323),1,0)</f>
        <v>#N/A</v>
      </c>
      <c r="CM331" s="4" t="e">
        <f t="shared" ref="CM331" ca="1" si="5724">MATCH(1,OFFSET(CL323:CL334,CN330,0,COUNT(CL323:CL334)-CN330),0)</f>
        <v>#REF!</v>
      </c>
      <c r="CN331" s="4" t="e">
        <f t="shared" ca="1" si="5596"/>
        <v>#REF!</v>
      </c>
      <c r="CO331" s="692" t="str">
        <f ca="1">IFERROR(VLOOKUP(INDEX(CK323:CK334,CN331),WSM,2,FALSE),"----")</f>
        <v>----</v>
      </c>
      <c r="CP331" s="691" t="e">
        <f t="shared" ca="1" si="5597"/>
        <v>#N/A</v>
      </c>
      <c r="CQ331" s="4" t="e">
        <f ca="1">IF(AND(INDEX(STM,CP331,4)&gt;=$AB323,INDEX(STM,CP331,5)&gt;=$S323,INDEX(STM,CP331,6)&gt;=$R323),1,0)</f>
        <v>#N/A</v>
      </c>
      <c r="CR331" s="4" t="e">
        <f t="shared" ref="CR331" ca="1" si="5725">MATCH(1,OFFSET(CQ323:CQ334,CS330,0,COUNT(CQ323:CQ334)-CS330),0)</f>
        <v>#REF!</v>
      </c>
      <c r="CS331" s="4" t="e">
        <f t="shared" ca="1" si="5599"/>
        <v>#REF!</v>
      </c>
      <c r="CT331" s="692" t="str">
        <f ca="1">IFERROR(VLOOKUP(INDEX(CP323:CP334,CS331),STM,2,FALSE),"----")</f>
        <v>----</v>
      </c>
      <c r="CU331" s="691" t="e">
        <f t="shared" ca="1" si="5600"/>
        <v>#N/A</v>
      </c>
      <c r="CV331" s="4" t="e">
        <f ca="1">IF(AND(INDEX(ELM,CU331,4)&gt;=$AB323,INDEX(ELM,CU331,5)&gt;=$S323,INDEX(ELM,CU331,6)&gt;=$R323),1,0)</f>
        <v>#N/A</v>
      </c>
      <c r="CW331" s="4" t="e">
        <f t="shared" ref="CW331" ca="1" si="5726">MATCH(1,OFFSET(CV323:CV334,CX330,0,COUNT(CV323:CV334)-CX330),0)</f>
        <v>#REF!</v>
      </c>
      <c r="CX331" s="4" t="e">
        <f t="shared" ca="1" si="5602"/>
        <v>#REF!</v>
      </c>
      <c r="CY331" s="692" t="str">
        <f ca="1">IFERROR(VLOOKUP(INDEX(CU323:CU334,CX331),ELM,2,FALSE),"----")</f>
        <v>----</v>
      </c>
      <c r="CZ331" s="691" t="e">
        <f t="shared" ca="1" si="5603"/>
        <v>#N/A</v>
      </c>
      <c r="DA331" s="4" t="e">
        <f ca="1">IF(LEFT($J323,7)="Clad Wo",IF(AND(INDEX(SPPWS,CZ331,4)&gt;=$AB323,INDEX(SPPWS,CZ331,5)&gt;=$S323,INDEX(SPPWS,CZ331,6)&gt;=$R323),1,0),IF(AND(INDEX(SPM,CZ331,4)&gt;=$AB323,INDEX(SPM,CZ331,5)&gt;=$S323,INDEX(SPM,CZ331,6)&gt;=$R323),1,0))</f>
        <v>#N/A</v>
      </c>
      <c r="DB331" s="4" t="e">
        <f t="shared" ref="DB331" ca="1" si="5727">MATCH(1,OFFSET(DA323:DA334,DC330,0,COUNT(DA323:DA334)-DC330),0)</f>
        <v>#REF!</v>
      </c>
      <c r="DC331" s="4" t="e">
        <f t="shared" ca="1" si="5605"/>
        <v>#REF!</v>
      </c>
      <c r="DD331" s="693" t="str">
        <f ca="1">IF(LEFT($J323,7)="Clad Wo",IFERROR(VLOOKUP(INDEX(CZ323:CZ334,DC331),SPPWS,2,FALSE),"----"),IFERROR(VLOOKUP(INDEX(CZ323:CZ334,DC331),SPM,2,FALSE),"----"))</f>
        <v>----</v>
      </c>
      <c r="DE331" s="691" t="e">
        <f t="shared" ca="1" si="5606"/>
        <v>#REF!</v>
      </c>
      <c r="DF331" s="4" t="e" cm="1">
        <f t="array" aca="1" ref="DF331" ca="1">IF(AND(INDEX(INDIRECT(BY323),DE331,4)&gt;=$AB329,INDEX(INDIRECT(BY323),DE331,5)&gt;=$S323,INDEX(INDIRECT(BY323),DE331,6)&gt;=$R323),1,0)</f>
        <v>#REF!</v>
      </c>
      <c r="DG331" s="4" t="e">
        <f t="shared" ref="DG331" ca="1" si="5728">MATCH(1,OFFSET(DF323:DF334,DH330,0,COUNT(DF323:DF334)-DH330),0)</f>
        <v>#REF!</v>
      </c>
      <c r="DH331" s="4" t="e">
        <f t="shared" ca="1" si="5608"/>
        <v>#REF!</v>
      </c>
      <c r="DI331" s="692" t="str" cm="1">
        <f t="array" aca="1" ref="DI331" ca="1">IFERROR(VLOOKUP(INDEX(DE323:DE334,DH331),INDIRECT(BY323),2,FALSE),"----")</f>
        <v>----</v>
      </c>
      <c r="DJ331" s="691" t="e">
        <f t="shared" ca="1" si="5609"/>
        <v>#N/A</v>
      </c>
      <c r="DK331" s="4" t="e">
        <f ca="1">IF(AND(INDEX(SSM,DJ331,4)&gt;=$AB329,INDEX(SSM,DJ331,5)&gt;=$S323,INDEX(SSM,DJ331,6)&gt;=$R323),1,0)</f>
        <v>#N/A</v>
      </c>
      <c r="DL331" s="4" t="e">
        <f t="shared" ref="DL331" ca="1" si="5729">MATCH(1,OFFSET(DK323:DK334,DM330,0,COUNT(DK323:DK334)-DM330),0)</f>
        <v>#REF!</v>
      </c>
      <c r="DM331" s="4" t="e">
        <f t="shared" ca="1" si="5611"/>
        <v>#REF!</v>
      </c>
      <c r="DN331" s="692" t="str">
        <f ca="1">IFERROR(IF(AD330="Nested Steel Stud (wood infill)",VLOOKUP(INDEX(DJ323:DJ334,DM331),SSW,2,FALSE),VLOOKUP(INDEX(DJ323:DJ334,DM331),SSM,2,FALSE)),"----")</f>
        <v>----</v>
      </c>
      <c r="DO331" s="691" t="e">
        <f t="shared" ca="1" si="5612"/>
        <v>#N/A</v>
      </c>
      <c r="DP331" s="4" t="e">
        <f ca="1">IF(AND(INDEX(WSM,DO331,4)&gt;=$AB329,INDEX(WSM,DO331,5)&gt;=$S323,INDEX(WSM,DO331,6)&gt;=$R323),1,0)</f>
        <v>#N/A</v>
      </c>
      <c r="DQ331" s="4" t="e">
        <f t="shared" ref="DQ331" ca="1" si="5730">MATCH(1,OFFSET(DP323:DP334,DR330,0,COUNT(DP323:DP334)-DR330),0)</f>
        <v>#REF!</v>
      </c>
      <c r="DR331" s="4" t="e">
        <f t="shared" ca="1" si="5614"/>
        <v>#REF!</v>
      </c>
      <c r="DS331" s="692" t="str">
        <f ca="1">IFERROR(VLOOKUP(INDEX(DO323:DO334,DR331),WSM,2,FALSE),"----")</f>
        <v>----</v>
      </c>
      <c r="DT331" s="691" t="e">
        <f t="shared" ca="1" si="5615"/>
        <v>#N/A</v>
      </c>
      <c r="DU331" s="4" t="e">
        <f ca="1">IF(AND(INDEX(STM,DT331,4)&gt;=$AB329,INDEX(STM,DT331,5)&gt;=$S323,INDEX(STM,DT331,6)&gt;=$R323),1,0)</f>
        <v>#N/A</v>
      </c>
      <c r="DV331" s="4" t="e">
        <f t="shared" ref="DV331" ca="1" si="5731">MATCH(1,OFFSET(DU323:DU334,DW330,0,COUNT(DU323:DU334)-DW330),0)</f>
        <v>#REF!</v>
      </c>
      <c r="DW331" s="4" t="e">
        <f t="shared" ca="1" si="5617"/>
        <v>#REF!</v>
      </c>
      <c r="DX331" s="692" t="str">
        <f ca="1">IFERROR(VLOOKUP(INDEX(DT323:DT334,DW331),STM,2,FALSE),"----")</f>
        <v>----</v>
      </c>
      <c r="DY331" s="691" t="e">
        <f t="shared" ca="1" si="5618"/>
        <v>#N/A</v>
      </c>
      <c r="DZ331" s="4" t="e">
        <f ca="1">IF(AND(INDEX(ELM,DY331,4)&gt;=$AB329,INDEX(ELM,DY331,5)&gt;=$S323,INDEX(ELM,DY331,6)&gt;=$R323),1,0)</f>
        <v>#N/A</v>
      </c>
      <c r="EA331" s="4" t="e">
        <f t="shared" ref="EA331" ca="1" si="5732">MATCH(1,OFFSET(DZ323:DZ334,EB330,0,COUNT(DZ323:DZ334)-EB330),0)</f>
        <v>#REF!</v>
      </c>
      <c r="EB331" s="4" t="e">
        <f t="shared" ca="1" si="5620"/>
        <v>#REF!</v>
      </c>
      <c r="EC331" s="692" t="str">
        <f ca="1">IFERROR(VLOOKUP(INDEX(DY323:DY334,EB331),ELM,2,FALSE),"----")</f>
        <v>----</v>
      </c>
      <c r="ED331" s="691" t="e">
        <f t="shared" ca="1" si="5621"/>
        <v>#N/A</v>
      </c>
      <c r="EE331" s="4" t="e">
        <f ca="1">IF(LEFT($J323,7)="Clad Wo",IF(AND(INDEX(SPPWS,ED331,4)&gt;=$AB329,INDEX(SPPWS,ED331,5)&gt;=$S323,INDEX(SPPWS,ED331,6)&gt;=$R323),1,0),IF(AND(INDEX(SPM,ED331,4)&gt;=$AB329,INDEX(SPM,ED331,5)&gt;=$S323,INDEX(SPM,ED331,6)&gt;=$R323),1,0))</f>
        <v>#N/A</v>
      </c>
      <c r="EF331" s="4" t="e">
        <f t="shared" ref="EF331" ca="1" si="5733">MATCH(1,OFFSET(EE323:EE334,EG330,0,COUNT(EE323:EE334)-EG330),0)</f>
        <v>#REF!</v>
      </c>
      <c r="EG331" s="4" t="e">
        <f t="shared" ca="1" si="5623"/>
        <v>#REF!</v>
      </c>
      <c r="EH331" s="692" t="str">
        <f ca="1">IF(LEFT($J323,7)="Clad Wo",IFERROR(VLOOKUP(INDEX(ED323:ED334,EG331),SPPWS,2,FALSE),"----"),IFERROR(VLOOKUP(INDEX(ED323:ED334,EG331),SPM,2,FALSE),"----"))</f>
        <v>----</v>
      </c>
    </row>
    <row r="332" spans="1:138" ht="15" customHeight="1" x14ac:dyDescent="0.25">
      <c r="A332" s="1085"/>
      <c r="B332" s="925"/>
      <c r="C332" s="926"/>
      <c r="D332" s="927"/>
      <c r="E332" s="995"/>
      <c r="F332" s="996"/>
      <c r="G332" s="997"/>
      <c r="H332" s="1062"/>
      <c r="I332" s="990"/>
      <c r="J332" s="902"/>
      <c r="K332" s="903"/>
      <c r="L332" s="1002"/>
      <c r="M332" s="923"/>
      <c r="N332" s="1042"/>
      <c r="O332" s="1018"/>
      <c r="P332" s="987"/>
      <c r="Q332" s="1015"/>
      <c r="R332" s="1012"/>
      <c r="S332" s="1006"/>
      <c r="T332" s="1007"/>
      <c r="U332" s="878"/>
      <c r="V332" s="881"/>
      <c r="W332" s="884"/>
      <c r="X332" s="884"/>
      <c r="Y332" s="887"/>
      <c r="Z332" s="887"/>
      <c r="AA332" s="887"/>
      <c r="AB332" s="1081"/>
      <c r="AC332" s="1078"/>
      <c r="AD332" s="1070" t="str">
        <f t="shared" si="4522"/>
        <v>Steel Tube</v>
      </c>
      <c r="AE332" s="1071"/>
      <c r="AF332" s="1052"/>
      <c r="AG332" s="1053"/>
      <c r="AH332" s="1053"/>
      <c r="AI332" s="1066"/>
      <c r="AJ332" s="1067"/>
      <c r="AK332" s="156" t="str">
        <f t="shared" ca="1" si="4947"/>
        <v/>
      </c>
      <c r="AL332" s="1059"/>
      <c r="AM332" s="343" t="str">
        <f ca="1">IFERROR(Q323/12*ROUND(VLOOKUP(AF332,OFFSET(STM,0,1),6,FALSE),2),"")</f>
        <v/>
      </c>
      <c r="AN332" t="str">
        <f t="shared" ca="1" si="4971"/>
        <v/>
      </c>
      <c r="AP332" s="122" t="str">
        <f t="shared" ref="AP332" si="5734">_xlfn.CONCAT(AR332,AS334)</f>
        <v/>
      </c>
      <c r="AQ332" s="683" t="str">
        <f t="shared" si="5170"/>
        <v/>
      </c>
      <c r="AR332" s="4" t="str">
        <f t="shared" si="4931"/>
        <v/>
      </c>
      <c r="AS332" s="4"/>
      <c r="AT332" s="697" t="str">
        <f>AL329</f>
        <v/>
      </c>
      <c r="AU332" s="694" t="e">
        <f t="shared" ca="1" si="5187"/>
        <v>#REF!</v>
      </c>
      <c r="AV332" s="686" t="str">
        <f ca="1">IFERROR(VLOOKUP(AU332,INDIRECT(AQ323),2,FALSE),"----")</f>
        <v>----</v>
      </c>
      <c r="AW332" s="694" t="e">
        <f t="shared" ca="1" si="5188"/>
        <v>#REF!</v>
      </c>
      <c r="AX332" s="686" t="str">
        <f ca="1">IFERROR(VLOOKUP(AW332,INDIRECT(AQ324),2,FALSE),"----")</f>
        <v>----</v>
      </c>
      <c r="AY332" s="694" t="e">
        <f t="shared" ca="1" si="4775"/>
        <v>#REF!</v>
      </c>
      <c r="AZ332" s="686" t="str">
        <f ca="1">IFERROR(VLOOKUP(AY332,INDIRECT(AQ325),2,FALSE),"----")</f>
        <v>----</v>
      </c>
      <c r="BA332" s="694" t="e">
        <f t="shared" ca="1" si="4776"/>
        <v>#REF!</v>
      </c>
      <c r="BB332" s="686" t="str">
        <f ca="1">IFERROR(VLOOKUP(BA332,INDIRECT(AQ326),2,FALSE),"----")</f>
        <v>----</v>
      </c>
      <c r="BC332" s="694" t="e">
        <f t="shared" ca="1" si="5191"/>
        <v>#REF!</v>
      </c>
      <c r="BD332" s="686" t="str">
        <f ca="1">IFERROR(VLOOKUP(BC332,INDIRECT(AQ327),2,FALSE),"----")</f>
        <v>----</v>
      </c>
      <c r="BE332" s="694" t="e">
        <f t="shared" ca="1" si="5192"/>
        <v>#REF!</v>
      </c>
      <c r="BF332" s="686" t="str">
        <f ca="1">IFERROR(VLOOKUP(BE332,INDIRECT(AQ328),2,FALSE),"----")</f>
        <v>----</v>
      </c>
      <c r="BG332" s="702" t="e">
        <f t="shared" ca="1" si="5193"/>
        <v>#REF!</v>
      </c>
      <c r="BH332" s="686" t="str">
        <f ca="1">IFERROR(VLOOKUP(BG332,INDIRECT(AQ329),2,FALSE),"----")</f>
        <v>----</v>
      </c>
      <c r="BI332" s="702" t="e">
        <f t="shared" ca="1" si="5194"/>
        <v>#REF!</v>
      </c>
      <c r="BJ332" s="686" t="str">
        <f ca="1">IFERROR(VLOOKUP(BI332,INDIRECT(AQ330),2,FALSE),"----")</f>
        <v>----</v>
      </c>
      <c r="BK332" s="702" t="e">
        <f t="shared" ca="1" si="5195"/>
        <v>#REF!</v>
      </c>
      <c r="BL332" s="686" t="str">
        <f ca="1">IFERROR(VLOOKUP(BK332,INDIRECT(AQ331),2,FALSE),"----")</f>
        <v>----</v>
      </c>
      <c r="BM332" s="702" t="e">
        <f t="shared" ca="1" si="5196"/>
        <v>#REF!</v>
      </c>
      <c r="BN332" s="686" t="str">
        <f ca="1">IFERROR(VLOOKUP(BM332,INDIRECT(AQ332),2,FALSE),"----")</f>
        <v>----</v>
      </c>
      <c r="BO332" s="702" t="e">
        <f t="shared" ca="1" si="5197"/>
        <v>#REF!</v>
      </c>
      <c r="BP332" s="686" t="str">
        <f ca="1">IFERROR(VLOOKUP(BO332,INDIRECT(AQ333),2,FALSE),"----")</f>
        <v>----</v>
      </c>
      <c r="BQ332" s="702" t="e">
        <f t="shared" ca="1" si="5198"/>
        <v>#REF!</v>
      </c>
      <c r="BR332" s="686" t="str">
        <f ca="1">IFERROR(VLOOKUP(BQ332,INDIRECT(AQ334),2,FALSE),"----")</f>
        <v>----</v>
      </c>
      <c r="BS332" s="695">
        <f>IF(AI332="",1,IF(COUNTIF(BN323:BN334,AI332)=0,2,1))</f>
        <v>1</v>
      </c>
      <c r="BT332" s="696">
        <f>IF(AF332="",1,IF(BN323=".",2,1))</f>
        <v>1</v>
      </c>
      <c r="BU332" s="706"/>
      <c r="BV332" s="155">
        <f ca="1">IF(COUNTIF(DX323:DX334,AF332)=0,IF(AF332&lt;&gt;"",0,1),1)</f>
        <v>1</v>
      </c>
      <c r="BW332" s="157">
        <f ca="1">IFERROR(MATCH(AF332,DX323:DX334,0),1)</f>
        <v>1</v>
      </c>
      <c r="BX332" s="769" t="e">
        <f t="shared" ref="BX332" si="5735">5*E323^3*W329/(384*X323)</f>
        <v>#VALUE!</v>
      </c>
      <c r="BY332" s="769" t="e">
        <f t="shared" ref="BY332" si="5736">E323^3*W329/(60*X323)</f>
        <v>#VALUE!</v>
      </c>
      <c r="BZ332" s="1110"/>
      <c r="CA332" s="691" t="e">
        <f t="shared" ca="1" si="5588"/>
        <v>#REF!</v>
      </c>
      <c r="CB332" s="4" t="e" cm="1">
        <f t="array" aca="1" ref="CB332" ca="1">IF(AND(INDEX(INDIRECT(BY323),CA332,4)&gt;=$AB323,INDEX(INDIRECT(BY323),CA332,5)&gt;=$S323,INDEX(INDIRECT(BY323),CA332,6)&gt;=$R323),1,0)</f>
        <v>#REF!</v>
      </c>
      <c r="CC332" s="4" t="e">
        <f t="shared" ref="CC332" ca="1" si="5737">MATCH(1,OFFSET(CB323:CB334,CD331,0,COUNT(CB323:CB334)-CD331),0)</f>
        <v>#REF!</v>
      </c>
      <c r="CD332" s="4" t="e">
        <f t="shared" ca="1" si="5590"/>
        <v>#REF!</v>
      </c>
      <c r="CE332" s="692" t="str" cm="1">
        <f t="array" aca="1" ref="CE332" ca="1">IFERROR(VLOOKUP(INDEX(CA323:CA334,CD332),INDIRECT(BY323),2,FALSE),"----")</f>
        <v>----</v>
      </c>
      <c r="CF332" s="691" t="e">
        <f t="shared" ca="1" si="5591"/>
        <v>#N/A</v>
      </c>
      <c r="CG332" s="4" t="e">
        <f ca="1">IF(AND(INDEX(SSM,CF332,4)&gt;=$AB323,INDEX(SSM,CF332,5)&gt;=$S323,INDEX(SSM,CF332,6)&gt;=$R323),1,0)</f>
        <v>#N/A</v>
      </c>
      <c r="CH332" s="4" t="e">
        <f t="shared" ref="CH332" ca="1" si="5738">MATCH(1,OFFSET(CG323:CG334,CI331,0,COUNT(CG323:CG334)-CI331),0)</f>
        <v>#REF!</v>
      </c>
      <c r="CI332" s="4" t="e">
        <f t="shared" ca="1" si="5593"/>
        <v>#REF!</v>
      </c>
      <c r="CJ332" s="692" t="str">
        <f ca="1">IFERROR(IF(AD324="Nested Steel Stud (wood infill)",VLOOKUP(INDEX(CF323:CF334,CI332),SSW,2,FALSE),VLOOKUP(INDEX(CF323:CF334,CI332),SSM,2,FALSE)),"----")</f>
        <v>----</v>
      </c>
      <c r="CK332" s="691" t="e">
        <f t="shared" ca="1" si="5594"/>
        <v>#N/A</v>
      </c>
      <c r="CL332" s="4" t="e">
        <f ca="1">IF(AND(INDEX(WSM,CK332,4)&gt;=$AB323,INDEX(WSM,CK332,5)&gt;=$S323,INDEX(WSM,CK332,6)&gt;=$R323),1,0)</f>
        <v>#N/A</v>
      </c>
      <c r="CM332" s="4" t="e">
        <f t="shared" ref="CM332" ca="1" si="5739">MATCH(1,OFFSET(CL323:CL334,CN331,0,COUNT(CL323:CL334)-CN331),0)</f>
        <v>#REF!</v>
      </c>
      <c r="CN332" s="4" t="e">
        <f t="shared" ca="1" si="5596"/>
        <v>#REF!</v>
      </c>
      <c r="CO332" s="692" t="str">
        <f ca="1">IFERROR(VLOOKUP(INDEX(CK323:CK334,CN332),WSM,2,FALSE),"----")</f>
        <v>----</v>
      </c>
      <c r="CP332" s="691" t="e">
        <f t="shared" ca="1" si="5597"/>
        <v>#N/A</v>
      </c>
      <c r="CQ332" s="4" t="e">
        <f ca="1">IF(AND(INDEX(STM,CP332,4)&gt;=$AB323,INDEX(STM,CP332,5)&gt;=$S323,INDEX(STM,CP332,6)&gt;=$R323),1,0)</f>
        <v>#N/A</v>
      </c>
      <c r="CR332" s="4" t="e">
        <f t="shared" ref="CR332" ca="1" si="5740">MATCH(1,OFFSET(CQ323:CQ334,CS331,0,COUNT(CQ323:CQ334)-CS331),0)</f>
        <v>#REF!</v>
      </c>
      <c r="CS332" s="4" t="e">
        <f t="shared" ca="1" si="5599"/>
        <v>#REF!</v>
      </c>
      <c r="CT332" s="692" t="str">
        <f ca="1">IFERROR(VLOOKUP(INDEX(CP323:CP334,CS332),STM,2,FALSE),"----")</f>
        <v>----</v>
      </c>
      <c r="CU332" s="691" t="e">
        <f t="shared" ca="1" si="5600"/>
        <v>#N/A</v>
      </c>
      <c r="CV332" s="4" t="e">
        <f ca="1">IF(AND(INDEX(ELM,CU332,4)&gt;=$AB323,INDEX(ELM,CU332,5)&gt;=$S323,INDEX(ELM,CU332,6)&gt;=$R323),1,0)</f>
        <v>#N/A</v>
      </c>
      <c r="CW332" s="4" t="e">
        <f t="shared" ref="CW332" ca="1" si="5741">MATCH(1,OFFSET(CV323:CV334,CX331,0,COUNT(CV323:CV334)-CX331),0)</f>
        <v>#REF!</v>
      </c>
      <c r="CX332" s="4" t="e">
        <f t="shared" ca="1" si="5602"/>
        <v>#REF!</v>
      </c>
      <c r="CY332" s="692" t="str">
        <f ca="1">IFERROR(VLOOKUP(INDEX(CU323:CU334,CX332),ELM,2,FALSE),"----")</f>
        <v>----</v>
      </c>
      <c r="CZ332" s="691" t="e">
        <f t="shared" ca="1" si="5603"/>
        <v>#N/A</v>
      </c>
      <c r="DA332" s="4" t="e">
        <f ca="1">IF(LEFT($J323,7)="Clad Wo",IF(AND(INDEX(SPPWS,CZ332,4)&gt;=$AB323,INDEX(SPPWS,CZ332,5)&gt;=$S323,INDEX(SPPWS,CZ332,6)&gt;=$R323),1,0),IF(AND(INDEX(SPM,CZ332,4)&gt;=$AB323,INDEX(SPM,CZ332,5)&gt;=$S323,INDEX(SPM,CZ332,6)&gt;=$R323),1,0))</f>
        <v>#N/A</v>
      </c>
      <c r="DB332" s="4" t="e">
        <f t="shared" ref="DB332" ca="1" si="5742">MATCH(1,OFFSET(DA323:DA334,DC331,0,COUNT(DA323:DA334)-DC331),0)</f>
        <v>#REF!</v>
      </c>
      <c r="DC332" s="4" t="e">
        <f t="shared" ca="1" si="5605"/>
        <v>#REF!</v>
      </c>
      <c r="DD332" s="693" t="str">
        <f ca="1">IF(LEFT($J323,7)="Clad Wo",IFERROR(VLOOKUP(INDEX(CZ323:CZ334,DC332),SPPWS,2,FALSE),"----"),IFERROR(VLOOKUP(INDEX(CZ323:CZ334,DC332),SPM,2,FALSE),"----"))</f>
        <v>----</v>
      </c>
      <c r="DE332" s="691" t="e">
        <f t="shared" ca="1" si="5606"/>
        <v>#REF!</v>
      </c>
      <c r="DF332" s="4" t="e" cm="1">
        <f t="array" aca="1" ref="DF332" ca="1">IF(AND(INDEX(INDIRECT(BY323),DE332,4)&gt;=$AB329,INDEX(INDIRECT(BY323),DE332,5)&gt;=$S323,INDEX(INDIRECT(BY323),DE332,6)&gt;=$R323),1,0)</f>
        <v>#REF!</v>
      </c>
      <c r="DG332" s="4" t="e">
        <f t="shared" ref="DG332" ca="1" si="5743">MATCH(1,OFFSET(DF323:DF334,DH331,0,COUNT(DF323:DF334)-DH331),0)</f>
        <v>#REF!</v>
      </c>
      <c r="DH332" s="4" t="e">
        <f t="shared" ca="1" si="5608"/>
        <v>#REF!</v>
      </c>
      <c r="DI332" s="692" t="str" cm="1">
        <f t="array" aca="1" ref="DI332" ca="1">IFERROR(VLOOKUP(INDEX(DE323:DE334,DH332),INDIRECT(BY323),2,FALSE),"----")</f>
        <v>----</v>
      </c>
      <c r="DJ332" s="691" t="e">
        <f t="shared" ca="1" si="5609"/>
        <v>#N/A</v>
      </c>
      <c r="DK332" s="4" t="e">
        <f ca="1">IF(AND(INDEX(SSM,DJ332,4)&gt;=$AB329,INDEX(SSM,DJ332,5)&gt;=$S323,INDEX(SSM,DJ332,6)&gt;=$R323),1,0)</f>
        <v>#N/A</v>
      </c>
      <c r="DL332" s="4" t="e">
        <f t="shared" ref="DL332" ca="1" si="5744">MATCH(1,OFFSET(DK323:DK334,DM331,0,COUNT(DK323:DK334)-DM331),0)</f>
        <v>#REF!</v>
      </c>
      <c r="DM332" s="4" t="e">
        <f t="shared" ca="1" si="5611"/>
        <v>#REF!</v>
      </c>
      <c r="DN332" s="692" t="str">
        <f ca="1">IFERROR(IF(AD330="Nested Steel Stud (wood infill)",VLOOKUP(INDEX(DJ323:DJ334,DM332),SSW,2,FALSE),VLOOKUP(INDEX(DJ323:DJ334,DM332),SSM,2,FALSE)),"----")</f>
        <v>----</v>
      </c>
      <c r="DO332" s="691" t="e">
        <f t="shared" ca="1" si="5612"/>
        <v>#N/A</v>
      </c>
      <c r="DP332" s="4" t="e">
        <f ca="1">IF(AND(INDEX(WSM,DO332,4)&gt;=$AB329,INDEX(WSM,DO332,5)&gt;=$S323,INDEX(WSM,DO332,6)&gt;=$R323),1,0)</f>
        <v>#N/A</v>
      </c>
      <c r="DQ332" s="4" t="e">
        <f t="shared" ref="DQ332" ca="1" si="5745">MATCH(1,OFFSET(DP323:DP334,DR331,0,COUNT(DP323:DP334)-DR331),0)</f>
        <v>#REF!</v>
      </c>
      <c r="DR332" s="4" t="e">
        <f t="shared" ca="1" si="5614"/>
        <v>#REF!</v>
      </c>
      <c r="DS332" s="692" t="str">
        <f ca="1">IFERROR(VLOOKUP(INDEX(DO323:DO334,DR332),WSM,2,FALSE),"----")</f>
        <v>----</v>
      </c>
      <c r="DT332" s="691" t="e">
        <f t="shared" ca="1" si="5615"/>
        <v>#N/A</v>
      </c>
      <c r="DU332" s="4" t="e">
        <f ca="1">IF(AND(INDEX(STM,DT332,4)&gt;=$AB329,INDEX(STM,DT332,5)&gt;=$S323,INDEX(STM,DT332,6)&gt;=$R323),1,0)</f>
        <v>#N/A</v>
      </c>
      <c r="DV332" s="4" t="e">
        <f t="shared" ref="DV332" ca="1" si="5746">MATCH(1,OFFSET(DU323:DU334,DW331,0,COUNT(DU323:DU334)-DW331),0)</f>
        <v>#REF!</v>
      </c>
      <c r="DW332" s="4" t="e">
        <f t="shared" ca="1" si="5617"/>
        <v>#REF!</v>
      </c>
      <c r="DX332" s="692" t="str">
        <f ca="1">IFERROR(VLOOKUP(INDEX(DT323:DT334,DW332),STM,2,FALSE),"----")</f>
        <v>----</v>
      </c>
      <c r="DY332" s="691" t="e">
        <f t="shared" ca="1" si="5618"/>
        <v>#N/A</v>
      </c>
      <c r="DZ332" s="4" t="e">
        <f ca="1">IF(AND(INDEX(ELM,DY332,4)&gt;=$AB329,INDEX(ELM,DY332,5)&gt;=$S323,INDEX(ELM,DY332,6)&gt;=$R323),1,0)</f>
        <v>#N/A</v>
      </c>
      <c r="EA332" s="4" t="e">
        <f t="shared" ref="EA332" ca="1" si="5747">MATCH(1,OFFSET(DZ323:DZ334,EB331,0,COUNT(DZ323:DZ334)-EB331),0)</f>
        <v>#REF!</v>
      </c>
      <c r="EB332" s="4" t="e">
        <f t="shared" ca="1" si="5620"/>
        <v>#REF!</v>
      </c>
      <c r="EC332" s="692" t="str">
        <f ca="1">IFERROR(VLOOKUP(INDEX(DY323:DY334,EB332),ELM,2,FALSE),"----")</f>
        <v>----</v>
      </c>
      <c r="ED332" s="691" t="e">
        <f t="shared" ca="1" si="5621"/>
        <v>#N/A</v>
      </c>
      <c r="EE332" s="4" t="e">
        <f ca="1">IF(LEFT($J323,7)="Clad Wo",IF(AND(INDEX(SPPWS,ED332,4)&gt;=$AB329,INDEX(SPPWS,ED332,5)&gt;=$S323,INDEX(SPPWS,ED332,6)&gt;=$R323),1,0),IF(AND(INDEX(SPM,ED332,4)&gt;=$AB329,INDEX(SPM,ED332,5)&gt;=$S323,INDEX(SPM,ED332,6)&gt;=$R323),1,0))</f>
        <v>#N/A</v>
      </c>
      <c r="EF332" s="4" t="e">
        <f t="shared" ref="EF332" ca="1" si="5748">MATCH(1,OFFSET(EE323:EE334,EG331,0,COUNT(EE323:EE334)-EG331),0)</f>
        <v>#REF!</v>
      </c>
      <c r="EG332" s="4" t="e">
        <f t="shared" ca="1" si="5623"/>
        <v>#REF!</v>
      </c>
      <c r="EH332" s="692" t="str">
        <f ca="1">IF(LEFT($J323,7)="Clad Wo",IFERROR(VLOOKUP(INDEX(ED323:ED334,EG332),SPPWS,2,FALSE),"----"),IFERROR(VLOOKUP(INDEX(ED323:ED334,EG332),SPM,2,FALSE),"----"))</f>
        <v>----</v>
      </c>
    </row>
    <row r="333" spans="1:138" ht="15" customHeight="1" x14ac:dyDescent="0.25">
      <c r="A333" s="1085"/>
      <c r="B333" s="925"/>
      <c r="C333" s="926"/>
      <c r="D333" s="927"/>
      <c r="E333" s="995"/>
      <c r="F333" s="996"/>
      <c r="G333" s="997"/>
      <c r="H333" s="1062"/>
      <c r="I333" s="990"/>
      <c r="J333" s="902"/>
      <c r="K333" s="903"/>
      <c r="L333" s="1002"/>
      <c r="M333" s="923"/>
      <c r="N333" s="1042"/>
      <c r="O333" s="1018"/>
      <c r="P333" s="987"/>
      <c r="Q333" s="1015"/>
      <c r="R333" s="1012"/>
      <c r="S333" s="1006"/>
      <c r="T333" s="1007"/>
      <c r="U333" s="878"/>
      <c r="V333" s="881"/>
      <c r="W333" s="884"/>
      <c r="X333" s="884"/>
      <c r="Y333" s="887"/>
      <c r="Z333" s="887"/>
      <c r="AA333" s="887"/>
      <c r="AB333" s="1081"/>
      <c r="AC333" s="1078"/>
      <c r="AD333" s="1070" t="str">
        <f t="shared" si="4522"/>
        <v>Engineered Lumber</v>
      </c>
      <c r="AE333" s="1071"/>
      <c r="AF333" s="1052"/>
      <c r="AG333" s="1053"/>
      <c r="AH333" s="1053"/>
      <c r="AI333" s="1068"/>
      <c r="AJ333" s="1069"/>
      <c r="AK333" s="154" t="str">
        <f t="shared" ca="1" si="4947"/>
        <v/>
      </c>
      <c r="AL333" s="1059"/>
      <c r="AM333" s="344" t="str">
        <f ca="1">IFERROR(Q323/12*ROUND(VLOOKUP(AF333,OFFSET(ELM,0,1),6,FALSE),2),"")</f>
        <v/>
      </c>
      <c r="AN333" t="str">
        <f t="shared" ca="1" si="4971"/>
        <v/>
      </c>
      <c r="AP333" s="122" t="str">
        <f t="shared" ref="AP333" si="5749">_xlfn.CONCAT(AR333,AS334)</f>
        <v/>
      </c>
      <c r="AQ333" s="683" t="str">
        <f t="shared" si="5170"/>
        <v/>
      </c>
      <c r="AR333" s="4" t="str">
        <f t="shared" si="4931"/>
        <v/>
      </c>
      <c r="AS333" s="4"/>
      <c r="AT333" s="697" t="str">
        <f>AL329</f>
        <v/>
      </c>
      <c r="AU333" s="694" t="e">
        <f t="shared" ca="1" si="5187"/>
        <v>#REF!</v>
      </c>
      <c r="AV333" s="698" t="str">
        <f ca="1">IFERROR(VLOOKUP(AU333,INDIRECT(AQ323),2,FALSE),"----")</f>
        <v>----</v>
      </c>
      <c r="AW333" s="694" t="e">
        <f t="shared" ca="1" si="5188"/>
        <v>#REF!</v>
      </c>
      <c r="AX333" s="698" t="str">
        <f ca="1">IFERROR(VLOOKUP(AW333,INDIRECT(AQ324),2,FALSE),"----")</f>
        <v>----</v>
      </c>
      <c r="AY333" s="694" t="e">
        <f t="shared" ca="1" si="4775"/>
        <v>#REF!</v>
      </c>
      <c r="AZ333" s="698" t="str">
        <f ca="1">IFERROR(VLOOKUP(AY333,INDIRECT(AQ325),2,FALSE),"----")</f>
        <v>----</v>
      </c>
      <c r="BA333" s="694" t="e">
        <f t="shared" ca="1" si="4776"/>
        <v>#REF!</v>
      </c>
      <c r="BB333" s="698" t="str">
        <f ca="1">IFERROR(VLOOKUP(BA333,INDIRECT(AQ326),2,FALSE),"----")</f>
        <v>----</v>
      </c>
      <c r="BC333" s="694" t="e">
        <f t="shared" ca="1" si="5191"/>
        <v>#REF!</v>
      </c>
      <c r="BD333" s="698" t="str">
        <f ca="1">IFERROR(VLOOKUP(BC333,INDIRECT(AQ327),2,FALSE),"----")</f>
        <v>----</v>
      </c>
      <c r="BE333" s="694" t="e">
        <f t="shared" ca="1" si="5192"/>
        <v>#REF!</v>
      </c>
      <c r="BF333" s="698" t="str">
        <f ca="1">IFERROR(VLOOKUP(BE333,INDIRECT(AQ328),2,FALSE),"----")</f>
        <v>----</v>
      </c>
      <c r="BG333" s="702" t="e">
        <f t="shared" ca="1" si="5193"/>
        <v>#REF!</v>
      </c>
      <c r="BH333" s="686" t="str">
        <f ca="1">IFERROR(VLOOKUP(BG333,INDIRECT(AQ329),2,FALSE),"----")</f>
        <v>----</v>
      </c>
      <c r="BI333" s="702" t="e">
        <f t="shared" ca="1" si="5194"/>
        <v>#REF!</v>
      </c>
      <c r="BJ333" s="686" t="str">
        <f ca="1">IFERROR(VLOOKUP(BI333,INDIRECT(AQ330),2,FALSE),"----")</f>
        <v>----</v>
      </c>
      <c r="BK333" s="702" t="e">
        <f t="shared" ca="1" si="5195"/>
        <v>#REF!</v>
      </c>
      <c r="BL333" s="686" t="str">
        <f ca="1">IFERROR(VLOOKUP(BK333,INDIRECT(AQ331),2,FALSE),"----")</f>
        <v>----</v>
      </c>
      <c r="BM333" s="702" t="e">
        <f t="shared" ca="1" si="5196"/>
        <v>#REF!</v>
      </c>
      <c r="BN333" s="686" t="str">
        <f ca="1">IFERROR(VLOOKUP(BM333,INDIRECT(AQ332),2,FALSE),"----")</f>
        <v>----</v>
      </c>
      <c r="BO333" s="702" t="e">
        <f t="shared" ca="1" si="5197"/>
        <v>#REF!</v>
      </c>
      <c r="BP333" s="686" t="str">
        <f ca="1">IFERROR(VLOOKUP(BO333,INDIRECT(AQ333),2,FALSE),"----")</f>
        <v>----</v>
      </c>
      <c r="BQ333" s="702" t="e">
        <f t="shared" ca="1" si="5198"/>
        <v>#REF!</v>
      </c>
      <c r="BR333" s="686" t="str">
        <f ca="1">IFERROR(VLOOKUP(BQ333,INDIRECT(AQ334),2,FALSE),"----")</f>
        <v>----</v>
      </c>
      <c r="BS333" s="695">
        <f>IF(AI333="",1,IF(COUNTIF(BP323:BP334,AI333)=0,2,1))</f>
        <v>1</v>
      </c>
      <c r="BT333" s="696">
        <f>IF(AF333="",1,IF(BP323=".",2,1))</f>
        <v>1</v>
      </c>
      <c r="BU333" s="706"/>
      <c r="BV333" s="155">
        <f ca="1">IF(COUNTIF(EC323:EC334,AF333)=0,IF(AF333&lt;&gt;"",0,1),1)</f>
        <v>1</v>
      </c>
      <c r="BW333" s="157">
        <f ca="1">IFERROR(MATCH(AF333,EC323:EC334,0),1)</f>
        <v>1</v>
      </c>
      <c r="BX333" s="769"/>
      <c r="BY333" s="769"/>
      <c r="BZ333" s="1110"/>
      <c r="CA333" s="691" t="e">
        <f t="shared" ca="1" si="5588"/>
        <v>#REF!</v>
      </c>
      <c r="CB333" s="4" t="e" cm="1">
        <f t="array" aca="1" ref="CB333" ca="1">IF(AND(INDEX(INDIRECT(BY323),CA333,4)&gt;=$AB323,INDEX(INDIRECT(BY323),CA333,5)&gt;=$S323,INDEX(INDIRECT(BY323),CA333,6)&gt;=$R323),1,0)</f>
        <v>#REF!</v>
      </c>
      <c r="CC333" s="4" t="e">
        <f t="shared" ref="CC333" ca="1" si="5750">MATCH(1,OFFSET(CB323:CB334,CD332,0,COUNT(CB323:CB334)-CD332),0)</f>
        <v>#REF!</v>
      </c>
      <c r="CD333" s="4" t="e">
        <f t="shared" ca="1" si="5590"/>
        <v>#REF!</v>
      </c>
      <c r="CE333" s="692" t="str" cm="1">
        <f t="array" aca="1" ref="CE333" ca="1">IFERROR(VLOOKUP(INDEX(CA323:CA334,CD333),INDIRECT(BY323),2,FALSE),"----")</f>
        <v>----</v>
      </c>
      <c r="CF333" s="691" t="e">
        <f t="shared" ca="1" si="5591"/>
        <v>#N/A</v>
      </c>
      <c r="CG333" s="4" t="e">
        <f ca="1">IF(AND(INDEX(SSM,CF333,4)&gt;=$AB323,INDEX(SSM,CF333,5)&gt;=$S323,INDEX(SSM,CF333,6)&gt;=$R323),1,0)</f>
        <v>#N/A</v>
      </c>
      <c r="CH333" s="4" t="e">
        <f t="shared" ref="CH333" ca="1" si="5751">MATCH(1,OFFSET(CG323:CG334,CI332,0,COUNT(CG323:CG334)-CI332),0)</f>
        <v>#REF!</v>
      </c>
      <c r="CI333" s="4" t="e">
        <f t="shared" ca="1" si="5593"/>
        <v>#REF!</v>
      </c>
      <c r="CJ333" s="692" t="str">
        <f ca="1">IFERROR(IF(AD324="Nested Steel Stud (wood infill)",VLOOKUP(INDEX(CF323:CF334,CI333),SSW,2,FALSE),VLOOKUP(INDEX(CF323:CF334,CI333),SSM,2,FALSE)),"----")</f>
        <v>----</v>
      </c>
      <c r="CK333" s="691" t="e">
        <f t="shared" ca="1" si="5594"/>
        <v>#N/A</v>
      </c>
      <c r="CL333" s="4" t="e">
        <f ca="1">IF(AND(INDEX(WSM,CK333,4)&gt;=$AB323,INDEX(WSM,CK333,5)&gt;=$S323,INDEX(WSM,CK333,6)&gt;=$R323),1,0)</f>
        <v>#N/A</v>
      </c>
      <c r="CM333" s="4" t="e">
        <f t="shared" ref="CM333" ca="1" si="5752">MATCH(1,OFFSET(CL323:CL334,CN332,0,COUNT(CL323:CL334)-CN332),0)</f>
        <v>#REF!</v>
      </c>
      <c r="CN333" s="4" t="e">
        <f t="shared" ca="1" si="5596"/>
        <v>#REF!</v>
      </c>
      <c r="CO333" s="692" t="str">
        <f ca="1">IFERROR(VLOOKUP(INDEX(CK323:CK334,CN333),WSM,2,FALSE),"----")</f>
        <v>----</v>
      </c>
      <c r="CP333" s="691" t="e">
        <f t="shared" ca="1" si="5597"/>
        <v>#N/A</v>
      </c>
      <c r="CQ333" s="4" t="e">
        <f ca="1">IF(AND(INDEX(STM,CP333,4)&gt;=$AB323,INDEX(STM,CP333,5)&gt;=$S323,INDEX(STM,CP333,6)&gt;=$R323),1,0)</f>
        <v>#N/A</v>
      </c>
      <c r="CR333" s="4" t="e">
        <f t="shared" ref="CR333" ca="1" si="5753">MATCH(1,OFFSET(CQ323:CQ334,CS332,0,COUNT(CQ323:CQ334)-CS332),0)</f>
        <v>#REF!</v>
      </c>
      <c r="CS333" s="4" t="e">
        <f t="shared" ca="1" si="5599"/>
        <v>#REF!</v>
      </c>
      <c r="CT333" s="692" t="str">
        <f ca="1">IFERROR(VLOOKUP(INDEX(CP323:CP334,CS333),STM,2,FALSE),"----")</f>
        <v>----</v>
      </c>
      <c r="CU333" s="691" t="e">
        <f t="shared" ca="1" si="5600"/>
        <v>#N/A</v>
      </c>
      <c r="CV333" s="4" t="e">
        <f ca="1">IF(AND(INDEX(ELM,CU333,4)&gt;=$AB323,INDEX(ELM,CU333,5)&gt;=$S323,INDEX(ELM,CU333,6)&gt;=$R323),1,0)</f>
        <v>#N/A</v>
      </c>
      <c r="CW333" s="4" t="e">
        <f t="shared" ref="CW333" ca="1" si="5754">MATCH(1,OFFSET(CV323:CV334,CX332,0,COUNT(CV323:CV334)-CX332),0)</f>
        <v>#REF!</v>
      </c>
      <c r="CX333" s="4" t="e">
        <f t="shared" ca="1" si="5602"/>
        <v>#REF!</v>
      </c>
      <c r="CY333" s="692" t="str">
        <f ca="1">IFERROR(VLOOKUP(INDEX(CU323:CU334,CX333),ELM,2,FALSE),"----")</f>
        <v>----</v>
      </c>
      <c r="CZ333" s="691" t="e">
        <f t="shared" ca="1" si="5603"/>
        <v>#N/A</v>
      </c>
      <c r="DA333" s="4" t="e">
        <f ca="1">IF(LEFT($J323,7)="Clad Wo",IF(AND(INDEX(SPPWS,CZ333,4)&gt;=$AB323,INDEX(SPPWS,CZ333,5)&gt;=$S323,INDEX(SPPWS,CZ333,6)&gt;=$R323),1,0),IF(AND(INDEX(SPM,CZ333,4)&gt;=$AB323,INDEX(SPM,CZ333,5)&gt;=$S323,INDEX(SPM,CZ333,6)&gt;=$R323),1,0))</f>
        <v>#N/A</v>
      </c>
      <c r="DB333" s="4" t="e">
        <f t="shared" ref="DB333" ca="1" si="5755">MATCH(1,OFFSET(DA323:DA334,DC332,0,COUNT(DA323:DA334)-DC332),0)</f>
        <v>#REF!</v>
      </c>
      <c r="DC333" s="4" t="e">
        <f t="shared" ca="1" si="5605"/>
        <v>#REF!</v>
      </c>
      <c r="DD333" s="693" t="str">
        <f ca="1">IF(LEFT($J323,7)="Clad Wo",IFERROR(VLOOKUP(INDEX(CZ323:CZ334,DC333),SPPWS,2,FALSE),"----"),IFERROR(VLOOKUP(INDEX(CZ323:CZ334,DC333),SPM,2,FALSE),"----"))</f>
        <v>----</v>
      </c>
      <c r="DE333" s="691" t="e">
        <f t="shared" ca="1" si="5606"/>
        <v>#REF!</v>
      </c>
      <c r="DF333" s="4" t="e" cm="1">
        <f t="array" aca="1" ref="DF333" ca="1">IF(AND(INDEX(INDIRECT(BY323),DE333,4)&gt;=$AB329,INDEX(INDIRECT(BY323),DE333,5)&gt;=$S323,INDEX(INDIRECT(BY323),DE333,6)&gt;=$R323),1,0)</f>
        <v>#REF!</v>
      </c>
      <c r="DG333" s="4" t="e">
        <f t="shared" ref="DG333" ca="1" si="5756">MATCH(1,OFFSET(DF323:DF334,DH332,0,COUNT(DF323:DF334)-DH332),0)</f>
        <v>#REF!</v>
      </c>
      <c r="DH333" s="4" t="e">
        <f t="shared" ca="1" si="5608"/>
        <v>#REF!</v>
      </c>
      <c r="DI333" s="692" t="str" cm="1">
        <f t="array" aca="1" ref="DI333" ca="1">IFERROR(VLOOKUP(INDEX(DE323:DE334,DH333),INDIRECT(BY323),2,FALSE),"----")</f>
        <v>----</v>
      </c>
      <c r="DJ333" s="691" t="e">
        <f t="shared" ca="1" si="5609"/>
        <v>#N/A</v>
      </c>
      <c r="DK333" s="4" t="e">
        <f ca="1">IF(AND(INDEX(SSM,DJ333,4)&gt;=$AB329,INDEX(SSM,DJ333,5)&gt;=$S323,INDEX(SSM,DJ333,6)&gt;=$R323),1,0)</f>
        <v>#N/A</v>
      </c>
      <c r="DL333" s="4" t="e">
        <f t="shared" ref="DL333" ca="1" si="5757">MATCH(1,OFFSET(DK323:DK334,DM332,0,COUNT(DK323:DK334)-DM332),0)</f>
        <v>#REF!</v>
      </c>
      <c r="DM333" s="4" t="e">
        <f t="shared" ca="1" si="5611"/>
        <v>#REF!</v>
      </c>
      <c r="DN333" s="692" t="str">
        <f ca="1">IFERROR(IF(AD330="Nested Steel Stud (wood infill)",VLOOKUP(INDEX(DJ323:DJ334,DM333),SSW,2,FALSE),VLOOKUP(INDEX(DJ323:DJ334,DM333),SSM,2,FALSE)),"----")</f>
        <v>----</v>
      </c>
      <c r="DO333" s="691" t="e">
        <f t="shared" ca="1" si="5612"/>
        <v>#N/A</v>
      </c>
      <c r="DP333" s="4" t="e">
        <f ca="1">IF(AND(INDEX(WSM,DO333,4)&gt;=$AB329,INDEX(WSM,DO333,5)&gt;=$S323,INDEX(WSM,DO333,6)&gt;=$R323),1,0)</f>
        <v>#N/A</v>
      </c>
      <c r="DQ333" s="4" t="e">
        <f t="shared" ref="DQ333" ca="1" si="5758">MATCH(1,OFFSET(DP323:DP334,DR332,0,COUNT(DP323:DP334)-DR332),0)</f>
        <v>#REF!</v>
      </c>
      <c r="DR333" s="4" t="e">
        <f t="shared" ca="1" si="5614"/>
        <v>#REF!</v>
      </c>
      <c r="DS333" s="692" t="str">
        <f ca="1">IFERROR(VLOOKUP(INDEX(DO323:DO334,DR333),WSM,2,FALSE),"----")</f>
        <v>----</v>
      </c>
      <c r="DT333" s="691" t="e">
        <f t="shared" ca="1" si="5615"/>
        <v>#N/A</v>
      </c>
      <c r="DU333" s="4" t="e">
        <f ca="1">IF(AND(INDEX(STM,DT333,4)&gt;=$AB329,INDEX(STM,DT333,5)&gt;=$S323,INDEX(STM,DT333,6)&gt;=$R323),1,0)</f>
        <v>#N/A</v>
      </c>
      <c r="DV333" s="4" t="e">
        <f t="shared" ref="DV333" ca="1" si="5759">MATCH(1,OFFSET(DU323:DU334,DW332,0,COUNT(DU323:DU334)-DW332),0)</f>
        <v>#REF!</v>
      </c>
      <c r="DW333" s="4" t="e">
        <f t="shared" ca="1" si="5617"/>
        <v>#REF!</v>
      </c>
      <c r="DX333" s="692" t="str">
        <f ca="1">IFERROR(VLOOKUP(INDEX(DT323:DT334,DW333),STM,2,FALSE),"----")</f>
        <v>----</v>
      </c>
      <c r="DY333" s="691" t="e">
        <f t="shared" ca="1" si="5618"/>
        <v>#N/A</v>
      </c>
      <c r="DZ333" s="4" t="e">
        <f ca="1">IF(AND(INDEX(ELM,DY333,4)&gt;=$AB329,INDEX(ELM,DY333,5)&gt;=$S323,INDEX(ELM,DY333,6)&gt;=$R323),1,0)</f>
        <v>#N/A</v>
      </c>
      <c r="EA333" s="4" t="e">
        <f t="shared" ref="EA333" ca="1" si="5760">MATCH(1,OFFSET(DZ323:DZ334,EB332,0,COUNT(DZ323:DZ334)-EB332),0)</f>
        <v>#REF!</v>
      </c>
      <c r="EB333" s="4" t="e">
        <f t="shared" ca="1" si="5620"/>
        <v>#REF!</v>
      </c>
      <c r="EC333" s="692" t="str">
        <f ca="1">IFERROR(VLOOKUP(INDEX(DY323:DY334,EB333),ELM,2,FALSE),"----")</f>
        <v>----</v>
      </c>
      <c r="ED333" s="691" t="e">
        <f t="shared" ca="1" si="5621"/>
        <v>#N/A</v>
      </c>
      <c r="EE333" s="4" t="e">
        <f ca="1">IF(LEFT($J323,7)="Clad Wo",IF(AND(INDEX(SPPWS,ED333,4)&gt;=$AB329,INDEX(SPPWS,ED333,5)&gt;=$S323,INDEX(SPPWS,ED333,6)&gt;=$R323),1,0),IF(AND(INDEX(SPM,ED333,4)&gt;=$AB329,INDEX(SPM,ED333,5)&gt;=$S323,INDEX(SPM,ED333,6)&gt;=$R323),1,0))</f>
        <v>#N/A</v>
      </c>
      <c r="EF333" s="4" t="e">
        <f t="shared" ref="EF333" ca="1" si="5761">MATCH(1,OFFSET(EE323:EE334,EG332,0,COUNT(EE323:EE334)-EG332),0)</f>
        <v>#REF!</v>
      </c>
      <c r="EG333" s="4" t="e">
        <f t="shared" ca="1" si="5623"/>
        <v>#REF!</v>
      </c>
      <c r="EH333" s="692" t="str">
        <f ca="1">IF(LEFT($J323,7)="Clad Wo",IFERROR(VLOOKUP(INDEX(ED323:ED334,EG333),SPPWS,2,FALSE),"----"),IFERROR(VLOOKUP(INDEX(ED323:ED334,EG333),SPM,2,FALSE),"----"))</f>
        <v>----</v>
      </c>
    </row>
    <row r="334" spans="1:138" ht="15" customHeight="1" thickBot="1" x14ac:dyDescent="0.3">
      <c r="A334" s="1085"/>
      <c r="B334" s="928"/>
      <c r="C334" s="929"/>
      <c r="D334" s="930"/>
      <c r="E334" s="998"/>
      <c r="F334" s="999"/>
      <c r="G334" s="1000"/>
      <c r="H334" s="1063"/>
      <c r="I334" s="991"/>
      <c r="J334" s="904"/>
      <c r="K334" s="905"/>
      <c r="L334" s="1003"/>
      <c r="M334" s="1065"/>
      <c r="N334" s="1043"/>
      <c r="O334" s="1019"/>
      <c r="P334" s="988"/>
      <c r="Q334" s="1016"/>
      <c r="R334" s="1013"/>
      <c r="S334" s="1008"/>
      <c r="T334" s="1009"/>
      <c r="U334" s="879"/>
      <c r="V334" s="882"/>
      <c r="W334" s="885"/>
      <c r="X334" s="885"/>
      <c r="Y334" s="888"/>
      <c r="Z334" s="888"/>
      <c r="AA334" s="888"/>
      <c r="AB334" s="1082"/>
      <c r="AC334" s="1087"/>
      <c r="AD334" s="1098" t="str">
        <f t="shared" ref="AD334" si="5762">IF(LEFT(J323,7)="Clad Wo","Pella Wood Spr / Steel Pte","Steel Plate")</f>
        <v>Steel Plate</v>
      </c>
      <c r="AE334" s="1099"/>
      <c r="AF334" s="1096"/>
      <c r="AG334" s="1097"/>
      <c r="AH334" s="1097"/>
      <c r="AI334" s="1094"/>
      <c r="AJ334" s="1095"/>
      <c r="AK334" s="163" t="str">
        <f t="shared" ca="1" si="4947"/>
        <v/>
      </c>
      <c r="AL334" s="1060"/>
      <c r="AM334" s="345" t="str">
        <f ca="1">IFERROR(Q323/12*ROUND(VLOOKUP(AF334,OFFSET(SPM,0,1),6,FALSE),2),"")</f>
        <v/>
      </c>
      <c r="AN334" t="str">
        <f t="shared" ca="1" si="4971"/>
        <v/>
      </c>
      <c r="AP334" s="699" t="str">
        <f t="shared" ref="AP334" si="5763">_xlfn.CONCAT(AR334,AS334)</f>
        <v/>
      </c>
      <c r="AQ334" s="700" t="str">
        <f t="shared" si="5170"/>
        <v/>
      </c>
      <c r="AR334" s="160" t="str">
        <f t="shared" si="4931"/>
        <v/>
      </c>
      <c r="AS334" s="160" t="str">
        <f>IFERROR(VLOOKUP(J331, WallType,2,FALSE),"")</f>
        <v/>
      </c>
      <c r="AT334" s="707" t="str">
        <f>AL329</f>
        <v/>
      </c>
      <c r="AU334" s="708" t="e">
        <f t="shared" ca="1" si="5187"/>
        <v>#REF!</v>
      </c>
      <c r="AV334" s="709" t="str">
        <f ca="1">IFERROR(VLOOKUP(AU334,INDIRECT(AQ323),2,FALSE),"----")</f>
        <v>----</v>
      </c>
      <c r="AW334" s="710" t="e">
        <f t="shared" ca="1" si="5188"/>
        <v>#REF!</v>
      </c>
      <c r="AX334" s="709" t="str">
        <f ca="1">IFERROR(VLOOKUP(AW334,INDIRECT(AQ324),2,FALSE),"----")</f>
        <v>----</v>
      </c>
      <c r="AY334" s="710" t="e">
        <f t="shared" ca="1" si="4775"/>
        <v>#REF!</v>
      </c>
      <c r="AZ334" s="709" t="str">
        <f ca="1">IFERROR(VLOOKUP(AY334,INDIRECT(AQ325),2,FALSE),"----")</f>
        <v>----</v>
      </c>
      <c r="BA334" s="710" t="e">
        <f t="shared" ca="1" si="4776"/>
        <v>#REF!</v>
      </c>
      <c r="BB334" s="709" t="str">
        <f ca="1">IFERROR(VLOOKUP(BA334,INDIRECT(AQ326),2,FALSE),"----")</f>
        <v>----</v>
      </c>
      <c r="BC334" s="710" t="e">
        <f t="shared" ca="1" si="5191"/>
        <v>#REF!</v>
      </c>
      <c r="BD334" s="709" t="str">
        <f ca="1">IFERROR(VLOOKUP(BC334,INDIRECT(AQ327),2,FALSE),"----")</f>
        <v>----</v>
      </c>
      <c r="BE334" s="710" t="e">
        <f t="shared" ca="1" si="5192"/>
        <v>#REF!</v>
      </c>
      <c r="BF334" s="709" t="str">
        <f ca="1">IFERROR(VLOOKUP(BE334,INDIRECT(AQ328),2,FALSE),"----")</f>
        <v>----</v>
      </c>
      <c r="BG334" s="710" t="e">
        <f t="shared" ca="1" si="5193"/>
        <v>#REF!</v>
      </c>
      <c r="BH334" s="711" t="str">
        <f ca="1">IFERROR(VLOOKUP(BG334,INDIRECT(AQ329),2,FALSE),"----")</f>
        <v>----</v>
      </c>
      <c r="BI334" s="710" t="e">
        <f t="shared" ca="1" si="5194"/>
        <v>#REF!</v>
      </c>
      <c r="BJ334" s="711" t="str">
        <f ca="1">IFERROR(VLOOKUP(BI334,INDIRECT(AQ330),2,FALSE),"----")</f>
        <v>----</v>
      </c>
      <c r="BK334" s="710" t="e">
        <f t="shared" ca="1" si="5195"/>
        <v>#REF!</v>
      </c>
      <c r="BL334" s="711" t="str">
        <f ca="1">IFERROR(VLOOKUP(BK334,INDIRECT(AQ331),2,FALSE),"----")</f>
        <v>----</v>
      </c>
      <c r="BM334" s="710" t="e">
        <f t="shared" ca="1" si="5196"/>
        <v>#REF!</v>
      </c>
      <c r="BN334" s="711" t="str">
        <f ca="1">IFERROR(VLOOKUP(BM334,INDIRECT(AQ332),2,FALSE),"----")</f>
        <v>----</v>
      </c>
      <c r="BO334" s="710" t="e">
        <f t="shared" ca="1" si="5197"/>
        <v>#REF!</v>
      </c>
      <c r="BP334" s="711" t="str">
        <f ca="1">IFERROR(VLOOKUP(BO334,INDIRECT(AQ333),2,FALSE),"----")</f>
        <v>----</v>
      </c>
      <c r="BQ334" s="710" t="e">
        <f t="shared" ca="1" si="5198"/>
        <v>#REF!</v>
      </c>
      <c r="BR334" s="712" t="str">
        <f ca="1">IFERROR(VLOOKUP(BQ334,INDIRECT(AQ334),2,FALSE),"----")</f>
        <v>----</v>
      </c>
      <c r="BS334" s="695">
        <f>IF(AI334="",1,IF(COUNTIF(BR323:BR334,AI334)=0,2,1))</f>
        <v>1</v>
      </c>
      <c r="BT334" s="713">
        <f>IF(AF334="",1,IF(BR323=".",2,1))</f>
        <v>1</v>
      </c>
      <c r="BV334" s="155">
        <f ca="1">IF(COUNTIF(EH323:EH334,AF334)=0,IF(AF334&lt;&gt;"",0,1),1)</f>
        <v>1</v>
      </c>
      <c r="BW334" s="157">
        <f ca="1">IFERROR(MATCH(AF334,EH323:EH334,0),1)</f>
        <v>1</v>
      </c>
      <c r="BX334" s="718"/>
      <c r="BY334" s="777"/>
      <c r="BZ334" s="1110"/>
      <c r="CA334" s="714" t="e">
        <f t="shared" ca="1" si="5588"/>
        <v>#REF!</v>
      </c>
      <c r="CB334" s="715" t="e" cm="1">
        <f t="array" aca="1" ref="CB334" ca="1">IF(AND(INDEX(INDIRECT(BY323),CA334,4)&gt;=$AB323,INDEX(INDIRECT(BY323),CA334,5)&gt;=$S323,INDEX(INDIRECT(BY323),CA334,6)&gt;=$R323),1,0)</f>
        <v>#REF!</v>
      </c>
      <c r="CC334" s="715" t="e">
        <f t="shared" ref="CC334" ca="1" si="5764">MATCH(1,OFFSET(CB323:CB334,CD333,0,COUNT(CB323:CB334)-CD333),0)</f>
        <v>#REF!</v>
      </c>
      <c r="CD334" s="715" t="e">
        <f t="shared" ca="1" si="5590"/>
        <v>#REF!</v>
      </c>
      <c r="CE334" s="716" t="str" cm="1">
        <f t="array" aca="1" ref="CE334" ca="1">IFERROR(VLOOKUP(INDEX(CA323:CA334,CD334),INDIRECT(BY323),2,FALSE),"----")</f>
        <v>----</v>
      </c>
      <c r="CF334" s="714" t="e">
        <f t="shared" ca="1" si="5591"/>
        <v>#N/A</v>
      </c>
      <c r="CG334" s="715" t="e">
        <f ca="1">IF(AND(INDEX(SSM,CF334,4)&gt;=$AB323,INDEX(SSM,CF334,5)&gt;=$S323,INDEX(SSM,CF334,6)&gt;=$R323),1,0)</f>
        <v>#N/A</v>
      </c>
      <c r="CH334" s="715" t="e">
        <f t="shared" ref="CH334" ca="1" si="5765">MATCH(1,OFFSET(CG323:CG334,CI333,0,COUNT(CG323:CG334)-CI333),0)</f>
        <v>#REF!</v>
      </c>
      <c r="CI334" s="715" t="e">
        <f t="shared" ca="1" si="5593"/>
        <v>#REF!</v>
      </c>
      <c r="CJ334" s="716" t="str">
        <f ca="1">IFERROR(IF(AD324="Nested Steel Stud (wood infill)",VLOOKUP(INDEX(CF323:CF334,CI334),SSW,2,FALSE),VLOOKUP(INDEX(CF323:CF334,CI334),SSM,2,FALSE)),"----")</f>
        <v>----</v>
      </c>
      <c r="CK334" s="714" t="e">
        <f t="shared" ca="1" si="5594"/>
        <v>#N/A</v>
      </c>
      <c r="CL334" s="715" t="e">
        <f ca="1">IF(AND(INDEX(WSM,CK334,4)&gt;=$AB323,INDEX(WSM,CK334,5)&gt;=$S323,INDEX(WSM,CK334,6)&gt;=$R323),1,0)</f>
        <v>#N/A</v>
      </c>
      <c r="CM334" s="715" t="e">
        <f t="shared" ref="CM334" ca="1" si="5766">MATCH(1,OFFSET(CL323:CL334,CN333,0,COUNT(CL323:CL334)-CN333),0)</f>
        <v>#REF!</v>
      </c>
      <c r="CN334" s="715" t="e">
        <f t="shared" ca="1" si="5596"/>
        <v>#REF!</v>
      </c>
      <c r="CO334" s="716" t="str">
        <f ca="1">IFERROR(VLOOKUP(INDEX(CK323:CK334,CN334),WSM,2,FALSE),"----")</f>
        <v>----</v>
      </c>
      <c r="CP334" s="714" t="e">
        <f t="shared" ca="1" si="5597"/>
        <v>#N/A</v>
      </c>
      <c r="CQ334" s="715" t="e">
        <f ca="1">IF(AND(INDEX(STM,CP334,4)&gt;=$AB323,INDEX(STM,CP334,5)&gt;=$S323,INDEX(STM,CP334,6)&gt;=$R323),1,0)</f>
        <v>#N/A</v>
      </c>
      <c r="CR334" s="715" t="e">
        <f t="shared" ref="CR334" ca="1" si="5767">MATCH(1,OFFSET(CQ323:CQ334,CS333,0,COUNT(CQ323:CQ334)-CS333),0)</f>
        <v>#REF!</v>
      </c>
      <c r="CS334" s="715" t="e">
        <f t="shared" ca="1" si="5599"/>
        <v>#REF!</v>
      </c>
      <c r="CT334" s="716" t="str">
        <f ca="1">IFERROR(VLOOKUP(INDEX(CP323:CP334,CS334),STM,2,FALSE),"----")</f>
        <v>----</v>
      </c>
      <c r="CU334" s="714" t="e">
        <f t="shared" ca="1" si="5600"/>
        <v>#N/A</v>
      </c>
      <c r="CV334" s="715" t="e">
        <f ca="1">IF(AND(INDEX(ELM,CU334,4)&gt;=$AB323,INDEX(ELM,CU334,5)&gt;=$S323,INDEX(ELM,CU334,6)&gt;=$R323),1,0)</f>
        <v>#N/A</v>
      </c>
      <c r="CW334" s="715" t="e">
        <f t="shared" ref="CW334" ca="1" si="5768">MATCH(1,OFFSET(CV323:CV334,CX333,0,COUNT(CV323:CV334)-CX333),0)</f>
        <v>#REF!</v>
      </c>
      <c r="CX334" s="715" t="e">
        <f t="shared" ca="1" si="5602"/>
        <v>#REF!</v>
      </c>
      <c r="CY334" s="716" t="str">
        <f ca="1">IFERROR(VLOOKUP(INDEX(CU323:CU334,CX334),ELM,2,FALSE),"----")</f>
        <v>----</v>
      </c>
      <c r="CZ334" s="714" t="e">
        <f t="shared" ca="1" si="5603"/>
        <v>#N/A</v>
      </c>
      <c r="DA334" s="715" t="e">
        <f ca="1">IF(LEFT($J323,7)="Clad Wo",IF(AND(INDEX(SPPWS,CZ334,4)&gt;=$AB323,INDEX(SPPWS,CZ334,5)&gt;=$S323,INDEX(SPPWS,CZ334,6)&gt;=$R323),1,0),IF(AND(INDEX(SPM,CZ334,4)&gt;=$AB323,INDEX(SPM,CZ334,5)&gt;=$S323,INDEX(SPM,CZ334,6)&gt;=$R323),1,0))</f>
        <v>#N/A</v>
      </c>
      <c r="DB334" s="715" t="e">
        <f t="shared" ref="DB334" ca="1" si="5769">MATCH(1,OFFSET(DA323:DA334,DC333,0,COUNT(DA323:DA334)-DC333),0)</f>
        <v>#REF!</v>
      </c>
      <c r="DC334" s="715" t="e">
        <f t="shared" ca="1" si="5605"/>
        <v>#REF!</v>
      </c>
      <c r="DD334" s="717" t="str">
        <f ca="1">IF(LEFT($J323,7)="Clad Wo",IFERROR(VLOOKUP(INDEX(CZ323:CZ334,DC334),SPPWS,2,FALSE),"----"),IFERROR(VLOOKUP(INDEX(CZ323:CZ334,DC334),SPM,2,FALSE),"----"))</f>
        <v>----</v>
      </c>
      <c r="DE334" s="714" t="e">
        <f t="shared" ca="1" si="5606"/>
        <v>#REF!</v>
      </c>
      <c r="DF334" s="715" t="e" cm="1">
        <f t="array" aca="1" ref="DF334" ca="1">IF(AND(INDEX(INDIRECT(BY323),DE334,4)&gt;=$AB329,INDEX(INDIRECT(BY323),DE334,5)&gt;=$S323,INDEX(INDIRECT(BY323),DE334,6)&gt;=$R323),1,0)</f>
        <v>#REF!</v>
      </c>
      <c r="DG334" s="715" t="e">
        <f t="shared" ref="DG334" ca="1" si="5770">MATCH(1,OFFSET(DF323:DF334,DH333,0,COUNT(DF323:DF334)-DH333),0)</f>
        <v>#REF!</v>
      </c>
      <c r="DH334" s="715" t="e">
        <f t="shared" ca="1" si="5608"/>
        <v>#REF!</v>
      </c>
      <c r="DI334" s="716" t="str" cm="1">
        <f t="array" aca="1" ref="DI334" ca="1">IFERROR(VLOOKUP(INDEX(DE323:DE334,DH334),INDIRECT(BY323),2,FALSE),"----")</f>
        <v>----</v>
      </c>
      <c r="DJ334" s="714" t="e">
        <f t="shared" ca="1" si="5609"/>
        <v>#N/A</v>
      </c>
      <c r="DK334" s="715" t="e">
        <f ca="1">IF(AND(INDEX(SSM,DJ334,4)&gt;=$AB329,INDEX(SSM,DJ334,5)&gt;=$S323,INDEX(SSM,DJ334,6)&gt;=$R323),1,0)</f>
        <v>#N/A</v>
      </c>
      <c r="DL334" s="715" t="e">
        <f t="shared" ref="DL334" ca="1" si="5771">MATCH(1,OFFSET(DK323:DK334,DM333,0,COUNT(DK323:DK334)-DM333),0)</f>
        <v>#REF!</v>
      </c>
      <c r="DM334" s="715" t="e">
        <f t="shared" ca="1" si="5611"/>
        <v>#REF!</v>
      </c>
      <c r="DN334" s="716" t="str">
        <f ca="1">IFERROR(IF(AD330="Nested Steel Stud (wood infill)",VLOOKUP(INDEX(DJ323:DJ334,DM334),SSW,2,FALSE),VLOOKUP(INDEX(DJ323:DJ334,DM334),SSM,2,FALSE)),"----")</f>
        <v>----</v>
      </c>
      <c r="DO334" s="714" t="e">
        <f t="shared" ca="1" si="5612"/>
        <v>#N/A</v>
      </c>
      <c r="DP334" s="715" t="e">
        <f ca="1">IF(AND(INDEX(WSM,DO334,4)&gt;=$AB329,INDEX(WSM,DO334,5)&gt;=$S323,INDEX(WSM,DO334,6)&gt;=$R323),1,0)</f>
        <v>#N/A</v>
      </c>
      <c r="DQ334" s="715" t="e">
        <f t="shared" ref="DQ334" ca="1" si="5772">MATCH(1,OFFSET(DP323:DP334,DR333,0,COUNT(DP323:DP334)-DR333),0)</f>
        <v>#REF!</v>
      </c>
      <c r="DR334" s="715" t="e">
        <f t="shared" ca="1" si="5614"/>
        <v>#REF!</v>
      </c>
      <c r="DS334" s="716" t="str">
        <f ca="1">IFERROR(VLOOKUP(INDEX(DO323:DO334,DR334),WSM,2,FALSE),"----")</f>
        <v>----</v>
      </c>
      <c r="DT334" s="714" t="e">
        <f t="shared" ca="1" si="5615"/>
        <v>#N/A</v>
      </c>
      <c r="DU334" s="715" t="e">
        <f ca="1">IF(AND(INDEX(STM,DT334,4)&gt;=$AB329,INDEX(STM,DT334,5)&gt;=$S323,INDEX(STM,DT334,6)&gt;=$R323),1,0)</f>
        <v>#N/A</v>
      </c>
      <c r="DV334" s="715" t="e">
        <f t="shared" ref="DV334" ca="1" si="5773">MATCH(1,OFFSET(DU323:DU334,DW333,0,COUNT(DU323:DU334)-DW333),0)</f>
        <v>#REF!</v>
      </c>
      <c r="DW334" s="715" t="e">
        <f t="shared" ca="1" si="5617"/>
        <v>#REF!</v>
      </c>
      <c r="DX334" s="716" t="str">
        <f ca="1">IFERROR(VLOOKUP(INDEX(DT323:DT334,DW334),STM,2,FALSE),"----")</f>
        <v>----</v>
      </c>
      <c r="DY334" s="714" t="e">
        <f t="shared" ca="1" si="5618"/>
        <v>#N/A</v>
      </c>
      <c r="DZ334" s="715" t="e">
        <f ca="1">IF(AND(INDEX(ELM,DY334,4)&gt;=$AB329,INDEX(ELM,DY334,5)&gt;=$S323,INDEX(ELM,DY334,6)&gt;=$R323),1,0)</f>
        <v>#N/A</v>
      </c>
      <c r="EA334" s="715" t="e">
        <f t="shared" ref="EA334" ca="1" si="5774">MATCH(1,OFFSET(DZ323:DZ334,EB333,0,COUNT(DZ323:DZ334)-EB333),0)</f>
        <v>#REF!</v>
      </c>
      <c r="EB334" s="715" t="e">
        <f t="shared" ca="1" si="5620"/>
        <v>#REF!</v>
      </c>
      <c r="EC334" s="716" t="str">
        <f ca="1">IFERROR(VLOOKUP(INDEX(DY323:DY334,EB334),ELM,2,FALSE),"----")</f>
        <v>----</v>
      </c>
      <c r="ED334" s="714" t="e">
        <f t="shared" ca="1" si="5621"/>
        <v>#N/A</v>
      </c>
      <c r="EE334" s="715" t="e">
        <f ca="1">IF(LEFT($J323,7)="Clad Wo",IF(AND(INDEX(SPPWS,ED334,4)&gt;=$AB329,INDEX(SPPWS,ED334,5)&gt;=$S323,INDEX(SPPWS,ED334,6)&gt;=$R323),1,0),IF(AND(INDEX(SPM,ED334,4)&gt;=$AB329,INDEX(SPM,ED334,5)&gt;=$S323,INDEX(SPM,ED334,6)&gt;=$R323),1,0))</f>
        <v>#N/A</v>
      </c>
      <c r="EF334" s="715" t="e">
        <f t="shared" ref="EF334" ca="1" si="5775">MATCH(1,OFFSET(EE323:EE334,EG333,0,COUNT(EE323:EE334)-EG333),0)</f>
        <v>#REF!</v>
      </c>
      <c r="EG334" s="715" t="e">
        <f t="shared" ca="1" si="5623"/>
        <v>#REF!</v>
      </c>
      <c r="EH334" s="716" t="str">
        <f ca="1">IF(LEFT($J323,7)="Clad Wo",IFERROR(VLOOKUP(INDEX(ED323:ED334,EG334),SPPWS,2,FALSE),"----"),IFERROR(VLOOKUP(INDEX(ED323:ED334,EG334),SPM,2,FALSE),"----"))</f>
        <v>----</v>
      </c>
    </row>
    <row r="335" spans="1:138" ht="15" customHeight="1" thickTop="1" x14ac:dyDescent="0.25">
      <c r="A335" s="1085"/>
      <c r="B335" s="931" t="s">
        <v>92</v>
      </c>
      <c r="C335" s="932"/>
      <c r="D335" s="933"/>
      <c r="E335" s="992"/>
      <c r="F335" s="993"/>
      <c r="G335" s="994"/>
      <c r="H335" s="1061"/>
      <c r="I335" s="989"/>
      <c r="J335" s="906"/>
      <c r="K335" s="907"/>
      <c r="L335" s="1001">
        <f>$W$3</f>
        <v>4</v>
      </c>
      <c r="M335" s="923" t="str">
        <f t="shared" ref="M335" si="5776">IFERROR(IF($AE$13="",IF($AG$19="Wind Loading",MIN($V$31,IF(E$11="ASCE 7-05",$U$26,$V$7)*$V$9*(IF($E$12&lt;60,0.0771*LN(MAX(MIN(500,O335),10)) -1.2737,IF($E$11="ASCE 7-22",0.0524*LN(MAX(MIN(500,O335),50))-1.0278,0.0614*LN(MAX(MIN(500,O335),20)) -1.0829))-$V$8)),$V$7*IF(E$12&lt;60,$V$13*($V$15*0.0771*LN(MAX(MIN(500,O335),10))-1.2737-$V$16),$V$13*$V$15*((0.0524*LN(MAX(MIN(500,O335),20))-1.0278)-$V$16))),-ABS($AE$13)),"")</f>
        <v/>
      </c>
      <c r="N335" s="1042" t="str">
        <f t="shared" ref="N335" si="5777">IFERROR(IF($AE$15="",IF($AG$19="Wind Loading",MAX($U$31,IF(E$11="ASCE 7-05",$U$26,$V$7)*$V$9*((IF($E$12&lt;60,-0.077*LN(MAX(MIN(500,O335),10))+1.1737,IF($E$11="ASCE 7-22",-0.077*LN(MAX(MIN(500,O335),20))+1.0798,-0.093*LN(MAX(MIN(500,O335),20))+1.1776)))+$V$8)),$V$7*IF(E$12&lt;60,$V$13*($V$15*(-0.077*LN(MAX(MIN(500,O335),10))+1.1737)-$V$17),$V$13*$V$15*((-0.077*LN(MAX(MIN(500,O335),20))+1.0798)-$V$17))),ABS($AE$15)),"")</f>
        <v/>
      </c>
      <c r="O335" s="1017" t="str">
        <f>IF(BX342=0,"",IF(AG$14="Trapezoidal",BY342,BX342))</f>
        <v/>
      </c>
      <c r="P335" s="986"/>
      <c r="Q335" s="1014"/>
      <c r="R335" s="1011">
        <f>P335*Q335/8</f>
        <v>0</v>
      </c>
      <c r="S335" s="1004">
        <f t="shared" ref="S335" si="5778">IF(5*(P335*Q335^3/(384*0.125))=0,0,5*(P335*Q335^3/(384*0.125)))</f>
        <v>0</v>
      </c>
      <c r="T335" s="1005"/>
      <c r="U335" s="877" t="e">
        <f ca="1">VLOOKUP(J339,INDIRECT(VLOOKUP(J335,FrameStrength,2,FALSE)),3,FALSE)</f>
        <v>#N/A</v>
      </c>
      <c r="V335" s="880">
        <f t="shared" ref="V335" si="5779">(H335+I335)/2</f>
        <v>0</v>
      </c>
      <c r="W335" s="883" t="e">
        <f t="shared" ref="W335" si="5780">MAX(-M335,N335)*O335</f>
        <v>#VALUE!</v>
      </c>
      <c r="X335" s="883">
        <f t="shared" ref="X335" si="5781">IF(E335&gt;162,(E335/240+0.25),IF(AND(E335&lt;162,E335/175&lt;0.75),E335/175,0.75))</f>
        <v>0</v>
      </c>
      <c r="Y335" s="886">
        <f>IFERROR(IF(AG$14="Trapezoidal",BY343,BX343)+IF($E$17="4",(400*E335^3)/(48*X335),0),0)</f>
        <v>0</v>
      </c>
      <c r="Z335" s="886" t="e">
        <f t="shared" ref="Z335" si="5782">+($V335*MAX(-$M335,$N335)*$E335^2)/(144*8)+IF($E$17=4,(400*$E335)/4,0)</f>
        <v>#VALUE!</v>
      </c>
      <c r="AA335" s="886" t="e">
        <f ca="1">VLOOKUP(J339,INDIRECT(VLOOKUP(J335,FrameStrength,2,FALSE)),2,FALSE)</f>
        <v>#N/A</v>
      </c>
      <c r="AB335" s="1083" t="str">
        <f t="shared" ref="AB335" ca="1" si="5783">IFERROR(Z335-AA335,"")</f>
        <v/>
      </c>
      <c r="AC335" s="1077" t="str">
        <f t="shared" ref="AC335" ca="1" si="5784">IFERROR(Y335-U335,"")</f>
        <v/>
      </c>
      <c r="AD335" s="1100" t="str">
        <f>IFERROR(IF(LEFT(J339,2)="As",VLOOKUP(J339,EIMM,4,FALSE),VLOOKUP(J335,EIMM,4,FALSE)),IF(AND(ISNUMBER(SEARCH("Impervia",J335)),ISNUMBER(SEARCH("door",J339))),'New Lookup Cells'!AF$10,IF(ISNUMBER(SEARCH("Impervia",J335)),'New Lookup Cells'!AF$7,IF(AND(ISNUMBER(SEARCH("250",J335)),ISNUMBER(SEARCH("door",J339))),'New Lookup Cells'!AF$14,IF(ISNUMBER(SEARCH("250",J335)),'New Lookup Cells'!AF$13,"")))))</f>
        <v/>
      </c>
      <c r="AE335" s="1101"/>
      <c r="AF335" s="1050"/>
      <c r="AG335" s="1051"/>
      <c r="AH335" s="1051"/>
      <c r="AI335" s="1088"/>
      <c r="AJ335" s="1089"/>
      <c r="AK335" s="154" t="str">
        <f t="shared" ca="1" si="4947"/>
        <v/>
      </c>
      <c r="AL335" s="1038" t="str">
        <f t="shared" ref="AL335" si="5785">IFERROR(ROUND(SQRT(P335^2+(W335/2+IF($E$17=4,200,0))^2),0),"")</f>
        <v/>
      </c>
      <c r="AM335" s="342" t="s">
        <v>669</v>
      </c>
      <c r="AN335" t="str">
        <f t="shared" ca="1" si="4971"/>
        <v/>
      </c>
      <c r="AP335" s="122" t="str">
        <f t="shared" ref="AP335" si="5786">_xlfn.CONCAT(AR335,AS340)</f>
        <v/>
      </c>
      <c r="AQ335" s="683" t="str">
        <f t="shared" si="5170"/>
        <v/>
      </c>
      <c r="AR335" s="96" t="str">
        <f t="shared" si="4931"/>
        <v/>
      </c>
      <c r="AS335" s="96" t="str">
        <f>IF(COUNTIF(imp_1,AF335)=1,"imp_1",IF(COUNTIF(imp_2,AF335)=1,"imp_2",IF(COUNTIF(imp_3,AF335)=1,"imp_3",IF(COUNTIF(impdoor,AF335)=1,"impdoor",""))))</f>
        <v/>
      </c>
      <c r="AT335" s="684" t="str">
        <f>AL335</f>
        <v/>
      </c>
      <c r="AU335" s="685" t="e">
        <f ca="1">MATCH(AL335,INDIRECT(AP335),-1)</f>
        <v>#REF!</v>
      </c>
      <c r="AV335" s="686" t="str">
        <f ca="1">IFERROR(VLOOKUP(AU335,INDIRECT(AQ335),2,FALSE),"----")</f>
        <v>----</v>
      </c>
      <c r="AW335" s="685" t="e">
        <f ca="1">MATCH(AL335,INDIRECT(AP336),-1)</f>
        <v>#REF!</v>
      </c>
      <c r="AX335" s="686" t="str">
        <f ca="1">IFERROR(VLOOKUP(AW335,INDIRECT(AQ336),2,FALSE),"----")</f>
        <v>----</v>
      </c>
      <c r="AY335" s="685" t="e">
        <f ca="1">MATCH(AL335,INDIRECT(AP337),-1)</f>
        <v>#REF!</v>
      </c>
      <c r="AZ335" s="686" t="str">
        <f ca="1">IFERROR(VLOOKUP(AY335,INDIRECT(AQ337),2,FALSE),"----")</f>
        <v>----</v>
      </c>
      <c r="BA335" s="685" t="e">
        <f ca="1">MATCH(AL335,INDIRECT(AP338),-1)</f>
        <v>#REF!</v>
      </c>
      <c r="BB335" s="686" t="str">
        <f ca="1">IFERROR(VLOOKUP(BA335,INDIRECT(AQ338),2,FALSE),"----")</f>
        <v>----</v>
      </c>
      <c r="BC335" s="685" t="e">
        <f ca="1">MATCH(AL335,INDIRECT(AP339),-1)</f>
        <v>#REF!</v>
      </c>
      <c r="BD335" s="686" t="str">
        <f ca="1">IFERROR(VLOOKUP(BC335,INDIRECT(AQ339),2,FALSE),"----")</f>
        <v>----</v>
      </c>
      <c r="BE335" s="685" t="e">
        <f ca="1">MATCH(AL335,INDIRECT(AP340),-1)</f>
        <v>#REF!</v>
      </c>
      <c r="BF335" s="686" t="str">
        <f ca="1">IFERROR(VLOOKUP(BE335,INDIRECT(AQ340),2,FALSE),"----")</f>
        <v>----</v>
      </c>
      <c r="BG335" s="685" t="e">
        <f ca="1">MATCH(AL341,INDIRECT(AP341),-1)</f>
        <v>#REF!</v>
      </c>
      <c r="BH335" s="686" t="str">
        <f ca="1">IFERROR(VLOOKUP(BG335,INDIRECT(AQ341),2,FALSE),"----")</f>
        <v>----</v>
      </c>
      <c r="BI335" s="685" t="e">
        <f ca="1">MATCH(AL341,INDIRECT(AP342),-1)</f>
        <v>#REF!</v>
      </c>
      <c r="BJ335" s="686" t="str">
        <f ca="1">IFERROR(VLOOKUP(BI335,INDIRECT(AQ342),2,FALSE),"----")</f>
        <v>----</v>
      </c>
      <c r="BK335" s="685" t="e">
        <f ca="1">MATCH(AL341,INDIRECT(AP343),-1)</f>
        <v>#REF!</v>
      </c>
      <c r="BL335" s="686" t="str">
        <f ca="1">IFERROR(VLOOKUP(BK335,INDIRECT(AQ343),2,FALSE),"----")</f>
        <v>----</v>
      </c>
      <c r="BM335" s="685" t="e">
        <f ca="1">MATCH(AL341,INDIRECT(AP344),-1)</f>
        <v>#REF!</v>
      </c>
      <c r="BN335" s="686" t="str">
        <f ca="1">IFERROR(VLOOKUP(BM335,INDIRECT(AQ344),2,FALSE),"----")</f>
        <v>----</v>
      </c>
      <c r="BO335" s="685" t="e">
        <f ca="1">MATCH(AL341,INDIRECT(AP345),-1)</f>
        <v>#REF!</v>
      </c>
      <c r="BP335" s="686" t="str">
        <f ca="1">IFERROR(VLOOKUP(BO335,INDIRECT(AQ345),2,FALSE),"----")</f>
        <v>----</v>
      </c>
      <c r="BQ335" s="685" t="e">
        <f ca="1">MATCH(AL341,INDIRECT(AP346),-1)</f>
        <v>#REF!</v>
      </c>
      <c r="BR335" s="686" t="str">
        <f ca="1">IFERROR(VLOOKUP(BQ335,INDIRECT(AQ346),2,FALSE),"----")</f>
        <v>----</v>
      </c>
      <c r="BS335" s="687">
        <f>IF(AI335="",1,IF(COUNTIF(AV335:AV346,AI335)=0,2,1))</f>
        <v>1</v>
      </c>
      <c r="BT335" s="688">
        <f>IF(AP335="1",1,IF(AF335="",1,IF(AV335=".",2,1)))</f>
        <v>1</v>
      </c>
      <c r="BU335" s="706"/>
      <c r="BV335" s="155">
        <f ca="1">IF(COUNTIF(CE335:CE346,AF335)=0,IF(AF335&lt;&gt;"",0,1),1)</f>
        <v>1</v>
      </c>
      <c r="BW335" s="157">
        <f ca="1">IFERROR(MATCH(AF335,CE335:CE346,0),1)</f>
        <v>1</v>
      </c>
      <c r="BX335" s="769" t="str">
        <f>IFERROR(IF(LEFT(J339,2)="As",VLOOKUP(J339,EIMM,2,FALSE),IF(AND(ISNUMBER(SEARCH("Impervia",J335)),ISNUMBER(SEARCH("door",J339))),VLOOKUP("Impervia Door",EIMM,2,FALSE),IF(AND(ISNUMBER(SEARCH("250",J335)),ISNUMBER(SEARCH("door",J339))),VLOOKUP("250 Series Door",EIMM,2,FALSE),VLOOKUP(J335,EIMM,2,FALSE)))),"")</f>
        <v/>
      </c>
      <c r="BY335" s="769" t="str">
        <f ca="1">IFERROR(VLOOKUP(BX335,OFFSET(EIMM,0,1),2,FALSE),"")</f>
        <v/>
      </c>
      <c r="BZ335" s="1110" t="e">
        <f ca="1">IF((COUNTIF(INDIRECT(SUBSTITUTE(J335," ","_")),J339))=0,IF(J339="",1,0),1)</f>
        <v>#REF!</v>
      </c>
      <c r="CA335" s="691" t="e">
        <f ca="1">MATCH(AC335,INDIRECT(BX335),-1)</f>
        <v>#REF!</v>
      </c>
      <c r="CB335" s="4" t="e" cm="1">
        <f t="array" aca="1" ref="CB335" ca="1">IF(AND(INDEX(INDIRECT(BY335),CA335,4)&gt;=$AB335,INDEX(INDIRECT(BY335),CA335,5)&gt;=$S335,INDEX(INDIRECT(BY335),CA335,6)&gt;=$R335),1,0)</f>
        <v>#REF!</v>
      </c>
      <c r="CC335" s="4" t="e">
        <f t="shared" ref="CC335" ca="1" si="5787">MATCH(1,OFFSET(CB335:CB346,$W$2,0,COUNT(CB335:CB346)-$W$2),0)</f>
        <v>#REF!</v>
      </c>
      <c r="CD335" s="4" t="e">
        <f t="shared" ref="CD335" ca="1" si="5788">$W$2+CC335</f>
        <v>#REF!</v>
      </c>
      <c r="CE335" s="692" t="str" cm="1">
        <f t="array" aca="1" ref="CE335" ca="1">IFERROR(VLOOKUP(INDEX(CA335:CA346,CD335),INDIRECT(BY335),2,FALSE),"----")</f>
        <v>----</v>
      </c>
      <c r="CF335" s="691" t="e">
        <f ca="1">MATCH($AC335,SSEI,-1)</f>
        <v>#N/A</v>
      </c>
      <c r="CG335" s="4" t="e">
        <f ca="1">IF(AND(INDEX(SSM,CF335,4)&gt;=$AB335,INDEX(SSM,CF335,5)&gt;=$S335,INDEX(SSM,CF335,6)&gt;=$R335),1,0)</f>
        <v>#N/A</v>
      </c>
      <c r="CH335" s="4" t="e">
        <f t="shared" ref="CH335" ca="1" si="5789">MATCH(1,OFFSET(CG335:CG346,$W$2,0,COUNT(CG335:CG346)-$W$2),0)</f>
        <v>#REF!</v>
      </c>
      <c r="CI335" s="4" t="e">
        <f t="shared" ref="CI335" ca="1" si="5790">$W$2+CH335</f>
        <v>#REF!</v>
      </c>
      <c r="CJ335" s="692" t="str">
        <f ca="1">IFERROR(IF(AD336="Nested Steel Stud (wood infill)",VLOOKUP(INDEX(CF335:CF346,CI335),SSW,2,FALSE),VLOOKUP(INDEX(CF335:CF346,CI335),SSM,2,FALSE)),"----")</f>
        <v>----</v>
      </c>
      <c r="CK335" s="691" t="e">
        <f ca="1">MATCH($AC335,WSEI,-1)</f>
        <v>#N/A</v>
      </c>
      <c r="CL335" s="4" t="e">
        <f ca="1">IF(AND(INDEX(WSM,CK335,4)&gt;=$AB335,INDEX(WSM,CK335,5)&gt;=$S335,INDEX(WSM,CK335,6)&gt;=$R335),1,0)</f>
        <v>#N/A</v>
      </c>
      <c r="CM335" s="4" t="e">
        <f t="shared" ref="CM335" ca="1" si="5791">MATCH(1,OFFSET(CL335:CL346,$W$2,0,COUNT(CL335:CL346)-$W$2),0)</f>
        <v>#REF!</v>
      </c>
      <c r="CN335" s="4" t="e">
        <f t="shared" ref="CN335" ca="1" si="5792">$W$2+CM335</f>
        <v>#REF!</v>
      </c>
      <c r="CO335" s="692" t="str">
        <f ca="1">IFERROR(VLOOKUP(INDEX(CK335:CK346,CN335),WSM,2,FALSE),"----")</f>
        <v>----</v>
      </c>
      <c r="CP335" s="691" t="e">
        <f ca="1">MATCH($AC335,STEI,-1)</f>
        <v>#N/A</v>
      </c>
      <c r="CQ335" s="4" t="e">
        <f ca="1">IF(AND(INDEX(STM,CP335,4)&gt;=$AB335,INDEX(STM,CP335,5)&gt;=$S335,INDEX(STM,CP335,6)&gt;=$R335),1,0)</f>
        <v>#N/A</v>
      </c>
      <c r="CR335" s="4" t="e">
        <f t="shared" ref="CR335" ca="1" si="5793">MATCH(1,OFFSET(CQ335:CQ346,$W$2,0,COUNT(CQ335:CQ346)-$W$2),0)</f>
        <v>#REF!</v>
      </c>
      <c r="CS335" s="4" t="e">
        <f t="shared" ref="CS335" ca="1" si="5794">$W$2+CR335</f>
        <v>#REF!</v>
      </c>
      <c r="CT335" s="692" t="str">
        <f ca="1">IFERROR(VLOOKUP(INDEX(CP335:CP346,CS335),STM,2,FALSE),"----")</f>
        <v>----</v>
      </c>
      <c r="CU335" s="691" t="e">
        <f ca="1">MATCH($AC335,ELEI,-1)</f>
        <v>#N/A</v>
      </c>
      <c r="CV335" s="4" t="e">
        <f ca="1">IF(AND(INDEX(ELM,CU335,4)&gt;=$AB335,INDEX(ELM,CU335,5)&gt;=$S335,INDEX(ELM,CU335,6)&gt;=$R335),1,0)</f>
        <v>#N/A</v>
      </c>
      <c r="CW335" s="4" t="e">
        <f t="shared" ref="CW335" ca="1" si="5795">MATCH(1,OFFSET(CV335:CV346,$W$2,0,COUNT(CV335:CV346)-$W$2),0)</f>
        <v>#REF!</v>
      </c>
      <c r="CX335" s="4" t="e">
        <f t="shared" ref="CX335" ca="1" si="5796">$W$2+CW335</f>
        <v>#REF!</v>
      </c>
      <c r="CY335" s="692" t="str">
        <f ca="1">IFERROR(VLOOKUP(INDEX(CU335:CU346,CX335),ELM,2,FALSE),"----")</f>
        <v>----</v>
      </c>
      <c r="CZ335" s="691" t="e">
        <f ca="1">IF(LEFT($J335,7)="Clad Wo",MATCH($AC335,SPEIW,-1),MATCH($AC335,SPEI,-1))</f>
        <v>#N/A</v>
      </c>
      <c r="DA335" s="4" t="e">
        <f ca="1">IF(LEFT($J335,7)="Clad Wo",IF(AND(INDEX(SPPWS,CZ335,4)&gt;=$AB335,INDEX(SPPWS,CZ335,5)&gt;=$S335,INDEX(SPPWS,CZ335,6)&gt;=$R335),1,0),IF(AND(INDEX(SPM,CZ335,4)&gt;=$AB335,INDEX(SPM,CZ335,5)&gt;=$S335,INDEX(SPM,CZ335,6)&gt;=$R335),1,0))</f>
        <v>#N/A</v>
      </c>
      <c r="DB335" s="4" t="e">
        <f t="shared" ref="DB335" ca="1" si="5797">MATCH(1,OFFSET(DA335:DA346,$W$2,0,COUNT(DA335:DA346)-$W$2),0)</f>
        <v>#REF!</v>
      </c>
      <c r="DC335" s="4" t="e">
        <f t="shared" ref="DC335" ca="1" si="5798">$W$2+DB335</f>
        <v>#REF!</v>
      </c>
      <c r="DD335" s="693" t="str">
        <f ca="1">IF(LEFT($J335,7)="Clad Wo",IFERROR(VLOOKUP(INDEX(CZ335:CZ346,DC335),SPPWS,2,FALSE),"----"),IFERROR(VLOOKUP(INDEX(CZ335:CZ346,DC335),SPM,2,FALSE),"----"))</f>
        <v>----</v>
      </c>
      <c r="DE335" s="691" t="e">
        <f ca="1">MATCH(AC341,INDIRECT(BX335),-1)</f>
        <v>#REF!</v>
      </c>
      <c r="DF335" s="4" t="e" cm="1">
        <f t="array" aca="1" ref="DF335" ca="1">IF(AND(INDEX(INDIRECT(BY335),DE335,4)&gt;=$AB341,INDEX(INDIRECT(BY335),DE335,5)&gt;=$S335,INDEX(INDIRECT(BY335),DE335,6)&gt;=$R335),1,0)</f>
        <v>#REF!</v>
      </c>
      <c r="DG335" s="4" t="e">
        <f t="shared" ref="DG335" ca="1" si="5799">MATCH(1,OFFSET(DF335:DF346,$W$2,0,COUNT(DF335:DF346)-$W$2),0)</f>
        <v>#REF!</v>
      </c>
      <c r="DH335" s="4" t="e">
        <f t="shared" ref="DH335" ca="1" si="5800">$W$2+DG335</f>
        <v>#REF!</v>
      </c>
      <c r="DI335" s="692" t="str" cm="1">
        <f t="array" aca="1" ref="DI335" ca="1">IFERROR(VLOOKUP(INDEX(DE335:DE346,DH335),INDIRECT(BY335),2,FALSE),"----")</f>
        <v>----</v>
      </c>
      <c r="DJ335" s="691" t="e">
        <f ca="1">MATCH($AC341,SSEI,-1)</f>
        <v>#N/A</v>
      </c>
      <c r="DK335" s="4" t="e">
        <f ca="1">IF(AND(INDEX(SSM,DJ335,4)&gt;=$AB341,INDEX(SSM,DJ335,5)&gt;=$S335,INDEX(SSM,DJ335,6)&gt;=$R335),1,0)</f>
        <v>#N/A</v>
      </c>
      <c r="DL335" s="4" t="e">
        <f t="shared" ref="DL335" ca="1" si="5801">MATCH(1,OFFSET(DK335:DK346,$W$2,0,COUNT(DK335:DK346)-$W$2),0)</f>
        <v>#REF!</v>
      </c>
      <c r="DM335" s="4" t="e">
        <f t="shared" ref="DM335" ca="1" si="5802">$W$2+DL335</f>
        <v>#REF!</v>
      </c>
      <c r="DN335" s="692" t="str">
        <f ca="1">IFERROR(IF(AD342="Nested Steel Stud (wood infill)",VLOOKUP(INDEX(DJ335:DJ346,DM335),SSW,2,FALSE),VLOOKUP(INDEX(DJ335:DJ346,DM335),SSM,2,FALSE)),"----")</f>
        <v>----</v>
      </c>
      <c r="DO335" s="691" t="e">
        <f ca="1">MATCH($AC341,WSEI,-1)</f>
        <v>#N/A</v>
      </c>
      <c r="DP335" s="4" t="e">
        <f ca="1">IF(AND(INDEX(WSM,DO335,4)&gt;=$AB341,INDEX(WSM,DO335,5)&gt;=$S335,INDEX(WSM,DO335,6)&gt;=$R335),1,0)</f>
        <v>#N/A</v>
      </c>
      <c r="DQ335" s="4" t="e">
        <f t="shared" ref="DQ335" ca="1" si="5803">MATCH(1,OFFSET(DP335:DP346,$W$2,0,COUNT(DP335:DP346)-$W$2),0)</f>
        <v>#REF!</v>
      </c>
      <c r="DR335" s="4" t="e">
        <f t="shared" ref="DR335" ca="1" si="5804">$W$2+DQ335</f>
        <v>#REF!</v>
      </c>
      <c r="DS335" s="692" t="str">
        <f ca="1">IFERROR(VLOOKUP(INDEX(DO335:DO346,DR335),WSM,2,FALSE),"----")</f>
        <v>----</v>
      </c>
      <c r="DT335" s="691" t="e">
        <f ca="1">MATCH($AC341,STEI,-1)</f>
        <v>#N/A</v>
      </c>
      <c r="DU335" s="4" t="e">
        <f ca="1">IF(AND(INDEX(STM,DT335,4)&gt;=$AB341,INDEX(STM,DT335,5)&gt;=$S335,INDEX(STM,DT335,6)&gt;=$R335),1,0)</f>
        <v>#N/A</v>
      </c>
      <c r="DV335" s="4" t="e">
        <f t="shared" ref="DV335" ca="1" si="5805">MATCH(1,OFFSET(DU335:DU346,$W$2,0,COUNT(DU335:DU346)-$W$2),0)</f>
        <v>#REF!</v>
      </c>
      <c r="DW335" s="4" t="e">
        <f t="shared" ref="DW335" ca="1" si="5806">$W$2+DV335</f>
        <v>#REF!</v>
      </c>
      <c r="DX335" s="692" t="str">
        <f ca="1">IFERROR(VLOOKUP(INDEX(DT335:DT346,DW335),STM,2,FALSE),"----")</f>
        <v>----</v>
      </c>
      <c r="DY335" s="691" t="e">
        <f ca="1">MATCH($AC341,ELEI,-1)</f>
        <v>#N/A</v>
      </c>
      <c r="DZ335" s="4" t="e">
        <f ca="1">IF(AND(INDEX(ELM,DY335,4)&gt;=$AB341,INDEX(ELM,DY335,5)&gt;=$S335,INDEX(ELM,DY335,6)&gt;=$R335),1,0)</f>
        <v>#N/A</v>
      </c>
      <c r="EA335" s="4" t="e">
        <f t="shared" ref="EA335" ca="1" si="5807">MATCH(1,OFFSET(DZ335:DZ346,$W$2,0,COUNT(DZ335:DZ346)-$W$2),0)</f>
        <v>#REF!</v>
      </c>
      <c r="EB335" s="4" t="e">
        <f t="shared" ref="EB335" ca="1" si="5808">EA335+$W$2</f>
        <v>#REF!</v>
      </c>
      <c r="EC335" s="692" t="str">
        <f ca="1">IFERROR(VLOOKUP(INDEX(DY335:DY346,EB335),ELM,2,FALSE),"----")</f>
        <v>----</v>
      </c>
      <c r="ED335" s="691" t="e">
        <f ca="1">IF(LEFT($J335,7)="Clad Wo",MATCH($AC341,SPEIW,-1),MATCH($AC341,SPEI,-1))</f>
        <v>#N/A</v>
      </c>
      <c r="EE335" s="4" t="e">
        <f ca="1">IF(LEFT($J335,7)="Clad Wo",IF(AND(INDEX(SPPWS,ED335,4)&gt;=$AB341,INDEX(SPPWS,ED335,5)&gt;=$S335,INDEX(SPPWS,ED335,6)&gt;=$R335),1,0),IF(AND(INDEX(SPM,ED335,4)&gt;=$AB341,INDEX(SPM,ED335,5)&gt;=$S335,INDEX(SPM,ED335,6)&gt;=$R335),1,0))</f>
        <v>#N/A</v>
      </c>
      <c r="EF335" s="4" t="e">
        <f t="shared" ref="EF335" ca="1" si="5809">MATCH(1,OFFSET(EE335:EE346,$W$2,0,COUNT(EE335:EE346)-$W$2),0)</f>
        <v>#REF!</v>
      </c>
      <c r="EG335" s="4" t="e">
        <f t="shared" ref="EG335" ca="1" si="5810">$W$2+EF335</f>
        <v>#REF!</v>
      </c>
      <c r="EH335" s="692" t="str">
        <f ca="1">IF(LEFT($J335,7)="Clad Wo",IFERROR(VLOOKUP(INDEX(ED335:ED346,EG335),SPPWS,2,FALSE),"----"),IFERROR(VLOOKUP(INDEX(ED335:ED346,EG335),SPM,2,FALSE),"----"))</f>
        <v>----</v>
      </c>
    </row>
    <row r="336" spans="1:138" ht="15" customHeight="1" x14ac:dyDescent="0.25">
      <c r="A336" s="1085"/>
      <c r="B336" s="925"/>
      <c r="C336" s="926"/>
      <c r="D336" s="927"/>
      <c r="E336" s="995"/>
      <c r="F336" s="996"/>
      <c r="G336" s="997"/>
      <c r="H336" s="1062"/>
      <c r="I336" s="990"/>
      <c r="J336" s="908"/>
      <c r="K336" s="909"/>
      <c r="L336" s="1002"/>
      <c r="M336" s="923"/>
      <c r="N336" s="1042"/>
      <c r="O336" s="1018"/>
      <c r="P336" s="987"/>
      <c r="Q336" s="1015"/>
      <c r="R336" s="1012"/>
      <c r="S336" s="1006"/>
      <c r="T336" s="1007"/>
      <c r="U336" s="878"/>
      <c r="V336" s="881"/>
      <c r="W336" s="884"/>
      <c r="X336" s="884"/>
      <c r="Y336" s="887"/>
      <c r="Z336" s="887"/>
      <c r="AA336" s="887"/>
      <c r="AB336" s="1081"/>
      <c r="AC336" s="1078"/>
      <c r="AD336" s="1102" t="s">
        <v>38</v>
      </c>
      <c r="AE336" s="1103"/>
      <c r="AF336" s="1052"/>
      <c r="AG336" s="1053"/>
      <c r="AH336" s="1053"/>
      <c r="AI336" s="1066"/>
      <c r="AJ336" s="1067"/>
      <c r="AK336" s="156" t="str">
        <f t="shared" ca="1" si="4947"/>
        <v/>
      </c>
      <c r="AL336" s="1039"/>
      <c r="AM336" s="343" t="str">
        <f ca="1">IFERROR(Q335/12*ROUND(VLOOKUP(AF336,OFFSET(SSM,0,1),6,FALSE),2),"")</f>
        <v/>
      </c>
      <c r="AN336" t="str">
        <f t="shared" ca="1" si="4971"/>
        <v/>
      </c>
      <c r="AP336" s="122" t="str">
        <f t="shared" ref="AP336" si="5811">_xlfn.CONCAT(AR336,AS340)</f>
        <v/>
      </c>
      <c r="AQ336" s="683" t="str">
        <f t="shared" si="5170"/>
        <v/>
      </c>
      <c r="AR336" s="96" t="str">
        <f t="shared" si="4931"/>
        <v/>
      </c>
      <c r="AS336" s="96" t="str">
        <f>IF(COUNTIF(Vista_1,AF335)=1,"Vista_1",IF(COUNTIF(Vista_2,AF335)=1,"Vista_2",""))</f>
        <v/>
      </c>
      <c r="AT336" s="684" t="str">
        <f>AL335</f>
        <v/>
      </c>
      <c r="AU336" s="694" t="e">
        <f t="shared" ref="AU336" ca="1" si="5812">AU335-1</f>
        <v>#REF!</v>
      </c>
      <c r="AV336" s="686" t="str">
        <f ca="1">IFERROR(VLOOKUP(AU336,INDIRECT(AQ335),2,FALSE),"----")</f>
        <v>----</v>
      </c>
      <c r="AW336" s="694" t="e">
        <f t="shared" ref="AW336:AW337" ca="1" si="5813">AW335-1</f>
        <v>#REF!</v>
      </c>
      <c r="AX336" s="686" t="str">
        <f ca="1">IFERROR(VLOOKUP(AW336,INDIRECT(AQ336),2,FALSE),"----")</f>
        <v>----</v>
      </c>
      <c r="AY336" s="694" t="e">
        <f t="shared" ref="AY336:AY337" ca="1" si="5814">AY335-1</f>
        <v>#REF!</v>
      </c>
      <c r="AZ336" s="686" t="str">
        <f ca="1">IFERROR(VLOOKUP(AY336,INDIRECT(AQ337),2,FALSE),"----")</f>
        <v>----</v>
      </c>
      <c r="BA336" s="694" t="e">
        <f t="shared" ref="BA336:BA337" ca="1" si="5815">BA335-1</f>
        <v>#REF!</v>
      </c>
      <c r="BB336" s="686" t="str">
        <f ca="1">IFERROR(VLOOKUP(BA336,INDIRECT(AQ338),2,FALSE),"----")</f>
        <v>----</v>
      </c>
      <c r="BC336" s="694" t="e">
        <f t="shared" ref="BC336:BC337" ca="1" si="5816">BC335-1</f>
        <v>#REF!</v>
      </c>
      <c r="BD336" s="686" t="str">
        <f ca="1">IFERROR(VLOOKUP(BC336,INDIRECT(AQ339),2,FALSE),"----")</f>
        <v>----</v>
      </c>
      <c r="BE336" s="694" t="e">
        <f t="shared" ref="BE336" ca="1" si="5817">BE335-1</f>
        <v>#REF!</v>
      </c>
      <c r="BF336" s="686" t="str">
        <f ca="1">IFERROR(VLOOKUP(BE336,INDIRECT(AQ340),2,FALSE),"----")</f>
        <v>----</v>
      </c>
      <c r="BG336" s="694" t="e">
        <f t="shared" ref="BG336" ca="1" si="5818">BG335-1</f>
        <v>#REF!</v>
      </c>
      <c r="BH336" s="686" t="str">
        <f ca="1">IFERROR(VLOOKUP(BG336,INDIRECT(AQ341),2,FALSE),"----")</f>
        <v>----</v>
      </c>
      <c r="BI336" s="694" t="e">
        <f t="shared" ref="BI336:BI337" ca="1" si="5819">BI335-1</f>
        <v>#REF!</v>
      </c>
      <c r="BJ336" s="686" t="str">
        <f ca="1">IFERROR(VLOOKUP(BI336,INDIRECT(AQ342),2,FALSE),"----")</f>
        <v>----</v>
      </c>
      <c r="BK336" s="694" t="e">
        <f t="shared" ref="BK336:BK337" ca="1" si="5820">BK335-1</f>
        <v>#REF!</v>
      </c>
      <c r="BL336" s="686" t="str">
        <f ca="1">IFERROR(VLOOKUP(BK336,INDIRECT(AQ343),2,FALSE),"----")</f>
        <v>----</v>
      </c>
      <c r="BM336" s="694" t="e">
        <f t="shared" ref="BM336:BM337" ca="1" si="5821">BM335-1</f>
        <v>#REF!</v>
      </c>
      <c r="BN336" s="686" t="str">
        <f ca="1">IFERROR(VLOOKUP(BM336,INDIRECT(AQ344),2,FALSE),"----")</f>
        <v>----</v>
      </c>
      <c r="BO336" s="694" t="e">
        <f t="shared" ref="BO336:BO337" ca="1" si="5822">BO335-1</f>
        <v>#REF!</v>
      </c>
      <c r="BP336" s="686" t="str">
        <f ca="1">IFERROR(VLOOKUP(BO336,INDIRECT(AQ345),2,FALSE),"----")</f>
        <v>----</v>
      </c>
      <c r="BQ336" s="694" t="e">
        <f t="shared" ref="BQ336" ca="1" si="5823">BQ335-1</f>
        <v>#REF!</v>
      </c>
      <c r="BR336" s="686" t="str">
        <f ca="1">IFERROR(VLOOKUP(BQ336,INDIRECT(AQ346),2,FALSE),"----")</f>
        <v>----</v>
      </c>
      <c r="BS336" s="695">
        <f>IF(AI336="",1,IF(COUNTIF(AX335:AX346,AI336)=0,2,1))</f>
        <v>1</v>
      </c>
      <c r="BT336" s="696">
        <f>IF(AF336="",1,IF(AX335=".",2,1))</f>
        <v>1</v>
      </c>
      <c r="BU336" s="706"/>
      <c r="BV336" s="155">
        <f ca="1">IF(COUNTIF(CJ335:CJ346,AF336)=0,IF(AF336&lt;&gt;"",0,1),1)</f>
        <v>1</v>
      </c>
      <c r="BW336" s="157">
        <f ca="1">IFERROR(MATCH(AF336,CJ335:CJ346,0),1)</f>
        <v>1</v>
      </c>
      <c r="BX336" s="769"/>
      <c r="BY336" s="769"/>
      <c r="BZ336" s="1110"/>
      <c r="CA336" s="691" t="e">
        <f t="shared" ref="CA336:CA346" ca="1" si="5824">CA335-1</f>
        <v>#REF!</v>
      </c>
      <c r="CB336" s="4" t="e" cm="1">
        <f t="array" aca="1" ref="CB336" ca="1">IF(AND(INDEX(INDIRECT(BY335),CA336,4)&gt;=$AB335,INDEX(INDIRECT(BY335),CA336,5)&gt;=$S335,INDEX(INDIRECT(BY335),CA336,6)&gt;=$R335),1,0)</f>
        <v>#REF!</v>
      </c>
      <c r="CC336" s="4" t="e">
        <f t="shared" ref="CC336" ca="1" si="5825">MATCH(1,OFFSET(CB335:CB346,CD335,0,COUNT(CB335:CB346)-CD335),0)</f>
        <v>#REF!</v>
      </c>
      <c r="CD336" s="4" t="e">
        <f t="shared" ref="CD336:CD346" ca="1" si="5826">CD335+CC336</f>
        <v>#REF!</v>
      </c>
      <c r="CE336" s="692" t="str" cm="1">
        <f t="array" aca="1" ref="CE336" ca="1">IFERROR(VLOOKUP(INDEX(CA335:CA346,CD336),INDIRECT(BY335),2,FALSE),"----")</f>
        <v>----</v>
      </c>
      <c r="CF336" s="691" t="e">
        <f t="shared" ref="CF336:CF346" ca="1" si="5827">CF335-1</f>
        <v>#N/A</v>
      </c>
      <c r="CG336" s="4" t="e">
        <f ca="1">IF(AND(INDEX(SSM,CF336,4)&gt;=$AB335,INDEX(SSM,CF336,5)&gt;=$S335,INDEX(SSM,CF336,6)&gt;=$R335),1,0)</f>
        <v>#N/A</v>
      </c>
      <c r="CH336" s="4" t="e">
        <f t="shared" ref="CH336" ca="1" si="5828">MATCH(1,OFFSET(CG335:CG346,CI335,0,COUNT(CG335:CG346)-CI335),0)</f>
        <v>#REF!</v>
      </c>
      <c r="CI336" s="4" t="e">
        <f t="shared" ref="CI336:CI346" ca="1" si="5829">CI335+CH336</f>
        <v>#REF!</v>
      </c>
      <c r="CJ336" s="692" t="str">
        <f ca="1">IFERROR(IF(AD336="Nested Steel Stud (wood infill)",VLOOKUP(INDEX(CF335:CF346,CI336),SSW,2,FALSE),VLOOKUP(INDEX(CF335:CF346,CI336),SSM,2,FALSE)),"----")</f>
        <v>----</v>
      </c>
      <c r="CK336" s="691" t="e">
        <f t="shared" ref="CK336:CK346" ca="1" si="5830">CK335-1</f>
        <v>#N/A</v>
      </c>
      <c r="CL336" s="4" t="e">
        <f ca="1">IF(AND(INDEX(WSM,CK336,4)&gt;=$AB335,INDEX(WSM,CK336,5)&gt;=$S335,INDEX(WSM,CK336,6)&gt;=$R335),1,0)</f>
        <v>#N/A</v>
      </c>
      <c r="CM336" s="4" t="e">
        <f t="shared" ref="CM336" ca="1" si="5831">MATCH(1,OFFSET(CL335:CL346,CN335,0,COUNT(CL335:CL346)-CN335),0)</f>
        <v>#REF!</v>
      </c>
      <c r="CN336" s="4" t="e">
        <f t="shared" ref="CN336:CN346" ca="1" si="5832">CM336+CN335</f>
        <v>#REF!</v>
      </c>
      <c r="CO336" s="692" t="str">
        <f ca="1">IFERROR(VLOOKUP(INDEX(CK335:CK346,CN336),WSM,2,FALSE),"----")</f>
        <v>----</v>
      </c>
      <c r="CP336" s="691" t="e">
        <f t="shared" ref="CP336:CP346" ca="1" si="5833">CP335-1</f>
        <v>#N/A</v>
      </c>
      <c r="CQ336" s="4" t="e">
        <f ca="1">IF(AND(INDEX(STM,CP336,4)&gt;=$AB335,INDEX(STM,CP336,5)&gt;=$S335,INDEX(STM,CP336,6)&gt;=$R335),1,0)</f>
        <v>#N/A</v>
      </c>
      <c r="CR336" s="4" t="e">
        <f t="shared" ref="CR336" ca="1" si="5834">MATCH(1,OFFSET(CQ335:CQ346,CS335,0,COUNT(CQ335:CQ346)-CS335),0)</f>
        <v>#REF!</v>
      </c>
      <c r="CS336" s="4" t="e">
        <f t="shared" ref="CS336:CS346" ca="1" si="5835">CR336+CS335</f>
        <v>#REF!</v>
      </c>
      <c r="CT336" s="692" t="str">
        <f ca="1">IFERROR(VLOOKUP(INDEX(CP335:CP346,CS336),STM,2,FALSE),"----")</f>
        <v>----</v>
      </c>
      <c r="CU336" s="691" t="e">
        <f t="shared" ref="CU336:CU346" ca="1" si="5836">CU335-1</f>
        <v>#N/A</v>
      </c>
      <c r="CV336" s="4" t="e">
        <f ca="1">IF(AND(INDEX(ELM,CU336,4)&gt;=$AB335,INDEX(ELM,CU336,5)&gt;=$S335,INDEX(ELM,CU336,6)&gt;=$R335),1,0)</f>
        <v>#N/A</v>
      </c>
      <c r="CW336" s="4" t="e">
        <f t="shared" ref="CW336" ca="1" si="5837">MATCH(1,OFFSET(CV335:CV346,CX335,0,COUNT(CV335:CV346)-CX335),0)</f>
        <v>#REF!</v>
      </c>
      <c r="CX336" s="4" t="e">
        <f t="shared" ref="CX336:CX346" ca="1" si="5838">CW336+CX335</f>
        <v>#REF!</v>
      </c>
      <c r="CY336" s="692" t="str">
        <f ca="1">IFERROR(VLOOKUP(INDEX(CU335:CU346,CX336),ELM,2,FALSE),"----")</f>
        <v>----</v>
      </c>
      <c r="CZ336" s="691" t="e">
        <f t="shared" ref="CZ336:CZ346" ca="1" si="5839">CZ335-1</f>
        <v>#N/A</v>
      </c>
      <c r="DA336" s="4" t="e">
        <f ca="1">IF(LEFT($J335,7)="Clad Wo",IF(AND(INDEX(SPPWS,CZ336,4)&gt;=$AB335,INDEX(SPPWS,CZ336,5)&gt;=$S335,INDEX(SPPWS,CZ336,6)&gt;=$R335),1,0),IF(AND(INDEX(SPM,CZ336,4)&gt;=$AB335,INDEX(SPM,CZ336,5)&gt;=$S335,INDEX(SPM,CZ336,6)&gt;=$R335),1,0))</f>
        <v>#N/A</v>
      </c>
      <c r="DB336" s="4" t="e">
        <f t="shared" ref="DB336" ca="1" si="5840">MATCH(1,OFFSET(DA335:DA346,DC335,0,COUNT(DA335:DA346)-DC335),0)</f>
        <v>#REF!</v>
      </c>
      <c r="DC336" s="4" t="e">
        <f t="shared" ref="DC336:DC346" ca="1" si="5841">DC335+DB336</f>
        <v>#REF!</v>
      </c>
      <c r="DD336" s="693" t="str">
        <f ca="1">IF(LEFT($J335,7)="Clad Wo",IFERROR(VLOOKUP(INDEX(CZ335:CZ346,DC336),SPPWS,2,FALSE),"----"),IFERROR(VLOOKUP(INDEX(CZ335:CZ346,DC336),SPM,2,FALSE),"----"))</f>
        <v>----</v>
      </c>
      <c r="DE336" s="691" t="e">
        <f t="shared" ref="DE336:DE346" ca="1" si="5842">DE335-1</f>
        <v>#REF!</v>
      </c>
      <c r="DF336" s="4" t="e" cm="1">
        <f t="array" aca="1" ref="DF336" ca="1">IF(AND(INDEX(INDIRECT(BY335),DE336,4)&gt;=$AB341,INDEX(INDIRECT(BY335),DE336,5)&gt;=$S335,INDEX(INDIRECT(BY335),DE336,6)&gt;=$R335),1,0)</f>
        <v>#REF!</v>
      </c>
      <c r="DG336" s="4" t="e">
        <f t="shared" ref="DG336" ca="1" si="5843">MATCH(1,OFFSET(DF335:DF346,DH335,0,COUNT(DF335:DF346)-DH335),0)</f>
        <v>#REF!</v>
      </c>
      <c r="DH336" s="4" t="e">
        <f t="shared" ref="DH336:DH346" ca="1" si="5844">DH335+DG336</f>
        <v>#REF!</v>
      </c>
      <c r="DI336" s="692" t="str" cm="1">
        <f t="array" aca="1" ref="DI336" ca="1">IFERROR(VLOOKUP(INDEX(DE335:DE346,DH336),INDIRECT(BY335),2,FALSE),"----")</f>
        <v>----</v>
      </c>
      <c r="DJ336" s="691" t="e">
        <f t="shared" ref="DJ336:DJ346" ca="1" si="5845">DJ335-1</f>
        <v>#N/A</v>
      </c>
      <c r="DK336" s="4" t="e">
        <f ca="1">IF(AND(INDEX(SSM,DJ336,4)&gt;=$AB341,INDEX(SSM,DJ336,5)&gt;=$S335,INDEX(SSM,DJ336,6)&gt;=$R335),1,0)</f>
        <v>#N/A</v>
      </c>
      <c r="DL336" s="4" t="e">
        <f t="shared" ref="DL336" ca="1" si="5846">MATCH(1,OFFSET(DK335:DK346,DM335,0,COUNT(DK335:DK346)-DM335),0)</f>
        <v>#REF!</v>
      </c>
      <c r="DM336" s="4" t="e">
        <f t="shared" ref="DM336:DM346" ca="1" si="5847">DL336+DM335</f>
        <v>#REF!</v>
      </c>
      <c r="DN336" s="692" t="str">
        <f ca="1">IFERROR(IF(AD342="Nested Steel Stud (wood infill)",VLOOKUP(INDEX(DJ335:DJ346,DM336),SSW,2,FALSE),VLOOKUP(INDEX(DJ335:DJ346,DM336),SSM,2,FALSE)),"----")</f>
        <v>----</v>
      </c>
      <c r="DO336" s="691" t="e">
        <f t="shared" ref="DO336:DO346" ca="1" si="5848">DO335-1</f>
        <v>#N/A</v>
      </c>
      <c r="DP336" s="4" t="e">
        <f ca="1">IF(AND(INDEX(WSM,DO336,4)&gt;=$AB341,INDEX(WSM,DO336,5)&gt;=$S335,INDEX(WSM,DO336,6)&gt;=$R335),1,0)</f>
        <v>#N/A</v>
      </c>
      <c r="DQ336" s="4" t="e">
        <f t="shared" ref="DQ336" ca="1" si="5849">MATCH(1,OFFSET(DP335:DP346,DR335,0,COUNT(DP335:DP346)-DR335),0)</f>
        <v>#REF!</v>
      </c>
      <c r="DR336" s="4" t="e">
        <f t="shared" ref="DR336:DR346" ca="1" si="5850">DQ336+DR335</f>
        <v>#REF!</v>
      </c>
      <c r="DS336" s="692" t="str">
        <f ca="1">IFERROR(VLOOKUP(INDEX(DO335:DO346,DR336),WSM,2,FALSE),"----")</f>
        <v>----</v>
      </c>
      <c r="DT336" s="691" t="e">
        <f t="shared" ref="DT336:DT346" ca="1" si="5851">DT335-1</f>
        <v>#N/A</v>
      </c>
      <c r="DU336" s="4" t="e">
        <f ca="1">IF(AND(INDEX(STM,DT336,4)&gt;=$AB341,INDEX(STM,DT336,5)&gt;=$S335,INDEX(STM,DT336,6)&gt;=$R335),1,0)</f>
        <v>#N/A</v>
      </c>
      <c r="DV336" s="4" t="e">
        <f t="shared" ref="DV336" ca="1" si="5852">MATCH(1,OFFSET(DU335:DU346,DW335,0,COUNT(DU335:DU346)-DW335),0)</f>
        <v>#REF!</v>
      </c>
      <c r="DW336" s="4" t="e">
        <f t="shared" ref="DW336:DW346" ca="1" si="5853">DV336+DW335</f>
        <v>#REF!</v>
      </c>
      <c r="DX336" s="692" t="str">
        <f ca="1">IFERROR(VLOOKUP(INDEX(DT335:DT346,DW336),STM,2,FALSE),"----")</f>
        <v>----</v>
      </c>
      <c r="DY336" s="691" t="e">
        <f t="shared" ref="DY336:DY346" ca="1" si="5854">DY335-1</f>
        <v>#N/A</v>
      </c>
      <c r="DZ336" s="4" t="e">
        <f ca="1">IF(AND(INDEX(ELM,DY336,4)&gt;=$AB341,INDEX(ELM,DY336,5)&gt;=$S335,INDEX(ELM,DY336,6)&gt;=$R335),1,0)</f>
        <v>#N/A</v>
      </c>
      <c r="EA336" s="4" t="e">
        <f t="shared" ref="EA336" ca="1" si="5855">MATCH(1,OFFSET(DZ335:DZ346,EB335,0,COUNT(DZ335:DZ346)-EB335),0)</f>
        <v>#REF!</v>
      </c>
      <c r="EB336" s="4" t="e">
        <f t="shared" ref="EB336:EB346" ca="1" si="5856">EA336+EB335</f>
        <v>#REF!</v>
      </c>
      <c r="EC336" s="692" t="str">
        <f ca="1">IFERROR(VLOOKUP(INDEX(DY335:DY346,EB336),ELM,2,FALSE),"----")</f>
        <v>----</v>
      </c>
      <c r="ED336" s="691" t="e">
        <f t="shared" ref="ED336:ED346" ca="1" si="5857">ED335-1</f>
        <v>#N/A</v>
      </c>
      <c r="EE336" s="4" t="e">
        <f ca="1">IF(LEFT($J335,7)="Clad Wo",IF(AND(INDEX(SPPWS,ED336,4)&gt;=$AB341,INDEX(SPPWS,ED336,5)&gt;=$S335,INDEX(SPPWS,ED336,6)&gt;=$R335),1,0),IF(AND(INDEX(SPM,ED336,4)&gt;=$AB341,INDEX(SPM,ED336,5)&gt;=$S335,INDEX(SPM,ED336,6)&gt;=$R335),1,0))</f>
        <v>#N/A</v>
      </c>
      <c r="EF336" s="4" t="e">
        <f t="shared" ref="EF336" ca="1" si="5858">MATCH(1,OFFSET(EE335:EE346,EG335,0,COUNT(EE335:EE346)-EG335),0)</f>
        <v>#REF!</v>
      </c>
      <c r="EG336" s="4" t="e">
        <f t="shared" ref="EG336:EG346" ca="1" si="5859">EG335+EF336</f>
        <v>#REF!</v>
      </c>
      <c r="EH336" s="692" t="str">
        <f ca="1">IF(LEFT($J335,7)="Clad Wo",IFERROR(VLOOKUP(INDEX(ED335:ED346,EG336),SPPWS,2,FALSE),"----"),IFERROR(VLOOKUP(INDEX(ED335:ED346,EG336),SPM,2,FALSE),"----"))</f>
        <v>----</v>
      </c>
    </row>
    <row r="337" spans="1:138" ht="15" customHeight="1" x14ac:dyDescent="0.25">
      <c r="A337" s="1085"/>
      <c r="B337" s="925"/>
      <c r="C337" s="926"/>
      <c r="D337" s="927"/>
      <c r="E337" s="995"/>
      <c r="F337" s="996"/>
      <c r="G337" s="997"/>
      <c r="H337" s="1062"/>
      <c r="I337" s="990"/>
      <c r="J337" s="908"/>
      <c r="K337" s="909"/>
      <c r="L337" s="1002"/>
      <c r="M337" s="923"/>
      <c r="N337" s="1042"/>
      <c r="O337" s="1018"/>
      <c r="P337" s="987"/>
      <c r="Q337" s="1015"/>
      <c r="R337" s="1012"/>
      <c r="S337" s="1006"/>
      <c r="T337" s="1007"/>
      <c r="U337" s="878"/>
      <c r="V337" s="881"/>
      <c r="W337" s="884"/>
      <c r="X337" s="884"/>
      <c r="Y337" s="887"/>
      <c r="Z337" s="887"/>
      <c r="AA337" s="887"/>
      <c r="AB337" s="1081"/>
      <c r="AC337" s="1078"/>
      <c r="AD337" s="1070" t="s">
        <v>333</v>
      </c>
      <c r="AE337" s="1071"/>
      <c r="AF337" s="1052"/>
      <c r="AG337" s="1053"/>
      <c r="AH337" s="1053"/>
      <c r="AI337" s="1066"/>
      <c r="AJ337" s="1067"/>
      <c r="AK337" s="154" t="str">
        <f t="shared" ca="1" si="4947"/>
        <v/>
      </c>
      <c r="AL337" s="1039"/>
      <c r="AM337" s="344" t="str">
        <f ca="1">IFERROR(Q335/12*ROUND(VLOOKUP(AF337,OFFSET(WSM,0,1),6,FALSE),2),"")</f>
        <v/>
      </c>
      <c r="AN337" t="str">
        <f t="shared" ca="1" si="4971"/>
        <v/>
      </c>
      <c r="AP337" s="122" t="str">
        <f t="shared" ref="AP337" si="5860">_xlfn.CONCAT(AR337,AS340)</f>
        <v/>
      </c>
      <c r="AQ337" s="683" t="str">
        <f t="shared" si="5170"/>
        <v/>
      </c>
      <c r="AR337" s="4" t="str">
        <f t="shared" si="4931"/>
        <v/>
      </c>
      <c r="AS337" s="4"/>
      <c r="AT337" s="697" t="str">
        <f>AL335</f>
        <v/>
      </c>
      <c r="AU337" s="694" t="e">
        <f t="shared" ca="1" si="5187"/>
        <v>#REF!</v>
      </c>
      <c r="AV337" s="686" t="str">
        <f ca="1">IFERROR(VLOOKUP(AU337,INDIRECT(AQ335),2,FALSE),"----")</f>
        <v>----</v>
      </c>
      <c r="AW337" s="694" t="e">
        <f t="shared" ca="1" si="5813"/>
        <v>#REF!</v>
      </c>
      <c r="AX337" s="686" t="str">
        <f ca="1">IFERROR(VLOOKUP(AW337,INDIRECT(AQ336),2,FALSE),"----")</f>
        <v>----</v>
      </c>
      <c r="AY337" s="694" t="e">
        <f t="shared" ca="1" si="5814"/>
        <v>#REF!</v>
      </c>
      <c r="AZ337" s="686" t="str">
        <f ca="1">IFERROR(VLOOKUP(AY337,INDIRECT(AQ337),2,FALSE),"----")</f>
        <v>----</v>
      </c>
      <c r="BA337" s="694" t="e">
        <f t="shared" ca="1" si="5815"/>
        <v>#REF!</v>
      </c>
      <c r="BB337" s="686" t="str">
        <f ca="1">IFERROR(VLOOKUP(BA337,INDIRECT(AQ338),2,FALSE),"----")</f>
        <v>----</v>
      </c>
      <c r="BC337" s="694" t="e">
        <f t="shared" ca="1" si="5816"/>
        <v>#REF!</v>
      </c>
      <c r="BD337" s="686" t="str">
        <f ca="1">IFERROR(VLOOKUP(BC337,INDIRECT(AQ339),2,FALSE),"----")</f>
        <v>----</v>
      </c>
      <c r="BE337" s="694" t="e">
        <f t="shared" ca="1" si="5192"/>
        <v>#REF!</v>
      </c>
      <c r="BF337" s="686" t="str">
        <f ca="1">IFERROR(VLOOKUP(BE337,INDIRECT(AQ340),2,FALSE),"----")</f>
        <v>----</v>
      </c>
      <c r="BG337" s="694" t="e">
        <f t="shared" ca="1" si="5193"/>
        <v>#REF!</v>
      </c>
      <c r="BH337" s="686" t="str">
        <f ca="1">IFERROR(VLOOKUP(BG337,INDIRECT(AQ341),2,FALSE),"----")</f>
        <v>----</v>
      </c>
      <c r="BI337" s="694" t="e">
        <f t="shared" ca="1" si="5819"/>
        <v>#REF!</v>
      </c>
      <c r="BJ337" s="686" t="str">
        <f ca="1">IFERROR(VLOOKUP(BI337,INDIRECT(AQ342),2,FALSE),"----")</f>
        <v>----</v>
      </c>
      <c r="BK337" s="694" t="e">
        <f t="shared" ca="1" si="5820"/>
        <v>#REF!</v>
      </c>
      <c r="BL337" s="686" t="str">
        <f ca="1">IFERROR(VLOOKUP(BK337,INDIRECT(AQ343),2,FALSE),"----")</f>
        <v>----</v>
      </c>
      <c r="BM337" s="694" t="e">
        <f t="shared" ca="1" si="5821"/>
        <v>#REF!</v>
      </c>
      <c r="BN337" s="686" t="str">
        <f ca="1">IFERROR(VLOOKUP(BM337,INDIRECT(AQ344),2,FALSE),"----")</f>
        <v>----</v>
      </c>
      <c r="BO337" s="694" t="e">
        <f t="shared" ca="1" si="5822"/>
        <v>#REF!</v>
      </c>
      <c r="BP337" s="686" t="str">
        <f ca="1">IFERROR(VLOOKUP(BO337,INDIRECT(AQ345),2,FALSE),"----")</f>
        <v>----</v>
      </c>
      <c r="BQ337" s="694" t="e">
        <f t="shared" ca="1" si="5198"/>
        <v>#REF!</v>
      </c>
      <c r="BR337" s="686" t="str">
        <f ca="1">IFERROR(VLOOKUP(BQ337,INDIRECT(AQ346),2,FALSE),"----")</f>
        <v>----</v>
      </c>
      <c r="BS337" s="695">
        <f>IF(AI337="",1,IF(COUNTIF(AZ335:AZ346,AI337)=0,2,1))</f>
        <v>1</v>
      </c>
      <c r="BT337" s="696">
        <f>IF(AF337="",1,IF(AZ335=".",2,1))</f>
        <v>1</v>
      </c>
      <c r="BU337" s="706"/>
      <c r="BV337" s="155">
        <f ca="1">IF(COUNTIF(CO335:CO346,AF337)=0,IF(AF337&lt;&gt;"",0,1),1)</f>
        <v>1</v>
      </c>
      <c r="BW337" s="157">
        <f ca="1">IFERROR(MATCH(AF337,CO335:CO346,0),1)</f>
        <v>1</v>
      </c>
      <c r="BX337" s="769"/>
      <c r="BY337" s="769"/>
      <c r="BZ337" s="1110"/>
      <c r="CA337" s="691" t="e">
        <f t="shared" ca="1" si="5824"/>
        <v>#REF!</v>
      </c>
      <c r="CB337" s="4" t="e" cm="1">
        <f t="array" aca="1" ref="CB337" ca="1">IF(AND(INDEX(INDIRECT(BY335),CA337,4)&gt;=$AB335,INDEX(INDIRECT(BY335),CA337,5)&gt;=$S335,INDEX(INDIRECT(BY335),CA337,6)&gt;=$R335),1,0)</f>
        <v>#REF!</v>
      </c>
      <c r="CC337" s="4" t="e">
        <f t="shared" ref="CC337" ca="1" si="5861">MATCH(1,OFFSET(CB335:CB346,CD336,0,COUNT(CB335:CB346)-CD336),0)</f>
        <v>#REF!</v>
      </c>
      <c r="CD337" s="4" t="e">
        <f t="shared" ca="1" si="5826"/>
        <v>#REF!</v>
      </c>
      <c r="CE337" s="692" t="str" cm="1">
        <f t="array" aca="1" ref="CE337" ca="1">IFERROR(VLOOKUP(INDEX(CA335:CA346,CD337),INDIRECT(BY335),2,FALSE),"----")</f>
        <v>----</v>
      </c>
      <c r="CF337" s="691" t="e">
        <f t="shared" ca="1" si="5827"/>
        <v>#N/A</v>
      </c>
      <c r="CG337" s="4" t="e">
        <f ca="1">IF(AND(INDEX(SSM,CF337,4)&gt;=$AB335,INDEX(SSM,CF337,5)&gt;=$S335,INDEX(SSM,CF337,6)&gt;=$R335),1,0)</f>
        <v>#N/A</v>
      </c>
      <c r="CH337" s="4" t="e">
        <f t="shared" ref="CH337" ca="1" si="5862">MATCH(1,OFFSET(CG335:CG346,CI336,0,COUNT(CG335:CG346)-CI336),0)</f>
        <v>#REF!</v>
      </c>
      <c r="CI337" s="4" t="e">
        <f t="shared" ca="1" si="5829"/>
        <v>#REF!</v>
      </c>
      <c r="CJ337" s="692" t="str">
        <f ca="1">IFERROR(IF(AD336="Nested Steel Stud (wood infill)",VLOOKUP(INDEX(CF335:CF346,CI337),SSW,2,FALSE),VLOOKUP(INDEX(CF335:CF346,CI337),SSM,2,FALSE)),"----")</f>
        <v>----</v>
      </c>
      <c r="CK337" s="691" t="e">
        <f t="shared" ca="1" si="5830"/>
        <v>#N/A</v>
      </c>
      <c r="CL337" s="4" t="e">
        <f ca="1">IF(AND(INDEX(WSM,CK337,4)&gt;=$AB335,INDEX(WSM,CK337,5)&gt;=$S335,INDEX(WSM,CK337,6)&gt;=$R335),1,0)</f>
        <v>#N/A</v>
      </c>
      <c r="CM337" s="4" t="e">
        <f t="shared" ref="CM337" ca="1" si="5863">MATCH(1,OFFSET(CL335:CL346,CN336,0,COUNT(CL335:CL346)-CN336),0)</f>
        <v>#REF!</v>
      </c>
      <c r="CN337" s="4" t="e">
        <f t="shared" ca="1" si="5832"/>
        <v>#REF!</v>
      </c>
      <c r="CO337" s="692" t="str">
        <f ca="1">IFERROR(VLOOKUP(INDEX(CK335:CK346,CN337),WSM,2,FALSE),"----")</f>
        <v>----</v>
      </c>
      <c r="CP337" s="691" t="e">
        <f t="shared" ca="1" si="5833"/>
        <v>#N/A</v>
      </c>
      <c r="CQ337" s="4" t="e">
        <f ca="1">IF(AND(INDEX(STM,CP337,4)&gt;=$AB335,INDEX(STM,CP337,5)&gt;=$S335,INDEX(STM,CP337,6)&gt;=$R335),1,0)</f>
        <v>#N/A</v>
      </c>
      <c r="CR337" s="4" t="e">
        <f t="shared" ref="CR337" ca="1" si="5864">MATCH(1,OFFSET(CQ335:CQ346,CS336,0,COUNT(CQ335:CQ346)-CS336),0)</f>
        <v>#REF!</v>
      </c>
      <c r="CS337" s="4" t="e">
        <f t="shared" ca="1" si="5835"/>
        <v>#REF!</v>
      </c>
      <c r="CT337" s="692" t="str">
        <f ca="1">IFERROR(VLOOKUP(INDEX(CP335:CP346,CS337),STM,2,FALSE),"----")</f>
        <v>----</v>
      </c>
      <c r="CU337" s="691" t="e">
        <f t="shared" ca="1" si="5836"/>
        <v>#N/A</v>
      </c>
      <c r="CV337" s="4" t="e">
        <f ca="1">IF(AND(INDEX(ELM,CU337,4)&gt;=$AB335,INDEX(ELM,CU337,5)&gt;=$S335,INDEX(ELM,CU337,6)&gt;=$R335),1,0)</f>
        <v>#N/A</v>
      </c>
      <c r="CW337" s="4" t="e">
        <f t="shared" ref="CW337" ca="1" si="5865">MATCH(1,OFFSET(CV335:CV346,CX336,0,COUNT(CV335:CV346)-CX336),0)</f>
        <v>#REF!</v>
      </c>
      <c r="CX337" s="4" t="e">
        <f t="shared" ca="1" si="5838"/>
        <v>#REF!</v>
      </c>
      <c r="CY337" s="692" t="str">
        <f ca="1">IFERROR(VLOOKUP(INDEX(CU335:CU346,CX337),ELM,2,FALSE),"----")</f>
        <v>----</v>
      </c>
      <c r="CZ337" s="691" t="e">
        <f t="shared" ca="1" si="5839"/>
        <v>#N/A</v>
      </c>
      <c r="DA337" s="4" t="e">
        <f ca="1">IF(LEFT($J335,7)="Clad Wo",IF(AND(INDEX(SPPWS,CZ337,4)&gt;=$AB335,INDEX(SPPWS,CZ337,5)&gt;=$S335,INDEX(SPPWS,CZ337,6)&gt;=$R335),1,0),IF(AND(INDEX(SPM,CZ337,4)&gt;=$AB335,INDEX(SPM,CZ337,5)&gt;=$S335,INDEX(SPM,CZ337,6)&gt;=$R335),1,0))</f>
        <v>#N/A</v>
      </c>
      <c r="DB337" s="4" t="e">
        <f t="shared" ref="DB337" ca="1" si="5866">MATCH(1,OFFSET(DA335:DA346,DC336,0,COUNT(DA335:DA346)-DC336),0)</f>
        <v>#REF!</v>
      </c>
      <c r="DC337" s="4" t="e">
        <f t="shared" ca="1" si="5841"/>
        <v>#REF!</v>
      </c>
      <c r="DD337" s="693" t="str">
        <f ca="1">IF(LEFT($J335,7)="Clad Wo",IFERROR(VLOOKUP(INDEX(CZ335:CZ346,DC337),SPPWS,2,FALSE),"----"),IFERROR(VLOOKUP(INDEX(CZ335:CZ346,DC337),SPM,2,FALSE),"----"))</f>
        <v>----</v>
      </c>
      <c r="DE337" s="691" t="e">
        <f t="shared" ca="1" si="5842"/>
        <v>#REF!</v>
      </c>
      <c r="DF337" s="4" t="e" cm="1">
        <f t="array" aca="1" ref="DF337" ca="1">IF(AND(INDEX(INDIRECT(BY335),DE337,4)&gt;=$AB341,INDEX(INDIRECT(BY335),DE337,5)&gt;=$S335,INDEX(INDIRECT(BY335),DE337,6)&gt;=$R335),1,0)</f>
        <v>#REF!</v>
      </c>
      <c r="DG337" s="4" t="e">
        <f t="shared" ref="DG337" ca="1" si="5867">MATCH(1,OFFSET(DF335:DF346,DH336,0,COUNT(DF335:DF346)-DH336),0)</f>
        <v>#REF!</v>
      </c>
      <c r="DH337" s="4" t="e">
        <f t="shared" ca="1" si="5844"/>
        <v>#REF!</v>
      </c>
      <c r="DI337" s="692" t="str" cm="1">
        <f t="array" aca="1" ref="DI337" ca="1">IFERROR(VLOOKUP(INDEX(DE335:DE346,DH337),INDIRECT(BY335),2,FALSE),"----")</f>
        <v>----</v>
      </c>
      <c r="DJ337" s="691" t="e">
        <f t="shared" ca="1" si="5845"/>
        <v>#N/A</v>
      </c>
      <c r="DK337" s="4" t="e">
        <f ca="1">IF(AND(INDEX(SSM,DJ337,4)&gt;=$AB341,INDEX(SSM,DJ337,5)&gt;=$S335,INDEX(SSM,DJ337,6)&gt;=$R335),1,0)</f>
        <v>#N/A</v>
      </c>
      <c r="DL337" s="4" t="e">
        <f t="shared" ref="DL337" ca="1" si="5868">MATCH(1,OFFSET(DK335:DK346,DM336,0,COUNT(DK335:DK346)-DM336),0)</f>
        <v>#REF!</v>
      </c>
      <c r="DM337" s="4" t="e">
        <f t="shared" ca="1" si="5847"/>
        <v>#REF!</v>
      </c>
      <c r="DN337" s="692" t="str">
        <f ca="1">IFERROR(IF(AD342="Nested Steel Stud (wood infill)",VLOOKUP(INDEX(DJ335:DJ346,DM337),SSW,2,FALSE),VLOOKUP(INDEX(DJ335:DJ346,DM337),SSM,2,FALSE)),"----")</f>
        <v>----</v>
      </c>
      <c r="DO337" s="691" t="e">
        <f t="shared" ca="1" si="5848"/>
        <v>#N/A</v>
      </c>
      <c r="DP337" s="4" t="e">
        <f ca="1">IF(AND(INDEX(WSM,DO337,4)&gt;=$AB341,INDEX(WSM,DO337,5)&gt;=$S335,INDEX(WSM,DO337,6)&gt;=$R335),1,0)</f>
        <v>#N/A</v>
      </c>
      <c r="DQ337" s="4" t="e">
        <f t="shared" ref="DQ337" ca="1" si="5869">MATCH(1,OFFSET(DP335:DP346,DR336,0,COUNT(DP335:DP346)-DR336),0)</f>
        <v>#REF!</v>
      </c>
      <c r="DR337" s="4" t="e">
        <f t="shared" ca="1" si="5850"/>
        <v>#REF!</v>
      </c>
      <c r="DS337" s="692" t="str">
        <f ca="1">IFERROR(VLOOKUP(INDEX(DO335:DO346,DR337),WSM,2,FALSE),"----")</f>
        <v>----</v>
      </c>
      <c r="DT337" s="691" t="e">
        <f t="shared" ca="1" si="5851"/>
        <v>#N/A</v>
      </c>
      <c r="DU337" s="4" t="e">
        <f ca="1">IF(AND(INDEX(STM,DT337,4)&gt;=$AB341,INDEX(STM,DT337,5)&gt;=$S335,INDEX(STM,DT337,6)&gt;=$R335),1,0)</f>
        <v>#N/A</v>
      </c>
      <c r="DV337" s="4" t="e">
        <f t="shared" ref="DV337" ca="1" si="5870">MATCH(1,OFFSET(DU335:DU346,DW336,0,COUNT(DU335:DU346)-DW336),0)</f>
        <v>#REF!</v>
      </c>
      <c r="DW337" s="4" t="e">
        <f t="shared" ca="1" si="5853"/>
        <v>#REF!</v>
      </c>
      <c r="DX337" s="692" t="str">
        <f ca="1">IFERROR(VLOOKUP(INDEX(DT335:DT346,DW337),STM,2,FALSE),"----")</f>
        <v>----</v>
      </c>
      <c r="DY337" s="691" t="e">
        <f t="shared" ca="1" si="5854"/>
        <v>#N/A</v>
      </c>
      <c r="DZ337" s="4" t="e">
        <f ca="1">IF(AND(INDEX(ELM,DY337,4)&gt;=$AB341,INDEX(ELM,DY337,5)&gt;=$S335,INDEX(ELM,DY337,6)&gt;=$R335),1,0)</f>
        <v>#N/A</v>
      </c>
      <c r="EA337" s="4" t="e">
        <f t="shared" ref="EA337" ca="1" si="5871">MATCH(1,OFFSET(DZ335:DZ346,EB336,0,COUNT(DZ335:DZ346)-EB336),0)</f>
        <v>#REF!</v>
      </c>
      <c r="EB337" s="4" t="e">
        <f t="shared" ca="1" si="5856"/>
        <v>#REF!</v>
      </c>
      <c r="EC337" s="692" t="str">
        <f ca="1">IFERROR(VLOOKUP(INDEX(DY335:DY346,EB337),ELM,2,FALSE),"----")</f>
        <v>----</v>
      </c>
      <c r="ED337" s="691" t="e">
        <f t="shared" ca="1" si="5857"/>
        <v>#N/A</v>
      </c>
      <c r="EE337" s="4" t="e">
        <f ca="1">IF(LEFT($J335,7)="Clad Wo",IF(AND(INDEX(SPPWS,ED337,4)&gt;=$AB341,INDEX(SPPWS,ED337,5)&gt;=$S335,INDEX(SPPWS,ED337,6)&gt;=$R335),1,0),IF(AND(INDEX(SPM,ED337,4)&gt;=$AB341,INDEX(SPM,ED337,5)&gt;=$S335,INDEX(SPM,ED337,6)&gt;=$R335),1,0))</f>
        <v>#N/A</v>
      </c>
      <c r="EF337" s="4" t="e">
        <f t="shared" ref="EF337" ca="1" si="5872">MATCH(1,OFFSET(EE335:EE346,EG336,0,COUNT(EE335:EE346)-EG336),0)</f>
        <v>#REF!</v>
      </c>
      <c r="EG337" s="4" t="e">
        <f t="shared" ca="1" si="5859"/>
        <v>#REF!</v>
      </c>
      <c r="EH337" s="692" t="str">
        <f ca="1">IF(LEFT($J335,7)="Clad Wo",IFERROR(VLOOKUP(INDEX(ED335:ED346,EG337),SPPWS,2,FALSE),"----"),IFERROR(VLOOKUP(INDEX(ED335:ED346,EG337),SPM,2,FALSE),"----"))</f>
        <v>----</v>
      </c>
    </row>
    <row r="338" spans="1:138" ht="15" customHeight="1" x14ac:dyDescent="0.25">
      <c r="A338" s="1085"/>
      <c r="B338" s="925"/>
      <c r="C338" s="926"/>
      <c r="D338" s="927"/>
      <c r="E338" s="995"/>
      <c r="F338" s="996"/>
      <c r="G338" s="997"/>
      <c r="H338" s="1062"/>
      <c r="I338" s="990"/>
      <c r="J338" s="908"/>
      <c r="K338" s="909"/>
      <c r="L338" s="1002"/>
      <c r="M338" s="923"/>
      <c r="N338" s="1042"/>
      <c r="O338" s="1018"/>
      <c r="P338" s="987"/>
      <c r="Q338" s="1015"/>
      <c r="R338" s="1012"/>
      <c r="S338" s="1006"/>
      <c r="T338" s="1007"/>
      <c r="U338" s="878"/>
      <c r="V338" s="881"/>
      <c r="W338" s="884"/>
      <c r="X338" s="884"/>
      <c r="Y338" s="887"/>
      <c r="Z338" s="887"/>
      <c r="AA338" s="887"/>
      <c r="AB338" s="1081"/>
      <c r="AC338" s="1078"/>
      <c r="AD338" s="1070" t="s">
        <v>37</v>
      </c>
      <c r="AE338" s="1071"/>
      <c r="AF338" s="1052"/>
      <c r="AG338" s="1053"/>
      <c r="AH338" s="1053"/>
      <c r="AI338" s="1066"/>
      <c r="AJ338" s="1067"/>
      <c r="AK338" s="156" t="str">
        <f t="shared" ca="1" si="4947"/>
        <v/>
      </c>
      <c r="AL338" s="1039"/>
      <c r="AM338" s="343" t="str">
        <f ca="1">IFERROR(Q335/12*ROUND(VLOOKUP(AF338,OFFSET(STM,0,1),6,FALSE),2),"")</f>
        <v/>
      </c>
      <c r="AN338" t="str">
        <f t="shared" ca="1" si="4971"/>
        <v/>
      </c>
      <c r="AP338" s="122" t="str">
        <f t="shared" ref="AP338" si="5873">_xlfn.CONCAT(AR338,AS340)</f>
        <v/>
      </c>
      <c r="AQ338" s="683" t="str">
        <f t="shared" si="5170"/>
        <v/>
      </c>
      <c r="AR338" s="4" t="str">
        <f t="shared" si="4931"/>
        <v/>
      </c>
      <c r="AS338" s="4"/>
      <c r="AT338" s="697" t="str">
        <f>AL335</f>
        <v/>
      </c>
      <c r="AU338" s="694" t="e">
        <f t="shared" ca="1" si="5187"/>
        <v>#REF!</v>
      </c>
      <c r="AV338" s="686" t="str">
        <f ca="1">IFERROR(VLOOKUP(AU338,INDIRECT(AQ335),2,FALSE),"----")</f>
        <v>----</v>
      </c>
      <c r="AW338" s="694" t="e">
        <f t="shared" ca="1" si="5188"/>
        <v>#REF!</v>
      </c>
      <c r="AX338" s="686" t="str">
        <f ca="1">IFERROR(VLOOKUP(AW338,INDIRECT(AQ336),2,FALSE),"----")</f>
        <v>----</v>
      </c>
      <c r="AY338" s="694" t="e">
        <f t="shared" ref="AY338" ca="1" si="5874">AY337-1</f>
        <v>#REF!</v>
      </c>
      <c r="AZ338" s="686" t="str">
        <f ca="1">IFERROR(VLOOKUP(AY338,INDIRECT(AQ337),2,FALSE),"----")</f>
        <v>----</v>
      </c>
      <c r="BA338" s="694" t="e">
        <f t="shared" ref="BA338" ca="1" si="5875">BA337-1</f>
        <v>#REF!</v>
      </c>
      <c r="BB338" s="686" t="str">
        <f ca="1">IFERROR(VLOOKUP(BA338,INDIRECT(AQ338),2,FALSE),"----")</f>
        <v>----</v>
      </c>
      <c r="BC338" s="694" t="e">
        <f t="shared" ca="1" si="5191"/>
        <v>#REF!</v>
      </c>
      <c r="BD338" s="686" t="str">
        <f ca="1">IFERROR(VLOOKUP(BC338,INDIRECT(AQ339),2,FALSE),"----")</f>
        <v>----</v>
      </c>
      <c r="BE338" s="694" t="e">
        <f t="shared" ca="1" si="5192"/>
        <v>#REF!</v>
      </c>
      <c r="BF338" s="686" t="str">
        <f ca="1">IFERROR(VLOOKUP(BE338,INDIRECT(AQ340),2,FALSE),"----")</f>
        <v>----</v>
      </c>
      <c r="BG338" s="694" t="e">
        <f t="shared" ca="1" si="5193"/>
        <v>#REF!</v>
      </c>
      <c r="BH338" s="686" t="str">
        <f ca="1">IFERROR(VLOOKUP(BG338,INDIRECT(AQ341),2,FALSE),"----")</f>
        <v>----</v>
      </c>
      <c r="BI338" s="694" t="e">
        <f t="shared" ca="1" si="5194"/>
        <v>#REF!</v>
      </c>
      <c r="BJ338" s="686" t="str">
        <f ca="1">IFERROR(VLOOKUP(BI338,INDIRECT(AQ342),2,FALSE),"----")</f>
        <v>----</v>
      </c>
      <c r="BK338" s="694" t="e">
        <f t="shared" ca="1" si="5195"/>
        <v>#REF!</v>
      </c>
      <c r="BL338" s="686" t="str">
        <f ca="1">IFERROR(VLOOKUP(BK338,INDIRECT(AQ343),2,FALSE),"----")</f>
        <v>----</v>
      </c>
      <c r="BM338" s="694" t="e">
        <f t="shared" ca="1" si="5196"/>
        <v>#REF!</v>
      </c>
      <c r="BN338" s="686" t="str">
        <f ca="1">IFERROR(VLOOKUP(BM338,INDIRECT(AQ344),2,FALSE),"----")</f>
        <v>----</v>
      </c>
      <c r="BO338" s="694" t="e">
        <f t="shared" ca="1" si="5197"/>
        <v>#REF!</v>
      </c>
      <c r="BP338" s="686" t="str">
        <f ca="1">IFERROR(VLOOKUP(BO338,INDIRECT(AQ345),2,FALSE),"----")</f>
        <v>----</v>
      </c>
      <c r="BQ338" s="694" t="e">
        <f t="shared" ca="1" si="5198"/>
        <v>#REF!</v>
      </c>
      <c r="BR338" s="686" t="str">
        <f ca="1">IFERROR(VLOOKUP(BQ338,INDIRECT(AQ346),2,FALSE),"----")</f>
        <v>----</v>
      </c>
      <c r="BS338" s="695">
        <f>IF(AI338="",1,IF(COUNTIF(BB335:BB346,AI338)=0,2,1))</f>
        <v>1</v>
      </c>
      <c r="BT338" s="696">
        <f>IF(AF338="",1,IF(BB335=".",2,1))</f>
        <v>1</v>
      </c>
      <c r="BU338" s="706"/>
      <c r="BV338" s="155">
        <f ca="1">IF(COUNTIF(CT335:CT346,AF338)=0,IF(AF338&lt;&gt;"",0,1),1)</f>
        <v>1</v>
      </c>
      <c r="BW338" s="157">
        <f ca="1">IFERROR(MATCH(AF338,CT335:CT346,0),1)</f>
        <v>1</v>
      </c>
      <c r="BX338" s="769"/>
      <c r="BY338" s="769"/>
      <c r="BZ338" s="1110"/>
      <c r="CA338" s="691" t="e">
        <f t="shared" ca="1" si="5824"/>
        <v>#REF!</v>
      </c>
      <c r="CB338" s="4" t="e" cm="1">
        <f t="array" aca="1" ref="CB338" ca="1">IF(AND(INDEX(INDIRECT(BY335),CA338,4)&gt;=$AB335,INDEX(INDIRECT(BY335),CA338,5)&gt;=$S335,INDEX(INDIRECT(BY335),CA338,6)&gt;=$R335),1,0)</f>
        <v>#REF!</v>
      </c>
      <c r="CC338" s="4" t="e">
        <f t="shared" ref="CC338" ca="1" si="5876">MATCH(1,OFFSET(CB335:CB346,CD337,0,COUNT(CB335:CB346)-CD337),0)</f>
        <v>#REF!</v>
      </c>
      <c r="CD338" s="4" t="e">
        <f t="shared" ca="1" si="5826"/>
        <v>#REF!</v>
      </c>
      <c r="CE338" s="692" t="str" cm="1">
        <f t="array" aca="1" ref="CE338" ca="1">IFERROR(VLOOKUP(INDEX(CA335:CA346,CD338),INDIRECT(BY335),2,FALSE),"----")</f>
        <v>----</v>
      </c>
      <c r="CF338" s="691" t="e">
        <f t="shared" ca="1" si="5827"/>
        <v>#N/A</v>
      </c>
      <c r="CG338" s="4" t="e">
        <f ca="1">IF(AND(INDEX(SSM,CF338,4)&gt;=$AB335,INDEX(SSM,CF338,5)&gt;=$S335,INDEX(SSM,CF338,6)&gt;=$R335),1,0)</f>
        <v>#N/A</v>
      </c>
      <c r="CH338" s="4" t="e">
        <f t="shared" ref="CH338" ca="1" si="5877">MATCH(1,OFFSET(CG335:CG346,CI337,0,COUNT(CG335:CG346)-CI337),0)</f>
        <v>#REF!</v>
      </c>
      <c r="CI338" s="4" t="e">
        <f t="shared" ca="1" si="5829"/>
        <v>#REF!</v>
      </c>
      <c r="CJ338" s="692" t="str">
        <f ca="1">IFERROR(IF(AD336="Nested Steel Stud (wood infill)",VLOOKUP(INDEX(CF335:CF346,CI338),SSW,2,FALSE),VLOOKUP(INDEX(CF335:CF346,CI338),SSM,2,FALSE)),"----")</f>
        <v>----</v>
      </c>
      <c r="CK338" s="691" t="e">
        <f t="shared" ca="1" si="5830"/>
        <v>#N/A</v>
      </c>
      <c r="CL338" s="4" t="e">
        <f ca="1">IF(AND(INDEX(WSM,CK338,4)&gt;=$AB335,INDEX(WSM,CK338,5)&gt;=$S335,INDEX(WSM,CK338,6)&gt;=$R335),1,0)</f>
        <v>#N/A</v>
      </c>
      <c r="CM338" s="4" t="e">
        <f t="shared" ref="CM338" ca="1" si="5878">MATCH(1,OFFSET(CL335:CL346,CN337,0,COUNT(CL335:CL346)-CN337),0)</f>
        <v>#REF!</v>
      </c>
      <c r="CN338" s="4" t="e">
        <f t="shared" ca="1" si="5832"/>
        <v>#REF!</v>
      </c>
      <c r="CO338" s="692" t="str">
        <f ca="1">IFERROR(VLOOKUP(INDEX(CK335:CK346,CN338),WSM,2,FALSE),"----")</f>
        <v>----</v>
      </c>
      <c r="CP338" s="691" t="e">
        <f t="shared" ca="1" si="5833"/>
        <v>#N/A</v>
      </c>
      <c r="CQ338" s="4" t="e">
        <f ca="1">IF(AND(INDEX(STM,CP338,4)&gt;=$AB335,INDEX(STM,CP338,5)&gt;=$S335,INDEX(STM,CP338,6)&gt;=$R335),1,0)</f>
        <v>#N/A</v>
      </c>
      <c r="CR338" s="4" t="e">
        <f t="shared" ref="CR338" ca="1" si="5879">MATCH(1,OFFSET(CQ335:CQ346,CS337,0,COUNT(CQ335:CQ346)-CS337),0)</f>
        <v>#REF!</v>
      </c>
      <c r="CS338" s="4" t="e">
        <f t="shared" ca="1" si="5835"/>
        <v>#REF!</v>
      </c>
      <c r="CT338" s="692" t="str">
        <f ca="1">IFERROR(VLOOKUP(INDEX(CP335:CP346,CS338),STM,2,FALSE),"----")</f>
        <v>----</v>
      </c>
      <c r="CU338" s="691" t="e">
        <f t="shared" ca="1" si="5836"/>
        <v>#N/A</v>
      </c>
      <c r="CV338" s="4" t="e">
        <f ca="1">IF(AND(INDEX(ELM,CU338,4)&gt;=$AB335,INDEX(ELM,CU338,5)&gt;=$S335,INDEX(ELM,CU338,6)&gt;=$R335),1,0)</f>
        <v>#N/A</v>
      </c>
      <c r="CW338" s="4" t="e">
        <f t="shared" ref="CW338" ca="1" si="5880">MATCH(1,OFFSET(CV335:CV346,CX337,0,COUNT(CV335:CV346)-CX337),0)</f>
        <v>#REF!</v>
      </c>
      <c r="CX338" s="4" t="e">
        <f t="shared" ca="1" si="5838"/>
        <v>#REF!</v>
      </c>
      <c r="CY338" s="692" t="str">
        <f ca="1">IFERROR(VLOOKUP(INDEX(CU335:CU346,CX338),ELM,2,FALSE),"----")</f>
        <v>----</v>
      </c>
      <c r="CZ338" s="691" t="e">
        <f t="shared" ca="1" si="5839"/>
        <v>#N/A</v>
      </c>
      <c r="DA338" s="4" t="e">
        <f ca="1">IF(LEFT($J335,7)="Clad Wo",IF(AND(INDEX(SPPWS,CZ338,4)&gt;=$AB335,INDEX(SPPWS,CZ338,5)&gt;=$S335,INDEX(SPPWS,CZ338,6)&gt;=$R335),1,0),IF(AND(INDEX(SPM,CZ338,4)&gt;=$AB335,INDEX(SPM,CZ338,5)&gt;=$S335,INDEX(SPM,CZ338,6)&gt;=$R335),1,0))</f>
        <v>#N/A</v>
      </c>
      <c r="DB338" s="4" t="e">
        <f t="shared" ref="DB338" ca="1" si="5881">MATCH(1,OFFSET(DA335:DA346,DC337,0,COUNT(DA335:DA346)-DC337),0)</f>
        <v>#REF!</v>
      </c>
      <c r="DC338" s="4" t="e">
        <f t="shared" ca="1" si="5841"/>
        <v>#REF!</v>
      </c>
      <c r="DD338" s="693" t="str">
        <f ca="1">IF(LEFT($J335,7)="Clad Wo",IFERROR(VLOOKUP(INDEX(CZ335:CZ346,DC338),SPPWS,2,FALSE),"----"),IFERROR(VLOOKUP(INDEX(CZ335:CZ346,DC338),SPM,2,FALSE),"----"))</f>
        <v>----</v>
      </c>
      <c r="DE338" s="691" t="e">
        <f t="shared" ca="1" si="5842"/>
        <v>#REF!</v>
      </c>
      <c r="DF338" s="4" t="e" cm="1">
        <f t="array" aca="1" ref="DF338" ca="1">IF(AND(INDEX(INDIRECT(BY335),DE338,4)&gt;=$AB341,INDEX(INDIRECT(BY335),DE338,5)&gt;=$S335,INDEX(INDIRECT(BY335),DE338,6)&gt;=$R335),1,0)</f>
        <v>#REF!</v>
      </c>
      <c r="DG338" s="4" t="e">
        <f t="shared" ref="DG338" ca="1" si="5882">MATCH(1,OFFSET(DF335:DF346,DH337,0,COUNT(DF335:DF346)-DH337),0)</f>
        <v>#REF!</v>
      </c>
      <c r="DH338" s="4" t="e">
        <f t="shared" ca="1" si="5844"/>
        <v>#REF!</v>
      </c>
      <c r="DI338" s="692" t="str" cm="1">
        <f t="array" aca="1" ref="DI338" ca="1">IFERROR(VLOOKUP(INDEX(DE335:DE346,DH338),INDIRECT(BY335),2,FALSE),"----")</f>
        <v>----</v>
      </c>
      <c r="DJ338" s="691" t="e">
        <f t="shared" ca="1" si="5845"/>
        <v>#N/A</v>
      </c>
      <c r="DK338" s="4" t="e">
        <f ca="1">IF(AND(INDEX(SSM,DJ338,4)&gt;=$AB341,INDEX(SSM,DJ338,5)&gt;=$S335,INDEX(SSM,DJ338,6)&gt;=$R335),1,0)</f>
        <v>#N/A</v>
      </c>
      <c r="DL338" s="4" t="e">
        <f t="shared" ref="DL338" ca="1" si="5883">MATCH(1,OFFSET(DK335:DK346,DM337,0,COUNT(DK335:DK346)-DM337),0)</f>
        <v>#REF!</v>
      </c>
      <c r="DM338" s="4" t="e">
        <f t="shared" ca="1" si="5847"/>
        <v>#REF!</v>
      </c>
      <c r="DN338" s="692" t="str">
        <f ca="1">IFERROR(IF(AD342="Nested Steel Stud (wood infill)",VLOOKUP(INDEX(DJ335:DJ346,DM338),SSW,2,FALSE),VLOOKUP(INDEX(DJ335:DJ346,DM338),SSM,2,FALSE)),"----")</f>
        <v>----</v>
      </c>
      <c r="DO338" s="691" t="e">
        <f t="shared" ca="1" si="5848"/>
        <v>#N/A</v>
      </c>
      <c r="DP338" s="4" t="e">
        <f ca="1">IF(AND(INDEX(WSM,DO338,4)&gt;=$AB341,INDEX(WSM,DO338,5)&gt;=$S335,INDEX(WSM,DO338,6)&gt;=$R335),1,0)</f>
        <v>#N/A</v>
      </c>
      <c r="DQ338" s="4" t="e">
        <f t="shared" ref="DQ338" ca="1" si="5884">MATCH(1,OFFSET(DP335:DP346,DR337,0,COUNT(DP335:DP346)-DR337),0)</f>
        <v>#REF!</v>
      </c>
      <c r="DR338" s="4" t="e">
        <f t="shared" ca="1" si="5850"/>
        <v>#REF!</v>
      </c>
      <c r="DS338" s="692" t="str">
        <f ca="1">IFERROR(VLOOKUP(INDEX(DO335:DO346,DR338),WSM,2,FALSE),"----")</f>
        <v>----</v>
      </c>
      <c r="DT338" s="691" t="e">
        <f t="shared" ca="1" si="5851"/>
        <v>#N/A</v>
      </c>
      <c r="DU338" s="4" t="e">
        <f ca="1">IF(AND(INDEX(STM,DT338,4)&gt;=$AB341,INDEX(STM,DT338,5)&gt;=$S335,INDEX(STM,DT338,6)&gt;=$R335),1,0)</f>
        <v>#N/A</v>
      </c>
      <c r="DV338" s="4" t="e">
        <f t="shared" ref="DV338" ca="1" si="5885">MATCH(1,OFFSET(DU335:DU346,DW337,0,COUNT(DU335:DU346)-DW337),0)</f>
        <v>#REF!</v>
      </c>
      <c r="DW338" s="4" t="e">
        <f t="shared" ca="1" si="5853"/>
        <v>#REF!</v>
      </c>
      <c r="DX338" s="692" t="str">
        <f ca="1">IFERROR(VLOOKUP(INDEX(DT335:DT346,DW338),STM,2,FALSE),"----")</f>
        <v>----</v>
      </c>
      <c r="DY338" s="691" t="e">
        <f t="shared" ca="1" si="5854"/>
        <v>#N/A</v>
      </c>
      <c r="DZ338" s="4" t="e">
        <f ca="1">IF(AND(INDEX(ELM,DY338,4)&gt;=$AB341,INDEX(ELM,DY338,5)&gt;=$S335,INDEX(ELM,DY338,6)&gt;=$R335),1,0)</f>
        <v>#N/A</v>
      </c>
      <c r="EA338" s="4" t="e">
        <f t="shared" ref="EA338" ca="1" si="5886">MATCH(1,OFFSET(DZ335:DZ346,EB337,0,COUNT(DZ335:DZ346)-EB337),0)</f>
        <v>#REF!</v>
      </c>
      <c r="EB338" s="4" t="e">
        <f t="shared" ca="1" si="5856"/>
        <v>#REF!</v>
      </c>
      <c r="EC338" s="692" t="str">
        <f ca="1">IFERROR(VLOOKUP(INDEX(DY335:DY346,EB338),ELM,2,FALSE),"----")</f>
        <v>----</v>
      </c>
      <c r="ED338" s="691" t="e">
        <f t="shared" ca="1" si="5857"/>
        <v>#N/A</v>
      </c>
      <c r="EE338" s="4" t="e">
        <f ca="1">IF(LEFT($J335,7)="Clad Wo",IF(AND(INDEX(SPPWS,ED338,4)&gt;=$AB341,INDEX(SPPWS,ED338,5)&gt;=$S335,INDEX(SPPWS,ED338,6)&gt;=$R335),1,0),IF(AND(INDEX(SPM,ED338,4)&gt;=$AB341,INDEX(SPM,ED338,5)&gt;=$S335,INDEX(SPM,ED338,6)&gt;=$R335),1,0))</f>
        <v>#N/A</v>
      </c>
      <c r="EF338" s="4" t="e">
        <f t="shared" ref="EF338" ca="1" si="5887">MATCH(1,OFFSET(EE335:EE346,EG337,0,COUNT(EE335:EE346)-EG337),0)</f>
        <v>#REF!</v>
      </c>
      <c r="EG338" s="4" t="e">
        <f t="shared" ca="1" si="5859"/>
        <v>#REF!</v>
      </c>
      <c r="EH338" s="692" t="str">
        <f ca="1">IF(LEFT($J335,7)="Clad Wo",IFERROR(VLOOKUP(INDEX(ED335:ED346,EG338),SPPWS,2,FALSE),"----"),IFERROR(VLOOKUP(INDEX(ED335:ED346,EG338),SPM,2,FALSE),"----"))</f>
        <v>----</v>
      </c>
    </row>
    <row r="339" spans="1:138" ht="15" customHeight="1" x14ac:dyDescent="0.25">
      <c r="A339" s="1085"/>
      <c r="B339" s="925"/>
      <c r="C339" s="926"/>
      <c r="D339" s="927"/>
      <c r="E339" s="995"/>
      <c r="F339" s="996"/>
      <c r="G339" s="997"/>
      <c r="H339" s="1062"/>
      <c r="I339" s="990"/>
      <c r="J339" s="910"/>
      <c r="K339" s="911"/>
      <c r="L339" s="1002"/>
      <c r="M339" s="923"/>
      <c r="N339" s="1042"/>
      <c r="O339" s="1018"/>
      <c r="P339" s="987"/>
      <c r="Q339" s="1015"/>
      <c r="R339" s="1012"/>
      <c r="S339" s="1006"/>
      <c r="T339" s="1007"/>
      <c r="U339" s="878"/>
      <c r="V339" s="881"/>
      <c r="W339" s="884"/>
      <c r="X339" s="884"/>
      <c r="Y339" s="887"/>
      <c r="Z339" s="887"/>
      <c r="AA339" s="887"/>
      <c r="AB339" s="1081"/>
      <c r="AC339" s="1078"/>
      <c r="AD339" s="1070" t="s">
        <v>39</v>
      </c>
      <c r="AE339" s="1071"/>
      <c r="AF339" s="1052"/>
      <c r="AG339" s="1053"/>
      <c r="AH339" s="1053"/>
      <c r="AI339" s="1068"/>
      <c r="AJ339" s="1069"/>
      <c r="AK339" s="154" t="str">
        <f t="shared" ca="1" si="4947"/>
        <v/>
      </c>
      <c r="AL339" s="1039"/>
      <c r="AM339" s="344" t="str">
        <f ca="1">IFERROR(Q335/12*ROUND(VLOOKUP(AF339,OFFSET(ELM,0,1),6,FALSE),2),"")</f>
        <v/>
      </c>
      <c r="AN339" t="str">
        <f t="shared" ca="1" si="4971"/>
        <v/>
      </c>
      <c r="AP339" s="122" t="str">
        <f t="shared" ref="AP339" si="5888">_xlfn.CONCAT(AR339,AS340)</f>
        <v/>
      </c>
      <c r="AQ339" s="683" t="str">
        <f t="shared" si="5170"/>
        <v/>
      </c>
      <c r="AR339" s="4" t="str">
        <f t="shared" si="4931"/>
        <v/>
      </c>
      <c r="AS339" s="4"/>
      <c r="AT339" s="697" t="str">
        <f>AL335</f>
        <v/>
      </c>
      <c r="AU339" s="694" t="e">
        <f t="shared" ca="1" si="5187"/>
        <v>#REF!</v>
      </c>
      <c r="AV339" s="698" t="str">
        <f ca="1">IFERROR(VLOOKUP(AU339,INDIRECT(AQ335),2,FALSE),"----")</f>
        <v>----</v>
      </c>
      <c r="AW339" s="694" t="e">
        <f t="shared" ca="1" si="5188"/>
        <v>#REF!</v>
      </c>
      <c r="AX339" s="698" t="str">
        <f ca="1">IFERROR(VLOOKUP(AW339,INDIRECT(AQ336),2,FALSE),"----")</f>
        <v>----</v>
      </c>
      <c r="AY339" s="694" t="e">
        <f t="shared" ref="AY339" ca="1" si="5889">AY338-1</f>
        <v>#REF!</v>
      </c>
      <c r="AZ339" s="698" t="str">
        <f ca="1">IFERROR(VLOOKUP(AY339,INDIRECT(AQ337),2,FALSE),"----")</f>
        <v>----</v>
      </c>
      <c r="BA339" s="694" t="e">
        <f t="shared" ref="BA339" ca="1" si="5890">BA338-1</f>
        <v>#REF!</v>
      </c>
      <c r="BB339" s="698" t="str">
        <f ca="1">IFERROR(VLOOKUP(BA339,INDIRECT(AQ338),2,FALSE),"----")</f>
        <v>----</v>
      </c>
      <c r="BC339" s="694" t="e">
        <f t="shared" ca="1" si="5191"/>
        <v>#REF!</v>
      </c>
      <c r="BD339" s="698" t="str">
        <f ca="1">IFERROR(VLOOKUP(BC339,INDIRECT(AQ339),2,FALSE),"----")</f>
        <v>----</v>
      </c>
      <c r="BE339" s="694" t="e">
        <f t="shared" ca="1" si="5192"/>
        <v>#REF!</v>
      </c>
      <c r="BF339" s="698" t="str">
        <f ca="1">IFERROR(VLOOKUP(BE339,INDIRECT(AQ340),2,FALSE),"----")</f>
        <v>----</v>
      </c>
      <c r="BG339" s="694" t="e">
        <f t="shared" ca="1" si="5193"/>
        <v>#REF!</v>
      </c>
      <c r="BH339" s="686" t="str">
        <f ca="1">IFERROR(VLOOKUP(BG339,INDIRECT(AQ341),2,FALSE),"----")</f>
        <v>----</v>
      </c>
      <c r="BI339" s="694" t="e">
        <f t="shared" ca="1" si="5194"/>
        <v>#REF!</v>
      </c>
      <c r="BJ339" s="686" t="str">
        <f ca="1">IFERROR(VLOOKUP(BI339,INDIRECT(AQ342),2,FALSE),"----")</f>
        <v>----</v>
      </c>
      <c r="BK339" s="694" t="e">
        <f t="shared" ca="1" si="5195"/>
        <v>#REF!</v>
      </c>
      <c r="BL339" s="686" t="str">
        <f ca="1">IFERROR(VLOOKUP(BK339,INDIRECT(AQ343),2,FALSE),"----")</f>
        <v>----</v>
      </c>
      <c r="BM339" s="694" t="e">
        <f t="shared" ca="1" si="5196"/>
        <v>#REF!</v>
      </c>
      <c r="BN339" s="686" t="str">
        <f ca="1">IFERROR(VLOOKUP(BM339,INDIRECT(AQ344),2,FALSE),"----")</f>
        <v>----</v>
      </c>
      <c r="BO339" s="694" t="e">
        <f t="shared" ca="1" si="5197"/>
        <v>#REF!</v>
      </c>
      <c r="BP339" s="686" t="str">
        <f ca="1">IFERROR(VLOOKUP(BO339,INDIRECT(AQ345),2,FALSE),"----")</f>
        <v>----</v>
      </c>
      <c r="BQ339" s="694" t="e">
        <f t="shared" ca="1" si="5198"/>
        <v>#REF!</v>
      </c>
      <c r="BR339" s="686" t="str">
        <f ca="1">IFERROR(VLOOKUP(BQ339,INDIRECT(AQ346),2,FALSE),"----")</f>
        <v>----</v>
      </c>
      <c r="BS339" s="695">
        <f>IF(AI339="",1,IF(COUNTIF(BD335:BD346,AI339)=0,2,1))</f>
        <v>1</v>
      </c>
      <c r="BT339" s="696">
        <f>IF(AF339="",1,IF(BD335=".",2,1))</f>
        <v>1</v>
      </c>
      <c r="BU339" s="706"/>
      <c r="BV339" s="155">
        <f ca="1">IF(COUNTIF(CY335:CY346,AF339)=0,IF(AF339&lt;&gt;"",0,1),1)</f>
        <v>1</v>
      </c>
      <c r="BW339" s="157">
        <f ca="1">IFERROR(MATCH(AF339,CY335:CY346,0),1)</f>
        <v>1</v>
      </c>
      <c r="BX339" s="769"/>
      <c r="BY339" s="769"/>
      <c r="BZ339" s="1110"/>
      <c r="CA339" s="691" t="e">
        <f t="shared" ca="1" si="5824"/>
        <v>#REF!</v>
      </c>
      <c r="CB339" s="4" t="e" cm="1">
        <f t="array" aca="1" ref="CB339" ca="1">IF(AND(INDEX(INDIRECT(BY335),CA339,4)&gt;=$AB335,INDEX(INDIRECT(BY335),CA339,5)&gt;=$S335,INDEX(INDIRECT(BY335),CA339,6)&gt;=$R335),1,0)</f>
        <v>#REF!</v>
      </c>
      <c r="CC339" s="4" t="e">
        <f t="shared" ref="CC339" ca="1" si="5891">MATCH(1,OFFSET(CB335:CB346,CD338,0,COUNT(CB335:CB346)-CD338),0)</f>
        <v>#REF!</v>
      </c>
      <c r="CD339" s="4" t="e">
        <f t="shared" ca="1" si="5826"/>
        <v>#REF!</v>
      </c>
      <c r="CE339" s="692" t="str" cm="1">
        <f t="array" aca="1" ref="CE339" ca="1">IFERROR(VLOOKUP(INDEX(CA335:CA346,CD339),INDIRECT(BY335),2,FALSE),"----")</f>
        <v>----</v>
      </c>
      <c r="CF339" s="691" t="e">
        <f t="shared" ca="1" si="5827"/>
        <v>#N/A</v>
      </c>
      <c r="CG339" s="4" t="e">
        <f ca="1">IF(AND(INDEX(SSM,CF339,4)&gt;=$AB335,INDEX(SSM,CF339,5)&gt;=$S335,INDEX(SSM,CF339,6)&gt;=$R335),1,0)</f>
        <v>#N/A</v>
      </c>
      <c r="CH339" s="4" t="e">
        <f t="shared" ref="CH339" ca="1" si="5892">MATCH(1,OFFSET(CG335:CG346,CI338,0,COUNT(CG335:CG346)-CI338),0)</f>
        <v>#REF!</v>
      </c>
      <c r="CI339" s="4" t="e">
        <f t="shared" ca="1" si="5829"/>
        <v>#REF!</v>
      </c>
      <c r="CJ339" s="692" t="str">
        <f ca="1">IFERROR(IF(AD336="Nested Steel Stud (wood infill)",VLOOKUP(INDEX(CF335:CF346,CI339),SSW,2,FALSE),VLOOKUP(INDEX(CF335:CF346,CI339),SSM,2,FALSE)),"----")</f>
        <v>----</v>
      </c>
      <c r="CK339" s="691" t="e">
        <f t="shared" ca="1" si="5830"/>
        <v>#N/A</v>
      </c>
      <c r="CL339" s="4" t="e">
        <f ca="1">IF(AND(INDEX(WSM,CK339,4)&gt;=$AB335,INDEX(WSM,CK339,5)&gt;=$S335,INDEX(WSM,CK339,6)&gt;=$R335),1,0)</f>
        <v>#N/A</v>
      </c>
      <c r="CM339" s="4" t="e">
        <f t="shared" ref="CM339" ca="1" si="5893">MATCH(1,OFFSET(CL335:CL346,CN338,0,COUNT(CL335:CL346)-CN338),0)</f>
        <v>#REF!</v>
      </c>
      <c r="CN339" s="4" t="e">
        <f t="shared" ca="1" si="5832"/>
        <v>#REF!</v>
      </c>
      <c r="CO339" s="692" t="str">
        <f ca="1">IFERROR(VLOOKUP(INDEX(CK335:CK346,CN339),WSM,2,FALSE),"----")</f>
        <v>----</v>
      </c>
      <c r="CP339" s="691" t="e">
        <f t="shared" ca="1" si="5833"/>
        <v>#N/A</v>
      </c>
      <c r="CQ339" s="4" t="e">
        <f ca="1">IF(AND(INDEX(STM,CP339,4)&gt;=$AB335,INDEX(STM,CP339,5)&gt;=$S335,INDEX(STM,CP339,6)&gt;=$R335),1,0)</f>
        <v>#N/A</v>
      </c>
      <c r="CR339" s="4" t="e">
        <f t="shared" ref="CR339" ca="1" si="5894">MATCH(1,OFFSET(CQ335:CQ346,CS338,0,COUNT(CQ335:CQ346)-CS338),0)</f>
        <v>#REF!</v>
      </c>
      <c r="CS339" s="4" t="e">
        <f t="shared" ca="1" si="5835"/>
        <v>#REF!</v>
      </c>
      <c r="CT339" s="692" t="str">
        <f ca="1">IFERROR(VLOOKUP(INDEX(CP335:CP346,CS339),STM,2,FALSE),"----")</f>
        <v>----</v>
      </c>
      <c r="CU339" s="691" t="e">
        <f t="shared" ca="1" si="5836"/>
        <v>#N/A</v>
      </c>
      <c r="CV339" s="4" t="e">
        <f ca="1">IF(AND(INDEX(ELM,CU339,4)&gt;=$AB335,INDEX(ELM,CU339,5)&gt;=$S335,INDEX(ELM,CU339,6)&gt;=$R335),1,0)</f>
        <v>#N/A</v>
      </c>
      <c r="CW339" s="4" t="e">
        <f t="shared" ref="CW339" ca="1" si="5895">MATCH(1,OFFSET(CV335:CV346,CX338,0,COUNT(CV335:CV346)-CX338),0)</f>
        <v>#REF!</v>
      </c>
      <c r="CX339" s="4" t="e">
        <f t="shared" ca="1" si="5838"/>
        <v>#REF!</v>
      </c>
      <c r="CY339" s="692" t="str">
        <f ca="1">IFERROR(VLOOKUP(INDEX(CU335:CU346,CX339),ELM,2,FALSE),"----")</f>
        <v>----</v>
      </c>
      <c r="CZ339" s="691" t="e">
        <f t="shared" ca="1" si="5839"/>
        <v>#N/A</v>
      </c>
      <c r="DA339" s="4" t="e">
        <f ca="1">IF(LEFT($J335,7)="Clad Wo",IF(AND(INDEX(SPPWS,CZ339,4)&gt;=$AB335,INDEX(SPPWS,CZ339,5)&gt;=$S335,INDEX(SPPWS,CZ339,6)&gt;=$R335),1,0),IF(AND(INDEX(SPM,CZ339,4)&gt;=$AB335,INDEX(SPM,CZ339,5)&gt;=$S335,INDEX(SPM,CZ339,6)&gt;=$R335),1,0))</f>
        <v>#N/A</v>
      </c>
      <c r="DB339" s="4" t="e">
        <f t="shared" ref="DB339" ca="1" si="5896">MATCH(1,OFFSET(DA335:DA346,DC338,0,COUNT(DA335:DA346)-DC338),0)</f>
        <v>#REF!</v>
      </c>
      <c r="DC339" s="4" t="e">
        <f t="shared" ca="1" si="5841"/>
        <v>#REF!</v>
      </c>
      <c r="DD339" s="693" t="str">
        <f ca="1">IF(LEFT($J335,7)="Clad Wo",IFERROR(VLOOKUP(INDEX(CZ335:CZ346,DC339),SPPWS,2,FALSE),"----"),IFERROR(VLOOKUP(INDEX(CZ335:CZ346,DC339),SPM,2,FALSE),"----"))</f>
        <v>----</v>
      </c>
      <c r="DE339" s="691" t="e">
        <f t="shared" ca="1" si="5842"/>
        <v>#REF!</v>
      </c>
      <c r="DF339" s="4" t="e" cm="1">
        <f t="array" aca="1" ref="DF339" ca="1">IF(AND(INDEX(INDIRECT(BY335),DE339,4)&gt;=$AB341,INDEX(INDIRECT(BY335),DE339,5)&gt;=$S335,INDEX(INDIRECT(BY335),DE339,6)&gt;=$R335),1,0)</f>
        <v>#REF!</v>
      </c>
      <c r="DG339" s="4" t="e">
        <f t="shared" ref="DG339" ca="1" si="5897">MATCH(1,OFFSET(DF335:DF346,DH338,0,COUNT(DF335:DF346)-DH338),0)</f>
        <v>#REF!</v>
      </c>
      <c r="DH339" s="4" t="e">
        <f t="shared" ca="1" si="5844"/>
        <v>#REF!</v>
      </c>
      <c r="DI339" s="692" t="str" cm="1">
        <f t="array" aca="1" ref="DI339" ca="1">IFERROR(VLOOKUP(INDEX(DE335:DE346,DH339),INDIRECT(BY335),2,FALSE),"----")</f>
        <v>----</v>
      </c>
      <c r="DJ339" s="691" t="e">
        <f t="shared" ca="1" si="5845"/>
        <v>#N/A</v>
      </c>
      <c r="DK339" s="4" t="e">
        <f ca="1">IF(AND(INDEX(SSM,DJ339,4)&gt;=$AB341,INDEX(SSM,DJ339,5)&gt;=$S335,INDEX(SSM,DJ339,6)&gt;=$R335),1,0)</f>
        <v>#N/A</v>
      </c>
      <c r="DL339" s="4" t="e">
        <f t="shared" ref="DL339" ca="1" si="5898">MATCH(1,OFFSET(DK335:DK346,DM338,0,COUNT(DK335:DK346)-DM338),0)</f>
        <v>#REF!</v>
      </c>
      <c r="DM339" s="4" t="e">
        <f t="shared" ca="1" si="5847"/>
        <v>#REF!</v>
      </c>
      <c r="DN339" s="692" t="str">
        <f ca="1">IFERROR(IF(AD342="Nested Steel Stud (wood infill)",VLOOKUP(INDEX(DJ335:DJ346,DM339),SSW,2,FALSE),VLOOKUP(INDEX(DJ335:DJ346,DM339),SSM,2,FALSE)),"----")</f>
        <v>----</v>
      </c>
      <c r="DO339" s="691" t="e">
        <f t="shared" ca="1" si="5848"/>
        <v>#N/A</v>
      </c>
      <c r="DP339" s="4" t="e">
        <f ca="1">IF(AND(INDEX(WSM,DO339,4)&gt;=$AB341,INDEX(WSM,DO339,5)&gt;=$S335,INDEX(WSM,DO339,6)&gt;=$R335),1,0)</f>
        <v>#N/A</v>
      </c>
      <c r="DQ339" s="4" t="e">
        <f t="shared" ref="DQ339" ca="1" si="5899">MATCH(1,OFFSET(DP335:DP346,DR338,0,COUNT(DP335:DP346)-DR338),0)</f>
        <v>#REF!</v>
      </c>
      <c r="DR339" s="4" t="e">
        <f t="shared" ca="1" si="5850"/>
        <v>#REF!</v>
      </c>
      <c r="DS339" s="692" t="str">
        <f ca="1">IFERROR(VLOOKUP(INDEX(DO335:DO346,DR339),WSM,2,FALSE),"----")</f>
        <v>----</v>
      </c>
      <c r="DT339" s="691" t="e">
        <f t="shared" ca="1" si="5851"/>
        <v>#N/A</v>
      </c>
      <c r="DU339" s="4" t="e">
        <f ca="1">IF(AND(INDEX(STM,DT339,4)&gt;=$AB341,INDEX(STM,DT339,5)&gt;=$S335,INDEX(STM,DT339,6)&gt;=$R335),1,0)</f>
        <v>#N/A</v>
      </c>
      <c r="DV339" s="4" t="e">
        <f t="shared" ref="DV339" ca="1" si="5900">MATCH(1,OFFSET(DU335:DU346,DW338,0,COUNT(DU335:DU346)-DW338),0)</f>
        <v>#REF!</v>
      </c>
      <c r="DW339" s="4" t="e">
        <f t="shared" ca="1" si="5853"/>
        <v>#REF!</v>
      </c>
      <c r="DX339" s="692" t="str">
        <f ca="1">IFERROR(VLOOKUP(INDEX(DT335:DT346,DW339),STM,2,FALSE),"----")</f>
        <v>----</v>
      </c>
      <c r="DY339" s="691" t="e">
        <f t="shared" ca="1" si="5854"/>
        <v>#N/A</v>
      </c>
      <c r="DZ339" s="4" t="e">
        <f ca="1">IF(AND(INDEX(ELM,DY339,4)&gt;=$AB341,INDEX(ELM,DY339,5)&gt;=$S335,INDEX(ELM,DY339,6)&gt;=$R335),1,0)</f>
        <v>#N/A</v>
      </c>
      <c r="EA339" s="4" t="e">
        <f t="shared" ref="EA339" ca="1" si="5901">MATCH(1,OFFSET(DZ335:DZ346,EB338,0,COUNT(DZ335:DZ346)-EB338),0)</f>
        <v>#REF!</v>
      </c>
      <c r="EB339" s="4" t="e">
        <f t="shared" ca="1" si="5856"/>
        <v>#REF!</v>
      </c>
      <c r="EC339" s="692" t="str">
        <f ca="1">IFERROR(VLOOKUP(INDEX(DY335:DY346,EB339),ELM,2,FALSE),"----")</f>
        <v>----</v>
      </c>
      <c r="ED339" s="691" t="e">
        <f t="shared" ca="1" si="5857"/>
        <v>#N/A</v>
      </c>
      <c r="EE339" s="4" t="e">
        <f ca="1">IF(LEFT($J335,7)="Clad Wo",IF(AND(INDEX(SPPWS,ED339,4)&gt;=$AB341,INDEX(SPPWS,ED339,5)&gt;=$S335,INDEX(SPPWS,ED339,6)&gt;=$R335),1,0),IF(AND(INDEX(SPM,ED339,4)&gt;=$AB341,INDEX(SPM,ED339,5)&gt;=$S335,INDEX(SPM,ED339,6)&gt;=$R335),1,0))</f>
        <v>#N/A</v>
      </c>
      <c r="EF339" s="4" t="e">
        <f t="shared" ref="EF339" ca="1" si="5902">MATCH(1,OFFSET(EE335:EE346,EG338,0,COUNT(EE335:EE346)-EG338),0)</f>
        <v>#REF!</v>
      </c>
      <c r="EG339" s="4" t="e">
        <f t="shared" ca="1" si="5859"/>
        <v>#REF!</v>
      </c>
      <c r="EH339" s="692" t="str">
        <f ca="1">IF(LEFT($J335,7)="Clad Wo",IFERROR(VLOOKUP(INDEX(ED335:ED346,EG339),SPPWS,2,FALSE),"----"),IFERROR(VLOOKUP(INDEX(ED335:ED346,EG339),SPM,2,FALSE),"----"))</f>
        <v>----</v>
      </c>
    </row>
    <row r="340" spans="1:138" ht="15" customHeight="1" thickBot="1" x14ac:dyDescent="0.3">
      <c r="A340" s="1085"/>
      <c r="B340" s="934"/>
      <c r="C340" s="935"/>
      <c r="D340" s="936"/>
      <c r="E340" s="995"/>
      <c r="F340" s="996"/>
      <c r="G340" s="997"/>
      <c r="H340" s="1062"/>
      <c r="I340" s="990"/>
      <c r="J340" s="908"/>
      <c r="K340" s="909"/>
      <c r="L340" s="1010"/>
      <c r="M340" s="924"/>
      <c r="N340" s="1044"/>
      <c r="O340" s="1018"/>
      <c r="P340" s="987"/>
      <c r="Q340" s="1015"/>
      <c r="R340" s="1012"/>
      <c r="S340" s="1006"/>
      <c r="T340" s="1007"/>
      <c r="U340" s="878"/>
      <c r="V340" s="881"/>
      <c r="W340" s="889"/>
      <c r="X340" s="884"/>
      <c r="Y340" s="890"/>
      <c r="Z340" s="890"/>
      <c r="AA340" s="887"/>
      <c r="AB340" s="1084"/>
      <c r="AC340" s="1079"/>
      <c r="AD340" s="1072" t="str">
        <f t="shared" ref="AD340" si="5903">IF(LEFT(J335,7)="Clad Wo","Pella Wood Spr / Steel Pte","Steel Plate")</f>
        <v>Steel Plate</v>
      </c>
      <c r="AE340" s="1073"/>
      <c r="AF340" s="1054"/>
      <c r="AG340" s="1055"/>
      <c r="AH340" s="1055"/>
      <c r="AI340" s="1092"/>
      <c r="AJ340" s="1093"/>
      <c r="AK340" s="159" t="str">
        <f t="shared" ca="1" si="4947"/>
        <v/>
      </c>
      <c r="AL340" s="1040"/>
      <c r="AM340" s="345" t="str">
        <f ca="1">IFERROR(Q335/12*ROUND(VLOOKUP(AF340,OFFSET(SPM,0,1),6,FALSE),2),"")</f>
        <v/>
      </c>
      <c r="AN340" t="str">
        <f t="shared" ca="1" si="4971"/>
        <v/>
      </c>
      <c r="AP340" s="699" t="str">
        <f t="shared" ref="AP340" si="5904">_xlfn.CONCAT(AR340,AS340)</f>
        <v/>
      </c>
      <c r="AQ340" s="700" t="str">
        <f t="shared" si="5170"/>
        <v/>
      </c>
      <c r="AR340" s="160" t="str">
        <f t="shared" si="4931"/>
        <v/>
      </c>
      <c r="AS340" s="160" t="str">
        <f>IFERROR(VLOOKUP(J343, WallType,2,FALSE),"")</f>
        <v/>
      </c>
      <c r="AT340" s="701" t="str">
        <f>AL335</f>
        <v/>
      </c>
      <c r="AU340" s="694" t="e">
        <f t="shared" ca="1" si="5187"/>
        <v>#REF!</v>
      </c>
      <c r="AV340" s="698" t="str">
        <f ca="1">IFERROR(VLOOKUP(AU340,INDIRECT(AQ335),2,FALSE),"----")</f>
        <v>----</v>
      </c>
      <c r="AW340" s="702" t="e">
        <f t="shared" ca="1" si="5188"/>
        <v>#REF!</v>
      </c>
      <c r="AX340" s="698" t="str">
        <f ca="1">IFERROR(VLOOKUP(AW340,INDIRECT(AQ336),2,FALSE),"----")</f>
        <v>----</v>
      </c>
      <c r="AY340" s="702" t="e">
        <f t="shared" ref="AY340:AY355" ca="1" si="5905">AY339-1</f>
        <v>#REF!</v>
      </c>
      <c r="AZ340" s="698" t="str">
        <f ca="1">IFERROR(VLOOKUP(AY340,INDIRECT(AQ337),2,FALSE),"----")</f>
        <v>----</v>
      </c>
      <c r="BA340" s="702" t="e">
        <f t="shared" ref="BA340:BA355" ca="1" si="5906">BA339-1</f>
        <v>#REF!</v>
      </c>
      <c r="BB340" s="698" t="str">
        <f ca="1">IFERROR(VLOOKUP(BA340,INDIRECT(AQ338),2,FALSE),"----")</f>
        <v>----</v>
      </c>
      <c r="BC340" s="702" t="e">
        <f t="shared" ca="1" si="5191"/>
        <v>#REF!</v>
      </c>
      <c r="BD340" s="698" t="str">
        <f ca="1">IFERROR(VLOOKUP(BC340,INDIRECT(AQ339),2,FALSE),"----")</f>
        <v>----</v>
      </c>
      <c r="BE340" s="702" t="e">
        <f t="shared" ca="1" si="5192"/>
        <v>#REF!</v>
      </c>
      <c r="BF340" s="698" t="str">
        <f ca="1">IFERROR(VLOOKUP(BE340,INDIRECT(AQ340),2,FALSE),"----")</f>
        <v>----</v>
      </c>
      <c r="BG340" s="702" t="e">
        <f t="shared" ca="1" si="5193"/>
        <v>#REF!</v>
      </c>
      <c r="BH340" s="686" t="str">
        <f ca="1">IFERROR(VLOOKUP(BG340,INDIRECT(AQ341),2,FALSE),"----")</f>
        <v>----</v>
      </c>
      <c r="BI340" s="702" t="e">
        <f t="shared" ca="1" si="5194"/>
        <v>#REF!</v>
      </c>
      <c r="BJ340" s="686" t="str">
        <f ca="1">IFERROR(VLOOKUP(BI340,INDIRECT(AQ342),2,FALSE),"----")</f>
        <v>----</v>
      </c>
      <c r="BK340" s="702" t="e">
        <f t="shared" ca="1" si="5195"/>
        <v>#REF!</v>
      </c>
      <c r="BL340" s="686" t="str">
        <f ca="1">IFERROR(VLOOKUP(BK340,INDIRECT(AQ343),2,FALSE),"----")</f>
        <v>----</v>
      </c>
      <c r="BM340" s="702" t="e">
        <f t="shared" ca="1" si="5196"/>
        <v>#REF!</v>
      </c>
      <c r="BN340" s="686" t="str">
        <f ca="1">IFERROR(VLOOKUP(BM340,INDIRECT(AQ344),2,FALSE),"----")</f>
        <v>----</v>
      </c>
      <c r="BO340" s="702" t="e">
        <f t="shared" ca="1" si="5197"/>
        <v>#REF!</v>
      </c>
      <c r="BP340" s="686" t="str">
        <f ca="1">IFERROR(VLOOKUP(BO340,INDIRECT(AQ345),2,FALSE),"----")</f>
        <v>----</v>
      </c>
      <c r="BQ340" s="702" t="e">
        <f t="shared" ca="1" si="5198"/>
        <v>#REF!</v>
      </c>
      <c r="BR340" s="686" t="str">
        <f ca="1">IFERROR(VLOOKUP(BQ340,INDIRECT(AQ346),2,FALSE),"----")</f>
        <v>----</v>
      </c>
      <c r="BS340" s="703">
        <f>IF(AI340="",1,IF(COUNTIF(BF335:BF346,AI340)=0,2,1))</f>
        <v>1</v>
      </c>
      <c r="BT340" s="704">
        <f>IF(AF340="",1,IF(BF335=".",2,1))</f>
        <v>1</v>
      </c>
      <c r="BV340" s="155">
        <f ca="1">IF(COUNTIF(DD335:DD346,AF340)=0,IF(AF340&lt;&gt;"",0,1),1)</f>
        <v>1</v>
      </c>
      <c r="BW340" s="157">
        <f ca="1">IFERROR(MATCH(AF340,DD335:DD346,0),1)</f>
        <v>1</v>
      </c>
      <c r="BX340" s="875" t="s">
        <v>1594</v>
      </c>
      <c r="BY340" s="876"/>
      <c r="BZ340" s="1110"/>
      <c r="CA340" s="691" t="e">
        <f t="shared" ca="1" si="5824"/>
        <v>#REF!</v>
      </c>
      <c r="CB340" s="4" t="e" cm="1">
        <f t="array" aca="1" ref="CB340" ca="1">IF(AND(INDEX(INDIRECT(BY335),CA340,4)&gt;=$AB335,INDEX(INDIRECT(BY335),CA340,5)&gt;=$S335,INDEX(INDIRECT(BY335),CA340,6)&gt;=$R335),1,0)</f>
        <v>#REF!</v>
      </c>
      <c r="CC340" s="4" t="e">
        <f t="shared" ref="CC340" ca="1" si="5907">MATCH(1,OFFSET(CB335:CB346,CD339,0,COUNT(CB335:CB346)-CD339),0)</f>
        <v>#REF!</v>
      </c>
      <c r="CD340" s="4" t="e">
        <f t="shared" ca="1" si="5826"/>
        <v>#REF!</v>
      </c>
      <c r="CE340" s="692" t="str" cm="1">
        <f t="array" aca="1" ref="CE340" ca="1">IFERROR(VLOOKUP(INDEX(CA335:CA346,CD340),INDIRECT(BY335),2,FALSE),"----")</f>
        <v>----</v>
      </c>
      <c r="CF340" s="691" t="e">
        <f t="shared" ca="1" si="5827"/>
        <v>#N/A</v>
      </c>
      <c r="CG340" s="4" t="e">
        <f ca="1">IF(AND(INDEX(SSM,CF340,4)&gt;=$AB335,INDEX(SSM,CF340,5)&gt;=$S335,INDEX(SSM,CF340,6)&gt;=$R335),1,0)</f>
        <v>#N/A</v>
      </c>
      <c r="CH340" s="4" t="e">
        <f t="shared" ref="CH340" ca="1" si="5908">MATCH(1,OFFSET(CG335:CG346,CI339,0,COUNT(CG335:CG346)-CI339),0)</f>
        <v>#REF!</v>
      </c>
      <c r="CI340" s="4" t="e">
        <f t="shared" ca="1" si="5829"/>
        <v>#REF!</v>
      </c>
      <c r="CJ340" s="692" t="str">
        <f ca="1">IFERROR(IF(AD336="Nested Steel Stud (wood infill)",VLOOKUP(INDEX(CF335:CF346,CI340),SSW,2,FALSE),VLOOKUP(INDEX(CF335:CF346,CI340),SSM,2,FALSE)),"----")</f>
        <v>----</v>
      </c>
      <c r="CK340" s="691" t="e">
        <f t="shared" ca="1" si="5830"/>
        <v>#N/A</v>
      </c>
      <c r="CL340" s="4" t="e">
        <f ca="1">IF(AND(INDEX(WSM,CK340,4)&gt;=$AB335,INDEX(WSM,CK340,5)&gt;=$S335,INDEX(WSM,CK340,6)&gt;=$R335),1,0)</f>
        <v>#N/A</v>
      </c>
      <c r="CM340" s="4" t="e">
        <f t="shared" ref="CM340" ca="1" si="5909">MATCH(1,OFFSET(CL335:CL346,CN339,0,COUNT(CL335:CL346)-CN339),0)</f>
        <v>#REF!</v>
      </c>
      <c r="CN340" s="4" t="e">
        <f t="shared" ca="1" si="5832"/>
        <v>#REF!</v>
      </c>
      <c r="CO340" s="692" t="str">
        <f ca="1">IFERROR(VLOOKUP(INDEX(CK335:CK346,CN340),WSM,2,FALSE),"----")</f>
        <v>----</v>
      </c>
      <c r="CP340" s="691" t="e">
        <f t="shared" ca="1" si="5833"/>
        <v>#N/A</v>
      </c>
      <c r="CQ340" s="4" t="e">
        <f ca="1">IF(AND(INDEX(STM,CP340,4)&gt;=$AB335,INDEX(STM,CP340,5)&gt;=$S335,INDEX(STM,CP340,6)&gt;=$R335),1,0)</f>
        <v>#N/A</v>
      </c>
      <c r="CR340" s="4" t="e">
        <f t="shared" ref="CR340" ca="1" si="5910">MATCH(1,OFFSET(CQ335:CQ346,CS339,0,COUNT(CQ335:CQ346)-CS339),0)</f>
        <v>#REF!</v>
      </c>
      <c r="CS340" s="4" t="e">
        <f t="shared" ca="1" si="5835"/>
        <v>#REF!</v>
      </c>
      <c r="CT340" s="692" t="str">
        <f ca="1">IFERROR(VLOOKUP(INDEX(CP335:CP346,CS340),STM,2,FALSE),"----")</f>
        <v>----</v>
      </c>
      <c r="CU340" s="691" t="e">
        <f t="shared" ca="1" si="5836"/>
        <v>#N/A</v>
      </c>
      <c r="CV340" s="4" t="e">
        <f ca="1">IF(AND(INDEX(ELM,CU340,4)&gt;=$AB335,INDEX(ELM,CU340,5)&gt;=$S335,INDEX(ELM,CU340,6)&gt;=$R335),1,0)</f>
        <v>#N/A</v>
      </c>
      <c r="CW340" s="4" t="e">
        <f t="shared" ref="CW340" ca="1" si="5911">MATCH(1,OFFSET(CV335:CV346,CX339,0,COUNT(CV335:CV346)-CX339),0)</f>
        <v>#REF!</v>
      </c>
      <c r="CX340" s="4" t="e">
        <f t="shared" ca="1" si="5838"/>
        <v>#REF!</v>
      </c>
      <c r="CY340" s="692" t="str">
        <f ca="1">IFERROR(VLOOKUP(INDEX(CU335:CU346,CX340),ELM,2,FALSE),"----")</f>
        <v>----</v>
      </c>
      <c r="CZ340" s="691" t="e">
        <f t="shared" ca="1" si="5839"/>
        <v>#N/A</v>
      </c>
      <c r="DA340" s="4" t="e">
        <f ca="1">IF(LEFT($J335,7)="Clad Wo",IF(AND(INDEX(SPPWS,CZ340,4)&gt;=$AB335,INDEX(SPPWS,CZ340,5)&gt;=$S335,INDEX(SPPWS,CZ340,6)&gt;=$R335),1,0),IF(AND(INDEX(SPM,CZ340,4)&gt;=$AB335,INDEX(SPM,CZ340,5)&gt;=$S335,INDEX(SPM,CZ340,6)&gt;=$R335),1,0))</f>
        <v>#N/A</v>
      </c>
      <c r="DB340" s="4" t="e">
        <f t="shared" ref="DB340" ca="1" si="5912">MATCH(1,OFFSET(DA335:DA346,DC339,0,COUNT(DA335:DA346)-DC339),0)</f>
        <v>#REF!</v>
      </c>
      <c r="DC340" s="4" t="e">
        <f t="shared" ca="1" si="5841"/>
        <v>#REF!</v>
      </c>
      <c r="DD340" s="693" t="str">
        <f ca="1">IF(LEFT($J335,7)="Clad Wo",IFERROR(VLOOKUP(INDEX(CZ335:CZ346,DC340),SPPWS,2,FALSE),"----"),IFERROR(VLOOKUP(INDEX(CZ335:CZ346,DC340),SPM,2,FALSE),"----"))</f>
        <v>----</v>
      </c>
      <c r="DE340" s="691" t="e">
        <f t="shared" ca="1" si="5842"/>
        <v>#REF!</v>
      </c>
      <c r="DF340" s="4" t="e" cm="1">
        <f t="array" aca="1" ref="DF340" ca="1">IF(AND(INDEX(INDIRECT(BY335),DE340,4)&gt;=$AB341,INDEX(INDIRECT(BY335),DE340,5)&gt;=$S335,INDEX(INDIRECT(BY335),DE340,6)&gt;=$R335),1,0)</f>
        <v>#REF!</v>
      </c>
      <c r="DG340" s="4" t="e">
        <f t="shared" ref="DG340" ca="1" si="5913">MATCH(1,OFFSET(DF335:DF346,DH339,0,COUNT(DF335:DF346)-DH339),0)</f>
        <v>#REF!</v>
      </c>
      <c r="DH340" s="4" t="e">
        <f t="shared" ca="1" si="5844"/>
        <v>#REF!</v>
      </c>
      <c r="DI340" s="692" t="str" cm="1">
        <f t="array" aca="1" ref="DI340" ca="1">IFERROR(VLOOKUP(INDEX(DE335:DE346,DH340),INDIRECT(BY335),2,FALSE),"----")</f>
        <v>----</v>
      </c>
      <c r="DJ340" s="691" t="e">
        <f t="shared" ca="1" si="5845"/>
        <v>#N/A</v>
      </c>
      <c r="DK340" s="4" t="e">
        <f ca="1">IF(AND(INDEX(SSM,DJ340,4)&gt;=$AB341,INDEX(SSM,DJ340,5)&gt;=$S335,INDEX(SSM,DJ340,6)&gt;=$R335),1,0)</f>
        <v>#N/A</v>
      </c>
      <c r="DL340" s="4" t="e">
        <f t="shared" ref="DL340" ca="1" si="5914">MATCH(1,OFFSET(DK335:DK346,DM339,0,COUNT(DK335:DK346)-DM339),0)</f>
        <v>#REF!</v>
      </c>
      <c r="DM340" s="4" t="e">
        <f t="shared" ca="1" si="5847"/>
        <v>#REF!</v>
      </c>
      <c r="DN340" s="692" t="str">
        <f ca="1">IFERROR(IF(AD342="Nested Steel Stud (wood infill)",VLOOKUP(INDEX(DJ335:DJ346,DM340),SSW,2,FALSE),VLOOKUP(INDEX(DJ335:DJ346,DM340),SSM,2,FALSE)),"----")</f>
        <v>----</v>
      </c>
      <c r="DO340" s="691" t="e">
        <f t="shared" ca="1" si="5848"/>
        <v>#N/A</v>
      </c>
      <c r="DP340" s="4" t="e">
        <f ca="1">IF(AND(INDEX(WSM,DO340,4)&gt;=$AB341,INDEX(WSM,DO340,5)&gt;=$S335,INDEX(WSM,DO340,6)&gt;=$R335),1,0)</f>
        <v>#N/A</v>
      </c>
      <c r="DQ340" s="4" t="e">
        <f t="shared" ref="DQ340" ca="1" si="5915">MATCH(1,OFFSET(DP335:DP346,DR339,0,COUNT(DP335:DP346)-DR339),0)</f>
        <v>#REF!</v>
      </c>
      <c r="DR340" s="4" t="e">
        <f t="shared" ca="1" si="5850"/>
        <v>#REF!</v>
      </c>
      <c r="DS340" s="692" t="str">
        <f ca="1">IFERROR(VLOOKUP(INDEX(DO335:DO346,DR340),WSM,2,FALSE),"----")</f>
        <v>----</v>
      </c>
      <c r="DT340" s="691" t="e">
        <f t="shared" ca="1" si="5851"/>
        <v>#N/A</v>
      </c>
      <c r="DU340" s="4" t="e">
        <f ca="1">IF(AND(INDEX(STM,DT340,4)&gt;=$AB341,INDEX(STM,DT340,5)&gt;=$S335,INDEX(STM,DT340,6)&gt;=$R335),1,0)</f>
        <v>#N/A</v>
      </c>
      <c r="DV340" s="4" t="e">
        <f t="shared" ref="DV340" ca="1" si="5916">MATCH(1,OFFSET(DU335:DU346,DW339,0,COUNT(DU335:DU346)-DW339),0)</f>
        <v>#REF!</v>
      </c>
      <c r="DW340" s="4" t="e">
        <f t="shared" ca="1" si="5853"/>
        <v>#REF!</v>
      </c>
      <c r="DX340" s="692" t="str">
        <f ca="1">IFERROR(VLOOKUP(INDEX(DT335:DT346,DW340),STM,2,FALSE),"----")</f>
        <v>----</v>
      </c>
      <c r="DY340" s="691" t="e">
        <f t="shared" ca="1" si="5854"/>
        <v>#N/A</v>
      </c>
      <c r="DZ340" s="4" t="e">
        <f ca="1">IF(AND(INDEX(ELM,DY340,4)&gt;=$AB341,INDEX(ELM,DY340,5)&gt;=$S335,INDEX(ELM,DY340,6)&gt;=$R335),1,0)</f>
        <v>#N/A</v>
      </c>
      <c r="EA340" s="4" t="e">
        <f t="shared" ref="EA340" ca="1" si="5917">MATCH(1,OFFSET(DZ335:DZ346,EB339,0,COUNT(DZ335:DZ346)-EB339),0)</f>
        <v>#REF!</v>
      </c>
      <c r="EB340" s="4" t="e">
        <f t="shared" ca="1" si="5856"/>
        <v>#REF!</v>
      </c>
      <c r="EC340" s="692" t="str">
        <f ca="1">IFERROR(VLOOKUP(INDEX(DY335:DY346,EB340),ELM,2,FALSE),"----")</f>
        <v>----</v>
      </c>
      <c r="ED340" s="691" t="e">
        <f t="shared" ca="1" si="5857"/>
        <v>#N/A</v>
      </c>
      <c r="EE340" s="4" t="e">
        <f ca="1">IF(LEFT($J335,7)="Clad Wo",IF(AND(INDEX(SPPWS,ED340,4)&gt;=$AB341,INDEX(SPPWS,ED340,5)&gt;=$S335,INDEX(SPPWS,ED340,6)&gt;=$R335),1,0),IF(AND(INDEX(SPM,ED340,4)&gt;=$AB341,INDEX(SPM,ED340,5)&gt;=$S335,INDEX(SPM,ED340,6)&gt;=$R335),1,0))</f>
        <v>#N/A</v>
      </c>
      <c r="EF340" s="4" t="e">
        <f t="shared" ref="EF340" ca="1" si="5918">MATCH(1,OFFSET(EE335:EE346,EG339,0,COUNT(EE335:EE346)-EG339),0)</f>
        <v>#REF!</v>
      </c>
      <c r="EG340" s="4" t="e">
        <f t="shared" ca="1" si="5859"/>
        <v>#REF!</v>
      </c>
      <c r="EH340" s="692" t="str">
        <f ca="1">IF(LEFT($J335,7)="Clad Wo",IFERROR(VLOOKUP(INDEX(ED335:ED346,EG340),SPPWS,2,FALSE),"----"),IFERROR(VLOOKUP(INDEX(ED335:ED346,EG340),SPM,2,FALSE),"----"))</f>
        <v>----</v>
      </c>
    </row>
    <row r="341" spans="1:138" ht="15" customHeight="1" x14ac:dyDescent="0.25">
      <c r="A341" s="1085"/>
      <c r="B341" s="925" t="s">
        <v>409</v>
      </c>
      <c r="C341" s="926"/>
      <c r="D341" s="927"/>
      <c r="E341" s="995"/>
      <c r="F341" s="996"/>
      <c r="G341" s="997"/>
      <c r="H341" s="1062"/>
      <c r="I341" s="990"/>
      <c r="J341" s="908"/>
      <c r="K341" s="909"/>
      <c r="L341" s="1001">
        <f>L335+1</f>
        <v>5</v>
      </c>
      <c r="M341" s="1064" t="str">
        <f t="shared" ref="M341" si="5919">IFERROR(IF($AE$17="",IF($AG$19="Wind Loading",MIN($V$31,IF(E$11="ASCE 7-05",$U$26,$V$7)*$V$9*(IF($E$12&lt;60,0.156*LN(MAX(MIN(500,O335),10)) -1.7618,IF($E$11="ASCE 7-22", 0.2026*LN(MAX(MIN(500,O335),20))-2.2638,0.2503*LN(MAX(MIN(500,O335),20)) -2.5526))-$V$8)),$V$7*IF(E$12&lt;60,$V$13*($V$15*(0.156*LN(MAX(MIN(500,O335),10)) -1.7618)-$V$16),$V$13*$V$15*((0.2026*LN(MAX(MIN(500,O335),20))-2.2638)-$V$16))),-ABS($AE$17)),"")</f>
        <v/>
      </c>
      <c r="N341" s="1041" t="str">
        <f t="shared" ref="N341" si="5920">IFERROR(IF($AE$19="",IF($AG$19="Wind Loading",MAX($U$31,IF(E$11="ASCE 7-05",$U$26,$V$7)*$V$9*((IF($E$12&lt;60,-0.077*LN(MAX(MIN(500,O335),10))+1.1737,IF($E$11="ASCE 7-22",-0.077*LN(MAX(MIN(500,O335),20))+1.0798,-0.093*LN(MAX(MIN(500,O335),20))+1.1776)))+$V$8)),$V$7*IF(E$12&lt;60,$V$13*($V$15*(-0.077*LN(MAX(MIN(500,O335),10))+1.1737)-$V$17),$V$13*$V$15*((-0.077*LN(MAX(MIN(500,O335),20))+1.0798)-$V$17))),ABS($AE$19)),"")</f>
        <v/>
      </c>
      <c r="O341" s="1018"/>
      <c r="P341" s="987"/>
      <c r="Q341" s="1015"/>
      <c r="R341" s="1012">
        <f>P341*Q341/8</f>
        <v>0</v>
      </c>
      <c r="S341" s="1006"/>
      <c r="T341" s="1007"/>
      <c r="U341" s="878"/>
      <c r="V341" s="881"/>
      <c r="W341" s="883" t="e">
        <f t="shared" ref="W341" si="5921">MAX(-M341,N341)*O335</f>
        <v>#VALUE!</v>
      </c>
      <c r="X341" s="884"/>
      <c r="Y341" s="886">
        <f>IFERROR(IF(AG$14="Trapezoidal",BY344,BX344)+IF($E$17="4",(400*E335^3)/(48*X335),0),0)</f>
        <v>0</v>
      </c>
      <c r="Z341" s="886" t="e">
        <f t="shared" ref="Z341" si="5922">+($V335*MAX(-$M341,$N341)*$E335^2)/(144*8)+IF($E$17=4,(400*$E335)/4,0)</f>
        <v>#VALUE!</v>
      </c>
      <c r="AA341" s="887"/>
      <c r="AB341" s="1080" t="str">
        <f t="shared" ref="AB341" ca="1" si="5923">IFERROR(Z341-AA335,"")</f>
        <v/>
      </c>
      <c r="AC341" s="1086" t="str">
        <f t="shared" ref="AC341" ca="1" si="5924">IFERROR(Y341-U335,"")</f>
        <v/>
      </c>
      <c r="AD341" s="1074" t="str">
        <f t="shared" ref="AD341" si="5925">AD335</f>
        <v/>
      </c>
      <c r="AE341" s="1075"/>
      <c r="AF341" s="1056"/>
      <c r="AG341" s="1057"/>
      <c r="AH341" s="1057"/>
      <c r="AI341" s="1088"/>
      <c r="AJ341" s="1089"/>
      <c r="AK341" s="162" t="str">
        <f t="shared" ca="1" si="4947"/>
        <v/>
      </c>
      <c r="AL341" s="1058" t="str">
        <f t="shared" ref="AL341" si="5926">IFERROR(ROUND(SQRT(P335^2+(W341/2+IF($E$17=4,200,0))^2),0),"")</f>
        <v/>
      </c>
      <c r="AM341" s="342" t="s">
        <v>669</v>
      </c>
      <c r="AN341" t="str">
        <f t="shared" ca="1" si="4971"/>
        <v/>
      </c>
      <c r="AP341" s="122" t="str">
        <f t="shared" ref="AP341" si="5927">_xlfn.CONCAT(AR341,AS346)</f>
        <v/>
      </c>
      <c r="AQ341" s="683" t="str">
        <f t="shared" si="5170"/>
        <v/>
      </c>
      <c r="AR341" s="96" t="str">
        <f t="shared" si="4931"/>
        <v/>
      </c>
      <c r="AS341" s="96" t="str">
        <f>IF(COUNTIF(imp_1,AF341)=1,"imp_1",IF(COUNTIF(imp_2,AF341)=1,"imp_2",IF(COUNTIF(imp_3,AF341)=1,"imp_3",IF(COUNTIF(impdoor,AF341)=1,"impdoor",""))))</f>
        <v/>
      </c>
      <c r="AT341" s="684" t="str">
        <f>AL341</f>
        <v/>
      </c>
      <c r="AU341" s="685" t="e">
        <f t="shared" ca="1" si="5187"/>
        <v>#REF!</v>
      </c>
      <c r="AV341" s="686" t="str">
        <f ca="1">IFERROR(VLOOKUP(AU341,INDIRECT(AQ335),2,FALSE),"----")</f>
        <v>----</v>
      </c>
      <c r="AW341" s="685" t="e">
        <f t="shared" ca="1" si="5188"/>
        <v>#REF!</v>
      </c>
      <c r="AX341" s="686" t="str">
        <f ca="1">IFERROR(VLOOKUP(AW341,INDIRECT(AQ336),2,FALSE),"----")</f>
        <v>----</v>
      </c>
      <c r="AY341" s="685" t="e">
        <f t="shared" ca="1" si="5905"/>
        <v>#REF!</v>
      </c>
      <c r="AZ341" s="686" t="str">
        <f ca="1">IFERROR(VLOOKUP(AY341,INDIRECT(AQ337),2,FALSE),"----")</f>
        <v>----</v>
      </c>
      <c r="BA341" s="685" t="e">
        <f t="shared" ca="1" si="5906"/>
        <v>#REF!</v>
      </c>
      <c r="BB341" s="686" t="str">
        <f ca="1">IFERROR(VLOOKUP(BA341,INDIRECT(AQ338),2,FALSE),"----")</f>
        <v>----</v>
      </c>
      <c r="BC341" s="685" t="e">
        <f t="shared" ca="1" si="5191"/>
        <v>#REF!</v>
      </c>
      <c r="BD341" s="686" t="str">
        <f ca="1">IFERROR(VLOOKUP(BC341,INDIRECT(AQ339),2,FALSE),"----")</f>
        <v>----</v>
      </c>
      <c r="BE341" s="685" t="e">
        <f t="shared" ca="1" si="5192"/>
        <v>#REF!</v>
      </c>
      <c r="BF341" s="686" t="str">
        <f ca="1">IFERROR(VLOOKUP(BE341,INDIRECT(AQ340),2,FALSE),"----")</f>
        <v>----</v>
      </c>
      <c r="BG341" s="702" t="e">
        <f t="shared" ca="1" si="5193"/>
        <v>#REF!</v>
      </c>
      <c r="BH341" s="686" t="str">
        <f ca="1">IFERROR(VLOOKUP(BG341,INDIRECT(AQ341),2,FALSE),"----")</f>
        <v>----</v>
      </c>
      <c r="BI341" s="702" t="e">
        <f t="shared" ca="1" si="5194"/>
        <v>#REF!</v>
      </c>
      <c r="BJ341" s="686" t="str">
        <f ca="1">IFERROR(VLOOKUP(BI341,INDIRECT(AQ342),2,FALSE),"----")</f>
        <v>----</v>
      </c>
      <c r="BK341" s="702" t="e">
        <f t="shared" ca="1" si="5195"/>
        <v>#REF!</v>
      </c>
      <c r="BL341" s="686" t="str">
        <f ca="1">IFERROR(VLOOKUP(BK341,INDIRECT(AQ343),2,FALSE),"----")</f>
        <v>----</v>
      </c>
      <c r="BM341" s="702" t="e">
        <f t="shared" ca="1" si="5196"/>
        <v>#REF!</v>
      </c>
      <c r="BN341" s="686" t="str">
        <f ca="1">IFERROR(VLOOKUP(BM341,INDIRECT(AQ344),2,FALSE),"----")</f>
        <v>----</v>
      </c>
      <c r="BO341" s="702" t="e">
        <f t="shared" ca="1" si="5197"/>
        <v>#REF!</v>
      </c>
      <c r="BP341" s="686" t="str">
        <f ca="1">IFERROR(VLOOKUP(BO341,INDIRECT(AQ345),2,FALSE),"----")</f>
        <v>----</v>
      </c>
      <c r="BQ341" s="702" t="e">
        <f t="shared" ca="1" si="5198"/>
        <v>#REF!</v>
      </c>
      <c r="BR341" s="686" t="str">
        <f ca="1">IFERROR(VLOOKUP(BQ341,INDIRECT(AQ346),2,FALSE),"----")</f>
        <v>----</v>
      </c>
      <c r="BS341" s="695">
        <f>IF(AI341="",1,IF(COUNTIF(BH335:BH346,AI341)=0,2,1))</f>
        <v>1</v>
      </c>
      <c r="BT341" s="696">
        <f>IF(AP341="1",1,IF(AF341="",1,IF(BH335=".",2,1)))</f>
        <v>1</v>
      </c>
      <c r="BU341" s="706"/>
      <c r="BV341" s="155">
        <f ca="1">IF(COUNTIF(DI335:DI346,AF341)=0,IF(AF341&lt;&gt;"",0,1),1)</f>
        <v>1</v>
      </c>
      <c r="BW341" s="157">
        <f ca="1">IFERROR(MATCH(AF341,DI335:DI346,0),1)</f>
        <v>1</v>
      </c>
      <c r="BX341" s="769" t="s">
        <v>1593</v>
      </c>
      <c r="BY341" s="769" t="s">
        <v>1629</v>
      </c>
      <c r="BZ341" s="1110"/>
      <c r="CA341" s="691" t="e">
        <f t="shared" ca="1" si="5824"/>
        <v>#REF!</v>
      </c>
      <c r="CB341" s="4" t="e" cm="1">
        <f t="array" aca="1" ref="CB341" ca="1">IF(AND(INDEX(INDIRECT(BY335),CA341,4)&gt;=$AB335,INDEX(INDIRECT(BY335),CA341,5)&gt;=$S335,INDEX(INDIRECT(BY335),CA341,6)&gt;=$R335),1,0)</f>
        <v>#REF!</v>
      </c>
      <c r="CC341" s="4" t="e">
        <f t="shared" ref="CC341" ca="1" si="5928">MATCH(1,OFFSET(CB335:CB346,CD340,0,COUNT(CB335:CB346)-CD340),0)</f>
        <v>#REF!</v>
      </c>
      <c r="CD341" s="4" t="e">
        <f t="shared" ca="1" si="5826"/>
        <v>#REF!</v>
      </c>
      <c r="CE341" s="692" t="str" cm="1">
        <f t="array" aca="1" ref="CE341" ca="1">IFERROR(VLOOKUP(INDEX(CA335:CA346,CD341),INDIRECT(BY335),2,FALSE),"----")</f>
        <v>----</v>
      </c>
      <c r="CF341" s="691" t="e">
        <f t="shared" ca="1" si="5827"/>
        <v>#N/A</v>
      </c>
      <c r="CG341" s="4" t="e">
        <f ca="1">IF(AND(INDEX(SSM,CF341,4)&gt;=$AB335,INDEX(SSM,CF341,5)&gt;=$S335,INDEX(SSM,CF341,6)&gt;=$R335),1,0)</f>
        <v>#N/A</v>
      </c>
      <c r="CH341" s="4" t="e">
        <f t="shared" ref="CH341" ca="1" si="5929">MATCH(1,OFFSET(CG335:CG346,CI340,0,COUNT(CG335:CG346)-CI340),0)</f>
        <v>#REF!</v>
      </c>
      <c r="CI341" s="4" t="e">
        <f t="shared" ca="1" si="5829"/>
        <v>#REF!</v>
      </c>
      <c r="CJ341" s="692" t="str">
        <f ca="1">IFERROR(IF(AD336="Nested Steel Stud (wood infill)",VLOOKUP(INDEX(CF335:CF346,CI341),SSW,2,FALSE),VLOOKUP(INDEX(CF335:CF346,CI341),SSM,2,FALSE)),"----")</f>
        <v>----</v>
      </c>
      <c r="CK341" s="691" t="e">
        <f t="shared" ca="1" si="5830"/>
        <v>#N/A</v>
      </c>
      <c r="CL341" s="4" t="e">
        <f ca="1">IF(AND(INDEX(WSM,CK341,4)&gt;=$AB335,INDEX(WSM,CK341,5)&gt;=$S335,INDEX(WSM,CK341,6)&gt;=$R335),1,0)</f>
        <v>#N/A</v>
      </c>
      <c r="CM341" s="4" t="e">
        <f t="shared" ref="CM341" ca="1" si="5930">MATCH(1,OFFSET(CL335:CL346,CN340,0,COUNT(CL335:CL346)-CN340),0)</f>
        <v>#REF!</v>
      </c>
      <c r="CN341" s="4" t="e">
        <f t="shared" ca="1" si="5832"/>
        <v>#REF!</v>
      </c>
      <c r="CO341" s="692" t="str">
        <f ca="1">IFERROR(VLOOKUP(INDEX(CK335:CK346,CN341),WSM,2,FALSE),"----")</f>
        <v>----</v>
      </c>
      <c r="CP341" s="691" t="e">
        <f t="shared" ca="1" si="5833"/>
        <v>#N/A</v>
      </c>
      <c r="CQ341" s="4" t="e">
        <f ca="1">IF(AND(INDEX(STM,CP341,4)&gt;=$AB335,INDEX(STM,CP341,5)&gt;=$S335,INDEX(STM,CP341,6)&gt;=$R335),1,0)</f>
        <v>#N/A</v>
      </c>
      <c r="CR341" s="4" t="e">
        <f t="shared" ref="CR341" ca="1" si="5931">MATCH(1,OFFSET(CQ335:CQ346,CS340,0,COUNT(CQ335:CQ346)-CS340),0)</f>
        <v>#REF!</v>
      </c>
      <c r="CS341" s="4" t="e">
        <f t="shared" ca="1" si="5835"/>
        <v>#REF!</v>
      </c>
      <c r="CT341" s="692" t="str">
        <f ca="1">IFERROR(VLOOKUP(INDEX(CP335:CP346,CS341),STM,2,FALSE),"----")</f>
        <v>----</v>
      </c>
      <c r="CU341" s="691" t="e">
        <f t="shared" ca="1" si="5836"/>
        <v>#N/A</v>
      </c>
      <c r="CV341" s="4" t="e">
        <f ca="1">IF(AND(INDEX(ELM,CU341,4)&gt;=$AB335,INDEX(ELM,CU341,5)&gt;=$S335,INDEX(ELM,CU341,6)&gt;=$R335),1,0)</f>
        <v>#N/A</v>
      </c>
      <c r="CW341" s="4" t="e">
        <f t="shared" ref="CW341" ca="1" si="5932">MATCH(1,OFFSET(CV335:CV346,CX340,0,COUNT(CV335:CV346)-CX340),0)</f>
        <v>#REF!</v>
      </c>
      <c r="CX341" s="4" t="e">
        <f t="shared" ca="1" si="5838"/>
        <v>#REF!</v>
      </c>
      <c r="CY341" s="692" t="str">
        <f ca="1">IFERROR(VLOOKUP(INDEX(CU335:CU346,CX341),ELM,2,FALSE),"----")</f>
        <v>----</v>
      </c>
      <c r="CZ341" s="691" t="e">
        <f t="shared" ca="1" si="5839"/>
        <v>#N/A</v>
      </c>
      <c r="DA341" s="4" t="e">
        <f ca="1">IF(LEFT($J335,7)="Clad Wo",IF(AND(INDEX(SPPWS,CZ341,4)&gt;=$AB335,INDEX(SPPWS,CZ341,5)&gt;=$S335,INDEX(SPPWS,CZ341,6)&gt;=$R335),1,0),IF(AND(INDEX(SPM,CZ341,4)&gt;=$AB335,INDEX(SPM,CZ341,5)&gt;=$S335,INDEX(SPM,CZ341,6)&gt;=$R335),1,0))</f>
        <v>#N/A</v>
      </c>
      <c r="DB341" s="4" t="e">
        <f t="shared" ref="DB341" ca="1" si="5933">MATCH(1,OFFSET(DA335:DA346,DC340,0,COUNT(DA335:DA346)-DC340),0)</f>
        <v>#REF!</v>
      </c>
      <c r="DC341" s="4" t="e">
        <f t="shared" ca="1" si="5841"/>
        <v>#REF!</v>
      </c>
      <c r="DD341" s="693" t="str">
        <f ca="1">IF(LEFT($J335,7)="Clad Wo",IFERROR(VLOOKUP(INDEX(CZ335:CZ346,DC341),SPPWS,2,FALSE),"----"),IFERROR(VLOOKUP(INDEX(CZ335:CZ346,DC341),SPM,2,FALSE),"----"))</f>
        <v>----</v>
      </c>
      <c r="DE341" s="691" t="e">
        <f t="shared" ca="1" si="5842"/>
        <v>#REF!</v>
      </c>
      <c r="DF341" s="4" t="e" cm="1">
        <f t="array" aca="1" ref="DF341" ca="1">IF(AND(INDEX(INDIRECT(BY335),DE341,4)&gt;=$AB341,INDEX(INDIRECT(BY335),DE341,5)&gt;=$S335,INDEX(INDIRECT(BY335),DE341,6)&gt;=$R335),1,0)</f>
        <v>#REF!</v>
      </c>
      <c r="DG341" s="4" t="e">
        <f t="shared" ref="DG341" ca="1" si="5934">MATCH(1,OFFSET(DF335:DF346,DH340,0,COUNT(DF335:DF346)-DH340),0)</f>
        <v>#REF!</v>
      </c>
      <c r="DH341" s="4" t="e">
        <f t="shared" ca="1" si="5844"/>
        <v>#REF!</v>
      </c>
      <c r="DI341" s="692" t="str" cm="1">
        <f t="array" aca="1" ref="DI341" ca="1">IFERROR(VLOOKUP(INDEX(DE335:DE346,DH341),INDIRECT(BY335),2,FALSE),"----")</f>
        <v>----</v>
      </c>
      <c r="DJ341" s="691" t="e">
        <f t="shared" ca="1" si="5845"/>
        <v>#N/A</v>
      </c>
      <c r="DK341" s="4" t="e">
        <f ca="1">IF(AND(INDEX(SSM,DJ341,4)&gt;=$AB341,INDEX(SSM,DJ341,5)&gt;=$S335,INDEX(SSM,DJ341,6)&gt;=$R335),1,0)</f>
        <v>#N/A</v>
      </c>
      <c r="DL341" s="4" t="e">
        <f t="shared" ref="DL341" ca="1" si="5935">MATCH(1,OFFSET(DK335:DK346,DM340,0,COUNT(DK335:DK346)-DM340),0)</f>
        <v>#REF!</v>
      </c>
      <c r="DM341" s="4" t="e">
        <f t="shared" ca="1" si="5847"/>
        <v>#REF!</v>
      </c>
      <c r="DN341" s="692" t="str">
        <f ca="1">IFERROR(IF(AD342="Nested Steel Stud (wood infill)",VLOOKUP(INDEX(DJ335:DJ346,DM341),SSW,2,FALSE),VLOOKUP(INDEX(DJ335:DJ346,DM341),SSM,2,FALSE)),"----")</f>
        <v>----</v>
      </c>
      <c r="DO341" s="691" t="e">
        <f t="shared" ca="1" si="5848"/>
        <v>#N/A</v>
      </c>
      <c r="DP341" s="4" t="e">
        <f ca="1">IF(AND(INDEX(WSM,DO341,4)&gt;=$AB341,INDEX(WSM,DO341,5)&gt;=$S335,INDEX(WSM,DO341,6)&gt;=$R335),1,0)</f>
        <v>#N/A</v>
      </c>
      <c r="DQ341" s="4" t="e">
        <f t="shared" ref="DQ341" ca="1" si="5936">MATCH(1,OFFSET(DP335:DP346,DR340,0,COUNT(DP335:DP346)-DR340),0)</f>
        <v>#REF!</v>
      </c>
      <c r="DR341" s="4" t="e">
        <f t="shared" ca="1" si="5850"/>
        <v>#REF!</v>
      </c>
      <c r="DS341" s="692" t="str">
        <f ca="1">IFERROR(VLOOKUP(INDEX(DO335:DO346,DR341),WSM,2,FALSE),"----")</f>
        <v>----</v>
      </c>
      <c r="DT341" s="691" t="e">
        <f t="shared" ca="1" si="5851"/>
        <v>#N/A</v>
      </c>
      <c r="DU341" s="4" t="e">
        <f ca="1">IF(AND(INDEX(STM,DT341,4)&gt;=$AB341,INDEX(STM,DT341,5)&gt;=$S335,INDEX(STM,DT341,6)&gt;=$R335),1,0)</f>
        <v>#N/A</v>
      </c>
      <c r="DV341" s="4" t="e">
        <f t="shared" ref="DV341" ca="1" si="5937">MATCH(1,OFFSET(DU335:DU346,DW340,0,COUNT(DU335:DU346)-DW340),0)</f>
        <v>#REF!</v>
      </c>
      <c r="DW341" s="4" t="e">
        <f t="shared" ca="1" si="5853"/>
        <v>#REF!</v>
      </c>
      <c r="DX341" s="692" t="str">
        <f ca="1">IFERROR(VLOOKUP(INDEX(DT335:DT346,DW341),STM,2,FALSE),"----")</f>
        <v>----</v>
      </c>
      <c r="DY341" s="691" t="e">
        <f t="shared" ca="1" si="5854"/>
        <v>#N/A</v>
      </c>
      <c r="DZ341" s="4" t="e">
        <f ca="1">IF(AND(INDEX(ELM,DY341,4)&gt;=$AB341,INDEX(ELM,DY341,5)&gt;=$S335,INDEX(ELM,DY341,6)&gt;=$R335),1,0)</f>
        <v>#N/A</v>
      </c>
      <c r="EA341" s="4" t="e">
        <f t="shared" ref="EA341" ca="1" si="5938">MATCH(1,OFFSET(DZ335:DZ346,EB340,0,COUNT(DZ335:DZ346)-EB340),0)</f>
        <v>#REF!</v>
      </c>
      <c r="EB341" s="4" t="e">
        <f t="shared" ca="1" si="5856"/>
        <v>#REF!</v>
      </c>
      <c r="EC341" s="692" t="str">
        <f ca="1">IFERROR(VLOOKUP(INDEX(DY335:DY346,EB341),ELM,2,FALSE),"----")</f>
        <v>----</v>
      </c>
      <c r="ED341" s="691" t="e">
        <f t="shared" ca="1" si="5857"/>
        <v>#N/A</v>
      </c>
      <c r="EE341" s="4" t="e">
        <f ca="1">IF(LEFT($J335,7)="Clad Wo",IF(AND(INDEX(SPPWS,ED341,4)&gt;=$AB341,INDEX(SPPWS,ED341,5)&gt;=$S335,INDEX(SPPWS,ED341,6)&gt;=$R335),1,0),IF(AND(INDEX(SPM,ED341,4)&gt;=$AB341,INDEX(SPM,ED341,5)&gt;=$S335,INDEX(SPM,ED341,6)&gt;=$R335),1,0))</f>
        <v>#N/A</v>
      </c>
      <c r="EF341" s="4" t="e">
        <f t="shared" ref="EF341" ca="1" si="5939">MATCH(1,OFFSET(EE335:EE346,EG340,0,COUNT(EE335:EE346)-EG340),0)</f>
        <v>#REF!</v>
      </c>
      <c r="EG341" s="4" t="e">
        <f t="shared" ca="1" si="5859"/>
        <v>#REF!</v>
      </c>
      <c r="EH341" s="692" t="str">
        <f ca="1">IF(LEFT($J335,7)="Clad Wo",IFERROR(VLOOKUP(INDEX(ED335:ED346,EG341),SPPWS,2,FALSE),"----"),IFERROR(VLOOKUP(INDEX(ED335:ED346,EG341),SPM,2,FALSE),"----"))</f>
        <v>----</v>
      </c>
    </row>
    <row r="342" spans="1:138" ht="15" customHeight="1" x14ac:dyDescent="0.25">
      <c r="A342" s="1085"/>
      <c r="B342" s="925"/>
      <c r="C342" s="926"/>
      <c r="D342" s="927"/>
      <c r="E342" s="995"/>
      <c r="F342" s="996"/>
      <c r="G342" s="997"/>
      <c r="H342" s="1062"/>
      <c r="I342" s="990"/>
      <c r="J342" s="912"/>
      <c r="K342" s="913"/>
      <c r="L342" s="1002"/>
      <c r="M342" s="923"/>
      <c r="N342" s="1042"/>
      <c r="O342" s="1018"/>
      <c r="P342" s="987"/>
      <c r="Q342" s="1015"/>
      <c r="R342" s="1012"/>
      <c r="S342" s="1006"/>
      <c r="T342" s="1007"/>
      <c r="U342" s="878"/>
      <c r="V342" s="881"/>
      <c r="W342" s="884"/>
      <c r="X342" s="884"/>
      <c r="Y342" s="887"/>
      <c r="Z342" s="887"/>
      <c r="AA342" s="887"/>
      <c r="AB342" s="1081"/>
      <c r="AC342" s="1078"/>
      <c r="AD342" s="1070" t="str">
        <f t="shared" ref="AD342" si="5940">IF(ISBLANK(AD336)=TRUE,"",AD336)</f>
        <v>Nested Steel Stud</v>
      </c>
      <c r="AE342" s="1071"/>
      <c r="AF342" s="1052"/>
      <c r="AG342" s="1053"/>
      <c r="AH342" s="1053"/>
      <c r="AI342" s="1066"/>
      <c r="AJ342" s="1067"/>
      <c r="AK342" s="156" t="str">
        <f t="shared" ca="1" si="4947"/>
        <v/>
      </c>
      <c r="AL342" s="1059"/>
      <c r="AM342" s="343" t="str">
        <f ca="1">IFERROR(Q335/12*ROUND(VLOOKUP(AF342,OFFSET(SSM,0,1),6,FALSE),2),"")</f>
        <v/>
      </c>
      <c r="AN342" t="str">
        <f t="shared" ca="1" si="4971"/>
        <v/>
      </c>
      <c r="AP342" s="122" t="str">
        <f t="shared" ref="AP342" si="5941">_xlfn.CONCAT(AR342,AS346)</f>
        <v/>
      </c>
      <c r="AQ342" s="683" t="str">
        <f t="shared" si="5170"/>
        <v/>
      </c>
      <c r="AR342" s="96" t="str">
        <f t="shared" si="4931"/>
        <v/>
      </c>
      <c r="AS342" s="96" t="str">
        <f>IF(COUNTIF(Vista_1,AF341)=1,"Vista_1",IF(COUNTIF(Vista_2,AF341)=1,"Vista_2",""))</f>
        <v/>
      </c>
      <c r="AT342" s="684" t="str">
        <f>AL341</f>
        <v/>
      </c>
      <c r="AU342" s="694" t="e">
        <f t="shared" ca="1" si="5187"/>
        <v>#REF!</v>
      </c>
      <c r="AV342" s="686" t="str">
        <f ca="1">IFERROR(VLOOKUP(AU342,INDIRECT(AQ335),2,FALSE),"----")</f>
        <v>----</v>
      </c>
      <c r="AW342" s="694" t="e">
        <f t="shared" ca="1" si="5188"/>
        <v>#REF!</v>
      </c>
      <c r="AX342" s="686" t="str">
        <f ca="1">IFERROR(VLOOKUP(AW342,INDIRECT(AQ336),2,FALSE),"----")</f>
        <v>----</v>
      </c>
      <c r="AY342" s="694" t="e">
        <f t="shared" ca="1" si="5905"/>
        <v>#REF!</v>
      </c>
      <c r="AZ342" s="686" t="str">
        <f ca="1">IFERROR(VLOOKUP(AY342,INDIRECT(AQ337),2,FALSE),"----")</f>
        <v>----</v>
      </c>
      <c r="BA342" s="694" t="e">
        <f t="shared" ca="1" si="5906"/>
        <v>#REF!</v>
      </c>
      <c r="BB342" s="686" t="str">
        <f ca="1">IFERROR(VLOOKUP(BA342,INDIRECT(AQ338),2,FALSE),"----")</f>
        <v>----</v>
      </c>
      <c r="BC342" s="694" t="e">
        <f t="shared" ca="1" si="5191"/>
        <v>#REF!</v>
      </c>
      <c r="BD342" s="686" t="str">
        <f ca="1">IFERROR(VLOOKUP(BC342,INDIRECT(AQ339),2,FALSE),"----")</f>
        <v>----</v>
      </c>
      <c r="BE342" s="694" t="e">
        <f t="shared" ca="1" si="5192"/>
        <v>#REF!</v>
      </c>
      <c r="BF342" s="686" t="str">
        <f ca="1">IFERROR(VLOOKUP(BE342,INDIRECT(AQ340),2,FALSE),"----")</f>
        <v>----</v>
      </c>
      <c r="BG342" s="702" t="e">
        <f t="shared" ca="1" si="5193"/>
        <v>#REF!</v>
      </c>
      <c r="BH342" s="686" t="str">
        <f ca="1">IFERROR(VLOOKUP(BG342,INDIRECT(AQ341),2,FALSE),"----")</f>
        <v>----</v>
      </c>
      <c r="BI342" s="702" t="e">
        <f t="shared" ca="1" si="5194"/>
        <v>#REF!</v>
      </c>
      <c r="BJ342" s="686" t="str">
        <f ca="1">IFERROR(VLOOKUP(BI342,INDIRECT(AQ342),2,FALSE),"----")</f>
        <v>----</v>
      </c>
      <c r="BK342" s="702" t="e">
        <f t="shared" ca="1" si="5195"/>
        <v>#REF!</v>
      </c>
      <c r="BL342" s="686" t="str">
        <f ca="1">IFERROR(VLOOKUP(BK342,INDIRECT(AQ343),2,FALSE),"----")</f>
        <v>----</v>
      </c>
      <c r="BM342" s="702" t="e">
        <f t="shared" ca="1" si="5196"/>
        <v>#REF!</v>
      </c>
      <c r="BN342" s="686" t="str">
        <f ca="1">IFERROR(VLOOKUP(BM342,INDIRECT(AQ344),2,FALSE),"----")</f>
        <v>----</v>
      </c>
      <c r="BO342" s="702" t="e">
        <f t="shared" ca="1" si="5197"/>
        <v>#REF!</v>
      </c>
      <c r="BP342" s="686" t="str">
        <f ca="1">IFERROR(VLOOKUP(BO342,INDIRECT(AQ345),2,FALSE),"----")</f>
        <v>----</v>
      </c>
      <c r="BQ342" s="702" t="e">
        <f t="shared" ca="1" si="5198"/>
        <v>#REF!</v>
      </c>
      <c r="BR342" s="686" t="str">
        <f ca="1">IFERROR(VLOOKUP(BQ342,INDIRECT(AQ346),2,FALSE),"----")</f>
        <v>----</v>
      </c>
      <c r="BS342" s="695">
        <f>IF(AI342="",1,IF(COUNTIF(BJ335:BJ346,AI342)=0,2,1))</f>
        <v>1</v>
      </c>
      <c r="BT342" s="696">
        <f>IF(AF342="",1,IF(BJ335=".",2,1))</f>
        <v>1</v>
      </c>
      <c r="BU342" s="706"/>
      <c r="BV342" s="155">
        <f ca="1">IF(COUNTIF(DN335:DN346,AF342)=0,IF(AF342&lt;&gt;"",0,1),1)</f>
        <v>1</v>
      </c>
      <c r="BW342" s="157">
        <f ca="1">IFERROR(MATCH(AF342,DN335:DN346,0),1)</f>
        <v>1</v>
      </c>
      <c r="BX342" s="769">
        <f t="shared" ref="BX342" si="5942">E335*(H335+I335)/144/2</f>
        <v>0</v>
      </c>
      <c r="BY342" s="769">
        <f>SUM(IF(H335&gt;E335,E335^2/4,(H335*E335/2)-(H335^2/4))/144,IF(I335&gt;E335,E335^2/4,(I335*E335/2)-(I335^2/4))/144)</f>
        <v>0</v>
      </c>
      <c r="BZ342" s="1110"/>
      <c r="CA342" s="691" t="e">
        <f t="shared" ca="1" si="5824"/>
        <v>#REF!</v>
      </c>
      <c r="CB342" s="4" t="e" cm="1">
        <f t="array" aca="1" ref="CB342" ca="1">IF(AND(INDEX(INDIRECT(BY335),CA342,4)&gt;=$AB335,INDEX(INDIRECT(BY335),CA342,5)&gt;=$S335,INDEX(INDIRECT(BY335),CA342,6)&gt;=$R335),1,0)</f>
        <v>#REF!</v>
      </c>
      <c r="CC342" s="4" t="e">
        <f t="shared" ref="CC342" ca="1" si="5943">MATCH(1,OFFSET(CB335:CB346,CD341,0,COUNT(CB335:CB346)-CD341),0)</f>
        <v>#REF!</v>
      </c>
      <c r="CD342" s="4" t="e">
        <f t="shared" ca="1" si="5826"/>
        <v>#REF!</v>
      </c>
      <c r="CE342" s="692" t="str" cm="1">
        <f t="array" aca="1" ref="CE342" ca="1">IFERROR(VLOOKUP(INDEX(CA335:CA346,CD342),INDIRECT(BY335),2,FALSE),"----")</f>
        <v>----</v>
      </c>
      <c r="CF342" s="691" t="e">
        <f t="shared" ca="1" si="5827"/>
        <v>#N/A</v>
      </c>
      <c r="CG342" s="4" t="e">
        <f ca="1">IF(AND(INDEX(SSM,CF342,4)&gt;=$AB335,INDEX(SSM,CF342,5)&gt;=$S335,INDEX(SSM,CF342,6)&gt;=$R335),1,0)</f>
        <v>#N/A</v>
      </c>
      <c r="CH342" s="4" t="e">
        <f t="shared" ref="CH342" ca="1" si="5944">MATCH(1,OFFSET(CG335:CG346,CI341,0,COUNT(CG335:CG346)-CI341),0)</f>
        <v>#REF!</v>
      </c>
      <c r="CI342" s="4" t="e">
        <f t="shared" ca="1" si="5829"/>
        <v>#REF!</v>
      </c>
      <c r="CJ342" s="692" t="str">
        <f ca="1">IFERROR(IF(AD336="Nested Steel Stud (wood infill)",VLOOKUP(INDEX(CF335:CF346,CI342),SSW,2,FALSE),VLOOKUP(INDEX(CF335:CF346,CI342),SSM,2,FALSE)),"----")</f>
        <v>----</v>
      </c>
      <c r="CK342" s="691" t="e">
        <f t="shared" ca="1" si="5830"/>
        <v>#N/A</v>
      </c>
      <c r="CL342" s="4" t="e">
        <f ca="1">IF(AND(INDEX(WSM,CK342,4)&gt;=$AB335,INDEX(WSM,CK342,5)&gt;=$S335,INDEX(WSM,CK342,6)&gt;=$R335),1,0)</f>
        <v>#N/A</v>
      </c>
      <c r="CM342" s="4" t="e">
        <f t="shared" ref="CM342" ca="1" si="5945">MATCH(1,OFFSET(CL335:CL346,CN341,0,COUNT(CL335:CL346)-CN341),0)</f>
        <v>#REF!</v>
      </c>
      <c r="CN342" s="4" t="e">
        <f t="shared" ca="1" si="5832"/>
        <v>#REF!</v>
      </c>
      <c r="CO342" s="692" t="str">
        <f ca="1">IFERROR(VLOOKUP(INDEX(CK335:CK346,CN342),WSM,2,FALSE),"----")</f>
        <v>----</v>
      </c>
      <c r="CP342" s="691" t="e">
        <f t="shared" ca="1" si="5833"/>
        <v>#N/A</v>
      </c>
      <c r="CQ342" s="4" t="e">
        <f ca="1">IF(AND(INDEX(STM,CP342,4)&gt;=$AB335,INDEX(STM,CP342,5)&gt;=$S335,INDEX(STM,CP342,6)&gt;=$R335),1,0)</f>
        <v>#N/A</v>
      </c>
      <c r="CR342" s="4" t="e">
        <f t="shared" ref="CR342" ca="1" si="5946">MATCH(1,OFFSET(CQ335:CQ346,CS341,0,COUNT(CQ335:CQ346)-CS341),0)</f>
        <v>#REF!</v>
      </c>
      <c r="CS342" s="4" t="e">
        <f t="shared" ca="1" si="5835"/>
        <v>#REF!</v>
      </c>
      <c r="CT342" s="692" t="str">
        <f ca="1">IFERROR(VLOOKUP(INDEX(CP335:CP346,CS342),STM,2,FALSE),"----")</f>
        <v>----</v>
      </c>
      <c r="CU342" s="691" t="e">
        <f t="shared" ca="1" si="5836"/>
        <v>#N/A</v>
      </c>
      <c r="CV342" s="4" t="e">
        <f ca="1">IF(AND(INDEX(ELM,CU342,4)&gt;=$AB335,INDEX(ELM,CU342,5)&gt;=$S335,INDEX(ELM,CU342,6)&gt;=$R335),1,0)</f>
        <v>#N/A</v>
      </c>
      <c r="CW342" s="4" t="e">
        <f t="shared" ref="CW342" ca="1" si="5947">MATCH(1,OFFSET(CV335:CV346,CX341,0,COUNT(CV335:CV346)-CX341),0)</f>
        <v>#REF!</v>
      </c>
      <c r="CX342" s="4" t="e">
        <f t="shared" ca="1" si="5838"/>
        <v>#REF!</v>
      </c>
      <c r="CY342" s="692" t="str">
        <f ca="1">IFERROR(VLOOKUP(INDEX(CU335:CU346,CX342),ELM,2,FALSE),"----")</f>
        <v>----</v>
      </c>
      <c r="CZ342" s="691" t="e">
        <f t="shared" ca="1" si="5839"/>
        <v>#N/A</v>
      </c>
      <c r="DA342" s="4" t="e">
        <f ca="1">IF(LEFT($J335,7)="Clad Wo",IF(AND(INDEX(SPPWS,CZ342,4)&gt;=$AB335,INDEX(SPPWS,CZ342,5)&gt;=$S335,INDEX(SPPWS,CZ342,6)&gt;=$R335),1,0),IF(AND(INDEX(SPM,CZ342,4)&gt;=$AB335,INDEX(SPM,CZ342,5)&gt;=$S335,INDEX(SPM,CZ342,6)&gt;=$R335),1,0))</f>
        <v>#N/A</v>
      </c>
      <c r="DB342" s="4" t="e">
        <f t="shared" ref="DB342" ca="1" si="5948">MATCH(1,OFFSET(DA335:DA346,DC341,0,COUNT(DA335:DA346)-DC341),0)</f>
        <v>#REF!</v>
      </c>
      <c r="DC342" s="4" t="e">
        <f t="shared" ca="1" si="5841"/>
        <v>#REF!</v>
      </c>
      <c r="DD342" s="693" t="str">
        <f ca="1">IF(LEFT($J335,7)="Clad Wo",IFERROR(VLOOKUP(INDEX(CZ335:CZ346,DC342),SPPWS,2,FALSE),"----"),IFERROR(VLOOKUP(INDEX(CZ335:CZ346,DC342),SPM,2,FALSE),"----"))</f>
        <v>----</v>
      </c>
      <c r="DE342" s="691" t="e">
        <f t="shared" ca="1" si="5842"/>
        <v>#REF!</v>
      </c>
      <c r="DF342" s="4" t="e" cm="1">
        <f t="array" aca="1" ref="DF342" ca="1">IF(AND(INDEX(INDIRECT(BY335),DE342,4)&gt;=$AB341,INDEX(INDIRECT(BY335),DE342,5)&gt;=$S335,INDEX(INDIRECT(BY335),DE342,6)&gt;=$R335),1,0)</f>
        <v>#REF!</v>
      </c>
      <c r="DG342" s="4" t="e">
        <f t="shared" ref="DG342" ca="1" si="5949">MATCH(1,OFFSET(DF335:DF346,DH341,0,COUNT(DF335:DF346)-DH341),0)</f>
        <v>#REF!</v>
      </c>
      <c r="DH342" s="4" t="e">
        <f t="shared" ca="1" si="5844"/>
        <v>#REF!</v>
      </c>
      <c r="DI342" s="692" t="str" cm="1">
        <f t="array" aca="1" ref="DI342" ca="1">IFERROR(VLOOKUP(INDEX(DE335:DE346,DH342),INDIRECT(BY335),2,FALSE),"----")</f>
        <v>----</v>
      </c>
      <c r="DJ342" s="691" t="e">
        <f t="shared" ca="1" si="5845"/>
        <v>#N/A</v>
      </c>
      <c r="DK342" s="4" t="e">
        <f ca="1">IF(AND(INDEX(SSM,DJ342,4)&gt;=$AB341,INDEX(SSM,DJ342,5)&gt;=$S335,INDEX(SSM,DJ342,6)&gt;=$R335),1,0)</f>
        <v>#N/A</v>
      </c>
      <c r="DL342" s="4" t="e">
        <f t="shared" ref="DL342" ca="1" si="5950">MATCH(1,OFFSET(DK335:DK346,DM341,0,COUNT(DK335:DK346)-DM341),0)</f>
        <v>#REF!</v>
      </c>
      <c r="DM342" s="4" t="e">
        <f t="shared" ca="1" si="5847"/>
        <v>#REF!</v>
      </c>
      <c r="DN342" s="692" t="str">
        <f ca="1">IFERROR(IF(AD342="Nested Steel Stud (wood infill)",VLOOKUP(INDEX(DJ335:DJ346,DM342),SSW,2,FALSE),VLOOKUP(INDEX(DJ335:DJ346,DM342),SSM,2,FALSE)),"----")</f>
        <v>----</v>
      </c>
      <c r="DO342" s="691" t="e">
        <f t="shared" ca="1" si="5848"/>
        <v>#N/A</v>
      </c>
      <c r="DP342" s="4" t="e">
        <f ca="1">IF(AND(INDEX(WSM,DO342,4)&gt;=$AB341,INDEX(WSM,DO342,5)&gt;=$S335,INDEX(WSM,DO342,6)&gt;=$R335),1,0)</f>
        <v>#N/A</v>
      </c>
      <c r="DQ342" s="4" t="e">
        <f t="shared" ref="DQ342" ca="1" si="5951">MATCH(1,OFFSET(DP335:DP346,DR341,0,COUNT(DP335:DP346)-DR341),0)</f>
        <v>#REF!</v>
      </c>
      <c r="DR342" s="4" t="e">
        <f t="shared" ca="1" si="5850"/>
        <v>#REF!</v>
      </c>
      <c r="DS342" s="692" t="str">
        <f ca="1">IFERROR(VLOOKUP(INDEX(DO335:DO346,DR342),WSM,2,FALSE),"----")</f>
        <v>----</v>
      </c>
      <c r="DT342" s="691" t="e">
        <f t="shared" ca="1" si="5851"/>
        <v>#N/A</v>
      </c>
      <c r="DU342" s="4" t="e">
        <f ca="1">IF(AND(INDEX(STM,DT342,4)&gt;=$AB341,INDEX(STM,DT342,5)&gt;=$S335,INDEX(STM,DT342,6)&gt;=$R335),1,0)</f>
        <v>#N/A</v>
      </c>
      <c r="DV342" s="4" t="e">
        <f t="shared" ref="DV342" ca="1" si="5952">MATCH(1,OFFSET(DU335:DU346,DW341,0,COUNT(DU335:DU346)-DW341),0)</f>
        <v>#REF!</v>
      </c>
      <c r="DW342" s="4" t="e">
        <f t="shared" ca="1" si="5853"/>
        <v>#REF!</v>
      </c>
      <c r="DX342" s="692" t="str">
        <f ca="1">IFERROR(VLOOKUP(INDEX(DT335:DT346,DW342),STM,2,FALSE),"----")</f>
        <v>----</v>
      </c>
      <c r="DY342" s="691" t="e">
        <f t="shared" ca="1" si="5854"/>
        <v>#N/A</v>
      </c>
      <c r="DZ342" s="4" t="e">
        <f ca="1">IF(AND(INDEX(ELM,DY342,4)&gt;=$AB341,INDEX(ELM,DY342,5)&gt;=$S335,INDEX(ELM,DY342,6)&gt;=$R335),1,0)</f>
        <v>#N/A</v>
      </c>
      <c r="EA342" s="4" t="e">
        <f t="shared" ref="EA342" ca="1" si="5953">MATCH(1,OFFSET(DZ335:DZ346,EB341,0,COUNT(DZ335:DZ346)-EB341),0)</f>
        <v>#REF!</v>
      </c>
      <c r="EB342" s="4" t="e">
        <f t="shared" ca="1" si="5856"/>
        <v>#REF!</v>
      </c>
      <c r="EC342" s="692" t="str">
        <f ca="1">IFERROR(VLOOKUP(INDEX(DY335:DY346,EB342),ELM,2,FALSE),"----")</f>
        <v>----</v>
      </c>
      <c r="ED342" s="691" t="e">
        <f t="shared" ca="1" si="5857"/>
        <v>#N/A</v>
      </c>
      <c r="EE342" s="4" t="e">
        <f ca="1">IF(LEFT($J335,7)="Clad Wo",IF(AND(INDEX(SPPWS,ED342,4)&gt;=$AB341,INDEX(SPPWS,ED342,5)&gt;=$S335,INDEX(SPPWS,ED342,6)&gt;=$R335),1,0),IF(AND(INDEX(SPM,ED342,4)&gt;=$AB341,INDEX(SPM,ED342,5)&gt;=$S335,INDEX(SPM,ED342,6)&gt;=$R335),1,0))</f>
        <v>#N/A</v>
      </c>
      <c r="EF342" s="4" t="e">
        <f t="shared" ref="EF342" ca="1" si="5954">MATCH(1,OFFSET(EE335:EE346,EG341,0,COUNT(EE335:EE346)-EG341),0)</f>
        <v>#REF!</v>
      </c>
      <c r="EG342" s="4" t="e">
        <f t="shared" ca="1" si="5859"/>
        <v>#REF!</v>
      </c>
      <c r="EH342" s="692" t="str">
        <f ca="1">IF(LEFT($J335,7)="Clad Wo",IFERROR(VLOOKUP(INDEX(ED335:ED346,EG342),SPPWS,2,FALSE),"----"),IFERROR(VLOOKUP(INDEX(ED335:ED346,EG342),SPM,2,FALSE),"----"))</f>
        <v>----</v>
      </c>
    </row>
    <row r="343" spans="1:138" ht="15" customHeight="1" x14ac:dyDescent="0.25">
      <c r="A343" s="1085"/>
      <c r="B343" s="925"/>
      <c r="C343" s="926"/>
      <c r="D343" s="927"/>
      <c r="E343" s="995"/>
      <c r="F343" s="996"/>
      <c r="G343" s="997"/>
      <c r="H343" s="1062"/>
      <c r="I343" s="990"/>
      <c r="J343" s="902"/>
      <c r="K343" s="903"/>
      <c r="L343" s="1002"/>
      <c r="M343" s="923"/>
      <c r="N343" s="1042"/>
      <c r="O343" s="1018"/>
      <c r="P343" s="987"/>
      <c r="Q343" s="1015"/>
      <c r="R343" s="1012"/>
      <c r="S343" s="1006"/>
      <c r="T343" s="1007"/>
      <c r="U343" s="878"/>
      <c r="V343" s="881"/>
      <c r="W343" s="884"/>
      <c r="X343" s="884"/>
      <c r="Y343" s="887"/>
      <c r="Z343" s="887"/>
      <c r="AA343" s="887"/>
      <c r="AB343" s="1081"/>
      <c r="AC343" s="1078"/>
      <c r="AD343" s="1070" t="str">
        <f t="shared" ref="AD343:AD405" si="5955">AD337</f>
        <v>Wood Stud Framing</v>
      </c>
      <c r="AE343" s="1071"/>
      <c r="AF343" s="1052"/>
      <c r="AG343" s="1053"/>
      <c r="AH343" s="1053"/>
      <c r="AI343" s="1066"/>
      <c r="AJ343" s="1067"/>
      <c r="AK343" s="156" t="str">
        <f t="shared" ca="1" si="4947"/>
        <v/>
      </c>
      <c r="AL343" s="1059"/>
      <c r="AM343" s="344" t="str">
        <f ca="1">IFERROR(Q335/12*ROUND(VLOOKUP(AF343,OFFSET(WSM,0,1),6,FALSE),2),"")</f>
        <v/>
      </c>
      <c r="AN343" t="str">
        <f t="shared" ca="1" si="4971"/>
        <v/>
      </c>
      <c r="AP343" s="122" t="str">
        <f t="shared" ref="AP343" si="5956">_xlfn.CONCAT(AR343,AS346)</f>
        <v/>
      </c>
      <c r="AQ343" s="683" t="str">
        <f t="shared" si="5170"/>
        <v/>
      </c>
      <c r="AR343" s="4" t="str">
        <f t="shared" si="4931"/>
        <v/>
      </c>
      <c r="AS343" s="4"/>
      <c r="AT343" s="697" t="str">
        <f>AL341</f>
        <v/>
      </c>
      <c r="AU343" s="694" t="e">
        <f t="shared" ca="1" si="5187"/>
        <v>#REF!</v>
      </c>
      <c r="AV343" s="686" t="str">
        <f ca="1">IFERROR(VLOOKUP(AU343,INDIRECT(AQ335),2,FALSE),"----")</f>
        <v>----</v>
      </c>
      <c r="AW343" s="694" t="e">
        <f t="shared" ca="1" si="5188"/>
        <v>#REF!</v>
      </c>
      <c r="AX343" s="686" t="str">
        <f ca="1">IFERROR(VLOOKUP(AW343,INDIRECT(AQ336),2,FALSE),"----")</f>
        <v>----</v>
      </c>
      <c r="AY343" s="694" t="e">
        <f t="shared" ca="1" si="5905"/>
        <v>#REF!</v>
      </c>
      <c r="AZ343" s="686" t="str">
        <f ca="1">IFERROR(VLOOKUP(AY343,INDIRECT(AQ337),2,FALSE),"----")</f>
        <v>----</v>
      </c>
      <c r="BA343" s="694" t="e">
        <f t="shared" ca="1" si="5906"/>
        <v>#REF!</v>
      </c>
      <c r="BB343" s="686" t="str">
        <f ca="1">IFERROR(VLOOKUP(BA343,INDIRECT(AQ338),2,FALSE),"----")</f>
        <v>----</v>
      </c>
      <c r="BC343" s="694" t="e">
        <f t="shared" ca="1" si="5191"/>
        <v>#REF!</v>
      </c>
      <c r="BD343" s="686" t="str">
        <f ca="1">IFERROR(VLOOKUP(BC343,INDIRECT(AQ339),2,FALSE),"----")</f>
        <v>----</v>
      </c>
      <c r="BE343" s="694" t="e">
        <f t="shared" ca="1" si="5192"/>
        <v>#REF!</v>
      </c>
      <c r="BF343" s="686" t="str">
        <f ca="1">IFERROR(VLOOKUP(BE343,INDIRECT(AQ340),2,FALSE),"----")</f>
        <v>----</v>
      </c>
      <c r="BG343" s="702" t="e">
        <f t="shared" ca="1" si="5193"/>
        <v>#REF!</v>
      </c>
      <c r="BH343" s="686" t="str">
        <f ca="1">IFERROR(VLOOKUP(BG343,INDIRECT(AQ341),2,FALSE),"----")</f>
        <v>----</v>
      </c>
      <c r="BI343" s="702" t="e">
        <f t="shared" ca="1" si="5194"/>
        <v>#REF!</v>
      </c>
      <c r="BJ343" s="686" t="str">
        <f ca="1">IFERROR(VLOOKUP(BI343,INDIRECT(AQ342),2,FALSE),"----")</f>
        <v>----</v>
      </c>
      <c r="BK343" s="702" t="e">
        <f t="shared" ca="1" si="5195"/>
        <v>#REF!</v>
      </c>
      <c r="BL343" s="686" t="str">
        <f ca="1">IFERROR(VLOOKUP(BK343,INDIRECT(AQ343),2,FALSE),"----")</f>
        <v>----</v>
      </c>
      <c r="BM343" s="702" t="e">
        <f t="shared" ca="1" si="5196"/>
        <v>#REF!</v>
      </c>
      <c r="BN343" s="686" t="str">
        <f ca="1">IFERROR(VLOOKUP(BM343,INDIRECT(AQ344),2,FALSE),"----")</f>
        <v>----</v>
      </c>
      <c r="BO343" s="702" t="e">
        <f t="shared" ca="1" si="5197"/>
        <v>#REF!</v>
      </c>
      <c r="BP343" s="686" t="str">
        <f ca="1">IFERROR(VLOOKUP(BO343,INDIRECT(AQ345),2,FALSE),"----")</f>
        <v>----</v>
      </c>
      <c r="BQ343" s="702" t="e">
        <f t="shared" ca="1" si="5198"/>
        <v>#REF!</v>
      </c>
      <c r="BR343" s="686" t="str">
        <f ca="1">IFERROR(VLOOKUP(BQ343,INDIRECT(AQ346),2,FALSE),"----")</f>
        <v>----</v>
      </c>
      <c r="BS343" s="695">
        <f>IF(AI343="",1,IF(COUNTIF(BL335:BL346,AI343)=0,2,1))</f>
        <v>1</v>
      </c>
      <c r="BT343" s="696">
        <f>IF(AF343="",1,IF(BL335=".",2,1))</f>
        <v>1</v>
      </c>
      <c r="BU343" s="706"/>
      <c r="BV343" s="155">
        <f ca="1">IF(COUNTIF(DS335:DS346,AF343)=0,IF(AF343&lt;&gt;"",0,1),1)</f>
        <v>1</v>
      </c>
      <c r="BW343" s="157">
        <f ca="1">IFERROR(MATCH(AF343,DS335:DS346,0),1)</f>
        <v>1</v>
      </c>
      <c r="BX343" s="769" t="e">
        <f t="shared" ref="BX343" si="5957">5*E335^3*W335/(384*X335)</f>
        <v>#VALUE!</v>
      </c>
      <c r="BY343" s="769" t="e">
        <f t="shared" ref="BY343" si="5958">W335*E335^3/(60*X335)</f>
        <v>#VALUE!</v>
      </c>
      <c r="BZ343" s="1110"/>
      <c r="CA343" s="691" t="e">
        <f t="shared" ca="1" si="5824"/>
        <v>#REF!</v>
      </c>
      <c r="CB343" s="4" t="e" cm="1">
        <f t="array" aca="1" ref="CB343" ca="1">IF(AND(INDEX(INDIRECT(BY335),CA343,4)&gt;=$AB335,INDEX(INDIRECT(BY335),CA343,5)&gt;=$S335,INDEX(INDIRECT(BY335),CA343,6)&gt;=$R335),1,0)</f>
        <v>#REF!</v>
      </c>
      <c r="CC343" s="4" t="e">
        <f t="shared" ref="CC343" ca="1" si="5959">MATCH(1,OFFSET(CB335:CB346,CD342,0,COUNT(CB335:CB346)-CD342),0)</f>
        <v>#REF!</v>
      </c>
      <c r="CD343" s="4" t="e">
        <f t="shared" ca="1" si="5826"/>
        <v>#REF!</v>
      </c>
      <c r="CE343" s="692" t="str" cm="1">
        <f t="array" aca="1" ref="CE343" ca="1">IFERROR(VLOOKUP(INDEX(CA335:CA346,CD343),INDIRECT(BY335),2,FALSE),"----")</f>
        <v>----</v>
      </c>
      <c r="CF343" s="691" t="e">
        <f t="shared" ca="1" si="5827"/>
        <v>#N/A</v>
      </c>
      <c r="CG343" s="4" t="e">
        <f ca="1">IF(AND(INDEX(SSM,CF343,4)&gt;=$AB335,INDEX(SSM,CF343,5)&gt;=$S335,INDEX(SSM,CF343,6)&gt;=$R335),1,0)</f>
        <v>#N/A</v>
      </c>
      <c r="CH343" s="4" t="e">
        <f t="shared" ref="CH343" ca="1" si="5960">MATCH(1,OFFSET(CG335:CG346,CI342,0,COUNT(CG335:CG346)-CI342),0)</f>
        <v>#REF!</v>
      </c>
      <c r="CI343" s="4" t="e">
        <f t="shared" ca="1" si="5829"/>
        <v>#REF!</v>
      </c>
      <c r="CJ343" s="692" t="str">
        <f ca="1">IFERROR(IF(AD336="Nested Steel Stud (wood infill)",VLOOKUP(INDEX(CF335:CF346,CI343),SSW,2,FALSE),VLOOKUP(INDEX(CF335:CF346,CI343),SSM,2,FALSE)),"----")</f>
        <v>----</v>
      </c>
      <c r="CK343" s="691" t="e">
        <f t="shared" ca="1" si="5830"/>
        <v>#N/A</v>
      </c>
      <c r="CL343" s="4" t="e">
        <f ca="1">IF(AND(INDEX(WSM,CK343,4)&gt;=$AB335,INDEX(WSM,CK343,5)&gt;=$S335,INDEX(WSM,CK343,6)&gt;=$R335),1,0)</f>
        <v>#N/A</v>
      </c>
      <c r="CM343" s="4" t="e">
        <f t="shared" ref="CM343" ca="1" si="5961">MATCH(1,OFFSET(CL335:CL346,CN342,0,COUNT(CL335:CL346)-CN342),0)</f>
        <v>#REF!</v>
      </c>
      <c r="CN343" s="4" t="e">
        <f t="shared" ca="1" si="5832"/>
        <v>#REF!</v>
      </c>
      <c r="CO343" s="692" t="str">
        <f ca="1">IFERROR(VLOOKUP(INDEX(CK335:CK346,CN343),WSM,2,FALSE),"----")</f>
        <v>----</v>
      </c>
      <c r="CP343" s="691" t="e">
        <f t="shared" ca="1" si="5833"/>
        <v>#N/A</v>
      </c>
      <c r="CQ343" s="4" t="e">
        <f ca="1">IF(AND(INDEX(STM,CP343,4)&gt;=$AB335,INDEX(STM,CP343,5)&gt;=$S335,INDEX(STM,CP343,6)&gt;=$R335),1,0)</f>
        <v>#N/A</v>
      </c>
      <c r="CR343" s="4" t="e">
        <f t="shared" ref="CR343" ca="1" si="5962">MATCH(1,OFFSET(CQ335:CQ346,CS342,0,COUNT(CQ335:CQ346)-CS342),0)</f>
        <v>#REF!</v>
      </c>
      <c r="CS343" s="4" t="e">
        <f t="shared" ca="1" si="5835"/>
        <v>#REF!</v>
      </c>
      <c r="CT343" s="692" t="str">
        <f ca="1">IFERROR(VLOOKUP(INDEX(CP335:CP346,CS343),STM,2,FALSE),"----")</f>
        <v>----</v>
      </c>
      <c r="CU343" s="691" t="e">
        <f t="shared" ca="1" si="5836"/>
        <v>#N/A</v>
      </c>
      <c r="CV343" s="4" t="e">
        <f ca="1">IF(AND(INDEX(ELM,CU343,4)&gt;=$AB335,INDEX(ELM,CU343,5)&gt;=$S335,INDEX(ELM,CU343,6)&gt;=$R335),1,0)</f>
        <v>#N/A</v>
      </c>
      <c r="CW343" s="4" t="e">
        <f t="shared" ref="CW343" ca="1" si="5963">MATCH(1,OFFSET(CV335:CV346,CX342,0,COUNT(CV335:CV346)-CX342),0)</f>
        <v>#REF!</v>
      </c>
      <c r="CX343" s="4" t="e">
        <f t="shared" ca="1" si="5838"/>
        <v>#REF!</v>
      </c>
      <c r="CY343" s="692" t="str">
        <f ca="1">IFERROR(VLOOKUP(INDEX(CU335:CU346,CX343),ELM,2,FALSE),"----")</f>
        <v>----</v>
      </c>
      <c r="CZ343" s="691" t="e">
        <f t="shared" ca="1" si="5839"/>
        <v>#N/A</v>
      </c>
      <c r="DA343" s="4" t="e">
        <f ca="1">IF(LEFT($J335,7)="Clad Wo",IF(AND(INDEX(SPPWS,CZ343,4)&gt;=$AB335,INDEX(SPPWS,CZ343,5)&gt;=$S335,INDEX(SPPWS,CZ343,6)&gt;=$R335),1,0),IF(AND(INDEX(SPM,CZ343,4)&gt;=$AB335,INDEX(SPM,CZ343,5)&gt;=$S335,INDEX(SPM,CZ343,6)&gt;=$R335),1,0))</f>
        <v>#N/A</v>
      </c>
      <c r="DB343" s="4" t="e">
        <f t="shared" ref="DB343" ca="1" si="5964">MATCH(1,OFFSET(DA335:DA346,DC342,0,COUNT(DA335:DA346)-DC342),0)</f>
        <v>#REF!</v>
      </c>
      <c r="DC343" s="4" t="e">
        <f t="shared" ca="1" si="5841"/>
        <v>#REF!</v>
      </c>
      <c r="DD343" s="693" t="str">
        <f ca="1">IF(LEFT($J335,7)="Clad Wo",IFERROR(VLOOKUP(INDEX(CZ335:CZ346,DC343),SPPWS,2,FALSE),"----"),IFERROR(VLOOKUP(INDEX(CZ335:CZ346,DC343),SPM,2,FALSE),"----"))</f>
        <v>----</v>
      </c>
      <c r="DE343" s="691" t="e">
        <f t="shared" ca="1" si="5842"/>
        <v>#REF!</v>
      </c>
      <c r="DF343" s="4" t="e" cm="1">
        <f t="array" aca="1" ref="DF343" ca="1">IF(AND(INDEX(INDIRECT(BY335),DE343,4)&gt;=$AB341,INDEX(INDIRECT(BY335),DE343,5)&gt;=$S335,INDEX(INDIRECT(BY335),DE343,6)&gt;=$R335),1,0)</f>
        <v>#REF!</v>
      </c>
      <c r="DG343" s="4" t="e">
        <f t="shared" ref="DG343" ca="1" si="5965">MATCH(1,OFFSET(DF335:DF346,DH342,0,COUNT(DF335:DF346)-DH342),0)</f>
        <v>#REF!</v>
      </c>
      <c r="DH343" s="4" t="e">
        <f t="shared" ca="1" si="5844"/>
        <v>#REF!</v>
      </c>
      <c r="DI343" s="692" t="str" cm="1">
        <f t="array" aca="1" ref="DI343" ca="1">IFERROR(VLOOKUP(INDEX(DE335:DE346,DH343),INDIRECT(BY335),2,FALSE),"----")</f>
        <v>----</v>
      </c>
      <c r="DJ343" s="691" t="e">
        <f t="shared" ca="1" si="5845"/>
        <v>#N/A</v>
      </c>
      <c r="DK343" s="4" t="e">
        <f ca="1">IF(AND(INDEX(SSM,DJ343,4)&gt;=$AB341,INDEX(SSM,DJ343,5)&gt;=$S335,INDEX(SSM,DJ343,6)&gt;=$R335),1,0)</f>
        <v>#N/A</v>
      </c>
      <c r="DL343" s="4" t="e">
        <f t="shared" ref="DL343" ca="1" si="5966">MATCH(1,OFFSET(DK335:DK346,DM342,0,COUNT(DK335:DK346)-DM342),0)</f>
        <v>#REF!</v>
      </c>
      <c r="DM343" s="4" t="e">
        <f t="shared" ca="1" si="5847"/>
        <v>#REF!</v>
      </c>
      <c r="DN343" s="692" t="str">
        <f ca="1">IFERROR(IF(AD342="Nested Steel Stud (wood infill)",VLOOKUP(INDEX(DJ335:DJ346,DM343),SSW,2,FALSE),VLOOKUP(INDEX(DJ335:DJ346,DM343),SSM,2,FALSE)),"----")</f>
        <v>----</v>
      </c>
      <c r="DO343" s="691" t="e">
        <f t="shared" ca="1" si="5848"/>
        <v>#N/A</v>
      </c>
      <c r="DP343" s="4" t="e">
        <f ca="1">IF(AND(INDEX(WSM,DO343,4)&gt;=$AB341,INDEX(WSM,DO343,5)&gt;=$S335,INDEX(WSM,DO343,6)&gt;=$R335),1,0)</f>
        <v>#N/A</v>
      </c>
      <c r="DQ343" s="4" t="e">
        <f t="shared" ref="DQ343" ca="1" si="5967">MATCH(1,OFFSET(DP335:DP346,DR342,0,COUNT(DP335:DP346)-DR342),0)</f>
        <v>#REF!</v>
      </c>
      <c r="DR343" s="4" t="e">
        <f t="shared" ca="1" si="5850"/>
        <v>#REF!</v>
      </c>
      <c r="DS343" s="692" t="str">
        <f ca="1">IFERROR(VLOOKUP(INDEX(DO335:DO346,DR343),WSM,2,FALSE),"----")</f>
        <v>----</v>
      </c>
      <c r="DT343" s="691" t="e">
        <f t="shared" ca="1" si="5851"/>
        <v>#N/A</v>
      </c>
      <c r="DU343" s="4" t="e">
        <f ca="1">IF(AND(INDEX(STM,DT343,4)&gt;=$AB341,INDEX(STM,DT343,5)&gt;=$S335,INDEX(STM,DT343,6)&gt;=$R335),1,0)</f>
        <v>#N/A</v>
      </c>
      <c r="DV343" s="4" t="e">
        <f t="shared" ref="DV343" ca="1" si="5968">MATCH(1,OFFSET(DU335:DU346,DW342,0,COUNT(DU335:DU346)-DW342),0)</f>
        <v>#REF!</v>
      </c>
      <c r="DW343" s="4" t="e">
        <f t="shared" ca="1" si="5853"/>
        <v>#REF!</v>
      </c>
      <c r="DX343" s="692" t="str">
        <f ca="1">IFERROR(VLOOKUP(INDEX(DT335:DT346,DW343),STM,2,FALSE),"----")</f>
        <v>----</v>
      </c>
      <c r="DY343" s="691" t="e">
        <f t="shared" ca="1" si="5854"/>
        <v>#N/A</v>
      </c>
      <c r="DZ343" s="4" t="e">
        <f ca="1">IF(AND(INDEX(ELM,DY343,4)&gt;=$AB341,INDEX(ELM,DY343,5)&gt;=$S335,INDEX(ELM,DY343,6)&gt;=$R335),1,0)</f>
        <v>#N/A</v>
      </c>
      <c r="EA343" s="4" t="e">
        <f t="shared" ref="EA343" ca="1" si="5969">MATCH(1,OFFSET(DZ335:DZ346,EB342,0,COUNT(DZ335:DZ346)-EB342),0)</f>
        <v>#REF!</v>
      </c>
      <c r="EB343" s="4" t="e">
        <f t="shared" ca="1" si="5856"/>
        <v>#REF!</v>
      </c>
      <c r="EC343" s="692" t="str">
        <f ca="1">IFERROR(VLOOKUP(INDEX(DY335:DY346,EB343),ELM,2,FALSE),"----")</f>
        <v>----</v>
      </c>
      <c r="ED343" s="691" t="e">
        <f t="shared" ca="1" si="5857"/>
        <v>#N/A</v>
      </c>
      <c r="EE343" s="4" t="e">
        <f ca="1">IF(LEFT($J335,7)="Clad Wo",IF(AND(INDEX(SPPWS,ED343,4)&gt;=$AB341,INDEX(SPPWS,ED343,5)&gt;=$S335,INDEX(SPPWS,ED343,6)&gt;=$R335),1,0),IF(AND(INDEX(SPM,ED343,4)&gt;=$AB341,INDEX(SPM,ED343,5)&gt;=$S335,INDEX(SPM,ED343,6)&gt;=$R335),1,0))</f>
        <v>#N/A</v>
      </c>
      <c r="EF343" s="4" t="e">
        <f t="shared" ref="EF343" ca="1" si="5970">MATCH(1,OFFSET(EE335:EE346,EG342,0,COUNT(EE335:EE346)-EG342),0)</f>
        <v>#REF!</v>
      </c>
      <c r="EG343" s="4" t="e">
        <f t="shared" ca="1" si="5859"/>
        <v>#REF!</v>
      </c>
      <c r="EH343" s="692" t="str">
        <f ca="1">IF(LEFT($J335,7)="Clad Wo",IFERROR(VLOOKUP(INDEX(ED335:ED346,EG343),SPPWS,2,FALSE),"----"),IFERROR(VLOOKUP(INDEX(ED335:ED346,EG343),SPM,2,FALSE),"----"))</f>
        <v>----</v>
      </c>
    </row>
    <row r="344" spans="1:138" ht="15" customHeight="1" x14ac:dyDescent="0.25">
      <c r="A344" s="1085"/>
      <c r="B344" s="925"/>
      <c r="C344" s="926"/>
      <c r="D344" s="927"/>
      <c r="E344" s="995"/>
      <c r="F344" s="996"/>
      <c r="G344" s="997"/>
      <c r="H344" s="1062"/>
      <c r="I344" s="990"/>
      <c r="J344" s="902"/>
      <c r="K344" s="903"/>
      <c r="L344" s="1002"/>
      <c r="M344" s="923"/>
      <c r="N344" s="1042"/>
      <c r="O344" s="1018"/>
      <c r="P344" s="987"/>
      <c r="Q344" s="1015"/>
      <c r="R344" s="1012"/>
      <c r="S344" s="1006"/>
      <c r="T344" s="1007"/>
      <c r="U344" s="878"/>
      <c r="V344" s="881"/>
      <c r="W344" s="884"/>
      <c r="X344" s="884"/>
      <c r="Y344" s="887"/>
      <c r="Z344" s="887"/>
      <c r="AA344" s="887"/>
      <c r="AB344" s="1081"/>
      <c r="AC344" s="1078"/>
      <c r="AD344" s="1070" t="str">
        <f t="shared" si="5955"/>
        <v>Steel Tube</v>
      </c>
      <c r="AE344" s="1071"/>
      <c r="AF344" s="1052"/>
      <c r="AG344" s="1053"/>
      <c r="AH344" s="1053"/>
      <c r="AI344" s="1066"/>
      <c r="AJ344" s="1067"/>
      <c r="AK344" s="156" t="str">
        <f t="shared" ca="1" si="4947"/>
        <v/>
      </c>
      <c r="AL344" s="1059"/>
      <c r="AM344" s="343" t="str">
        <f ca="1">IFERROR(Q335/12*ROUND(VLOOKUP(AF344,OFFSET(STM,0,1),6,FALSE),2),"")</f>
        <v/>
      </c>
      <c r="AN344" t="str">
        <f t="shared" ca="1" si="4971"/>
        <v/>
      </c>
      <c r="AP344" s="122" t="str">
        <f t="shared" ref="AP344" si="5971">_xlfn.CONCAT(AR344,AS346)</f>
        <v/>
      </c>
      <c r="AQ344" s="683" t="str">
        <f t="shared" si="5170"/>
        <v/>
      </c>
      <c r="AR344" s="4" t="str">
        <f t="shared" si="4931"/>
        <v/>
      </c>
      <c r="AS344" s="4"/>
      <c r="AT344" s="697" t="str">
        <f>AL341</f>
        <v/>
      </c>
      <c r="AU344" s="694" t="e">
        <f t="shared" ca="1" si="5187"/>
        <v>#REF!</v>
      </c>
      <c r="AV344" s="686" t="str">
        <f ca="1">IFERROR(VLOOKUP(AU344,INDIRECT(AQ335),2,FALSE),"----")</f>
        <v>----</v>
      </c>
      <c r="AW344" s="694" t="e">
        <f t="shared" ca="1" si="5188"/>
        <v>#REF!</v>
      </c>
      <c r="AX344" s="686" t="str">
        <f ca="1">IFERROR(VLOOKUP(AW344,INDIRECT(AQ336),2,FALSE),"----")</f>
        <v>----</v>
      </c>
      <c r="AY344" s="694" t="e">
        <f t="shared" ca="1" si="4775"/>
        <v>#REF!</v>
      </c>
      <c r="AZ344" s="686" t="str">
        <f ca="1">IFERROR(VLOOKUP(AY344,INDIRECT(AQ337),2,FALSE),"----")</f>
        <v>----</v>
      </c>
      <c r="BA344" s="694" t="e">
        <f t="shared" ca="1" si="4776"/>
        <v>#REF!</v>
      </c>
      <c r="BB344" s="686" t="str">
        <f ca="1">IFERROR(VLOOKUP(BA344,INDIRECT(AQ338),2,FALSE),"----")</f>
        <v>----</v>
      </c>
      <c r="BC344" s="694" t="e">
        <f t="shared" ca="1" si="5191"/>
        <v>#REF!</v>
      </c>
      <c r="BD344" s="686" t="str">
        <f ca="1">IFERROR(VLOOKUP(BC344,INDIRECT(AQ339),2,FALSE),"----")</f>
        <v>----</v>
      </c>
      <c r="BE344" s="694" t="e">
        <f t="shared" ca="1" si="5192"/>
        <v>#REF!</v>
      </c>
      <c r="BF344" s="686" t="str">
        <f ca="1">IFERROR(VLOOKUP(BE344,INDIRECT(AQ340),2,FALSE),"----")</f>
        <v>----</v>
      </c>
      <c r="BG344" s="702" t="e">
        <f t="shared" ca="1" si="5193"/>
        <v>#REF!</v>
      </c>
      <c r="BH344" s="686" t="str">
        <f ca="1">IFERROR(VLOOKUP(BG344,INDIRECT(AQ341),2,FALSE),"----")</f>
        <v>----</v>
      </c>
      <c r="BI344" s="702" t="e">
        <f t="shared" ca="1" si="5194"/>
        <v>#REF!</v>
      </c>
      <c r="BJ344" s="686" t="str">
        <f ca="1">IFERROR(VLOOKUP(BI344,INDIRECT(AQ342),2,FALSE),"----")</f>
        <v>----</v>
      </c>
      <c r="BK344" s="702" t="e">
        <f t="shared" ca="1" si="5195"/>
        <v>#REF!</v>
      </c>
      <c r="BL344" s="686" t="str">
        <f ca="1">IFERROR(VLOOKUP(BK344,INDIRECT(AQ343),2,FALSE),"----")</f>
        <v>----</v>
      </c>
      <c r="BM344" s="702" t="e">
        <f t="shared" ca="1" si="5196"/>
        <v>#REF!</v>
      </c>
      <c r="BN344" s="686" t="str">
        <f ca="1">IFERROR(VLOOKUP(BM344,INDIRECT(AQ344),2,FALSE),"----")</f>
        <v>----</v>
      </c>
      <c r="BO344" s="702" t="e">
        <f t="shared" ca="1" si="5197"/>
        <v>#REF!</v>
      </c>
      <c r="BP344" s="686" t="str">
        <f ca="1">IFERROR(VLOOKUP(BO344,INDIRECT(AQ345),2,FALSE),"----")</f>
        <v>----</v>
      </c>
      <c r="BQ344" s="702" t="e">
        <f t="shared" ca="1" si="5198"/>
        <v>#REF!</v>
      </c>
      <c r="BR344" s="686" t="str">
        <f ca="1">IFERROR(VLOOKUP(BQ344,INDIRECT(AQ346),2,FALSE),"----")</f>
        <v>----</v>
      </c>
      <c r="BS344" s="695">
        <f>IF(AI344="",1,IF(COUNTIF(BN335:BN346,AI344)=0,2,1))</f>
        <v>1</v>
      </c>
      <c r="BT344" s="696">
        <f>IF(AF344="",1,IF(BN335=".",2,1))</f>
        <v>1</v>
      </c>
      <c r="BU344" s="706"/>
      <c r="BV344" s="155">
        <f ca="1">IF(COUNTIF(DX335:DX346,AF344)=0,IF(AF344&lt;&gt;"",0,1),1)</f>
        <v>1</v>
      </c>
      <c r="BW344" s="157">
        <f ca="1">IFERROR(MATCH(AF344,DX335:DX346,0),1)</f>
        <v>1</v>
      </c>
      <c r="BX344" s="769" t="e">
        <f t="shared" ref="BX344" si="5972">5*E335^3*W341/(384*X335)</f>
        <v>#VALUE!</v>
      </c>
      <c r="BY344" s="769" t="e">
        <f t="shared" ref="BY344" si="5973">E335^3*W341/(60*X335)</f>
        <v>#VALUE!</v>
      </c>
      <c r="BZ344" s="1110"/>
      <c r="CA344" s="691" t="e">
        <f t="shared" ca="1" si="5824"/>
        <v>#REF!</v>
      </c>
      <c r="CB344" s="4" t="e" cm="1">
        <f t="array" aca="1" ref="CB344" ca="1">IF(AND(INDEX(INDIRECT(BY335),CA344,4)&gt;=$AB335,INDEX(INDIRECT(BY335),CA344,5)&gt;=$S335,INDEX(INDIRECT(BY335),CA344,6)&gt;=$R335),1,0)</f>
        <v>#REF!</v>
      </c>
      <c r="CC344" s="4" t="e">
        <f t="shared" ref="CC344" ca="1" si="5974">MATCH(1,OFFSET(CB335:CB346,CD343,0,COUNT(CB335:CB346)-CD343),0)</f>
        <v>#REF!</v>
      </c>
      <c r="CD344" s="4" t="e">
        <f t="shared" ca="1" si="5826"/>
        <v>#REF!</v>
      </c>
      <c r="CE344" s="692" t="str" cm="1">
        <f t="array" aca="1" ref="CE344" ca="1">IFERROR(VLOOKUP(INDEX(CA335:CA346,CD344),INDIRECT(BY335),2,FALSE),"----")</f>
        <v>----</v>
      </c>
      <c r="CF344" s="691" t="e">
        <f t="shared" ca="1" si="5827"/>
        <v>#N/A</v>
      </c>
      <c r="CG344" s="4" t="e">
        <f ca="1">IF(AND(INDEX(SSM,CF344,4)&gt;=$AB335,INDEX(SSM,CF344,5)&gt;=$S335,INDEX(SSM,CF344,6)&gt;=$R335),1,0)</f>
        <v>#N/A</v>
      </c>
      <c r="CH344" s="4" t="e">
        <f t="shared" ref="CH344" ca="1" si="5975">MATCH(1,OFFSET(CG335:CG346,CI343,0,COUNT(CG335:CG346)-CI343),0)</f>
        <v>#REF!</v>
      </c>
      <c r="CI344" s="4" t="e">
        <f t="shared" ca="1" si="5829"/>
        <v>#REF!</v>
      </c>
      <c r="CJ344" s="692" t="str">
        <f ca="1">IFERROR(IF(AD336="Nested Steel Stud (wood infill)",VLOOKUP(INDEX(CF335:CF346,CI344),SSW,2,FALSE),VLOOKUP(INDEX(CF335:CF346,CI344),SSM,2,FALSE)),"----")</f>
        <v>----</v>
      </c>
      <c r="CK344" s="691" t="e">
        <f t="shared" ca="1" si="5830"/>
        <v>#N/A</v>
      </c>
      <c r="CL344" s="4" t="e">
        <f ca="1">IF(AND(INDEX(WSM,CK344,4)&gt;=$AB335,INDEX(WSM,CK344,5)&gt;=$S335,INDEX(WSM,CK344,6)&gt;=$R335),1,0)</f>
        <v>#N/A</v>
      </c>
      <c r="CM344" s="4" t="e">
        <f t="shared" ref="CM344" ca="1" si="5976">MATCH(1,OFFSET(CL335:CL346,CN343,0,COUNT(CL335:CL346)-CN343),0)</f>
        <v>#REF!</v>
      </c>
      <c r="CN344" s="4" t="e">
        <f t="shared" ca="1" si="5832"/>
        <v>#REF!</v>
      </c>
      <c r="CO344" s="692" t="str">
        <f ca="1">IFERROR(VLOOKUP(INDEX(CK335:CK346,CN344),WSM,2,FALSE),"----")</f>
        <v>----</v>
      </c>
      <c r="CP344" s="691" t="e">
        <f t="shared" ca="1" si="5833"/>
        <v>#N/A</v>
      </c>
      <c r="CQ344" s="4" t="e">
        <f ca="1">IF(AND(INDEX(STM,CP344,4)&gt;=$AB335,INDEX(STM,CP344,5)&gt;=$S335,INDEX(STM,CP344,6)&gt;=$R335),1,0)</f>
        <v>#N/A</v>
      </c>
      <c r="CR344" s="4" t="e">
        <f t="shared" ref="CR344" ca="1" si="5977">MATCH(1,OFFSET(CQ335:CQ346,CS343,0,COUNT(CQ335:CQ346)-CS343),0)</f>
        <v>#REF!</v>
      </c>
      <c r="CS344" s="4" t="e">
        <f t="shared" ca="1" si="5835"/>
        <v>#REF!</v>
      </c>
      <c r="CT344" s="692" t="str">
        <f ca="1">IFERROR(VLOOKUP(INDEX(CP335:CP346,CS344),STM,2,FALSE),"----")</f>
        <v>----</v>
      </c>
      <c r="CU344" s="691" t="e">
        <f t="shared" ca="1" si="5836"/>
        <v>#N/A</v>
      </c>
      <c r="CV344" s="4" t="e">
        <f ca="1">IF(AND(INDEX(ELM,CU344,4)&gt;=$AB335,INDEX(ELM,CU344,5)&gt;=$S335,INDEX(ELM,CU344,6)&gt;=$R335),1,0)</f>
        <v>#N/A</v>
      </c>
      <c r="CW344" s="4" t="e">
        <f t="shared" ref="CW344" ca="1" si="5978">MATCH(1,OFFSET(CV335:CV346,CX343,0,COUNT(CV335:CV346)-CX343),0)</f>
        <v>#REF!</v>
      </c>
      <c r="CX344" s="4" t="e">
        <f t="shared" ca="1" si="5838"/>
        <v>#REF!</v>
      </c>
      <c r="CY344" s="692" t="str">
        <f ca="1">IFERROR(VLOOKUP(INDEX(CU335:CU346,CX344),ELM,2,FALSE),"----")</f>
        <v>----</v>
      </c>
      <c r="CZ344" s="691" t="e">
        <f t="shared" ca="1" si="5839"/>
        <v>#N/A</v>
      </c>
      <c r="DA344" s="4" t="e">
        <f ca="1">IF(LEFT($J335,7)="Clad Wo",IF(AND(INDEX(SPPWS,CZ344,4)&gt;=$AB335,INDEX(SPPWS,CZ344,5)&gt;=$S335,INDEX(SPPWS,CZ344,6)&gt;=$R335),1,0),IF(AND(INDEX(SPM,CZ344,4)&gt;=$AB335,INDEX(SPM,CZ344,5)&gt;=$S335,INDEX(SPM,CZ344,6)&gt;=$R335),1,0))</f>
        <v>#N/A</v>
      </c>
      <c r="DB344" s="4" t="e">
        <f t="shared" ref="DB344" ca="1" si="5979">MATCH(1,OFFSET(DA335:DA346,DC343,0,COUNT(DA335:DA346)-DC343),0)</f>
        <v>#REF!</v>
      </c>
      <c r="DC344" s="4" t="e">
        <f t="shared" ca="1" si="5841"/>
        <v>#REF!</v>
      </c>
      <c r="DD344" s="693" t="str">
        <f ca="1">IF(LEFT($J335,7)="Clad Wo",IFERROR(VLOOKUP(INDEX(CZ335:CZ346,DC344),SPPWS,2,FALSE),"----"),IFERROR(VLOOKUP(INDEX(CZ335:CZ346,DC344),SPM,2,FALSE),"----"))</f>
        <v>----</v>
      </c>
      <c r="DE344" s="691" t="e">
        <f t="shared" ca="1" si="5842"/>
        <v>#REF!</v>
      </c>
      <c r="DF344" s="4" t="e" cm="1">
        <f t="array" aca="1" ref="DF344" ca="1">IF(AND(INDEX(INDIRECT(BY335),DE344,4)&gt;=$AB341,INDEX(INDIRECT(BY335),DE344,5)&gt;=$S335,INDEX(INDIRECT(BY335),DE344,6)&gt;=$R335),1,0)</f>
        <v>#REF!</v>
      </c>
      <c r="DG344" s="4" t="e">
        <f t="shared" ref="DG344" ca="1" si="5980">MATCH(1,OFFSET(DF335:DF346,DH343,0,COUNT(DF335:DF346)-DH343),0)</f>
        <v>#REF!</v>
      </c>
      <c r="DH344" s="4" t="e">
        <f t="shared" ca="1" si="5844"/>
        <v>#REF!</v>
      </c>
      <c r="DI344" s="692" t="str" cm="1">
        <f t="array" aca="1" ref="DI344" ca="1">IFERROR(VLOOKUP(INDEX(DE335:DE346,DH344),INDIRECT(BY335),2,FALSE),"----")</f>
        <v>----</v>
      </c>
      <c r="DJ344" s="691" t="e">
        <f t="shared" ca="1" si="5845"/>
        <v>#N/A</v>
      </c>
      <c r="DK344" s="4" t="e">
        <f ca="1">IF(AND(INDEX(SSM,DJ344,4)&gt;=$AB341,INDEX(SSM,DJ344,5)&gt;=$S335,INDEX(SSM,DJ344,6)&gt;=$R335),1,0)</f>
        <v>#N/A</v>
      </c>
      <c r="DL344" s="4" t="e">
        <f t="shared" ref="DL344" ca="1" si="5981">MATCH(1,OFFSET(DK335:DK346,DM343,0,COUNT(DK335:DK346)-DM343),0)</f>
        <v>#REF!</v>
      </c>
      <c r="DM344" s="4" t="e">
        <f t="shared" ca="1" si="5847"/>
        <v>#REF!</v>
      </c>
      <c r="DN344" s="692" t="str">
        <f ca="1">IFERROR(IF(AD342="Nested Steel Stud (wood infill)",VLOOKUP(INDEX(DJ335:DJ346,DM344),SSW,2,FALSE),VLOOKUP(INDEX(DJ335:DJ346,DM344),SSM,2,FALSE)),"----")</f>
        <v>----</v>
      </c>
      <c r="DO344" s="691" t="e">
        <f t="shared" ca="1" si="5848"/>
        <v>#N/A</v>
      </c>
      <c r="DP344" s="4" t="e">
        <f ca="1">IF(AND(INDEX(WSM,DO344,4)&gt;=$AB341,INDEX(WSM,DO344,5)&gt;=$S335,INDEX(WSM,DO344,6)&gt;=$R335),1,0)</f>
        <v>#N/A</v>
      </c>
      <c r="DQ344" s="4" t="e">
        <f t="shared" ref="DQ344" ca="1" si="5982">MATCH(1,OFFSET(DP335:DP346,DR343,0,COUNT(DP335:DP346)-DR343),0)</f>
        <v>#REF!</v>
      </c>
      <c r="DR344" s="4" t="e">
        <f t="shared" ca="1" si="5850"/>
        <v>#REF!</v>
      </c>
      <c r="DS344" s="692" t="str">
        <f ca="1">IFERROR(VLOOKUP(INDEX(DO335:DO346,DR344),WSM,2,FALSE),"----")</f>
        <v>----</v>
      </c>
      <c r="DT344" s="691" t="e">
        <f t="shared" ca="1" si="5851"/>
        <v>#N/A</v>
      </c>
      <c r="DU344" s="4" t="e">
        <f ca="1">IF(AND(INDEX(STM,DT344,4)&gt;=$AB341,INDEX(STM,DT344,5)&gt;=$S335,INDEX(STM,DT344,6)&gt;=$R335),1,0)</f>
        <v>#N/A</v>
      </c>
      <c r="DV344" s="4" t="e">
        <f t="shared" ref="DV344" ca="1" si="5983">MATCH(1,OFFSET(DU335:DU346,DW343,0,COUNT(DU335:DU346)-DW343),0)</f>
        <v>#REF!</v>
      </c>
      <c r="DW344" s="4" t="e">
        <f t="shared" ca="1" si="5853"/>
        <v>#REF!</v>
      </c>
      <c r="DX344" s="692" t="str">
        <f ca="1">IFERROR(VLOOKUP(INDEX(DT335:DT346,DW344),STM,2,FALSE),"----")</f>
        <v>----</v>
      </c>
      <c r="DY344" s="691" t="e">
        <f t="shared" ca="1" si="5854"/>
        <v>#N/A</v>
      </c>
      <c r="DZ344" s="4" t="e">
        <f ca="1">IF(AND(INDEX(ELM,DY344,4)&gt;=$AB341,INDEX(ELM,DY344,5)&gt;=$S335,INDEX(ELM,DY344,6)&gt;=$R335),1,0)</f>
        <v>#N/A</v>
      </c>
      <c r="EA344" s="4" t="e">
        <f t="shared" ref="EA344" ca="1" si="5984">MATCH(1,OFFSET(DZ335:DZ346,EB343,0,COUNT(DZ335:DZ346)-EB343),0)</f>
        <v>#REF!</v>
      </c>
      <c r="EB344" s="4" t="e">
        <f t="shared" ca="1" si="5856"/>
        <v>#REF!</v>
      </c>
      <c r="EC344" s="692" t="str">
        <f ca="1">IFERROR(VLOOKUP(INDEX(DY335:DY346,EB344),ELM,2,FALSE),"----")</f>
        <v>----</v>
      </c>
      <c r="ED344" s="691" t="e">
        <f t="shared" ca="1" si="5857"/>
        <v>#N/A</v>
      </c>
      <c r="EE344" s="4" t="e">
        <f ca="1">IF(LEFT($J335,7)="Clad Wo",IF(AND(INDEX(SPPWS,ED344,4)&gt;=$AB341,INDEX(SPPWS,ED344,5)&gt;=$S335,INDEX(SPPWS,ED344,6)&gt;=$R335),1,0),IF(AND(INDEX(SPM,ED344,4)&gt;=$AB341,INDEX(SPM,ED344,5)&gt;=$S335,INDEX(SPM,ED344,6)&gt;=$R335),1,0))</f>
        <v>#N/A</v>
      </c>
      <c r="EF344" s="4" t="e">
        <f t="shared" ref="EF344" ca="1" si="5985">MATCH(1,OFFSET(EE335:EE346,EG343,0,COUNT(EE335:EE346)-EG343),0)</f>
        <v>#REF!</v>
      </c>
      <c r="EG344" s="4" t="e">
        <f t="shared" ca="1" si="5859"/>
        <v>#REF!</v>
      </c>
      <c r="EH344" s="692" t="str">
        <f ca="1">IF(LEFT($J335,7)="Clad Wo",IFERROR(VLOOKUP(INDEX(ED335:ED346,EG344),SPPWS,2,FALSE),"----"),IFERROR(VLOOKUP(INDEX(ED335:ED346,EG344),SPM,2,FALSE),"----"))</f>
        <v>----</v>
      </c>
    </row>
    <row r="345" spans="1:138" ht="15" customHeight="1" x14ac:dyDescent="0.25">
      <c r="A345" s="1085"/>
      <c r="B345" s="925"/>
      <c r="C345" s="926"/>
      <c r="D345" s="927"/>
      <c r="E345" s="995"/>
      <c r="F345" s="996"/>
      <c r="G345" s="997"/>
      <c r="H345" s="1062"/>
      <c r="I345" s="990"/>
      <c r="J345" s="902"/>
      <c r="K345" s="903"/>
      <c r="L345" s="1002"/>
      <c r="M345" s="923"/>
      <c r="N345" s="1042"/>
      <c r="O345" s="1018"/>
      <c r="P345" s="987"/>
      <c r="Q345" s="1015"/>
      <c r="R345" s="1012"/>
      <c r="S345" s="1006"/>
      <c r="T345" s="1007"/>
      <c r="U345" s="878"/>
      <c r="V345" s="881"/>
      <c r="W345" s="884"/>
      <c r="X345" s="884"/>
      <c r="Y345" s="887"/>
      <c r="Z345" s="887"/>
      <c r="AA345" s="887"/>
      <c r="AB345" s="1081"/>
      <c r="AC345" s="1078"/>
      <c r="AD345" s="1070" t="str">
        <f t="shared" si="5955"/>
        <v>Engineered Lumber</v>
      </c>
      <c r="AE345" s="1071"/>
      <c r="AF345" s="1052"/>
      <c r="AG345" s="1053"/>
      <c r="AH345" s="1053"/>
      <c r="AI345" s="1068"/>
      <c r="AJ345" s="1069"/>
      <c r="AK345" s="154" t="str">
        <f t="shared" ca="1" si="4947"/>
        <v/>
      </c>
      <c r="AL345" s="1059"/>
      <c r="AM345" s="344" t="str">
        <f ca="1">IFERROR(Q335/12*ROUND(VLOOKUP(AF345,OFFSET(ELM,0,1),6,FALSE),2),"")</f>
        <v/>
      </c>
      <c r="AN345" t="str">
        <f t="shared" ca="1" si="4971"/>
        <v/>
      </c>
      <c r="AP345" s="122" t="str">
        <f t="shared" ref="AP345" si="5986">_xlfn.CONCAT(AR345,AS346)</f>
        <v/>
      </c>
      <c r="AQ345" s="683" t="str">
        <f t="shared" si="5170"/>
        <v/>
      </c>
      <c r="AR345" s="4" t="str">
        <f t="shared" si="4931"/>
        <v/>
      </c>
      <c r="AS345" s="4"/>
      <c r="AT345" s="697" t="str">
        <f>AL341</f>
        <v/>
      </c>
      <c r="AU345" s="694" t="e">
        <f t="shared" ca="1" si="5187"/>
        <v>#REF!</v>
      </c>
      <c r="AV345" s="698" t="str">
        <f ca="1">IFERROR(VLOOKUP(AU345,INDIRECT(AQ335),2,FALSE),"----")</f>
        <v>----</v>
      </c>
      <c r="AW345" s="694" t="e">
        <f t="shared" ca="1" si="5188"/>
        <v>#REF!</v>
      </c>
      <c r="AX345" s="698" t="str">
        <f ca="1">IFERROR(VLOOKUP(AW345,INDIRECT(AQ336),2,FALSE),"----")</f>
        <v>----</v>
      </c>
      <c r="AY345" s="694" t="e">
        <f t="shared" ca="1" si="4775"/>
        <v>#REF!</v>
      </c>
      <c r="AZ345" s="698" t="str">
        <f ca="1">IFERROR(VLOOKUP(AY345,INDIRECT(AQ337),2,FALSE),"----")</f>
        <v>----</v>
      </c>
      <c r="BA345" s="694" t="e">
        <f t="shared" ca="1" si="4776"/>
        <v>#REF!</v>
      </c>
      <c r="BB345" s="698" t="str">
        <f ca="1">IFERROR(VLOOKUP(BA345,INDIRECT(AQ338),2,FALSE),"----")</f>
        <v>----</v>
      </c>
      <c r="BC345" s="694" t="e">
        <f t="shared" ca="1" si="5191"/>
        <v>#REF!</v>
      </c>
      <c r="BD345" s="698" t="str">
        <f ca="1">IFERROR(VLOOKUP(BC345,INDIRECT(AQ339),2,FALSE),"----")</f>
        <v>----</v>
      </c>
      <c r="BE345" s="694" t="e">
        <f t="shared" ca="1" si="5192"/>
        <v>#REF!</v>
      </c>
      <c r="BF345" s="698" t="str">
        <f ca="1">IFERROR(VLOOKUP(BE345,INDIRECT(AQ340),2,FALSE),"----")</f>
        <v>----</v>
      </c>
      <c r="BG345" s="702" t="e">
        <f t="shared" ca="1" si="5193"/>
        <v>#REF!</v>
      </c>
      <c r="BH345" s="686" t="str">
        <f ca="1">IFERROR(VLOOKUP(BG345,INDIRECT(AQ341),2,FALSE),"----")</f>
        <v>----</v>
      </c>
      <c r="BI345" s="702" t="e">
        <f t="shared" ca="1" si="5194"/>
        <v>#REF!</v>
      </c>
      <c r="BJ345" s="686" t="str">
        <f ca="1">IFERROR(VLOOKUP(BI345,INDIRECT(AQ342),2,FALSE),"----")</f>
        <v>----</v>
      </c>
      <c r="BK345" s="702" t="e">
        <f t="shared" ca="1" si="5195"/>
        <v>#REF!</v>
      </c>
      <c r="BL345" s="686" t="str">
        <f ca="1">IFERROR(VLOOKUP(BK345,INDIRECT(AQ343),2,FALSE),"----")</f>
        <v>----</v>
      </c>
      <c r="BM345" s="702" t="e">
        <f t="shared" ca="1" si="5196"/>
        <v>#REF!</v>
      </c>
      <c r="BN345" s="686" t="str">
        <f ca="1">IFERROR(VLOOKUP(BM345,INDIRECT(AQ344),2,FALSE),"----")</f>
        <v>----</v>
      </c>
      <c r="BO345" s="702" t="e">
        <f t="shared" ca="1" si="5197"/>
        <v>#REF!</v>
      </c>
      <c r="BP345" s="686" t="str">
        <f ca="1">IFERROR(VLOOKUP(BO345,INDIRECT(AQ345),2,FALSE),"----")</f>
        <v>----</v>
      </c>
      <c r="BQ345" s="702" t="e">
        <f t="shared" ca="1" si="5198"/>
        <v>#REF!</v>
      </c>
      <c r="BR345" s="686" t="str">
        <f ca="1">IFERROR(VLOOKUP(BQ345,INDIRECT(AQ346),2,FALSE),"----")</f>
        <v>----</v>
      </c>
      <c r="BS345" s="695">
        <f>IF(AI345="",1,IF(COUNTIF(BP335:BP346,AI345)=0,2,1))</f>
        <v>1</v>
      </c>
      <c r="BT345" s="696">
        <f>IF(AF345="",1,IF(BP335=".",2,1))</f>
        <v>1</v>
      </c>
      <c r="BU345" s="706"/>
      <c r="BV345" s="155">
        <f ca="1">IF(COUNTIF(EC335:EC346,AF345)=0,IF(AF345&lt;&gt;"",0,1),1)</f>
        <v>1</v>
      </c>
      <c r="BW345" s="157">
        <f ca="1">IFERROR(MATCH(AF345,EC335:EC346,0),1)</f>
        <v>1</v>
      </c>
      <c r="BX345" s="769"/>
      <c r="BY345" s="769"/>
      <c r="BZ345" s="1110"/>
      <c r="CA345" s="691" t="e">
        <f t="shared" ca="1" si="5824"/>
        <v>#REF!</v>
      </c>
      <c r="CB345" s="4" t="e" cm="1">
        <f t="array" aca="1" ref="CB345" ca="1">IF(AND(INDEX(INDIRECT(BY335),CA345,4)&gt;=$AB335,INDEX(INDIRECT(BY335),CA345,5)&gt;=$S335,INDEX(INDIRECT(BY335),CA345,6)&gt;=$R335),1,0)</f>
        <v>#REF!</v>
      </c>
      <c r="CC345" s="4" t="e">
        <f t="shared" ref="CC345" ca="1" si="5987">MATCH(1,OFFSET(CB335:CB346,CD344,0,COUNT(CB335:CB346)-CD344),0)</f>
        <v>#REF!</v>
      </c>
      <c r="CD345" s="4" t="e">
        <f t="shared" ca="1" si="5826"/>
        <v>#REF!</v>
      </c>
      <c r="CE345" s="692" t="str" cm="1">
        <f t="array" aca="1" ref="CE345" ca="1">IFERROR(VLOOKUP(INDEX(CA335:CA346,CD345),INDIRECT(BY335),2,FALSE),"----")</f>
        <v>----</v>
      </c>
      <c r="CF345" s="691" t="e">
        <f t="shared" ca="1" si="5827"/>
        <v>#N/A</v>
      </c>
      <c r="CG345" s="4" t="e">
        <f ca="1">IF(AND(INDEX(SSM,CF345,4)&gt;=$AB335,INDEX(SSM,CF345,5)&gt;=$S335,INDEX(SSM,CF345,6)&gt;=$R335),1,0)</f>
        <v>#N/A</v>
      </c>
      <c r="CH345" s="4" t="e">
        <f t="shared" ref="CH345" ca="1" si="5988">MATCH(1,OFFSET(CG335:CG346,CI344,0,COUNT(CG335:CG346)-CI344),0)</f>
        <v>#REF!</v>
      </c>
      <c r="CI345" s="4" t="e">
        <f t="shared" ca="1" si="5829"/>
        <v>#REF!</v>
      </c>
      <c r="CJ345" s="692" t="str">
        <f ca="1">IFERROR(IF(AD336="Nested Steel Stud (wood infill)",VLOOKUP(INDEX(CF335:CF346,CI345),SSW,2,FALSE),VLOOKUP(INDEX(CF335:CF346,CI345),SSM,2,FALSE)),"----")</f>
        <v>----</v>
      </c>
      <c r="CK345" s="691" t="e">
        <f t="shared" ca="1" si="5830"/>
        <v>#N/A</v>
      </c>
      <c r="CL345" s="4" t="e">
        <f ca="1">IF(AND(INDEX(WSM,CK345,4)&gt;=$AB335,INDEX(WSM,CK345,5)&gt;=$S335,INDEX(WSM,CK345,6)&gt;=$R335),1,0)</f>
        <v>#N/A</v>
      </c>
      <c r="CM345" s="4" t="e">
        <f t="shared" ref="CM345" ca="1" si="5989">MATCH(1,OFFSET(CL335:CL346,CN344,0,COUNT(CL335:CL346)-CN344),0)</f>
        <v>#REF!</v>
      </c>
      <c r="CN345" s="4" t="e">
        <f t="shared" ca="1" si="5832"/>
        <v>#REF!</v>
      </c>
      <c r="CO345" s="692" t="str">
        <f ca="1">IFERROR(VLOOKUP(INDEX(CK335:CK346,CN345),WSM,2,FALSE),"----")</f>
        <v>----</v>
      </c>
      <c r="CP345" s="691" t="e">
        <f t="shared" ca="1" si="5833"/>
        <v>#N/A</v>
      </c>
      <c r="CQ345" s="4" t="e">
        <f ca="1">IF(AND(INDEX(STM,CP345,4)&gt;=$AB335,INDEX(STM,CP345,5)&gt;=$S335,INDEX(STM,CP345,6)&gt;=$R335),1,0)</f>
        <v>#N/A</v>
      </c>
      <c r="CR345" s="4" t="e">
        <f t="shared" ref="CR345" ca="1" si="5990">MATCH(1,OFFSET(CQ335:CQ346,CS344,0,COUNT(CQ335:CQ346)-CS344),0)</f>
        <v>#REF!</v>
      </c>
      <c r="CS345" s="4" t="e">
        <f t="shared" ca="1" si="5835"/>
        <v>#REF!</v>
      </c>
      <c r="CT345" s="692" t="str">
        <f ca="1">IFERROR(VLOOKUP(INDEX(CP335:CP346,CS345),STM,2,FALSE),"----")</f>
        <v>----</v>
      </c>
      <c r="CU345" s="691" t="e">
        <f t="shared" ca="1" si="5836"/>
        <v>#N/A</v>
      </c>
      <c r="CV345" s="4" t="e">
        <f ca="1">IF(AND(INDEX(ELM,CU345,4)&gt;=$AB335,INDEX(ELM,CU345,5)&gt;=$S335,INDEX(ELM,CU345,6)&gt;=$R335),1,0)</f>
        <v>#N/A</v>
      </c>
      <c r="CW345" s="4" t="e">
        <f t="shared" ref="CW345" ca="1" si="5991">MATCH(1,OFFSET(CV335:CV346,CX344,0,COUNT(CV335:CV346)-CX344),0)</f>
        <v>#REF!</v>
      </c>
      <c r="CX345" s="4" t="e">
        <f t="shared" ca="1" si="5838"/>
        <v>#REF!</v>
      </c>
      <c r="CY345" s="692" t="str">
        <f ca="1">IFERROR(VLOOKUP(INDEX(CU335:CU346,CX345),ELM,2,FALSE),"----")</f>
        <v>----</v>
      </c>
      <c r="CZ345" s="691" t="e">
        <f t="shared" ca="1" si="5839"/>
        <v>#N/A</v>
      </c>
      <c r="DA345" s="4" t="e">
        <f ca="1">IF(LEFT($J335,7)="Clad Wo",IF(AND(INDEX(SPPWS,CZ345,4)&gt;=$AB335,INDEX(SPPWS,CZ345,5)&gt;=$S335,INDEX(SPPWS,CZ345,6)&gt;=$R335),1,0),IF(AND(INDEX(SPM,CZ345,4)&gt;=$AB335,INDEX(SPM,CZ345,5)&gt;=$S335,INDEX(SPM,CZ345,6)&gt;=$R335),1,0))</f>
        <v>#N/A</v>
      </c>
      <c r="DB345" s="4" t="e">
        <f t="shared" ref="DB345" ca="1" si="5992">MATCH(1,OFFSET(DA335:DA346,DC344,0,COUNT(DA335:DA346)-DC344),0)</f>
        <v>#REF!</v>
      </c>
      <c r="DC345" s="4" t="e">
        <f t="shared" ca="1" si="5841"/>
        <v>#REF!</v>
      </c>
      <c r="DD345" s="693" t="str">
        <f ca="1">IF(LEFT($J335,7)="Clad Wo",IFERROR(VLOOKUP(INDEX(CZ335:CZ346,DC345),SPPWS,2,FALSE),"----"),IFERROR(VLOOKUP(INDEX(CZ335:CZ346,DC345),SPM,2,FALSE),"----"))</f>
        <v>----</v>
      </c>
      <c r="DE345" s="691" t="e">
        <f t="shared" ca="1" si="5842"/>
        <v>#REF!</v>
      </c>
      <c r="DF345" s="4" t="e" cm="1">
        <f t="array" aca="1" ref="DF345" ca="1">IF(AND(INDEX(INDIRECT(BY335),DE345,4)&gt;=$AB341,INDEX(INDIRECT(BY335),DE345,5)&gt;=$S335,INDEX(INDIRECT(BY335),DE345,6)&gt;=$R335),1,0)</f>
        <v>#REF!</v>
      </c>
      <c r="DG345" s="4" t="e">
        <f t="shared" ref="DG345" ca="1" si="5993">MATCH(1,OFFSET(DF335:DF346,DH344,0,COUNT(DF335:DF346)-DH344),0)</f>
        <v>#REF!</v>
      </c>
      <c r="DH345" s="4" t="e">
        <f t="shared" ca="1" si="5844"/>
        <v>#REF!</v>
      </c>
      <c r="DI345" s="692" t="str" cm="1">
        <f t="array" aca="1" ref="DI345" ca="1">IFERROR(VLOOKUP(INDEX(DE335:DE346,DH345),INDIRECT(BY335),2,FALSE),"----")</f>
        <v>----</v>
      </c>
      <c r="DJ345" s="691" t="e">
        <f t="shared" ca="1" si="5845"/>
        <v>#N/A</v>
      </c>
      <c r="DK345" s="4" t="e">
        <f ca="1">IF(AND(INDEX(SSM,DJ345,4)&gt;=$AB341,INDEX(SSM,DJ345,5)&gt;=$S335,INDEX(SSM,DJ345,6)&gt;=$R335),1,0)</f>
        <v>#N/A</v>
      </c>
      <c r="DL345" s="4" t="e">
        <f t="shared" ref="DL345" ca="1" si="5994">MATCH(1,OFFSET(DK335:DK346,DM344,0,COUNT(DK335:DK346)-DM344),0)</f>
        <v>#REF!</v>
      </c>
      <c r="DM345" s="4" t="e">
        <f t="shared" ca="1" si="5847"/>
        <v>#REF!</v>
      </c>
      <c r="DN345" s="692" t="str">
        <f ca="1">IFERROR(IF(AD342="Nested Steel Stud (wood infill)",VLOOKUP(INDEX(DJ335:DJ346,DM345),SSW,2,FALSE),VLOOKUP(INDEX(DJ335:DJ346,DM345),SSM,2,FALSE)),"----")</f>
        <v>----</v>
      </c>
      <c r="DO345" s="691" t="e">
        <f t="shared" ca="1" si="5848"/>
        <v>#N/A</v>
      </c>
      <c r="DP345" s="4" t="e">
        <f ca="1">IF(AND(INDEX(WSM,DO345,4)&gt;=$AB341,INDEX(WSM,DO345,5)&gt;=$S335,INDEX(WSM,DO345,6)&gt;=$R335),1,0)</f>
        <v>#N/A</v>
      </c>
      <c r="DQ345" s="4" t="e">
        <f t="shared" ref="DQ345" ca="1" si="5995">MATCH(1,OFFSET(DP335:DP346,DR344,0,COUNT(DP335:DP346)-DR344),0)</f>
        <v>#REF!</v>
      </c>
      <c r="DR345" s="4" t="e">
        <f t="shared" ca="1" si="5850"/>
        <v>#REF!</v>
      </c>
      <c r="DS345" s="692" t="str">
        <f ca="1">IFERROR(VLOOKUP(INDEX(DO335:DO346,DR345),WSM,2,FALSE),"----")</f>
        <v>----</v>
      </c>
      <c r="DT345" s="691" t="e">
        <f t="shared" ca="1" si="5851"/>
        <v>#N/A</v>
      </c>
      <c r="DU345" s="4" t="e">
        <f ca="1">IF(AND(INDEX(STM,DT345,4)&gt;=$AB341,INDEX(STM,DT345,5)&gt;=$S335,INDEX(STM,DT345,6)&gt;=$R335),1,0)</f>
        <v>#N/A</v>
      </c>
      <c r="DV345" s="4" t="e">
        <f t="shared" ref="DV345" ca="1" si="5996">MATCH(1,OFFSET(DU335:DU346,DW344,0,COUNT(DU335:DU346)-DW344),0)</f>
        <v>#REF!</v>
      </c>
      <c r="DW345" s="4" t="e">
        <f t="shared" ca="1" si="5853"/>
        <v>#REF!</v>
      </c>
      <c r="DX345" s="692" t="str">
        <f ca="1">IFERROR(VLOOKUP(INDEX(DT335:DT346,DW345),STM,2,FALSE),"----")</f>
        <v>----</v>
      </c>
      <c r="DY345" s="691" t="e">
        <f t="shared" ca="1" si="5854"/>
        <v>#N/A</v>
      </c>
      <c r="DZ345" s="4" t="e">
        <f ca="1">IF(AND(INDEX(ELM,DY345,4)&gt;=$AB341,INDEX(ELM,DY345,5)&gt;=$S335,INDEX(ELM,DY345,6)&gt;=$R335),1,0)</f>
        <v>#N/A</v>
      </c>
      <c r="EA345" s="4" t="e">
        <f t="shared" ref="EA345" ca="1" si="5997">MATCH(1,OFFSET(DZ335:DZ346,EB344,0,COUNT(DZ335:DZ346)-EB344),0)</f>
        <v>#REF!</v>
      </c>
      <c r="EB345" s="4" t="e">
        <f t="shared" ca="1" si="5856"/>
        <v>#REF!</v>
      </c>
      <c r="EC345" s="692" t="str">
        <f ca="1">IFERROR(VLOOKUP(INDEX(DY335:DY346,EB345),ELM,2,FALSE),"----")</f>
        <v>----</v>
      </c>
      <c r="ED345" s="691" t="e">
        <f t="shared" ca="1" si="5857"/>
        <v>#N/A</v>
      </c>
      <c r="EE345" s="4" t="e">
        <f ca="1">IF(LEFT($J335,7)="Clad Wo",IF(AND(INDEX(SPPWS,ED345,4)&gt;=$AB341,INDEX(SPPWS,ED345,5)&gt;=$S335,INDEX(SPPWS,ED345,6)&gt;=$R335),1,0),IF(AND(INDEX(SPM,ED345,4)&gt;=$AB341,INDEX(SPM,ED345,5)&gt;=$S335,INDEX(SPM,ED345,6)&gt;=$R335),1,0))</f>
        <v>#N/A</v>
      </c>
      <c r="EF345" s="4" t="e">
        <f t="shared" ref="EF345" ca="1" si="5998">MATCH(1,OFFSET(EE335:EE346,EG344,0,COUNT(EE335:EE346)-EG344),0)</f>
        <v>#REF!</v>
      </c>
      <c r="EG345" s="4" t="e">
        <f t="shared" ca="1" si="5859"/>
        <v>#REF!</v>
      </c>
      <c r="EH345" s="692" t="str">
        <f ca="1">IF(LEFT($J335,7)="Clad Wo",IFERROR(VLOOKUP(INDEX(ED335:ED346,EG345),SPPWS,2,FALSE),"----"),IFERROR(VLOOKUP(INDEX(ED335:ED346,EG345),SPM,2,FALSE),"----"))</f>
        <v>----</v>
      </c>
    </row>
    <row r="346" spans="1:138" ht="15" customHeight="1" thickBot="1" x14ac:dyDescent="0.3">
      <c r="A346" s="1085"/>
      <c r="B346" s="928"/>
      <c r="C346" s="929"/>
      <c r="D346" s="930"/>
      <c r="E346" s="998"/>
      <c r="F346" s="999"/>
      <c r="G346" s="1000"/>
      <c r="H346" s="1063"/>
      <c r="I346" s="991"/>
      <c r="J346" s="904"/>
      <c r="K346" s="905"/>
      <c r="L346" s="1003"/>
      <c r="M346" s="1065"/>
      <c r="N346" s="1043"/>
      <c r="O346" s="1019"/>
      <c r="P346" s="988"/>
      <c r="Q346" s="1016"/>
      <c r="R346" s="1013"/>
      <c r="S346" s="1008"/>
      <c r="T346" s="1009"/>
      <c r="U346" s="879"/>
      <c r="V346" s="882"/>
      <c r="W346" s="885"/>
      <c r="X346" s="885"/>
      <c r="Y346" s="888"/>
      <c r="Z346" s="888"/>
      <c r="AA346" s="888"/>
      <c r="AB346" s="1082"/>
      <c r="AC346" s="1087"/>
      <c r="AD346" s="1098" t="str">
        <f t="shared" ref="AD346" si="5999">IF(LEFT(J335,7)="Clad Wo","Pella Wood Spr / Steel Pte","Steel Plate")</f>
        <v>Steel Plate</v>
      </c>
      <c r="AE346" s="1099"/>
      <c r="AF346" s="1096"/>
      <c r="AG346" s="1097"/>
      <c r="AH346" s="1097"/>
      <c r="AI346" s="1094"/>
      <c r="AJ346" s="1095"/>
      <c r="AK346" s="163" t="str">
        <f t="shared" ca="1" si="4947"/>
        <v/>
      </c>
      <c r="AL346" s="1060"/>
      <c r="AM346" s="345" t="str">
        <f ca="1">IFERROR(Q335/12*ROUND(VLOOKUP(AF346,OFFSET(SPM,0,1),6,FALSE),2),"")</f>
        <v/>
      </c>
      <c r="AN346" t="str">
        <f t="shared" ca="1" si="4971"/>
        <v/>
      </c>
      <c r="AP346" s="699" t="str">
        <f t="shared" ref="AP346" si="6000">_xlfn.CONCAT(AR346,AS346)</f>
        <v/>
      </c>
      <c r="AQ346" s="700" t="str">
        <f t="shared" si="5170"/>
        <v/>
      </c>
      <c r="AR346" s="160" t="str">
        <f t="shared" si="4931"/>
        <v/>
      </c>
      <c r="AS346" s="160" t="str">
        <f>IFERROR(VLOOKUP(J343, WallType,2,FALSE),"")</f>
        <v/>
      </c>
      <c r="AT346" s="707" t="str">
        <f>AL341</f>
        <v/>
      </c>
      <c r="AU346" s="708" t="e">
        <f t="shared" ca="1" si="5187"/>
        <v>#REF!</v>
      </c>
      <c r="AV346" s="709" t="str">
        <f ca="1">IFERROR(VLOOKUP(AU346,INDIRECT(AQ335),2,FALSE),"----")</f>
        <v>----</v>
      </c>
      <c r="AW346" s="710" t="e">
        <f t="shared" ca="1" si="5188"/>
        <v>#REF!</v>
      </c>
      <c r="AX346" s="709" t="str">
        <f ca="1">IFERROR(VLOOKUP(AW346,INDIRECT(AQ336),2,FALSE),"----")</f>
        <v>----</v>
      </c>
      <c r="AY346" s="710" t="e">
        <f t="shared" ca="1" si="4775"/>
        <v>#REF!</v>
      </c>
      <c r="AZ346" s="709" t="str">
        <f ca="1">IFERROR(VLOOKUP(AY346,INDIRECT(AQ337),2,FALSE),"----")</f>
        <v>----</v>
      </c>
      <c r="BA346" s="710" t="e">
        <f t="shared" ca="1" si="4776"/>
        <v>#REF!</v>
      </c>
      <c r="BB346" s="709" t="str">
        <f ca="1">IFERROR(VLOOKUP(BA346,INDIRECT(AQ338),2,FALSE),"----")</f>
        <v>----</v>
      </c>
      <c r="BC346" s="710" t="e">
        <f t="shared" ca="1" si="5191"/>
        <v>#REF!</v>
      </c>
      <c r="BD346" s="709" t="str">
        <f ca="1">IFERROR(VLOOKUP(BC346,INDIRECT(AQ339),2,FALSE),"----")</f>
        <v>----</v>
      </c>
      <c r="BE346" s="710" t="e">
        <f t="shared" ca="1" si="5192"/>
        <v>#REF!</v>
      </c>
      <c r="BF346" s="709" t="str">
        <f ca="1">IFERROR(VLOOKUP(BE346,INDIRECT(AQ340),2,FALSE),"----")</f>
        <v>----</v>
      </c>
      <c r="BG346" s="710" t="e">
        <f t="shared" ca="1" si="5193"/>
        <v>#REF!</v>
      </c>
      <c r="BH346" s="711" t="str">
        <f ca="1">IFERROR(VLOOKUP(BG346,INDIRECT(AQ341),2,FALSE),"----")</f>
        <v>----</v>
      </c>
      <c r="BI346" s="710" t="e">
        <f t="shared" ca="1" si="5194"/>
        <v>#REF!</v>
      </c>
      <c r="BJ346" s="711" t="str">
        <f ca="1">IFERROR(VLOOKUP(BI346,INDIRECT(AQ342),2,FALSE),"----")</f>
        <v>----</v>
      </c>
      <c r="BK346" s="710" t="e">
        <f t="shared" ca="1" si="5195"/>
        <v>#REF!</v>
      </c>
      <c r="BL346" s="711" t="str">
        <f ca="1">IFERROR(VLOOKUP(BK346,INDIRECT(AQ343),2,FALSE),"----")</f>
        <v>----</v>
      </c>
      <c r="BM346" s="710" t="e">
        <f t="shared" ca="1" si="5196"/>
        <v>#REF!</v>
      </c>
      <c r="BN346" s="711" t="str">
        <f ca="1">IFERROR(VLOOKUP(BM346,INDIRECT(AQ344),2,FALSE),"----")</f>
        <v>----</v>
      </c>
      <c r="BO346" s="710" t="e">
        <f t="shared" ca="1" si="5197"/>
        <v>#REF!</v>
      </c>
      <c r="BP346" s="711" t="str">
        <f ca="1">IFERROR(VLOOKUP(BO346,INDIRECT(AQ345),2,FALSE),"----")</f>
        <v>----</v>
      </c>
      <c r="BQ346" s="710" t="e">
        <f t="shared" ca="1" si="5198"/>
        <v>#REF!</v>
      </c>
      <c r="BR346" s="712" t="str">
        <f ca="1">IFERROR(VLOOKUP(BQ346,INDIRECT(AQ346),2,FALSE),"----")</f>
        <v>----</v>
      </c>
      <c r="BS346" s="695">
        <f>IF(AI346="",1,IF(COUNTIF(BR335:BR346,AI346)=0,2,1))</f>
        <v>1</v>
      </c>
      <c r="BT346" s="713">
        <f>IF(AF346="",1,IF(BR335=".",2,1))</f>
        <v>1</v>
      </c>
      <c r="BV346" s="155">
        <f ca="1">IF(COUNTIF(EH335:EH346,AF346)=0,IF(AF346&lt;&gt;"",0,1),1)</f>
        <v>1</v>
      </c>
      <c r="BW346" s="157">
        <f ca="1">IFERROR(MATCH(AF346,EH335:EH346,0),1)</f>
        <v>1</v>
      </c>
      <c r="BX346" s="718"/>
      <c r="BY346" s="777"/>
      <c r="BZ346" s="1110"/>
      <c r="CA346" s="714" t="e">
        <f t="shared" ca="1" si="5824"/>
        <v>#REF!</v>
      </c>
      <c r="CB346" s="715" t="e" cm="1">
        <f t="array" aca="1" ref="CB346" ca="1">IF(AND(INDEX(INDIRECT(BY335),CA346,4)&gt;=$AB335,INDEX(INDIRECT(BY335),CA346,5)&gt;=$S335,INDEX(INDIRECT(BY335),CA346,6)&gt;=$R335),1,0)</f>
        <v>#REF!</v>
      </c>
      <c r="CC346" s="715" t="e">
        <f t="shared" ref="CC346" ca="1" si="6001">MATCH(1,OFFSET(CB335:CB346,CD345,0,COUNT(CB335:CB346)-CD345),0)</f>
        <v>#REF!</v>
      </c>
      <c r="CD346" s="715" t="e">
        <f t="shared" ca="1" si="5826"/>
        <v>#REF!</v>
      </c>
      <c r="CE346" s="716" t="str" cm="1">
        <f t="array" aca="1" ref="CE346" ca="1">IFERROR(VLOOKUP(INDEX(CA335:CA346,CD346),INDIRECT(BY335),2,FALSE),"----")</f>
        <v>----</v>
      </c>
      <c r="CF346" s="714" t="e">
        <f t="shared" ca="1" si="5827"/>
        <v>#N/A</v>
      </c>
      <c r="CG346" s="715" t="e">
        <f ca="1">IF(AND(INDEX(SSM,CF346,4)&gt;=$AB335,INDEX(SSM,CF346,5)&gt;=$S335,INDEX(SSM,CF346,6)&gt;=$R335),1,0)</f>
        <v>#N/A</v>
      </c>
      <c r="CH346" s="715" t="e">
        <f t="shared" ref="CH346" ca="1" si="6002">MATCH(1,OFFSET(CG335:CG346,CI345,0,COUNT(CG335:CG346)-CI345),0)</f>
        <v>#REF!</v>
      </c>
      <c r="CI346" s="715" t="e">
        <f t="shared" ca="1" si="5829"/>
        <v>#REF!</v>
      </c>
      <c r="CJ346" s="716" t="str">
        <f ca="1">IFERROR(IF(AD336="Nested Steel Stud (wood infill)",VLOOKUP(INDEX(CF335:CF346,CI346),SSW,2,FALSE),VLOOKUP(INDEX(CF335:CF346,CI346),SSM,2,FALSE)),"----")</f>
        <v>----</v>
      </c>
      <c r="CK346" s="714" t="e">
        <f t="shared" ca="1" si="5830"/>
        <v>#N/A</v>
      </c>
      <c r="CL346" s="715" t="e">
        <f ca="1">IF(AND(INDEX(WSM,CK346,4)&gt;=$AB335,INDEX(WSM,CK346,5)&gt;=$S335,INDEX(WSM,CK346,6)&gt;=$R335),1,0)</f>
        <v>#N/A</v>
      </c>
      <c r="CM346" s="715" t="e">
        <f t="shared" ref="CM346" ca="1" si="6003">MATCH(1,OFFSET(CL335:CL346,CN345,0,COUNT(CL335:CL346)-CN345),0)</f>
        <v>#REF!</v>
      </c>
      <c r="CN346" s="715" t="e">
        <f t="shared" ca="1" si="5832"/>
        <v>#REF!</v>
      </c>
      <c r="CO346" s="716" t="str">
        <f ca="1">IFERROR(VLOOKUP(INDEX(CK335:CK346,CN346),WSM,2,FALSE),"----")</f>
        <v>----</v>
      </c>
      <c r="CP346" s="714" t="e">
        <f t="shared" ca="1" si="5833"/>
        <v>#N/A</v>
      </c>
      <c r="CQ346" s="715" t="e">
        <f ca="1">IF(AND(INDEX(STM,CP346,4)&gt;=$AB335,INDEX(STM,CP346,5)&gt;=$S335,INDEX(STM,CP346,6)&gt;=$R335),1,0)</f>
        <v>#N/A</v>
      </c>
      <c r="CR346" s="715" t="e">
        <f t="shared" ref="CR346" ca="1" si="6004">MATCH(1,OFFSET(CQ335:CQ346,CS345,0,COUNT(CQ335:CQ346)-CS345),0)</f>
        <v>#REF!</v>
      </c>
      <c r="CS346" s="715" t="e">
        <f t="shared" ca="1" si="5835"/>
        <v>#REF!</v>
      </c>
      <c r="CT346" s="716" t="str">
        <f ca="1">IFERROR(VLOOKUP(INDEX(CP335:CP346,CS346),STM,2,FALSE),"----")</f>
        <v>----</v>
      </c>
      <c r="CU346" s="714" t="e">
        <f t="shared" ca="1" si="5836"/>
        <v>#N/A</v>
      </c>
      <c r="CV346" s="715" t="e">
        <f ca="1">IF(AND(INDEX(ELM,CU346,4)&gt;=$AB335,INDEX(ELM,CU346,5)&gt;=$S335,INDEX(ELM,CU346,6)&gt;=$R335),1,0)</f>
        <v>#N/A</v>
      </c>
      <c r="CW346" s="715" t="e">
        <f t="shared" ref="CW346" ca="1" si="6005">MATCH(1,OFFSET(CV335:CV346,CX345,0,COUNT(CV335:CV346)-CX345),0)</f>
        <v>#REF!</v>
      </c>
      <c r="CX346" s="715" t="e">
        <f t="shared" ca="1" si="5838"/>
        <v>#REF!</v>
      </c>
      <c r="CY346" s="716" t="str">
        <f ca="1">IFERROR(VLOOKUP(INDEX(CU335:CU346,CX346),ELM,2,FALSE),"----")</f>
        <v>----</v>
      </c>
      <c r="CZ346" s="714" t="e">
        <f t="shared" ca="1" si="5839"/>
        <v>#N/A</v>
      </c>
      <c r="DA346" s="715" t="e">
        <f ca="1">IF(LEFT($J335,7)="Clad Wo",IF(AND(INDEX(SPPWS,CZ346,4)&gt;=$AB335,INDEX(SPPWS,CZ346,5)&gt;=$S335,INDEX(SPPWS,CZ346,6)&gt;=$R335),1,0),IF(AND(INDEX(SPM,CZ346,4)&gt;=$AB335,INDEX(SPM,CZ346,5)&gt;=$S335,INDEX(SPM,CZ346,6)&gt;=$R335),1,0))</f>
        <v>#N/A</v>
      </c>
      <c r="DB346" s="715" t="e">
        <f t="shared" ref="DB346" ca="1" si="6006">MATCH(1,OFFSET(DA335:DA346,DC345,0,COUNT(DA335:DA346)-DC345),0)</f>
        <v>#REF!</v>
      </c>
      <c r="DC346" s="715" t="e">
        <f t="shared" ca="1" si="5841"/>
        <v>#REF!</v>
      </c>
      <c r="DD346" s="717" t="str">
        <f ca="1">IF(LEFT($J335,7)="Clad Wo",IFERROR(VLOOKUP(INDEX(CZ335:CZ346,DC346),SPPWS,2,FALSE),"----"),IFERROR(VLOOKUP(INDEX(CZ335:CZ346,DC346),SPM,2,FALSE),"----"))</f>
        <v>----</v>
      </c>
      <c r="DE346" s="714" t="e">
        <f t="shared" ca="1" si="5842"/>
        <v>#REF!</v>
      </c>
      <c r="DF346" s="715" t="e" cm="1">
        <f t="array" aca="1" ref="DF346" ca="1">IF(AND(INDEX(INDIRECT(BY335),DE346,4)&gt;=$AB341,INDEX(INDIRECT(BY335),DE346,5)&gt;=$S335,INDEX(INDIRECT(BY335),DE346,6)&gt;=$R335),1,0)</f>
        <v>#REF!</v>
      </c>
      <c r="DG346" s="715" t="e">
        <f t="shared" ref="DG346" ca="1" si="6007">MATCH(1,OFFSET(DF335:DF346,DH345,0,COUNT(DF335:DF346)-DH345),0)</f>
        <v>#REF!</v>
      </c>
      <c r="DH346" s="715" t="e">
        <f t="shared" ca="1" si="5844"/>
        <v>#REF!</v>
      </c>
      <c r="DI346" s="716" t="str" cm="1">
        <f t="array" aca="1" ref="DI346" ca="1">IFERROR(VLOOKUP(INDEX(DE335:DE346,DH346),INDIRECT(BY335),2,FALSE),"----")</f>
        <v>----</v>
      </c>
      <c r="DJ346" s="714" t="e">
        <f t="shared" ca="1" si="5845"/>
        <v>#N/A</v>
      </c>
      <c r="DK346" s="715" t="e">
        <f ca="1">IF(AND(INDEX(SSM,DJ346,4)&gt;=$AB341,INDEX(SSM,DJ346,5)&gt;=$S335,INDEX(SSM,DJ346,6)&gt;=$R335),1,0)</f>
        <v>#N/A</v>
      </c>
      <c r="DL346" s="715" t="e">
        <f t="shared" ref="DL346" ca="1" si="6008">MATCH(1,OFFSET(DK335:DK346,DM345,0,COUNT(DK335:DK346)-DM345),0)</f>
        <v>#REF!</v>
      </c>
      <c r="DM346" s="715" t="e">
        <f t="shared" ca="1" si="5847"/>
        <v>#REF!</v>
      </c>
      <c r="DN346" s="716" t="str">
        <f ca="1">IFERROR(IF(AD342="Nested Steel Stud (wood infill)",VLOOKUP(INDEX(DJ335:DJ346,DM346),SSW,2,FALSE),VLOOKUP(INDEX(DJ335:DJ346,DM346),SSM,2,FALSE)),"----")</f>
        <v>----</v>
      </c>
      <c r="DO346" s="714" t="e">
        <f t="shared" ca="1" si="5848"/>
        <v>#N/A</v>
      </c>
      <c r="DP346" s="715" t="e">
        <f ca="1">IF(AND(INDEX(WSM,DO346,4)&gt;=$AB341,INDEX(WSM,DO346,5)&gt;=$S335,INDEX(WSM,DO346,6)&gt;=$R335),1,0)</f>
        <v>#N/A</v>
      </c>
      <c r="DQ346" s="715" t="e">
        <f t="shared" ref="DQ346" ca="1" si="6009">MATCH(1,OFFSET(DP335:DP346,DR345,0,COUNT(DP335:DP346)-DR345),0)</f>
        <v>#REF!</v>
      </c>
      <c r="DR346" s="715" t="e">
        <f t="shared" ca="1" si="5850"/>
        <v>#REF!</v>
      </c>
      <c r="DS346" s="716" t="str">
        <f ca="1">IFERROR(VLOOKUP(INDEX(DO335:DO346,DR346),WSM,2,FALSE),"----")</f>
        <v>----</v>
      </c>
      <c r="DT346" s="714" t="e">
        <f t="shared" ca="1" si="5851"/>
        <v>#N/A</v>
      </c>
      <c r="DU346" s="715" t="e">
        <f ca="1">IF(AND(INDEX(STM,DT346,4)&gt;=$AB341,INDEX(STM,DT346,5)&gt;=$S335,INDEX(STM,DT346,6)&gt;=$R335),1,0)</f>
        <v>#N/A</v>
      </c>
      <c r="DV346" s="715" t="e">
        <f t="shared" ref="DV346" ca="1" si="6010">MATCH(1,OFFSET(DU335:DU346,DW345,0,COUNT(DU335:DU346)-DW345),0)</f>
        <v>#REF!</v>
      </c>
      <c r="DW346" s="715" t="e">
        <f t="shared" ca="1" si="5853"/>
        <v>#REF!</v>
      </c>
      <c r="DX346" s="716" t="str">
        <f ca="1">IFERROR(VLOOKUP(INDEX(DT335:DT346,DW346),STM,2,FALSE),"----")</f>
        <v>----</v>
      </c>
      <c r="DY346" s="714" t="e">
        <f t="shared" ca="1" si="5854"/>
        <v>#N/A</v>
      </c>
      <c r="DZ346" s="715" t="e">
        <f ca="1">IF(AND(INDEX(ELM,DY346,4)&gt;=$AB341,INDEX(ELM,DY346,5)&gt;=$S335,INDEX(ELM,DY346,6)&gt;=$R335),1,0)</f>
        <v>#N/A</v>
      </c>
      <c r="EA346" s="715" t="e">
        <f t="shared" ref="EA346" ca="1" si="6011">MATCH(1,OFFSET(DZ335:DZ346,EB345,0,COUNT(DZ335:DZ346)-EB345),0)</f>
        <v>#REF!</v>
      </c>
      <c r="EB346" s="715" t="e">
        <f t="shared" ca="1" si="5856"/>
        <v>#REF!</v>
      </c>
      <c r="EC346" s="716" t="str">
        <f ca="1">IFERROR(VLOOKUP(INDEX(DY335:DY346,EB346),ELM,2,FALSE),"----")</f>
        <v>----</v>
      </c>
      <c r="ED346" s="714" t="e">
        <f t="shared" ca="1" si="5857"/>
        <v>#N/A</v>
      </c>
      <c r="EE346" s="715" t="e">
        <f ca="1">IF(LEFT($J335,7)="Clad Wo",IF(AND(INDEX(SPPWS,ED346,4)&gt;=$AB341,INDEX(SPPWS,ED346,5)&gt;=$S335,INDEX(SPPWS,ED346,6)&gt;=$R335),1,0),IF(AND(INDEX(SPM,ED346,4)&gt;=$AB341,INDEX(SPM,ED346,5)&gt;=$S335,INDEX(SPM,ED346,6)&gt;=$R335),1,0))</f>
        <v>#N/A</v>
      </c>
      <c r="EF346" s="715" t="e">
        <f t="shared" ref="EF346" ca="1" si="6012">MATCH(1,OFFSET(EE335:EE346,EG345,0,COUNT(EE335:EE346)-EG345),0)</f>
        <v>#REF!</v>
      </c>
      <c r="EG346" s="715" t="e">
        <f t="shared" ca="1" si="5859"/>
        <v>#REF!</v>
      </c>
      <c r="EH346" s="716" t="str">
        <f ca="1">IF(LEFT($J335,7)="Clad Wo",IFERROR(VLOOKUP(INDEX(ED335:ED346,EG346),SPPWS,2,FALSE),"----"),IFERROR(VLOOKUP(INDEX(ED335:ED346,EG346),SPM,2,FALSE),"----"))</f>
        <v>----</v>
      </c>
    </row>
    <row r="347" spans="1:138" ht="15" customHeight="1" thickTop="1" x14ac:dyDescent="0.25">
      <c r="A347" s="1085"/>
      <c r="B347" s="931" t="s">
        <v>92</v>
      </c>
      <c r="C347" s="932"/>
      <c r="D347" s="933"/>
      <c r="E347" s="992"/>
      <c r="F347" s="993"/>
      <c r="G347" s="994"/>
      <c r="H347" s="1061"/>
      <c r="I347" s="989"/>
      <c r="J347" s="906"/>
      <c r="K347" s="907"/>
      <c r="L347" s="1001">
        <f>$W$3</f>
        <v>4</v>
      </c>
      <c r="M347" s="923" t="str">
        <f t="shared" ref="M347" si="6013">IFERROR(IF($AE$13="",IF($AG$19="Wind Loading",MIN($V$31,IF(E$11="ASCE 7-05",$U$26,$V$7)*$V$9*(IF($E$12&lt;60,0.0771*LN(MAX(MIN(500,O347),10)) -1.2737,IF($E$11="ASCE 7-22",0.0524*LN(MAX(MIN(500,O347),50))-1.0278,0.0614*LN(MAX(MIN(500,O347),20)) -1.0829))-$V$8)),$V$7*IF(E$12&lt;60,$V$13*($V$15*0.0771*LN(MAX(MIN(500,O347),10))-1.2737-$V$16),$V$13*$V$15*((0.0524*LN(MAX(MIN(500,O347),20))-1.0278)-$V$16))),-ABS($AE$13)),"")</f>
        <v/>
      </c>
      <c r="N347" s="1042" t="str">
        <f t="shared" ref="N347" si="6014">IFERROR(IF($AE$15="",IF($AG$19="Wind Loading",MAX($U$31,IF(E$11="ASCE 7-05",$U$26,$V$7)*$V$9*((IF($E$12&lt;60,-0.077*LN(MAX(MIN(500,O347),10))+1.1737,IF($E$11="ASCE 7-22",-0.077*LN(MAX(MIN(500,O347),20))+1.0798,-0.093*LN(MAX(MIN(500,O347),20))+1.1776)))+$V$8)),$V$7*IF(E$12&lt;60,$V$13*($V$15*(-0.077*LN(MAX(MIN(500,O347),10))+1.1737)-$V$17),$V$13*$V$15*((-0.077*LN(MAX(MIN(500,O347),20))+1.0798)-$V$17))),ABS($AE$15)),"")</f>
        <v/>
      </c>
      <c r="O347" s="1017" t="str">
        <f>IF(BX354=0,"",IF(AG$14="Trapezoidal",BY354,BX354))</f>
        <v/>
      </c>
      <c r="P347" s="986"/>
      <c r="Q347" s="1014"/>
      <c r="R347" s="1011">
        <f>P347*Q347/8</f>
        <v>0</v>
      </c>
      <c r="S347" s="1004">
        <f t="shared" ref="S347" si="6015">IF(5*(P347*Q347^3/(384*0.125))=0,0,5*(P347*Q347^3/(384*0.125)))</f>
        <v>0</v>
      </c>
      <c r="T347" s="1005"/>
      <c r="U347" s="877" t="e">
        <f ca="1">VLOOKUP(J351,INDIRECT(VLOOKUP(J347,FrameStrength,2,FALSE)),3,FALSE)</f>
        <v>#N/A</v>
      </c>
      <c r="V347" s="880">
        <f t="shared" ref="V347" si="6016">(H347+I347)/2</f>
        <v>0</v>
      </c>
      <c r="W347" s="883" t="e">
        <f t="shared" ref="W347" si="6017">MAX(-M347,N347)*O347</f>
        <v>#VALUE!</v>
      </c>
      <c r="X347" s="883">
        <f t="shared" ref="X347" si="6018">IF(E347&gt;162,(E347/240+0.25),IF(AND(E347&lt;162,E347/175&lt;0.75),E347/175,0.75))</f>
        <v>0</v>
      </c>
      <c r="Y347" s="886">
        <f>IFERROR(IF(AG$14="Trapezoidal",BY355,BX355)+IF($E$17="4",(400*E347^3)/(48*X347),0),0)</f>
        <v>0</v>
      </c>
      <c r="Z347" s="886" t="e">
        <f t="shared" ref="Z347" si="6019">+($V347*MAX(-$M347,$N347)*$E347^2)/(144*8)+IF($E$17=4,(400*$E347)/4,0)</f>
        <v>#VALUE!</v>
      </c>
      <c r="AA347" s="886" t="e">
        <f ca="1">VLOOKUP(J351,INDIRECT(VLOOKUP(J347,FrameStrength,2,FALSE)),2,FALSE)</f>
        <v>#N/A</v>
      </c>
      <c r="AB347" s="1083" t="str">
        <f t="shared" ref="AB347" ca="1" si="6020">IFERROR(Z347-AA347,"")</f>
        <v/>
      </c>
      <c r="AC347" s="1077" t="str">
        <f t="shared" ref="AC347" ca="1" si="6021">IFERROR(Y347-U347,"")</f>
        <v/>
      </c>
      <c r="AD347" s="1100" t="str">
        <f>IFERROR(IF(LEFT(J351,2)="As",VLOOKUP(J351,EIMM,4,FALSE),VLOOKUP(J347,EIMM,4,FALSE)),IF(AND(ISNUMBER(SEARCH("Impervia",J347)),ISNUMBER(SEARCH("door",J351))),'New Lookup Cells'!AF$10,IF(ISNUMBER(SEARCH("Impervia",J347)),'New Lookup Cells'!AF$7,IF(AND(ISNUMBER(SEARCH("250",J347)),ISNUMBER(SEARCH("door",J351))),'New Lookup Cells'!AF$14,IF(ISNUMBER(SEARCH("250",J347)),'New Lookup Cells'!AF$13,"")))))</f>
        <v/>
      </c>
      <c r="AE347" s="1101"/>
      <c r="AF347" s="1050"/>
      <c r="AG347" s="1051"/>
      <c r="AH347" s="1051"/>
      <c r="AI347" s="1088"/>
      <c r="AJ347" s="1089"/>
      <c r="AK347" s="154" t="str">
        <f t="shared" ca="1" si="4947"/>
        <v/>
      </c>
      <c r="AL347" s="1038" t="str">
        <f t="shared" ref="AL347" si="6022">IFERROR(ROUND(SQRT(P347^2+(W347/2+IF($E$17=4,200,0))^2),0),"")</f>
        <v/>
      </c>
      <c r="AM347" s="342" t="s">
        <v>669</v>
      </c>
      <c r="AN347" t="str">
        <f t="shared" ca="1" si="4971"/>
        <v/>
      </c>
      <c r="AP347" s="122" t="str">
        <f t="shared" ref="AP347" si="6023">_xlfn.CONCAT(AR347,AS352)</f>
        <v/>
      </c>
      <c r="AQ347" s="683" t="str">
        <f t="shared" si="5170"/>
        <v/>
      </c>
      <c r="AR347" s="96" t="str">
        <f t="shared" si="4931"/>
        <v/>
      </c>
      <c r="AS347" s="96" t="str">
        <f>IF(COUNTIF(imp_1,AF347)=1,"imp_1",IF(COUNTIF(imp_2,AF347)=1,"imp_2",IF(COUNTIF(imp_3,AF347)=1,"imp_3",IF(COUNTIF(impdoor,AF347)=1,"impdoor",""))))</f>
        <v/>
      </c>
      <c r="AT347" s="684" t="str">
        <f>AL347</f>
        <v/>
      </c>
      <c r="AU347" s="685" t="e">
        <f ca="1">MATCH(AL347,INDIRECT(AP347),-1)</f>
        <v>#REF!</v>
      </c>
      <c r="AV347" s="686" t="str">
        <f ca="1">IFERROR(VLOOKUP(AU347,INDIRECT(AQ347),2,FALSE),"----")</f>
        <v>----</v>
      </c>
      <c r="AW347" s="685" t="e">
        <f ca="1">MATCH(AL347,INDIRECT(AP348),-1)</f>
        <v>#REF!</v>
      </c>
      <c r="AX347" s="686" t="str">
        <f ca="1">IFERROR(VLOOKUP(AW347,INDIRECT(AQ348),2,FALSE),"----")</f>
        <v>----</v>
      </c>
      <c r="AY347" s="685" t="e">
        <f ca="1">MATCH(AL347,INDIRECT(AP349),-1)</f>
        <v>#REF!</v>
      </c>
      <c r="AZ347" s="686" t="str">
        <f ca="1">IFERROR(VLOOKUP(AY347,INDIRECT(AQ349),2,FALSE),"----")</f>
        <v>----</v>
      </c>
      <c r="BA347" s="685" t="e">
        <f ca="1">MATCH(AL347,INDIRECT(AP350),-1)</f>
        <v>#REF!</v>
      </c>
      <c r="BB347" s="686" t="str">
        <f ca="1">IFERROR(VLOOKUP(BA347,INDIRECT(AQ350),2,FALSE),"----")</f>
        <v>----</v>
      </c>
      <c r="BC347" s="685" t="e">
        <f ca="1">MATCH(AL347,INDIRECT(AP351),-1)</f>
        <v>#REF!</v>
      </c>
      <c r="BD347" s="686" t="str">
        <f ca="1">IFERROR(VLOOKUP(BC347,INDIRECT(AQ351),2,FALSE),"----")</f>
        <v>----</v>
      </c>
      <c r="BE347" s="685" t="e">
        <f ca="1">MATCH(AL347,INDIRECT(AP352),-1)</f>
        <v>#REF!</v>
      </c>
      <c r="BF347" s="686" t="str">
        <f ca="1">IFERROR(VLOOKUP(BE347,INDIRECT(AQ352),2,FALSE),"----")</f>
        <v>----</v>
      </c>
      <c r="BG347" s="685" t="e">
        <f ca="1">MATCH(AL353,INDIRECT(AP353),-1)</f>
        <v>#REF!</v>
      </c>
      <c r="BH347" s="686" t="str">
        <f ca="1">IFERROR(VLOOKUP(BG347,INDIRECT(AQ353),2,FALSE),"----")</f>
        <v>----</v>
      </c>
      <c r="BI347" s="685" t="e">
        <f ca="1">MATCH(AL353,INDIRECT(AP354),-1)</f>
        <v>#REF!</v>
      </c>
      <c r="BJ347" s="686" t="str">
        <f ca="1">IFERROR(VLOOKUP(BI347,INDIRECT(AQ354),2,FALSE),"----")</f>
        <v>----</v>
      </c>
      <c r="BK347" s="685" t="e">
        <f ca="1">MATCH(AL353,INDIRECT(AP355),-1)</f>
        <v>#REF!</v>
      </c>
      <c r="BL347" s="686" t="str">
        <f ca="1">IFERROR(VLOOKUP(BK347,INDIRECT(AQ355),2,FALSE),"----")</f>
        <v>----</v>
      </c>
      <c r="BM347" s="685" t="e">
        <f ca="1">MATCH(AL353,INDIRECT(AP356),-1)</f>
        <v>#REF!</v>
      </c>
      <c r="BN347" s="686" t="str">
        <f ca="1">IFERROR(VLOOKUP(BM347,INDIRECT(AQ356),2,FALSE),"----")</f>
        <v>----</v>
      </c>
      <c r="BO347" s="685" t="e">
        <f ca="1">MATCH(AL353,INDIRECT(AP357),-1)</f>
        <v>#REF!</v>
      </c>
      <c r="BP347" s="686" t="str">
        <f ca="1">IFERROR(VLOOKUP(BO347,INDIRECT(AQ357),2,FALSE),"----")</f>
        <v>----</v>
      </c>
      <c r="BQ347" s="685" t="e">
        <f ca="1">MATCH(AL353,INDIRECT(AP358),-1)</f>
        <v>#REF!</v>
      </c>
      <c r="BR347" s="686" t="str">
        <f ca="1">IFERROR(VLOOKUP(BQ347,INDIRECT(AQ358),2,FALSE),"----")</f>
        <v>----</v>
      </c>
      <c r="BS347" s="687">
        <f>IF(AI347="",1,IF(COUNTIF(AV347:AV358,AI347)=0,2,1))</f>
        <v>1</v>
      </c>
      <c r="BT347" s="688">
        <f>IF(AP347="1",1,IF(AF347="",1,IF(AV347=".",2,1)))</f>
        <v>1</v>
      </c>
      <c r="BU347" s="706"/>
      <c r="BV347" s="155">
        <f ca="1">IF(COUNTIF(CE347:CE358,AF347)=0,IF(AF347&lt;&gt;"",0,1),1)</f>
        <v>1</v>
      </c>
      <c r="BW347" s="157">
        <f ca="1">IFERROR(MATCH(AF347,CE347:CE358,0),1)</f>
        <v>1</v>
      </c>
      <c r="BX347" s="769" t="str">
        <f>IFERROR(IF(LEFT(J351,2)="As",VLOOKUP(J351,EIMM,2,FALSE),IF(AND(ISNUMBER(SEARCH("Impervia",J347)),ISNUMBER(SEARCH("door",J351))),VLOOKUP("Impervia Door",EIMM,2,FALSE),IF(AND(ISNUMBER(SEARCH("250",J347)),ISNUMBER(SEARCH("door",J351))),VLOOKUP("250 Series Door",EIMM,2,FALSE),VLOOKUP(J347,EIMM,2,FALSE)))),"")</f>
        <v/>
      </c>
      <c r="BY347" s="769" t="str">
        <f ca="1">IFERROR(VLOOKUP(BX347,OFFSET(EIMM,0,1),2,FALSE),"")</f>
        <v/>
      </c>
      <c r="BZ347" s="1110" t="e">
        <f ca="1">IF((COUNTIF(INDIRECT(SUBSTITUTE(J347," ","_")),J351))=0,IF(J351="",1,0),1)</f>
        <v>#REF!</v>
      </c>
      <c r="CA347" s="691" t="e">
        <f ca="1">MATCH(AC347,INDIRECT(BX347),-1)</f>
        <v>#REF!</v>
      </c>
      <c r="CB347" s="4" t="e" cm="1">
        <f t="array" aca="1" ref="CB347" ca="1">IF(AND(INDEX(INDIRECT(BY347),CA347,4)&gt;=$AB347,INDEX(INDIRECT(BY347),CA347,5)&gt;=$S347,INDEX(INDIRECT(BY347),CA347,6)&gt;=$R347),1,0)</f>
        <v>#REF!</v>
      </c>
      <c r="CC347" s="4" t="e">
        <f t="shared" ref="CC347" ca="1" si="6024">MATCH(1,OFFSET(CB347:CB358,$W$2,0,COUNT(CB347:CB358)-$W$2),0)</f>
        <v>#REF!</v>
      </c>
      <c r="CD347" s="4" t="e">
        <f t="shared" ref="CD347" ca="1" si="6025">$W$2+CC347</f>
        <v>#REF!</v>
      </c>
      <c r="CE347" s="692" t="str" cm="1">
        <f t="array" aca="1" ref="CE347" ca="1">IFERROR(VLOOKUP(INDEX(CA347:CA358,CD347),INDIRECT(BY347),2,FALSE),"----")</f>
        <v>----</v>
      </c>
      <c r="CF347" s="691" t="e">
        <f ca="1">MATCH($AC347,SSEI,-1)</f>
        <v>#N/A</v>
      </c>
      <c r="CG347" s="4" t="e">
        <f ca="1">IF(AND(INDEX(SSM,CF347,4)&gt;=$AB347,INDEX(SSM,CF347,5)&gt;=$S347,INDEX(SSM,CF347,6)&gt;=$R347),1,0)</f>
        <v>#N/A</v>
      </c>
      <c r="CH347" s="4" t="e">
        <f t="shared" ref="CH347" ca="1" si="6026">MATCH(1,OFFSET(CG347:CG358,$W$2,0,COUNT(CG347:CG358)-$W$2),0)</f>
        <v>#REF!</v>
      </c>
      <c r="CI347" s="4" t="e">
        <f t="shared" ref="CI347" ca="1" si="6027">$W$2+CH347</f>
        <v>#REF!</v>
      </c>
      <c r="CJ347" s="692" t="str">
        <f ca="1">IFERROR(IF(AD348="Nested Steel Stud (wood infill)",VLOOKUP(INDEX(CF347:CF358,CI347),SSW,2,FALSE),VLOOKUP(INDEX(CF347:CF358,CI347),SSM,2,FALSE)),"----")</f>
        <v>----</v>
      </c>
      <c r="CK347" s="691" t="e">
        <f ca="1">MATCH($AC347,WSEI,-1)</f>
        <v>#N/A</v>
      </c>
      <c r="CL347" s="4" t="e">
        <f ca="1">IF(AND(INDEX(WSM,CK347,4)&gt;=$AB347,INDEX(WSM,CK347,5)&gt;=$S347,INDEX(WSM,CK347,6)&gt;=$R347),1,0)</f>
        <v>#N/A</v>
      </c>
      <c r="CM347" s="4" t="e">
        <f t="shared" ref="CM347" ca="1" si="6028">MATCH(1,OFFSET(CL347:CL358,$W$2,0,COUNT(CL347:CL358)-$W$2),0)</f>
        <v>#REF!</v>
      </c>
      <c r="CN347" s="4" t="e">
        <f t="shared" ref="CN347" ca="1" si="6029">$W$2+CM347</f>
        <v>#REF!</v>
      </c>
      <c r="CO347" s="692" t="str">
        <f ca="1">IFERROR(VLOOKUP(INDEX(CK347:CK358,CN347),WSM,2,FALSE),"----")</f>
        <v>----</v>
      </c>
      <c r="CP347" s="691" t="e">
        <f ca="1">MATCH($AC347,STEI,-1)</f>
        <v>#N/A</v>
      </c>
      <c r="CQ347" s="4" t="e">
        <f ca="1">IF(AND(INDEX(STM,CP347,4)&gt;=$AB347,INDEX(STM,CP347,5)&gt;=$S347,INDEX(STM,CP347,6)&gt;=$R347),1,0)</f>
        <v>#N/A</v>
      </c>
      <c r="CR347" s="4" t="e">
        <f t="shared" ref="CR347" ca="1" si="6030">MATCH(1,OFFSET(CQ347:CQ358,$W$2,0,COUNT(CQ347:CQ358)-$W$2),0)</f>
        <v>#REF!</v>
      </c>
      <c r="CS347" s="4" t="e">
        <f t="shared" ref="CS347" ca="1" si="6031">$W$2+CR347</f>
        <v>#REF!</v>
      </c>
      <c r="CT347" s="692" t="str">
        <f ca="1">IFERROR(VLOOKUP(INDEX(CP347:CP358,CS347),STM,2,FALSE),"----")</f>
        <v>----</v>
      </c>
      <c r="CU347" s="691" t="e">
        <f ca="1">MATCH($AC347,ELEI,-1)</f>
        <v>#N/A</v>
      </c>
      <c r="CV347" s="4" t="e">
        <f ca="1">IF(AND(INDEX(ELM,CU347,4)&gt;=$AB347,INDEX(ELM,CU347,5)&gt;=$S347,INDEX(ELM,CU347,6)&gt;=$R347),1,0)</f>
        <v>#N/A</v>
      </c>
      <c r="CW347" s="4" t="e">
        <f t="shared" ref="CW347" ca="1" si="6032">MATCH(1,OFFSET(CV347:CV358,$W$2,0,COUNT(CV347:CV358)-$W$2),0)</f>
        <v>#REF!</v>
      </c>
      <c r="CX347" s="4" t="e">
        <f t="shared" ref="CX347" ca="1" si="6033">$W$2+CW347</f>
        <v>#REF!</v>
      </c>
      <c r="CY347" s="692" t="str">
        <f ca="1">IFERROR(VLOOKUP(INDEX(CU347:CU358,CX347),ELM,2,FALSE),"----")</f>
        <v>----</v>
      </c>
      <c r="CZ347" s="691" t="e">
        <f ca="1">IF(LEFT($J347,7)="Clad Wo",MATCH($AC347,SPEIW,-1),MATCH($AC347,SPEI,-1))</f>
        <v>#N/A</v>
      </c>
      <c r="DA347" s="4" t="e">
        <f ca="1">IF(LEFT($J347,7)="Clad Wo",IF(AND(INDEX(SPPWS,CZ347,4)&gt;=$AB347,INDEX(SPPWS,CZ347,5)&gt;=$S347,INDEX(SPPWS,CZ347,6)&gt;=$R347),1,0),IF(AND(INDEX(SPM,CZ347,4)&gt;=$AB347,INDEX(SPM,CZ347,5)&gt;=$S347,INDEX(SPM,CZ347,6)&gt;=$R347),1,0))</f>
        <v>#N/A</v>
      </c>
      <c r="DB347" s="4" t="e">
        <f t="shared" ref="DB347" ca="1" si="6034">MATCH(1,OFFSET(DA347:DA358,$W$2,0,COUNT(DA347:DA358)-$W$2),0)</f>
        <v>#REF!</v>
      </c>
      <c r="DC347" s="4" t="e">
        <f t="shared" ref="DC347" ca="1" si="6035">$W$2+DB347</f>
        <v>#REF!</v>
      </c>
      <c r="DD347" s="693" t="str">
        <f ca="1">IF(LEFT($J347,7)="Clad Wo",IFERROR(VLOOKUP(INDEX(CZ347:CZ358,DC347),SPPWS,2,FALSE),"----"),IFERROR(VLOOKUP(INDEX(CZ347:CZ358,DC347),SPM,2,FALSE),"----"))</f>
        <v>----</v>
      </c>
      <c r="DE347" s="691" t="e">
        <f ca="1">MATCH(AC353,INDIRECT(BX347),-1)</f>
        <v>#REF!</v>
      </c>
      <c r="DF347" s="4" t="e" cm="1">
        <f t="array" aca="1" ref="DF347" ca="1">IF(AND(INDEX(INDIRECT(BY347),DE347,4)&gt;=$AB353,INDEX(INDIRECT(BY347),DE347,5)&gt;=$S347,INDEX(INDIRECT(BY347),DE347,6)&gt;=$R347),1,0)</f>
        <v>#REF!</v>
      </c>
      <c r="DG347" s="4" t="e">
        <f t="shared" ref="DG347" ca="1" si="6036">MATCH(1,OFFSET(DF347:DF358,$W$2,0,COUNT(DF347:DF358)-$W$2),0)</f>
        <v>#REF!</v>
      </c>
      <c r="DH347" s="4" t="e">
        <f t="shared" ref="DH347" ca="1" si="6037">$W$2+DG347</f>
        <v>#REF!</v>
      </c>
      <c r="DI347" s="692" t="str" cm="1">
        <f t="array" aca="1" ref="DI347" ca="1">IFERROR(VLOOKUP(INDEX(DE347:DE358,DH347),INDIRECT(BY347),2,FALSE),"----")</f>
        <v>----</v>
      </c>
      <c r="DJ347" s="691" t="e">
        <f ca="1">MATCH($AC353,SSEI,-1)</f>
        <v>#N/A</v>
      </c>
      <c r="DK347" s="4" t="e">
        <f ca="1">IF(AND(INDEX(SSM,DJ347,4)&gt;=$AB353,INDEX(SSM,DJ347,5)&gt;=$S347,INDEX(SSM,DJ347,6)&gt;=$R347),1,0)</f>
        <v>#N/A</v>
      </c>
      <c r="DL347" s="4" t="e">
        <f t="shared" ref="DL347" ca="1" si="6038">MATCH(1,OFFSET(DK347:DK358,$W$2,0,COUNT(DK347:DK358)-$W$2),0)</f>
        <v>#REF!</v>
      </c>
      <c r="DM347" s="4" t="e">
        <f t="shared" ref="DM347" ca="1" si="6039">$W$2+DL347</f>
        <v>#REF!</v>
      </c>
      <c r="DN347" s="692" t="str">
        <f ca="1">IFERROR(IF(AD354="Nested Steel Stud (wood infill)",VLOOKUP(INDEX(DJ347:DJ358,DM347),SSW,2,FALSE),VLOOKUP(INDEX(DJ347:DJ358,DM347),SSM,2,FALSE)),"----")</f>
        <v>----</v>
      </c>
      <c r="DO347" s="691" t="e">
        <f ca="1">MATCH($AC353,WSEI,-1)</f>
        <v>#N/A</v>
      </c>
      <c r="DP347" s="4" t="e">
        <f ca="1">IF(AND(INDEX(WSM,DO347,4)&gt;=$AB353,INDEX(WSM,DO347,5)&gt;=$S347,INDEX(WSM,DO347,6)&gt;=$R347),1,0)</f>
        <v>#N/A</v>
      </c>
      <c r="DQ347" s="4" t="e">
        <f t="shared" ref="DQ347" ca="1" si="6040">MATCH(1,OFFSET(DP347:DP358,$W$2,0,COUNT(DP347:DP358)-$W$2),0)</f>
        <v>#REF!</v>
      </c>
      <c r="DR347" s="4" t="e">
        <f t="shared" ref="DR347" ca="1" si="6041">$W$2+DQ347</f>
        <v>#REF!</v>
      </c>
      <c r="DS347" s="692" t="str">
        <f ca="1">IFERROR(VLOOKUP(INDEX(DO347:DO358,DR347),WSM,2,FALSE),"----")</f>
        <v>----</v>
      </c>
      <c r="DT347" s="691" t="e">
        <f ca="1">MATCH($AC353,STEI,-1)</f>
        <v>#N/A</v>
      </c>
      <c r="DU347" s="4" t="e">
        <f ca="1">IF(AND(INDEX(STM,DT347,4)&gt;=$AB353,INDEX(STM,DT347,5)&gt;=$S347,INDEX(STM,DT347,6)&gt;=$R347),1,0)</f>
        <v>#N/A</v>
      </c>
      <c r="DV347" s="4" t="e">
        <f t="shared" ref="DV347" ca="1" si="6042">MATCH(1,OFFSET(DU347:DU358,$W$2,0,COUNT(DU347:DU358)-$W$2),0)</f>
        <v>#REF!</v>
      </c>
      <c r="DW347" s="4" t="e">
        <f t="shared" ref="DW347" ca="1" si="6043">$W$2+DV347</f>
        <v>#REF!</v>
      </c>
      <c r="DX347" s="692" t="str">
        <f ca="1">IFERROR(VLOOKUP(INDEX(DT347:DT358,DW347),STM,2,FALSE),"----")</f>
        <v>----</v>
      </c>
      <c r="DY347" s="691" t="e">
        <f ca="1">MATCH($AC353,ELEI,-1)</f>
        <v>#N/A</v>
      </c>
      <c r="DZ347" s="4" t="e">
        <f ca="1">IF(AND(INDEX(ELM,DY347,4)&gt;=$AB353,INDEX(ELM,DY347,5)&gt;=$S347,INDEX(ELM,DY347,6)&gt;=$R347),1,0)</f>
        <v>#N/A</v>
      </c>
      <c r="EA347" s="4" t="e">
        <f t="shared" ref="EA347" ca="1" si="6044">MATCH(1,OFFSET(DZ347:DZ358,$W$2,0,COUNT(DZ347:DZ358)-$W$2),0)</f>
        <v>#REF!</v>
      </c>
      <c r="EB347" s="4" t="e">
        <f t="shared" ref="EB347" ca="1" si="6045">EA347+$W$2</f>
        <v>#REF!</v>
      </c>
      <c r="EC347" s="692" t="str">
        <f ca="1">IFERROR(VLOOKUP(INDEX(DY347:DY358,EB347),ELM,2,FALSE),"----")</f>
        <v>----</v>
      </c>
      <c r="ED347" s="691" t="e">
        <f ca="1">IF(LEFT($J347,7)="Clad Wo",MATCH($AC353,SPEIW,-1),MATCH($AC353,SPEI,-1))</f>
        <v>#N/A</v>
      </c>
      <c r="EE347" s="4" t="e">
        <f ca="1">IF(LEFT($J347,7)="Clad Wo",IF(AND(INDEX(SPPWS,ED347,4)&gt;=$AB353,INDEX(SPPWS,ED347,5)&gt;=$S347,INDEX(SPPWS,ED347,6)&gt;=$R347),1,0),IF(AND(INDEX(SPM,ED347,4)&gt;=$AB353,INDEX(SPM,ED347,5)&gt;=$S347,INDEX(SPM,ED347,6)&gt;=$R347),1,0))</f>
        <v>#N/A</v>
      </c>
      <c r="EF347" s="4" t="e">
        <f t="shared" ref="EF347" ca="1" si="6046">MATCH(1,OFFSET(EE347:EE358,$W$2,0,COUNT(EE347:EE358)-$W$2),0)</f>
        <v>#REF!</v>
      </c>
      <c r="EG347" s="4" t="e">
        <f t="shared" ref="EG347" ca="1" si="6047">$W$2+EF347</f>
        <v>#REF!</v>
      </c>
      <c r="EH347" s="692" t="str">
        <f ca="1">IF(LEFT($J347,7)="Clad Wo",IFERROR(VLOOKUP(INDEX(ED347:ED358,EG347),SPPWS,2,FALSE),"----"),IFERROR(VLOOKUP(INDEX(ED347:ED358,EG347),SPM,2,FALSE),"----"))</f>
        <v>----</v>
      </c>
    </row>
    <row r="348" spans="1:138" ht="15" customHeight="1" x14ac:dyDescent="0.25">
      <c r="A348" s="1085"/>
      <c r="B348" s="925"/>
      <c r="C348" s="926"/>
      <c r="D348" s="927"/>
      <c r="E348" s="995"/>
      <c r="F348" s="996"/>
      <c r="G348" s="997"/>
      <c r="H348" s="1062"/>
      <c r="I348" s="990"/>
      <c r="J348" s="908"/>
      <c r="K348" s="909"/>
      <c r="L348" s="1002"/>
      <c r="M348" s="923"/>
      <c r="N348" s="1042"/>
      <c r="O348" s="1018"/>
      <c r="P348" s="987"/>
      <c r="Q348" s="1015"/>
      <c r="R348" s="1012"/>
      <c r="S348" s="1006"/>
      <c r="T348" s="1007"/>
      <c r="U348" s="878"/>
      <c r="V348" s="881"/>
      <c r="W348" s="884"/>
      <c r="X348" s="884"/>
      <c r="Y348" s="887"/>
      <c r="Z348" s="887"/>
      <c r="AA348" s="887"/>
      <c r="AB348" s="1081"/>
      <c r="AC348" s="1078"/>
      <c r="AD348" s="1102" t="s">
        <v>38</v>
      </c>
      <c r="AE348" s="1103"/>
      <c r="AF348" s="1052"/>
      <c r="AG348" s="1053"/>
      <c r="AH348" s="1053"/>
      <c r="AI348" s="1066"/>
      <c r="AJ348" s="1067"/>
      <c r="AK348" s="156" t="str">
        <f t="shared" ca="1" si="4947"/>
        <v/>
      </c>
      <c r="AL348" s="1039"/>
      <c r="AM348" s="343" t="str">
        <f ca="1">IFERROR(Q347/12*ROUND(VLOOKUP(AF348,OFFSET(SSM,0,1),6,FALSE),2),"")</f>
        <v/>
      </c>
      <c r="AN348" t="str">
        <f t="shared" ca="1" si="4971"/>
        <v/>
      </c>
      <c r="AP348" s="122" t="str">
        <f t="shared" ref="AP348" si="6048">_xlfn.CONCAT(AR348,AS352)</f>
        <v/>
      </c>
      <c r="AQ348" s="683" t="str">
        <f t="shared" si="5170"/>
        <v/>
      </c>
      <c r="AR348" s="96" t="str">
        <f t="shared" si="4931"/>
        <v/>
      </c>
      <c r="AS348" s="96" t="str">
        <f>IF(COUNTIF(Vista_1,AF347)=1,"Vista_1",IF(COUNTIF(Vista_2,AF347)=1,"Vista_2",""))</f>
        <v/>
      </c>
      <c r="AT348" s="684" t="str">
        <f>AL347</f>
        <v/>
      </c>
      <c r="AU348" s="694" t="e">
        <f t="shared" ref="AU348" ca="1" si="6049">AU347-1</f>
        <v>#REF!</v>
      </c>
      <c r="AV348" s="686" t="str">
        <f ca="1">IFERROR(VLOOKUP(AU348,INDIRECT(AQ347),2,FALSE),"----")</f>
        <v>----</v>
      </c>
      <c r="AW348" s="694" t="e">
        <f t="shared" ref="AW348:AW349" ca="1" si="6050">AW347-1</f>
        <v>#REF!</v>
      </c>
      <c r="AX348" s="686" t="str">
        <f ca="1">IFERROR(VLOOKUP(AW348,INDIRECT(AQ348),2,FALSE),"----")</f>
        <v>----</v>
      </c>
      <c r="AY348" s="694" t="e">
        <f t="shared" ref="AY348:AY349" ca="1" si="6051">AY347-1</f>
        <v>#REF!</v>
      </c>
      <c r="AZ348" s="686" t="str">
        <f ca="1">IFERROR(VLOOKUP(AY348,INDIRECT(AQ349),2,FALSE),"----")</f>
        <v>----</v>
      </c>
      <c r="BA348" s="694" t="e">
        <f t="shared" ref="BA348:BA349" ca="1" si="6052">BA347-1</f>
        <v>#REF!</v>
      </c>
      <c r="BB348" s="686" t="str">
        <f ca="1">IFERROR(VLOOKUP(BA348,INDIRECT(AQ350),2,FALSE),"----")</f>
        <v>----</v>
      </c>
      <c r="BC348" s="694" t="e">
        <f t="shared" ref="BC348:BC349" ca="1" si="6053">BC347-1</f>
        <v>#REF!</v>
      </c>
      <c r="BD348" s="686" t="str">
        <f ca="1">IFERROR(VLOOKUP(BC348,INDIRECT(AQ351),2,FALSE),"----")</f>
        <v>----</v>
      </c>
      <c r="BE348" s="694" t="e">
        <f t="shared" ref="BE348" ca="1" si="6054">BE347-1</f>
        <v>#REF!</v>
      </c>
      <c r="BF348" s="686" t="str">
        <f ca="1">IFERROR(VLOOKUP(BE348,INDIRECT(AQ352),2,FALSE),"----")</f>
        <v>----</v>
      </c>
      <c r="BG348" s="694" t="e">
        <f t="shared" ref="BG348" ca="1" si="6055">BG347-1</f>
        <v>#REF!</v>
      </c>
      <c r="BH348" s="686" t="str">
        <f ca="1">IFERROR(VLOOKUP(BG348,INDIRECT(AQ353),2,FALSE),"----")</f>
        <v>----</v>
      </c>
      <c r="BI348" s="694" t="e">
        <f t="shared" ref="BI348:BI349" ca="1" si="6056">BI347-1</f>
        <v>#REF!</v>
      </c>
      <c r="BJ348" s="686" t="str">
        <f ca="1">IFERROR(VLOOKUP(BI348,INDIRECT(AQ354),2,FALSE),"----")</f>
        <v>----</v>
      </c>
      <c r="BK348" s="694" t="e">
        <f t="shared" ref="BK348:BK349" ca="1" si="6057">BK347-1</f>
        <v>#REF!</v>
      </c>
      <c r="BL348" s="686" t="str">
        <f ca="1">IFERROR(VLOOKUP(BK348,INDIRECT(AQ355),2,FALSE),"----")</f>
        <v>----</v>
      </c>
      <c r="BM348" s="694" t="e">
        <f t="shared" ref="BM348:BM349" ca="1" si="6058">BM347-1</f>
        <v>#REF!</v>
      </c>
      <c r="BN348" s="686" t="str">
        <f ca="1">IFERROR(VLOOKUP(BM348,INDIRECT(AQ356),2,FALSE),"----")</f>
        <v>----</v>
      </c>
      <c r="BO348" s="694" t="e">
        <f t="shared" ref="BO348:BO349" ca="1" si="6059">BO347-1</f>
        <v>#REF!</v>
      </c>
      <c r="BP348" s="686" t="str">
        <f ca="1">IFERROR(VLOOKUP(BO348,INDIRECT(AQ357),2,FALSE),"----")</f>
        <v>----</v>
      </c>
      <c r="BQ348" s="694" t="e">
        <f t="shared" ref="BQ348" ca="1" si="6060">BQ347-1</f>
        <v>#REF!</v>
      </c>
      <c r="BR348" s="686" t="str">
        <f ca="1">IFERROR(VLOOKUP(BQ348,INDIRECT(AQ358),2,FALSE),"----")</f>
        <v>----</v>
      </c>
      <c r="BS348" s="695">
        <f>IF(AI348="",1,IF(COUNTIF(AX347:AX358,AI348)=0,2,1))</f>
        <v>1</v>
      </c>
      <c r="BT348" s="696">
        <f>IF(AF348="",1,IF(AX347=".",2,1))</f>
        <v>1</v>
      </c>
      <c r="BU348" s="706"/>
      <c r="BV348" s="155">
        <f ca="1">IF(COUNTIF(CJ347:CJ358,AF348)=0,IF(AF348&lt;&gt;"",0,1),1)</f>
        <v>1</v>
      </c>
      <c r="BW348" s="157">
        <f ca="1">IFERROR(MATCH(AF348,CJ347:CJ358,0),1)</f>
        <v>1</v>
      </c>
      <c r="BX348" s="769"/>
      <c r="BY348" s="769"/>
      <c r="BZ348" s="1110"/>
      <c r="CA348" s="691" t="e">
        <f t="shared" ref="CA348:CA358" ca="1" si="6061">CA347-1</f>
        <v>#REF!</v>
      </c>
      <c r="CB348" s="4" t="e" cm="1">
        <f t="array" aca="1" ref="CB348" ca="1">IF(AND(INDEX(INDIRECT(BY347),CA348,4)&gt;=$AB347,INDEX(INDIRECT(BY347),CA348,5)&gt;=$S347,INDEX(INDIRECT(BY347),CA348,6)&gt;=$R347),1,0)</f>
        <v>#REF!</v>
      </c>
      <c r="CC348" s="4" t="e">
        <f t="shared" ref="CC348" ca="1" si="6062">MATCH(1,OFFSET(CB347:CB358,CD347,0,COUNT(CB347:CB358)-CD347),0)</f>
        <v>#REF!</v>
      </c>
      <c r="CD348" s="4" t="e">
        <f t="shared" ref="CD348:CD358" ca="1" si="6063">CD347+CC348</f>
        <v>#REF!</v>
      </c>
      <c r="CE348" s="692" t="str" cm="1">
        <f t="array" aca="1" ref="CE348" ca="1">IFERROR(VLOOKUP(INDEX(CA347:CA358,CD348),INDIRECT(BY347),2,FALSE),"----")</f>
        <v>----</v>
      </c>
      <c r="CF348" s="691" t="e">
        <f t="shared" ref="CF348:CF358" ca="1" si="6064">CF347-1</f>
        <v>#N/A</v>
      </c>
      <c r="CG348" s="4" t="e">
        <f ca="1">IF(AND(INDEX(SSM,CF348,4)&gt;=$AB347,INDEX(SSM,CF348,5)&gt;=$S347,INDEX(SSM,CF348,6)&gt;=$R347),1,0)</f>
        <v>#N/A</v>
      </c>
      <c r="CH348" s="4" t="e">
        <f t="shared" ref="CH348" ca="1" si="6065">MATCH(1,OFFSET(CG347:CG358,CI347,0,COUNT(CG347:CG358)-CI347),0)</f>
        <v>#REF!</v>
      </c>
      <c r="CI348" s="4" t="e">
        <f t="shared" ref="CI348:CI358" ca="1" si="6066">CI347+CH348</f>
        <v>#REF!</v>
      </c>
      <c r="CJ348" s="692" t="str">
        <f ca="1">IFERROR(IF(AD348="Nested Steel Stud (wood infill)",VLOOKUP(INDEX(CF347:CF358,CI348),SSW,2,FALSE),VLOOKUP(INDEX(CF347:CF358,CI348),SSM,2,FALSE)),"----")</f>
        <v>----</v>
      </c>
      <c r="CK348" s="691" t="e">
        <f t="shared" ref="CK348:CK358" ca="1" si="6067">CK347-1</f>
        <v>#N/A</v>
      </c>
      <c r="CL348" s="4" t="e">
        <f ca="1">IF(AND(INDEX(WSM,CK348,4)&gt;=$AB347,INDEX(WSM,CK348,5)&gt;=$S347,INDEX(WSM,CK348,6)&gt;=$R347),1,0)</f>
        <v>#N/A</v>
      </c>
      <c r="CM348" s="4" t="e">
        <f t="shared" ref="CM348" ca="1" si="6068">MATCH(1,OFFSET(CL347:CL358,CN347,0,COUNT(CL347:CL358)-CN347),0)</f>
        <v>#REF!</v>
      </c>
      <c r="CN348" s="4" t="e">
        <f t="shared" ref="CN348:CN358" ca="1" si="6069">CM348+CN347</f>
        <v>#REF!</v>
      </c>
      <c r="CO348" s="692" t="str">
        <f ca="1">IFERROR(VLOOKUP(INDEX(CK347:CK358,CN348),WSM,2,FALSE),"----")</f>
        <v>----</v>
      </c>
      <c r="CP348" s="691" t="e">
        <f t="shared" ref="CP348:CP358" ca="1" si="6070">CP347-1</f>
        <v>#N/A</v>
      </c>
      <c r="CQ348" s="4" t="e">
        <f ca="1">IF(AND(INDEX(STM,CP348,4)&gt;=$AB347,INDEX(STM,CP348,5)&gt;=$S347,INDEX(STM,CP348,6)&gt;=$R347),1,0)</f>
        <v>#N/A</v>
      </c>
      <c r="CR348" s="4" t="e">
        <f t="shared" ref="CR348" ca="1" si="6071">MATCH(1,OFFSET(CQ347:CQ358,CS347,0,COUNT(CQ347:CQ358)-CS347),0)</f>
        <v>#REF!</v>
      </c>
      <c r="CS348" s="4" t="e">
        <f t="shared" ref="CS348:CS358" ca="1" si="6072">CR348+CS347</f>
        <v>#REF!</v>
      </c>
      <c r="CT348" s="692" t="str">
        <f ca="1">IFERROR(VLOOKUP(INDEX(CP347:CP358,CS348),STM,2,FALSE),"----")</f>
        <v>----</v>
      </c>
      <c r="CU348" s="691" t="e">
        <f t="shared" ref="CU348:CU358" ca="1" si="6073">CU347-1</f>
        <v>#N/A</v>
      </c>
      <c r="CV348" s="4" t="e">
        <f ca="1">IF(AND(INDEX(ELM,CU348,4)&gt;=$AB347,INDEX(ELM,CU348,5)&gt;=$S347,INDEX(ELM,CU348,6)&gt;=$R347),1,0)</f>
        <v>#N/A</v>
      </c>
      <c r="CW348" s="4" t="e">
        <f t="shared" ref="CW348" ca="1" si="6074">MATCH(1,OFFSET(CV347:CV358,CX347,0,COUNT(CV347:CV358)-CX347),0)</f>
        <v>#REF!</v>
      </c>
      <c r="CX348" s="4" t="e">
        <f t="shared" ref="CX348:CX358" ca="1" si="6075">CW348+CX347</f>
        <v>#REF!</v>
      </c>
      <c r="CY348" s="692" t="str">
        <f ca="1">IFERROR(VLOOKUP(INDEX(CU347:CU358,CX348),ELM,2,FALSE),"----")</f>
        <v>----</v>
      </c>
      <c r="CZ348" s="691" t="e">
        <f t="shared" ref="CZ348:CZ358" ca="1" si="6076">CZ347-1</f>
        <v>#N/A</v>
      </c>
      <c r="DA348" s="4" t="e">
        <f ca="1">IF(LEFT($J347,7)="Clad Wo",IF(AND(INDEX(SPPWS,CZ348,4)&gt;=$AB347,INDEX(SPPWS,CZ348,5)&gt;=$S347,INDEX(SPPWS,CZ348,6)&gt;=$R347),1,0),IF(AND(INDEX(SPM,CZ348,4)&gt;=$AB347,INDEX(SPM,CZ348,5)&gt;=$S347,INDEX(SPM,CZ348,6)&gt;=$R347),1,0))</f>
        <v>#N/A</v>
      </c>
      <c r="DB348" s="4" t="e">
        <f t="shared" ref="DB348" ca="1" si="6077">MATCH(1,OFFSET(DA347:DA358,DC347,0,COUNT(DA347:DA358)-DC347),0)</f>
        <v>#REF!</v>
      </c>
      <c r="DC348" s="4" t="e">
        <f t="shared" ref="DC348:DC358" ca="1" si="6078">DC347+DB348</f>
        <v>#REF!</v>
      </c>
      <c r="DD348" s="693" t="str">
        <f ca="1">IF(LEFT($J347,7)="Clad Wo",IFERROR(VLOOKUP(INDEX(CZ347:CZ358,DC348),SPPWS,2,FALSE),"----"),IFERROR(VLOOKUP(INDEX(CZ347:CZ358,DC348),SPM,2,FALSE),"----"))</f>
        <v>----</v>
      </c>
      <c r="DE348" s="691" t="e">
        <f t="shared" ref="DE348:DE358" ca="1" si="6079">DE347-1</f>
        <v>#REF!</v>
      </c>
      <c r="DF348" s="4" t="e" cm="1">
        <f t="array" aca="1" ref="DF348" ca="1">IF(AND(INDEX(INDIRECT(BY347),DE348,4)&gt;=$AB353,INDEX(INDIRECT(BY347),DE348,5)&gt;=$S347,INDEX(INDIRECT(BY347),DE348,6)&gt;=$R347),1,0)</f>
        <v>#REF!</v>
      </c>
      <c r="DG348" s="4" t="e">
        <f t="shared" ref="DG348" ca="1" si="6080">MATCH(1,OFFSET(DF347:DF358,DH347,0,COUNT(DF347:DF358)-DH347),0)</f>
        <v>#REF!</v>
      </c>
      <c r="DH348" s="4" t="e">
        <f t="shared" ref="DH348:DH358" ca="1" si="6081">DH347+DG348</f>
        <v>#REF!</v>
      </c>
      <c r="DI348" s="692" t="str" cm="1">
        <f t="array" aca="1" ref="DI348" ca="1">IFERROR(VLOOKUP(INDEX(DE347:DE358,DH348),INDIRECT(BY347),2,FALSE),"----")</f>
        <v>----</v>
      </c>
      <c r="DJ348" s="691" t="e">
        <f t="shared" ref="DJ348:DJ358" ca="1" si="6082">DJ347-1</f>
        <v>#N/A</v>
      </c>
      <c r="DK348" s="4" t="e">
        <f ca="1">IF(AND(INDEX(SSM,DJ348,4)&gt;=$AB353,INDEX(SSM,DJ348,5)&gt;=$S347,INDEX(SSM,DJ348,6)&gt;=$R347),1,0)</f>
        <v>#N/A</v>
      </c>
      <c r="DL348" s="4" t="e">
        <f t="shared" ref="DL348" ca="1" si="6083">MATCH(1,OFFSET(DK347:DK358,DM347,0,COUNT(DK347:DK358)-DM347),0)</f>
        <v>#REF!</v>
      </c>
      <c r="DM348" s="4" t="e">
        <f t="shared" ref="DM348:DM358" ca="1" si="6084">DL348+DM347</f>
        <v>#REF!</v>
      </c>
      <c r="DN348" s="692" t="str">
        <f ca="1">IFERROR(IF(AD354="Nested Steel Stud (wood infill)",VLOOKUP(INDEX(DJ347:DJ358,DM348),SSW,2,FALSE),VLOOKUP(INDEX(DJ347:DJ358,DM348),SSM,2,FALSE)),"----")</f>
        <v>----</v>
      </c>
      <c r="DO348" s="691" t="e">
        <f t="shared" ref="DO348:DO358" ca="1" si="6085">DO347-1</f>
        <v>#N/A</v>
      </c>
      <c r="DP348" s="4" t="e">
        <f ca="1">IF(AND(INDEX(WSM,DO348,4)&gt;=$AB353,INDEX(WSM,DO348,5)&gt;=$S347,INDEX(WSM,DO348,6)&gt;=$R347),1,0)</f>
        <v>#N/A</v>
      </c>
      <c r="DQ348" s="4" t="e">
        <f t="shared" ref="DQ348" ca="1" si="6086">MATCH(1,OFFSET(DP347:DP358,DR347,0,COUNT(DP347:DP358)-DR347),0)</f>
        <v>#REF!</v>
      </c>
      <c r="DR348" s="4" t="e">
        <f t="shared" ref="DR348:DR358" ca="1" si="6087">DQ348+DR347</f>
        <v>#REF!</v>
      </c>
      <c r="DS348" s="692" t="str">
        <f ca="1">IFERROR(VLOOKUP(INDEX(DO347:DO358,DR348),WSM,2,FALSE),"----")</f>
        <v>----</v>
      </c>
      <c r="DT348" s="691" t="e">
        <f t="shared" ref="DT348:DT358" ca="1" si="6088">DT347-1</f>
        <v>#N/A</v>
      </c>
      <c r="DU348" s="4" t="e">
        <f ca="1">IF(AND(INDEX(STM,DT348,4)&gt;=$AB353,INDEX(STM,DT348,5)&gt;=$S347,INDEX(STM,DT348,6)&gt;=$R347),1,0)</f>
        <v>#N/A</v>
      </c>
      <c r="DV348" s="4" t="e">
        <f t="shared" ref="DV348" ca="1" si="6089">MATCH(1,OFFSET(DU347:DU358,DW347,0,COUNT(DU347:DU358)-DW347),0)</f>
        <v>#REF!</v>
      </c>
      <c r="DW348" s="4" t="e">
        <f t="shared" ref="DW348:DW358" ca="1" si="6090">DV348+DW347</f>
        <v>#REF!</v>
      </c>
      <c r="DX348" s="692" t="str">
        <f ca="1">IFERROR(VLOOKUP(INDEX(DT347:DT358,DW348),STM,2,FALSE),"----")</f>
        <v>----</v>
      </c>
      <c r="DY348" s="691" t="e">
        <f t="shared" ref="DY348:DY358" ca="1" si="6091">DY347-1</f>
        <v>#N/A</v>
      </c>
      <c r="DZ348" s="4" t="e">
        <f ca="1">IF(AND(INDEX(ELM,DY348,4)&gt;=$AB353,INDEX(ELM,DY348,5)&gt;=$S347,INDEX(ELM,DY348,6)&gt;=$R347),1,0)</f>
        <v>#N/A</v>
      </c>
      <c r="EA348" s="4" t="e">
        <f t="shared" ref="EA348" ca="1" si="6092">MATCH(1,OFFSET(DZ347:DZ358,EB347,0,COUNT(DZ347:DZ358)-EB347),0)</f>
        <v>#REF!</v>
      </c>
      <c r="EB348" s="4" t="e">
        <f t="shared" ref="EB348:EB358" ca="1" si="6093">EA348+EB347</f>
        <v>#REF!</v>
      </c>
      <c r="EC348" s="692" t="str">
        <f ca="1">IFERROR(VLOOKUP(INDEX(DY347:DY358,EB348),ELM,2,FALSE),"----")</f>
        <v>----</v>
      </c>
      <c r="ED348" s="691" t="e">
        <f t="shared" ref="ED348:ED358" ca="1" si="6094">ED347-1</f>
        <v>#N/A</v>
      </c>
      <c r="EE348" s="4" t="e">
        <f ca="1">IF(LEFT($J347,7)="Clad Wo",IF(AND(INDEX(SPPWS,ED348,4)&gt;=$AB353,INDEX(SPPWS,ED348,5)&gt;=$S347,INDEX(SPPWS,ED348,6)&gt;=$R347),1,0),IF(AND(INDEX(SPM,ED348,4)&gt;=$AB353,INDEX(SPM,ED348,5)&gt;=$S347,INDEX(SPM,ED348,6)&gt;=$R347),1,0))</f>
        <v>#N/A</v>
      </c>
      <c r="EF348" s="4" t="e">
        <f t="shared" ref="EF348" ca="1" si="6095">MATCH(1,OFFSET(EE347:EE358,EG347,0,COUNT(EE347:EE358)-EG347),0)</f>
        <v>#REF!</v>
      </c>
      <c r="EG348" s="4" t="e">
        <f t="shared" ref="EG348:EG358" ca="1" si="6096">EG347+EF348</f>
        <v>#REF!</v>
      </c>
      <c r="EH348" s="692" t="str">
        <f ca="1">IF(LEFT($J347,7)="Clad Wo",IFERROR(VLOOKUP(INDEX(ED347:ED358,EG348),SPPWS,2,FALSE),"----"),IFERROR(VLOOKUP(INDEX(ED347:ED358,EG348),SPM,2,FALSE),"----"))</f>
        <v>----</v>
      </c>
    </row>
    <row r="349" spans="1:138" ht="15" customHeight="1" x14ac:dyDescent="0.25">
      <c r="A349" s="1085"/>
      <c r="B349" s="925"/>
      <c r="C349" s="926"/>
      <c r="D349" s="927"/>
      <c r="E349" s="995"/>
      <c r="F349" s="996"/>
      <c r="G349" s="997"/>
      <c r="H349" s="1062"/>
      <c r="I349" s="990"/>
      <c r="J349" s="908"/>
      <c r="K349" s="909"/>
      <c r="L349" s="1002"/>
      <c r="M349" s="923"/>
      <c r="N349" s="1042"/>
      <c r="O349" s="1018"/>
      <c r="P349" s="987"/>
      <c r="Q349" s="1015"/>
      <c r="R349" s="1012"/>
      <c r="S349" s="1006"/>
      <c r="T349" s="1007"/>
      <c r="U349" s="878"/>
      <c r="V349" s="881"/>
      <c r="W349" s="884"/>
      <c r="X349" s="884"/>
      <c r="Y349" s="887"/>
      <c r="Z349" s="887"/>
      <c r="AA349" s="887"/>
      <c r="AB349" s="1081"/>
      <c r="AC349" s="1078"/>
      <c r="AD349" s="1070" t="s">
        <v>333</v>
      </c>
      <c r="AE349" s="1071"/>
      <c r="AF349" s="1052"/>
      <c r="AG349" s="1053"/>
      <c r="AH349" s="1053"/>
      <c r="AI349" s="1066"/>
      <c r="AJ349" s="1067"/>
      <c r="AK349" s="154" t="str">
        <f t="shared" ca="1" si="4947"/>
        <v/>
      </c>
      <c r="AL349" s="1039"/>
      <c r="AM349" s="344" t="str">
        <f ca="1">IFERROR(Q347/12*ROUND(VLOOKUP(AF349,OFFSET(WSM,0,1),6,FALSE),2),"")</f>
        <v/>
      </c>
      <c r="AN349" t="str">
        <f t="shared" ca="1" si="4971"/>
        <v/>
      </c>
      <c r="AP349" s="122" t="str">
        <f t="shared" ref="AP349" si="6097">_xlfn.CONCAT(AR349,AS352)</f>
        <v/>
      </c>
      <c r="AQ349" s="683" t="str">
        <f t="shared" si="5170"/>
        <v/>
      </c>
      <c r="AR349" s="4" t="str">
        <f t="shared" si="4931"/>
        <v/>
      </c>
      <c r="AS349" s="4"/>
      <c r="AT349" s="697" t="str">
        <f>AL347</f>
        <v/>
      </c>
      <c r="AU349" s="694" t="e">
        <f t="shared" ca="1" si="5187"/>
        <v>#REF!</v>
      </c>
      <c r="AV349" s="686" t="str">
        <f ca="1">IFERROR(VLOOKUP(AU349,INDIRECT(AQ347),2,FALSE),"----")</f>
        <v>----</v>
      </c>
      <c r="AW349" s="694" t="e">
        <f t="shared" ca="1" si="6050"/>
        <v>#REF!</v>
      </c>
      <c r="AX349" s="686" t="str">
        <f ca="1">IFERROR(VLOOKUP(AW349,INDIRECT(AQ348),2,FALSE),"----")</f>
        <v>----</v>
      </c>
      <c r="AY349" s="694" t="e">
        <f t="shared" ca="1" si="6051"/>
        <v>#REF!</v>
      </c>
      <c r="AZ349" s="686" t="str">
        <f ca="1">IFERROR(VLOOKUP(AY349,INDIRECT(AQ349),2,FALSE),"----")</f>
        <v>----</v>
      </c>
      <c r="BA349" s="694" t="e">
        <f t="shared" ca="1" si="6052"/>
        <v>#REF!</v>
      </c>
      <c r="BB349" s="686" t="str">
        <f ca="1">IFERROR(VLOOKUP(BA349,INDIRECT(AQ350),2,FALSE),"----")</f>
        <v>----</v>
      </c>
      <c r="BC349" s="694" t="e">
        <f t="shared" ca="1" si="6053"/>
        <v>#REF!</v>
      </c>
      <c r="BD349" s="686" t="str">
        <f ca="1">IFERROR(VLOOKUP(BC349,INDIRECT(AQ351),2,FALSE),"----")</f>
        <v>----</v>
      </c>
      <c r="BE349" s="694" t="e">
        <f t="shared" ca="1" si="5192"/>
        <v>#REF!</v>
      </c>
      <c r="BF349" s="686" t="str">
        <f ca="1">IFERROR(VLOOKUP(BE349,INDIRECT(AQ352),2,FALSE),"----")</f>
        <v>----</v>
      </c>
      <c r="BG349" s="694" t="e">
        <f t="shared" ca="1" si="5193"/>
        <v>#REF!</v>
      </c>
      <c r="BH349" s="686" t="str">
        <f ca="1">IFERROR(VLOOKUP(BG349,INDIRECT(AQ353),2,FALSE),"----")</f>
        <v>----</v>
      </c>
      <c r="BI349" s="694" t="e">
        <f t="shared" ca="1" si="6056"/>
        <v>#REF!</v>
      </c>
      <c r="BJ349" s="686" t="str">
        <f ca="1">IFERROR(VLOOKUP(BI349,INDIRECT(AQ354),2,FALSE),"----")</f>
        <v>----</v>
      </c>
      <c r="BK349" s="694" t="e">
        <f t="shared" ca="1" si="6057"/>
        <v>#REF!</v>
      </c>
      <c r="BL349" s="686" t="str">
        <f ca="1">IFERROR(VLOOKUP(BK349,INDIRECT(AQ355),2,FALSE),"----")</f>
        <v>----</v>
      </c>
      <c r="BM349" s="694" t="e">
        <f t="shared" ca="1" si="6058"/>
        <v>#REF!</v>
      </c>
      <c r="BN349" s="686" t="str">
        <f ca="1">IFERROR(VLOOKUP(BM349,INDIRECT(AQ356),2,FALSE),"----")</f>
        <v>----</v>
      </c>
      <c r="BO349" s="694" t="e">
        <f t="shared" ca="1" si="6059"/>
        <v>#REF!</v>
      </c>
      <c r="BP349" s="686" t="str">
        <f ca="1">IFERROR(VLOOKUP(BO349,INDIRECT(AQ357),2,FALSE),"----")</f>
        <v>----</v>
      </c>
      <c r="BQ349" s="694" t="e">
        <f t="shared" ca="1" si="5198"/>
        <v>#REF!</v>
      </c>
      <c r="BR349" s="686" t="str">
        <f ca="1">IFERROR(VLOOKUP(BQ349,INDIRECT(AQ358),2,FALSE),"----")</f>
        <v>----</v>
      </c>
      <c r="BS349" s="695">
        <f>IF(AI349="",1,IF(COUNTIF(AZ347:AZ358,AI349)=0,2,1))</f>
        <v>1</v>
      </c>
      <c r="BT349" s="696">
        <f>IF(AF349="",1,IF(AZ347=".",2,1))</f>
        <v>1</v>
      </c>
      <c r="BU349" s="706"/>
      <c r="BV349" s="155">
        <f ca="1">IF(COUNTIF(CO347:CO358,AF349)=0,IF(AF349&lt;&gt;"",0,1),1)</f>
        <v>1</v>
      </c>
      <c r="BW349" s="157">
        <f ca="1">IFERROR(MATCH(AF349,CO347:CO358,0),1)</f>
        <v>1</v>
      </c>
      <c r="BX349" s="769"/>
      <c r="BY349" s="769"/>
      <c r="BZ349" s="1110"/>
      <c r="CA349" s="691" t="e">
        <f t="shared" ca="1" si="6061"/>
        <v>#REF!</v>
      </c>
      <c r="CB349" s="4" t="e" cm="1">
        <f t="array" aca="1" ref="CB349" ca="1">IF(AND(INDEX(INDIRECT(BY347),CA349,4)&gt;=$AB347,INDEX(INDIRECT(BY347),CA349,5)&gt;=$S347,INDEX(INDIRECT(BY347),CA349,6)&gt;=$R347),1,0)</f>
        <v>#REF!</v>
      </c>
      <c r="CC349" s="4" t="e">
        <f t="shared" ref="CC349" ca="1" si="6098">MATCH(1,OFFSET(CB347:CB358,CD348,0,COUNT(CB347:CB358)-CD348),0)</f>
        <v>#REF!</v>
      </c>
      <c r="CD349" s="4" t="e">
        <f t="shared" ca="1" si="6063"/>
        <v>#REF!</v>
      </c>
      <c r="CE349" s="692" t="str" cm="1">
        <f t="array" aca="1" ref="CE349" ca="1">IFERROR(VLOOKUP(INDEX(CA347:CA358,CD349),INDIRECT(BY347),2,FALSE),"----")</f>
        <v>----</v>
      </c>
      <c r="CF349" s="691" t="e">
        <f t="shared" ca="1" si="6064"/>
        <v>#N/A</v>
      </c>
      <c r="CG349" s="4" t="e">
        <f ca="1">IF(AND(INDEX(SSM,CF349,4)&gt;=$AB347,INDEX(SSM,CF349,5)&gt;=$S347,INDEX(SSM,CF349,6)&gt;=$R347),1,0)</f>
        <v>#N/A</v>
      </c>
      <c r="CH349" s="4" t="e">
        <f t="shared" ref="CH349" ca="1" si="6099">MATCH(1,OFFSET(CG347:CG358,CI348,0,COUNT(CG347:CG358)-CI348),0)</f>
        <v>#REF!</v>
      </c>
      <c r="CI349" s="4" t="e">
        <f t="shared" ca="1" si="6066"/>
        <v>#REF!</v>
      </c>
      <c r="CJ349" s="692" t="str">
        <f ca="1">IFERROR(IF(AD348="Nested Steel Stud (wood infill)",VLOOKUP(INDEX(CF347:CF358,CI349),SSW,2,FALSE),VLOOKUP(INDEX(CF347:CF358,CI349),SSM,2,FALSE)),"----")</f>
        <v>----</v>
      </c>
      <c r="CK349" s="691" t="e">
        <f t="shared" ca="1" si="6067"/>
        <v>#N/A</v>
      </c>
      <c r="CL349" s="4" t="e">
        <f ca="1">IF(AND(INDEX(WSM,CK349,4)&gt;=$AB347,INDEX(WSM,CK349,5)&gt;=$S347,INDEX(WSM,CK349,6)&gt;=$R347),1,0)</f>
        <v>#N/A</v>
      </c>
      <c r="CM349" s="4" t="e">
        <f t="shared" ref="CM349" ca="1" si="6100">MATCH(1,OFFSET(CL347:CL358,CN348,0,COUNT(CL347:CL358)-CN348),0)</f>
        <v>#REF!</v>
      </c>
      <c r="CN349" s="4" t="e">
        <f t="shared" ca="1" si="6069"/>
        <v>#REF!</v>
      </c>
      <c r="CO349" s="692" t="str">
        <f ca="1">IFERROR(VLOOKUP(INDEX(CK347:CK358,CN349),WSM,2,FALSE),"----")</f>
        <v>----</v>
      </c>
      <c r="CP349" s="691" t="e">
        <f t="shared" ca="1" si="6070"/>
        <v>#N/A</v>
      </c>
      <c r="CQ349" s="4" t="e">
        <f ca="1">IF(AND(INDEX(STM,CP349,4)&gt;=$AB347,INDEX(STM,CP349,5)&gt;=$S347,INDEX(STM,CP349,6)&gt;=$R347),1,0)</f>
        <v>#N/A</v>
      </c>
      <c r="CR349" s="4" t="e">
        <f t="shared" ref="CR349" ca="1" si="6101">MATCH(1,OFFSET(CQ347:CQ358,CS348,0,COUNT(CQ347:CQ358)-CS348),0)</f>
        <v>#REF!</v>
      </c>
      <c r="CS349" s="4" t="e">
        <f t="shared" ca="1" si="6072"/>
        <v>#REF!</v>
      </c>
      <c r="CT349" s="692" t="str">
        <f ca="1">IFERROR(VLOOKUP(INDEX(CP347:CP358,CS349),STM,2,FALSE),"----")</f>
        <v>----</v>
      </c>
      <c r="CU349" s="691" t="e">
        <f t="shared" ca="1" si="6073"/>
        <v>#N/A</v>
      </c>
      <c r="CV349" s="4" t="e">
        <f ca="1">IF(AND(INDEX(ELM,CU349,4)&gt;=$AB347,INDEX(ELM,CU349,5)&gt;=$S347,INDEX(ELM,CU349,6)&gt;=$R347),1,0)</f>
        <v>#N/A</v>
      </c>
      <c r="CW349" s="4" t="e">
        <f t="shared" ref="CW349" ca="1" si="6102">MATCH(1,OFFSET(CV347:CV358,CX348,0,COUNT(CV347:CV358)-CX348),0)</f>
        <v>#REF!</v>
      </c>
      <c r="CX349" s="4" t="e">
        <f t="shared" ca="1" si="6075"/>
        <v>#REF!</v>
      </c>
      <c r="CY349" s="692" t="str">
        <f ca="1">IFERROR(VLOOKUP(INDEX(CU347:CU358,CX349),ELM,2,FALSE),"----")</f>
        <v>----</v>
      </c>
      <c r="CZ349" s="691" t="e">
        <f t="shared" ca="1" si="6076"/>
        <v>#N/A</v>
      </c>
      <c r="DA349" s="4" t="e">
        <f ca="1">IF(LEFT($J347,7)="Clad Wo",IF(AND(INDEX(SPPWS,CZ349,4)&gt;=$AB347,INDEX(SPPWS,CZ349,5)&gt;=$S347,INDEX(SPPWS,CZ349,6)&gt;=$R347),1,0),IF(AND(INDEX(SPM,CZ349,4)&gt;=$AB347,INDEX(SPM,CZ349,5)&gt;=$S347,INDEX(SPM,CZ349,6)&gt;=$R347),1,0))</f>
        <v>#N/A</v>
      </c>
      <c r="DB349" s="4" t="e">
        <f t="shared" ref="DB349" ca="1" si="6103">MATCH(1,OFFSET(DA347:DA358,DC348,0,COUNT(DA347:DA358)-DC348),0)</f>
        <v>#REF!</v>
      </c>
      <c r="DC349" s="4" t="e">
        <f t="shared" ca="1" si="6078"/>
        <v>#REF!</v>
      </c>
      <c r="DD349" s="693" t="str">
        <f ca="1">IF(LEFT($J347,7)="Clad Wo",IFERROR(VLOOKUP(INDEX(CZ347:CZ358,DC349),SPPWS,2,FALSE),"----"),IFERROR(VLOOKUP(INDEX(CZ347:CZ358,DC349),SPM,2,FALSE),"----"))</f>
        <v>----</v>
      </c>
      <c r="DE349" s="691" t="e">
        <f t="shared" ca="1" si="6079"/>
        <v>#REF!</v>
      </c>
      <c r="DF349" s="4" t="e" cm="1">
        <f t="array" aca="1" ref="DF349" ca="1">IF(AND(INDEX(INDIRECT(BY347),DE349,4)&gt;=$AB353,INDEX(INDIRECT(BY347),DE349,5)&gt;=$S347,INDEX(INDIRECT(BY347),DE349,6)&gt;=$R347),1,0)</f>
        <v>#REF!</v>
      </c>
      <c r="DG349" s="4" t="e">
        <f t="shared" ref="DG349" ca="1" si="6104">MATCH(1,OFFSET(DF347:DF358,DH348,0,COUNT(DF347:DF358)-DH348),0)</f>
        <v>#REF!</v>
      </c>
      <c r="DH349" s="4" t="e">
        <f t="shared" ca="1" si="6081"/>
        <v>#REF!</v>
      </c>
      <c r="DI349" s="692" t="str" cm="1">
        <f t="array" aca="1" ref="DI349" ca="1">IFERROR(VLOOKUP(INDEX(DE347:DE358,DH349),INDIRECT(BY347),2,FALSE),"----")</f>
        <v>----</v>
      </c>
      <c r="DJ349" s="691" t="e">
        <f t="shared" ca="1" si="6082"/>
        <v>#N/A</v>
      </c>
      <c r="DK349" s="4" t="e">
        <f ca="1">IF(AND(INDEX(SSM,DJ349,4)&gt;=$AB353,INDEX(SSM,DJ349,5)&gt;=$S347,INDEX(SSM,DJ349,6)&gt;=$R347),1,0)</f>
        <v>#N/A</v>
      </c>
      <c r="DL349" s="4" t="e">
        <f t="shared" ref="DL349" ca="1" si="6105">MATCH(1,OFFSET(DK347:DK358,DM348,0,COUNT(DK347:DK358)-DM348),0)</f>
        <v>#REF!</v>
      </c>
      <c r="DM349" s="4" t="e">
        <f t="shared" ca="1" si="6084"/>
        <v>#REF!</v>
      </c>
      <c r="DN349" s="692" t="str">
        <f ca="1">IFERROR(IF(AD354="Nested Steel Stud (wood infill)",VLOOKUP(INDEX(DJ347:DJ358,DM349),SSW,2,FALSE),VLOOKUP(INDEX(DJ347:DJ358,DM349),SSM,2,FALSE)),"----")</f>
        <v>----</v>
      </c>
      <c r="DO349" s="691" t="e">
        <f t="shared" ca="1" si="6085"/>
        <v>#N/A</v>
      </c>
      <c r="DP349" s="4" t="e">
        <f ca="1">IF(AND(INDEX(WSM,DO349,4)&gt;=$AB353,INDEX(WSM,DO349,5)&gt;=$S347,INDEX(WSM,DO349,6)&gt;=$R347),1,0)</f>
        <v>#N/A</v>
      </c>
      <c r="DQ349" s="4" t="e">
        <f t="shared" ref="DQ349" ca="1" si="6106">MATCH(1,OFFSET(DP347:DP358,DR348,0,COUNT(DP347:DP358)-DR348),0)</f>
        <v>#REF!</v>
      </c>
      <c r="DR349" s="4" t="e">
        <f t="shared" ca="1" si="6087"/>
        <v>#REF!</v>
      </c>
      <c r="DS349" s="692" t="str">
        <f ca="1">IFERROR(VLOOKUP(INDEX(DO347:DO358,DR349),WSM,2,FALSE),"----")</f>
        <v>----</v>
      </c>
      <c r="DT349" s="691" t="e">
        <f t="shared" ca="1" si="6088"/>
        <v>#N/A</v>
      </c>
      <c r="DU349" s="4" t="e">
        <f ca="1">IF(AND(INDEX(STM,DT349,4)&gt;=$AB353,INDEX(STM,DT349,5)&gt;=$S347,INDEX(STM,DT349,6)&gt;=$R347),1,0)</f>
        <v>#N/A</v>
      </c>
      <c r="DV349" s="4" t="e">
        <f t="shared" ref="DV349" ca="1" si="6107">MATCH(1,OFFSET(DU347:DU358,DW348,0,COUNT(DU347:DU358)-DW348),0)</f>
        <v>#REF!</v>
      </c>
      <c r="DW349" s="4" t="e">
        <f t="shared" ca="1" si="6090"/>
        <v>#REF!</v>
      </c>
      <c r="DX349" s="692" t="str">
        <f ca="1">IFERROR(VLOOKUP(INDEX(DT347:DT358,DW349),STM,2,FALSE),"----")</f>
        <v>----</v>
      </c>
      <c r="DY349" s="691" t="e">
        <f t="shared" ca="1" si="6091"/>
        <v>#N/A</v>
      </c>
      <c r="DZ349" s="4" t="e">
        <f ca="1">IF(AND(INDEX(ELM,DY349,4)&gt;=$AB353,INDEX(ELM,DY349,5)&gt;=$S347,INDEX(ELM,DY349,6)&gt;=$R347),1,0)</f>
        <v>#N/A</v>
      </c>
      <c r="EA349" s="4" t="e">
        <f t="shared" ref="EA349" ca="1" si="6108">MATCH(1,OFFSET(DZ347:DZ358,EB348,0,COUNT(DZ347:DZ358)-EB348),0)</f>
        <v>#REF!</v>
      </c>
      <c r="EB349" s="4" t="e">
        <f t="shared" ca="1" si="6093"/>
        <v>#REF!</v>
      </c>
      <c r="EC349" s="692" t="str">
        <f ca="1">IFERROR(VLOOKUP(INDEX(DY347:DY358,EB349),ELM,2,FALSE),"----")</f>
        <v>----</v>
      </c>
      <c r="ED349" s="691" t="e">
        <f t="shared" ca="1" si="6094"/>
        <v>#N/A</v>
      </c>
      <c r="EE349" s="4" t="e">
        <f ca="1">IF(LEFT($J347,7)="Clad Wo",IF(AND(INDEX(SPPWS,ED349,4)&gt;=$AB353,INDEX(SPPWS,ED349,5)&gt;=$S347,INDEX(SPPWS,ED349,6)&gt;=$R347),1,0),IF(AND(INDEX(SPM,ED349,4)&gt;=$AB353,INDEX(SPM,ED349,5)&gt;=$S347,INDEX(SPM,ED349,6)&gt;=$R347),1,0))</f>
        <v>#N/A</v>
      </c>
      <c r="EF349" s="4" t="e">
        <f t="shared" ref="EF349" ca="1" si="6109">MATCH(1,OFFSET(EE347:EE358,EG348,0,COUNT(EE347:EE358)-EG348),0)</f>
        <v>#REF!</v>
      </c>
      <c r="EG349" s="4" t="e">
        <f t="shared" ca="1" si="6096"/>
        <v>#REF!</v>
      </c>
      <c r="EH349" s="692" t="str">
        <f ca="1">IF(LEFT($J347,7)="Clad Wo",IFERROR(VLOOKUP(INDEX(ED347:ED358,EG349),SPPWS,2,FALSE),"----"),IFERROR(VLOOKUP(INDEX(ED347:ED358,EG349),SPM,2,FALSE),"----"))</f>
        <v>----</v>
      </c>
    </row>
    <row r="350" spans="1:138" ht="15" customHeight="1" x14ac:dyDescent="0.25">
      <c r="A350" s="1085"/>
      <c r="B350" s="925"/>
      <c r="C350" s="926"/>
      <c r="D350" s="927"/>
      <c r="E350" s="995"/>
      <c r="F350" s="996"/>
      <c r="G350" s="997"/>
      <c r="H350" s="1062"/>
      <c r="I350" s="990"/>
      <c r="J350" s="908"/>
      <c r="K350" s="909"/>
      <c r="L350" s="1002"/>
      <c r="M350" s="923"/>
      <c r="N350" s="1042"/>
      <c r="O350" s="1018"/>
      <c r="P350" s="987"/>
      <c r="Q350" s="1015"/>
      <c r="R350" s="1012"/>
      <c r="S350" s="1006"/>
      <c r="T350" s="1007"/>
      <c r="U350" s="878"/>
      <c r="V350" s="881"/>
      <c r="W350" s="884"/>
      <c r="X350" s="884"/>
      <c r="Y350" s="887"/>
      <c r="Z350" s="887"/>
      <c r="AA350" s="887"/>
      <c r="AB350" s="1081"/>
      <c r="AC350" s="1078"/>
      <c r="AD350" s="1070" t="s">
        <v>37</v>
      </c>
      <c r="AE350" s="1071"/>
      <c r="AF350" s="1052"/>
      <c r="AG350" s="1053"/>
      <c r="AH350" s="1053"/>
      <c r="AI350" s="1066"/>
      <c r="AJ350" s="1067"/>
      <c r="AK350" s="156" t="str">
        <f t="shared" ca="1" si="4947"/>
        <v/>
      </c>
      <c r="AL350" s="1039"/>
      <c r="AM350" s="343" t="str">
        <f ca="1">IFERROR(Q347/12*ROUND(VLOOKUP(AF350,OFFSET(STM,0,1),6,FALSE),2),"")</f>
        <v/>
      </c>
      <c r="AN350" t="str">
        <f t="shared" ca="1" si="4971"/>
        <v/>
      </c>
      <c r="AP350" s="122" t="str">
        <f t="shared" ref="AP350" si="6110">_xlfn.CONCAT(AR350,AS352)</f>
        <v/>
      </c>
      <c r="AQ350" s="683" t="str">
        <f t="shared" si="5170"/>
        <v/>
      </c>
      <c r="AR350" s="4" t="str">
        <f t="shared" si="4931"/>
        <v/>
      </c>
      <c r="AS350" s="4"/>
      <c r="AT350" s="697" t="str">
        <f>AL347</f>
        <v/>
      </c>
      <c r="AU350" s="694" t="e">
        <f t="shared" ca="1" si="5187"/>
        <v>#REF!</v>
      </c>
      <c r="AV350" s="686" t="str">
        <f ca="1">IFERROR(VLOOKUP(AU350,INDIRECT(AQ347),2,FALSE),"----")</f>
        <v>----</v>
      </c>
      <c r="AW350" s="694" t="e">
        <f t="shared" ca="1" si="5188"/>
        <v>#REF!</v>
      </c>
      <c r="AX350" s="686" t="str">
        <f ca="1">IFERROR(VLOOKUP(AW350,INDIRECT(AQ348),2,FALSE),"----")</f>
        <v>----</v>
      </c>
      <c r="AY350" s="694" t="e">
        <f t="shared" ref="AY350" ca="1" si="6111">AY349-1</f>
        <v>#REF!</v>
      </c>
      <c r="AZ350" s="686" t="str">
        <f ca="1">IFERROR(VLOOKUP(AY350,INDIRECT(AQ349),2,FALSE),"----")</f>
        <v>----</v>
      </c>
      <c r="BA350" s="694" t="e">
        <f t="shared" ref="BA350" ca="1" si="6112">BA349-1</f>
        <v>#REF!</v>
      </c>
      <c r="BB350" s="686" t="str">
        <f ca="1">IFERROR(VLOOKUP(BA350,INDIRECT(AQ350),2,FALSE),"----")</f>
        <v>----</v>
      </c>
      <c r="BC350" s="694" t="e">
        <f t="shared" ca="1" si="5191"/>
        <v>#REF!</v>
      </c>
      <c r="BD350" s="686" t="str">
        <f ca="1">IFERROR(VLOOKUP(BC350,INDIRECT(AQ351),2,FALSE),"----")</f>
        <v>----</v>
      </c>
      <c r="BE350" s="694" t="e">
        <f t="shared" ca="1" si="5192"/>
        <v>#REF!</v>
      </c>
      <c r="BF350" s="686" t="str">
        <f ca="1">IFERROR(VLOOKUP(BE350,INDIRECT(AQ352),2,FALSE),"----")</f>
        <v>----</v>
      </c>
      <c r="BG350" s="694" t="e">
        <f t="shared" ca="1" si="5193"/>
        <v>#REF!</v>
      </c>
      <c r="BH350" s="686" t="str">
        <f ca="1">IFERROR(VLOOKUP(BG350,INDIRECT(AQ353),2,FALSE),"----")</f>
        <v>----</v>
      </c>
      <c r="BI350" s="694" t="e">
        <f t="shared" ca="1" si="5194"/>
        <v>#REF!</v>
      </c>
      <c r="BJ350" s="686" t="str">
        <f ca="1">IFERROR(VLOOKUP(BI350,INDIRECT(AQ354),2,FALSE),"----")</f>
        <v>----</v>
      </c>
      <c r="BK350" s="694" t="e">
        <f t="shared" ca="1" si="5195"/>
        <v>#REF!</v>
      </c>
      <c r="BL350" s="686" t="str">
        <f ca="1">IFERROR(VLOOKUP(BK350,INDIRECT(AQ355),2,FALSE),"----")</f>
        <v>----</v>
      </c>
      <c r="BM350" s="694" t="e">
        <f t="shared" ca="1" si="5196"/>
        <v>#REF!</v>
      </c>
      <c r="BN350" s="686" t="str">
        <f ca="1">IFERROR(VLOOKUP(BM350,INDIRECT(AQ356),2,FALSE),"----")</f>
        <v>----</v>
      </c>
      <c r="BO350" s="694" t="e">
        <f t="shared" ca="1" si="5197"/>
        <v>#REF!</v>
      </c>
      <c r="BP350" s="686" t="str">
        <f ca="1">IFERROR(VLOOKUP(BO350,INDIRECT(AQ357),2,FALSE),"----")</f>
        <v>----</v>
      </c>
      <c r="BQ350" s="694" t="e">
        <f t="shared" ca="1" si="5198"/>
        <v>#REF!</v>
      </c>
      <c r="BR350" s="686" t="str">
        <f ca="1">IFERROR(VLOOKUP(BQ350,INDIRECT(AQ358),2,FALSE),"----")</f>
        <v>----</v>
      </c>
      <c r="BS350" s="695">
        <f>IF(AI350="",1,IF(COUNTIF(BB347:BB358,AI350)=0,2,1))</f>
        <v>1</v>
      </c>
      <c r="BT350" s="696">
        <f>IF(AF350="",1,IF(BB347=".",2,1))</f>
        <v>1</v>
      </c>
      <c r="BU350" s="706"/>
      <c r="BV350" s="155">
        <f ca="1">IF(COUNTIF(CT347:CT358,AF350)=0,IF(AF350&lt;&gt;"",0,1),1)</f>
        <v>1</v>
      </c>
      <c r="BW350" s="157">
        <f ca="1">IFERROR(MATCH(AF350,CT347:CT358,0),1)</f>
        <v>1</v>
      </c>
      <c r="BX350" s="769"/>
      <c r="BY350" s="769"/>
      <c r="BZ350" s="1110"/>
      <c r="CA350" s="691" t="e">
        <f t="shared" ca="1" si="6061"/>
        <v>#REF!</v>
      </c>
      <c r="CB350" s="4" t="e" cm="1">
        <f t="array" aca="1" ref="CB350" ca="1">IF(AND(INDEX(INDIRECT(BY347),CA350,4)&gt;=$AB347,INDEX(INDIRECT(BY347),CA350,5)&gt;=$S347,INDEX(INDIRECT(BY347),CA350,6)&gt;=$R347),1,0)</f>
        <v>#REF!</v>
      </c>
      <c r="CC350" s="4" t="e">
        <f t="shared" ref="CC350" ca="1" si="6113">MATCH(1,OFFSET(CB347:CB358,CD349,0,COUNT(CB347:CB358)-CD349),0)</f>
        <v>#REF!</v>
      </c>
      <c r="CD350" s="4" t="e">
        <f t="shared" ca="1" si="6063"/>
        <v>#REF!</v>
      </c>
      <c r="CE350" s="692" t="str" cm="1">
        <f t="array" aca="1" ref="CE350" ca="1">IFERROR(VLOOKUP(INDEX(CA347:CA358,CD350),INDIRECT(BY347),2,FALSE),"----")</f>
        <v>----</v>
      </c>
      <c r="CF350" s="691" t="e">
        <f t="shared" ca="1" si="6064"/>
        <v>#N/A</v>
      </c>
      <c r="CG350" s="4" t="e">
        <f ca="1">IF(AND(INDEX(SSM,CF350,4)&gt;=$AB347,INDEX(SSM,CF350,5)&gt;=$S347,INDEX(SSM,CF350,6)&gt;=$R347),1,0)</f>
        <v>#N/A</v>
      </c>
      <c r="CH350" s="4" t="e">
        <f t="shared" ref="CH350" ca="1" si="6114">MATCH(1,OFFSET(CG347:CG358,CI349,0,COUNT(CG347:CG358)-CI349),0)</f>
        <v>#REF!</v>
      </c>
      <c r="CI350" s="4" t="e">
        <f t="shared" ca="1" si="6066"/>
        <v>#REF!</v>
      </c>
      <c r="CJ350" s="692" t="str">
        <f ca="1">IFERROR(IF(AD348="Nested Steel Stud (wood infill)",VLOOKUP(INDEX(CF347:CF358,CI350),SSW,2,FALSE),VLOOKUP(INDEX(CF347:CF358,CI350),SSM,2,FALSE)),"----")</f>
        <v>----</v>
      </c>
      <c r="CK350" s="691" t="e">
        <f t="shared" ca="1" si="6067"/>
        <v>#N/A</v>
      </c>
      <c r="CL350" s="4" t="e">
        <f ca="1">IF(AND(INDEX(WSM,CK350,4)&gt;=$AB347,INDEX(WSM,CK350,5)&gt;=$S347,INDEX(WSM,CK350,6)&gt;=$R347),1,0)</f>
        <v>#N/A</v>
      </c>
      <c r="CM350" s="4" t="e">
        <f t="shared" ref="CM350" ca="1" si="6115">MATCH(1,OFFSET(CL347:CL358,CN349,0,COUNT(CL347:CL358)-CN349),0)</f>
        <v>#REF!</v>
      </c>
      <c r="CN350" s="4" t="e">
        <f t="shared" ca="1" si="6069"/>
        <v>#REF!</v>
      </c>
      <c r="CO350" s="692" t="str">
        <f ca="1">IFERROR(VLOOKUP(INDEX(CK347:CK358,CN350),WSM,2,FALSE),"----")</f>
        <v>----</v>
      </c>
      <c r="CP350" s="691" t="e">
        <f t="shared" ca="1" si="6070"/>
        <v>#N/A</v>
      </c>
      <c r="CQ350" s="4" t="e">
        <f ca="1">IF(AND(INDEX(STM,CP350,4)&gt;=$AB347,INDEX(STM,CP350,5)&gt;=$S347,INDEX(STM,CP350,6)&gt;=$R347),1,0)</f>
        <v>#N/A</v>
      </c>
      <c r="CR350" s="4" t="e">
        <f t="shared" ref="CR350" ca="1" si="6116">MATCH(1,OFFSET(CQ347:CQ358,CS349,0,COUNT(CQ347:CQ358)-CS349),0)</f>
        <v>#REF!</v>
      </c>
      <c r="CS350" s="4" t="e">
        <f t="shared" ca="1" si="6072"/>
        <v>#REF!</v>
      </c>
      <c r="CT350" s="692" t="str">
        <f ca="1">IFERROR(VLOOKUP(INDEX(CP347:CP358,CS350),STM,2,FALSE),"----")</f>
        <v>----</v>
      </c>
      <c r="CU350" s="691" t="e">
        <f t="shared" ca="1" si="6073"/>
        <v>#N/A</v>
      </c>
      <c r="CV350" s="4" t="e">
        <f ca="1">IF(AND(INDEX(ELM,CU350,4)&gt;=$AB347,INDEX(ELM,CU350,5)&gt;=$S347,INDEX(ELM,CU350,6)&gt;=$R347),1,0)</f>
        <v>#N/A</v>
      </c>
      <c r="CW350" s="4" t="e">
        <f t="shared" ref="CW350" ca="1" si="6117">MATCH(1,OFFSET(CV347:CV358,CX349,0,COUNT(CV347:CV358)-CX349),0)</f>
        <v>#REF!</v>
      </c>
      <c r="CX350" s="4" t="e">
        <f t="shared" ca="1" si="6075"/>
        <v>#REF!</v>
      </c>
      <c r="CY350" s="692" t="str">
        <f ca="1">IFERROR(VLOOKUP(INDEX(CU347:CU358,CX350),ELM,2,FALSE),"----")</f>
        <v>----</v>
      </c>
      <c r="CZ350" s="691" t="e">
        <f t="shared" ca="1" si="6076"/>
        <v>#N/A</v>
      </c>
      <c r="DA350" s="4" t="e">
        <f ca="1">IF(LEFT($J347,7)="Clad Wo",IF(AND(INDEX(SPPWS,CZ350,4)&gt;=$AB347,INDEX(SPPWS,CZ350,5)&gt;=$S347,INDEX(SPPWS,CZ350,6)&gt;=$R347),1,0),IF(AND(INDEX(SPM,CZ350,4)&gt;=$AB347,INDEX(SPM,CZ350,5)&gt;=$S347,INDEX(SPM,CZ350,6)&gt;=$R347),1,0))</f>
        <v>#N/A</v>
      </c>
      <c r="DB350" s="4" t="e">
        <f t="shared" ref="DB350" ca="1" si="6118">MATCH(1,OFFSET(DA347:DA358,DC349,0,COUNT(DA347:DA358)-DC349),0)</f>
        <v>#REF!</v>
      </c>
      <c r="DC350" s="4" t="e">
        <f t="shared" ca="1" si="6078"/>
        <v>#REF!</v>
      </c>
      <c r="DD350" s="693" t="str">
        <f ca="1">IF(LEFT($J347,7)="Clad Wo",IFERROR(VLOOKUP(INDEX(CZ347:CZ358,DC350),SPPWS,2,FALSE),"----"),IFERROR(VLOOKUP(INDEX(CZ347:CZ358,DC350),SPM,2,FALSE),"----"))</f>
        <v>----</v>
      </c>
      <c r="DE350" s="691" t="e">
        <f t="shared" ca="1" si="6079"/>
        <v>#REF!</v>
      </c>
      <c r="DF350" s="4" t="e" cm="1">
        <f t="array" aca="1" ref="DF350" ca="1">IF(AND(INDEX(INDIRECT(BY347),DE350,4)&gt;=$AB353,INDEX(INDIRECT(BY347),DE350,5)&gt;=$S347,INDEX(INDIRECT(BY347),DE350,6)&gt;=$R347),1,0)</f>
        <v>#REF!</v>
      </c>
      <c r="DG350" s="4" t="e">
        <f t="shared" ref="DG350" ca="1" si="6119">MATCH(1,OFFSET(DF347:DF358,DH349,0,COUNT(DF347:DF358)-DH349),0)</f>
        <v>#REF!</v>
      </c>
      <c r="DH350" s="4" t="e">
        <f t="shared" ca="1" si="6081"/>
        <v>#REF!</v>
      </c>
      <c r="DI350" s="692" t="str" cm="1">
        <f t="array" aca="1" ref="DI350" ca="1">IFERROR(VLOOKUP(INDEX(DE347:DE358,DH350),INDIRECT(BY347),2,FALSE),"----")</f>
        <v>----</v>
      </c>
      <c r="DJ350" s="691" t="e">
        <f t="shared" ca="1" si="6082"/>
        <v>#N/A</v>
      </c>
      <c r="DK350" s="4" t="e">
        <f ca="1">IF(AND(INDEX(SSM,DJ350,4)&gt;=$AB353,INDEX(SSM,DJ350,5)&gt;=$S347,INDEX(SSM,DJ350,6)&gt;=$R347),1,0)</f>
        <v>#N/A</v>
      </c>
      <c r="DL350" s="4" t="e">
        <f t="shared" ref="DL350" ca="1" si="6120">MATCH(1,OFFSET(DK347:DK358,DM349,0,COUNT(DK347:DK358)-DM349),0)</f>
        <v>#REF!</v>
      </c>
      <c r="DM350" s="4" t="e">
        <f t="shared" ca="1" si="6084"/>
        <v>#REF!</v>
      </c>
      <c r="DN350" s="692" t="str">
        <f ca="1">IFERROR(IF(AD354="Nested Steel Stud (wood infill)",VLOOKUP(INDEX(DJ347:DJ358,DM350),SSW,2,FALSE),VLOOKUP(INDEX(DJ347:DJ358,DM350),SSM,2,FALSE)),"----")</f>
        <v>----</v>
      </c>
      <c r="DO350" s="691" t="e">
        <f t="shared" ca="1" si="6085"/>
        <v>#N/A</v>
      </c>
      <c r="DP350" s="4" t="e">
        <f ca="1">IF(AND(INDEX(WSM,DO350,4)&gt;=$AB353,INDEX(WSM,DO350,5)&gt;=$S347,INDEX(WSM,DO350,6)&gt;=$R347),1,0)</f>
        <v>#N/A</v>
      </c>
      <c r="DQ350" s="4" t="e">
        <f t="shared" ref="DQ350" ca="1" si="6121">MATCH(1,OFFSET(DP347:DP358,DR349,0,COUNT(DP347:DP358)-DR349),0)</f>
        <v>#REF!</v>
      </c>
      <c r="DR350" s="4" t="e">
        <f t="shared" ca="1" si="6087"/>
        <v>#REF!</v>
      </c>
      <c r="DS350" s="692" t="str">
        <f ca="1">IFERROR(VLOOKUP(INDEX(DO347:DO358,DR350),WSM,2,FALSE),"----")</f>
        <v>----</v>
      </c>
      <c r="DT350" s="691" t="e">
        <f t="shared" ca="1" si="6088"/>
        <v>#N/A</v>
      </c>
      <c r="DU350" s="4" t="e">
        <f ca="1">IF(AND(INDEX(STM,DT350,4)&gt;=$AB353,INDEX(STM,DT350,5)&gt;=$S347,INDEX(STM,DT350,6)&gt;=$R347),1,0)</f>
        <v>#N/A</v>
      </c>
      <c r="DV350" s="4" t="e">
        <f t="shared" ref="DV350" ca="1" si="6122">MATCH(1,OFFSET(DU347:DU358,DW349,0,COUNT(DU347:DU358)-DW349),0)</f>
        <v>#REF!</v>
      </c>
      <c r="DW350" s="4" t="e">
        <f t="shared" ca="1" si="6090"/>
        <v>#REF!</v>
      </c>
      <c r="DX350" s="692" t="str">
        <f ca="1">IFERROR(VLOOKUP(INDEX(DT347:DT358,DW350),STM,2,FALSE),"----")</f>
        <v>----</v>
      </c>
      <c r="DY350" s="691" t="e">
        <f t="shared" ca="1" si="6091"/>
        <v>#N/A</v>
      </c>
      <c r="DZ350" s="4" t="e">
        <f ca="1">IF(AND(INDEX(ELM,DY350,4)&gt;=$AB353,INDEX(ELM,DY350,5)&gt;=$S347,INDEX(ELM,DY350,6)&gt;=$R347),1,0)</f>
        <v>#N/A</v>
      </c>
      <c r="EA350" s="4" t="e">
        <f t="shared" ref="EA350" ca="1" si="6123">MATCH(1,OFFSET(DZ347:DZ358,EB349,0,COUNT(DZ347:DZ358)-EB349),0)</f>
        <v>#REF!</v>
      </c>
      <c r="EB350" s="4" t="e">
        <f t="shared" ca="1" si="6093"/>
        <v>#REF!</v>
      </c>
      <c r="EC350" s="692" t="str">
        <f ca="1">IFERROR(VLOOKUP(INDEX(DY347:DY358,EB350),ELM,2,FALSE),"----")</f>
        <v>----</v>
      </c>
      <c r="ED350" s="691" t="e">
        <f t="shared" ca="1" si="6094"/>
        <v>#N/A</v>
      </c>
      <c r="EE350" s="4" t="e">
        <f ca="1">IF(LEFT($J347,7)="Clad Wo",IF(AND(INDEX(SPPWS,ED350,4)&gt;=$AB353,INDEX(SPPWS,ED350,5)&gt;=$S347,INDEX(SPPWS,ED350,6)&gt;=$R347),1,0),IF(AND(INDEX(SPM,ED350,4)&gt;=$AB353,INDEX(SPM,ED350,5)&gt;=$S347,INDEX(SPM,ED350,6)&gt;=$R347),1,0))</f>
        <v>#N/A</v>
      </c>
      <c r="EF350" s="4" t="e">
        <f t="shared" ref="EF350" ca="1" si="6124">MATCH(1,OFFSET(EE347:EE358,EG349,0,COUNT(EE347:EE358)-EG349),0)</f>
        <v>#REF!</v>
      </c>
      <c r="EG350" s="4" t="e">
        <f t="shared" ca="1" si="6096"/>
        <v>#REF!</v>
      </c>
      <c r="EH350" s="692" t="str">
        <f ca="1">IF(LEFT($J347,7)="Clad Wo",IFERROR(VLOOKUP(INDEX(ED347:ED358,EG350),SPPWS,2,FALSE),"----"),IFERROR(VLOOKUP(INDEX(ED347:ED358,EG350),SPM,2,FALSE),"----"))</f>
        <v>----</v>
      </c>
    </row>
    <row r="351" spans="1:138" ht="15" customHeight="1" x14ac:dyDescent="0.25">
      <c r="A351" s="1085"/>
      <c r="B351" s="925"/>
      <c r="C351" s="926"/>
      <c r="D351" s="927"/>
      <c r="E351" s="995"/>
      <c r="F351" s="996"/>
      <c r="G351" s="997"/>
      <c r="H351" s="1062"/>
      <c r="I351" s="990"/>
      <c r="J351" s="910"/>
      <c r="K351" s="911"/>
      <c r="L351" s="1002"/>
      <c r="M351" s="923"/>
      <c r="N351" s="1042"/>
      <c r="O351" s="1018"/>
      <c r="P351" s="987"/>
      <c r="Q351" s="1015"/>
      <c r="R351" s="1012"/>
      <c r="S351" s="1006"/>
      <c r="T351" s="1007"/>
      <c r="U351" s="878"/>
      <c r="V351" s="881"/>
      <c r="W351" s="884"/>
      <c r="X351" s="884"/>
      <c r="Y351" s="887"/>
      <c r="Z351" s="887"/>
      <c r="AA351" s="887"/>
      <c r="AB351" s="1081"/>
      <c r="AC351" s="1078"/>
      <c r="AD351" s="1070" t="s">
        <v>39</v>
      </c>
      <c r="AE351" s="1071"/>
      <c r="AF351" s="1052"/>
      <c r="AG351" s="1053"/>
      <c r="AH351" s="1053"/>
      <c r="AI351" s="1068"/>
      <c r="AJ351" s="1069"/>
      <c r="AK351" s="154" t="str">
        <f t="shared" ca="1" si="4947"/>
        <v/>
      </c>
      <c r="AL351" s="1039"/>
      <c r="AM351" s="344" t="str">
        <f ca="1">IFERROR(Q347/12*ROUND(VLOOKUP(AF351,OFFSET(ELM,0,1),6,FALSE),2),"")</f>
        <v/>
      </c>
      <c r="AN351" t="str">
        <f t="shared" ca="1" si="4971"/>
        <v/>
      </c>
      <c r="AP351" s="122" t="str">
        <f t="shared" ref="AP351" si="6125">_xlfn.CONCAT(AR351,AS352)</f>
        <v/>
      </c>
      <c r="AQ351" s="683" t="str">
        <f t="shared" si="5170"/>
        <v/>
      </c>
      <c r="AR351" s="4" t="str">
        <f t="shared" si="4931"/>
        <v/>
      </c>
      <c r="AS351" s="4"/>
      <c r="AT351" s="697" t="str">
        <f>AL347</f>
        <v/>
      </c>
      <c r="AU351" s="694" t="e">
        <f t="shared" ca="1" si="5187"/>
        <v>#REF!</v>
      </c>
      <c r="AV351" s="698" t="str">
        <f ca="1">IFERROR(VLOOKUP(AU351,INDIRECT(AQ347),2,FALSE),"----")</f>
        <v>----</v>
      </c>
      <c r="AW351" s="694" t="e">
        <f t="shared" ca="1" si="5188"/>
        <v>#REF!</v>
      </c>
      <c r="AX351" s="698" t="str">
        <f ca="1">IFERROR(VLOOKUP(AW351,INDIRECT(AQ348),2,FALSE),"----")</f>
        <v>----</v>
      </c>
      <c r="AY351" s="694" t="e">
        <f t="shared" ref="AY351" ca="1" si="6126">AY350-1</f>
        <v>#REF!</v>
      </c>
      <c r="AZ351" s="698" t="str">
        <f ca="1">IFERROR(VLOOKUP(AY351,INDIRECT(AQ349),2,FALSE),"----")</f>
        <v>----</v>
      </c>
      <c r="BA351" s="694" t="e">
        <f t="shared" ref="BA351" ca="1" si="6127">BA350-1</f>
        <v>#REF!</v>
      </c>
      <c r="BB351" s="698" t="str">
        <f ca="1">IFERROR(VLOOKUP(BA351,INDIRECT(AQ350),2,FALSE),"----")</f>
        <v>----</v>
      </c>
      <c r="BC351" s="694" t="e">
        <f t="shared" ca="1" si="5191"/>
        <v>#REF!</v>
      </c>
      <c r="BD351" s="698" t="str">
        <f ca="1">IFERROR(VLOOKUP(BC351,INDIRECT(AQ351),2,FALSE),"----")</f>
        <v>----</v>
      </c>
      <c r="BE351" s="694" t="e">
        <f t="shared" ca="1" si="5192"/>
        <v>#REF!</v>
      </c>
      <c r="BF351" s="698" t="str">
        <f ca="1">IFERROR(VLOOKUP(BE351,INDIRECT(AQ352),2,FALSE),"----")</f>
        <v>----</v>
      </c>
      <c r="BG351" s="694" t="e">
        <f t="shared" ca="1" si="5193"/>
        <v>#REF!</v>
      </c>
      <c r="BH351" s="686" t="str">
        <f ca="1">IFERROR(VLOOKUP(BG351,INDIRECT(AQ353),2,FALSE),"----")</f>
        <v>----</v>
      </c>
      <c r="BI351" s="694" t="e">
        <f t="shared" ca="1" si="5194"/>
        <v>#REF!</v>
      </c>
      <c r="BJ351" s="686" t="str">
        <f ca="1">IFERROR(VLOOKUP(BI351,INDIRECT(AQ354),2,FALSE),"----")</f>
        <v>----</v>
      </c>
      <c r="BK351" s="694" t="e">
        <f t="shared" ca="1" si="5195"/>
        <v>#REF!</v>
      </c>
      <c r="BL351" s="686" t="str">
        <f ca="1">IFERROR(VLOOKUP(BK351,INDIRECT(AQ355),2,FALSE),"----")</f>
        <v>----</v>
      </c>
      <c r="BM351" s="694" t="e">
        <f t="shared" ca="1" si="5196"/>
        <v>#REF!</v>
      </c>
      <c r="BN351" s="686" t="str">
        <f ca="1">IFERROR(VLOOKUP(BM351,INDIRECT(AQ356),2,FALSE),"----")</f>
        <v>----</v>
      </c>
      <c r="BO351" s="694" t="e">
        <f t="shared" ca="1" si="5197"/>
        <v>#REF!</v>
      </c>
      <c r="BP351" s="686" t="str">
        <f ca="1">IFERROR(VLOOKUP(BO351,INDIRECT(AQ357),2,FALSE),"----")</f>
        <v>----</v>
      </c>
      <c r="BQ351" s="694" t="e">
        <f t="shared" ca="1" si="5198"/>
        <v>#REF!</v>
      </c>
      <c r="BR351" s="686" t="str">
        <f ca="1">IFERROR(VLOOKUP(BQ351,INDIRECT(AQ358),2,FALSE),"----")</f>
        <v>----</v>
      </c>
      <c r="BS351" s="695">
        <f>IF(AI351="",1,IF(COUNTIF(BD347:BD358,AI351)=0,2,1))</f>
        <v>1</v>
      </c>
      <c r="BT351" s="696">
        <f>IF(AF351="",1,IF(BD347=".",2,1))</f>
        <v>1</v>
      </c>
      <c r="BU351" s="706"/>
      <c r="BV351" s="155">
        <f ca="1">IF(COUNTIF(CY347:CY358,AF351)=0,IF(AF351&lt;&gt;"",0,1),1)</f>
        <v>1</v>
      </c>
      <c r="BW351" s="157">
        <f ca="1">IFERROR(MATCH(AF351,CY347:CY358,0),1)</f>
        <v>1</v>
      </c>
      <c r="BX351" s="769"/>
      <c r="BY351" s="769"/>
      <c r="BZ351" s="1110"/>
      <c r="CA351" s="691" t="e">
        <f t="shared" ca="1" si="6061"/>
        <v>#REF!</v>
      </c>
      <c r="CB351" s="4" t="e" cm="1">
        <f t="array" aca="1" ref="CB351" ca="1">IF(AND(INDEX(INDIRECT(BY347),CA351,4)&gt;=$AB347,INDEX(INDIRECT(BY347),CA351,5)&gt;=$S347,INDEX(INDIRECT(BY347),CA351,6)&gt;=$R347),1,0)</f>
        <v>#REF!</v>
      </c>
      <c r="CC351" s="4" t="e">
        <f t="shared" ref="CC351" ca="1" si="6128">MATCH(1,OFFSET(CB347:CB358,CD350,0,COUNT(CB347:CB358)-CD350),0)</f>
        <v>#REF!</v>
      </c>
      <c r="CD351" s="4" t="e">
        <f t="shared" ca="1" si="6063"/>
        <v>#REF!</v>
      </c>
      <c r="CE351" s="692" t="str" cm="1">
        <f t="array" aca="1" ref="CE351" ca="1">IFERROR(VLOOKUP(INDEX(CA347:CA358,CD351),INDIRECT(BY347),2,FALSE),"----")</f>
        <v>----</v>
      </c>
      <c r="CF351" s="691" t="e">
        <f t="shared" ca="1" si="6064"/>
        <v>#N/A</v>
      </c>
      <c r="CG351" s="4" t="e">
        <f ca="1">IF(AND(INDEX(SSM,CF351,4)&gt;=$AB347,INDEX(SSM,CF351,5)&gt;=$S347,INDEX(SSM,CF351,6)&gt;=$R347),1,0)</f>
        <v>#N/A</v>
      </c>
      <c r="CH351" s="4" t="e">
        <f t="shared" ref="CH351" ca="1" si="6129">MATCH(1,OFFSET(CG347:CG358,CI350,0,COUNT(CG347:CG358)-CI350),0)</f>
        <v>#REF!</v>
      </c>
      <c r="CI351" s="4" t="e">
        <f t="shared" ca="1" si="6066"/>
        <v>#REF!</v>
      </c>
      <c r="CJ351" s="692" t="str">
        <f ca="1">IFERROR(IF(AD348="Nested Steel Stud (wood infill)",VLOOKUP(INDEX(CF347:CF358,CI351),SSW,2,FALSE),VLOOKUP(INDEX(CF347:CF358,CI351),SSM,2,FALSE)),"----")</f>
        <v>----</v>
      </c>
      <c r="CK351" s="691" t="e">
        <f t="shared" ca="1" si="6067"/>
        <v>#N/A</v>
      </c>
      <c r="CL351" s="4" t="e">
        <f ca="1">IF(AND(INDEX(WSM,CK351,4)&gt;=$AB347,INDEX(WSM,CK351,5)&gt;=$S347,INDEX(WSM,CK351,6)&gt;=$R347),1,0)</f>
        <v>#N/A</v>
      </c>
      <c r="CM351" s="4" t="e">
        <f t="shared" ref="CM351" ca="1" si="6130">MATCH(1,OFFSET(CL347:CL358,CN350,0,COUNT(CL347:CL358)-CN350),0)</f>
        <v>#REF!</v>
      </c>
      <c r="CN351" s="4" t="e">
        <f t="shared" ca="1" si="6069"/>
        <v>#REF!</v>
      </c>
      <c r="CO351" s="692" t="str">
        <f ca="1">IFERROR(VLOOKUP(INDEX(CK347:CK358,CN351),WSM,2,FALSE),"----")</f>
        <v>----</v>
      </c>
      <c r="CP351" s="691" t="e">
        <f t="shared" ca="1" si="6070"/>
        <v>#N/A</v>
      </c>
      <c r="CQ351" s="4" t="e">
        <f ca="1">IF(AND(INDEX(STM,CP351,4)&gt;=$AB347,INDEX(STM,CP351,5)&gt;=$S347,INDEX(STM,CP351,6)&gt;=$R347),1,0)</f>
        <v>#N/A</v>
      </c>
      <c r="CR351" s="4" t="e">
        <f t="shared" ref="CR351" ca="1" si="6131">MATCH(1,OFFSET(CQ347:CQ358,CS350,0,COUNT(CQ347:CQ358)-CS350),0)</f>
        <v>#REF!</v>
      </c>
      <c r="CS351" s="4" t="e">
        <f t="shared" ca="1" si="6072"/>
        <v>#REF!</v>
      </c>
      <c r="CT351" s="692" t="str">
        <f ca="1">IFERROR(VLOOKUP(INDEX(CP347:CP358,CS351),STM,2,FALSE),"----")</f>
        <v>----</v>
      </c>
      <c r="CU351" s="691" t="e">
        <f t="shared" ca="1" si="6073"/>
        <v>#N/A</v>
      </c>
      <c r="CV351" s="4" t="e">
        <f ca="1">IF(AND(INDEX(ELM,CU351,4)&gt;=$AB347,INDEX(ELM,CU351,5)&gt;=$S347,INDEX(ELM,CU351,6)&gt;=$R347),1,0)</f>
        <v>#N/A</v>
      </c>
      <c r="CW351" s="4" t="e">
        <f t="shared" ref="CW351" ca="1" si="6132">MATCH(1,OFFSET(CV347:CV358,CX350,0,COUNT(CV347:CV358)-CX350),0)</f>
        <v>#REF!</v>
      </c>
      <c r="CX351" s="4" t="e">
        <f t="shared" ca="1" si="6075"/>
        <v>#REF!</v>
      </c>
      <c r="CY351" s="692" t="str">
        <f ca="1">IFERROR(VLOOKUP(INDEX(CU347:CU358,CX351),ELM,2,FALSE),"----")</f>
        <v>----</v>
      </c>
      <c r="CZ351" s="691" t="e">
        <f t="shared" ca="1" si="6076"/>
        <v>#N/A</v>
      </c>
      <c r="DA351" s="4" t="e">
        <f ca="1">IF(LEFT($J347,7)="Clad Wo",IF(AND(INDEX(SPPWS,CZ351,4)&gt;=$AB347,INDEX(SPPWS,CZ351,5)&gt;=$S347,INDEX(SPPWS,CZ351,6)&gt;=$R347),1,0),IF(AND(INDEX(SPM,CZ351,4)&gt;=$AB347,INDEX(SPM,CZ351,5)&gt;=$S347,INDEX(SPM,CZ351,6)&gt;=$R347),1,0))</f>
        <v>#N/A</v>
      </c>
      <c r="DB351" s="4" t="e">
        <f t="shared" ref="DB351" ca="1" si="6133">MATCH(1,OFFSET(DA347:DA358,DC350,0,COUNT(DA347:DA358)-DC350),0)</f>
        <v>#REF!</v>
      </c>
      <c r="DC351" s="4" t="e">
        <f t="shared" ca="1" si="6078"/>
        <v>#REF!</v>
      </c>
      <c r="DD351" s="693" t="str">
        <f ca="1">IF(LEFT($J347,7)="Clad Wo",IFERROR(VLOOKUP(INDEX(CZ347:CZ358,DC351),SPPWS,2,FALSE),"----"),IFERROR(VLOOKUP(INDEX(CZ347:CZ358,DC351),SPM,2,FALSE),"----"))</f>
        <v>----</v>
      </c>
      <c r="DE351" s="691" t="e">
        <f t="shared" ca="1" si="6079"/>
        <v>#REF!</v>
      </c>
      <c r="DF351" s="4" t="e" cm="1">
        <f t="array" aca="1" ref="DF351" ca="1">IF(AND(INDEX(INDIRECT(BY347),DE351,4)&gt;=$AB353,INDEX(INDIRECT(BY347),DE351,5)&gt;=$S347,INDEX(INDIRECT(BY347),DE351,6)&gt;=$R347),1,0)</f>
        <v>#REF!</v>
      </c>
      <c r="DG351" s="4" t="e">
        <f t="shared" ref="DG351" ca="1" si="6134">MATCH(1,OFFSET(DF347:DF358,DH350,0,COUNT(DF347:DF358)-DH350),0)</f>
        <v>#REF!</v>
      </c>
      <c r="DH351" s="4" t="e">
        <f t="shared" ca="1" si="6081"/>
        <v>#REF!</v>
      </c>
      <c r="DI351" s="692" t="str" cm="1">
        <f t="array" aca="1" ref="DI351" ca="1">IFERROR(VLOOKUP(INDEX(DE347:DE358,DH351),INDIRECT(BY347),2,FALSE),"----")</f>
        <v>----</v>
      </c>
      <c r="DJ351" s="691" t="e">
        <f t="shared" ca="1" si="6082"/>
        <v>#N/A</v>
      </c>
      <c r="DK351" s="4" t="e">
        <f ca="1">IF(AND(INDEX(SSM,DJ351,4)&gt;=$AB353,INDEX(SSM,DJ351,5)&gt;=$S347,INDEX(SSM,DJ351,6)&gt;=$R347),1,0)</f>
        <v>#N/A</v>
      </c>
      <c r="DL351" s="4" t="e">
        <f t="shared" ref="DL351" ca="1" si="6135">MATCH(1,OFFSET(DK347:DK358,DM350,0,COUNT(DK347:DK358)-DM350),0)</f>
        <v>#REF!</v>
      </c>
      <c r="DM351" s="4" t="e">
        <f t="shared" ca="1" si="6084"/>
        <v>#REF!</v>
      </c>
      <c r="DN351" s="692" t="str">
        <f ca="1">IFERROR(IF(AD354="Nested Steel Stud (wood infill)",VLOOKUP(INDEX(DJ347:DJ358,DM351),SSW,2,FALSE),VLOOKUP(INDEX(DJ347:DJ358,DM351),SSM,2,FALSE)),"----")</f>
        <v>----</v>
      </c>
      <c r="DO351" s="691" t="e">
        <f t="shared" ca="1" si="6085"/>
        <v>#N/A</v>
      </c>
      <c r="DP351" s="4" t="e">
        <f ca="1">IF(AND(INDEX(WSM,DO351,4)&gt;=$AB353,INDEX(WSM,DO351,5)&gt;=$S347,INDEX(WSM,DO351,6)&gt;=$R347),1,0)</f>
        <v>#N/A</v>
      </c>
      <c r="DQ351" s="4" t="e">
        <f t="shared" ref="DQ351" ca="1" si="6136">MATCH(1,OFFSET(DP347:DP358,DR350,0,COUNT(DP347:DP358)-DR350),0)</f>
        <v>#REF!</v>
      </c>
      <c r="DR351" s="4" t="e">
        <f t="shared" ca="1" si="6087"/>
        <v>#REF!</v>
      </c>
      <c r="DS351" s="692" t="str">
        <f ca="1">IFERROR(VLOOKUP(INDEX(DO347:DO358,DR351),WSM,2,FALSE),"----")</f>
        <v>----</v>
      </c>
      <c r="DT351" s="691" t="e">
        <f t="shared" ca="1" si="6088"/>
        <v>#N/A</v>
      </c>
      <c r="DU351" s="4" t="e">
        <f ca="1">IF(AND(INDEX(STM,DT351,4)&gt;=$AB353,INDEX(STM,DT351,5)&gt;=$S347,INDEX(STM,DT351,6)&gt;=$R347),1,0)</f>
        <v>#N/A</v>
      </c>
      <c r="DV351" s="4" t="e">
        <f t="shared" ref="DV351" ca="1" si="6137">MATCH(1,OFFSET(DU347:DU358,DW350,0,COUNT(DU347:DU358)-DW350),0)</f>
        <v>#REF!</v>
      </c>
      <c r="DW351" s="4" t="e">
        <f t="shared" ca="1" si="6090"/>
        <v>#REF!</v>
      </c>
      <c r="DX351" s="692" t="str">
        <f ca="1">IFERROR(VLOOKUP(INDEX(DT347:DT358,DW351),STM,2,FALSE),"----")</f>
        <v>----</v>
      </c>
      <c r="DY351" s="691" t="e">
        <f t="shared" ca="1" si="6091"/>
        <v>#N/A</v>
      </c>
      <c r="DZ351" s="4" t="e">
        <f ca="1">IF(AND(INDEX(ELM,DY351,4)&gt;=$AB353,INDEX(ELM,DY351,5)&gt;=$S347,INDEX(ELM,DY351,6)&gt;=$R347),1,0)</f>
        <v>#N/A</v>
      </c>
      <c r="EA351" s="4" t="e">
        <f t="shared" ref="EA351" ca="1" si="6138">MATCH(1,OFFSET(DZ347:DZ358,EB350,0,COUNT(DZ347:DZ358)-EB350),0)</f>
        <v>#REF!</v>
      </c>
      <c r="EB351" s="4" t="e">
        <f t="shared" ca="1" si="6093"/>
        <v>#REF!</v>
      </c>
      <c r="EC351" s="692" t="str">
        <f ca="1">IFERROR(VLOOKUP(INDEX(DY347:DY358,EB351),ELM,2,FALSE),"----")</f>
        <v>----</v>
      </c>
      <c r="ED351" s="691" t="e">
        <f t="shared" ca="1" si="6094"/>
        <v>#N/A</v>
      </c>
      <c r="EE351" s="4" t="e">
        <f ca="1">IF(LEFT($J347,7)="Clad Wo",IF(AND(INDEX(SPPWS,ED351,4)&gt;=$AB353,INDEX(SPPWS,ED351,5)&gt;=$S347,INDEX(SPPWS,ED351,6)&gt;=$R347),1,0),IF(AND(INDEX(SPM,ED351,4)&gt;=$AB353,INDEX(SPM,ED351,5)&gt;=$S347,INDEX(SPM,ED351,6)&gt;=$R347),1,0))</f>
        <v>#N/A</v>
      </c>
      <c r="EF351" s="4" t="e">
        <f t="shared" ref="EF351" ca="1" si="6139">MATCH(1,OFFSET(EE347:EE358,EG350,0,COUNT(EE347:EE358)-EG350),0)</f>
        <v>#REF!</v>
      </c>
      <c r="EG351" s="4" t="e">
        <f t="shared" ca="1" si="6096"/>
        <v>#REF!</v>
      </c>
      <c r="EH351" s="692" t="str">
        <f ca="1">IF(LEFT($J347,7)="Clad Wo",IFERROR(VLOOKUP(INDEX(ED347:ED358,EG351),SPPWS,2,FALSE),"----"),IFERROR(VLOOKUP(INDEX(ED347:ED358,EG351),SPM,2,FALSE),"----"))</f>
        <v>----</v>
      </c>
    </row>
    <row r="352" spans="1:138" ht="15" customHeight="1" thickBot="1" x14ac:dyDescent="0.3">
      <c r="A352" s="1085"/>
      <c r="B352" s="934"/>
      <c r="C352" s="935"/>
      <c r="D352" s="936"/>
      <c r="E352" s="995"/>
      <c r="F352" s="996"/>
      <c r="G352" s="997"/>
      <c r="H352" s="1062"/>
      <c r="I352" s="990"/>
      <c r="J352" s="908"/>
      <c r="K352" s="909"/>
      <c r="L352" s="1010"/>
      <c r="M352" s="924"/>
      <c r="N352" s="1044"/>
      <c r="O352" s="1018"/>
      <c r="P352" s="987"/>
      <c r="Q352" s="1015"/>
      <c r="R352" s="1012"/>
      <c r="S352" s="1006"/>
      <c r="T352" s="1007"/>
      <c r="U352" s="878"/>
      <c r="V352" s="881"/>
      <c r="W352" s="889"/>
      <c r="X352" s="884"/>
      <c r="Y352" s="890"/>
      <c r="Z352" s="890"/>
      <c r="AA352" s="887"/>
      <c r="AB352" s="1084"/>
      <c r="AC352" s="1079"/>
      <c r="AD352" s="1072" t="str">
        <f t="shared" ref="AD352" si="6140">IF(LEFT(J347,7)="Clad Wo","Pella Wood Spr / Steel Pte","Steel Plate")</f>
        <v>Steel Plate</v>
      </c>
      <c r="AE352" s="1073"/>
      <c r="AF352" s="1054"/>
      <c r="AG352" s="1055"/>
      <c r="AH352" s="1055"/>
      <c r="AI352" s="1092"/>
      <c r="AJ352" s="1093"/>
      <c r="AK352" s="159" t="str">
        <f t="shared" ca="1" si="4947"/>
        <v/>
      </c>
      <c r="AL352" s="1040"/>
      <c r="AM352" s="345" t="str">
        <f ca="1">IFERROR(Q347/12*ROUND(VLOOKUP(AF352,OFFSET(SPM,0,1),6,FALSE),2),"")</f>
        <v/>
      </c>
      <c r="AN352" t="str">
        <f t="shared" ca="1" si="4971"/>
        <v/>
      </c>
      <c r="AP352" s="699" t="str">
        <f t="shared" ref="AP352" si="6141">_xlfn.CONCAT(AR352,AS352)</f>
        <v/>
      </c>
      <c r="AQ352" s="700" t="str">
        <f t="shared" si="5170"/>
        <v/>
      </c>
      <c r="AR352" s="160" t="str">
        <f t="shared" si="4931"/>
        <v/>
      </c>
      <c r="AS352" s="160" t="str">
        <f>IFERROR(VLOOKUP(J355, WallType,2,FALSE),"")</f>
        <v/>
      </c>
      <c r="AT352" s="701" t="str">
        <f>AL347</f>
        <v/>
      </c>
      <c r="AU352" s="694" t="e">
        <f t="shared" ca="1" si="5187"/>
        <v>#REF!</v>
      </c>
      <c r="AV352" s="698" t="str">
        <f ca="1">IFERROR(VLOOKUP(AU352,INDIRECT(AQ347),2,FALSE),"----")</f>
        <v>----</v>
      </c>
      <c r="AW352" s="702" t="e">
        <f t="shared" ca="1" si="5188"/>
        <v>#REF!</v>
      </c>
      <c r="AX352" s="698" t="str">
        <f ca="1">IFERROR(VLOOKUP(AW352,INDIRECT(AQ348),2,FALSE),"----")</f>
        <v>----</v>
      </c>
      <c r="AY352" s="702" t="e">
        <f t="shared" ref="AY352" ca="1" si="6142">AY351-1</f>
        <v>#REF!</v>
      </c>
      <c r="AZ352" s="698" t="str">
        <f ca="1">IFERROR(VLOOKUP(AY352,INDIRECT(AQ349),2,FALSE),"----")</f>
        <v>----</v>
      </c>
      <c r="BA352" s="702" t="e">
        <f t="shared" ref="BA352" ca="1" si="6143">BA351-1</f>
        <v>#REF!</v>
      </c>
      <c r="BB352" s="698" t="str">
        <f ca="1">IFERROR(VLOOKUP(BA352,INDIRECT(AQ350),2,FALSE),"----")</f>
        <v>----</v>
      </c>
      <c r="BC352" s="702" t="e">
        <f t="shared" ca="1" si="5191"/>
        <v>#REF!</v>
      </c>
      <c r="BD352" s="698" t="str">
        <f ca="1">IFERROR(VLOOKUP(BC352,INDIRECT(AQ351),2,FALSE),"----")</f>
        <v>----</v>
      </c>
      <c r="BE352" s="702" t="e">
        <f t="shared" ca="1" si="5192"/>
        <v>#REF!</v>
      </c>
      <c r="BF352" s="698" t="str">
        <f ca="1">IFERROR(VLOOKUP(BE352,INDIRECT(AQ352),2,FALSE),"----")</f>
        <v>----</v>
      </c>
      <c r="BG352" s="702" t="e">
        <f t="shared" ca="1" si="5193"/>
        <v>#REF!</v>
      </c>
      <c r="BH352" s="686" t="str">
        <f ca="1">IFERROR(VLOOKUP(BG352,INDIRECT(AQ353),2,FALSE),"----")</f>
        <v>----</v>
      </c>
      <c r="BI352" s="702" t="e">
        <f t="shared" ca="1" si="5194"/>
        <v>#REF!</v>
      </c>
      <c r="BJ352" s="686" t="str">
        <f ca="1">IFERROR(VLOOKUP(BI352,INDIRECT(AQ354),2,FALSE),"----")</f>
        <v>----</v>
      </c>
      <c r="BK352" s="702" t="e">
        <f t="shared" ca="1" si="5195"/>
        <v>#REF!</v>
      </c>
      <c r="BL352" s="686" t="str">
        <f ca="1">IFERROR(VLOOKUP(BK352,INDIRECT(AQ355),2,FALSE),"----")</f>
        <v>----</v>
      </c>
      <c r="BM352" s="702" t="e">
        <f t="shared" ca="1" si="5196"/>
        <v>#REF!</v>
      </c>
      <c r="BN352" s="686" t="str">
        <f ca="1">IFERROR(VLOOKUP(BM352,INDIRECT(AQ356),2,FALSE),"----")</f>
        <v>----</v>
      </c>
      <c r="BO352" s="702" t="e">
        <f t="shared" ca="1" si="5197"/>
        <v>#REF!</v>
      </c>
      <c r="BP352" s="686" t="str">
        <f ca="1">IFERROR(VLOOKUP(BO352,INDIRECT(AQ357),2,FALSE),"----")</f>
        <v>----</v>
      </c>
      <c r="BQ352" s="702" t="e">
        <f t="shared" ca="1" si="5198"/>
        <v>#REF!</v>
      </c>
      <c r="BR352" s="686" t="str">
        <f ca="1">IFERROR(VLOOKUP(BQ352,INDIRECT(AQ358),2,FALSE),"----")</f>
        <v>----</v>
      </c>
      <c r="BS352" s="703">
        <f>IF(AI352="",1,IF(COUNTIF(BF347:BF358,AI352)=0,2,1))</f>
        <v>1</v>
      </c>
      <c r="BT352" s="704">
        <f>IF(AF352="",1,IF(BF347=".",2,1))</f>
        <v>1</v>
      </c>
      <c r="BV352" s="155">
        <f ca="1">IF(COUNTIF(DD347:DD358,AF352)=0,IF(AF352&lt;&gt;"",0,1),1)</f>
        <v>1</v>
      </c>
      <c r="BW352" s="157">
        <f ca="1">IFERROR(MATCH(AF352,DD347:DD358,0),1)</f>
        <v>1</v>
      </c>
      <c r="BX352" s="875" t="s">
        <v>1594</v>
      </c>
      <c r="BY352" s="876"/>
      <c r="BZ352" s="1110"/>
      <c r="CA352" s="691" t="e">
        <f t="shared" ca="1" si="6061"/>
        <v>#REF!</v>
      </c>
      <c r="CB352" s="4" t="e" cm="1">
        <f t="array" aca="1" ref="CB352" ca="1">IF(AND(INDEX(INDIRECT(BY347),CA352,4)&gt;=$AB347,INDEX(INDIRECT(BY347),CA352,5)&gt;=$S347,INDEX(INDIRECT(BY347),CA352,6)&gt;=$R347),1,0)</f>
        <v>#REF!</v>
      </c>
      <c r="CC352" s="4" t="e">
        <f t="shared" ref="CC352" ca="1" si="6144">MATCH(1,OFFSET(CB347:CB358,CD351,0,COUNT(CB347:CB358)-CD351),0)</f>
        <v>#REF!</v>
      </c>
      <c r="CD352" s="4" t="e">
        <f t="shared" ca="1" si="6063"/>
        <v>#REF!</v>
      </c>
      <c r="CE352" s="692" t="str" cm="1">
        <f t="array" aca="1" ref="CE352" ca="1">IFERROR(VLOOKUP(INDEX(CA347:CA358,CD352),INDIRECT(BY347),2,FALSE),"----")</f>
        <v>----</v>
      </c>
      <c r="CF352" s="691" t="e">
        <f t="shared" ca="1" si="6064"/>
        <v>#N/A</v>
      </c>
      <c r="CG352" s="4" t="e">
        <f ca="1">IF(AND(INDEX(SSM,CF352,4)&gt;=$AB347,INDEX(SSM,CF352,5)&gt;=$S347,INDEX(SSM,CF352,6)&gt;=$R347),1,0)</f>
        <v>#N/A</v>
      </c>
      <c r="CH352" s="4" t="e">
        <f t="shared" ref="CH352" ca="1" si="6145">MATCH(1,OFFSET(CG347:CG358,CI351,0,COUNT(CG347:CG358)-CI351),0)</f>
        <v>#REF!</v>
      </c>
      <c r="CI352" s="4" t="e">
        <f t="shared" ca="1" si="6066"/>
        <v>#REF!</v>
      </c>
      <c r="CJ352" s="692" t="str">
        <f ca="1">IFERROR(IF(AD348="Nested Steel Stud (wood infill)",VLOOKUP(INDEX(CF347:CF358,CI352),SSW,2,FALSE),VLOOKUP(INDEX(CF347:CF358,CI352),SSM,2,FALSE)),"----")</f>
        <v>----</v>
      </c>
      <c r="CK352" s="691" t="e">
        <f t="shared" ca="1" si="6067"/>
        <v>#N/A</v>
      </c>
      <c r="CL352" s="4" t="e">
        <f ca="1">IF(AND(INDEX(WSM,CK352,4)&gt;=$AB347,INDEX(WSM,CK352,5)&gt;=$S347,INDEX(WSM,CK352,6)&gt;=$R347),1,0)</f>
        <v>#N/A</v>
      </c>
      <c r="CM352" s="4" t="e">
        <f t="shared" ref="CM352" ca="1" si="6146">MATCH(1,OFFSET(CL347:CL358,CN351,0,COUNT(CL347:CL358)-CN351),0)</f>
        <v>#REF!</v>
      </c>
      <c r="CN352" s="4" t="e">
        <f t="shared" ca="1" si="6069"/>
        <v>#REF!</v>
      </c>
      <c r="CO352" s="692" t="str">
        <f ca="1">IFERROR(VLOOKUP(INDEX(CK347:CK358,CN352),WSM,2,FALSE),"----")</f>
        <v>----</v>
      </c>
      <c r="CP352" s="691" t="e">
        <f t="shared" ca="1" si="6070"/>
        <v>#N/A</v>
      </c>
      <c r="CQ352" s="4" t="e">
        <f ca="1">IF(AND(INDEX(STM,CP352,4)&gt;=$AB347,INDEX(STM,CP352,5)&gt;=$S347,INDEX(STM,CP352,6)&gt;=$R347),1,0)</f>
        <v>#N/A</v>
      </c>
      <c r="CR352" s="4" t="e">
        <f t="shared" ref="CR352" ca="1" si="6147">MATCH(1,OFFSET(CQ347:CQ358,CS351,0,COUNT(CQ347:CQ358)-CS351),0)</f>
        <v>#REF!</v>
      </c>
      <c r="CS352" s="4" t="e">
        <f t="shared" ca="1" si="6072"/>
        <v>#REF!</v>
      </c>
      <c r="CT352" s="692" t="str">
        <f ca="1">IFERROR(VLOOKUP(INDEX(CP347:CP358,CS352),STM,2,FALSE),"----")</f>
        <v>----</v>
      </c>
      <c r="CU352" s="691" t="e">
        <f t="shared" ca="1" si="6073"/>
        <v>#N/A</v>
      </c>
      <c r="CV352" s="4" t="e">
        <f ca="1">IF(AND(INDEX(ELM,CU352,4)&gt;=$AB347,INDEX(ELM,CU352,5)&gt;=$S347,INDEX(ELM,CU352,6)&gt;=$R347),1,0)</f>
        <v>#N/A</v>
      </c>
      <c r="CW352" s="4" t="e">
        <f t="shared" ref="CW352" ca="1" si="6148">MATCH(1,OFFSET(CV347:CV358,CX351,0,COUNT(CV347:CV358)-CX351),0)</f>
        <v>#REF!</v>
      </c>
      <c r="CX352" s="4" t="e">
        <f t="shared" ca="1" si="6075"/>
        <v>#REF!</v>
      </c>
      <c r="CY352" s="692" t="str">
        <f ca="1">IFERROR(VLOOKUP(INDEX(CU347:CU358,CX352),ELM,2,FALSE),"----")</f>
        <v>----</v>
      </c>
      <c r="CZ352" s="691" t="e">
        <f t="shared" ca="1" si="6076"/>
        <v>#N/A</v>
      </c>
      <c r="DA352" s="4" t="e">
        <f ca="1">IF(LEFT($J347,7)="Clad Wo",IF(AND(INDEX(SPPWS,CZ352,4)&gt;=$AB347,INDEX(SPPWS,CZ352,5)&gt;=$S347,INDEX(SPPWS,CZ352,6)&gt;=$R347),1,0),IF(AND(INDEX(SPM,CZ352,4)&gt;=$AB347,INDEX(SPM,CZ352,5)&gt;=$S347,INDEX(SPM,CZ352,6)&gt;=$R347),1,0))</f>
        <v>#N/A</v>
      </c>
      <c r="DB352" s="4" t="e">
        <f t="shared" ref="DB352" ca="1" si="6149">MATCH(1,OFFSET(DA347:DA358,DC351,0,COUNT(DA347:DA358)-DC351),0)</f>
        <v>#REF!</v>
      </c>
      <c r="DC352" s="4" t="e">
        <f t="shared" ca="1" si="6078"/>
        <v>#REF!</v>
      </c>
      <c r="DD352" s="693" t="str">
        <f ca="1">IF(LEFT($J347,7)="Clad Wo",IFERROR(VLOOKUP(INDEX(CZ347:CZ358,DC352),SPPWS,2,FALSE),"----"),IFERROR(VLOOKUP(INDEX(CZ347:CZ358,DC352),SPM,2,FALSE),"----"))</f>
        <v>----</v>
      </c>
      <c r="DE352" s="691" t="e">
        <f t="shared" ca="1" si="6079"/>
        <v>#REF!</v>
      </c>
      <c r="DF352" s="4" t="e" cm="1">
        <f t="array" aca="1" ref="DF352" ca="1">IF(AND(INDEX(INDIRECT(BY347),DE352,4)&gt;=$AB353,INDEX(INDIRECT(BY347),DE352,5)&gt;=$S347,INDEX(INDIRECT(BY347),DE352,6)&gt;=$R347),1,0)</f>
        <v>#REF!</v>
      </c>
      <c r="DG352" s="4" t="e">
        <f t="shared" ref="DG352" ca="1" si="6150">MATCH(1,OFFSET(DF347:DF358,DH351,0,COUNT(DF347:DF358)-DH351),0)</f>
        <v>#REF!</v>
      </c>
      <c r="DH352" s="4" t="e">
        <f t="shared" ca="1" si="6081"/>
        <v>#REF!</v>
      </c>
      <c r="DI352" s="692" t="str" cm="1">
        <f t="array" aca="1" ref="DI352" ca="1">IFERROR(VLOOKUP(INDEX(DE347:DE358,DH352),INDIRECT(BY347),2,FALSE),"----")</f>
        <v>----</v>
      </c>
      <c r="DJ352" s="691" t="e">
        <f t="shared" ca="1" si="6082"/>
        <v>#N/A</v>
      </c>
      <c r="DK352" s="4" t="e">
        <f ca="1">IF(AND(INDEX(SSM,DJ352,4)&gt;=$AB353,INDEX(SSM,DJ352,5)&gt;=$S347,INDEX(SSM,DJ352,6)&gt;=$R347),1,0)</f>
        <v>#N/A</v>
      </c>
      <c r="DL352" s="4" t="e">
        <f t="shared" ref="DL352" ca="1" si="6151">MATCH(1,OFFSET(DK347:DK358,DM351,0,COUNT(DK347:DK358)-DM351),0)</f>
        <v>#REF!</v>
      </c>
      <c r="DM352" s="4" t="e">
        <f t="shared" ca="1" si="6084"/>
        <v>#REF!</v>
      </c>
      <c r="DN352" s="692" t="str">
        <f ca="1">IFERROR(IF(AD354="Nested Steel Stud (wood infill)",VLOOKUP(INDEX(DJ347:DJ358,DM352),SSW,2,FALSE),VLOOKUP(INDEX(DJ347:DJ358,DM352),SSM,2,FALSE)),"----")</f>
        <v>----</v>
      </c>
      <c r="DO352" s="691" t="e">
        <f t="shared" ca="1" si="6085"/>
        <v>#N/A</v>
      </c>
      <c r="DP352" s="4" t="e">
        <f ca="1">IF(AND(INDEX(WSM,DO352,4)&gt;=$AB353,INDEX(WSM,DO352,5)&gt;=$S347,INDEX(WSM,DO352,6)&gt;=$R347),1,0)</f>
        <v>#N/A</v>
      </c>
      <c r="DQ352" s="4" t="e">
        <f t="shared" ref="DQ352" ca="1" si="6152">MATCH(1,OFFSET(DP347:DP358,DR351,0,COUNT(DP347:DP358)-DR351),0)</f>
        <v>#REF!</v>
      </c>
      <c r="DR352" s="4" t="e">
        <f t="shared" ca="1" si="6087"/>
        <v>#REF!</v>
      </c>
      <c r="DS352" s="692" t="str">
        <f ca="1">IFERROR(VLOOKUP(INDEX(DO347:DO358,DR352),WSM,2,FALSE),"----")</f>
        <v>----</v>
      </c>
      <c r="DT352" s="691" t="e">
        <f t="shared" ca="1" si="6088"/>
        <v>#N/A</v>
      </c>
      <c r="DU352" s="4" t="e">
        <f ca="1">IF(AND(INDEX(STM,DT352,4)&gt;=$AB353,INDEX(STM,DT352,5)&gt;=$S347,INDEX(STM,DT352,6)&gt;=$R347),1,0)</f>
        <v>#N/A</v>
      </c>
      <c r="DV352" s="4" t="e">
        <f t="shared" ref="DV352" ca="1" si="6153">MATCH(1,OFFSET(DU347:DU358,DW351,0,COUNT(DU347:DU358)-DW351),0)</f>
        <v>#REF!</v>
      </c>
      <c r="DW352" s="4" t="e">
        <f t="shared" ca="1" si="6090"/>
        <v>#REF!</v>
      </c>
      <c r="DX352" s="692" t="str">
        <f ca="1">IFERROR(VLOOKUP(INDEX(DT347:DT358,DW352),STM,2,FALSE),"----")</f>
        <v>----</v>
      </c>
      <c r="DY352" s="691" t="e">
        <f t="shared" ca="1" si="6091"/>
        <v>#N/A</v>
      </c>
      <c r="DZ352" s="4" t="e">
        <f ca="1">IF(AND(INDEX(ELM,DY352,4)&gt;=$AB353,INDEX(ELM,DY352,5)&gt;=$S347,INDEX(ELM,DY352,6)&gt;=$R347),1,0)</f>
        <v>#N/A</v>
      </c>
      <c r="EA352" s="4" t="e">
        <f t="shared" ref="EA352" ca="1" si="6154">MATCH(1,OFFSET(DZ347:DZ358,EB351,0,COUNT(DZ347:DZ358)-EB351),0)</f>
        <v>#REF!</v>
      </c>
      <c r="EB352" s="4" t="e">
        <f t="shared" ca="1" si="6093"/>
        <v>#REF!</v>
      </c>
      <c r="EC352" s="692" t="str">
        <f ca="1">IFERROR(VLOOKUP(INDEX(DY347:DY358,EB352),ELM,2,FALSE),"----")</f>
        <v>----</v>
      </c>
      <c r="ED352" s="691" t="e">
        <f t="shared" ca="1" si="6094"/>
        <v>#N/A</v>
      </c>
      <c r="EE352" s="4" t="e">
        <f ca="1">IF(LEFT($J347,7)="Clad Wo",IF(AND(INDEX(SPPWS,ED352,4)&gt;=$AB353,INDEX(SPPWS,ED352,5)&gt;=$S347,INDEX(SPPWS,ED352,6)&gt;=$R347),1,0),IF(AND(INDEX(SPM,ED352,4)&gt;=$AB353,INDEX(SPM,ED352,5)&gt;=$S347,INDEX(SPM,ED352,6)&gt;=$R347),1,0))</f>
        <v>#N/A</v>
      </c>
      <c r="EF352" s="4" t="e">
        <f t="shared" ref="EF352" ca="1" si="6155">MATCH(1,OFFSET(EE347:EE358,EG351,0,COUNT(EE347:EE358)-EG351),0)</f>
        <v>#REF!</v>
      </c>
      <c r="EG352" s="4" t="e">
        <f t="shared" ca="1" si="6096"/>
        <v>#REF!</v>
      </c>
      <c r="EH352" s="692" t="str">
        <f ca="1">IF(LEFT($J347,7)="Clad Wo",IFERROR(VLOOKUP(INDEX(ED347:ED358,EG352),SPPWS,2,FALSE),"----"),IFERROR(VLOOKUP(INDEX(ED347:ED358,EG352),SPM,2,FALSE),"----"))</f>
        <v>----</v>
      </c>
    </row>
    <row r="353" spans="1:138" ht="15" customHeight="1" x14ac:dyDescent="0.25">
      <c r="A353" s="1085"/>
      <c r="B353" s="925" t="s">
        <v>409</v>
      </c>
      <c r="C353" s="926"/>
      <c r="D353" s="927"/>
      <c r="E353" s="995"/>
      <c r="F353" s="996"/>
      <c r="G353" s="997"/>
      <c r="H353" s="1062"/>
      <c r="I353" s="990"/>
      <c r="J353" s="908"/>
      <c r="K353" s="909"/>
      <c r="L353" s="1001">
        <f>L347+1</f>
        <v>5</v>
      </c>
      <c r="M353" s="1064" t="str">
        <f t="shared" ref="M353" si="6156">IFERROR(IF($AE$17="",IF($AG$19="Wind Loading",MIN($V$31,IF(E$11="ASCE 7-05",$U$26,$V$7)*$V$9*(IF($E$12&lt;60,0.156*LN(MAX(MIN(500,O347),10)) -1.7618,IF($E$11="ASCE 7-22", 0.2026*LN(MAX(MIN(500,O347),20))-2.2638,0.2503*LN(MAX(MIN(500,O347),20)) -2.5526))-$V$8)),$V$7*IF(E$12&lt;60,$V$13*($V$15*(0.156*LN(MAX(MIN(500,O347),10)) -1.7618)-$V$16),$V$13*$V$15*((0.2026*LN(MAX(MIN(500,O347),20))-2.2638)-$V$16))),-ABS($AE$17)),"")</f>
        <v/>
      </c>
      <c r="N353" s="1041" t="str">
        <f t="shared" ref="N353" si="6157">IFERROR(IF($AE$19="",IF($AG$19="Wind Loading",MAX($U$31,IF(E$11="ASCE 7-05",$U$26,$V$7)*$V$9*((IF($E$12&lt;60,-0.077*LN(MAX(MIN(500,O347),10))+1.1737,IF($E$11="ASCE 7-22",-0.077*LN(MAX(MIN(500,O347),20))+1.0798,-0.093*LN(MAX(MIN(500,O347),20))+1.1776)))+$V$8)),$V$7*IF(E$12&lt;60,$V$13*($V$15*(-0.077*LN(MAX(MIN(500,O347),10))+1.1737)-$V$17),$V$13*$V$15*((-0.077*LN(MAX(MIN(500,O347),20))+1.0798)-$V$17))),ABS($AE$19)),"")</f>
        <v/>
      </c>
      <c r="O353" s="1018"/>
      <c r="P353" s="987"/>
      <c r="Q353" s="1015"/>
      <c r="R353" s="1012">
        <f>P353*Q353/8</f>
        <v>0</v>
      </c>
      <c r="S353" s="1006"/>
      <c r="T353" s="1007"/>
      <c r="U353" s="878"/>
      <c r="V353" s="881"/>
      <c r="W353" s="883" t="e">
        <f t="shared" ref="W353" si="6158">MAX(-M353,N353)*O347</f>
        <v>#VALUE!</v>
      </c>
      <c r="X353" s="884"/>
      <c r="Y353" s="886">
        <f>IFERROR(IF(AG$14="Trapezoidal",BY356,BX356)+IF($E$17="4",(400*E347^3)/(48*X347),0),0)</f>
        <v>0</v>
      </c>
      <c r="Z353" s="886" t="e">
        <f t="shared" ref="Z353" si="6159">+($V347*MAX(-$M353,$N353)*$E347^2)/(144*8)+IF($E$17=4,(400*$E347)/4,0)</f>
        <v>#VALUE!</v>
      </c>
      <c r="AA353" s="887"/>
      <c r="AB353" s="1080" t="str">
        <f t="shared" ref="AB353" ca="1" si="6160">IFERROR(Z353-AA347,"")</f>
        <v/>
      </c>
      <c r="AC353" s="1086" t="str">
        <f t="shared" ref="AC353" ca="1" si="6161">IFERROR(Y353-U347,"")</f>
        <v/>
      </c>
      <c r="AD353" s="1074" t="str">
        <f t="shared" ref="AD353" si="6162">AD347</f>
        <v/>
      </c>
      <c r="AE353" s="1075"/>
      <c r="AF353" s="1056"/>
      <c r="AG353" s="1057"/>
      <c r="AH353" s="1057"/>
      <c r="AI353" s="1088"/>
      <c r="AJ353" s="1089"/>
      <c r="AK353" s="162" t="str">
        <f t="shared" ca="1" si="4947"/>
        <v/>
      </c>
      <c r="AL353" s="1058" t="str">
        <f t="shared" ref="AL353" si="6163">IFERROR(ROUND(SQRT(P347^2+(W353/2+IF($E$17=4,200,0))^2),0),"")</f>
        <v/>
      </c>
      <c r="AM353" s="342" t="s">
        <v>669</v>
      </c>
      <c r="AN353" t="str">
        <f t="shared" ca="1" si="4971"/>
        <v/>
      </c>
      <c r="AP353" s="122" t="str">
        <f t="shared" ref="AP353" si="6164">_xlfn.CONCAT(AR353,AS358)</f>
        <v/>
      </c>
      <c r="AQ353" s="683" t="str">
        <f t="shared" si="5170"/>
        <v/>
      </c>
      <c r="AR353" s="96" t="str">
        <f t="shared" si="4931"/>
        <v/>
      </c>
      <c r="AS353" s="96" t="str">
        <f>IF(COUNTIF(imp_1,AF353)=1,"imp_1",IF(COUNTIF(imp_2,AF353)=1,"imp_2",IF(COUNTIF(imp_3,AF353)=1,"imp_3",IF(COUNTIF(impdoor,AF353)=1,"impdoor",""))))</f>
        <v/>
      </c>
      <c r="AT353" s="684" t="str">
        <f>AL353</f>
        <v/>
      </c>
      <c r="AU353" s="685" t="e">
        <f t="shared" ca="1" si="5187"/>
        <v>#REF!</v>
      </c>
      <c r="AV353" s="686" t="str">
        <f ca="1">IFERROR(VLOOKUP(AU353,INDIRECT(AQ347),2,FALSE),"----")</f>
        <v>----</v>
      </c>
      <c r="AW353" s="685" t="e">
        <f t="shared" ca="1" si="5188"/>
        <v>#REF!</v>
      </c>
      <c r="AX353" s="686" t="str">
        <f ca="1">IFERROR(VLOOKUP(AW353,INDIRECT(AQ348),2,FALSE),"----")</f>
        <v>----</v>
      </c>
      <c r="AY353" s="685" t="e">
        <f t="shared" ca="1" si="5905"/>
        <v>#REF!</v>
      </c>
      <c r="AZ353" s="686" t="str">
        <f ca="1">IFERROR(VLOOKUP(AY353,INDIRECT(AQ349),2,FALSE),"----")</f>
        <v>----</v>
      </c>
      <c r="BA353" s="685" t="e">
        <f t="shared" ca="1" si="5906"/>
        <v>#REF!</v>
      </c>
      <c r="BB353" s="686" t="str">
        <f ca="1">IFERROR(VLOOKUP(BA353,INDIRECT(AQ350),2,FALSE),"----")</f>
        <v>----</v>
      </c>
      <c r="BC353" s="685" t="e">
        <f t="shared" ca="1" si="5191"/>
        <v>#REF!</v>
      </c>
      <c r="BD353" s="686" t="str">
        <f ca="1">IFERROR(VLOOKUP(BC353,INDIRECT(AQ351),2,FALSE),"----")</f>
        <v>----</v>
      </c>
      <c r="BE353" s="685" t="e">
        <f t="shared" ca="1" si="5192"/>
        <v>#REF!</v>
      </c>
      <c r="BF353" s="686" t="str">
        <f ca="1">IFERROR(VLOOKUP(BE353,INDIRECT(AQ352),2,FALSE),"----")</f>
        <v>----</v>
      </c>
      <c r="BG353" s="702" t="e">
        <f t="shared" ca="1" si="5193"/>
        <v>#REF!</v>
      </c>
      <c r="BH353" s="686" t="str">
        <f ca="1">IFERROR(VLOOKUP(BG353,INDIRECT(AQ353),2,FALSE),"----")</f>
        <v>----</v>
      </c>
      <c r="BI353" s="702" t="e">
        <f t="shared" ca="1" si="5194"/>
        <v>#REF!</v>
      </c>
      <c r="BJ353" s="686" t="str">
        <f ca="1">IFERROR(VLOOKUP(BI353,INDIRECT(AQ354),2,FALSE),"----")</f>
        <v>----</v>
      </c>
      <c r="BK353" s="702" t="e">
        <f t="shared" ca="1" si="5195"/>
        <v>#REF!</v>
      </c>
      <c r="BL353" s="686" t="str">
        <f ca="1">IFERROR(VLOOKUP(BK353,INDIRECT(AQ355),2,FALSE),"----")</f>
        <v>----</v>
      </c>
      <c r="BM353" s="702" t="e">
        <f t="shared" ca="1" si="5196"/>
        <v>#REF!</v>
      </c>
      <c r="BN353" s="686" t="str">
        <f ca="1">IFERROR(VLOOKUP(BM353,INDIRECT(AQ356),2,FALSE),"----")</f>
        <v>----</v>
      </c>
      <c r="BO353" s="702" t="e">
        <f t="shared" ca="1" si="5197"/>
        <v>#REF!</v>
      </c>
      <c r="BP353" s="686" t="str">
        <f ca="1">IFERROR(VLOOKUP(BO353,INDIRECT(AQ357),2,FALSE),"----")</f>
        <v>----</v>
      </c>
      <c r="BQ353" s="702" t="e">
        <f t="shared" ca="1" si="5198"/>
        <v>#REF!</v>
      </c>
      <c r="BR353" s="686" t="str">
        <f ca="1">IFERROR(VLOOKUP(BQ353,INDIRECT(AQ358),2,FALSE),"----")</f>
        <v>----</v>
      </c>
      <c r="BS353" s="695">
        <f>IF(AI353="",1,IF(COUNTIF(BH347:BH358,AI353)=0,2,1))</f>
        <v>1</v>
      </c>
      <c r="BT353" s="696">
        <f>IF(AP353="1",1,IF(AF353="",1,IF(BH347=".",2,1)))</f>
        <v>1</v>
      </c>
      <c r="BU353" s="706"/>
      <c r="BV353" s="155">
        <f ca="1">IF(COUNTIF(DI347:DI358,AF353)=0,IF(AF353&lt;&gt;"",0,1),1)</f>
        <v>1</v>
      </c>
      <c r="BW353" s="157">
        <f ca="1">IFERROR(MATCH(AF353,DI347:DI358,0),1)</f>
        <v>1</v>
      </c>
      <c r="BX353" s="769" t="s">
        <v>1593</v>
      </c>
      <c r="BY353" s="769" t="s">
        <v>1629</v>
      </c>
      <c r="BZ353" s="1110"/>
      <c r="CA353" s="691" t="e">
        <f t="shared" ca="1" si="6061"/>
        <v>#REF!</v>
      </c>
      <c r="CB353" s="4" t="e" cm="1">
        <f t="array" aca="1" ref="CB353" ca="1">IF(AND(INDEX(INDIRECT(BY347),CA353,4)&gt;=$AB347,INDEX(INDIRECT(BY347),CA353,5)&gt;=$S347,INDEX(INDIRECT(BY347),CA353,6)&gt;=$R347),1,0)</f>
        <v>#REF!</v>
      </c>
      <c r="CC353" s="4" t="e">
        <f t="shared" ref="CC353" ca="1" si="6165">MATCH(1,OFFSET(CB347:CB358,CD352,0,COUNT(CB347:CB358)-CD352),0)</f>
        <v>#REF!</v>
      </c>
      <c r="CD353" s="4" t="e">
        <f t="shared" ca="1" si="6063"/>
        <v>#REF!</v>
      </c>
      <c r="CE353" s="692" t="str" cm="1">
        <f t="array" aca="1" ref="CE353" ca="1">IFERROR(VLOOKUP(INDEX(CA347:CA358,CD353),INDIRECT(BY347),2,FALSE),"----")</f>
        <v>----</v>
      </c>
      <c r="CF353" s="691" t="e">
        <f t="shared" ca="1" si="6064"/>
        <v>#N/A</v>
      </c>
      <c r="CG353" s="4" t="e">
        <f ca="1">IF(AND(INDEX(SSM,CF353,4)&gt;=$AB347,INDEX(SSM,CF353,5)&gt;=$S347,INDEX(SSM,CF353,6)&gt;=$R347),1,0)</f>
        <v>#N/A</v>
      </c>
      <c r="CH353" s="4" t="e">
        <f t="shared" ref="CH353" ca="1" si="6166">MATCH(1,OFFSET(CG347:CG358,CI352,0,COUNT(CG347:CG358)-CI352),0)</f>
        <v>#REF!</v>
      </c>
      <c r="CI353" s="4" t="e">
        <f t="shared" ca="1" si="6066"/>
        <v>#REF!</v>
      </c>
      <c r="CJ353" s="692" t="str">
        <f ca="1">IFERROR(IF(AD348="Nested Steel Stud (wood infill)",VLOOKUP(INDEX(CF347:CF358,CI353),SSW,2,FALSE),VLOOKUP(INDEX(CF347:CF358,CI353),SSM,2,FALSE)),"----")</f>
        <v>----</v>
      </c>
      <c r="CK353" s="691" t="e">
        <f t="shared" ca="1" si="6067"/>
        <v>#N/A</v>
      </c>
      <c r="CL353" s="4" t="e">
        <f ca="1">IF(AND(INDEX(WSM,CK353,4)&gt;=$AB347,INDEX(WSM,CK353,5)&gt;=$S347,INDEX(WSM,CK353,6)&gt;=$R347),1,0)</f>
        <v>#N/A</v>
      </c>
      <c r="CM353" s="4" t="e">
        <f t="shared" ref="CM353" ca="1" si="6167">MATCH(1,OFFSET(CL347:CL358,CN352,0,COUNT(CL347:CL358)-CN352),0)</f>
        <v>#REF!</v>
      </c>
      <c r="CN353" s="4" t="e">
        <f t="shared" ca="1" si="6069"/>
        <v>#REF!</v>
      </c>
      <c r="CO353" s="692" t="str">
        <f ca="1">IFERROR(VLOOKUP(INDEX(CK347:CK358,CN353),WSM,2,FALSE),"----")</f>
        <v>----</v>
      </c>
      <c r="CP353" s="691" t="e">
        <f t="shared" ca="1" si="6070"/>
        <v>#N/A</v>
      </c>
      <c r="CQ353" s="4" t="e">
        <f ca="1">IF(AND(INDEX(STM,CP353,4)&gt;=$AB347,INDEX(STM,CP353,5)&gt;=$S347,INDEX(STM,CP353,6)&gt;=$R347),1,0)</f>
        <v>#N/A</v>
      </c>
      <c r="CR353" s="4" t="e">
        <f t="shared" ref="CR353" ca="1" si="6168">MATCH(1,OFFSET(CQ347:CQ358,CS352,0,COUNT(CQ347:CQ358)-CS352),0)</f>
        <v>#REF!</v>
      </c>
      <c r="CS353" s="4" t="e">
        <f t="shared" ca="1" si="6072"/>
        <v>#REF!</v>
      </c>
      <c r="CT353" s="692" t="str">
        <f ca="1">IFERROR(VLOOKUP(INDEX(CP347:CP358,CS353),STM,2,FALSE),"----")</f>
        <v>----</v>
      </c>
      <c r="CU353" s="691" t="e">
        <f t="shared" ca="1" si="6073"/>
        <v>#N/A</v>
      </c>
      <c r="CV353" s="4" t="e">
        <f ca="1">IF(AND(INDEX(ELM,CU353,4)&gt;=$AB347,INDEX(ELM,CU353,5)&gt;=$S347,INDEX(ELM,CU353,6)&gt;=$R347),1,0)</f>
        <v>#N/A</v>
      </c>
      <c r="CW353" s="4" t="e">
        <f t="shared" ref="CW353" ca="1" si="6169">MATCH(1,OFFSET(CV347:CV358,CX352,0,COUNT(CV347:CV358)-CX352),0)</f>
        <v>#REF!</v>
      </c>
      <c r="CX353" s="4" t="e">
        <f t="shared" ca="1" si="6075"/>
        <v>#REF!</v>
      </c>
      <c r="CY353" s="692" t="str">
        <f ca="1">IFERROR(VLOOKUP(INDEX(CU347:CU358,CX353),ELM,2,FALSE),"----")</f>
        <v>----</v>
      </c>
      <c r="CZ353" s="691" t="e">
        <f t="shared" ca="1" si="6076"/>
        <v>#N/A</v>
      </c>
      <c r="DA353" s="4" t="e">
        <f ca="1">IF(LEFT($J347,7)="Clad Wo",IF(AND(INDEX(SPPWS,CZ353,4)&gt;=$AB347,INDEX(SPPWS,CZ353,5)&gt;=$S347,INDEX(SPPWS,CZ353,6)&gt;=$R347),1,0),IF(AND(INDEX(SPM,CZ353,4)&gt;=$AB347,INDEX(SPM,CZ353,5)&gt;=$S347,INDEX(SPM,CZ353,6)&gt;=$R347),1,0))</f>
        <v>#N/A</v>
      </c>
      <c r="DB353" s="4" t="e">
        <f t="shared" ref="DB353" ca="1" si="6170">MATCH(1,OFFSET(DA347:DA358,DC352,0,COUNT(DA347:DA358)-DC352),0)</f>
        <v>#REF!</v>
      </c>
      <c r="DC353" s="4" t="e">
        <f t="shared" ca="1" si="6078"/>
        <v>#REF!</v>
      </c>
      <c r="DD353" s="693" t="str">
        <f ca="1">IF(LEFT($J347,7)="Clad Wo",IFERROR(VLOOKUP(INDEX(CZ347:CZ358,DC353),SPPWS,2,FALSE),"----"),IFERROR(VLOOKUP(INDEX(CZ347:CZ358,DC353),SPM,2,FALSE),"----"))</f>
        <v>----</v>
      </c>
      <c r="DE353" s="691" t="e">
        <f t="shared" ca="1" si="6079"/>
        <v>#REF!</v>
      </c>
      <c r="DF353" s="4" t="e" cm="1">
        <f t="array" aca="1" ref="DF353" ca="1">IF(AND(INDEX(INDIRECT(BY347),DE353,4)&gt;=$AB353,INDEX(INDIRECT(BY347),DE353,5)&gt;=$S347,INDEX(INDIRECT(BY347),DE353,6)&gt;=$R347),1,0)</f>
        <v>#REF!</v>
      </c>
      <c r="DG353" s="4" t="e">
        <f t="shared" ref="DG353" ca="1" si="6171">MATCH(1,OFFSET(DF347:DF358,DH352,0,COUNT(DF347:DF358)-DH352),0)</f>
        <v>#REF!</v>
      </c>
      <c r="DH353" s="4" t="e">
        <f t="shared" ca="1" si="6081"/>
        <v>#REF!</v>
      </c>
      <c r="DI353" s="692" t="str" cm="1">
        <f t="array" aca="1" ref="DI353" ca="1">IFERROR(VLOOKUP(INDEX(DE347:DE358,DH353),INDIRECT(BY347),2,FALSE),"----")</f>
        <v>----</v>
      </c>
      <c r="DJ353" s="691" t="e">
        <f t="shared" ca="1" si="6082"/>
        <v>#N/A</v>
      </c>
      <c r="DK353" s="4" t="e">
        <f ca="1">IF(AND(INDEX(SSM,DJ353,4)&gt;=$AB353,INDEX(SSM,DJ353,5)&gt;=$S347,INDEX(SSM,DJ353,6)&gt;=$R347),1,0)</f>
        <v>#N/A</v>
      </c>
      <c r="DL353" s="4" t="e">
        <f t="shared" ref="DL353" ca="1" si="6172">MATCH(1,OFFSET(DK347:DK358,DM352,0,COUNT(DK347:DK358)-DM352),0)</f>
        <v>#REF!</v>
      </c>
      <c r="DM353" s="4" t="e">
        <f t="shared" ca="1" si="6084"/>
        <v>#REF!</v>
      </c>
      <c r="DN353" s="692" t="str">
        <f ca="1">IFERROR(IF(AD354="Nested Steel Stud (wood infill)",VLOOKUP(INDEX(DJ347:DJ358,DM353),SSW,2,FALSE),VLOOKUP(INDEX(DJ347:DJ358,DM353),SSM,2,FALSE)),"----")</f>
        <v>----</v>
      </c>
      <c r="DO353" s="691" t="e">
        <f t="shared" ca="1" si="6085"/>
        <v>#N/A</v>
      </c>
      <c r="DP353" s="4" t="e">
        <f ca="1">IF(AND(INDEX(WSM,DO353,4)&gt;=$AB353,INDEX(WSM,DO353,5)&gt;=$S347,INDEX(WSM,DO353,6)&gt;=$R347),1,0)</f>
        <v>#N/A</v>
      </c>
      <c r="DQ353" s="4" t="e">
        <f t="shared" ref="DQ353" ca="1" si="6173">MATCH(1,OFFSET(DP347:DP358,DR352,0,COUNT(DP347:DP358)-DR352),0)</f>
        <v>#REF!</v>
      </c>
      <c r="DR353" s="4" t="e">
        <f t="shared" ca="1" si="6087"/>
        <v>#REF!</v>
      </c>
      <c r="DS353" s="692" t="str">
        <f ca="1">IFERROR(VLOOKUP(INDEX(DO347:DO358,DR353),WSM,2,FALSE),"----")</f>
        <v>----</v>
      </c>
      <c r="DT353" s="691" t="e">
        <f t="shared" ca="1" si="6088"/>
        <v>#N/A</v>
      </c>
      <c r="DU353" s="4" t="e">
        <f ca="1">IF(AND(INDEX(STM,DT353,4)&gt;=$AB353,INDEX(STM,DT353,5)&gt;=$S347,INDEX(STM,DT353,6)&gt;=$R347),1,0)</f>
        <v>#N/A</v>
      </c>
      <c r="DV353" s="4" t="e">
        <f t="shared" ref="DV353" ca="1" si="6174">MATCH(1,OFFSET(DU347:DU358,DW352,0,COUNT(DU347:DU358)-DW352),0)</f>
        <v>#REF!</v>
      </c>
      <c r="DW353" s="4" t="e">
        <f t="shared" ca="1" si="6090"/>
        <v>#REF!</v>
      </c>
      <c r="DX353" s="692" t="str">
        <f ca="1">IFERROR(VLOOKUP(INDEX(DT347:DT358,DW353),STM,2,FALSE),"----")</f>
        <v>----</v>
      </c>
      <c r="DY353" s="691" t="e">
        <f t="shared" ca="1" si="6091"/>
        <v>#N/A</v>
      </c>
      <c r="DZ353" s="4" t="e">
        <f ca="1">IF(AND(INDEX(ELM,DY353,4)&gt;=$AB353,INDEX(ELM,DY353,5)&gt;=$S347,INDEX(ELM,DY353,6)&gt;=$R347),1,0)</f>
        <v>#N/A</v>
      </c>
      <c r="EA353" s="4" t="e">
        <f t="shared" ref="EA353" ca="1" si="6175">MATCH(1,OFFSET(DZ347:DZ358,EB352,0,COUNT(DZ347:DZ358)-EB352),0)</f>
        <v>#REF!</v>
      </c>
      <c r="EB353" s="4" t="e">
        <f t="shared" ca="1" si="6093"/>
        <v>#REF!</v>
      </c>
      <c r="EC353" s="692" t="str">
        <f ca="1">IFERROR(VLOOKUP(INDEX(DY347:DY358,EB353),ELM,2,FALSE),"----")</f>
        <v>----</v>
      </c>
      <c r="ED353" s="691" t="e">
        <f t="shared" ca="1" si="6094"/>
        <v>#N/A</v>
      </c>
      <c r="EE353" s="4" t="e">
        <f ca="1">IF(LEFT($J347,7)="Clad Wo",IF(AND(INDEX(SPPWS,ED353,4)&gt;=$AB353,INDEX(SPPWS,ED353,5)&gt;=$S347,INDEX(SPPWS,ED353,6)&gt;=$R347),1,0),IF(AND(INDEX(SPM,ED353,4)&gt;=$AB353,INDEX(SPM,ED353,5)&gt;=$S347,INDEX(SPM,ED353,6)&gt;=$R347),1,0))</f>
        <v>#N/A</v>
      </c>
      <c r="EF353" s="4" t="e">
        <f t="shared" ref="EF353" ca="1" si="6176">MATCH(1,OFFSET(EE347:EE358,EG352,0,COUNT(EE347:EE358)-EG352),0)</f>
        <v>#REF!</v>
      </c>
      <c r="EG353" s="4" t="e">
        <f t="shared" ca="1" si="6096"/>
        <v>#REF!</v>
      </c>
      <c r="EH353" s="692" t="str">
        <f ca="1">IF(LEFT($J347,7)="Clad Wo",IFERROR(VLOOKUP(INDEX(ED347:ED358,EG353),SPPWS,2,FALSE),"----"),IFERROR(VLOOKUP(INDEX(ED347:ED358,EG353),SPM,2,FALSE),"----"))</f>
        <v>----</v>
      </c>
    </row>
    <row r="354" spans="1:138" ht="15" customHeight="1" x14ac:dyDescent="0.25">
      <c r="A354" s="1085"/>
      <c r="B354" s="925"/>
      <c r="C354" s="926"/>
      <c r="D354" s="927"/>
      <c r="E354" s="995"/>
      <c r="F354" s="996"/>
      <c r="G354" s="997"/>
      <c r="H354" s="1062"/>
      <c r="I354" s="990"/>
      <c r="J354" s="912"/>
      <c r="K354" s="913"/>
      <c r="L354" s="1002"/>
      <c r="M354" s="923"/>
      <c r="N354" s="1042"/>
      <c r="O354" s="1018"/>
      <c r="P354" s="987"/>
      <c r="Q354" s="1015"/>
      <c r="R354" s="1012"/>
      <c r="S354" s="1006"/>
      <c r="T354" s="1007"/>
      <c r="U354" s="878"/>
      <c r="V354" s="881"/>
      <c r="W354" s="884"/>
      <c r="X354" s="884"/>
      <c r="Y354" s="887"/>
      <c r="Z354" s="887"/>
      <c r="AA354" s="887"/>
      <c r="AB354" s="1081"/>
      <c r="AC354" s="1078"/>
      <c r="AD354" s="1070" t="str">
        <f t="shared" ref="AD354" si="6177">IF(ISBLANK(AD348)=TRUE,"",AD348)</f>
        <v>Nested Steel Stud</v>
      </c>
      <c r="AE354" s="1071"/>
      <c r="AF354" s="1052"/>
      <c r="AG354" s="1053"/>
      <c r="AH354" s="1053"/>
      <c r="AI354" s="1066"/>
      <c r="AJ354" s="1067"/>
      <c r="AK354" s="156" t="str">
        <f t="shared" ca="1" si="4947"/>
        <v/>
      </c>
      <c r="AL354" s="1059"/>
      <c r="AM354" s="343" t="str">
        <f ca="1">IFERROR(Q347/12*ROUND(VLOOKUP(AF354,OFFSET(SSM,0,1),6,FALSE),2),"")</f>
        <v/>
      </c>
      <c r="AN354" t="str">
        <f t="shared" ca="1" si="4971"/>
        <v/>
      </c>
      <c r="AP354" s="122" t="str">
        <f t="shared" ref="AP354" si="6178">_xlfn.CONCAT(AR354,AS358)</f>
        <v/>
      </c>
      <c r="AQ354" s="683" t="str">
        <f t="shared" si="5170"/>
        <v/>
      </c>
      <c r="AR354" s="96" t="str">
        <f t="shared" si="4931"/>
        <v/>
      </c>
      <c r="AS354" s="96" t="str">
        <f>IF(COUNTIF(Vista_1,AF353)=1,"Vista_1",IF(COUNTIF(Vista_2,AF353)=1,"Vista_2",""))</f>
        <v/>
      </c>
      <c r="AT354" s="684" t="str">
        <f>AL353</f>
        <v/>
      </c>
      <c r="AU354" s="694" t="e">
        <f t="shared" ca="1" si="5187"/>
        <v>#REF!</v>
      </c>
      <c r="AV354" s="686" t="str">
        <f ca="1">IFERROR(VLOOKUP(AU354,INDIRECT(AQ347),2,FALSE),"----")</f>
        <v>----</v>
      </c>
      <c r="AW354" s="694" t="e">
        <f t="shared" ca="1" si="5188"/>
        <v>#REF!</v>
      </c>
      <c r="AX354" s="686" t="str">
        <f ca="1">IFERROR(VLOOKUP(AW354,INDIRECT(AQ348),2,FALSE),"----")</f>
        <v>----</v>
      </c>
      <c r="AY354" s="694" t="e">
        <f t="shared" ca="1" si="5905"/>
        <v>#REF!</v>
      </c>
      <c r="AZ354" s="686" t="str">
        <f ca="1">IFERROR(VLOOKUP(AY354,INDIRECT(AQ349),2,FALSE),"----")</f>
        <v>----</v>
      </c>
      <c r="BA354" s="694" t="e">
        <f t="shared" ca="1" si="5906"/>
        <v>#REF!</v>
      </c>
      <c r="BB354" s="686" t="str">
        <f ca="1">IFERROR(VLOOKUP(BA354,INDIRECT(AQ350),2,FALSE),"----")</f>
        <v>----</v>
      </c>
      <c r="BC354" s="694" t="e">
        <f t="shared" ca="1" si="5191"/>
        <v>#REF!</v>
      </c>
      <c r="BD354" s="686" t="str">
        <f ca="1">IFERROR(VLOOKUP(BC354,INDIRECT(AQ351),2,FALSE),"----")</f>
        <v>----</v>
      </c>
      <c r="BE354" s="694" t="e">
        <f t="shared" ca="1" si="5192"/>
        <v>#REF!</v>
      </c>
      <c r="BF354" s="686" t="str">
        <f ca="1">IFERROR(VLOOKUP(BE354,INDIRECT(AQ352),2,FALSE),"----")</f>
        <v>----</v>
      </c>
      <c r="BG354" s="702" t="e">
        <f t="shared" ca="1" si="5193"/>
        <v>#REF!</v>
      </c>
      <c r="BH354" s="686" t="str">
        <f ca="1">IFERROR(VLOOKUP(BG354,INDIRECT(AQ353),2,FALSE),"----")</f>
        <v>----</v>
      </c>
      <c r="BI354" s="702" t="e">
        <f t="shared" ca="1" si="5194"/>
        <v>#REF!</v>
      </c>
      <c r="BJ354" s="686" t="str">
        <f ca="1">IFERROR(VLOOKUP(BI354,INDIRECT(AQ354),2,FALSE),"----")</f>
        <v>----</v>
      </c>
      <c r="BK354" s="702" t="e">
        <f t="shared" ca="1" si="5195"/>
        <v>#REF!</v>
      </c>
      <c r="BL354" s="686" t="str">
        <f ca="1">IFERROR(VLOOKUP(BK354,INDIRECT(AQ355),2,FALSE),"----")</f>
        <v>----</v>
      </c>
      <c r="BM354" s="702" t="e">
        <f t="shared" ca="1" si="5196"/>
        <v>#REF!</v>
      </c>
      <c r="BN354" s="686" t="str">
        <f ca="1">IFERROR(VLOOKUP(BM354,INDIRECT(AQ356),2,FALSE),"----")</f>
        <v>----</v>
      </c>
      <c r="BO354" s="702" t="e">
        <f t="shared" ca="1" si="5197"/>
        <v>#REF!</v>
      </c>
      <c r="BP354" s="686" t="str">
        <f ca="1">IFERROR(VLOOKUP(BO354,INDIRECT(AQ357),2,FALSE),"----")</f>
        <v>----</v>
      </c>
      <c r="BQ354" s="702" t="e">
        <f t="shared" ca="1" si="5198"/>
        <v>#REF!</v>
      </c>
      <c r="BR354" s="686" t="str">
        <f ca="1">IFERROR(VLOOKUP(BQ354,INDIRECT(AQ358),2,FALSE),"----")</f>
        <v>----</v>
      </c>
      <c r="BS354" s="695">
        <f>IF(AI354="",1,IF(COUNTIF(BJ347:BJ358,AI354)=0,2,1))</f>
        <v>1</v>
      </c>
      <c r="BT354" s="696">
        <f>IF(AF354="",1,IF(BJ347=".",2,1))</f>
        <v>1</v>
      </c>
      <c r="BU354" s="706"/>
      <c r="BV354" s="155">
        <f ca="1">IF(COUNTIF(DN347:DN358,AF354)=0,IF(AF354&lt;&gt;"",0,1),1)</f>
        <v>1</v>
      </c>
      <c r="BW354" s="157">
        <f ca="1">IFERROR(MATCH(AF354,DN347:DN358,0),1)</f>
        <v>1</v>
      </c>
      <c r="BX354" s="769">
        <f t="shared" ref="BX354" si="6179">E347*(H347+I347)/144/2</f>
        <v>0</v>
      </c>
      <c r="BY354" s="769">
        <f>SUM(IF(H347&gt;E347,E347^2/4,(H347*E347/2)-(H347^2/4))/144,IF(I347&gt;E347,E347^2/4,(I347*E347/2)-(I347^2/4))/144)</f>
        <v>0</v>
      </c>
      <c r="BZ354" s="1110"/>
      <c r="CA354" s="691" t="e">
        <f t="shared" ca="1" si="6061"/>
        <v>#REF!</v>
      </c>
      <c r="CB354" s="4" t="e" cm="1">
        <f t="array" aca="1" ref="CB354" ca="1">IF(AND(INDEX(INDIRECT(BY347),CA354,4)&gt;=$AB347,INDEX(INDIRECT(BY347),CA354,5)&gt;=$S347,INDEX(INDIRECT(BY347),CA354,6)&gt;=$R347),1,0)</f>
        <v>#REF!</v>
      </c>
      <c r="CC354" s="4" t="e">
        <f t="shared" ref="CC354" ca="1" si="6180">MATCH(1,OFFSET(CB347:CB358,CD353,0,COUNT(CB347:CB358)-CD353),0)</f>
        <v>#REF!</v>
      </c>
      <c r="CD354" s="4" t="e">
        <f t="shared" ca="1" si="6063"/>
        <v>#REF!</v>
      </c>
      <c r="CE354" s="692" t="str" cm="1">
        <f t="array" aca="1" ref="CE354" ca="1">IFERROR(VLOOKUP(INDEX(CA347:CA358,CD354),INDIRECT(BY347),2,FALSE),"----")</f>
        <v>----</v>
      </c>
      <c r="CF354" s="691" t="e">
        <f t="shared" ca="1" si="6064"/>
        <v>#N/A</v>
      </c>
      <c r="CG354" s="4" t="e">
        <f ca="1">IF(AND(INDEX(SSM,CF354,4)&gt;=$AB347,INDEX(SSM,CF354,5)&gt;=$S347,INDEX(SSM,CF354,6)&gt;=$R347),1,0)</f>
        <v>#N/A</v>
      </c>
      <c r="CH354" s="4" t="e">
        <f t="shared" ref="CH354" ca="1" si="6181">MATCH(1,OFFSET(CG347:CG358,CI353,0,COUNT(CG347:CG358)-CI353),0)</f>
        <v>#REF!</v>
      </c>
      <c r="CI354" s="4" t="e">
        <f t="shared" ca="1" si="6066"/>
        <v>#REF!</v>
      </c>
      <c r="CJ354" s="692" t="str">
        <f ca="1">IFERROR(IF(AD348="Nested Steel Stud (wood infill)",VLOOKUP(INDEX(CF347:CF358,CI354),SSW,2,FALSE),VLOOKUP(INDEX(CF347:CF358,CI354),SSM,2,FALSE)),"----")</f>
        <v>----</v>
      </c>
      <c r="CK354" s="691" t="e">
        <f t="shared" ca="1" si="6067"/>
        <v>#N/A</v>
      </c>
      <c r="CL354" s="4" t="e">
        <f ca="1">IF(AND(INDEX(WSM,CK354,4)&gt;=$AB347,INDEX(WSM,CK354,5)&gt;=$S347,INDEX(WSM,CK354,6)&gt;=$R347),1,0)</f>
        <v>#N/A</v>
      </c>
      <c r="CM354" s="4" t="e">
        <f t="shared" ref="CM354" ca="1" si="6182">MATCH(1,OFFSET(CL347:CL358,CN353,0,COUNT(CL347:CL358)-CN353),0)</f>
        <v>#REF!</v>
      </c>
      <c r="CN354" s="4" t="e">
        <f t="shared" ca="1" si="6069"/>
        <v>#REF!</v>
      </c>
      <c r="CO354" s="692" t="str">
        <f ca="1">IFERROR(VLOOKUP(INDEX(CK347:CK358,CN354),WSM,2,FALSE),"----")</f>
        <v>----</v>
      </c>
      <c r="CP354" s="691" t="e">
        <f t="shared" ca="1" si="6070"/>
        <v>#N/A</v>
      </c>
      <c r="CQ354" s="4" t="e">
        <f ca="1">IF(AND(INDEX(STM,CP354,4)&gt;=$AB347,INDEX(STM,CP354,5)&gt;=$S347,INDEX(STM,CP354,6)&gt;=$R347),1,0)</f>
        <v>#N/A</v>
      </c>
      <c r="CR354" s="4" t="e">
        <f t="shared" ref="CR354" ca="1" si="6183">MATCH(1,OFFSET(CQ347:CQ358,CS353,0,COUNT(CQ347:CQ358)-CS353),0)</f>
        <v>#REF!</v>
      </c>
      <c r="CS354" s="4" t="e">
        <f t="shared" ca="1" si="6072"/>
        <v>#REF!</v>
      </c>
      <c r="CT354" s="692" t="str">
        <f ca="1">IFERROR(VLOOKUP(INDEX(CP347:CP358,CS354),STM,2,FALSE),"----")</f>
        <v>----</v>
      </c>
      <c r="CU354" s="691" t="e">
        <f t="shared" ca="1" si="6073"/>
        <v>#N/A</v>
      </c>
      <c r="CV354" s="4" t="e">
        <f ca="1">IF(AND(INDEX(ELM,CU354,4)&gt;=$AB347,INDEX(ELM,CU354,5)&gt;=$S347,INDEX(ELM,CU354,6)&gt;=$R347),1,0)</f>
        <v>#N/A</v>
      </c>
      <c r="CW354" s="4" t="e">
        <f t="shared" ref="CW354" ca="1" si="6184">MATCH(1,OFFSET(CV347:CV358,CX353,0,COUNT(CV347:CV358)-CX353),0)</f>
        <v>#REF!</v>
      </c>
      <c r="CX354" s="4" t="e">
        <f t="shared" ca="1" si="6075"/>
        <v>#REF!</v>
      </c>
      <c r="CY354" s="692" t="str">
        <f ca="1">IFERROR(VLOOKUP(INDEX(CU347:CU358,CX354),ELM,2,FALSE),"----")</f>
        <v>----</v>
      </c>
      <c r="CZ354" s="691" t="e">
        <f t="shared" ca="1" si="6076"/>
        <v>#N/A</v>
      </c>
      <c r="DA354" s="4" t="e">
        <f ca="1">IF(LEFT($J347,7)="Clad Wo",IF(AND(INDEX(SPPWS,CZ354,4)&gt;=$AB347,INDEX(SPPWS,CZ354,5)&gt;=$S347,INDEX(SPPWS,CZ354,6)&gt;=$R347),1,0),IF(AND(INDEX(SPM,CZ354,4)&gt;=$AB347,INDEX(SPM,CZ354,5)&gt;=$S347,INDEX(SPM,CZ354,6)&gt;=$R347),1,0))</f>
        <v>#N/A</v>
      </c>
      <c r="DB354" s="4" t="e">
        <f t="shared" ref="DB354" ca="1" si="6185">MATCH(1,OFFSET(DA347:DA358,DC353,0,COUNT(DA347:DA358)-DC353),0)</f>
        <v>#REF!</v>
      </c>
      <c r="DC354" s="4" t="e">
        <f t="shared" ca="1" si="6078"/>
        <v>#REF!</v>
      </c>
      <c r="DD354" s="693" t="str">
        <f ca="1">IF(LEFT($J347,7)="Clad Wo",IFERROR(VLOOKUP(INDEX(CZ347:CZ358,DC354),SPPWS,2,FALSE),"----"),IFERROR(VLOOKUP(INDEX(CZ347:CZ358,DC354),SPM,2,FALSE),"----"))</f>
        <v>----</v>
      </c>
      <c r="DE354" s="691" t="e">
        <f t="shared" ca="1" si="6079"/>
        <v>#REF!</v>
      </c>
      <c r="DF354" s="4" t="e" cm="1">
        <f t="array" aca="1" ref="DF354" ca="1">IF(AND(INDEX(INDIRECT(BY347),DE354,4)&gt;=$AB353,INDEX(INDIRECT(BY347),DE354,5)&gt;=$S347,INDEX(INDIRECT(BY347),DE354,6)&gt;=$R347),1,0)</f>
        <v>#REF!</v>
      </c>
      <c r="DG354" s="4" t="e">
        <f t="shared" ref="DG354" ca="1" si="6186">MATCH(1,OFFSET(DF347:DF358,DH353,0,COUNT(DF347:DF358)-DH353),0)</f>
        <v>#REF!</v>
      </c>
      <c r="DH354" s="4" t="e">
        <f t="shared" ca="1" si="6081"/>
        <v>#REF!</v>
      </c>
      <c r="DI354" s="692" t="str" cm="1">
        <f t="array" aca="1" ref="DI354" ca="1">IFERROR(VLOOKUP(INDEX(DE347:DE358,DH354),INDIRECT(BY347),2,FALSE),"----")</f>
        <v>----</v>
      </c>
      <c r="DJ354" s="691" t="e">
        <f t="shared" ca="1" si="6082"/>
        <v>#N/A</v>
      </c>
      <c r="DK354" s="4" t="e">
        <f ca="1">IF(AND(INDEX(SSM,DJ354,4)&gt;=$AB353,INDEX(SSM,DJ354,5)&gt;=$S347,INDEX(SSM,DJ354,6)&gt;=$R347),1,0)</f>
        <v>#N/A</v>
      </c>
      <c r="DL354" s="4" t="e">
        <f t="shared" ref="DL354" ca="1" si="6187">MATCH(1,OFFSET(DK347:DK358,DM353,0,COUNT(DK347:DK358)-DM353),0)</f>
        <v>#REF!</v>
      </c>
      <c r="DM354" s="4" t="e">
        <f t="shared" ca="1" si="6084"/>
        <v>#REF!</v>
      </c>
      <c r="DN354" s="692" t="str">
        <f ca="1">IFERROR(IF(AD354="Nested Steel Stud (wood infill)",VLOOKUP(INDEX(DJ347:DJ358,DM354),SSW,2,FALSE),VLOOKUP(INDEX(DJ347:DJ358,DM354),SSM,2,FALSE)),"----")</f>
        <v>----</v>
      </c>
      <c r="DO354" s="691" t="e">
        <f t="shared" ca="1" si="6085"/>
        <v>#N/A</v>
      </c>
      <c r="DP354" s="4" t="e">
        <f ca="1">IF(AND(INDEX(WSM,DO354,4)&gt;=$AB353,INDEX(WSM,DO354,5)&gt;=$S347,INDEX(WSM,DO354,6)&gt;=$R347),1,0)</f>
        <v>#N/A</v>
      </c>
      <c r="DQ354" s="4" t="e">
        <f t="shared" ref="DQ354" ca="1" si="6188">MATCH(1,OFFSET(DP347:DP358,DR353,0,COUNT(DP347:DP358)-DR353),0)</f>
        <v>#REF!</v>
      </c>
      <c r="DR354" s="4" t="e">
        <f t="shared" ca="1" si="6087"/>
        <v>#REF!</v>
      </c>
      <c r="DS354" s="692" t="str">
        <f ca="1">IFERROR(VLOOKUP(INDEX(DO347:DO358,DR354),WSM,2,FALSE),"----")</f>
        <v>----</v>
      </c>
      <c r="DT354" s="691" t="e">
        <f t="shared" ca="1" si="6088"/>
        <v>#N/A</v>
      </c>
      <c r="DU354" s="4" t="e">
        <f ca="1">IF(AND(INDEX(STM,DT354,4)&gt;=$AB353,INDEX(STM,DT354,5)&gt;=$S347,INDEX(STM,DT354,6)&gt;=$R347),1,0)</f>
        <v>#N/A</v>
      </c>
      <c r="DV354" s="4" t="e">
        <f t="shared" ref="DV354" ca="1" si="6189">MATCH(1,OFFSET(DU347:DU358,DW353,0,COUNT(DU347:DU358)-DW353),0)</f>
        <v>#REF!</v>
      </c>
      <c r="DW354" s="4" t="e">
        <f t="shared" ca="1" si="6090"/>
        <v>#REF!</v>
      </c>
      <c r="DX354" s="692" t="str">
        <f ca="1">IFERROR(VLOOKUP(INDEX(DT347:DT358,DW354),STM,2,FALSE),"----")</f>
        <v>----</v>
      </c>
      <c r="DY354" s="691" t="e">
        <f t="shared" ca="1" si="6091"/>
        <v>#N/A</v>
      </c>
      <c r="DZ354" s="4" t="e">
        <f ca="1">IF(AND(INDEX(ELM,DY354,4)&gt;=$AB353,INDEX(ELM,DY354,5)&gt;=$S347,INDEX(ELM,DY354,6)&gt;=$R347),1,0)</f>
        <v>#N/A</v>
      </c>
      <c r="EA354" s="4" t="e">
        <f t="shared" ref="EA354" ca="1" si="6190">MATCH(1,OFFSET(DZ347:DZ358,EB353,0,COUNT(DZ347:DZ358)-EB353),0)</f>
        <v>#REF!</v>
      </c>
      <c r="EB354" s="4" t="e">
        <f t="shared" ca="1" si="6093"/>
        <v>#REF!</v>
      </c>
      <c r="EC354" s="692" t="str">
        <f ca="1">IFERROR(VLOOKUP(INDEX(DY347:DY358,EB354),ELM,2,FALSE),"----")</f>
        <v>----</v>
      </c>
      <c r="ED354" s="691" t="e">
        <f t="shared" ca="1" si="6094"/>
        <v>#N/A</v>
      </c>
      <c r="EE354" s="4" t="e">
        <f ca="1">IF(LEFT($J347,7)="Clad Wo",IF(AND(INDEX(SPPWS,ED354,4)&gt;=$AB353,INDEX(SPPWS,ED354,5)&gt;=$S347,INDEX(SPPWS,ED354,6)&gt;=$R347),1,0),IF(AND(INDEX(SPM,ED354,4)&gt;=$AB353,INDEX(SPM,ED354,5)&gt;=$S347,INDEX(SPM,ED354,6)&gt;=$R347),1,0))</f>
        <v>#N/A</v>
      </c>
      <c r="EF354" s="4" t="e">
        <f t="shared" ref="EF354" ca="1" si="6191">MATCH(1,OFFSET(EE347:EE358,EG353,0,COUNT(EE347:EE358)-EG353),0)</f>
        <v>#REF!</v>
      </c>
      <c r="EG354" s="4" t="e">
        <f t="shared" ca="1" si="6096"/>
        <v>#REF!</v>
      </c>
      <c r="EH354" s="692" t="str">
        <f ca="1">IF(LEFT($J347,7)="Clad Wo",IFERROR(VLOOKUP(INDEX(ED347:ED358,EG354),SPPWS,2,FALSE),"----"),IFERROR(VLOOKUP(INDEX(ED347:ED358,EG354),SPM,2,FALSE),"----"))</f>
        <v>----</v>
      </c>
    </row>
    <row r="355" spans="1:138" ht="15" customHeight="1" x14ac:dyDescent="0.25">
      <c r="A355" s="1085"/>
      <c r="B355" s="925"/>
      <c r="C355" s="926"/>
      <c r="D355" s="927"/>
      <c r="E355" s="995"/>
      <c r="F355" s="996"/>
      <c r="G355" s="997"/>
      <c r="H355" s="1062"/>
      <c r="I355" s="990"/>
      <c r="J355" s="902"/>
      <c r="K355" s="903"/>
      <c r="L355" s="1002"/>
      <c r="M355" s="923"/>
      <c r="N355" s="1042"/>
      <c r="O355" s="1018"/>
      <c r="P355" s="987"/>
      <c r="Q355" s="1015"/>
      <c r="R355" s="1012"/>
      <c r="S355" s="1006"/>
      <c r="T355" s="1007"/>
      <c r="U355" s="878"/>
      <c r="V355" s="881"/>
      <c r="W355" s="884"/>
      <c r="X355" s="884"/>
      <c r="Y355" s="887"/>
      <c r="Z355" s="887"/>
      <c r="AA355" s="887"/>
      <c r="AB355" s="1081"/>
      <c r="AC355" s="1078"/>
      <c r="AD355" s="1070" t="str">
        <f t="shared" si="5955"/>
        <v>Wood Stud Framing</v>
      </c>
      <c r="AE355" s="1071"/>
      <c r="AF355" s="1052"/>
      <c r="AG355" s="1053"/>
      <c r="AH355" s="1053"/>
      <c r="AI355" s="1066"/>
      <c r="AJ355" s="1067"/>
      <c r="AK355" s="156" t="str">
        <f t="shared" ca="1" si="4947"/>
        <v/>
      </c>
      <c r="AL355" s="1059"/>
      <c r="AM355" s="344" t="str">
        <f ca="1">IFERROR(Q347/12*ROUND(VLOOKUP(AF355,OFFSET(WSM,0,1),6,FALSE),2),"")</f>
        <v/>
      </c>
      <c r="AN355" t="str">
        <f t="shared" ca="1" si="4971"/>
        <v/>
      </c>
      <c r="AP355" s="122" t="str">
        <f t="shared" ref="AP355" si="6192">_xlfn.CONCAT(AR355,AS358)</f>
        <v/>
      </c>
      <c r="AQ355" s="683" t="str">
        <f t="shared" si="5170"/>
        <v/>
      </c>
      <c r="AR355" s="4" t="str">
        <f t="shared" ref="AR355:AR418" si="6193">IFERROR(VLOOKUP(AF355,MullList,2,FALSE),"")</f>
        <v/>
      </c>
      <c r="AS355" s="4"/>
      <c r="AT355" s="697" t="str">
        <f>AL353</f>
        <v/>
      </c>
      <c r="AU355" s="694" t="e">
        <f t="shared" ca="1" si="5187"/>
        <v>#REF!</v>
      </c>
      <c r="AV355" s="686" t="str">
        <f ca="1">IFERROR(VLOOKUP(AU355,INDIRECT(AQ347),2,FALSE),"----")</f>
        <v>----</v>
      </c>
      <c r="AW355" s="694" t="e">
        <f t="shared" ca="1" si="5188"/>
        <v>#REF!</v>
      </c>
      <c r="AX355" s="686" t="str">
        <f ca="1">IFERROR(VLOOKUP(AW355,INDIRECT(AQ348),2,FALSE),"----")</f>
        <v>----</v>
      </c>
      <c r="AY355" s="694" t="e">
        <f t="shared" ca="1" si="5905"/>
        <v>#REF!</v>
      </c>
      <c r="AZ355" s="686" t="str">
        <f ca="1">IFERROR(VLOOKUP(AY355,INDIRECT(AQ349),2,FALSE),"----")</f>
        <v>----</v>
      </c>
      <c r="BA355" s="694" t="e">
        <f t="shared" ca="1" si="5906"/>
        <v>#REF!</v>
      </c>
      <c r="BB355" s="686" t="str">
        <f ca="1">IFERROR(VLOOKUP(BA355,INDIRECT(AQ350),2,FALSE),"----")</f>
        <v>----</v>
      </c>
      <c r="BC355" s="694" t="e">
        <f t="shared" ca="1" si="5191"/>
        <v>#REF!</v>
      </c>
      <c r="BD355" s="686" t="str">
        <f ca="1">IFERROR(VLOOKUP(BC355,INDIRECT(AQ351),2,FALSE),"----")</f>
        <v>----</v>
      </c>
      <c r="BE355" s="694" t="e">
        <f t="shared" ca="1" si="5192"/>
        <v>#REF!</v>
      </c>
      <c r="BF355" s="686" t="str">
        <f ca="1">IFERROR(VLOOKUP(BE355,INDIRECT(AQ352),2,FALSE),"----")</f>
        <v>----</v>
      </c>
      <c r="BG355" s="702" t="e">
        <f t="shared" ca="1" si="5193"/>
        <v>#REF!</v>
      </c>
      <c r="BH355" s="686" t="str">
        <f ca="1">IFERROR(VLOOKUP(BG355,INDIRECT(AQ353),2,FALSE),"----")</f>
        <v>----</v>
      </c>
      <c r="BI355" s="702" t="e">
        <f t="shared" ca="1" si="5194"/>
        <v>#REF!</v>
      </c>
      <c r="BJ355" s="686" t="str">
        <f ca="1">IFERROR(VLOOKUP(BI355,INDIRECT(AQ354),2,FALSE),"----")</f>
        <v>----</v>
      </c>
      <c r="BK355" s="702" t="e">
        <f t="shared" ca="1" si="5195"/>
        <v>#REF!</v>
      </c>
      <c r="BL355" s="686" t="str">
        <f ca="1">IFERROR(VLOOKUP(BK355,INDIRECT(AQ355),2,FALSE),"----")</f>
        <v>----</v>
      </c>
      <c r="BM355" s="702" t="e">
        <f t="shared" ca="1" si="5196"/>
        <v>#REF!</v>
      </c>
      <c r="BN355" s="686" t="str">
        <f ca="1">IFERROR(VLOOKUP(BM355,INDIRECT(AQ356),2,FALSE),"----")</f>
        <v>----</v>
      </c>
      <c r="BO355" s="702" t="e">
        <f t="shared" ca="1" si="5197"/>
        <v>#REF!</v>
      </c>
      <c r="BP355" s="686" t="str">
        <f ca="1">IFERROR(VLOOKUP(BO355,INDIRECT(AQ357),2,FALSE),"----")</f>
        <v>----</v>
      </c>
      <c r="BQ355" s="702" t="e">
        <f t="shared" ca="1" si="5198"/>
        <v>#REF!</v>
      </c>
      <c r="BR355" s="686" t="str">
        <f ca="1">IFERROR(VLOOKUP(BQ355,INDIRECT(AQ358),2,FALSE),"----")</f>
        <v>----</v>
      </c>
      <c r="BS355" s="695">
        <f>IF(AI355="",1,IF(COUNTIF(BL347:BL358,AI355)=0,2,1))</f>
        <v>1</v>
      </c>
      <c r="BT355" s="696">
        <f>IF(AF355="",1,IF(BL347=".",2,1))</f>
        <v>1</v>
      </c>
      <c r="BU355" s="706"/>
      <c r="BV355" s="155">
        <f ca="1">IF(COUNTIF(DS347:DS358,AF355)=0,IF(AF355&lt;&gt;"",0,1),1)</f>
        <v>1</v>
      </c>
      <c r="BW355" s="157">
        <f ca="1">IFERROR(MATCH(AF355,DS347:DS358,0),1)</f>
        <v>1</v>
      </c>
      <c r="BX355" s="769" t="e">
        <f t="shared" ref="BX355" si="6194">5*E347^3*W347/(384*X347)</f>
        <v>#VALUE!</v>
      </c>
      <c r="BY355" s="769" t="e">
        <f t="shared" ref="BY355" si="6195">W347*E347^3/(60*X347)</f>
        <v>#VALUE!</v>
      </c>
      <c r="BZ355" s="1110"/>
      <c r="CA355" s="691" t="e">
        <f t="shared" ca="1" si="6061"/>
        <v>#REF!</v>
      </c>
      <c r="CB355" s="4" t="e" cm="1">
        <f t="array" aca="1" ref="CB355" ca="1">IF(AND(INDEX(INDIRECT(BY347),CA355,4)&gt;=$AB347,INDEX(INDIRECT(BY347),CA355,5)&gt;=$S347,INDEX(INDIRECT(BY347),CA355,6)&gt;=$R347),1,0)</f>
        <v>#REF!</v>
      </c>
      <c r="CC355" s="4" t="e">
        <f t="shared" ref="CC355" ca="1" si="6196">MATCH(1,OFFSET(CB347:CB358,CD354,0,COUNT(CB347:CB358)-CD354),0)</f>
        <v>#REF!</v>
      </c>
      <c r="CD355" s="4" t="e">
        <f t="shared" ca="1" si="6063"/>
        <v>#REF!</v>
      </c>
      <c r="CE355" s="692" t="str" cm="1">
        <f t="array" aca="1" ref="CE355" ca="1">IFERROR(VLOOKUP(INDEX(CA347:CA358,CD355),INDIRECT(BY347),2,FALSE),"----")</f>
        <v>----</v>
      </c>
      <c r="CF355" s="691" t="e">
        <f t="shared" ca="1" si="6064"/>
        <v>#N/A</v>
      </c>
      <c r="CG355" s="4" t="e">
        <f ca="1">IF(AND(INDEX(SSM,CF355,4)&gt;=$AB347,INDEX(SSM,CF355,5)&gt;=$S347,INDEX(SSM,CF355,6)&gt;=$R347),1,0)</f>
        <v>#N/A</v>
      </c>
      <c r="CH355" s="4" t="e">
        <f t="shared" ref="CH355" ca="1" si="6197">MATCH(1,OFFSET(CG347:CG358,CI354,0,COUNT(CG347:CG358)-CI354),0)</f>
        <v>#REF!</v>
      </c>
      <c r="CI355" s="4" t="e">
        <f t="shared" ca="1" si="6066"/>
        <v>#REF!</v>
      </c>
      <c r="CJ355" s="692" t="str">
        <f ca="1">IFERROR(IF(AD348="Nested Steel Stud (wood infill)",VLOOKUP(INDEX(CF347:CF358,CI355),SSW,2,FALSE),VLOOKUP(INDEX(CF347:CF358,CI355),SSM,2,FALSE)),"----")</f>
        <v>----</v>
      </c>
      <c r="CK355" s="691" t="e">
        <f t="shared" ca="1" si="6067"/>
        <v>#N/A</v>
      </c>
      <c r="CL355" s="4" t="e">
        <f ca="1">IF(AND(INDEX(WSM,CK355,4)&gt;=$AB347,INDEX(WSM,CK355,5)&gt;=$S347,INDEX(WSM,CK355,6)&gt;=$R347),1,0)</f>
        <v>#N/A</v>
      </c>
      <c r="CM355" s="4" t="e">
        <f t="shared" ref="CM355" ca="1" si="6198">MATCH(1,OFFSET(CL347:CL358,CN354,0,COUNT(CL347:CL358)-CN354),0)</f>
        <v>#REF!</v>
      </c>
      <c r="CN355" s="4" t="e">
        <f t="shared" ca="1" si="6069"/>
        <v>#REF!</v>
      </c>
      <c r="CO355" s="692" t="str">
        <f ca="1">IFERROR(VLOOKUP(INDEX(CK347:CK358,CN355),WSM,2,FALSE),"----")</f>
        <v>----</v>
      </c>
      <c r="CP355" s="691" t="e">
        <f t="shared" ca="1" si="6070"/>
        <v>#N/A</v>
      </c>
      <c r="CQ355" s="4" t="e">
        <f ca="1">IF(AND(INDEX(STM,CP355,4)&gt;=$AB347,INDEX(STM,CP355,5)&gt;=$S347,INDEX(STM,CP355,6)&gt;=$R347),1,0)</f>
        <v>#N/A</v>
      </c>
      <c r="CR355" s="4" t="e">
        <f t="shared" ref="CR355" ca="1" si="6199">MATCH(1,OFFSET(CQ347:CQ358,CS354,0,COUNT(CQ347:CQ358)-CS354),0)</f>
        <v>#REF!</v>
      </c>
      <c r="CS355" s="4" t="e">
        <f t="shared" ca="1" si="6072"/>
        <v>#REF!</v>
      </c>
      <c r="CT355" s="692" t="str">
        <f ca="1">IFERROR(VLOOKUP(INDEX(CP347:CP358,CS355),STM,2,FALSE),"----")</f>
        <v>----</v>
      </c>
      <c r="CU355" s="691" t="e">
        <f t="shared" ca="1" si="6073"/>
        <v>#N/A</v>
      </c>
      <c r="CV355" s="4" t="e">
        <f ca="1">IF(AND(INDEX(ELM,CU355,4)&gt;=$AB347,INDEX(ELM,CU355,5)&gt;=$S347,INDEX(ELM,CU355,6)&gt;=$R347),1,0)</f>
        <v>#N/A</v>
      </c>
      <c r="CW355" s="4" t="e">
        <f t="shared" ref="CW355" ca="1" si="6200">MATCH(1,OFFSET(CV347:CV358,CX354,0,COUNT(CV347:CV358)-CX354),0)</f>
        <v>#REF!</v>
      </c>
      <c r="CX355" s="4" t="e">
        <f t="shared" ca="1" si="6075"/>
        <v>#REF!</v>
      </c>
      <c r="CY355" s="692" t="str">
        <f ca="1">IFERROR(VLOOKUP(INDEX(CU347:CU358,CX355),ELM,2,FALSE),"----")</f>
        <v>----</v>
      </c>
      <c r="CZ355" s="691" t="e">
        <f t="shared" ca="1" si="6076"/>
        <v>#N/A</v>
      </c>
      <c r="DA355" s="4" t="e">
        <f ca="1">IF(LEFT($J347,7)="Clad Wo",IF(AND(INDEX(SPPWS,CZ355,4)&gt;=$AB347,INDEX(SPPWS,CZ355,5)&gt;=$S347,INDEX(SPPWS,CZ355,6)&gt;=$R347),1,0),IF(AND(INDEX(SPM,CZ355,4)&gt;=$AB347,INDEX(SPM,CZ355,5)&gt;=$S347,INDEX(SPM,CZ355,6)&gt;=$R347),1,0))</f>
        <v>#N/A</v>
      </c>
      <c r="DB355" s="4" t="e">
        <f t="shared" ref="DB355" ca="1" si="6201">MATCH(1,OFFSET(DA347:DA358,DC354,0,COUNT(DA347:DA358)-DC354),0)</f>
        <v>#REF!</v>
      </c>
      <c r="DC355" s="4" t="e">
        <f t="shared" ca="1" si="6078"/>
        <v>#REF!</v>
      </c>
      <c r="DD355" s="693" t="str">
        <f ca="1">IF(LEFT($J347,7)="Clad Wo",IFERROR(VLOOKUP(INDEX(CZ347:CZ358,DC355),SPPWS,2,FALSE),"----"),IFERROR(VLOOKUP(INDEX(CZ347:CZ358,DC355),SPM,2,FALSE),"----"))</f>
        <v>----</v>
      </c>
      <c r="DE355" s="691" t="e">
        <f t="shared" ca="1" si="6079"/>
        <v>#REF!</v>
      </c>
      <c r="DF355" s="4" t="e" cm="1">
        <f t="array" aca="1" ref="DF355" ca="1">IF(AND(INDEX(INDIRECT(BY347),DE355,4)&gt;=$AB353,INDEX(INDIRECT(BY347),DE355,5)&gt;=$S347,INDEX(INDIRECT(BY347),DE355,6)&gt;=$R347),1,0)</f>
        <v>#REF!</v>
      </c>
      <c r="DG355" s="4" t="e">
        <f t="shared" ref="DG355" ca="1" si="6202">MATCH(1,OFFSET(DF347:DF358,DH354,0,COUNT(DF347:DF358)-DH354),0)</f>
        <v>#REF!</v>
      </c>
      <c r="DH355" s="4" t="e">
        <f t="shared" ca="1" si="6081"/>
        <v>#REF!</v>
      </c>
      <c r="DI355" s="692" t="str" cm="1">
        <f t="array" aca="1" ref="DI355" ca="1">IFERROR(VLOOKUP(INDEX(DE347:DE358,DH355),INDIRECT(BY347),2,FALSE),"----")</f>
        <v>----</v>
      </c>
      <c r="DJ355" s="691" t="e">
        <f t="shared" ca="1" si="6082"/>
        <v>#N/A</v>
      </c>
      <c r="DK355" s="4" t="e">
        <f ca="1">IF(AND(INDEX(SSM,DJ355,4)&gt;=$AB353,INDEX(SSM,DJ355,5)&gt;=$S347,INDEX(SSM,DJ355,6)&gt;=$R347),1,0)</f>
        <v>#N/A</v>
      </c>
      <c r="DL355" s="4" t="e">
        <f t="shared" ref="DL355" ca="1" si="6203">MATCH(1,OFFSET(DK347:DK358,DM354,0,COUNT(DK347:DK358)-DM354),0)</f>
        <v>#REF!</v>
      </c>
      <c r="DM355" s="4" t="e">
        <f t="shared" ca="1" si="6084"/>
        <v>#REF!</v>
      </c>
      <c r="DN355" s="692" t="str">
        <f ca="1">IFERROR(IF(AD354="Nested Steel Stud (wood infill)",VLOOKUP(INDEX(DJ347:DJ358,DM355),SSW,2,FALSE),VLOOKUP(INDEX(DJ347:DJ358,DM355),SSM,2,FALSE)),"----")</f>
        <v>----</v>
      </c>
      <c r="DO355" s="691" t="e">
        <f t="shared" ca="1" si="6085"/>
        <v>#N/A</v>
      </c>
      <c r="DP355" s="4" t="e">
        <f ca="1">IF(AND(INDEX(WSM,DO355,4)&gt;=$AB353,INDEX(WSM,DO355,5)&gt;=$S347,INDEX(WSM,DO355,6)&gt;=$R347),1,0)</f>
        <v>#N/A</v>
      </c>
      <c r="DQ355" s="4" t="e">
        <f t="shared" ref="DQ355" ca="1" si="6204">MATCH(1,OFFSET(DP347:DP358,DR354,0,COUNT(DP347:DP358)-DR354),0)</f>
        <v>#REF!</v>
      </c>
      <c r="DR355" s="4" t="e">
        <f t="shared" ca="1" si="6087"/>
        <v>#REF!</v>
      </c>
      <c r="DS355" s="692" t="str">
        <f ca="1">IFERROR(VLOOKUP(INDEX(DO347:DO358,DR355),WSM,2,FALSE),"----")</f>
        <v>----</v>
      </c>
      <c r="DT355" s="691" t="e">
        <f t="shared" ca="1" si="6088"/>
        <v>#N/A</v>
      </c>
      <c r="DU355" s="4" t="e">
        <f ca="1">IF(AND(INDEX(STM,DT355,4)&gt;=$AB353,INDEX(STM,DT355,5)&gt;=$S347,INDEX(STM,DT355,6)&gt;=$R347),1,0)</f>
        <v>#N/A</v>
      </c>
      <c r="DV355" s="4" t="e">
        <f t="shared" ref="DV355" ca="1" si="6205">MATCH(1,OFFSET(DU347:DU358,DW354,0,COUNT(DU347:DU358)-DW354),0)</f>
        <v>#REF!</v>
      </c>
      <c r="DW355" s="4" t="e">
        <f t="shared" ca="1" si="6090"/>
        <v>#REF!</v>
      </c>
      <c r="DX355" s="692" t="str">
        <f ca="1">IFERROR(VLOOKUP(INDEX(DT347:DT358,DW355),STM,2,FALSE),"----")</f>
        <v>----</v>
      </c>
      <c r="DY355" s="691" t="e">
        <f t="shared" ca="1" si="6091"/>
        <v>#N/A</v>
      </c>
      <c r="DZ355" s="4" t="e">
        <f ca="1">IF(AND(INDEX(ELM,DY355,4)&gt;=$AB353,INDEX(ELM,DY355,5)&gt;=$S347,INDEX(ELM,DY355,6)&gt;=$R347),1,0)</f>
        <v>#N/A</v>
      </c>
      <c r="EA355" s="4" t="e">
        <f t="shared" ref="EA355" ca="1" si="6206">MATCH(1,OFFSET(DZ347:DZ358,EB354,0,COUNT(DZ347:DZ358)-EB354),0)</f>
        <v>#REF!</v>
      </c>
      <c r="EB355" s="4" t="e">
        <f t="shared" ca="1" si="6093"/>
        <v>#REF!</v>
      </c>
      <c r="EC355" s="692" t="str">
        <f ca="1">IFERROR(VLOOKUP(INDEX(DY347:DY358,EB355),ELM,2,FALSE),"----")</f>
        <v>----</v>
      </c>
      <c r="ED355" s="691" t="e">
        <f t="shared" ca="1" si="6094"/>
        <v>#N/A</v>
      </c>
      <c r="EE355" s="4" t="e">
        <f ca="1">IF(LEFT($J347,7)="Clad Wo",IF(AND(INDEX(SPPWS,ED355,4)&gt;=$AB353,INDEX(SPPWS,ED355,5)&gt;=$S347,INDEX(SPPWS,ED355,6)&gt;=$R347),1,0),IF(AND(INDEX(SPM,ED355,4)&gt;=$AB353,INDEX(SPM,ED355,5)&gt;=$S347,INDEX(SPM,ED355,6)&gt;=$R347),1,0))</f>
        <v>#N/A</v>
      </c>
      <c r="EF355" s="4" t="e">
        <f t="shared" ref="EF355" ca="1" si="6207">MATCH(1,OFFSET(EE347:EE358,EG354,0,COUNT(EE347:EE358)-EG354),0)</f>
        <v>#REF!</v>
      </c>
      <c r="EG355" s="4" t="e">
        <f t="shared" ca="1" si="6096"/>
        <v>#REF!</v>
      </c>
      <c r="EH355" s="692" t="str">
        <f ca="1">IF(LEFT($J347,7)="Clad Wo",IFERROR(VLOOKUP(INDEX(ED347:ED358,EG355),SPPWS,2,FALSE),"----"),IFERROR(VLOOKUP(INDEX(ED347:ED358,EG355),SPM,2,FALSE),"----"))</f>
        <v>----</v>
      </c>
    </row>
    <row r="356" spans="1:138" ht="15" customHeight="1" x14ac:dyDescent="0.25">
      <c r="A356" s="1085"/>
      <c r="B356" s="925"/>
      <c r="C356" s="926"/>
      <c r="D356" s="927"/>
      <c r="E356" s="995"/>
      <c r="F356" s="996"/>
      <c r="G356" s="997"/>
      <c r="H356" s="1062"/>
      <c r="I356" s="990"/>
      <c r="J356" s="902"/>
      <c r="K356" s="903"/>
      <c r="L356" s="1002"/>
      <c r="M356" s="923"/>
      <c r="N356" s="1042"/>
      <c r="O356" s="1018"/>
      <c r="P356" s="987"/>
      <c r="Q356" s="1015"/>
      <c r="R356" s="1012"/>
      <c r="S356" s="1006"/>
      <c r="T356" s="1007"/>
      <c r="U356" s="878"/>
      <c r="V356" s="881"/>
      <c r="W356" s="884"/>
      <c r="X356" s="884"/>
      <c r="Y356" s="887"/>
      <c r="Z356" s="887"/>
      <c r="AA356" s="887"/>
      <c r="AB356" s="1081"/>
      <c r="AC356" s="1078"/>
      <c r="AD356" s="1070" t="str">
        <f t="shared" si="5955"/>
        <v>Steel Tube</v>
      </c>
      <c r="AE356" s="1071"/>
      <c r="AF356" s="1052"/>
      <c r="AG356" s="1053"/>
      <c r="AH356" s="1053"/>
      <c r="AI356" s="1066"/>
      <c r="AJ356" s="1067"/>
      <c r="AK356" s="156" t="str">
        <f t="shared" ref="AK356:AK419" ca="1" si="6208">IFERROR(VLOOKUP(AI356,OFFSET(INDIRECT(AQ356),0,1),2,FALSE),"")</f>
        <v/>
      </c>
      <c r="AL356" s="1059"/>
      <c r="AM356" s="343" t="str">
        <f ca="1">IFERROR(Q347/12*ROUND(VLOOKUP(AF356,OFFSET(STM,0,1),6,FALSE),2),"")</f>
        <v/>
      </c>
      <c r="AN356" t="str">
        <f t="shared" ca="1" si="4971"/>
        <v/>
      </c>
      <c r="AP356" s="122" t="str">
        <f t="shared" ref="AP356" si="6209">_xlfn.CONCAT(AR356,AS358)</f>
        <v/>
      </c>
      <c r="AQ356" s="683" t="str">
        <f t="shared" si="5170"/>
        <v/>
      </c>
      <c r="AR356" s="4" t="str">
        <f t="shared" si="6193"/>
        <v/>
      </c>
      <c r="AS356" s="4"/>
      <c r="AT356" s="697" t="str">
        <f>AL353</f>
        <v/>
      </c>
      <c r="AU356" s="694" t="e">
        <f t="shared" ca="1" si="5187"/>
        <v>#REF!</v>
      </c>
      <c r="AV356" s="686" t="str">
        <f ca="1">IFERROR(VLOOKUP(AU356,INDIRECT(AQ347),2,FALSE),"----")</f>
        <v>----</v>
      </c>
      <c r="AW356" s="694" t="e">
        <f t="shared" ca="1" si="5188"/>
        <v>#REF!</v>
      </c>
      <c r="AX356" s="686" t="str">
        <f ca="1">IFERROR(VLOOKUP(AW356,INDIRECT(AQ348),2,FALSE),"----")</f>
        <v>----</v>
      </c>
      <c r="AY356" s="694" t="e">
        <f t="shared" ref="AY356:AY418" ca="1" si="6210">AY355-1</f>
        <v>#REF!</v>
      </c>
      <c r="AZ356" s="686" t="str">
        <f ca="1">IFERROR(VLOOKUP(AY356,INDIRECT(AQ349),2,FALSE),"----")</f>
        <v>----</v>
      </c>
      <c r="BA356" s="694" t="e">
        <f t="shared" ref="BA356:BA418" ca="1" si="6211">BA355-1</f>
        <v>#REF!</v>
      </c>
      <c r="BB356" s="686" t="str">
        <f ca="1">IFERROR(VLOOKUP(BA356,INDIRECT(AQ350),2,FALSE),"----")</f>
        <v>----</v>
      </c>
      <c r="BC356" s="694" t="e">
        <f t="shared" ca="1" si="5191"/>
        <v>#REF!</v>
      </c>
      <c r="BD356" s="686" t="str">
        <f ca="1">IFERROR(VLOOKUP(BC356,INDIRECT(AQ351),2,FALSE),"----")</f>
        <v>----</v>
      </c>
      <c r="BE356" s="694" t="e">
        <f t="shared" ca="1" si="5192"/>
        <v>#REF!</v>
      </c>
      <c r="BF356" s="686" t="str">
        <f ca="1">IFERROR(VLOOKUP(BE356,INDIRECT(AQ352),2,FALSE),"----")</f>
        <v>----</v>
      </c>
      <c r="BG356" s="702" t="e">
        <f t="shared" ca="1" si="5193"/>
        <v>#REF!</v>
      </c>
      <c r="BH356" s="686" t="str">
        <f ca="1">IFERROR(VLOOKUP(BG356,INDIRECT(AQ353),2,FALSE),"----")</f>
        <v>----</v>
      </c>
      <c r="BI356" s="702" t="e">
        <f t="shared" ca="1" si="5194"/>
        <v>#REF!</v>
      </c>
      <c r="BJ356" s="686" t="str">
        <f ca="1">IFERROR(VLOOKUP(BI356,INDIRECT(AQ354),2,FALSE),"----")</f>
        <v>----</v>
      </c>
      <c r="BK356" s="702" t="e">
        <f t="shared" ca="1" si="5195"/>
        <v>#REF!</v>
      </c>
      <c r="BL356" s="686" t="str">
        <f ca="1">IFERROR(VLOOKUP(BK356,INDIRECT(AQ355),2,FALSE),"----")</f>
        <v>----</v>
      </c>
      <c r="BM356" s="702" t="e">
        <f t="shared" ca="1" si="5196"/>
        <v>#REF!</v>
      </c>
      <c r="BN356" s="686" t="str">
        <f ca="1">IFERROR(VLOOKUP(BM356,INDIRECT(AQ356),2,FALSE),"----")</f>
        <v>----</v>
      </c>
      <c r="BO356" s="702" t="e">
        <f t="shared" ca="1" si="5197"/>
        <v>#REF!</v>
      </c>
      <c r="BP356" s="686" t="str">
        <f ca="1">IFERROR(VLOOKUP(BO356,INDIRECT(AQ357),2,FALSE),"----")</f>
        <v>----</v>
      </c>
      <c r="BQ356" s="702" t="e">
        <f t="shared" ca="1" si="5198"/>
        <v>#REF!</v>
      </c>
      <c r="BR356" s="686" t="str">
        <f ca="1">IFERROR(VLOOKUP(BQ356,INDIRECT(AQ358),2,FALSE),"----")</f>
        <v>----</v>
      </c>
      <c r="BS356" s="695">
        <f>IF(AI356="",1,IF(COUNTIF(BN347:BN358,AI356)=0,2,1))</f>
        <v>1</v>
      </c>
      <c r="BT356" s="696">
        <f>IF(AF356="",1,IF(BN347=".",2,1))</f>
        <v>1</v>
      </c>
      <c r="BU356" s="706"/>
      <c r="BV356" s="155">
        <f ca="1">IF(COUNTIF(DX347:DX358,AF356)=0,IF(AF356&lt;&gt;"",0,1),1)</f>
        <v>1</v>
      </c>
      <c r="BW356" s="157">
        <f ca="1">IFERROR(MATCH(AF356,DX347:DX358,0),1)</f>
        <v>1</v>
      </c>
      <c r="BX356" s="769" t="e">
        <f t="shared" ref="BX356" si="6212">5*E347^3*W353/(384*X347)</f>
        <v>#VALUE!</v>
      </c>
      <c r="BY356" s="769" t="e">
        <f t="shared" ref="BY356" si="6213">E347^3*W353/(60*X347)</f>
        <v>#VALUE!</v>
      </c>
      <c r="BZ356" s="1110"/>
      <c r="CA356" s="691" t="e">
        <f t="shared" ca="1" si="6061"/>
        <v>#REF!</v>
      </c>
      <c r="CB356" s="4" t="e" cm="1">
        <f t="array" aca="1" ref="CB356" ca="1">IF(AND(INDEX(INDIRECT(BY347),CA356,4)&gt;=$AB347,INDEX(INDIRECT(BY347),CA356,5)&gt;=$S347,INDEX(INDIRECT(BY347),CA356,6)&gt;=$R347),1,0)</f>
        <v>#REF!</v>
      </c>
      <c r="CC356" s="4" t="e">
        <f t="shared" ref="CC356" ca="1" si="6214">MATCH(1,OFFSET(CB347:CB358,CD355,0,COUNT(CB347:CB358)-CD355),0)</f>
        <v>#REF!</v>
      </c>
      <c r="CD356" s="4" t="e">
        <f t="shared" ca="1" si="6063"/>
        <v>#REF!</v>
      </c>
      <c r="CE356" s="692" t="str" cm="1">
        <f t="array" aca="1" ref="CE356" ca="1">IFERROR(VLOOKUP(INDEX(CA347:CA358,CD356),INDIRECT(BY347),2,FALSE),"----")</f>
        <v>----</v>
      </c>
      <c r="CF356" s="691" t="e">
        <f t="shared" ca="1" si="6064"/>
        <v>#N/A</v>
      </c>
      <c r="CG356" s="4" t="e">
        <f ca="1">IF(AND(INDEX(SSM,CF356,4)&gt;=$AB347,INDEX(SSM,CF356,5)&gt;=$S347,INDEX(SSM,CF356,6)&gt;=$R347),1,0)</f>
        <v>#N/A</v>
      </c>
      <c r="CH356" s="4" t="e">
        <f t="shared" ref="CH356" ca="1" si="6215">MATCH(1,OFFSET(CG347:CG358,CI355,0,COUNT(CG347:CG358)-CI355),0)</f>
        <v>#REF!</v>
      </c>
      <c r="CI356" s="4" t="e">
        <f t="shared" ca="1" si="6066"/>
        <v>#REF!</v>
      </c>
      <c r="CJ356" s="692" t="str">
        <f ca="1">IFERROR(IF(AD348="Nested Steel Stud (wood infill)",VLOOKUP(INDEX(CF347:CF358,CI356),SSW,2,FALSE),VLOOKUP(INDEX(CF347:CF358,CI356),SSM,2,FALSE)),"----")</f>
        <v>----</v>
      </c>
      <c r="CK356" s="691" t="e">
        <f t="shared" ca="1" si="6067"/>
        <v>#N/A</v>
      </c>
      <c r="CL356" s="4" t="e">
        <f ca="1">IF(AND(INDEX(WSM,CK356,4)&gt;=$AB347,INDEX(WSM,CK356,5)&gt;=$S347,INDEX(WSM,CK356,6)&gt;=$R347),1,0)</f>
        <v>#N/A</v>
      </c>
      <c r="CM356" s="4" t="e">
        <f t="shared" ref="CM356" ca="1" si="6216">MATCH(1,OFFSET(CL347:CL358,CN355,0,COUNT(CL347:CL358)-CN355),0)</f>
        <v>#REF!</v>
      </c>
      <c r="CN356" s="4" t="e">
        <f t="shared" ca="1" si="6069"/>
        <v>#REF!</v>
      </c>
      <c r="CO356" s="692" t="str">
        <f ca="1">IFERROR(VLOOKUP(INDEX(CK347:CK358,CN356),WSM,2,FALSE),"----")</f>
        <v>----</v>
      </c>
      <c r="CP356" s="691" t="e">
        <f t="shared" ca="1" si="6070"/>
        <v>#N/A</v>
      </c>
      <c r="CQ356" s="4" t="e">
        <f ca="1">IF(AND(INDEX(STM,CP356,4)&gt;=$AB347,INDEX(STM,CP356,5)&gt;=$S347,INDEX(STM,CP356,6)&gt;=$R347),1,0)</f>
        <v>#N/A</v>
      </c>
      <c r="CR356" s="4" t="e">
        <f t="shared" ref="CR356" ca="1" si="6217">MATCH(1,OFFSET(CQ347:CQ358,CS355,0,COUNT(CQ347:CQ358)-CS355),0)</f>
        <v>#REF!</v>
      </c>
      <c r="CS356" s="4" t="e">
        <f t="shared" ca="1" si="6072"/>
        <v>#REF!</v>
      </c>
      <c r="CT356" s="692" t="str">
        <f ca="1">IFERROR(VLOOKUP(INDEX(CP347:CP358,CS356),STM,2,FALSE),"----")</f>
        <v>----</v>
      </c>
      <c r="CU356" s="691" t="e">
        <f t="shared" ca="1" si="6073"/>
        <v>#N/A</v>
      </c>
      <c r="CV356" s="4" t="e">
        <f ca="1">IF(AND(INDEX(ELM,CU356,4)&gt;=$AB347,INDEX(ELM,CU356,5)&gt;=$S347,INDEX(ELM,CU356,6)&gt;=$R347),1,0)</f>
        <v>#N/A</v>
      </c>
      <c r="CW356" s="4" t="e">
        <f t="shared" ref="CW356" ca="1" si="6218">MATCH(1,OFFSET(CV347:CV358,CX355,0,COUNT(CV347:CV358)-CX355),0)</f>
        <v>#REF!</v>
      </c>
      <c r="CX356" s="4" t="e">
        <f t="shared" ca="1" si="6075"/>
        <v>#REF!</v>
      </c>
      <c r="CY356" s="692" t="str">
        <f ca="1">IFERROR(VLOOKUP(INDEX(CU347:CU358,CX356),ELM,2,FALSE),"----")</f>
        <v>----</v>
      </c>
      <c r="CZ356" s="691" t="e">
        <f t="shared" ca="1" si="6076"/>
        <v>#N/A</v>
      </c>
      <c r="DA356" s="4" t="e">
        <f ca="1">IF(LEFT($J347,7)="Clad Wo",IF(AND(INDEX(SPPWS,CZ356,4)&gt;=$AB347,INDEX(SPPWS,CZ356,5)&gt;=$S347,INDEX(SPPWS,CZ356,6)&gt;=$R347),1,0),IF(AND(INDEX(SPM,CZ356,4)&gt;=$AB347,INDEX(SPM,CZ356,5)&gt;=$S347,INDEX(SPM,CZ356,6)&gt;=$R347),1,0))</f>
        <v>#N/A</v>
      </c>
      <c r="DB356" s="4" t="e">
        <f t="shared" ref="DB356" ca="1" si="6219">MATCH(1,OFFSET(DA347:DA358,DC355,0,COUNT(DA347:DA358)-DC355),0)</f>
        <v>#REF!</v>
      </c>
      <c r="DC356" s="4" t="e">
        <f t="shared" ca="1" si="6078"/>
        <v>#REF!</v>
      </c>
      <c r="DD356" s="693" t="str">
        <f ca="1">IF(LEFT($J347,7)="Clad Wo",IFERROR(VLOOKUP(INDEX(CZ347:CZ358,DC356),SPPWS,2,FALSE),"----"),IFERROR(VLOOKUP(INDEX(CZ347:CZ358,DC356),SPM,2,FALSE),"----"))</f>
        <v>----</v>
      </c>
      <c r="DE356" s="691" t="e">
        <f t="shared" ca="1" si="6079"/>
        <v>#REF!</v>
      </c>
      <c r="DF356" s="4" t="e" cm="1">
        <f t="array" aca="1" ref="DF356" ca="1">IF(AND(INDEX(INDIRECT(BY347),DE356,4)&gt;=$AB353,INDEX(INDIRECT(BY347),DE356,5)&gt;=$S347,INDEX(INDIRECT(BY347),DE356,6)&gt;=$R347),1,0)</f>
        <v>#REF!</v>
      </c>
      <c r="DG356" s="4" t="e">
        <f t="shared" ref="DG356" ca="1" si="6220">MATCH(1,OFFSET(DF347:DF358,DH355,0,COUNT(DF347:DF358)-DH355),0)</f>
        <v>#REF!</v>
      </c>
      <c r="DH356" s="4" t="e">
        <f t="shared" ca="1" si="6081"/>
        <v>#REF!</v>
      </c>
      <c r="DI356" s="692" t="str" cm="1">
        <f t="array" aca="1" ref="DI356" ca="1">IFERROR(VLOOKUP(INDEX(DE347:DE358,DH356),INDIRECT(BY347),2,FALSE),"----")</f>
        <v>----</v>
      </c>
      <c r="DJ356" s="691" t="e">
        <f t="shared" ca="1" si="6082"/>
        <v>#N/A</v>
      </c>
      <c r="DK356" s="4" t="e">
        <f ca="1">IF(AND(INDEX(SSM,DJ356,4)&gt;=$AB353,INDEX(SSM,DJ356,5)&gt;=$S347,INDEX(SSM,DJ356,6)&gt;=$R347),1,0)</f>
        <v>#N/A</v>
      </c>
      <c r="DL356" s="4" t="e">
        <f t="shared" ref="DL356" ca="1" si="6221">MATCH(1,OFFSET(DK347:DK358,DM355,0,COUNT(DK347:DK358)-DM355),0)</f>
        <v>#REF!</v>
      </c>
      <c r="DM356" s="4" t="e">
        <f t="shared" ca="1" si="6084"/>
        <v>#REF!</v>
      </c>
      <c r="DN356" s="692" t="str">
        <f ca="1">IFERROR(IF(AD354="Nested Steel Stud (wood infill)",VLOOKUP(INDEX(DJ347:DJ358,DM356),SSW,2,FALSE),VLOOKUP(INDEX(DJ347:DJ358,DM356),SSM,2,FALSE)),"----")</f>
        <v>----</v>
      </c>
      <c r="DO356" s="691" t="e">
        <f t="shared" ca="1" si="6085"/>
        <v>#N/A</v>
      </c>
      <c r="DP356" s="4" t="e">
        <f ca="1">IF(AND(INDEX(WSM,DO356,4)&gt;=$AB353,INDEX(WSM,DO356,5)&gt;=$S347,INDEX(WSM,DO356,6)&gt;=$R347),1,0)</f>
        <v>#N/A</v>
      </c>
      <c r="DQ356" s="4" t="e">
        <f t="shared" ref="DQ356" ca="1" si="6222">MATCH(1,OFFSET(DP347:DP358,DR355,0,COUNT(DP347:DP358)-DR355),0)</f>
        <v>#REF!</v>
      </c>
      <c r="DR356" s="4" t="e">
        <f t="shared" ca="1" si="6087"/>
        <v>#REF!</v>
      </c>
      <c r="DS356" s="692" t="str">
        <f ca="1">IFERROR(VLOOKUP(INDEX(DO347:DO358,DR356),WSM,2,FALSE),"----")</f>
        <v>----</v>
      </c>
      <c r="DT356" s="691" t="e">
        <f t="shared" ca="1" si="6088"/>
        <v>#N/A</v>
      </c>
      <c r="DU356" s="4" t="e">
        <f ca="1">IF(AND(INDEX(STM,DT356,4)&gt;=$AB353,INDEX(STM,DT356,5)&gt;=$S347,INDEX(STM,DT356,6)&gt;=$R347),1,0)</f>
        <v>#N/A</v>
      </c>
      <c r="DV356" s="4" t="e">
        <f t="shared" ref="DV356" ca="1" si="6223">MATCH(1,OFFSET(DU347:DU358,DW355,0,COUNT(DU347:DU358)-DW355),0)</f>
        <v>#REF!</v>
      </c>
      <c r="DW356" s="4" t="e">
        <f t="shared" ca="1" si="6090"/>
        <v>#REF!</v>
      </c>
      <c r="DX356" s="692" t="str">
        <f ca="1">IFERROR(VLOOKUP(INDEX(DT347:DT358,DW356),STM,2,FALSE),"----")</f>
        <v>----</v>
      </c>
      <c r="DY356" s="691" t="e">
        <f t="shared" ca="1" si="6091"/>
        <v>#N/A</v>
      </c>
      <c r="DZ356" s="4" t="e">
        <f ca="1">IF(AND(INDEX(ELM,DY356,4)&gt;=$AB353,INDEX(ELM,DY356,5)&gt;=$S347,INDEX(ELM,DY356,6)&gt;=$R347),1,0)</f>
        <v>#N/A</v>
      </c>
      <c r="EA356" s="4" t="e">
        <f t="shared" ref="EA356" ca="1" si="6224">MATCH(1,OFFSET(DZ347:DZ358,EB355,0,COUNT(DZ347:DZ358)-EB355),0)</f>
        <v>#REF!</v>
      </c>
      <c r="EB356" s="4" t="e">
        <f t="shared" ca="1" si="6093"/>
        <v>#REF!</v>
      </c>
      <c r="EC356" s="692" t="str">
        <f ca="1">IFERROR(VLOOKUP(INDEX(DY347:DY358,EB356),ELM,2,FALSE),"----")</f>
        <v>----</v>
      </c>
      <c r="ED356" s="691" t="e">
        <f t="shared" ca="1" si="6094"/>
        <v>#N/A</v>
      </c>
      <c r="EE356" s="4" t="e">
        <f ca="1">IF(LEFT($J347,7)="Clad Wo",IF(AND(INDEX(SPPWS,ED356,4)&gt;=$AB353,INDEX(SPPWS,ED356,5)&gt;=$S347,INDEX(SPPWS,ED356,6)&gt;=$R347),1,0),IF(AND(INDEX(SPM,ED356,4)&gt;=$AB353,INDEX(SPM,ED356,5)&gt;=$S347,INDEX(SPM,ED356,6)&gt;=$R347),1,0))</f>
        <v>#N/A</v>
      </c>
      <c r="EF356" s="4" t="e">
        <f t="shared" ref="EF356" ca="1" si="6225">MATCH(1,OFFSET(EE347:EE358,EG355,0,COUNT(EE347:EE358)-EG355),0)</f>
        <v>#REF!</v>
      </c>
      <c r="EG356" s="4" t="e">
        <f t="shared" ca="1" si="6096"/>
        <v>#REF!</v>
      </c>
      <c r="EH356" s="692" t="str">
        <f ca="1">IF(LEFT($J347,7)="Clad Wo",IFERROR(VLOOKUP(INDEX(ED347:ED358,EG356),SPPWS,2,FALSE),"----"),IFERROR(VLOOKUP(INDEX(ED347:ED358,EG356),SPM,2,FALSE),"----"))</f>
        <v>----</v>
      </c>
    </row>
    <row r="357" spans="1:138" ht="15" customHeight="1" x14ac:dyDescent="0.25">
      <c r="A357" s="1085"/>
      <c r="B357" s="925"/>
      <c r="C357" s="926"/>
      <c r="D357" s="927"/>
      <c r="E357" s="995"/>
      <c r="F357" s="996"/>
      <c r="G357" s="997"/>
      <c r="H357" s="1062"/>
      <c r="I357" s="990"/>
      <c r="J357" s="902"/>
      <c r="K357" s="903"/>
      <c r="L357" s="1002"/>
      <c r="M357" s="923"/>
      <c r="N357" s="1042"/>
      <c r="O357" s="1018"/>
      <c r="P357" s="987"/>
      <c r="Q357" s="1015"/>
      <c r="R357" s="1012"/>
      <c r="S357" s="1006"/>
      <c r="T357" s="1007"/>
      <c r="U357" s="878"/>
      <c r="V357" s="881"/>
      <c r="W357" s="884"/>
      <c r="X357" s="884"/>
      <c r="Y357" s="887"/>
      <c r="Z357" s="887"/>
      <c r="AA357" s="887"/>
      <c r="AB357" s="1081"/>
      <c r="AC357" s="1078"/>
      <c r="AD357" s="1070" t="str">
        <f t="shared" si="5955"/>
        <v>Engineered Lumber</v>
      </c>
      <c r="AE357" s="1071"/>
      <c r="AF357" s="1052"/>
      <c r="AG357" s="1053"/>
      <c r="AH357" s="1053"/>
      <c r="AI357" s="1068"/>
      <c r="AJ357" s="1069"/>
      <c r="AK357" s="154" t="str">
        <f t="shared" ca="1" si="6208"/>
        <v/>
      </c>
      <c r="AL357" s="1059"/>
      <c r="AM357" s="344" t="str">
        <f ca="1">IFERROR(Q347/12*ROUND(VLOOKUP(AF357,OFFSET(ELM,0,1),6,FALSE),2),"")</f>
        <v/>
      </c>
      <c r="AN357" t="str">
        <f t="shared" ref="AN357:AN420" ca="1" si="6226">IF(BW357&gt;1,"Lighter Reinforcement Options Available","")</f>
        <v/>
      </c>
      <c r="AP357" s="122" t="str">
        <f t="shared" ref="AP357" si="6227">_xlfn.CONCAT(AR357,AS358)</f>
        <v/>
      </c>
      <c r="AQ357" s="683" t="str">
        <f t="shared" si="5170"/>
        <v/>
      </c>
      <c r="AR357" s="4" t="str">
        <f t="shared" si="6193"/>
        <v/>
      </c>
      <c r="AS357" s="4"/>
      <c r="AT357" s="697" t="str">
        <f>AL353</f>
        <v/>
      </c>
      <c r="AU357" s="694" t="e">
        <f t="shared" ca="1" si="5187"/>
        <v>#REF!</v>
      </c>
      <c r="AV357" s="698" t="str">
        <f ca="1">IFERROR(VLOOKUP(AU357,INDIRECT(AQ347),2,FALSE),"----")</f>
        <v>----</v>
      </c>
      <c r="AW357" s="694" t="e">
        <f t="shared" ca="1" si="5188"/>
        <v>#REF!</v>
      </c>
      <c r="AX357" s="698" t="str">
        <f ca="1">IFERROR(VLOOKUP(AW357,INDIRECT(AQ348),2,FALSE),"----")</f>
        <v>----</v>
      </c>
      <c r="AY357" s="694" t="e">
        <f t="shared" ca="1" si="6210"/>
        <v>#REF!</v>
      </c>
      <c r="AZ357" s="698" t="str">
        <f ca="1">IFERROR(VLOOKUP(AY357,INDIRECT(AQ349),2,FALSE),"----")</f>
        <v>----</v>
      </c>
      <c r="BA357" s="694" t="e">
        <f t="shared" ca="1" si="6211"/>
        <v>#REF!</v>
      </c>
      <c r="BB357" s="698" t="str">
        <f ca="1">IFERROR(VLOOKUP(BA357,INDIRECT(AQ350),2,FALSE),"----")</f>
        <v>----</v>
      </c>
      <c r="BC357" s="694" t="e">
        <f t="shared" ca="1" si="5191"/>
        <v>#REF!</v>
      </c>
      <c r="BD357" s="698" t="str">
        <f ca="1">IFERROR(VLOOKUP(BC357,INDIRECT(AQ351),2,FALSE),"----")</f>
        <v>----</v>
      </c>
      <c r="BE357" s="694" t="e">
        <f t="shared" ca="1" si="5192"/>
        <v>#REF!</v>
      </c>
      <c r="BF357" s="698" t="str">
        <f ca="1">IFERROR(VLOOKUP(BE357,INDIRECT(AQ352),2,FALSE),"----")</f>
        <v>----</v>
      </c>
      <c r="BG357" s="702" t="e">
        <f t="shared" ca="1" si="5193"/>
        <v>#REF!</v>
      </c>
      <c r="BH357" s="686" t="str">
        <f ca="1">IFERROR(VLOOKUP(BG357,INDIRECT(AQ353),2,FALSE),"----")</f>
        <v>----</v>
      </c>
      <c r="BI357" s="702" t="e">
        <f t="shared" ca="1" si="5194"/>
        <v>#REF!</v>
      </c>
      <c r="BJ357" s="686" t="str">
        <f ca="1">IFERROR(VLOOKUP(BI357,INDIRECT(AQ354),2,FALSE),"----")</f>
        <v>----</v>
      </c>
      <c r="BK357" s="702" t="e">
        <f t="shared" ca="1" si="5195"/>
        <v>#REF!</v>
      </c>
      <c r="BL357" s="686" t="str">
        <f ca="1">IFERROR(VLOOKUP(BK357,INDIRECT(AQ355),2,FALSE),"----")</f>
        <v>----</v>
      </c>
      <c r="BM357" s="702" t="e">
        <f t="shared" ca="1" si="5196"/>
        <v>#REF!</v>
      </c>
      <c r="BN357" s="686" t="str">
        <f ca="1">IFERROR(VLOOKUP(BM357,INDIRECT(AQ356),2,FALSE),"----")</f>
        <v>----</v>
      </c>
      <c r="BO357" s="702" t="e">
        <f t="shared" ca="1" si="5197"/>
        <v>#REF!</v>
      </c>
      <c r="BP357" s="686" t="str">
        <f ca="1">IFERROR(VLOOKUP(BO357,INDIRECT(AQ357),2,FALSE),"----")</f>
        <v>----</v>
      </c>
      <c r="BQ357" s="702" t="e">
        <f t="shared" ca="1" si="5198"/>
        <v>#REF!</v>
      </c>
      <c r="BR357" s="686" t="str">
        <f ca="1">IFERROR(VLOOKUP(BQ357,INDIRECT(AQ358),2,FALSE),"----")</f>
        <v>----</v>
      </c>
      <c r="BS357" s="695">
        <f>IF(AI357="",1,IF(COUNTIF(BP347:BP358,AI357)=0,2,1))</f>
        <v>1</v>
      </c>
      <c r="BT357" s="696">
        <f>IF(AF357="",1,IF(BP347=".",2,1))</f>
        <v>1</v>
      </c>
      <c r="BU357" s="706"/>
      <c r="BV357" s="155">
        <f ca="1">IF(COUNTIF(EC347:EC358,AF357)=0,IF(AF357&lt;&gt;"",0,1),1)</f>
        <v>1</v>
      </c>
      <c r="BW357" s="157">
        <f ca="1">IFERROR(MATCH(AF357,EC347:EC358,0),1)</f>
        <v>1</v>
      </c>
      <c r="BX357" s="769"/>
      <c r="BY357" s="769"/>
      <c r="BZ357" s="1110"/>
      <c r="CA357" s="691" t="e">
        <f t="shared" ca="1" si="6061"/>
        <v>#REF!</v>
      </c>
      <c r="CB357" s="4" t="e" cm="1">
        <f t="array" aca="1" ref="CB357" ca="1">IF(AND(INDEX(INDIRECT(BY347),CA357,4)&gt;=$AB347,INDEX(INDIRECT(BY347),CA357,5)&gt;=$S347,INDEX(INDIRECT(BY347),CA357,6)&gt;=$R347),1,0)</f>
        <v>#REF!</v>
      </c>
      <c r="CC357" s="4" t="e">
        <f t="shared" ref="CC357" ca="1" si="6228">MATCH(1,OFFSET(CB347:CB358,CD356,0,COUNT(CB347:CB358)-CD356),0)</f>
        <v>#REF!</v>
      </c>
      <c r="CD357" s="4" t="e">
        <f t="shared" ca="1" si="6063"/>
        <v>#REF!</v>
      </c>
      <c r="CE357" s="692" t="str" cm="1">
        <f t="array" aca="1" ref="CE357" ca="1">IFERROR(VLOOKUP(INDEX(CA347:CA358,CD357),INDIRECT(BY347),2,FALSE),"----")</f>
        <v>----</v>
      </c>
      <c r="CF357" s="691" t="e">
        <f t="shared" ca="1" si="6064"/>
        <v>#N/A</v>
      </c>
      <c r="CG357" s="4" t="e">
        <f ca="1">IF(AND(INDEX(SSM,CF357,4)&gt;=$AB347,INDEX(SSM,CF357,5)&gt;=$S347,INDEX(SSM,CF357,6)&gt;=$R347),1,0)</f>
        <v>#N/A</v>
      </c>
      <c r="CH357" s="4" t="e">
        <f t="shared" ref="CH357" ca="1" si="6229">MATCH(1,OFFSET(CG347:CG358,CI356,0,COUNT(CG347:CG358)-CI356),0)</f>
        <v>#REF!</v>
      </c>
      <c r="CI357" s="4" t="e">
        <f t="shared" ca="1" si="6066"/>
        <v>#REF!</v>
      </c>
      <c r="CJ357" s="692" t="str">
        <f ca="1">IFERROR(IF(AD348="Nested Steel Stud (wood infill)",VLOOKUP(INDEX(CF347:CF358,CI357),SSW,2,FALSE),VLOOKUP(INDEX(CF347:CF358,CI357),SSM,2,FALSE)),"----")</f>
        <v>----</v>
      </c>
      <c r="CK357" s="691" t="e">
        <f t="shared" ca="1" si="6067"/>
        <v>#N/A</v>
      </c>
      <c r="CL357" s="4" t="e">
        <f ca="1">IF(AND(INDEX(WSM,CK357,4)&gt;=$AB347,INDEX(WSM,CK357,5)&gt;=$S347,INDEX(WSM,CK357,6)&gt;=$R347),1,0)</f>
        <v>#N/A</v>
      </c>
      <c r="CM357" s="4" t="e">
        <f t="shared" ref="CM357" ca="1" si="6230">MATCH(1,OFFSET(CL347:CL358,CN356,0,COUNT(CL347:CL358)-CN356),0)</f>
        <v>#REF!</v>
      </c>
      <c r="CN357" s="4" t="e">
        <f t="shared" ca="1" si="6069"/>
        <v>#REF!</v>
      </c>
      <c r="CO357" s="692" t="str">
        <f ca="1">IFERROR(VLOOKUP(INDEX(CK347:CK358,CN357),WSM,2,FALSE),"----")</f>
        <v>----</v>
      </c>
      <c r="CP357" s="691" t="e">
        <f t="shared" ca="1" si="6070"/>
        <v>#N/A</v>
      </c>
      <c r="CQ357" s="4" t="e">
        <f ca="1">IF(AND(INDEX(STM,CP357,4)&gt;=$AB347,INDEX(STM,CP357,5)&gt;=$S347,INDEX(STM,CP357,6)&gt;=$R347),1,0)</f>
        <v>#N/A</v>
      </c>
      <c r="CR357" s="4" t="e">
        <f t="shared" ref="CR357" ca="1" si="6231">MATCH(1,OFFSET(CQ347:CQ358,CS356,0,COUNT(CQ347:CQ358)-CS356),0)</f>
        <v>#REF!</v>
      </c>
      <c r="CS357" s="4" t="e">
        <f t="shared" ca="1" si="6072"/>
        <v>#REF!</v>
      </c>
      <c r="CT357" s="692" t="str">
        <f ca="1">IFERROR(VLOOKUP(INDEX(CP347:CP358,CS357),STM,2,FALSE),"----")</f>
        <v>----</v>
      </c>
      <c r="CU357" s="691" t="e">
        <f t="shared" ca="1" si="6073"/>
        <v>#N/A</v>
      </c>
      <c r="CV357" s="4" t="e">
        <f ca="1">IF(AND(INDEX(ELM,CU357,4)&gt;=$AB347,INDEX(ELM,CU357,5)&gt;=$S347,INDEX(ELM,CU357,6)&gt;=$R347),1,0)</f>
        <v>#N/A</v>
      </c>
      <c r="CW357" s="4" t="e">
        <f t="shared" ref="CW357" ca="1" si="6232">MATCH(1,OFFSET(CV347:CV358,CX356,0,COUNT(CV347:CV358)-CX356),0)</f>
        <v>#REF!</v>
      </c>
      <c r="CX357" s="4" t="e">
        <f t="shared" ca="1" si="6075"/>
        <v>#REF!</v>
      </c>
      <c r="CY357" s="692" t="str">
        <f ca="1">IFERROR(VLOOKUP(INDEX(CU347:CU358,CX357),ELM,2,FALSE),"----")</f>
        <v>----</v>
      </c>
      <c r="CZ357" s="691" t="e">
        <f t="shared" ca="1" si="6076"/>
        <v>#N/A</v>
      </c>
      <c r="DA357" s="4" t="e">
        <f ca="1">IF(LEFT($J347,7)="Clad Wo",IF(AND(INDEX(SPPWS,CZ357,4)&gt;=$AB347,INDEX(SPPWS,CZ357,5)&gt;=$S347,INDEX(SPPWS,CZ357,6)&gt;=$R347),1,0),IF(AND(INDEX(SPM,CZ357,4)&gt;=$AB347,INDEX(SPM,CZ357,5)&gt;=$S347,INDEX(SPM,CZ357,6)&gt;=$R347),1,0))</f>
        <v>#N/A</v>
      </c>
      <c r="DB357" s="4" t="e">
        <f t="shared" ref="DB357" ca="1" si="6233">MATCH(1,OFFSET(DA347:DA358,DC356,0,COUNT(DA347:DA358)-DC356),0)</f>
        <v>#REF!</v>
      </c>
      <c r="DC357" s="4" t="e">
        <f t="shared" ca="1" si="6078"/>
        <v>#REF!</v>
      </c>
      <c r="DD357" s="693" t="str">
        <f ca="1">IF(LEFT($J347,7)="Clad Wo",IFERROR(VLOOKUP(INDEX(CZ347:CZ358,DC357),SPPWS,2,FALSE),"----"),IFERROR(VLOOKUP(INDEX(CZ347:CZ358,DC357),SPM,2,FALSE),"----"))</f>
        <v>----</v>
      </c>
      <c r="DE357" s="691" t="e">
        <f t="shared" ca="1" si="6079"/>
        <v>#REF!</v>
      </c>
      <c r="DF357" s="4" t="e" cm="1">
        <f t="array" aca="1" ref="DF357" ca="1">IF(AND(INDEX(INDIRECT(BY347),DE357,4)&gt;=$AB353,INDEX(INDIRECT(BY347),DE357,5)&gt;=$S347,INDEX(INDIRECT(BY347),DE357,6)&gt;=$R347),1,0)</f>
        <v>#REF!</v>
      </c>
      <c r="DG357" s="4" t="e">
        <f t="shared" ref="DG357" ca="1" si="6234">MATCH(1,OFFSET(DF347:DF358,DH356,0,COUNT(DF347:DF358)-DH356),0)</f>
        <v>#REF!</v>
      </c>
      <c r="DH357" s="4" t="e">
        <f t="shared" ca="1" si="6081"/>
        <v>#REF!</v>
      </c>
      <c r="DI357" s="692" t="str" cm="1">
        <f t="array" aca="1" ref="DI357" ca="1">IFERROR(VLOOKUP(INDEX(DE347:DE358,DH357),INDIRECT(BY347),2,FALSE),"----")</f>
        <v>----</v>
      </c>
      <c r="DJ357" s="691" t="e">
        <f t="shared" ca="1" si="6082"/>
        <v>#N/A</v>
      </c>
      <c r="DK357" s="4" t="e">
        <f ca="1">IF(AND(INDEX(SSM,DJ357,4)&gt;=$AB353,INDEX(SSM,DJ357,5)&gt;=$S347,INDEX(SSM,DJ357,6)&gt;=$R347),1,0)</f>
        <v>#N/A</v>
      </c>
      <c r="DL357" s="4" t="e">
        <f t="shared" ref="DL357" ca="1" si="6235">MATCH(1,OFFSET(DK347:DK358,DM356,0,COUNT(DK347:DK358)-DM356),0)</f>
        <v>#REF!</v>
      </c>
      <c r="DM357" s="4" t="e">
        <f t="shared" ca="1" si="6084"/>
        <v>#REF!</v>
      </c>
      <c r="DN357" s="692" t="str">
        <f ca="1">IFERROR(IF(AD354="Nested Steel Stud (wood infill)",VLOOKUP(INDEX(DJ347:DJ358,DM357),SSW,2,FALSE),VLOOKUP(INDEX(DJ347:DJ358,DM357),SSM,2,FALSE)),"----")</f>
        <v>----</v>
      </c>
      <c r="DO357" s="691" t="e">
        <f t="shared" ca="1" si="6085"/>
        <v>#N/A</v>
      </c>
      <c r="DP357" s="4" t="e">
        <f ca="1">IF(AND(INDEX(WSM,DO357,4)&gt;=$AB353,INDEX(WSM,DO357,5)&gt;=$S347,INDEX(WSM,DO357,6)&gt;=$R347),1,0)</f>
        <v>#N/A</v>
      </c>
      <c r="DQ357" s="4" t="e">
        <f t="shared" ref="DQ357" ca="1" si="6236">MATCH(1,OFFSET(DP347:DP358,DR356,0,COUNT(DP347:DP358)-DR356),0)</f>
        <v>#REF!</v>
      </c>
      <c r="DR357" s="4" t="e">
        <f t="shared" ca="1" si="6087"/>
        <v>#REF!</v>
      </c>
      <c r="DS357" s="692" t="str">
        <f ca="1">IFERROR(VLOOKUP(INDEX(DO347:DO358,DR357),WSM,2,FALSE),"----")</f>
        <v>----</v>
      </c>
      <c r="DT357" s="691" t="e">
        <f t="shared" ca="1" si="6088"/>
        <v>#N/A</v>
      </c>
      <c r="DU357" s="4" t="e">
        <f ca="1">IF(AND(INDEX(STM,DT357,4)&gt;=$AB353,INDEX(STM,DT357,5)&gt;=$S347,INDEX(STM,DT357,6)&gt;=$R347),1,0)</f>
        <v>#N/A</v>
      </c>
      <c r="DV357" s="4" t="e">
        <f t="shared" ref="DV357" ca="1" si="6237">MATCH(1,OFFSET(DU347:DU358,DW356,0,COUNT(DU347:DU358)-DW356),0)</f>
        <v>#REF!</v>
      </c>
      <c r="DW357" s="4" t="e">
        <f t="shared" ca="1" si="6090"/>
        <v>#REF!</v>
      </c>
      <c r="DX357" s="692" t="str">
        <f ca="1">IFERROR(VLOOKUP(INDEX(DT347:DT358,DW357),STM,2,FALSE),"----")</f>
        <v>----</v>
      </c>
      <c r="DY357" s="691" t="e">
        <f t="shared" ca="1" si="6091"/>
        <v>#N/A</v>
      </c>
      <c r="DZ357" s="4" t="e">
        <f ca="1">IF(AND(INDEX(ELM,DY357,4)&gt;=$AB353,INDEX(ELM,DY357,5)&gt;=$S347,INDEX(ELM,DY357,6)&gt;=$R347),1,0)</f>
        <v>#N/A</v>
      </c>
      <c r="EA357" s="4" t="e">
        <f t="shared" ref="EA357" ca="1" si="6238">MATCH(1,OFFSET(DZ347:DZ358,EB356,0,COUNT(DZ347:DZ358)-EB356),0)</f>
        <v>#REF!</v>
      </c>
      <c r="EB357" s="4" t="e">
        <f t="shared" ca="1" si="6093"/>
        <v>#REF!</v>
      </c>
      <c r="EC357" s="692" t="str">
        <f ca="1">IFERROR(VLOOKUP(INDEX(DY347:DY358,EB357),ELM,2,FALSE),"----")</f>
        <v>----</v>
      </c>
      <c r="ED357" s="691" t="e">
        <f t="shared" ca="1" si="6094"/>
        <v>#N/A</v>
      </c>
      <c r="EE357" s="4" t="e">
        <f ca="1">IF(LEFT($J347,7)="Clad Wo",IF(AND(INDEX(SPPWS,ED357,4)&gt;=$AB353,INDEX(SPPWS,ED357,5)&gt;=$S347,INDEX(SPPWS,ED357,6)&gt;=$R347),1,0),IF(AND(INDEX(SPM,ED357,4)&gt;=$AB353,INDEX(SPM,ED357,5)&gt;=$S347,INDEX(SPM,ED357,6)&gt;=$R347),1,0))</f>
        <v>#N/A</v>
      </c>
      <c r="EF357" s="4" t="e">
        <f t="shared" ref="EF357" ca="1" si="6239">MATCH(1,OFFSET(EE347:EE358,EG356,0,COUNT(EE347:EE358)-EG356),0)</f>
        <v>#REF!</v>
      </c>
      <c r="EG357" s="4" t="e">
        <f t="shared" ca="1" si="6096"/>
        <v>#REF!</v>
      </c>
      <c r="EH357" s="692" t="str">
        <f ca="1">IF(LEFT($J347,7)="Clad Wo",IFERROR(VLOOKUP(INDEX(ED347:ED358,EG357),SPPWS,2,FALSE),"----"),IFERROR(VLOOKUP(INDEX(ED347:ED358,EG357),SPM,2,FALSE),"----"))</f>
        <v>----</v>
      </c>
    </row>
    <row r="358" spans="1:138" ht="15" customHeight="1" thickBot="1" x14ac:dyDescent="0.3">
      <c r="A358" s="1085"/>
      <c r="B358" s="928"/>
      <c r="C358" s="929"/>
      <c r="D358" s="930"/>
      <c r="E358" s="998"/>
      <c r="F358" s="999"/>
      <c r="G358" s="1000"/>
      <c r="H358" s="1063"/>
      <c r="I358" s="991"/>
      <c r="J358" s="904"/>
      <c r="K358" s="905"/>
      <c r="L358" s="1003"/>
      <c r="M358" s="1065"/>
      <c r="N358" s="1043"/>
      <c r="O358" s="1019"/>
      <c r="P358" s="988"/>
      <c r="Q358" s="1016"/>
      <c r="R358" s="1013"/>
      <c r="S358" s="1008"/>
      <c r="T358" s="1009"/>
      <c r="U358" s="879"/>
      <c r="V358" s="882"/>
      <c r="W358" s="885"/>
      <c r="X358" s="885"/>
      <c r="Y358" s="888"/>
      <c r="Z358" s="888"/>
      <c r="AA358" s="888"/>
      <c r="AB358" s="1082"/>
      <c r="AC358" s="1087"/>
      <c r="AD358" s="1098" t="str">
        <f t="shared" ref="AD358" si="6240">IF(LEFT(J347,7)="Clad Wo","Pella Wood Spr / Steel Pte","Steel Plate")</f>
        <v>Steel Plate</v>
      </c>
      <c r="AE358" s="1099"/>
      <c r="AF358" s="1096"/>
      <c r="AG358" s="1097"/>
      <c r="AH358" s="1097"/>
      <c r="AI358" s="1094"/>
      <c r="AJ358" s="1095"/>
      <c r="AK358" s="163" t="str">
        <f t="shared" ca="1" si="6208"/>
        <v/>
      </c>
      <c r="AL358" s="1060"/>
      <c r="AM358" s="345" t="str">
        <f ca="1">IFERROR(Q347/12*ROUND(VLOOKUP(AF358,OFFSET(SPM,0,1),6,FALSE),2),"")</f>
        <v/>
      </c>
      <c r="AN358" t="str">
        <f t="shared" ca="1" si="6226"/>
        <v/>
      </c>
      <c r="AP358" s="699" t="str">
        <f t="shared" ref="AP358" si="6241">_xlfn.CONCAT(AR358,AS358)</f>
        <v/>
      </c>
      <c r="AQ358" s="700" t="str">
        <f t="shared" si="5170"/>
        <v/>
      </c>
      <c r="AR358" s="160" t="str">
        <f t="shared" si="6193"/>
        <v/>
      </c>
      <c r="AS358" s="160" t="str">
        <f>IFERROR(VLOOKUP(J355, WallType,2,FALSE),"")</f>
        <v/>
      </c>
      <c r="AT358" s="707" t="str">
        <f>AL353</f>
        <v/>
      </c>
      <c r="AU358" s="708" t="e">
        <f t="shared" ca="1" si="5187"/>
        <v>#REF!</v>
      </c>
      <c r="AV358" s="709" t="str">
        <f ca="1">IFERROR(VLOOKUP(AU358,INDIRECT(AQ347),2,FALSE),"----")</f>
        <v>----</v>
      </c>
      <c r="AW358" s="710" t="e">
        <f t="shared" ca="1" si="5188"/>
        <v>#REF!</v>
      </c>
      <c r="AX358" s="709" t="str">
        <f ca="1">IFERROR(VLOOKUP(AW358,INDIRECT(AQ348),2,FALSE),"----")</f>
        <v>----</v>
      </c>
      <c r="AY358" s="710" t="e">
        <f t="shared" ca="1" si="6210"/>
        <v>#REF!</v>
      </c>
      <c r="AZ358" s="709" t="str">
        <f ca="1">IFERROR(VLOOKUP(AY358,INDIRECT(AQ349),2,FALSE),"----")</f>
        <v>----</v>
      </c>
      <c r="BA358" s="710" t="e">
        <f t="shared" ca="1" si="6211"/>
        <v>#REF!</v>
      </c>
      <c r="BB358" s="709" t="str">
        <f ca="1">IFERROR(VLOOKUP(BA358,INDIRECT(AQ350),2,FALSE),"----")</f>
        <v>----</v>
      </c>
      <c r="BC358" s="710" t="e">
        <f t="shared" ca="1" si="5191"/>
        <v>#REF!</v>
      </c>
      <c r="BD358" s="709" t="str">
        <f ca="1">IFERROR(VLOOKUP(BC358,INDIRECT(AQ351),2,FALSE),"----")</f>
        <v>----</v>
      </c>
      <c r="BE358" s="710" t="e">
        <f t="shared" ca="1" si="5192"/>
        <v>#REF!</v>
      </c>
      <c r="BF358" s="709" t="str">
        <f ca="1">IFERROR(VLOOKUP(BE358,INDIRECT(AQ352),2,FALSE),"----")</f>
        <v>----</v>
      </c>
      <c r="BG358" s="710" t="e">
        <f t="shared" ca="1" si="5193"/>
        <v>#REF!</v>
      </c>
      <c r="BH358" s="711" t="str">
        <f ca="1">IFERROR(VLOOKUP(BG358,INDIRECT(AQ353),2,FALSE),"----")</f>
        <v>----</v>
      </c>
      <c r="BI358" s="710" t="e">
        <f t="shared" ca="1" si="5194"/>
        <v>#REF!</v>
      </c>
      <c r="BJ358" s="711" t="str">
        <f ca="1">IFERROR(VLOOKUP(BI358,INDIRECT(AQ354),2,FALSE),"----")</f>
        <v>----</v>
      </c>
      <c r="BK358" s="710" t="e">
        <f t="shared" ca="1" si="5195"/>
        <v>#REF!</v>
      </c>
      <c r="BL358" s="711" t="str">
        <f ca="1">IFERROR(VLOOKUP(BK358,INDIRECT(AQ355),2,FALSE),"----")</f>
        <v>----</v>
      </c>
      <c r="BM358" s="710" t="e">
        <f t="shared" ca="1" si="5196"/>
        <v>#REF!</v>
      </c>
      <c r="BN358" s="711" t="str">
        <f ca="1">IFERROR(VLOOKUP(BM358,INDIRECT(AQ356),2,FALSE),"----")</f>
        <v>----</v>
      </c>
      <c r="BO358" s="710" t="e">
        <f t="shared" ca="1" si="5197"/>
        <v>#REF!</v>
      </c>
      <c r="BP358" s="711" t="str">
        <f ca="1">IFERROR(VLOOKUP(BO358,INDIRECT(AQ357),2,FALSE),"----")</f>
        <v>----</v>
      </c>
      <c r="BQ358" s="710" t="e">
        <f t="shared" ca="1" si="5198"/>
        <v>#REF!</v>
      </c>
      <c r="BR358" s="712" t="str">
        <f ca="1">IFERROR(VLOOKUP(BQ358,INDIRECT(AQ358),2,FALSE),"----")</f>
        <v>----</v>
      </c>
      <c r="BS358" s="695">
        <f>IF(AI358="",1,IF(COUNTIF(BR347:BR358,AI358)=0,2,1))</f>
        <v>1</v>
      </c>
      <c r="BT358" s="713">
        <f>IF(AF358="",1,IF(BR347=".",2,1))</f>
        <v>1</v>
      </c>
      <c r="BV358" s="155">
        <f ca="1">IF(COUNTIF(EH347:EH358,AF358)=0,IF(AF358&lt;&gt;"",0,1),1)</f>
        <v>1</v>
      </c>
      <c r="BW358" s="157">
        <f ca="1">IFERROR(MATCH(AF358,EH347:EH358,0),1)</f>
        <v>1</v>
      </c>
      <c r="BX358" s="718"/>
      <c r="BY358" s="777"/>
      <c r="BZ358" s="1110"/>
      <c r="CA358" s="714" t="e">
        <f t="shared" ca="1" si="6061"/>
        <v>#REF!</v>
      </c>
      <c r="CB358" s="715" t="e" cm="1">
        <f t="array" aca="1" ref="CB358" ca="1">IF(AND(INDEX(INDIRECT(BY347),CA358,4)&gt;=$AB347,INDEX(INDIRECT(BY347),CA358,5)&gt;=$S347,INDEX(INDIRECT(BY347),CA358,6)&gt;=$R347),1,0)</f>
        <v>#REF!</v>
      </c>
      <c r="CC358" s="715" t="e">
        <f t="shared" ref="CC358" ca="1" si="6242">MATCH(1,OFFSET(CB347:CB358,CD357,0,COUNT(CB347:CB358)-CD357),0)</f>
        <v>#REF!</v>
      </c>
      <c r="CD358" s="715" t="e">
        <f t="shared" ca="1" si="6063"/>
        <v>#REF!</v>
      </c>
      <c r="CE358" s="716" t="str" cm="1">
        <f t="array" aca="1" ref="CE358" ca="1">IFERROR(VLOOKUP(INDEX(CA347:CA358,CD358),INDIRECT(BY347),2,FALSE),"----")</f>
        <v>----</v>
      </c>
      <c r="CF358" s="714" t="e">
        <f t="shared" ca="1" si="6064"/>
        <v>#N/A</v>
      </c>
      <c r="CG358" s="715" t="e">
        <f ca="1">IF(AND(INDEX(SSM,CF358,4)&gt;=$AB347,INDEX(SSM,CF358,5)&gt;=$S347,INDEX(SSM,CF358,6)&gt;=$R347),1,0)</f>
        <v>#N/A</v>
      </c>
      <c r="CH358" s="715" t="e">
        <f t="shared" ref="CH358" ca="1" si="6243">MATCH(1,OFFSET(CG347:CG358,CI357,0,COUNT(CG347:CG358)-CI357),0)</f>
        <v>#REF!</v>
      </c>
      <c r="CI358" s="715" t="e">
        <f t="shared" ca="1" si="6066"/>
        <v>#REF!</v>
      </c>
      <c r="CJ358" s="716" t="str">
        <f ca="1">IFERROR(IF(AD348="Nested Steel Stud (wood infill)",VLOOKUP(INDEX(CF347:CF358,CI358),SSW,2,FALSE),VLOOKUP(INDEX(CF347:CF358,CI358),SSM,2,FALSE)),"----")</f>
        <v>----</v>
      </c>
      <c r="CK358" s="714" t="e">
        <f t="shared" ca="1" si="6067"/>
        <v>#N/A</v>
      </c>
      <c r="CL358" s="715" t="e">
        <f ca="1">IF(AND(INDEX(WSM,CK358,4)&gt;=$AB347,INDEX(WSM,CK358,5)&gt;=$S347,INDEX(WSM,CK358,6)&gt;=$R347),1,0)</f>
        <v>#N/A</v>
      </c>
      <c r="CM358" s="715" t="e">
        <f t="shared" ref="CM358" ca="1" si="6244">MATCH(1,OFFSET(CL347:CL358,CN357,0,COUNT(CL347:CL358)-CN357),0)</f>
        <v>#REF!</v>
      </c>
      <c r="CN358" s="715" t="e">
        <f t="shared" ca="1" si="6069"/>
        <v>#REF!</v>
      </c>
      <c r="CO358" s="716" t="str">
        <f ca="1">IFERROR(VLOOKUP(INDEX(CK347:CK358,CN358),WSM,2,FALSE),"----")</f>
        <v>----</v>
      </c>
      <c r="CP358" s="714" t="e">
        <f t="shared" ca="1" si="6070"/>
        <v>#N/A</v>
      </c>
      <c r="CQ358" s="715" t="e">
        <f ca="1">IF(AND(INDEX(STM,CP358,4)&gt;=$AB347,INDEX(STM,CP358,5)&gt;=$S347,INDEX(STM,CP358,6)&gt;=$R347),1,0)</f>
        <v>#N/A</v>
      </c>
      <c r="CR358" s="715" t="e">
        <f t="shared" ref="CR358" ca="1" si="6245">MATCH(1,OFFSET(CQ347:CQ358,CS357,0,COUNT(CQ347:CQ358)-CS357),0)</f>
        <v>#REF!</v>
      </c>
      <c r="CS358" s="715" t="e">
        <f t="shared" ca="1" si="6072"/>
        <v>#REF!</v>
      </c>
      <c r="CT358" s="716" t="str">
        <f ca="1">IFERROR(VLOOKUP(INDEX(CP347:CP358,CS358),STM,2,FALSE),"----")</f>
        <v>----</v>
      </c>
      <c r="CU358" s="714" t="e">
        <f t="shared" ca="1" si="6073"/>
        <v>#N/A</v>
      </c>
      <c r="CV358" s="715" t="e">
        <f ca="1">IF(AND(INDEX(ELM,CU358,4)&gt;=$AB347,INDEX(ELM,CU358,5)&gt;=$S347,INDEX(ELM,CU358,6)&gt;=$R347),1,0)</f>
        <v>#N/A</v>
      </c>
      <c r="CW358" s="715" t="e">
        <f t="shared" ref="CW358" ca="1" si="6246">MATCH(1,OFFSET(CV347:CV358,CX357,0,COUNT(CV347:CV358)-CX357),0)</f>
        <v>#REF!</v>
      </c>
      <c r="CX358" s="715" t="e">
        <f t="shared" ca="1" si="6075"/>
        <v>#REF!</v>
      </c>
      <c r="CY358" s="716" t="str">
        <f ca="1">IFERROR(VLOOKUP(INDEX(CU347:CU358,CX358),ELM,2,FALSE),"----")</f>
        <v>----</v>
      </c>
      <c r="CZ358" s="714" t="e">
        <f t="shared" ca="1" si="6076"/>
        <v>#N/A</v>
      </c>
      <c r="DA358" s="715" t="e">
        <f ca="1">IF(LEFT($J347,7)="Clad Wo",IF(AND(INDEX(SPPWS,CZ358,4)&gt;=$AB347,INDEX(SPPWS,CZ358,5)&gt;=$S347,INDEX(SPPWS,CZ358,6)&gt;=$R347),1,0),IF(AND(INDEX(SPM,CZ358,4)&gt;=$AB347,INDEX(SPM,CZ358,5)&gt;=$S347,INDEX(SPM,CZ358,6)&gt;=$R347),1,0))</f>
        <v>#N/A</v>
      </c>
      <c r="DB358" s="715" t="e">
        <f t="shared" ref="DB358" ca="1" si="6247">MATCH(1,OFFSET(DA347:DA358,DC357,0,COUNT(DA347:DA358)-DC357),0)</f>
        <v>#REF!</v>
      </c>
      <c r="DC358" s="715" t="e">
        <f t="shared" ca="1" si="6078"/>
        <v>#REF!</v>
      </c>
      <c r="DD358" s="717" t="str">
        <f ca="1">IF(LEFT($J347,7)="Clad Wo",IFERROR(VLOOKUP(INDEX(CZ347:CZ358,DC358),SPPWS,2,FALSE),"----"),IFERROR(VLOOKUP(INDEX(CZ347:CZ358,DC358),SPM,2,FALSE),"----"))</f>
        <v>----</v>
      </c>
      <c r="DE358" s="714" t="e">
        <f t="shared" ca="1" si="6079"/>
        <v>#REF!</v>
      </c>
      <c r="DF358" s="715" t="e" cm="1">
        <f t="array" aca="1" ref="DF358" ca="1">IF(AND(INDEX(INDIRECT(BY347),DE358,4)&gt;=$AB353,INDEX(INDIRECT(BY347),DE358,5)&gt;=$S347,INDEX(INDIRECT(BY347),DE358,6)&gt;=$R347),1,0)</f>
        <v>#REF!</v>
      </c>
      <c r="DG358" s="715" t="e">
        <f t="shared" ref="DG358" ca="1" si="6248">MATCH(1,OFFSET(DF347:DF358,DH357,0,COUNT(DF347:DF358)-DH357),0)</f>
        <v>#REF!</v>
      </c>
      <c r="DH358" s="715" t="e">
        <f t="shared" ca="1" si="6081"/>
        <v>#REF!</v>
      </c>
      <c r="DI358" s="716" t="str" cm="1">
        <f t="array" aca="1" ref="DI358" ca="1">IFERROR(VLOOKUP(INDEX(DE347:DE358,DH358),INDIRECT(BY347),2,FALSE),"----")</f>
        <v>----</v>
      </c>
      <c r="DJ358" s="714" t="e">
        <f t="shared" ca="1" si="6082"/>
        <v>#N/A</v>
      </c>
      <c r="DK358" s="715" t="e">
        <f ca="1">IF(AND(INDEX(SSM,DJ358,4)&gt;=$AB353,INDEX(SSM,DJ358,5)&gt;=$S347,INDEX(SSM,DJ358,6)&gt;=$R347),1,0)</f>
        <v>#N/A</v>
      </c>
      <c r="DL358" s="715" t="e">
        <f t="shared" ref="DL358" ca="1" si="6249">MATCH(1,OFFSET(DK347:DK358,DM357,0,COUNT(DK347:DK358)-DM357),0)</f>
        <v>#REF!</v>
      </c>
      <c r="DM358" s="715" t="e">
        <f t="shared" ca="1" si="6084"/>
        <v>#REF!</v>
      </c>
      <c r="DN358" s="716" t="str">
        <f ca="1">IFERROR(IF(AD354="Nested Steel Stud (wood infill)",VLOOKUP(INDEX(DJ347:DJ358,DM358),SSW,2,FALSE),VLOOKUP(INDEX(DJ347:DJ358,DM358),SSM,2,FALSE)),"----")</f>
        <v>----</v>
      </c>
      <c r="DO358" s="714" t="e">
        <f t="shared" ca="1" si="6085"/>
        <v>#N/A</v>
      </c>
      <c r="DP358" s="715" t="e">
        <f ca="1">IF(AND(INDEX(WSM,DO358,4)&gt;=$AB353,INDEX(WSM,DO358,5)&gt;=$S347,INDEX(WSM,DO358,6)&gt;=$R347),1,0)</f>
        <v>#N/A</v>
      </c>
      <c r="DQ358" s="715" t="e">
        <f t="shared" ref="DQ358" ca="1" si="6250">MATCH(1,OFFSET(DP347:DP358,DR357,0,COUNT(DP347:DP358)-DR357),0)</f>
        <v>#REF!</v>
      </c>
      <c r="DR358" s="715" t="e">
        <f t="shared" ca="1" si="6087"/>
        <v>#REF!</v>
      </c>
      <c r="DS358" s="716" t="str">
        <f ca="1">IFERROR(VLOOKUP(INDEX(DO347:DO358,DR358),WSM,2,FALSE),"----")</f>
        <v>----</v>
      </c>
      <c r="DT358" s="714" t="e">
        <f t="shared" ca="1" si="6088"/>
        <v>#N/A</v>
      </c>
      <c r="DU358" s="715" t="e">
        <f ca="1">IF(AND(INDEX(STM,DT358,4)&gt;=$AB353,INDEX(STM,DT358,5)&gt;=$S347,INDEX(STM,DT358,6)&gt;=$R347),1,0)</f>
        <v>#N/A</v>
      </c>
      <c r="DV358" s="715" t="e">
        <f t="shared" ref="DV358" ca="1" si="6251">MATCH(1,OFFSET(DU347:DU358,DW357,0,COUNT(DU347:DU358)-DW357),0)</f>
        <v>#REF!</v>
      </c>
      <c r="DW358" s="715" t="e">
        <f t="shared" ca="1" si="6090"/>
        <v>#REF!</v>
      </c>
      <c r="DX358" s="716" t="str">
        <f ca="1">IFERROR(VLOOKUP(INDEX(DT347:DT358,DW358),STM,2,FALSE),"----")</f>
        <v>----</v>
      </c>
      <c r="DY358" s="714" t="e">
        <f t="shared" ca="1" si="6091"/>
        <v>#N/A</v>
      </c>
      <c r="DZ358" s="715" t="e">
        <f ca="1">IF(AND(INDEX(ELM,DY358,4)&gt;=$AB353,INDEX(ELM,DY358,5)&gt;=$S347,INDEX(ELM,DY358,6)&gt;=$R347),1,0)</f>
        <v>#N/A</v>
      </c>
      <c r="EA358" s="715" t="e">
        <f t="shared" ref="EA358" ca="1" si="6252">MATCH(1,OFFSET(DZ347:DZ358,EB357,0,COUNT(DZ347:DZ358)-EB357),0)</f>
        <v>#REF!</v>
      </c>
      <c r="EB358" s="715" t="e">
        <f t="shared" ca="1" si="6093"/>
        <v>#REF!</v>
      </c>
      <c r="EC358" s="716" t="str">
        <f ca="1">IFERROR(VLOOKUP(INDEX(DY347:DY358,EB358),ELM,2,FALSE),"----")</f>
        <v>----</v>
      </c>
      <c r="ED358" s="714" t="e">
        <f t="shared" ca="1" si="6094"/>
        <v>#N/A</v>
      </c>
      <c r="EE358" s="715" t="e">
        <f ca="1">IF(LEFT($J347,7)="Clad Wo",IF(AND(INDEX(SPPWS,ED358,4)&gt;=$AB353,INDEX(SPPWS,ED358,5)&gt;=$S347,INDEX(SPPWS,ED358,6)&gt;=$R347),1,0),IF(AND(INDEX(SPM,ED358,4)&gt;=$AB353,INDEX(SPM,ED358,5)&gt;=$S347,INDEX(SPM,ED358,6)&gt;=$R347),1,0))</f>
        <v>#N/A</v>
      </c>
      <c r="EF358" s="715" t="e">
        <f t="shared" ref="EF358" ca="1" si="6253">MATCH(1,OFFSET(EE347:EE358,EG357,0,COUNT(EE347:EE358)-EG357),0)</f>
        <v>#REF!</v>
      </c>
      <c r="EG358" s="715" t="e">
        <f t="shared" ca="1" si="6096"/>
        <v>#REF!</v>
      </c>
      <c r="EH358" s="716" t="str">
        <f ca="1">IF(LEFT($J347,7)="Clad Wo",IFERROR(VLOOKUP(INDEX(ED347:ED358,EG358),SPPWS,2,FALSE),"----"),IFERROR(VLOOKUP(INDEX(ED347:ED358,EG358),SPM,2,FALSE),"----"))</f>
        <v>----</v>
      </c>
    </row>
    <row r="359" spans="1:138" ht="15" customHeight="1" thickTop="1" x14ac:dyDescent="0.25">
      <c r="A359" s="1085"/>
      <c r="B359" s="931" t="s">
        <v>92</v>
      </c>
      <c r="C359" s="932"/>
      <c r="D359" s="933"/>
      <c r="E359" s="992"/>
      <c r="F359" s="993"/>
      <c r="G359" s="994"/>
      <c r="H359" s="1061"/>
      <c r="I359" s="989"/>
      <c r="J359" s="906"/>
      <c r="K359" s="907"/>
      <c r="L359" s="1001">
        <f>$W$3</f>
        <v>4</v>
      </c>
      <c r="M359" s="923" t="str">
        <f t="shared" ref="M359" si="6254">IFERROR(IF($AE$13="",IF($AG$19="Wind Loading",MIN($V$31,IF(E$11="ASCE 7-05",$U$26,$V$7)*$V$9*(IF($E$12&lt;60,0.0771*LN(MAX(MIN(500,O359),10)) -1.2737,IF($E$11="ASCE 7-22",0.0524*LN(MAX(MIN(500,O359),50))-1.0278,0.0614*LN(MAX(MIN(500,O359),20)) -1.0829))-$V$8)),$V$7*IF(E$12&lt;60,$V$13*($V$15*0.0771*LN(MAX(MIN(500,O359),10))-1.2737-$V$16),$V$13*$V$15*((0.0524*LN(MAX(MIN(500,O359),20))-1.0278)-$V$16))),-ABS($AE$13)),"")</f>
        <v/>
      </c>
      <c r="N359" s="1042" t="str">
        <f t="shared" ref="N359" si="6255">IFERROR(IF($AE$15="",IF($AG$19="Wind Loading",MAX($U$31,IF(E$11="ASCE 7-05",$U$26,$V$7)*$V$9*((IF($E$12&lt;60,-0.077*LN(MAX(MIN(500,O359),10))+1.1737,IF($E$11="ASCE 7-22",-0.077*LN(MAX(MIN(500,O359),20))+1.0798,-0.093*LN(MAX(MIN(500,O359),20))+1.1776)))+$V$8)),$V$7*IF(E$12&lt;60,$V$13*($V$15*(-0.077*LN(MAX(MIN(500,O359),10))+1.1737)-$V$17),$V$13*$V$15*((-0.077*LN(MAX(MIN(500,O359),20))+1.0798)-$V$17))),ABS($AE$15)),"")</f>
        <v/>
      </c>
      <c r="O359" s="1017" t="str">
        <f>IF(BX366=0,"",IF(AG$14="Trapezoidal",BY366,BX366))</f>
        <v/>
      </c>
      <c r="P359" s="986"/>
      <c r="Q359" s="1014"/>
      <c r="R359" s="1011">
        <f>P359*Q359/8</f>
        <v>0</v>
      </c>
      <c r="S359" s="1004">
        <f t="shared" ref="S359" si="6256">IF(5*(P359*Q359^3/(384*0.125))=0,0,5*(P359*Q359^3/(384*0.125)))</f>
        <v>0</v>
      </c>
      <c r="T359" s="1005"/>
      <c r="U359" s="877" t="e">
        <f ca="1">VLOOKUP(J363,INDIRECT(VLOOKUP(J359,FrameStrength,2,FALSE)),3,FALSE)</f>
        <v>#N/A</v>
      </c>
      <c r="V359" s="880">
        <f t="shared" ref="V359" si="6257">(H359+I359)/2</f>
        <v>0</v>
      </c>
      <c r="W359" s="883" t="e">
        <f t="shared" ref="W359" si="6258">MAX(-M359,N359)*O359</f>
        <v>#VALUE!</v>
      </c>
      <c r="X359" s="883">
        <f t="shared" ref="X359" si="6259">IF(E359&gt;162,(E359/240+0.25),IF(AND(E359&lt;162,E359/175&lt;0.75),E359/175,0.75))</f>
        <v>0</v>
      </c>
      <c r="Y359" s="886">
        <f>IFERROR(IF(AG$14="Trapezoidal",BY367,BX367)+IF($E$17="4",(400*E359^3)/(48*X359),0),0)</f>
        <v>0</v>
      </c>
      <c r="Z359" s="886" t="e">
        <f t="shared" ref="Z359" si="6260">+($V359*MAX(-$M359,$N359)*$E359^2)/(144*8)+IF($E$17=4,(400*$E359)/4,0)</f>
        <v>#VALUE!</v>
      </c>
      <c r="AA359" s="886" t="e">
        <f ca="1">VLOOKUP(J363,INDIRECT(VLOOKUP(J359,FrameStrength,2,FALSE)),2,FALSE)</f>
        <v>#N/A</v>
      </c>
      <c r="AB359" s="1083" t="str">
        <f t="shared" ref="AB359" ca="1" si="6261">IFERROR(Z359-AA359,"")</f>
        <v/>
      </c>
      <c r="AC359" s="1077" t="str">
        <f t="shared" ref="AC359" ca="1" si="6262">IFERROR(Y359-U359,"")</f>
        <v/>
      </c>
      <c r="AD359" s="1100" t="str">
        <f>IFERROR(IF(LEFT(J363,2)="As",VLOOKUP(J363,EIMM,4,FALSE),VLOOKUP(J359,EIMM,4,FALSE)),IF(AND(ISNUMBER(SEARCH("Impervia",J359)),ISNUMBER(SEARCH("door",J363))),'New Lookup Cells'!AF$10,IF(ISNUMBER(SEARCH("Impervia",J359)),'New Lookup Cells'!AF$7,IF(AND(ISNUMBER(SEARCH("250",J359)),ISNUMBER(SEARCH("door",J363))),'New Lookup Cells'!AF$14,IF(ISNUMBER(SEARCH("250",J359)),'New Lookup Cells'!AF$13,"")))))</f>
        <v/>
      </c>
      <c r="AE359" s="1101"/>
      <c r="AF359" s="1050"/>
      <c r="AG359" s="1051"/>
      <c r="AH359" s="1051"/>
      <c r="AI359" s="1088"/>
      <c r="AJ359" s="1089"/>
      <c r="AK359" s="154" t="str">
        <f t="shared" ca="1" si="6208"/>
        <v/>
      </c>
      <c r="AL359" s="1038" t="str">
        <f t="shared" ref="AL359" si="6263">IFERROR(ROUND(SQRT(P359^2+(W359/2+IF($E$17=4,200,0))^2),0),"")</f>
        <v/>
      </c>
      <c r="AM359" s="342" t="s">
        <v>669</v>
      </c>
      <c r="AN359" t="str">
        <f t="shared" ca="1" si="6226"/>
        <v/>
      </c>
      <c r="AP359" s="122" t="str">
        <f t="shared" ref="AP359" si="6264">_xlfn.CONCAT(AR359,AS364)</f>
        <v/>
      </c>
      <c r="AQ359" s="683" t="str">
        <f t="shared" si="5170"/>
        <v/>
      </c>
      <c r="AR359" s="96" t="str">
        <f t="shared" si="6193"/>
        <v/>
      </c>
      <c r="AS359" s="96" t="str">
        <f>IF(COUNTIF(imp_1,AF359)=1,"imp_1",IF(COUNTIF(imp_2,AF359)=1,"imp_2",IF(COUNTIF(imp_3,AF359)=1,"imp_3",IF(COUNTIF(impdoor,AF359)=1,"impdoor",""))))</f>
        <v/>
      </c>
      <c r="AT359" s="684" t="str">
        <f>AL359</f>
        <v/>
      </c>
      <c r="AU359" s="685" t="e">
        <f ca="1">MATCH(AL359,INDIRECT(AP359),-1)</f>
        <v>#REF!</v>
      </c>
      <c r="AV359" s="686" t="str">
        <f ca="1">IFERROR(VLOOKUP(AU359,INDIRECT(AQ359),2,FALSE),"----")</f>
        <v>----</v>
      </c>
      <c r="AW359" s="685" t="e">
        <f ca="1">MATCH(AL359,INDIRECT(AP360),-1)</f>
        <v>#REF!</v>
      </c>
      <c r="AX359" s="686" t="str">
        <f ca="1">IFERROR(VLOOKUP(AW359,INDIRECT(AQ360),2,FALSE),"----")</f>
        <v>----</v>
      </c>
      <c r="AY359" s="685" t="e">
        <f ca="1">MATCH(AL359,INDIRECT(AP361),-1)</f>
        <v>#REF!</v>
      </c>
      <c r="AZ359" s="686" t="str">
        <f ca="1">IFERROR(VLOOKUP(AY359,INDIRECT(AQ361),2,FALSE),"----")</f>
        <v>----</v>
      </c>
      <c r="BA359" s="685" t="e">
        <f ca="1">MATCH(AL359,INDIRECT(AP362),-1)</f>
        <v>#REF!</v>
      </c>
      <c r="BB359" s="686" t="str">
        <f ca="1">IFERROR(VLOOKUP(BA359,INDIRECT(AQ362),2,FALSE),"----")</f>
        <v>----</v>
      </c>
      <c r="BC359" s="685" t="e">
        <f ca="1">MATCH(AL359,INDIRECT(AP363),-1)</f>
        <v>#REF!</v>
      </c>
      <c r="BD359" s="686" t="str">
        <f ca="1">IFERROR(VLOOKUP(BC359,INDIRECT(AQ363),2,FALSE),"----")</f>
        <v>----</v>
      </c>
      <c r="BE359" s="685" t="e">
        <f ca="1">MATCH(AL359,INDIRECT(AP364),-1)</f>
        <v>#REF!</v>
      </c>
      <c r="BF359" s="686" t="str">
        <f ca="1">IFERROR(VLOOKUP(BE359,INDIRECT(AQ364),2,FALSE),"----")</f>
        <v>----</v>
      </c>
      <c r="BG359" s="685" t="e">
        <f ca="1">MATCH(AL365,INDIRECT(AP365),-1)</f>
        <v>#REF!</v>
      </c>
      <c r="BH359" s="686" t="str">
        <f ca="1">IFERROR(VLOOKUP(BG359,INDIRECT(AQ365),2,FALSE),"----")</f>
        <v>----</v>
      </c>
      <c r="BI359" s="685" t="e">
        <f ca="1">MATCH(AL365,INDIRECT(AP366),-1)</f>
        <v>#REF!</v>
      </c>
      <c r="BJ359" s="686" t="str">
        <f ca="1">IFERROR(VLOOKUP(BI359,INDIRECT(AQ366),2,FALSE),"----")</f>
        <v>----</v>
      </c>
      <c r="BK359" s="685" t="e">
        <f ca="1">MATCH(AL365,INDIRECT(AP367),-1)</f>
        <v>#REF!</v>
      </c>
      <c r="BL359" s="686" t="str">
        <f ca="1">IFERROR(VLOOKUP(BK359,INDIRECT(AQ367),2,FALSE),"----")</f>
        <v>----</v>
      </c>
      <c r="BM359" s="685" t="e">
        <f ca="1">MATCH(AL365,INDIRECT(AP368),-1)</f>
        <v>#REF!</v>
      </c>
      <c r="BN359" s="686" t="str">
        <f ca="1">IFERROR(VLOOKUP(BM359,INDIRECT(AQ368),2,FALSE),"----")</f>
        <v>----</v>
      </c>
      <c r="BO359" s="685" t="e">
        <f ca="1">MATCH(AL365,INDIRECT(AP369),-1)</f>
        <v>#REF!</v>
      </c>
      <c r="BP359" s="686" t="str">
        <f ca="1">IFERROR(VLOOKUP(BO359,INDIRECT(AQ369),2,FALSE),"----")</f>
        <v>----</v>
      </c>
      <c r="BQ359" s="685" t="e">
        <f ca="1">MATCH(AL365,INDIRECT(AP370),-1)</f>
        <v>#REF!</v>
      </c>
      <c r="BR359" s="686" t="str">
        <f ca="1">IFERROR(VLOOKUP(BQ359,INDIRECT(AQ370),2,FALSE),"----")</f>
        <v>----</v>
      </c>
      <c r="BS359" s="687">
        <f>IF(AI359="",1,IF(COUNTIF(AV359:AV370,AI359)=0,2,1))</f>
        <v>1</v>
      </c>
      <c r="BT359" s="688">
        <f>IF(AP359="1",1,IF(AF359="",1,IF(AV359=".",2,1)))</f>
        <v>1</v>
      </c>
      <c r="BU359" s="706"/>
      <c r="BV359" s="155">
        <f ca="1">IF(COUNTIF(CE359:CE370,AF359)=0,IF(AF359&lt;&gt;"",0,1),1)</f>
        <v>1</v>
      </c>
      <c r="BW359" s="157">
        <f ca="1">IFERROR(MATCH(AF359,CE359:CE370,0),1)</f>
        <v>1</v>
      </c>
      <c r="BX359" s="769" t="str">
        <f>IFERROR(IF(LEFT(J363,2)="As",VLOOKUP(J363,EIMM,2,FALSE),IF(AND(ISNUMBER(SEARCH("Impervia",J359)),ISNUMBER(SEARCH("door",J363))),VLOOKUP("Impervia Door",EIMM,2,FALSE),IF(AND(ISNUMBER(SEARCH("250",J359)),ISNUMBER(SEARCH("door",J363))),VLOOKUP("250 Series Door",EIMM,2,FALSE),VLOOKUP(J359,EIMM,2,FALSE)))),"")</f>
        <v/>
      </c>
      <c r="BY359" s="769" t="str">
        <f ca="1">IFERROR(VLOOKUP(BX359,OFFSET(EIMM,0,1),2,FALSE),"")</f>
        <v/>
      </c>
      <c r="BZ359" s="1110" t="e">
        <f ca="1">IF((COUNTIF(INDIRECT(SUBSTITUTE(J359," ","_")),J363))=0,IF(J363="",1,0),1)</f>
        <v>#REF!</v>
      </c>
      <c r="CA359" s="691" t="e">
        <f ca="1">MATCH(AC359,INDIRECT(BX359),-1)</f>
        <v>#REF!</v>
      </c>
      <c r="CB359" s="4" t="e" cm="1">
        <f t="array" aca="1" ref="CB359" ca="1">IF(AND(INDEX(INDIRECT(BY359),CA359,4)&gt;=$AB359,INDEX(INDIRECT(BY359),CA359,5)&gt;=$S359,INDEX(INDIRECT(BY359),CA359,6)&gt;=$R359),1,0)</f>
        <v>#REF!</v>
      </c>
      <c r="CC359" s="4" t="e">
        <f t="shared" ref="CC359" ca="1" si="6265">MATCH(1,OFFSET(CB359:CB370,$W$2,0,COUNT(CB359:CB370)-$W$2),0)</f>
        <v>#REF!</v>
      </c>
      <c r="CD359" s="4" t="e">
        <f t="shared" ref="CD359" ca="1" si="6266">$W$2+CC359</f>
        <v>#REF!</v>
      </c>
      <c r="CE359" s="692" t="str" cm="1">
        <f t="array" aca="1" ref="CE359" ca="1">IFERROR(VLOOKUP(INDEX(CA359:CA370,CD359),INDIRECT(BY359),2,FALSE),"----")</f>
        <v>----</v>
      </c>
      <c r="CF359" s="691" t="e">
        <f ca="1">MATCH($AC359,SSEI,-1)</f>
        <v>#N/A</v>
      </c>
      <c r="CG359" s="4" t="e">
        <f ca="1">IF(AND(INDEX(SSM,CF359,4)&gt;=$AB359,INDEX(SSM,CF359,5)&gt;=$S359,INDEX(SSM,CF359,6)&gt;=$R359),1,0)</f>
        <v>#N/A</v>
      </c>
      <c r="CH359" s="4" t="e">
        <f t="shared" ref="CH359" ca="1" si="6267">MATCH(1,OFFSET(CG359:CG370,$W$2,0,COUNT(CG359:CG370)-$W$2),0)</f>
        <v>#REF!</v>
      </c>
      <c r="CI359" s="4" t="e">
        <f t="shared" ref="CI359" ca="1" si="6268">$W$2+CH359</f>
        <v>#REF!</v>
      </c>
      <c r="CJ359" s="692" t="str">
        <f ca="1">IFERROR(IF(AD360="Nested Steel Stud (wood infill)",VLOOKUP(INDEX(CF359:CF370,CI359),SSW,2,FALSE),VLOOKUP(INDEX(CF359:CF370,CI359),SSM,2,FALSE)),"----")</f>
        <v>----</v>
      </c>
      <c r="CK359" s="691" t="e">
        <f ca="1">MATCH($AC359,WSEI,-1)</f>
        <v>#N/A</v>
      </c>
      <c r="CL359" s="4" t="e">
        <f ca="1">IF(AND(INDEX(WSM,CK359,4)&gt;=$AB359,INDEX(WSM,CK359,5)&gt;=$S359,INDEX(WSM,CK359,6)&gt;=$R359),1,0)</f>
        <v>#N/A</v>
      </c>
      <c r="CM359" s="4" t="e">
        <f t="shared" ref="CM359" ca="1" si="6269">MATCH(1,OFFSET(CL359:CL370,$W$2,0,COUNT(CL359:CL370)-$W$2),0)</f>
        <v>#REF!</v>
      </c>
      <c r="CN359" s="4" t="e">
        <f t="shared" ref="CN359" ca="1" si="6270">$W$2+CM359</f>
        <v>#REF!</v>
      </c>
      <c r="CO359" s="692" t="str">
        <f ca="1">IFERROR(VLOOKUP(INDEX(CK359:CK370,CN359),WSM,2,FALSE),"----")</f>
        <v>----</v>
      </c>
      <c r="CP359" s="691" t="e">
        <f ca="1">MATCH($AC359,STEI,-1)</f>
        <v>#N/A</v>
      </c>
      <c r="CQ359" s="4" t="e">
        <f ca="1">IF(AND(INDEX(STM,CP359,4)&gt;=$AB359,INDEX(STM,CP359,5)&gt;=$S359,INDEX(STM,CP359,6)&gt;=$R359),1,0)</f>
        <v>#N/A</v>
      </c>
      <c r="CR359" s="4" t="e">
        <f t="shared" ref="CR359" ca="1" si="6271">MATCH(1,OFFSET(CQ359:CQ370,$W$2,0,COUNT(CQ359:CQ370)-$W$2),0)</f>
        <v>#REF!</v>
      </c>
      <c r="CS359" s="4" t="e">
        <f t="shared" ref="CS359" ca="1" si="6272">$W$2+CR359</f>
        <v>#REF!</v>
      </c>
      <c r="CT359" s="692" t="str">
        <f ca="1">IFERROR(VLOOKUP(INDEX(CP359:CP370,CS359),STM,2,FALSE),"----")</f>
        <v>----</v>
      </c>
      <c r="CU359" s="691" t="e">
        <f ca="1">MATCH($AC359,ELEI,-1)</f>
        <v>#N/A</v>
      </c>
      <c r="CV359" s="4" t="e">
        <f ca="1">IF(AND(INDEX(ELM,CU359,4)&gt;=$AB359,INDEX(ELM,CU359,5)&gt;=$S359,INDEX(ELM,CU359,6)&gt;=$R359),1,0)</f>
        <v>#N/A</v>
      </c>
      <c r="CW359" s="4" t="e">
        <f t="shared" ref="CW359" ca="1" si="6273">MATCH(1,OFFSET(CV359:CV370,$W$2,0,COUNT(CV359:CV370)-$W$2),0)</f>
        <v>#REF!</v>
      </c>
      <c r="CX359" s="4" t="e">
        <f t="shared" ref="CX359" ca="1" si="6274">$W$2+CW359</f>
        <v>#REF!</v>
      </c>
      <c r="CY359" s="692" t="str">
        <f ca="1">IFERROR(VLOOKUP(INDEX(CU359:CU370,CX359),ELM,2,FALSE),"----")</f>
        <v>----</v>
      </c>
      <c r="CZ359" s="691" t="e">
        <f ca="1">IF(LEFT($J359,7)="Clad Wo",MATCH($AC359,SPEIW,-1),MATCH($AC359,SPEI,-1))</f>
        <v>#N/A</v>
      </c>
      <c r="DA359" s="4" t="e">
        <f ca="1">IF(LEFT($J359,7)="Clad Wo",IF(AND(INDEX(SPPWS,CZ359,4)&gt;=$AB359,INDEX(SPPWS,CZ359,5)&gt;=$S359,INDEX(SPPWS,CZ359,6)&gt;=$R359),1,0),IF(AND(INDEX(SPM,CZ359,4)&gt;=$AB359,INDEX(SPM,CZ359,5)&gt;=$S359,INDEX(SPM,CZ359,6)&gt;=$R359),1,0))</f>
        <v>#N/A</v>
      </c>
      <c r="DB359" s="4" t="e">
        <f t="shared" ref="DB359" ca="1" si="6275">MATCH(1,OFFSET(DA359:DA370,$W$2,0,COUNT(DA359:DA370)-$W$2),0)</f>
        <v>#REF!</v>
      </c>
      <c r="DC359" s="4" t="e">
        <f t="shared" ref="DC359" ca="1" si="6276">$W$2+DB359</f>
        <v>#REF!</v>
      </c>
      <c r="DD359" s="693" t="str">
        <f ca="1">IF(LEFT($J359,7)="Clad Wo",IFERROR(VLOOKUP(INDEX(CZ359:CZ370,DC359),SPPWS,2,FALSE),"----"),IFERROR(VLOOKUP(INDEX(CZ359:CZ370,DC359),SPM,2,FALSE),"----"))</f>
        <v>----</v>
      </c>
      <c r="DE359" s="691" t="e">
        <f ca="1">MATCH(AC365,INDIRECT(BX359),-1)</f>
        <v>#REF!</v>
      </c>
      <c r="DF359" s="4" t="e" cm="1">
        <f t="array" aca="1" ref="DF359" ca="1">IF(AND(INDEX(INDIRECT(BY359),DE359,4)&gt;=$AB365,INDEX(INDIRECT(BY359),DE359,5)&gt;=$S359,INDEX(INDIRECT(BY359),DE359,6)&gt;=$R359),1,0)</f>
        <v>#REF!</v>
      </c>
      <c r="DG359" s="4" t="e">
        <f t="shared" ref="DG359" ca="1" si="6277">MATCH(1,OFFSET(DF359:DF370,$W$2,0,COUNT(DF359:DF370)-$W$2),0)</f>
        <v>#REF!</v>
      </c>
      <c r="DH359" s="4" t="e">
        <f t="shared" ref="DH359" ca="1" si="6278">$W$2+DG359</f>
        <v>#REF!</v>
      </c>
      <c r="DI359" s="692" t="str" cm="1">
        <f t="array" aca="1" ref="DI359" ca="1">IFERROR(VLOOKUP(INDEX(DE359:DE370,DH359),INDIRECT(BY359),2,FALSE),"----")</f>
        <v>----</v>
      </c>
      <c r="DJ359" s="691" t="e">
        <f ca="1">MATCH($AC365,SSEI,-1)</f>
        <v>#N/A</v>
      </c>
      <c r="DK359" s="4" t="e">
        <f ca="1">IF(AND(INDEX(SSM,DJ359,4)&gt;=$AB365,INDEX(SSM,DJ359,5)&gt;=$S359,INDEX(SSM,DJ359,6)&gt;=$R359),1,0)</f>
        <v>#N/A</v>
      </c>
      <c r="DL359" s="4" t="e">
        <f t="shared" ref="DL359" ca="1" si="6279">MATCH(1,OFFSET(DK359:DK370,$W$2,0,COUNT(DK359:DK370)-$W$2),0)</f>
        <v>#REF!</v>
      </c>
      <c r="DM359" s="4" t="e">
        <f t="shared" ref="DM359" ca="1" si="6280">$W$2+DL359</f>
        <v>#REF!</v>
      </c>
      <c r="DN359" s="692" t="str">
        <f ca="1">IFERROR(IF(AD366="Nested Steel Stud (wood infill)",VLOOKUP(INDEX(DJ359:DJ370,DM359),SSW,2,FALSE),VLOOKUP(INDEX(DJ359:DJ370,DM359),SSM,2,FALSE)),"----")</f>
        <v>----</v>
      </c>
      <c r="DO359" s="691" t="e">
        <f ca="1">MATCH($AC365,WSEI,-1)</f>
        <v>#N/A</v>
      </c>
      <c r="DP359" s="4" t="e">
        <f ca="1">IF(AND(INDEX(WSM,DO359,4)&gt;=$AB365,INDEX(WSM,DO359,5)&gt;=$S359,INDEX(WSM,DO359,6)&gt;=$R359),1,0)</f>
        <v>#N/A</v>
      </c>
      <c r="DQ359" s="4" t="e">
        <f t="shared" ref="DQ359" ca="1" si="6281">MATCH(1,OFFSET(DP359:DP370,$W$2,0,COUNT(DP359:DP370)-$W$2),0)</f>
        <v>#REF!</v>
      </c>
      <c r="DR359" s="4" t="e">
        <f t="shared" ref="DR359" ca="1" si="6282">$W$2+DQ359</f>
        <v>#REF!</v>
      </c>
      <c r="DS359" s="692" t="str">
        <f ca="1">IFERROR(VLOOKUP(INDEX(DO359:DO370,DR359),WSM,2,FALSE),"----")</f>
        <v>----</v>
      </c>
      <c r="DT359" s="691" t="e">
        <f ca="1">MATCH($AC365,STEI,-1)</f>
        <v>#N/A</v>
      </c>
      <c r="DU359" s="4" t="e">
        <f ca="1">IF(AND(INDEX(STM,DT359,4)&gt;=$AB365,INDEX(STM,DT359,5)&gt;=$S359,INDEX(STM,DT359,6)&gt;=$R359),1,0)</f>
        <v>#N/A</v>
      </c>
      <c r="DV359" s="4" t="e">
        <f t="shared" ref="DV359" ca="1" si="6283">MATCH(1,OFFSET(DU359:DU370,$W$2,0,COUNT(DU359:DU370)-$W$2),0)</f>
        <v>#REF!</v>
      </c>
      <c r="DW359" s="4" t="e">
        <f t="shared" ref="DW359" ca="1" si="6284">$W$2+DV359</f>
        <v>#REF!</v>
      </c>
      <c r="DX359" s="692" t="str">
        <f ca="1">IFERROR(VLOOKUP(INDEX(DT359:DT370,DW359),STM,2,FALSE),"----")</f>
        <v>----</v>
      </c>
      <c r="DY359" s="691" t="e">
        <f ca="1">MATCH($AC365,ELEI,-1)</f>
        <v>#N/A</v>
      </c>
      <c r="DZ359" s="4" t="e">
        <f ca="1">IF(AND(INDEX(ELM,DY359,4)&gt;=$AB365,INDEX(ELM,DY359,5)&gt;=$S359,INDEX(ELM,DY359,6)&gt;=$R359),1,0)</f>
        <v>#N/A</v>
      </c>
      <c r="EA359" s="4" t="e">
        <f t="shared" ref="EA359" ca="1" si="6285">MATCH(1,OFFSET(DZ359:DZ370,$W$2,0,COUNT(DZ359:DZ370)-$W$2),0)</f>
        <v>#REF!</v>
      </c>
      <c r="EB359" s="4" t="e">
        <f t="shared" ref="EB359" ca="1" si="6286">EA359+$W$2</f>
        <v>#REF!</v>
      </c>
      <c r="EC359" s="692" t="str">
        <f ca="1">IFERROR(VLOOKUP(INDEX(DY359:DY370,EB359),ELM,2,FALSE),"----")</f>
        <v>----</v>
      </c>
      <c r="ED359" s="691" t="e">
        <f ca="1">IF(LEFT($J359,7)="Clad Wo",MATCH($AC365,SPEIW,-1),MATCH($AC365,SPEI,-1))</f>
        <v>#N/A</v>
      </c>
      <c r="EE359" s="4" t="e">
        <f ca="1">IF(LEFT($J359,7)="Clad Wo",IF(AND(INDEX(SPPWS,ED359,4)&gt;=$AB365,INDEX(SPPWS,ED359,5)&gt;=$S359,INDEX(SPPWS,ED359,6)&gt;=$R359),1,0),IF(AND(INDEX(SPM,ED359,4)&gt;=$AB365,INDEX(SPM,ED359,5)&gt;=$S359,INDEX(SPM,ED359,6)&gt;=$R359),1,0))</f>
        <v>#N/A</v>
      </c>
      <c r="EF359" s="4" t="e">
        <f t="shared" ref="EF359" ca="1" si="6287">MATCH(1,OFFSET(EE359:EE370,$W$2,0,COUNT(EE359:EE370)-$W$2),0)</f>
        <v>#REF!</v>
      </c>
      <c r="EG359" s="4" t="e">
        <f t="shared" ref="EG359" ca="1" si="6288">$W$2+EF359</f>
        <v>#REF!</v>
      </c>
      <c r="EH359" s="692" t="str">
        <f ca="1">IF(LEFT($J359,7)="Clad Wo",IFERROR(VLOOKUP(INDEX(ED359:ED370,EG359),SPPWS,2,FALSE),"----"),IFERROR(VLOOKUP(INDEX(ED359:ED370,EG359),SPM,2,FALSE),"----"))</f>
        <v>----</v>
      </c>
    </row>
    <row r="360" spans="1:138" ht="15" customHeight="1" x14ac:dyDescent="0.25">
      <c r="A360" s="1085"/>
      <c r="B360" s="925"/>
      <c r="C360" s="926"/>
      <c r="D360" s="927"/>
      <c r="E360" s="995"/>
      <c r="F360" s="996"/>
      <c r="G360" s="997"/>
      <c r="H360" s="1062"/>
      <c r="I360" s="990"/>
      <c r="J360" s="908"/>
      <c r="K360" s="909"/>
      <c r="L360" s="1002"/>
      <c r="M360" s="923"/>
      <c r="N360" s="1042"/>
      <c r="O360" s="1018"/>
      <c r="P360" s="987"/>
      <c r="Q360" s="1015"/>
      <c r="R360" s="1012"/>
      <c r="S360" s="1006"/>
      <c r="T360" s="1007"/>
      <c r="U360" s="878"/>
      <c r="V360" s="881"/>
      <c r="W360" s="884"/>
      <c r="X360" s="884"/>
      <c r="Y360" s="887"/>
      <c r="Z360" s="887"/>
      <c r="AA360" s="887"/>
      <c r="AB360" s="1081"/>
      <c r="AC360" s="1078"/>
      <c r="AD360" s="1102" t="s">
        <v>38</v>
      </c>
      <c r="AE360" s="1103"/>
      <c r="AF360" s="1052"/>
      <c r="AG360" s="1053"/>
      <c r="AH360" s="1053"/>
      <c r="AI360" s="1066"/>
      <c r="AJ360" s="1067"/>
      <c r="AK360" s="156" t="str">
        <f t="shared" ca="1" si="6208"/>
        <v/>
      </c>
      <c r="AL360" s="1039"/>
      <c r="AM360" s="343" t="str">
        <f ca="1">IFERROR(Q359/12*ROUND(VLOOKUP(AF360,OFFSET(SSM,0,1),6,FALSE),2),"")</f>
        <v/>
      </c>
      <c r="AN360" t="str">
        <f t="shared" ca="1" si="6226"/>
        <v/>
      </c>
      <c r="AP360" s="122" t="str">
        <f t="shared" ref="AP360" si="6289">_xlfn.CONCAT(AR360,AS364)</f>
        <v/>
      </c>
      <c r="AQ360" s="683" t="str">
        <f t="shared" si="5170"/>
        <v/>
      </c>
      <c r="AR360" s="96" t="str">
        <f t="shared" si="6193"/>
        <v/>
      </c>
      <c r="AS360" s="96" t="str">
        <f>IF(COUNTIF(Vista_1,AF359)=1,"Vista_1",IF(COUNTIF(Vista_2,AF359)=1,"Vista_2",""))</f>
        <v/>
      </c>
      <c r="AT360" s="684" t="str">
        <f>AL359</f>
        <v/>
      </c>
      <c r="AU360" s="694" t="e">
        <f t="shared" ref="AU360" ca="1" si="6290">AU359-1</f>
        <v>#REF!</v>
      </c>
      <c r="AV360" s="686" t="str">
        <f ca="1">IFERROR(VLOOKUP(AU360,INDIRECT(AQ359),2,FALSE),"----")</f>
        <v>----</v>
      </c>
      <c r="AW360" s="694" t="e">
        <f t="shared" ref="AW360:AW361" ca="1" si="6291">AW359-1</f>
        <v>#REF!</v>
      </c>
      <c r="AX360" s="686" t="str">
        <f ca="1">IFERROR(VLOOKUP(AW360,INDIRECT(AQ360),2,FALSE),"----")</f>
        <v>----</v>
      </c>
      <c r="AY360" s="694" t="e">
        <f t="shared" ref="AY360:AY361" ca="1" si="6292">AY359-1</f>
        <v>#REF!</v>
      </c>
      <c r="AZ360" s="686" t="str">
        <f ca="1">IFERROR(VLOOKUP(AY360,INDIRECT(AQ361),2,FALSE),"----")</f>
        <v>----</v>
      </c>
      <c r="BA360" s="694" t="e">
        <f t="shared" ref="BA360:BA361" ca="1" si="6293">BA359-1</f>
        <v>#REF!</v>
      </c>
      <c r="BB360" s="686" t="str">
        <f ca="1">IFERROR(VLOOKUP(BA360,INDIRECT(AQ362),2,FALSE),"----")</f>
        <v>----</v>
      </c>
      <c r="BC360" s="694" t="e">
        <f t="shared" ref="BC360:BC361" ca="1" si="6294">BC359-1</f>
        <v>#REF!</v>
      </c>
      <c r="BD360" s="686" t="str">
        <f ca="1">IFERROR(VLOOKUP(BC360,INDIRECT(AQ363),2,FALSE),"----")</f>
        <v>----</v>
      </c>
      <c r="BE360" s="694" t="e">
        <f t="shared" ref="BE360" ca="1" si="6295">BE359-1</f>
        <v>#REF!</v>
      </c>
      <c r="BF360" s="686" t="str">
        <f ca="1">IFERROR(VLOOKUP(BE360,INDIRECT(AQ364),2,FALSE),"----")</f>
        <v>----</v>
      </c>
      <c r="BG360" s="694" t="e">
        <f t="shared" ref="BG360" ca="1" si="6296">BG359-1</f>
        <v>#REF!</v>
      </c>
      <c r="BH360" s="686" t="str">
        <f ca="1">IFERROR(VLOOKUP(BG360,INDIRECT(AQ365),2,FALSE),"----")</f>
        <v>----</v>
      </c>
      <c r="BI360" s="694" t="e">
        <f t="shared" ref="BI360:BI361" ca="1" si="6297">BI359-1</f>
        <v>#REF!</v>
      </c>
      <c r="BJ360" s="686" t="str">
        <f ca="1">IFERROR(VLOOKUP(BI360,INDIRECT(AQ366),2,FALSE),"----")</f>
        <v>----</v>
      </c>
      <c r="BK360" s="694" t="e">
        <f t="shared" ref="BK360:BK361" ca="1" si="6298">BK359-1</f>
        <v>#REF!</v>
      </c>
      <c r="BL360" s="686" t="str">
        <f ca="1">IFERROR(VLOOKUP(BK360,INDIRECT(AQ367),2,FALSE),"----")</f>
        <v>----</v>
      </c>
      <c r="BM360" s="694" t="e">
        <f t="shared" ref="BM360:BM361" ca="1" si="6299">BM359-1</f>
        <v>#REF!</v>
      </c>
      <c r="BN360" s="686" t="str">
        <f ca="1">IFERROR(VLOOKUP(BM360,INDIRECT(AQ368),2,FALSE),"----")</f>
        <v>----</v>
      </c>
      <c r="BO360" s="694" t="e">
        <f t="shared" ref="BO360:BO361" ca="1" si="6300">BO359-1</f>
        <v>#REF!</v>
      </c>
      <c r="BP360" s="686" t="str">
        <f ca="1">IFERROR(VLOOKUP(BO360,INDIRECT(AQ369),2,FALSE),"----")</f>
        <v>----</v>
      </c>
      <c r="BQ360" s="694" t="e">
        <f t="shared" ref="BQ360" ca="1" si="6301">BQ359-1</f>
        <v>#REF!</v>
      </c>
      <c r="BR360" s="686" t="str">
        <f ca="1">IFERROR(VLOOKUP(BQ360,INDIRECT(AQ370),2,FALSE),"----")</f>
        <v>----</v>
      </c>
      <c r="BS360" s="695">
        <f>IF(AI360="",1,IF(COUNTIF(AX359:AX370,AI360)=0,2,1))</f>
        <v>1</v>
      </c>
      <c r="BT360" s="696">
        <f>IF(AF360="",1,IF(AX359=".",2,1))</f>
        <v>1</v>
      </c>
      <c r="BU360" s="706"/>
      <c r="BV360" s="155">
        <f ca="1">IF(COUNTIF(CJ359:CJ370,AF360)=0,IF(AF360&lt;&gt;"",0,1),1)</f>
        <v>1</v>
      </c>
      <c r="BW360" s="157">
        <f ca="1">IFERROR(MATCH(AF360,CJ359:CJ370,0),1)</f>
        <v>1</v>
      </c>
      <c r="BX360" s="769"/>
      <c r="BY360" s="769"/>
      <c r="BZ360" s="1110"/>
      <c r="CA360" s="691" t="e">
        <f t="shared" ref="CA360:CA370" ca="1" si="6302">CA359-1</f>
        <v>#REF!</v>
      </c>
      <c r="CB360" s="4" t="e" cm="1">
        <f t="array" aca="1" ref="CB360" ca="1">IF(AND(INDEX(INDIRECT(BY359),CA360,4)&gt;=$AB359,INDEX(INDIRECT(BY359),CA360,5)&gt;=$S359,INDEX(INDIRECT(BY359),CA360,6)&gt;=$R359),1,0)</f>
        <v>#REF!</v>
      </c>
      <c r="CC360" s="4" t="e">
        <f t="shared" ref="CC360" ca="1" si="6303">MATCH(1,OFFSET(CB359:CB370,CD359,0,COUNT(CB359:CB370)-CD359),0)</f>
        <v>#REF!</v>
      </c>
      <c r="CD360" s="4" t="e">
        <f t="shared" ref="CD360:CD370" ca="1" si="6304">CD359+CC360</f>
        <v>#REF!</v>
      </c>
      <c r="CE360" s="692" t="str" cm="1">
        <f t="array" aca="1" ref="CE360" ca="1">IFERROR(VLOOKUP(INDEX(CA359:CA370,CD360),INDIRECT(BY359),2,FALSE),"----")</f>
        <v>----</v>
      </c>
      <c r="CF360" s="691" t="e">
        <f t="shared" ref="CF360:CF370" ca="1" si="6305">CF359-1</f>
        <v>#N/A</v>
      </c>
      <c r="CG360" s="4" t="e">
        <f ca="1">IF(AND(INDEX(SSM,CF360,4)&gt;=$AB359,INDEX(SSM,CF360,5)&gt;=$S359,INDEX(SSM,CF360,6)&gt;=$R359),1,0)</f>
        <v>#N/A</v>
      </c>
      <c r="CH360" s="4" t="e">
        <f t="shared" ref="CH360" ca="1" si="6306">MATCH(1,OFFSET(CG359:CG370,CI359,0,COUNT(CG359:CG370)-CI359),0)</f>
        <v>#REF!</v>
      </c>
      <c r="CI360" s="4" t="e">
        <f t="shared" ref="CI360:CI370" ca="1" si="6307">CI359+CH360</f>
        <v>#REF!</v>
      </c>
      <c r="CJ360" s="692" t="str">
        <f ca="1">IFERROR(IF(AD360="Nested Steel Stud (wood infill)",VLOOKUP(INDEX(CF359:CF370,CI360),SSW,2,FALSE),VLOOKUP(INDEX(CF359:CF370,CI360),SSM,2,FALSE)),"----")</f>
        <v>----</v>
      </c>
      <c r="CK360" s="691" t="e">
        <f t="shared" ref="CK360:CK370" ca="1" si="6308">CK359-1</f>
        <v>#N/A</v>
      </c>
      <c r="CL360" s="4" t="e">
        <f ca="1">IF(AND(INDEX(WSM,CK360,4)&gt;=$AB359,INDEX(WSM,CK360,5)&gt;=$S359,INDEX(WSM,CK360,6)&gt;=$R359),1,0)</f>
        <v>#N/A</v>
      </c>
      <c r="CM360" s="4" t="e">
        <f t="shared" ref="CM360" ca="1" si="6309">MATCH(1,OFFSET(CL359:CL370,CN359,0,COUNT(CL359:CL370)-CN359),0)</f>
        <v>#REF!</v>
      </c>
      <c r="CN360" s="4" t="e">
        <f t="shared" ref="CN360:CN370" ca="1" si="6310">CM360+CN359</f>
        <v>#REF!</v>
      </c>
      <c r="CO360" s="692" t="str">
        <f ca="1">IFERROR(VLOOKUP(INDEX(CK359:CK370,CN360),WSM,2,FALSE),"----")</f>
        <v>----</v>
      </c>
      <c r="CP360" s="691" t="e">
        <f t="shared" ref="CP360:CP370" ca="1" si="6311">CP359-1</f>
        <v>#N/A</v>
      </c>
      <c r="CQ360" s="4" t="e">
        <f ca="1">IF(AND(INDEX(STM,CP360,4)&gt;=$AB359,INDEX(STM,CP360,5)&gt;=$S359,INDEX(STM,CP360,6)&gt;=$R359),1,0)</f>
        <v>#N/A</v>
      </c>
      <c r="CR360" s="4" t="e">
        <f t="shared" ref="CR360" ca="1" si="6312">MATCH(1,OFFSET(CQ359:CQ370,CS359,0,COUNT(CQ359:CQ370)-CS359),0)</f>
        <v>#REF!</v>
      </c>
      <c r="CS360" s="4" t="e">
        <f t="shared" ref="CS360:CS370" ca="1" si="6313">CR360+CS359</f>
        <v>#REF!</v>
      </c>
      <c r="CT360" s="692" t="str">
        <f ca="1">IFERROR(VLOOKUP(INDEX(CP359:CP370,CS360),STM,2,FALSE),"----")</f>
        <v>----</v>
      </c>
      <c r="CU360" s="691" t="e">
        <f t="shared" ref="CU360:CU370" ca="1" si="6314">CU359-1</f>
        <v>#N/A</v>
      </c>
      <c r="CV360" s="4" t="e">
        <f ca="1">IF(AND(INDEX(ELM,CU360,4)&gt;=$AB359,INDEX(ELM,CU360,5)&gt;=$S359,INDEX(ELM,CU360,6)&gt;=$R359),1,0)</f>
        <v>#N/A</v>
      </c>
      <c r="CW360" s="4" t="e">
        <f t="shared" ref="CW360" ca="1" si="6315">MATCH(1,OFFSET(CV359:CV370,CX359,0,COUNT(CV359:CV370)-CX359),0)</f>
        <v>#REF!</v>
      </c>
      <c r="CX360" s="4" t="e">
        <f t="shared" ref="CX360:CX370" ca="1" si="6316">CW360+CX359</f>
        <v>#REF!</v>
      </c>
      <c r="CY360" s="692" t="str">
        <f ca="1">IFERROR(VLOOKUP(INDEX(CU359:CU370,CX360),ELM,2,FALSE),"----")</f>
        <v>----</v>
      </c>
      <c r="CZ360" s="691" t="e">
        <f t="shared" ref="CZ360:CZ370" ca="1" si="6317">CZ359-1</f>
        <v>#N/A</v>
      </c>
      <c r="DA360" s="4" t="e">
        <f ca="1">IF(LEFT($J359,7)="Clad Wo",IF(AND(INDEX(SPPWS,CZ360,4)&gt;=$AB359,INDEX(SPPWS,CZ360,5)&gt;=$S359,INDEX(SPPWS,CZ360,6)&gt;=$R359),1,0),IF(AND(INDEX(SPM,CZ360,4)&gt;=$AB359,INDEX(SPM,CZ360,5)&gt;=$S359,INDEX(SPM,CZ360,6)&gt;=$R359),1,0))</f>
        <v>#N/A</v>
      </c>
      <c r="DB360" s="4" t="e">
        <f t="shared" ref="DB360" ca="1" si="6318">MATCH(1,OFFSET(DA359:DA370,DC359,0,COUNT(DA359:DA370)-DC359),0)</f>
        <v>#REF!</v>
      </c>
      <c r="DC360" s="4" t="e">
        <f t="shared" ref="DC360:DC370" ca="1" si="6319">DC359+DB360</f>
        <v>#REF!</v>
      </c>
      <c r="DD360" s="693" t="str">
        <f ca="1">IF(LEFT($J359,7)="Clad Wo",IFERROR(VLOOKUP(INDEX(CZ359:CZ370,DC360),SPPWS,2,FALSE),"----"),IFERROR(VLOOKUP(INDEX(CZ359:CZ370,DC360),SPM,2,FALSE),"----"))</f>
        <v>----</v>
      </c>
      <c r="DE360" s="691" t="e">
        <f t="shared" ref="DE360:DE370" ca="1" si="6320">DE359-1</f>
        <v>#REF!</v>
      </c>
      <c r="DF360" s="4" t="e" cm="1">
        <f t="array" aca="1" ref="DF360" ca="1">IF(AND(INDEX(INDIRECT(BY359),DE360,4)&gt;=$AB365,INDEX(INDIRECT(BY359),DE360,5)&gt;=$S359,INDEX(INDIRECT(BY359),DE360,6)&gt;=$R359),1,0)</f>
        <v>#REF!</v>
      </c>
      <c r="DG360" s="4" t="e">
        <f t="shared" ref="DG360" ca="1" si="6321">MATCH(1,OFFSET(DF359:DF370,DH359,0,COUNT(DF359:DF370)-DH359),0)</f>
        <v>#REF!</v>
      </c>
      <c r="DH360" s="4" t="e">
        <f t="shared" ref="DH360:DH370" ca="1" si="6322">DH359+DG360</f>
        <v>#REF!</v>
      </c>
      <c r="DI360" s="692" t="str" cm="1">
        <f t="array" aca="1" ref="DI360" ca="1">IFERROR(VLOOKUP(INDEX(DE359:DE370,DH360),INDIRECT(BY359),2,FALSE),"----")</f>
        <v>----</v>
      </c>
      <c r="DJ360" s="691" t="e">
        <f t="shared" ref="DJ360:DJ370" ca="1" si="6323">DJ359-1</f>
        <v>#N/A</v>
      </c>
      <c r="DK360" s="4" t="e">
        <f ca="1">IF(AND(INDEX(SSM,DJ360,4)&gt;=$AB365,INDEX(SSM,DJ360,5)&gt;=$S359,INDEX(SSM,DJ360,6)&gt;=$R359),1,0)</f>
        <v>#N/A</v>
      </c>
      <c r="DL360" s="4" t="e">
        <f t="shared" ref="DL360" ca="1" si="6324">MATCH(1,OFFSET(DK359:DK370,DM359,0,COUNT(DK359:DK370)-DM359),0)</f>
        <v>#REF!</v>
      </c>
      <c r="DM360" s="4" t="e">
        <f t="shared" ref="DM360:DM370" ca="1" si="6325">DL360+DM359</f>
        <v>#REF!</v>
      </c>
      <c r="DN360" s="692" t="str">
        <f ca="1">IFERROR(IF(AD366="Nested Steel Stud (wood infill)",VLOOKUP(INDEX(DJ359:DJ370,DM360),SSW,2,FALSE),VLOOKUP(INDEX(DJ359:DJ370,DM360),SSM,2,FALSE)),"----")</f>
        <v>----</v>
      </c>
      <c r="DO360" s="691" t="e">
        <f t="shared" ref="DO360:DO370" ca="1" si="6326">DO359-1</f>
        <v>#N/A</v>
      </c>
      <c r="DP360" s="4" t="e">
        <f ca="1">IF(AND(INDEX(WSM,DO360,4)&gt;=$AB365,INDEX(WSM,DO360,5)&gt;=$S359,INDEX(WSM,DO360,6)&gt;=$R359),1,0)</f>
        <v>#N/A</v>
      </c>
      <c r="DQ360" s="4" t="e">
        <f t="shared" ref="DQ360" ca="1" si="6327">MATCH(1,OFFSET(DP359:DP370,DR359,0,COUNT(DP359:DP370)-DR359),0)</f>
        <v>#REF!</v>
      </c>
      <c r="DR360" s="4" t="e">
        <f t="shared" ref="DR360:DR370" ca="1" si="6328">DQ360+DR359</f>
        <v>#REF!</v>
      </c>
      <c r="DS360" s="692" t="str">
        <f ca="1">IFERROR(VLOOKUP(INDEX(DO359:DO370,DR360),WSM,2,FALSE),"----")</f>
        <v>----</v>
      </c>
      <c r="DT360" s="691" t="e">
        <f t="shared" ref="DT360:DT370" ca="1" si="6329">DT359-1</f>
        <v>#N/A</v>
      </c>
      <c r="DU360" s="4" t="e">
        <f ca="1">IF(AND(INDEX(STM,DT360,4)&gt;=$AB365,INDEX(STM,DT360,5)&gt;=$S359,INDEX(STM,DT360,6)&gt;=$R359),1,0)</f>
        <v>#N/A</v>
      </c>
      <c r="DV360" s="4" t="e">
        <f t="shared" ref="DV360" ca="1" si="6330">MATCH(1,OFFSET(DU359:DU370,DW359,0,COUNT(DU359:DU370)-DW359),0)</f>
        <v>#REF!</v>
      </c>
      <c r="DW360" s="4" t="e">
        <f t="shared" ref="DW360:DW370" ca="1" si="6331">DV360+DW359</f>
        <v>#REF!</v>
      </c>
      <c r="DX360" s="692" t="str">
        <f ca="1">IFERROR(VLOOKUP(INDEX(DT359:DT370,DW360),STM,2,FALSE),"----")</f>
        <v>----</v>
      </c>
      <c r="DY360" s="691" t="e">
        <f t="shared" ref="DY360:DY370" ca="1" si="6332">DY359-1</f>
        <v>#N/A</v>
      </c>
      <c r="DZ360" s="4" t="e">
        <f ca="1">IF(AND(INDEX(ELM,DY360,4)&gt;=$AB365,INDEX(ELM,DY360,5)&gt;=$S359,INDEX(ELM,DY360,6)&gt;=$R359),1,0)</f>
        <v>#N/A</v>
      </c>
      <c r="EA360" s="4" t="e">
        <f t="shared" ref="EA360" ca="1" si="6333">MATCH(1,OFFSET(DZ359:DZ370,EB359,0,COUNT(DZ359:DZ370)-EB359),0)</f>
        <v>#REF!</v>
      </c>
      <c r="EB360" s="4" t="e">
        <f t="shared" ref="EB360:EB370" ca="1" si="6334">EA360+EB359</f>
        <v>#REF!</v>
      </c>
      <c r="EC360" s="692" t="str">
        <f ca="1">IFERROR(VLOOKUP(INDEX(DY359:DY370,EB360),ELM,2,FALSE),"----")</f>
        <v>----</v>
      </c>
      <c r="ED360" s="691" t="e">
        <f t="shared" ref="ED360:ED370" ca="1" si="6335">ED359-1</f>
        <v>#N/A</v>
      </c>
      <c r="EE360" s="4" t="e">
        <f ca="1">IF(LEFT($J359,7)="Clad Wo",IF(AND(INDEX(SPPWS,ED360,4)&gt;=$AB365,INDEX(SPPWS,ED360,5)&gt;=$S359,INDEX(SPPWS,ED360,6)&gt;=$R359),1,0),IF(AND(INDEX(SPM,ED360,4)&gt;=$AB365,INDEX(SPM,ED360,5)&gt;=$S359,INDEX(SPM,ED360,6)&gt;=$R359),1,0))</f>
        <v>#N/A</v>
      </c>
      <c r="EF360" s="4" t="e">
        <f t="shared" ref="EF360" ca="1" si="6336">MATCH(1,OFFSET(EE359:EE370,EG359,0,COUNT(EE359:EE370)-EG359),0)</f>
        <v>#REF!</v>
      </c>
      <c r="EG360" s="4" t="e">
        <f t="shared" ref="EG360:EG370" ca="1" si="6337">EG359+EF360</f>
        <v>#REF!</v>
      </c>
      <c r="EH360" s="692" t="str">
        <f ca="1">IF(LEFT($J359,7)="Clad Wo",IFERROR(VLOOKUP(INDEX(ED359:ED370,EG360),SPPWS,2,FALSE),"----"),IFERROR(VLOOKUP(INDEX(ED359:ED370,EG360),SPM,2,FALSE),"----"))</f>
        <v>----</v>
      </c>
    </row>
    <row r="361" spans="1:138" ht="15" customHeight="1" x14ac:dyDescent="0.25">
      <c r="A361" s="1085"/>
      <c r="B361" s="925"/>
      <c r="C361" s="926"/>
      <c r="D361" s="927"/>
      <c r="E361" s="995"/>
      <c r="F361" s="996"/>
      <c r="G361" s="997"/>
      <c r="H361" s="1062"/>
      <c r="I361" s="990"/>
      <c r="J361" s="908"/>
      <c r="K361" s="909"/>
      <c r="L361" s="1002"/>
      <c r="M361" s="923"/>
      <c r="N361" s="1042"/>
      <c r="O361" s="1018"/>
      <c r="P361" s="987"/>
      <c r="Q361" s="1015"/>
      <c r="R361" s="1012"/>
      <c r="S361" s="1006"/>
      <c r="T361" s="1007"/>
      <c r="U361" s="878"/>
      <c r="V361" s="881"/>
      <c r="W361" s="884"/>
      <c r="X361" s="884"/>
      <c r="Y361" s="887"/>
      <c r="Z361" s="887"/>
      <c r="AA361" s="887"/>
      <c r="AB361" s="1081"/>
      <c r="AC361" s="1078"/>
      <c r="AD361" s="1070" t="s">
        <v>333</v>
      </c>
      <c r="AE361" s="1071"/>
      <c r="AF361" s="1052"/>
      <c r="AG361" s="1053"/>
      <c r="AH361" s="1053"/>
      <c r="AI361" s="1066"/>
      <c r="AJ361" s="1067"/>
      <c r="AK361" s="154" t="str">
        <f t="shared" ca="1" si="6208"/>
        <v/>
      </c>
      <c r="AL361" s="1039"/>
      <c r="AM361" s="344" t="str">
        <f ca="1">IFERROR(Q359/12*ROUND(VLOOKUP(AF361,OFFSET(WSM,0,1),6,FALSE),2),"")</f>
        <v/>
      </c>
      <c r="AN361" t="str">
        <f t="shared" ca="1" si="6226"/>
        <v/>
      </c>
      <c r="AP361" s="122" t="str">
        <f t="shared" ref="AP361" si="6338">_xlfn.CONCAT(AR361,AS364)</f>
        <v/>
      </c>
      <c r="AQ361" s="683" t="str">
        <f t="shared" si="5170"/>
        <v/>
      </c>
      <c r="AR361" s="4" t="str">
        <f t="shared" si="6193"/>
        <v/>
      </c>
      <c r="AS361" s="4"/>
      <c r="AT361" s="697" t="str">
        <f>AL359</f>
        <v/>
      </c>
      <c r="AU361" s="694" t="e">
        <f t="shared" ca="1" si="5187"/>
        <v>#REF!</v>
      </c>
      <c r="AV361" s="686" t="str">
        <f ca="1">IFERROR(VLOOKUP(AU361,INDIRECT(AQ359),2,FALSE),"----")</f>
        <v>----</v>
      </c>
      <c r="AW361" s="694" t="e">
        <f t="shared" ca="1" si="6291"/>
        <v>#REF!</v>
      </c>
      <c r="AX361" s="686" t="str">
        <f ca="1">IFERROR(VLOOKUP(AW361,INDIRECT(AQ360),2,FALSE),"----")</f>
        <v>----</v>
      </c>
      <c r="AY361" s="694" t="e">
        <f t="shared" ca="1" si="6292"/>
        <v>#REF!</v>
      </c>
      <c r="AZ361" s="686" t="str">
        <f ca="1">IFERROR(VLOOKUP(AY361,INDIRECT(AQ361),2,FALSE),"----")</f>
        <v>----</v>
      </c>
      <c r="BA361" s="694" t="e">
        <f t="shared" ca="1" si="6293"/>
        <v>#REF!</v>
      </c>
      <c r="BB361" s="686" t="str">
        <f ca="1">IFERROR(VLOOKUP(BA361,INDIRECT(AQ362),2,FALSE),"----")</f>
        <v>----</v>
      </c>
      <c r="BC361" s="694" t="e">
        <f t="shared" ca="1" si="6294"/>
        <v>#REF!</v>
      </c>
      <c r="BD361" s="686" t="str">
        <f ca="1">IFERROR(VLOOKUP(BC361,INDIRECT(AQ363),2,FALSE),"----")</f>
        <v>----</v>
      </c>
      <c r="BE361" s="694" t="e">
        <f t="shared" ca="1" si="5192"/>
        <v>#REF!</v>
      </c>
      <c r="BF361" s="686" t="str">
        <f ca="1">IFERROR(VLOOKUP(BE361,INDIRECT(AQ364),2,FALSE),"----")</f>
        <v>----</v>
      </c>
      <c r="BG361" s="694" t="e">
        <f t="shared" ca="1" si="5193"/>
        <v>#REF!</v>
      </c>
      <c r="BH361" s="686" t="str">
        <f ca="1">IFERROR(VLOOKUP(BG361,INDIRECT(AQ365),2,FALSE),"----")</f>
        <v>----</v>
      </c>
      <c r="BI361" s="694" t="e">
        <f t="shared" ca="1" si="6297"/>
        <v>#REF!</v>
      </c>
      <c r="BJ361" s="686" t="str">
        <f ca="1">IFERROR(VLOOKUP(BI361,INDIRECT(AQ366),2,FALSE),"----")</f>
        <v>----</v>
      </c>
      <c r="BK361" s="694" t="e">
        <f t="shared" ca="1" si="6298"/>
        <v>#REF!</v>
      </c>
      <c r="BL361" s="686" t="str">
        <f ca="1">IFERROR(VLOOKUP(BK361,INDIRECT(AQ367),2,FALSE),"----")</f>
        <v>----</v>
      </c>
      <c r="BM361" s="694" t="e">
        <f t="shared" ca="1" si="6299"/>
        <v>#REF!</v>
      </c>
      <c r="BN361" s="686" t="str">
        <f ca="1">IFERROR(VLOOKUP(BM361,INDIRECT(AQ368),2,FALSE),"----")</f>
        <v>----</v>
      </c>
      <c r="BO361" s="694" t="e">
        <f t="shared" ca="1" si="6300"/>
        <v>#REF!</v>
      </c>
      <c r="BP361" s="686" t="str">
        <f ca="1">IFERROR(VLOOKUP(BO361,INDIRECT(AQ369),2,FALSE),"----")</f>
        <v>----</v>
      </c>
      <c r="BQ361" s="694" t="e">
        <f t="shared" ca="1" si="5198"/>
        <v>#REF!</v>
      </c>
      <c r="BR361" s="686" t="str">
        <f ca="1">IFERROR(VLOOKUP(BQ361,INDIRECT(AQ370),2,FALSE),"----")</f>
        <v>----</v>
      </c>
      <c r="BS361" s="695">
        <f>IF(AI361="",1,IF(COUNTIF(AZ359:AZ370,AI361)=0,2,1))</f>
        <v>1</v>
      </c>
      <c r="BT361" s="696">
        <f>IF(AF361="",1,IF(AZ359=".",2,1))</f>
        <v>1</v>
      </c>
      <c r="BU361" s="706"/>
      <c r="BV361" s="155">
        <f ca="1">IF(COUNTIF(CO359:CO370,AF361)=0,IF(AF361&lt;&gt;"",0,1),1)</f>
        <v>1</v>
      </c>
      <c r="BW361" s="157">
        <f ca="1">IFERROR(MATCH(AF361,CO359:CO370,0),1)</f>
        <v>1</v>
      </c>
      <c r="BX361" s="769"/>
      <c r="BY361" s="769"/>
      <c r="BZ361" s="1110"/>
      <c r="CA361" s="691" t="e">
        <f t="shared" ca="1" si="6302"/>
        <v>#REF!</v>
      </c>
      <c r="CB361" s="4" t="e" cm="1">
        <f t="array" aca="1" ref="CB361" ca="1">IF(AND(INDEX(INDIRECT(BY359),CA361,4)&gt;=$AB359,INDEX(INDIRECT(BY359),CA361,5)&gt;=$S359,INDEX(INDIRECT(BY359),CA361,6)&gt;=$R359),1,0)</f>
        <v>#REF!</v>
      </c>
      <c r="CC361" s="4" t="e">
        <f t="shared" ref="CC361" ca="1" si="6339">MATCH(1,OFFSET(CB359:CB370,CD360,0,COUNT(CB359:CB370)-CD360),0)</f>
        <v>#REF!</v>
      </c>
      <c r="CD361" s="4" t="e">
        <f t="shared" ca="1" si="6304"/>
        <v>#REF!</v>
      </c>
      <c r="CE361" s="692" t="str" cm="1">
        <f t="array" aca="1" ref="CE361" ca="1">IFERROR(VLOOKUP(INDEX(CA359:CA370,CD361),INDIRECT(BY359),2,FALSE),"----")</f>
        <v>----</v>
      </c>
      <c r="CF361" s="691" t="e">
        <f t="shared" ca="1" si="6305"/>
        <v>#N/A</v>
      </c>
      <c r="CG361" s="4" t="e">
        <f ca="1">IF(AND(INDEX(SSM,CF361,4)&gt;=$AB359,INDEX(SSM,CF361,5)&gt;=$S359,INDEX(SSM,CF361,6)&gt;=$R359),1,0)</f>
        <v>#N/A</v>
      </c>
      <c r="CH361" s="4" t="e">
        <f t="shared" ref="CH361" ca="1" si="6340">MATCH(1,OFFSET(CG359:CG370,CI360,0,COUNT(CG359:CG370)-CI360),0)</f>
        <v>#REF!</v>
      </c>
      <c r="CI361" s="4" t="e">
        <f t="shared" ca="1" si="6307"/>
        <v>#REF!</v>
      </c>
      <c r="CJ361" s="692" t="str">
        <f ca="1">IFERROR(IF(AD360="Nested Steel Stud (wood infill)",VLOOKUP(INDEX(CF359:CF370,CI361),SSW,2,FALSE),VLOOKUP(INDEX(CF359:CF370,CI361),SSM,2,FALSE)),"----")</f>
        <v>----</v>
      </c>
      <c r="CK361" s="691" t="e">
        <f t="shared" ca="1" si="6308"/>
        <v>#N/A</v>
      </c>
      <c r="CL361" s="4" t="e">
        <f ca="1">IF(AND(INDEX(WSM,CK361,4)&gt;=$AB359,INDEX(WSM,CK361,5)&gt;=$S359,INDEX(WSM,CK361,6)&gt;=$R359),1,0)</f>
        <v>#N/A</v>
      </c>
      <c r="CM361" s="4" t="e">
        <f t="shared" ref="CM361" ca="1" si="6341">MATCH(1,OFFSET(CL359:CL370,CN360,0,COUNT(CL359:CL370)-CN360),0)</f>
        <v>#REF!</v>
      </c>
      <c r="CN361" s="4" t="e">
        <f t="shared" ca="1" si="6310"/>
        <v>#REF!</v>
      </c>
      <c r="CO361" s="692" t="str">
        <f ca="1">IFERROR(VLOOKUP(INDEX(CK359:CK370,CN361),WSM,2,FALSE),"----")</f>
        <v>----</v>
      </c>
      <c r="CP361" s="691" t="e">
        <f t="shared" ca="1" si="6311"/>
        <v>#N/A</v>
      </c>
      <c r="CQ361" s="4" t="e">
        <f ca="1">IF(AND(INDEX(STM,CP361,4)&gt;=$AB359,INDEX(STM,CP361,5)&gt;=$S359,INDEX(STM,CP361,6)&gt;=$R359),1,0)</f>
        <v>#N/A</v>
      </c>
      <c r="CR361" s="4" t="e">
        <f t="shared" ref="CR361" ca="1" si="6342">MATCH(1,OFFSET(CQ359:CQ370,CS360,0,COUNT(CQ359:CQ370)-CS360),0)</f>
        <v>#REF!</v>
      </c>
      <c r="CS361" s="4" t="e">
        <f t="shared" ca="1" si="6313"/>
        <v>#REF!</v>
      </c>
      <c r="CT361" s="692" t="str">
        <f ca="1">IFERROR(VLOOKUP(INDEX(CP359:CP370,CS361),STM,2,FALSE),"----")</f>
        <v>----</v>
      </c>
      <c r="CU361" s="691" t="e">
        <f t="shared" ca="1" si="6314"/>
        <v>#N/A</v>
      </c>
      <c r="CV361" s="4" t="e">
        <f ca="1">IF(AND(INDEX(ELM,CU361,4)&gt;=$AB359,INDEX(ELM,CU361,5)&gt;=$S359,INDEX(ELM,CU361,6)&gt;=$R359),1,0)</f>
        <v>#N/A</v>
      </c>
      <c r="CW361" s="4" t="e">
        <f t="shared" ref="CW361" ca="1" si="6343">MATCH(1,OFFSET(CV359:CV370,CX360,0,COUNT(CV359:CV370)-CX360),0)</f>
        <v>#REF!</v>
      </c>
      <c r="CX361" s="4" t="e">
        <f t="shared" ca="1" si="6316"/>
        <v>#REF!</v>
      </c>
      <c r="CY361" s="692" t="str">
        <f ca="1">IFERROR(VLOOKUP(INDEX(CU359:CU370,CX361),ELM,2,FALSE),"----")</f>
        <v>----</v>
      </c>
      <c r="CZ361" s="691" t="e">
        <f t="shared" ca="1" si="6317"/>
        <v>#N/A</v>
      </c>
      <c r="DA361" s="4" t="e">
        <f ca="1">IF(LEFT($J359,7)="Clad Wo",IF(AND(INDEX(SPPWS,CZ361,4)&gt;=$AB359,INDEX(SPPWS,CZ361,5)&gt;=$S359,INDEX(SPPWS,CZ361,6)&gt;=$R359),1,0),IF(AND(INDEX(SPM,CZ361,4)&gt;=$AB359,INDEX(SPM,CZ361,5)&gt;=$S359,INDEX(SPM,CZ361,6)&gt;=$R359),1,0))</f>
        <v>#N/A</v>
      </c>
      <c r="DB361" s="4" t="e">
        <f t="shared" ref="DB361" ca="1" si="6344">MATCH(1,OFFSET(DA359:DA370,DC360,0,COUNT(DA359:DA370)-DC360),0)</f>
        <v>#REF!</v>
      </c>
      <c r="DC361" s="4" t="e">
        <f t="shared" ca="1" si="6319"/>
        <v>#REF!</v>
      </c>
      <c r="DD361" s="693" t="str">
        <f ca="1">IF(LEFT($J359,7)="Clad Wo",IFERROR(VLOOKUP(INDEX(CZ359:CZ370,DC361),SPPWS,2,FALSE),"----"),IFERROR(VLOOKUP(INDEX(CZ359:CZ370,DC361),SPM,2,FALSE),"----"))</f>
        <v>----</v>
      </c>
      <c r="DE361" s="691" t="e">
        <f t="shared" ca="1" si="6320"/>
        <v>#REF!</v>
      </c>
      <c r="DF361" s="4" t="e" cm="1">
        <f t="array" aca="1" ref="DF361" ca="1">IF(AND(INDEX(INDIRECT(BY359),DE361,4)&gt;=$AB365,INDEX(INDIRECT(BY359),DE361,5)&gt;=$S359,INDEX(INDIRECT(BY359),DE361,6)&gt;=$R359),1,0)</f>
        <v>#REF!</v>
      </c>
      <c r="DG361" s="4" t="e">
        <f t="shared" ref="DG361" ca="1" si="6345">MATCH(1,OFFSET(DF359:DF370,DH360,0,COUNT(DF359:DF370)-DH360),0)</f>
        <v>#REF!</v>
      </c>
      <c r="DH361" s="4" t="e">
        <f t="shared" ca="1" si="6322"/>
        <v>#REF!</v>
      </c>
      <c r="DI361" s="692" t="str" cm="1">
        <f t="array" aca="1" ref="DI361" ca="1">IFERROR(VLOOKUP(INDEX(DE359:DE370,DH361),INDIRECT(BY359),2,FALSE),"----")</f>
        <v>----</v>
      </c>
      <c r="DJ361" s="691" t="e">
        <f t="shared" ca="1" si="6323"/>
        <v>#N/A</v>
      </c>
      <c r="DK361" s="4" t="e">
        <f ca="1">IF(AND(INDEX(SSM,DJ361,4)&gt;=$AB365,INDEX(SSM,DJ361,5)&gt;=$S359,INDEX(SSM,DJ361,6)&gt;=$R359),1,0)</f>
        <v>#N/A</v>
      </c>
      <c r="DL361" s="4" t="e">
        <f t="shared" ref="DL361" ca="1" si="6346">MATCH(1,OFFSET(DK359:DK370,DM360,0,COUNT(DK359:DK370)-DM360),0)</f>
        <v>#REF!</v>
      </c>
      <c r="DM361" s="4" t="e">
        <f t="shared" ca="1" si="6325"/>
        <v>#REF!</v>
      </c>
      <c r="DN361" s="692" t="str">
        <f ca="1">IFERROR(IF(AD366="Nested Steel Stud (wood infill)",VLOOKUP(INDEX(DJ359:DJ370,DM361),SSW,2,FALSE),VLOOKUP(INDEX(DJ359:DJ370,DM361),SSM,2,FALSE)),"----")</f>
        <v>----</v>
      </c>
      <c r="DO361" s="691" t="e">
        <f t="shared" ca="1" si="6326"/>
        <v>#N/A</v>
      </c>
      <c r="DP361" s="4" t="e">
        <f ca="1">IF(AND(INDEX(WSM,DO361,4)&gt;=$AB365,INDEX(WSM,DO361,5)&gt;=$S359,INDEX(WSM,DO361,6)&gt;=$R359),1,0)</f>
        <v>#N/A</v>
      </c>
      <c r="DQ361" s="4" t="e">
        <f t="shared" ref="DQ361" ca="1" si="6347">MATCH(1,OFFSET(DP359:DP370,DR360,0,COUNT(DP359:DP370)-DR360),0)</f>
        <v>#REF!</v>
      </c>
      <c r="DR361" s="4" t="e">
        <f t="shared" ca="1" si="6328"/>
        <v>#REF!</v>
      </c>
      <c r="DS361" s="692" t="str">
        <f ca="1">IFERROR(VLOOKUP(INDEX(DO359:DO370,DR361),WSM,2,FALSE),"----")</f>
        <v>----</v>
      </c>
      <c r="DT361" s="691" t="e">
        <f t="shared" ca="1" si="6329"/>
        <v>#N/A</v>
      </c>
      <c r="DU361" s="4" t="e">
        <f ca="1">IF(AND(INDEX(STM,DT361,4)&gt;=$AB365,INDEX(STM,DT361,5)&gt;=$S359,INDEX(STM,DT361,6)&gt;=$R359),1,0)</f>
        <v>#N/A</v>
      </c>
      <c r="DV361" s="4" t="e">
        <f t="shared" ref="DV361" ca="1" si="6348">MATCH(1,OFFSET(DU359:DU370,DW360,0,COUNT(DU359:DU370)-DW360),0)</f>
        <v>#REF!</v>
      </c>
      <c r="DW361" s="4" t="e">
        <f t="shared" ca="1" si="6331"/>
        <v>#REF!</v>
      </c>
      <c r="DX361" s="692" t="str">
        <f ca="1">IFERROR(VLOOKUP(INDEX(DT359:DT370,DW361),STM,2,FALSE),"----")</f>
        <v>----</v>
      </c>
      <c r="DY361" s="691" t="e">
        <f t="shared" ca="1" si="6332"/>
        <v>#N/A</v>
      </c>
      <c r="DZ361" s="4" t="e">
        <f ca="1">IF(AND(INDEX(ELM,DY361,4)&gt;=$AB365,INDEX(ELM,DY361,5)&gt;=$S359,INDEX(ELM,DY361,6)&gt;=$R359),1,0)</f>
        <v>#N/A</v>
      </c>
      <c r="EA361" s="4" t="e">
        <f t="shared" ref="EA361" ca="1" si="6349">MATCH(1,OFFSET(DZ359:DZ370,EB360,0,COUNT(DZ359:DZ370)-EB360),0)</f>
        <v>#REF!</v>
      </c>
      <c r="EB361" s="4" t="e">
        <f t="shared" ca="1" si="6334"/>
        <v>#REF!</v>
      </c>
      <c r="EC361" s="692" t="str">
        <f ca="1">IFERROR(VLOOKUP(INDEX(DY359:DY370,EB361),ELM,2,FALSE),"----")</f>
        <v>----</v>
      </c>
      <c r="ED361" s="691" t="e">
        <f t="shared" ca="1" si="6335"/>
        <v>#N/A</v>
      </c>
      <c r="EE361" s="4" t="e">
        <f ca="1">IF(LEFT($J359,7)="Clad Wo",IF(AND(INDEX(SPPWS,ED361,4)&gt;=$AB365,INDEX(SPPWS,ED361,5)&gt;=$S359,INDEX(SPPWS,ED361,6)&gt;=$R359),1,0),IF(AND(INDEX(SPM,ED361,4)&gt;=$AB365,INDEX(SPM,ED361,5)&gt;=$S359,INDEX(SPM,ED361,6)&gt;=$R359),1,0))</f>
        <v>#N/A</v>
      </c>
      <c r="EF361" s="4" t="e">
        <f t="shared" ref="EF361" ca="1" si="6350">MATCH(1,OFFSET(EE359:EE370,EG360,0,COUNT(EE359:EE370)-EG360),0)</f>
        <v>#REF!</v>
      </c>
      <c r="EG361" s="4" t="e">
        <f t="shared" ca="1" si="6337"/>
        <v>#REF!</v>
      </c>
      <c r="EH361" s="692" t="str">
        <f ca="1">IF(LEFT($J359,7)="Clad Wo",IFERROR(VLOOKUP(INDEX(ED359:ED370,EG361),SPPWS,2,FALSE),"----"),IFERROR(VLOOKUP(INDEX(ED359:ED370,EG361),SPM,2,FALSE),"----"))</f>
        <v>----</v>
      </c>
    </row>
    <row r="362" spans="1:138" ht="15" customHeight="1" x14ac:dyDescent="0.25">
      <c r="A362" s="1085"/>
      <c r="B362" s="925"/>
      <c r="C362" s="926"/>
      <c r="D362" s="927"/>
      <c r="E362" s="995"/>
      <c r="F362" s="996"/>
      <c r="G362" s="997"/>
      <c r="H362" s="1062"/>
      <c r="I362" s="990"/>
      <c r="J362" s="908"/>
      <c r="K362" s="909"/>
      <c r="L362" s="1002"/>
      <c r="M362" s="923"/>
      <c r="N362" s="1042"/>
      <c r="O362" s="1018"/>
      <c r="P362" s="987"/>
      <c r="Q362" s="1015"/>
      <c r="R362" s="1012"/>
      <c r="S362" s="1006"/>
      <c r="T362" s="1007"/>
      <c r="U362" s="878"/>
      <c r="V362" s="881"/>
      <c r="W362" s="884"/>
      <c r="X362" s="884"/>
      <c r="Y362" s="887"/>
      <c r="Z362" s="887"/>
      <c r="AA362" s="887"/>
      <c r="AB362" s="1081"/>
      <c r="AC362" s="1078"/>
      <c r="AD362" s="1070" t="s">
        <v>37</v>
      </c>
      <c r="AE362" s="1071"/>
      <c r="AF362" s="1052"/>
      <c r="AG362" s="1053"/>
      <c r="AH362" s="1053"/>
      <c r="AI362" s="1066"/>
      <c r="AJ362" s="1067"/>
      <c r="AK362" s="156" t="str">
        <f t="shared" ca="1" si="6208"/>
        <v/>
      </c>
      <c r="AL362" s="1039"/>
      <c r="AM362" s="343" t="str">
        <f ca="1">IFERROR(Q359/12*ROUND(VLOOKUP(AF362,OFFSET(STM,0,1),6,FALSE),2),"")</f>
        <v/>
      </c>
      <c r="AN362" t="str">
        <f t="shared" ca="1" si="6226"/>
        <v/>
      </c>
      <c r="AP362" s="122" t="str">
        <f t="shared" ref="AP362" si="6351">_xlfn.CONCAT(AR362,AS364)</f>
        <v/>
      </c>
      <c r="AQ362" s="683" t="str">
        <f t="shared" si="5170"/>
        <v/>
      </c>
      <c r="AR362" s="4" t="str">
        <f t="shared" si="6193"/>
        <v/>
      </c>
      <c r="AS362" s="4"/>
      <c r="AT362" s="697" t="str">
        <f>AL359</f>
        <v/>
      </c>
      <c r="AU362" s="694" t="e">
        <f t="shared" ca="1" si="5187"/>
        <v>#REF!</v>
      </c>
      <c r="AV362" s="686" t="str">
        <f ca="1">IFERROR(VLOOKUP(AU362,INDIRECT(AQ359),2,FALSE),"----")</f>
        <v>----</v>
      </c>
      <c r="AW362" s="694" t="e">
        <f t="shared" ca="1" si="5188"/>
        <v>#REF!</v>
      </c>
      <c r="AX362" s="686" t="str">
        <f ca="1">IFERROR(VLOOKUP(AW362,INDIRECT(AQ360),2,FALSE),"----")</f>
        <v>----</v>
      </c>
      <c r="AY362" s="694" t="e">
        <f t="shared" ref="AY362" ca="1" si="6352">AY361-1</f>
        <v>#REF!</v>
      </c>
      <c r="AZ362" s="686" t="str">
        <f ca="1">IFERROR(VLOOKUP(AY362,INDIRECT(AQ361),2,FALSE),"----")</f>
        <v>----</v>
      </c>
      <c r="BA362" s="694" t="e">
        <f t="shared" ref="BA362" ca="1" si="6353">BA361-1</f>
        <v>#REF!</v>
      </c>
      <c r="BB362" s="686" t="str">
        <f ca="1">IFERROR(VLOOKUP(BA362,INDIRECT(AQ362),2,FALSE),"----")</f>
        <v>----</v>
      </c>
      <c r="BC362" s="694" t="e">
        <f t="shared" ca="1" si="5191"/>
        <v>#REF!</v>
      </c>
      <c r="BD362" s="686" t="str">
        <f ca="1">IFERROR(VLOOKUP(BC362,INDIRECT(AQ363),2,FALSE),"----")</f>
        <v>----</v>
      </c>
      <c r="BE362" s="694" t="e">
        <f t="shared" ca="1" si="5192"/>
        <v>#REF!</v>
      </c>
      <c r="BF362" s="686" t="str">
        <f ca="1">IFERROR(VLOOKUP(BE362,INDIRECT(AQ364),2,FALSE),"----")</f>
        <v>----</v>
      </c>
      <c r="BG362" s="694" t="e">
        <f t="shared" ca="1" si="5193"/>
        <v>#REF!</v>
      </c>
      <c r="BH362" s="686" t="str">
        <f ca="1">IFERROR(VLOOKUP(BG362,INDIRECT(AQ365),2,FALSE),"----")</f>
        <v>----</v>
      </c>
      <c r="BI362" s="694" t="e">
        <f t="shared" ca="1" si="5194"/>
        <v>#REF!</v>
      </c>
      <c r="BJ362" s="686" t="str">
        <f ca="1">IFERROR(VLOOKUP(BI362,INDIRECT(AQ366),2,FALSE),"----")</f>
        <v>----</v>
      </c>
      <c r="BK362" s="694" t="e">
        <f t="shared" ca="1" si="5195"/>
        <v>#REF!</v>
      </c>
      <c r="BL362" s="686" t="str">
        <f ca="1">IFERROR(VLOOKUP(BK362,INDIRECT(AQ367),2,FALSE),"----")</f>
        <v>----</v>
      </c>
      <c r="BM362" s="694" t="e">
        <f t="shared" ca="1" si="5196"/>
        <v>#REF!</v>
      </c>
      <c r="BN362" s="686" t="str">
        <f ca="1">IFERROR(VLOOKUP(BM362,INDIRECT(AQ368),2,FALSE),"----")</f>
        <v>----</v>
      </c>
      <c r="BO362" s="694" t="e">
        <f t="shared" ca="1" si="5197"/>
        <v>#REF!</v>
      </c>
      <c r="BP362" s="686" t="str">
        <f ca="1">IFERROR(VLOOKUP(BO362,INDIRECT(AQ369),2,FALSE),"----")</f>
        <v>----</v>
      </c>
      <c r="BQ362" s="694" t="e">
        <f t="shared" ca="1" si="5198"/>
        <v>#REF!</v>
      </c>
      <c r="BR362" s="686" t="str">
        <f ca="1">IFERROR(VLOOKUP(BQ362,INDIRECT(AQ370),2,FALSE),"----")</f>
        <v>----</v>
      </c>
      <c r="BS362" s="695">
        <f>IF(AI362="",1,IF(COUNTIF(BB359:BB370,AI362)=0,2,1))</f>
        <v>1</v>
      </c>
      <c r="BT362" s="696">
        <f>IF(AF362="",1,IF(BB359=".",2,1))</f>
        <v>1</v>
      </c>
      <c r="BU362" s="706"/>
      <c r="BV362" s="155">
        <f ca="1">IF(COUNTIF(CT359:CT370,AF362)=0,IF(AF362&lt;&gt;"",0,1),1)</f>
        <v>1</v>
      </c>
      <c r="BW362" s="157">
        <f ca="1">IFERROR(MATCH(AF362,CT359:CT370,0),1)</f>
        <v>1</v>
      </c>
      <c r="BX362" s="769"/>
      <c r="BY362" s="769"/>
      <c r="BZ362" s="1110"/>
      <c r="CA362" s="691" t="e">
        <f t="shared" ca="1" si="6302"/>
        <v>#REF!</v>
      </c>
      <c r="CB362" s="4" t="e" cm="1">
        <f t="array" aca="1" ref="CB362" ca="1">IF(AND(INDEX(INDIRECT(BY359),CA362,4)&gt;=$AB359,INDEX(INDIRECT(BY359),CA362,5)&gt;=$S359,INDEX(INDIRECT(BY359),CA362,6)&gt;=$R359),1,0)</f>
        <v>#REF!</v>
      </c>
      <c r="CC362" s="4" t="e">
        <f t="shared" ref="CC362" ca="1" si="6354">MATCH(1,OFFSET(CB359:CB370,CD361,0,COUNT(CB359:CB370)-CD361),0)</f>
        <v>#REF!</v>
      </c>
      <c r="CD362" s="4" t="e">
        <f t="shared" ca="1" si="6304"/>
        <v>#REF!</v>
      </c>
      <c r="CE362" s="692" t="str" cm="1">
        <f t="array" aca="1" ref="CE362" ca="1">IFERROR(VLOOKUP(INDEX(CA359:CA370,CD362),INDIRECT(BY359),2,FALSE),"----")</f>
        <v>----</v>
      </c>
      <c r="CF362" s="691" t="e">
        <f t="shared" ca="1" si="6305"/>
        <v>#N/A</v>
      </c>
      <c r="CG362" s="4" t="e">
        <f ca="1">IF(AND(INDEX(SSM,CF362,4)&gt;=$AB359,INDEX(SSM,CF362,5)&gt;=$S359,INDEX(SSM,CF362,6)&gt;=$R359),1,0)</f>
        <v>#N/A</v>
      </c>
      <c r="CH362" s="4" t="e">
        <f t="shared" ref="CH362" ca="1" si="6355">MATCH(1,OFFSET(CG359:CG370,CI361,0,COUNT(CG359:CG370)-CI361),0)</f>
        <v>#REF!</v>
      </c>
      <c r="CI362" s="4" t="e">
        <f t="shared" ca="1" si="6307"/>
        <v>#REF!</v>
      </c>
      <c r="CJ362" s="692" t="str">
        <f ca="1">IFERROR(IF(AD360="Nested Steel Stud (wood infill)",VLOOKUP(INDEX(CF359:CF370,CI362),SSW,2,FALSE),VLOOKUP(INDEX(CF359:CF370,CI362),SSM,2,FALSE)),"----")</f>
        <v>----</v>
      </c>
      <c r="CK362" s="691" t="e">
        <f t="shared" ca="1" si="6308"/>
        <v>#N/A</v>
      </c>
      <c r="CL362" s="4" t="e">
        <f ca="1">IF(AND(INDEX(WSM,CK362,4)&gt;=$AB359,INDEX(WSM,CK362,5)&gt;=$S359,INDEX(WSM,CK362,6)&gt;=$R359),1,0)</f>
        <v>#N/A</v>
      </c>
      <c r="CM362" s="4" t="e">
        <f t="shared" ref="CM362" ca="1" si="6356">MATCH(1,OFFSET(CL359:CL370,CN361,0,COUNT(CL359:CL370)-CN361),0)</f>
        <v>#REF!</v>
      </c>
      <c r="CN362" s="4" t="e">
        <f t="shared" ca="1" si="6310"/>
        <v>#REF!</v>
      </c>
      <c r="CO362" s="692" t="str">
        <f ca="1">IFERROR(VLOOKUP(INDEX(CK359:CK370,CN362),WSM,2,FALSE),"----")</f>
        <v>----</v>
      </c>
      <c r="CP362" s="691" t="e">
        <f t="shared" ca="1" si="6311"/>
        <v>#N/A</v>
      </c>
      <c r="CQ362" s="4" t="e">
        <f ca="1">IF(AND(INDEX(STM,CP362,4)&gt;=$AB359,INDEX(STM,CP362,5)&gt;=$S359,INDEX(STM,CP362,6)&gt;=$R359),1,0)</f>
        <v>#N/A</v>
      </c>
      <c r="CR362" s="4" t="e">
        <f t="shared" ref="CR362" ca="1" si="6357">MATCH(1,OFFSET(CQ359:CQ370,CS361,0,COUNT(CQ359:CQ370)-CS361),0)</f>
        <v>#REF!</v>
      </c>
      <c r="CS362" s="4" t="e">
        <f t="shared" ca="1" si="6313"/>
        <v>#REF!</v>
      </c>
      <c r="CT362" s="692" t="str">
        <f ca="1">IFERROR(VLOOKUP(INDEX(CP359:CP370,CS362),STM,2,FALSE),"----")</f>
        <v>----</v>
      </c>
      <c r="CU362" s="691" t="e">
        <f t="shared" ca="1" si="6314"/>
        <v>#N/A</v>
      </c>
      <c r="CV362" s="4" t="e">
        <f ca="1">IF(AND(INDEX(ELM,CU362,4)&gt;=$AB359,INDEX(ELM,CU362,5)&gt;=$S359,INDEX(ELM,CU362,6)&gt;=$R359),1,0)</f>
        <v>#N/A</v>
      </c>
      <c r="CW362" s="4" t="e">
        <f t="shared" ref="CW362" ca="1" si="6358">MATCH(1,OFFSET(CV359:CV370,CX361,0,COUNT(CV359:CV370)-CX361),0)</f>
        <v>#REF!</v>
      </c>
      <c r="CX362" s="4" t="e">
        <f t="shared" ca="1" si="6316"/>
        <v>#REF!</v>
      </c>
      <c r="CY362" s="692" t="str">
        <f ca="1">IFERROR(VLOOKUP(INDEX(CU359:CU370,CX362),ELM,2,FALSE),"----")</f>
        <v>----</v>
      </c>
      <c r="CZ362" s="691" t="e">
        <f t="shared" ca="1" si="6317"/>
        <v>#N/A</v>
      </c>
      <c r="DA362" s="4" t="e">
        <f ca="1">IF(LEFT($J359,7)="Clad Wo",IF(AND(INDEX(SPPWS,CZ362,4)&gt;=$AB359,INDEX(SPPWS,CZ362,5)&gt;=$S359,INDEX(SPPWS,CZ362,6)&gt;=$R359),1,0),IF(AND(INDEX(SPM,CZ362,4)&gt;=$AB359,INDEX(SPM,CZ362,5)&gt;=$S359,INDEX(SPM,CZ362,6)&gt;=$R359),1,0))</f>
        <v>#N/A</v>
      </c>
      <c r="DB362" s="4" t="e">
        <f t="shared" ref="DB362" ca="1" si="6359">MATCH(1,OFFSET(DA359:DA370,DC361,0,COUNT(DA359:DA370)-DC361),0)</f>
        <v>#REF!</v>
      </c>
      <c r="DC362" s="4" t="e">
        <f t="shared" ca="1" si="6319"/>
        <v>#REF!</v>
      </c>
      <c r="DD362" s="693" t="str">
        <f ca="1">IF(LEFT($J359,7)="Clad Wo",IFERROR(VLOOKUP(INDEX(CZ359:CZ370,DC362),SPPWS,2,FALSE),"----"),IFERROR(VLOOKUP(INDEX(CZ359:CZ370,DC362),SPM,2,FALSE),"----"))</f>
        <v>----</v>
      </c>
      <c r="DE362" s="691" t="e">
        <f t="shared" ca="1" si="6320"/>
        <v>#REF!</v>
      </c>
      <c r="DF362" s="4" t="e" cm="1">
        <f t="array" aca="1" ref="DF362" ca="1">IF(AND(INDEX(INDIRECT(BY359),DE362,4)&gt;=$AB365,INDEX(INDIRECT(BY359),DE362,5)&gt;=$S359,INDEX(INDIRECT(BY359),DE362,6)&gt;=$R359),1,0)</f>
        <v>#REF!</v>
      </c>
      <c r="DG362" s="4" t="e">
        <f t="shared" ref="DG362" ca="1" si="6360">MATCH(1,OFFSET(DF359:DF370,DH361,0,COUNT(DF359:DF370)-DH361),0)</f>
        <v>#REF!</v>
      </c>
      <c r="DH362" s="4" t="e">
        <f t="shared" ca="1" si="6322"/>
        <v>#REF!</v>
      </c>
      <c r="DI362" s="692" t="str" cm="1">
        <f t="array" aca="1" ref="DI362" ca="1">IFERROR(VLOOKUP(INDEX(DE359:DE370,DH362),INDIRECT(BY359),2,FALSE),"----")</f>
        <v>----</v>
      </c>
      <c r="DJ362" s="691" t="e">
        <f t="shared" ca="1" si="6323"/>
        <v>#N/A</v>
      </c>
      <c r="DK362" s="4" t="e">
        <f ca="1">IF(AND(INDEX(SSM,DJ362,4)&gt;=$AB365,INDEX(SSM,DJ362,5)&gt;=$S359,INDEX(SSM,DJ362,6)&gt;=$R359),1,0)</f>
        <v>#N/A</v>
      </c>
      <c r="DL362" s="4" t="e">
        <f t="shared" ref="DL362" ca="1" si="6361">MATCH(1,OFFSET(DK359:DK370,DM361,0,COUNT(DK359:DK370)-DM361),0)</f>
        <v>#REF!</v>
      </c>
      <c r="DM362" s="4" t="e">
        <f t="shared" ca="1" si="6325"/>
        <v>#REF!</v>
      </c>
      <c r="DN362" s="692" t="str">
        <f ca="1">IFERROR(IF(AD366="Nested Steel Stud (wood infill)",VLOOKUP(INDEX(DJ359:DJ370,DM362),SSW,2,FALSE),VLOOKUP(INDEX(DJ359:DJ370,DM362),SSM,2,FALSE)),"----")</f>
        <v>----</v>
      </c>
      <c r="DO362" s="691" t="e">
        <f t="shared" ca="1" si="6326"/>
        <v>#N/A</v>
      </c>
      <c r="DP362" s="4" t="e">
        <f ca="1">IF(AND(INDEX(WSM,DO362,4)&gt;=$AB365,INDEX(WSM,DO362,5)&gt;=$S359,INDEX(WSM,DO362,6)&gt;=$R359),1,0)</f>
        <v>#N/A</v>
      </c>
      <c r="DQ362" s="4" t="e">
        <f t="shared" ref="DQ362" ca="1" si="6362">MATCH(1,OFFSET(DP359:DP370,DR361,0,COUNT(DP359:DP370)-DR361),0)</f>
        <v>#REF!</v>
      </c>
      <c r="DR362" s="4" t="e">
        <f t="shared" ca="1" si="6328"/>
        <v>#REF!</v>
      </c>
      <c r="DS362" s="692" t="str">
        <f ca="1">IFERROR(VLOOKUP(INDEX(DO359:DO370,DR362),WSM,2,FALSE),"----")</f>
        <v>----</v>
      </c>
      <c r="DT362" s="691" t="e">
        <f t="shared" ca="1" si="6329"/>
        <v>#N/A</v>
      </c>
      <c r="DU362" s="4" t="e">
        <f ca="1">IF(AND(INDEX(STM,DT362,4)&gt;=$AB365,INDEX(STM,DT362,5)&gt;=$S359,INDEX(STM,DT362,6)&gt;=$R359),1,0)</f>
        <v>#N/A</v>
      </c>
      <c r="DV362" s="4" t="e">
        <f t="shared" ref="DV362" ca="1" si="6363">MATCH(1,OFFSET(DU359:DU370,DW361,0,COUNT(DU359:DU370)-DW361),0)</f>
        <v>#REF!</v>
      </c>
      <c r="DW362" s="4" t="e">
        <f t="shared" ca="1" si="6331"/>
        <v>#REF!</v>
      </c>
      <c r="DX362" s="692" t="str">
        <f ca="1">IFERROR(VLOOKUP(INDEX(DT359:DT370,DW362),STM,2,FALSE),"----")</f>
        <v>----</v>
      </c>
      <c r="DY362" s="691" t="e">
        <f t="shared" ca="1" si="6332"/>
        <v>#N/A</v>
      </c>
      <c r="DZ362" s="4" t="e">
        <f ca="1">IF(AND(INDEX(ELM,DY362,4)&gt;=$AB365,INDEX(ELM,DY362,5)&gt;=$S359,INDEX(ELM,DY362,6)&gt;=$R359),1,0)</f>
        <v>#N/A</v>
      </c>
      <c r="EA362" s="4" t="e">
        <f t="shared" ref="EA362" ca="1" si="6364">MATCH(1,OFFSET(DZ359:DZ370,EB361,0,COUNT(DZ359:DZ370)-EB361),0)</f>
        <v>#REF!</v>
      </c>
      <c r="EB362" s="4" t="e">
        <f t="shared" ca="1" si="6334"/>
        <v>#REF!</v>
      </c>
      <c r="EC362" s="692" t="str">
        <f ca="1">IFERROR(VLOOKUP(INDEX(DY359:DY370,EB362),ELM,2,FALSE),"----")</f>
        <v>----</v>
      </c>
      <c r="ED362" s="691" t="e">
        <f t="shared" ca="1" si="6335"/>
        <v>#N/A</v>
      </c>
      <c r="EE362" s="4" t="e">
        <f ca="1">IF(LEFT($J359,7)="Clad Wo",IF(AND(INDEX(SPPWS,ED362,4)&gt;=$AB365,INDEX(SPPWS,ED362,5)&gt;=$S359,INDEX(SPPWS,ED362,6)&gt;=$R359),1,0),IF(AND(INDEX(SPM,ED362,4)&gt;=$AB365,INDEX(SPM,ED362,5)&gt;=$S359,INDEX(SPM,ED362,6)&gt;=$R359),1,0))</f>
        <v>#N/A</v>
      </c>
      <c r="EF362" s="4" t="e">
        <f t="shared" ref="EF362" ca="1" si="6365">MATCH(1,OFFSET(EE359:EE370,EG361,0,COUNT(EE359:EE370)-EG361),0)</f>
        <v>#REF!</v>
      </c>
      <c r="EG362" s="4" t="e">
        <f t="shared" ca="1" si="6337"/>
        <v>#REF!</v>
      </c>
      <c r="EH362" s="692" t="str">
        <f ca="1">IF(LEFT($J359,7)="Clad Wo",IFERROR(VLOOKUP(INDEX(ED359:ED370,EG362),SPPWS,2,FALSE),"----"),IFERROR(VLOOKUP(INDEX(ED359:ED370,EG362),SPM,2,FALSE),"----"))</f>
        <v>----</v>
      </c>
    </row>
    <row r="363" spans="1:138" ht="15" customHeight="1" x14ac:dyDescent="0.25">
      <c r="A363" s="1085"/>
      <c r="B363" s="925"/>
      <c r="C363" s="926"/>
      <c r="D363" s="927"/>
      <c r="E363" s="995"/>
      <c r="F363" s="996"/>
      <c r="G363" s="997"/>
      <c r="H363" s="1062"/>
      <c r="I363" s="990"/>
      <c r="J363" s="910"/>
      <c r="K363" s="911"/>
      <c r="L363" s="1002"/>
      <c r="M363" s="923"/>
      <c r="N363" s="1042"/>
      <c r="O363" s="1018"/>
      <c r="P363" s="987"/>
      <c r="Q363" s="1015"/>
      <c r="R363" s="1012"/>
      <c r="S363" s="1006"/>
      <c r="T363" s="1007"/>
      <c r="U363" s="878"/>
      <c r="V363" s="881"/>
      <c r="W363" s="884"/>
      <c r="X363" s="884"/>
      <c r="Y363" s="887"/>
      <c r="Z363" s="887"/>
      <c r="AA363" s="887"/>
      <c r="AB363" s="1081"/>
      <c r="AC363" s="1078"/>
      <c r="AD363" s="1070" t="s">
        <v>39</v>
      </c>
      <c r="AE363" s="1071"/>
      <c r="AF363" s="1052"/>
      <c r="AG363" s="1053"/>
      <c r="AH363" s="1053"/>
      <c r="AI363" s="1068"/>
      <c r="AJ363" s="1069"/>
      <c r="AK363" s="154" t="str">
        <f t="shared" ca="1" si="6208"/>
        <v/>
      </c>
      <c r="AL363" s="1039"/>
      <c r="AM363" s="344" t="str">
        <f ca="1">IFERROR(Q359/12*ROUND(VLOOKUP(AF363,OFFSET(ELM,0,1),6,FALSE),2),"")</f>
        <v/>
      </c>
      <c r="AN363" t="str">
        <f t="shared" ca="1" si="6226"/>
        <v/>
      </c>
      <c r="AP363" s="122" t="str">
        <f t="shared" ref="AP363" si="6366">_xlfn.CONCAT(AR363,AS364)</f>
        <v/>
      </c>
      <c r="AQ363" s="683" t="str">
        <f t="shared" si="5170"/>
        <v/>
      </c>
      <c r="AR363" s="4" t="str">
        <f t="shared" si="6193"/>
        <v/>
      </c>
      <c r="AS363" s="4"/>
      <c r="AT363" s="697" t="str">
        <f>AL359</f>
        <v/>
      </c>
      <c r="AU363" s="694" t="e">
        <f t="shared" ca="1" si="5187"/>
        <v>#REF!</v>
      </c>
      <c r="AV363" s="698" t="str">
        <f ca="1">IFERROR(VLOOKUP(AU363,INDIRECT(AQ359),2,FALSE),"----")</f>
        <v>----</v>
      </c>
      <c r="AW363" s="694" t="e">
        <f t="shared" ca="1" si="5188"/>
        <v>#REF!</v>
      </c>
      <c r="AX363" s="698" t="str">
        <f ca="1">IFERROR(VLOOKUP(AW363,INDIRECT(AQ360),2,FALSE),"----")</f>
        <v>----</v>
      </c>
      <c r="AY363" s="694" t="e">
        <f t="shared" ref="AY363" ca="1" si="6367">AY362-1</f>
        <v>#REF!</v>
      </c>
      <c r="AZ363" s="698" t="str">
        <f ca="1">IFERROR(VLOOKUP(AY363,INDIRECT(AQ361),2,FALSE),"----")</f>
        <v>----</v>
      </c>
      <c r="BA363" s="694" t="e">
        <f t="shared" ref="BA363" ca="1" si="6368">BA362-1</f>
        <v>#REF!</v>
      </c>
      <c r="BB363" s="698" t="str">
        <f ca="1">IFERROR(VLOOKUP(BA363,INDIRECT(AQ362),2,FALSE),"----")</f>
        <v>----</v>
      </c>
      <c r="BC363" s="694" t="e">
        <f t="shared" ca="1" si="5191"/>
        <v>#REF!</v>
      </c>
      <c r="BD363" s="698" t="str">
        <f ca="1">IFERROR(VLOOKUP(BC363,INDIRECT(AQ363),2,FALSE),"----")</f>
        <v>----</v>
      </c>
      <c r="BE363" s="694" t="e">
        <f t="shared" ca="1" si="5192"/>
        <v>#REF!</v>
      </c>
      <c r="BF363" s="698" t="str">
        <f ca="1">IFERROR(VLOOKUP(BE363,INDIRECT(AQ364),2,FALSE),"----")</f>
        <v>----</v>
      </c>
      <c r="BG363" s="694" t="e">
        <f t="shared" ca="1" si="5193"/>
        <v>#REF!</v>
      </c>
      <c r="BH363" s="686" t="str">
        <f ca="1">IFERROR(VLOOKUP(BG363,INDIRECT(AQ365),2,FALSE),"----")</f>
        <v>----</v>
      </c>
      <c r="BI363" s="694" t="e">
        <f t="shared" ca="1" si="5194"/>
        <v>#REF!</v>
      </c>
      <c r="BJ363" s="686" t="str">
        <f ca="1">IFERROR(VLOOKUP(BI363,INDIRECT(AQ366),2,FALSE),"----")</f>
        <v>----</v>
      </c>
      <c r="BK363" s="694" t="e">
        <f t="shared" ca="1" si="5195"/>
        <v>#REF!</v>
      </c>
      <c r="BL363" s="686" t="str">
        <f ca="1">IFERROR(VLOOKUP(BK363,INDIRECT(AQ367),2,FALSE),"----")</f>
        <v>----</v>
      </c>
      <c r="BM363" s="694" t="e">
        <f t="shared" ca="1" si="5196"/>
        <v>#REF!</v>
      </c>
      <c r="BN363" s="686" t="str">
        <f ca="1">IFERROR(VLOOKUP(BM363,INDIRECT(AQ368),2,FALSE),"----")</f>
        <v>----</v>
      </c>
      <c r="BO363" s="694" t="e">
        <f t="shared" ca="1" si="5197"/>
        <v>#REF!</v>
      </c>
      <c r="BP363" s="686" t="str">
        <f ca="1">IFERROR(VLOOKUP(BO363,INDIRECT(AQ369),2,FALSE),"----")</f>
        <v>----</v>
      </c>
      <c r="BQ363" s="694" t="e">
        <f t="shared" ca="1" si="5198"/>
        <v>#REF!</v>
      </c>
      <c r="BR363" s="686" t="str">
        <f ca="1">IFERROR(VLOOKUP(BQ363,INDIRECT(AQ370),2,FALSE),"----")</f>
        <v>----</v>
      </c>
      <c r="BS363" s="695">
        <f>IF(AI363="",1,IF(COUNTIF(BD359:BD370,AI363)=0,2,1))</f>
        <v>1</v>
      </c>
      <c r="BT363" s="696">
        <f>IF(AF363="",1,IF(BD359=".",2,1))</f>
        <v>1</v>
      </c>
      <c r="BU363" s="706"/>
      <c r="BV363" s="155">
        <f ca="1">IF(COUNTIF(CY359:CY370,AF363)=0,IF(AF363&lt;&gt;"",0,1),1)</f>
        <v>1</v>
      </c>
      <c r="BW363" s="157">
        <f ca="1">IFERROR(MATCH(AF363,CY359:CY370,0),1)</f>
        <v>1</v>
      </c>
      <c r="BX363" s="769"/>
      <c r="BY363" s="769"/>
      <c r="BZ363" s="1110"/>
      <c r="CA363" s="691" t="e">
        <f t="shared" ca="1" si="6302"/>
        <v>#REF!</v>
      </c>
      <c r="CB363" s="4" t="e" cm="1">
        <f t="array" aca="1" ref="CB363" ca="1">IF(AND(INDEX(INDIRECT(BY359),CA363,4)&gt;=$AB359,INDEX(INDIRECT(BY359),CA363,5)&gt;=$S359,INDEX(INDIRECT(BY359),CA363,6)&gt;=$R359),1,0)</f>
        <v>#REF!</v>
      </c>
      <c r="CC363" s="4" t="e">
        <f t="shared" ref="CC363" ca="1" si="6369">MATCH(1,OFFSET(CB359:CB370,CD362,0,COUNT(CB359:CB370)-CD362),0)</f>
        <v>#REF!</v>
      </c>
      <c r="CD363" s="4" t="e">
        <f t="shared" ca="1" si="6304"/>
        <v>#REF!</v>
      </c>
      <c r="CE363" s="692" t="str" cm="1">
        <f t="array" aca="1" ref="CE363" ca="1">IFERROR(VLOOKUP(INDEX(CA359:CA370,CD363),INDIRECT(BY359),2,FALSE),"----")</f>
        <v>----</v>
      </c>
      <c r="CF363" s="691" t="e">
        <f t="shared" ca="1" si="6305"/>
        <v>#N/A</v>
      </c>
      <c r="CG363" s="4" t="e">
        <f ca="1">IF(AND(INDEX(SSM,CF363,4)&gt;=$AB359,INDEX(SSM,CF363,5)&gt;=$S359,INDEX(SSM,CF363,6)&gt;=$R359),1,0)</f>
        <v>#N/A</v>
      </c>
      <c r="CH363" s="4" t="e">
        <f t="shared" ref="CH363" ca="1" si="6370">MATCH(1,OFFSET(CG359:CG370,CI362,0,COUNT(CG359:CG370)-CI362),0)</f>
        <v>#REF!</v>
      </c>
      <c r="CI363" s="4" t="e">
        <f t="shared" ca="1" si="6307"/>
        <v>#REF!</v>
      </c>
      <c r="CJ363" s="692" t="str">
        <f ca="1">IFERROR(IF(AD360="Nested Steel Stud (wood infill)",VLOOKUP(INDEX(CF359:CF370,CI363),SSW,2,FALSE),VLOOKUP(INDEX(CF359:CF370,CI363),SSM,2,FALSE)),"----")</f>
        <v>----</v>
      </c>
      <c r="CK363" s="691" t="e">
        <f t="shared" ca="1" si="6308"/>
        <v>#N/A</v>
      </c>
      <c r="CL363" s="4" t="e">
        <f ca="1">IF(AND(INDEX(WSM,CK363,4)&gt;=$AB359,INDEX(WSM,CK363,5)&gt;=$S359,INDEX(WSM,CK363,6)&gt;=$R359),1,0)</f>
        <v>#N/A</v>
      </c>
      <c r="CM363" s="4" t="e">
        <f t="shared" ref="CM363" ca="1" si="6371">MATCH(1,OFFSET(CL359:CL370,CN362,0,COUNT(CL359:CL370)-CN362),0)</f>
        <v>#REF!</v>
      </c>
      <c r="CN363" s="4" t="e">
        <f t="shared" ca="1" si="6310"/>
        <v>#REF!</v>
      </c>
      <c r="CO363" s="692" t="str">
        <f ca="1">IFERROR(VLOOKUP(INDEX(CK359:CK370,CN363),WSM,2,FALSE),"----")</f>
        <v>----</v>
      </c>
      <c r="CP363" s="691" t="e">
        <f t="shared" ca="1" si="6311"/>
        <v>#N/A</v>
      </c>
      <c r="CQ363" s="4" t="e">
        <f ca="1">IF(AND(INDEX(STM,CP363,4)&gt;=$AB359,INDEX(STM,CP363,5)&gt;=$S359,INDEX(STM,CP363,6)&gt;=$R359),1,0)</f>
        <v>#N/A</v>
      </c>
      <c r="CR363" s="4" t="e">
        <f t="shared" ref="CR363" ca="1" si="6372">MATCH(1,OFFSET(CQ359:CQ370,CS362,0,COUNT(CQ359:CQ370)-CS362),0)</f>
        <v>#REF!</v>
      </c>
      <c r="CS363" s="4" t="e">
        <f t="shared" ca="1" si="6313"/>
        <v>#REF!</v>
      </c>
      <c r="CT363" s="692" t="str">
        <f ca="1">IFERROR(VLOOKUP(INDEX(CP359:CP370,CS363),STM,2,FALSE),"----")</f>
        <v>----</v>
      </c>
      <c r="CU363" s="691" t="e">
        <f t="shared" ca="1" si="6314"/>
        <v>#N/A</v>
      </c>
      <c r="CV363" s="4" t="e">
        <f ca="1">IF(AND(INDEX(ELM,CU363,4)&gt;=$AB359,INDEX(ELM,CU363,5)&gt;=$S359,INDEX(ELM,CU363,6)&gt;=$R359),1,0)</f>
        <v>#N/A</v>
      </c>
      <c r="CW363" s="4" t="e">
        <f t="shared" ref="CW363" ca="1" si="6373">MATCH(1,OFFSET(CV359:CV370,CX362,0,COUNT(CV359:CV370)-CX362),0)</f>
        <v>#REF!</v>
      </c>
      <c r="CX363" s="4" t="e">
        <f t="shared" ca="1" si="6316"/>
        <v>#REF!</v>
      </c>
      <c r="CY363" s="692" t="str">
        <f ca="1">IFERROR(VLOOKUP(INDEX(CU359:CU370,CX363),ELM,2,FALSE),"----")</f>
        <v>----</v>
      </c>
      <c r="CZ363" s="691" t="e">
        <f t="shared" ca="1" si="6317"/>
        <v>#N/A</v>
      </c>
      <c r="DA363" s="4" t="e">
        <f ca="1">IF(LEFT($J359,7)="Clad Wo",IF(AND(INDEX(SPPWS,CZ363,4)&gt;=$AB359,INDEX(SPPWS,CZ363,5)&gt;=$S359,INDEX(SPPWS,CZ363,6)&gt;=$R359),1,0),IF(AND(INDEX(SPM,CZ363,4)&gt;=$AB359,INDEX(SPM,CZ363,5)&gt;=$S359,INDEX(SPM,CZ363,6)&gt;=$R359),1,0))</f>
        <v>#N/A</v>
      </c>
      <c r="DB363" s="4" t="e">
        <f t="shared" ref="DB363" ca="1" si="6374">MATCH(1,OFFSET(DA359:DA370,DC362,0,COUNT(DA359:DA370)-DC362),0)</f>
        <v>#REF!</v>
      </c>
      <c r="DC363" s="4" t="e">
        <f t="shared" ca="1" si="6319"/>
        <v>#REF!</v>
      </c>
      <c r="DD363" s="693" t="str">
        <f ca="1">IF(LEFT($J359,7)="Clad Wo",IFERROR(VLOOKUP(INDEX(CZ359:CZ370,DC363),SPPWS,2,FALSE),"----"),IFERROR(VLOOKUP(INDEX(CZ359:CZ370,DC363),SPM,2,FALSE),"----"))</f>
        <v>----</v>
      </c>
      <c r="DE363" s="691" t="e">
        <f t="shared" ca="1" si="6320"/>
        <v>#REF!</v>
      </c>
      <c r="DF363" s="4" t="e" cm="1">
        <f t="array" aca="1" ref="DF363" ca="1">IF(AND(INDEX(INDIRECT(BY359),DE363,4)&gt;=$AB365,INDEX(INDIRECT(BY359),DE363,5)&gt;=$S359,INDEX(INDIRECT(BY359),DE363,6)&gt;=$R359),1,0)</f>
        <v>#REF!</v>
      </c>
      <c r="DG363" s="4" t="e">
        <f t="shared" ref="DG363" ca="1" si="6375">MATCH(1,OFFSET(DF359:DF370,DH362,0,COUNT(DF359:DF370)-DH362),0)</f>
        <v>#REF!</v>
      </c>
      <c r="DH363" s="4" t="e">
        <f t="shared" ca="1" si="6322"/>
        <v>#REF!</v>
      </c>
      <c r="DI363" s="692" t="str" cm="1">
        <f t="array" aca="1" ref="DI363" ca="1">IFERROR(VLOOKUP(INDEX(DE359:DE370,DH363),INDIRECT(BY359),2,FALSE),"----")</f>
        <v>----</v>
      </c>
      <c r="DJ363" s="691" t="e">
        <f t="shared" ca="1" si="6323"/>
        <v>#N/A</v>
      </c>
      <c r="DK363" s="4" t="e">
        <f ca="1">IF(AND(INDEX(SSM,DJ363,4)&gt;=$AB365,INDEX(SSM,DJ363,5)&gt;=$S359,INDEX(SSM,DJ363,6)&gt;=$R359),1,0)</f>
        <v>#N/A</v>
      </c>
      <c r="DL363" s="4" t="e">
        <f t="shared" ref="DL363" ca="1" si="6376">MATCH(1,OFFSET(DK359:DK370,DM362,0,COUNT(DK359:DK370)-DM362),0)</f>
        <v>#REF!</v>
      </c>
      <c r="DM363" s="4" t="e">
        <f t="shared" ca="1" si="6325"/>
        <v>#REF!</v>
      </c>
      <c r="DN363" s="692" t="str">
        <f ca="1">IFERROR(IF(AD366="Nested Steel Stud (wood infill)",VLOOKUP(INDEX(DJ359:DJ370,DM363),SSW,2,FALSE),VLOOKUP(INDEX(DJ359:DJ370,DM363),SSM,2,FALSE)),"----")</f>
        <v>----</v>
      </c>
      <c r="DO363" s="691" t="e">
        <f t="shared" ca="1" si="6326"/>
        <v>#N/A</v>
      </c>
      <c r="DP363" s="4" t="e">
        <f ca="1">IF(AND(INDEX(WSM,DO363,4)&gt;=$AB365,INDEX(WSM,DO363,5)&gt;=$S359,INDEX(WSM,DO363,6)&gt;=$R359),1,0)</f>
        <v>#N/A</v>
      </c>
      <c r="DQ363" s="4" t="e">
        <f t="shared" ref="DQ363" ca="1" si="6377">MATCH(1,OFFSET(DP359:DP370,DR362,0,COUNT(DP359:DP370)-DR362),0)</f>
        <v>#REF!</v>
      </c>
      <c r="DR363" s="4" t="e">
        <f t="shared" ca="1" si="6328"/>
        <v>#REF!</v>
      </c>
      <c r="DS363" s="692" t="str">
        <f ca="1">IFERROR(VLOOKUP(INDEX(DO359:DO370,DR363),WSM,2,FALSE),"----")</f>
        <v>----</v>
      </c>
      <c r="DT363" s="691" t="e">
        <f t="shared" ca="1" si="6329"/>
        <v>#N/A</v>
      </c>
      <c r="DU363" s="4" t="e">
        <f ca="1">IF(AND(INDEX(STM,DT363,4)&gt;=$AB365,INDEX(STM,DT363,5)&gt;=$S359,INDEX(STM,DT363,6)&gt;=$R359),1,0)</f>
        <v>#N/A</v>
      </c>
      <c r="DV363" s="4" t="e">
        <f t="shared" ref="DV363" ca="1" si="6378">MATCH(1,OFFSET(DU359:DU370,DW362,0,COUNT(DU359:DU370)-DW362),0)</f>
        <v>#REF!</v>
      </c>
      <c r="DW363" s="4" t="e">
        <f t="shared" ca="1" si="6331"/>
        <v>#REF!</v>
      </c>
      <c r="DX363" s="692" t="str">
        <f ca="1">IFERROR(VLOOKUP(INDEX(DT359:DT370,DW363),STM,2,FALSE),"----")</f>
        <v>----</v>
      </c>
      <c r="DY363" s="691" t="e">
        <f t="shared" ca="1" si="6332"/>
        <v>#N/A</v>
      </c>
      <c r="DZ363" s="4" t="e">
        <f ca="1">IF(AND(INDEX(ELM,DY363,4)&gt;=$AB365,INDEX(ELM,DY363,5)&gt;=$S359,INDEX(ELM,DY363,6)&gt;=$R359),1,0)</f>
        <v>#N/A</v>
      </c>
      <c r="EA363" s="4" t="e">
        <f t="shared" ref="EA363" ca="1" si="6379">MATCH(1,OFFSET(DZ359:DZ370,EB362,0,COUNT(DZ359:DZ370)-EB362),0)</f>
        <v>#REF!</v>
      </c>
      <c r="EB363" s="4" t="e">
        <f t="shared" ca="1" si="6334"/>
        <v>#REF!</v>
      </c>
      <c r="EC363" s="692" t="str">
        <f ca="1">IFERROR(VLOOKUP(INDEX(DY359:DY370,EB363),ELM,2,FALSE),"----")</f>
        <v>----</v>
      </c>
      <c r="ED363" s="691" t="e">
        <f t="shared" ca="1" si="6335"/>
        <v>#N/A</v>
      </c>
      <c r="EE363" s="4" t="e">
        <f ca="1">IF(LEFT($J359,7)="Clad Wo",IF(AND(INDEX(SPPWS,ED363,4)&gt;=$AB365,INDEX(SPPWS,ED363,5)&gt;=$S359,INDEX(SPPWS,ED363,6)&gt;=$R359),1,0),IF(AND(INDEX(SPM,ED363,4)&gt;=$AB365,INDEX(SPM,ED363,5)&gt;=$S359,INDEX(SPM,ED363,6)&gt;=$R359),1,0))</f>
        <v>#N/A</v>
      </c>
      <c r="EF363" s="4" t="e">
        <f t="shared" ref="EF363" ca="1" si="6380">MATCH(1,OFFSET(EE359:EE370,EG362,0,COUNT(EE359:EE370)-EG362),0)</f>
        <v>#REF!</v>
      </c>
      <c r="EG363" s="4" t="e">
        <f t="shared" ca="1" si="6337"/>
        <v>#REF!</v>
      </c>
      <c r="EH363" s="692" t="str">
        <f ca="1">IF(LEFT($J359,7)="Clad Wo",IFERROR(VLOOKUP(INDEX(ED359:ED370,EG363),SPPWS,2,FALSE),"----"),IFERROR(VLOOKUP(INDEX(ED359:ED370,EG363),SPM,2,FALSE),"----"))</f>
        <v>----</v>
      </c>
    </row>
    <row r="364" spans="1:138" ht="15" customHeight="1" thickBot="1" x14ac:dyDescent="0.3">
      <c r="A364" s="1085"/>
      <c r="B364" s="934"/>
      <c r="C364" s="935"/>
      <c r="D364" s="936"/>
      <c r="E364" s="995"/>
      <c r="F364" s="996"/>
      <c r="G364" s="997"/>
      <c r="H364" s="1062"/>
      <c r="I364" s="990"/>
      <c r="J364" s="908"/>
      <c r="K364" s="909"/>
      <c r="L364" s="1010"/>
      <c r="M364" s="924"/>
      <c r="N364" s="1044"/>
      <c r="O364" s="1018"/>
      <c r="P364" s="987"/>
      <c r="Q364" s="1015"/>
      <c r="R364" s="1012"/>
      <c r="S364" s="1006"/>
      <c r="T364" s="1007"/>
      <c r="U364" s="878"/>
      <c r="V364" s="881"/>
      <c r="W364" s="889"/>
      <c r="X364" s="884"/>
      <c r="Y364" s="890"/>
      <c r="Z364" s="890"/>
      <c r="AA364" s="887"/>
      <c r="AB364" s="1084"/>
      <c r="AC364" s="1079"/>
      <c r="AD364" s="1072" t="str">
        <f t="shared" ref="AD364" si="6381">IF(LEFT(J359,7)="Clad Wo","Pella Wood Spr / Steel Pte","Steel Plate")</f>
        <v>Steel Plate</v>
      </c>
      <c r="AE364" s="1073"/>
      <c r="AF364" s="1054"/>
      <c r="AG364" s="1055"/>
      <c r="AH364" s="1055"/>
      <c r="AI364" s="1092"/>
      <c r="AJ364" s="1093"/>
      <c r="AK364" s="159" t="str">
        <f t="shared" ca="1" si="6208"/>
        <v/>
      </c>
      <c r="AL364" s="1040"/>
      <c r="AM364" s="345" t="str">
        <f ca="1">IFERROR(Q359/12*ROUND(VLOOKUP(AF364,OFFSET(SPM,0,1),6,FALSE),2),"")</f>
        <v/>
      </c>
      <c r="AN364" t="str">
        <f t="shared" ca="1" si="6226"/>
        <v/>
      </c>
      <c r="AP364" s="699" t="str">
        <f t="shared" ref="AP364" si="6382">_xlfn.CONCAT(AR364,AS364)</f>
        <v/>
      </c>
      <c r="AQ364" s="700" t="str">
        <f t="shared" si="5170"/>
        <v/>
      </c>
      <c r="AR364" s="160" t="str">
        <f t="shared" si="6193"/>
        <v/>
      </c>
      <c r="AS364" s="160" t="str">
        <f>IFERROR(VLOOKUP(J367, WallType,2,FALSE),"")</f>
        <v/>
      </c>
      <c r="AT364" s="701" t="str">
        <f>AL359</f>
        <v/>
      </c>
      <c r="AU364" s="694" t="e">
        <f t="shared" ca="1" si="5187"/>
        <v>#REF!</v>
      </c>
      <c r="AV364" s="698" t="str">
        <f ca="1">IFERROR(VLOOKUP(AU364,INDIRECT(AQ359),2,FALSE),"----")</f>
        <v>----</v>
      </c>
      <c r="AW364" s="702" t="e">
        <f t="shared" ca="1" si="5188"/>
        <v>#REF!</v>
      </c>
      <c r="AX364" s="698" t="str">
        <f ca="1">IFERROR(VLOOKUP(AW364,INDIRECT(AQ360),2,FALSE),"----")</f>
        <v>----</v>
      </c>
      <c r="AY364" s="702" t="e">
        <f t="shared" ref="AY364:AY379" ca="1" si="6383">AY363-1</f>
        <v>#REF!</v>
      </c>
      <c r="AZ364" s="698" t="str">
        <f ca="1">IFERROR(VLOOKUP(AY364,INDIRECT(AQ361),2,FALSE),"----")</f>
        <v>----</v>
      </c>
      <c r="BA364" s="702" t="e">
        <f t="shared" ref="BA364:BA379" ca="1" si="6384">BA363-1</f>
        <v>#REF!</v>
      </c>
      <c r="BB364" s="698" t="str">
        <f ca="1">IFERROR(VLOOKUP(BA364,INDIRECT(AQ362),2,FALSE),"----")</f>
        <v>----</v>
      </c>
      <c r="BC364" s="702" t="e">
        <f t="shared" ca="1" si="5191"/>
        <v>#REF!</v>
      </c>
      <c r="BD364" s="698" t="str">
        <f ca="1">IFERROR(VLOOKUP(BC364,INDIRECT(AQ363),2,FALSE),"----")</f>
        <v>----</v>
      </c>
      <c r="BE364" s="702" t="e">
        <f t="shared" ca="1" si="5192"/>
        <v>#REF!</v>
      </c>
      <c r="BF364" s="698" t="str">
        <f ca="1">IFERROR(VLOOKUP(BE364,INDIRECT(AQ364),2,FALSE),"----")</f>
        <v>----</v>
      </c>
      <c r="BG364" s="702" t="e">
        <f t="shared" ca="1" si="5193"/>
        <v>#REF!</v>
      </c>
      <c r="BH364" s="686" t="str">
        <f ca="1">IFERROR(VLOOKUP(BG364,INDIRECT(AQ365),2,FALSE),"----")</f>
        <v>----</v>
      </c>
      <c r="BI364" s="702" t="e">
        <f t="shared" ca="1" si="5194"/>
        <v>#REF!</v>
      </c>
      <c r="BJ364" s="686" t="str">
        <f ca="1">IFERROR(VLOOKUP(BI364,INDIRECT(AQ366),2,FALSE),"----")</f>
        <v>----</v>
      </c>
      <c r="BK364" s="702" t="e">
        <f t="shared" ca="1" si="5195"/>
        <v>#REF!</v>
      </c>
      <c r="BL364" s="686" t="str">
        <f ca="1">IFERROR(VLOOKUP(BK364,INDIRECT(AQ367),2,FALSE),"----")</f>
        <v>----</v>
      </c>
      <c r="BM364" s="702" t="e">
        <f t="shared" ca="1" si="5196"/>
        <v>#REF!</v>
      </c>
      <c r="BN364" s="686" t="str">
        <f ca="1">IFERROR(VLOOKUP(BM364,INDIRECT(AQ368),2,FALSE),"----")</f>
        <v>----</v>
      </c>
      <c r="BO364" s="702" t="e">
        <f t="shared" ca="1" si="5197"/>
        <v>#REF!</v>
      </c>
      <c r="BP364" s="686" t="str">
        <f ca="1">IFERROR(VLOOKUP(BO364,INDIRECT(AQ369),2,FALSE),"----")</f>
        <v>----</v>
      </c>
      <c r="BQ364" s="702" t="e">
        <f t="shared" ca="1" si="5198"/>
        <v>#REF!</v>
      </c>
      <c r="BR364" s="686" t="str">
        <f ca="1">IFERROR(VLOOKUP(BQ364,INDIRECT(AQ370),2,FALSE),"----")</f>
        <v>----</v>
      </c>
      <c r="BS364" s="703">
        <f>IF(AI364="",1,IF(COUNTIF(BF359:BF370,AI364)=0,2,1))</f>
        <v>1</v>
      </c>
      <c r="BT364" s="704">
        <f>IF(AF364="",1,IF(BF359=".",2,1))</f>
        <v>1</v>
      </c>
      <c r="BV364" s="155">
        <f ca="1">IF(COUNTIF(DD359:DD370,AF364)=0,IF(AF364&lt;&gt;"",0,1),1)</f>
        <v>1</v>
      </c>
      <c r="BW364" s="157">
        <f ca="1">IFERROR(MATCH(AF364,DD359:DD370,0),1)</f>
        <v>1</v>
      </c>
      <c r="BX364" s="875" t="s">
        <v>1594</v>
      </c>
      <c r="BY364" s="876"/>
      <c r="BZ364" s="1110"/>
      <c r="CA364" s="691" t="e">
        <f t="shared" ca="1" si="6302"/>
        <v>#REF!</v>
      </c>
      <c r="CB364" s="4" t="e" cm="1">
        <f t="array" aca="1" ref="CB364" ca="1">IF(AND(INDEX(INDIRECT(BY359),CA364,4)&gt;=$AB359,INDEX(INDIRECT(BY359),CA364,5)&gt;=$S359,INDEX(INDIRECT(BY359),CA364,6)&gt;=$R359),1,0)</f>
        <v>#REF!</v>
      </c>
      <c r="CC364" s="4" t="e">
        <f t="shared" ref="CC364" ca="1" si="6385">MATCH(1,OFFSET(CB359:CB370,CD363,0,COUNT(CB359:CB370)-CD363),0)</f>
        <v>#REF!</v>
      </c>
      <c r="CD364" s="4" t="e">
        <f t="shared" ca="1" si="6304"/>
        <v>#REF!</v>
      </c>
      <c r="CE364" s="692" t="str" cm="1">
        <f t="array" aca="1" ref="CE364" ca="1">IFERROR(VLOOKUP(INDEX(CA359:CA370,CD364),INDIRECT(BY359),2,FALSE),"----")</f>
        <v>----</v>
      </c>
      <c r="CF364" s="691" t="e">
        <f t="shared" ca="1" si="6305"/>
        <v>#N/A</v>
      </c>
      <c r="CG364" s="4" t="e">
        <f ca="1">IF(AND(INDEX(SSM,CF364,4)&gt;=$AB359,INDEX(SSM,CF364,5)&gt;=$S359,INDEX(SSM,CF364,6)&gt;=$R359),1,0)</f>
        <v>#N/A</v>
      </c>
      <c r="CH364" s="4" t="e">
        <f t="shared" ref="CH364" ca="1" si="6386">MATCH(1,OFFSET(CG359:CG370,CI363,0,COUNT(CG359:CG370)-CI363),0)</f>
        <v>#REF!</v>
      </c>
      <c r="CI364" s="4" t="e">
        <f t="shared" ca="1" si="6307"/>
        <v>#REF!</v>
      </c>
      <c r="CJ364" s="692" t="str">
        <f ca="1">IFERROR(IF(AD360="Nested Steel Stud (wood infill)",VLOOKUP(INDEX(CF359:CF370,CI364),SSW,2,FALSE),VLOOKUP(INDEX(CF359:CF370,CI364),SSM,2,FALSE)),"----")</f>
        <v>----</v>
      </c>
      <c r="CK364" s="691" t="e">
        <f t="shared" ca="1" si="6308"/>
        <v>#N/A</v>
      </c>
      <c r="CL364" s="4" t="e">
        <f ca="1">IF(AND(INDEX(WSM,CK364,4)&gt;=$AB359,INDEX(WSM,CK364,5)&gt;=$S359,INDEX(WSM,CK364,6)&gt;=$R359),1,0)</f>
        <v>#N/A</v>
      </c>
      <c r="CM364" s="4" t="e">
        <f t="shared" ref="CM364" ca="1" si="6387">MATCH(1,OFFSET(CL359:CL370,CN363,0,COUNT(CL359:CL370)-CN363),0)</f>
        <v>#REF!</v>
      </c>
      <c r="CN364" s="4" t="e">
        <f t="shared" ca="1" si="6310"/>
        <v>#REF!</v>
      </c>
      <c r="CO364" s="692" t="str">
        <f ca="1">IFERROR(VLOOKUP(INDEX(CK359:CK370,CN364),WSM,2,FALSE),"----")</f>
        <v>----</v>
      </c>
      <c r="CP364" s="691" t="e">
        <f t="shared" ca="1" si="6311"/>
        <v>#N/A</v>
      </c>
      <c r="CQ364" s="4" t="e">
        <f ca="1">IF(AND(INDEX(STM,CP364,4)&gt;=$AB359,INDEX(STM,CP364,5)&gt;=$S359,INDEX(STM,CP364,6)&gt;=$R359),1,0)</f>
        <v>#N/A</v>
      </c>
      <c r="CR364" s="4" t="e">
        <f t="shared" ref="CR364" ca="1" si="6388">MATCH(1,OFFSET(CQ359:CQ370,CS363,0,COUNT(CQ359:CQ370)-CS363),0)</f>
        <v>#REF!</v>
      </c>
      <c r="CS364" s="4" t="e">
        <f t="shared" ca="1" si="6313"/>
        <v>#REF!</v>
      </c>
      <c r="CT364" s="692" t="str">
        <f ca="1">IFERROR(VLOOKUP(INDEX(CP359:CP370,CS364),STM,2,FALSE),"----")</f>
        <v>----</v>
      </c>
      <c r="CU364" s="691" t="e">
        <f t="shared" ca="1" si="6314"/>
        <v>#N/A</v>
      </c>
      <c r="CV364" s="4" t="e">
        <f ca="1">IF(AND(INDEX(ELM,CU364,4)&gt;=$AB359,INDEX(ELM,CU364,5)&gt;=$S359,INDEX(ELM,CU364,6)&gt;=$R359),1,0)</f>
        <v>#N/A</v>
      </c>
      <c r="CW364" s="4" t="e">
        <f t="shared" ref="CW364" ca="1" si="6389">MATCH(1,OFFSET(CV359:CV370,CX363,0,COUNT(CV359:CV370)-CX363),0)</f>
        <v>#REF!</v>
      </c>
      <c r="CX364" s="4" t="e">
        <f t="shared" ca="1" si="6316"/>
        <v>#REF!</v>
      </c>
      <c r="CY364" s="692" t="str">
        <f ca="1">IFERROR(VLOOKUP(INDEX(CU359:CU370,CX364),ELM,2,FALSE),"----")</f>
        <v>----</v>
      </c>
      <c r="CZ364" s="691" t="e">
        <f t="shared" ca="1" si="6317"/>
        <v>#N/A</v>
      </c>
      <c r="DA364" s="4" t="e">
        <f ca="1">IF(LEFT($J359,7)="Clad Wo",IF(AND(INDEX(SPPWS,CZ364,4)&gt;=$AB359,INDEX(SPPWS,CZ364,5)&gt;=$S359,INDEX(SPPWS,CZ364,6)&gt;=$R359),1,0),IF(AND(INDEX(SPM,CZ364,4)&gt;=$AB359,INDEX(SPM,CZ364,5)&gt;=$S359,INDEX(SPM,CZ364,6)&gt;=$R359),1,0))</f>
        <v>#N/A</v>
      </c>
      <c r="DB364" s="4" t="e">
        <f t="shared" ref="DB364" ca="1" si="6390">MATCH(1,OFFSET(DA359:DA370,DC363,0,COUNT(DA359:DA370)-DC363),0)</f>
        <v>#REF!</v>
      </c>
      <c r="DC364" s="4" t="e">
        <f t="shared" ca="1" si="6319"/>
        <v>#REF!</v>
      </c>
      <c r="DD364" s="693" t="str">
        <f ca="1">IF(LEFT($J359,7)="Clad Wo",IFERROR(VLOOKUP(INDEX(CZ359:CZ370,DC364),SPPWS,2,FALSE),"----"),IFERROR(VLOOKUP(INDEX(CZ359:CZ370,DC364),SPM,2,FALSE),"----"))</f>
        <v>----</v>
      </c>
      <c r="DE364" s="691" t="e">
        <f t="shared" ca="1" si="6320"/>
        <v>#REF!</v>
      </c>
      <c r="DF364" s="4" t="e" cm="1">
        <f t="array" aca="1" ref="DF364" ca="1">IF(AND(INDEX(INDIRECT(BY359),DE364,4)&gt;=$AB365,INDEX(INDIRECT(BY359),DE364,5)&gt;=$S359,INDEX(INDIRECT(BY359),DE364,6)&gt;=$R359),1,0)</f>
        <v>#REF!</v>
      </c>
      <c r="DG364" s="4" t="e">
        <f t="shared" ref="DG364" ca="1" si="6391">MATCH(1,OFFSET(DF359:DF370,DH363,0,COUNT(DF359:DF370)-DH363),0)</f>
        <v>#REF!</v>
      </c>
      <c r="DH364" s="4" t="e">
        <f t="shared" ca="1" si="6322"/>
        <v>#REF!</v>
      </c>
      <c r="DI364" s="692" t="str" cm="1">
        <f t="array" aca="1" ref="DI364" ca="1">IFERROR(VLOOKUP(INDEX(DE359:DE370,DH364),INDIRECT(BY359),2,FALSE),"----")</f>
        <v>----</v>
      </c>
      <c r="DJ364" s="691" t="e">
        <f t="shared" ca="1" si="6323"/>
        <v>#N/A</v>
      </c>
      <c r="DK364" s="4" t="e">
        <f ca="1">IF(AND(INDEX(SSM,DJ364,4)&gt;=$AB365,INDEX(SSM,DJ364,5)&gt;=$S359,INDEX(SSM,DJ364,6)&gt;=$R359),1,0)</f>
        <v>#N/A</v>
      </c>
      <c r="DL364" s="4" t="e">
        <f t="shared" ref="DL364" ca="1" si="6392">MATCH(1,OFFSET(DK359:DK370,DM363,0,COUNT(DK359:DK370)-DM363),0)</f>
        <v>#REF!</v>
      </c>
      <c r="DM364" s="4" t="e">
        <f t="shared" ca="1" si="6325"/>
        <v>#REF!</v>
      </c>
      <c r="DN364" s="692" t="str">
        <f ca="1">IFERROR(IF(AD366="Nested Steel Stud (wood infill)",VLOOKUP(INDEX(DJ359:DJ370,DM364),SSW,2,FALSE),VLOOKUP(INDEX(DJ359:DJ370,DM364),SSM,2,FALSE)),"----")</f>
        <v>----</v>
      </c>
      <c r="DO364" s="691" t="e">
        <f t="shared" ca="1" si="6326"/>
        <v>#N/A</v>
      </c>
      <c r="DP364" s="4" t="e">
        <f ca="1">IF(AND(INDEX(WSM,DO364,4)&gt;=$AB365,INDEX(WSM,DO364,5)&gt;=$S359,INDEX(WSM,DO364,6)&gt;=$R359),1,0)</f>
        <v>#N/A</v>
      </c>
      <c r="DQ364" s="4" t="e">
        <f t="shared" ref="DQ364" ca="1" si="6393">MATCH(1,OFFSET(DP359:DP370,DR363,0,COUNT(DP359:DP370)-DR363),0)</f>
        <v>#REF!</v>
      </c>
      <c r="DR364" s="4" t="e">
        <f t="shared" ca="1" si="6328"/>
        <v>#REF!</v>
      </c>
      <c r="DS364" s="692" t="str">
        <f ca="1">IFERROR(VLOOKUP(INDEX(DO359:DO370,DR364),WSM,2,FALSE),"----")</f>
        <v>----</v>
      </c>
      <c r="DT364" s="691" t="e">
        <f t="shared" ca="1" si="6329"/>
        <v>#N/A</v>
      </c>
      <c r="DU364" s="4" t="e">
        <f ca="1">IF(AND(INDEX(STM,DT364,4)&gt;=$AB365,INDEX(STM,DT364,5)&gt;=$S359,INDEX(STM,DT364,6)&gt;=$R359),1,0)</f>
        <v>#N/A</v>
      </c>
      <c r="DV364" s="4" t="e">
        <f t="shared" ref="DV364" ca="1" si="6394">MATCH(1,OFFSET(DU359:DU370,DW363,0,COUNT(DU359:DU370)-DW363),0)</f>
        <v>#REF!</v>
      </c>
      <c r="DW364" s="4" t="e">
        <f t="shared" ca="1" si="6331"/>
        <v>#REF!</v>
      </c>
      <c r="DX364" s="692" t="str">
        <f ca="1">IFERROR(VLOOKUP(INDEX(DT359:DT370,DW364),STM,2,FALSE),"----")</f>
        <v>----</v>
      </c>
      <c r="DY364" s="691" t="e">
        <f t="shared" ca="1" si="6332"/>
        <v>#N/A</v>
      </c>
      <c r="DZ364" s="4" t="e">
        <f ca="1">IF(AND(INDEX(ELM,DY364,4)&gt;=$AB365,INDEX(ELM,DY364,5)&gt;=$S359,INDEX(ELM,DY364,6)&gt;=$R359),1,0)</f>
        <v>#N/A</v>
      </c>
      <c r="EA364" s="4" t="e">
        <f t="shared" ref="EA364" ca="1" si="6395">MATCH(1,OFFSET(DZ359:DZ370,EB363,0,COUNT(DZ359:DZ370)-EB363),0)</f>
        <v>#REF!</v>
      </c>
      <c r="EB364" s="4" t="e">
        <f t="shared" ca="1" si="6334"/>
        <v>#REF!</v>
      </c>
      <c r="EC364" s="692" t="str">
        <f ca="1">IFERROR(VLOOKUP(INDEX(DY359:DY370,EB364),ELM,2,FALSE),"----")</f>
        <v>----</v>
      </c>
      <c r="ED364" s="691" t="e">
        <f t="shared" ca="1" si="6335"/>
        <v>#N/A</v>
      </c>
      <c r="EE364" s="4" t="e">
        <f ca="1">IF(LEFT($J359,7)="Clad Wo",IF(AND(INDEX(SPPWS,ED364,4)&gt;=$AB365,INDEX(SPPWS,ED364,5)&gt;=$S359,INDEX(SPPWS,ED364,6)&gt;=$R359),1,0),IF(AND(INDEX(SPM,ED364,4)&gt;=$AB365,INDEX(SPM,ED364,5)&gt;=$S359,INDEX(SPM,ED364,6)&gt;=$R359),1,0))</f>
        <v>#N/A</v>
      </c>
      <c r="EF364" s="4" t="e">
        <f t="shared" ref="EF364" ca="1" si="6396">MATCH(1,OFFSET(EE359:EE370,EG363,0,COUNT(EE359:EE370)-EG363),0)</f>
        <v>#REF!</v>
      </c>
      <c r="EG364" s="4" t="e">
        <f t="shared" ca="1" si="6337"/>
        <v>#REF!</v>
      </c>
      <c r="EH364" s="692" t="str">
        <f ca="1">IF(LEFT($J359,7)="Clad Wo",IFERROR(VLOOKUP(INDEX(ED359:ED370,EG364),SPPWS,2,FALSE),"----"),IFERROR(VLOOKUP(INDEX(ED359:ED370,EG364),SPM,2,FALSE),"----"))</f>
        <v>----</v>
      </c>
    </row>
    <row r="365" spans="1:138" ht="15" customHeight="1" x14ac:dyDescent="0.25">
      <c r="A365" s="1085"/>
      <c r="B365" s="925" t="s">
        <v>409</v>
      </c>
      <c r="C365" s="926"/>
      <c r="D365" s="927"/>
      <c r="E365" s="995"/>
      <c r="F365" s="996"/>
      <c r="G365" s="997"/>
      <c r="H365" s="1062"/>
      <c r="I365" s="990"/>
      <c r="J365" s="908"/>
      <c r="K365" s="909"/>
      <c r="L365" s="1001">
        <f>L359+1</f>
        <v>5</v>
      </c>
      <c r="M365" s="1064" t="str">
        <f t="shared" ref="M365" si="6397">IFERROR(IF($AE$17="",IF($AG$19="Wind Loading",MIN($V$31,IF(E$11="ASCE 7-05",$U$26,$V$7)*$V$9*(IF($E$12&lt;60,0.156*LN(MAX(MIN(500,O359),10)) -1.7618,IF($E$11="ASCE 7-22", 0.2026*LN(MAX(MIN(500,O359),20))-2.2638,0.2503*LN(MAX(MIN(500,O359),20)) -2.5526))-$V$8)),$V$7*IF(E$12&lt;60,$V$13*($V$15*(0.156*LN(MAX(MIN(500,O359),10)) -1.7618)-$V$16),$V$13*$V$15*((0.2026*LN(MAX(MIN(500,O359),20))-2.2638)-$V$16))),-ABS($AE$17)),"")</f>
        <v/>
      </c>
      <c r="N365" s="1041" t="str">
        <f t="shared" ref="N365" si="6398">IFERROR(IF($AE$19="",IF($AG$19="Wind Loading",MAX($U$31,IF(E$11="ASCE 7-05",$U$26,$V$7)*$V$9*((IF($E$12&lt;60,-0.077*LN(MAX(MIN(500,O359),10))+1.1737,IF($E$11="ASCE 7-22",-0.077*LN(MAX(MIN(500,O359),20))+1.0798,-0.093*LN(MAX(MIN(500,O359),20))+1.1776)))+$V$8)),$V$7*IF(E$12&lt;60,$V$13*($V$15*(-0.077*LN(MAX(MIN(500,O359),10))+1.1737)-$V$17),$V$13*$V$15*((-0.077*LN(MAX(MIN(500,O359),20))+1.0798)-$V$17))),ABS($AE$19)),"")</f>
        <v/>
      </c>
      <c r="O365" s="1018"/>
      <c r="P365" s="987"/>
      <c r="Q365" s="1015"/>
      <c r="R365" s="1012">
        <f>P365*Q365/8</f>
        <v>0</v>
      </c>
      <c r="S365" s="1006"/>
      <c r="T365" s="1007"/>
      <c r="U365" s="878"/>
      <c r="V365" s="881"/>
      <c r="W365" s="883" t="e">
        <f t="shared" ref="W365" si="6399">MAX(-M365,N365)*O359</f>
        <v>#VALUE!</v>
      </c>
      <c r="X365" s="884"/>
      <c r="Y365" s="886">
        <f>IFERROR(IF(AG$14="Trapezoidal",BY368,BX368)+IF($E$17="4",(400*E359^3)/(48*X359),0),0)</f>
        <v>0</v>
      </c>
      <c r="Z365" s="886" t="e">
        <f t="shared" ref="Z365" si="6400">+($V359*MAX(-$M365,$N365)*$E359^2)/(144*8)+IF($E$17=4,(400*$E359)/4,0)</f>
        <v>#VALUE!</v>
      </c>
      <c r="AA365" s="887"/>
      <c r="AB365" s="1080" t="str">
        <f t="shared" ref="AB365" ca="1" si="6401">IFERROR(Z365-AA359,"")</f>
        <v/>
      </c>
      <c r="AC365" s="1086" t="str">
        <f t="shared" ref="AC365" ca="1" si="6402">IFERROR(Y365-U359,"")</f>
        <v/>
      </c>
      <c r="AD365" s="1074" t="str">
        <f t="shared" ref="AD365" si="6403">AD359</f>
        <v/>
      </c>
      <c r="AE365" s="1075"/>
      <c r="AF365" s="1056"/>
      <c r="AG365" s="1057"/>
      <c r="AH365" s="1057"/>
      <c r="AI365" s="1088"/>
      <c r="AJ365" s="1089"/>
      <c r="AK365" s="162" t="str">
        <f t="shared" ca="1" si="6208"/>
        <v/>
      </c>
      <c r="AL365" s="1058" t="str">
        <f t="shared" ref="AL365" si="6404">IFERROR(ROUND(SQRT(P359^2+(W365/2+IF($E$17=4,200,0))^2),0),"")</f>
        <v/>
      </c>
      <c r="AM365" s="342" t="s">
        <v>669</v>
      </c>
      <c r="AN365" t="str">
        <f t="shared" ca="1" si="6226"/>
        <v/>
      </c>
      <c r="AP365" s="122" t="str">
        <f t="shared" ref="AP365" si="6405">_xlfn.CONCAT(AR365,AS370)</f>
        <v/>
      </c>
      <c r="AQ365" s="683" t="str">
        <f t="shared" si="5170"/>
        <v/>
      </c>
      <c r="AR365" s="96" t="str">
        <f t="shared" si="6193"/>
        <v/>
      </c>
      <c r="AS365" s="96" t="str">
        <f>IF(COUNTIF(imp_1,AF365)=1,"imp_1",IF(COUNTIF(imp_2,AF365)=1,"imp_2",IF(COUNTIF(imp_3,AF365)=1,"imp_3",IF(COUNTIF(impdoor,AF365)=1,"impdoor",""))))</f>
        <v/>
      </c>
      <c r="AT365" s="684" t="str">
        <f>AL365</f>
        <v/>
      </c>
      <c r="AU365" s="685" t="e">
        <f t="shared" ca="1" si="5187"/>
        <v>#REF!</v>
      </c>
      <c r="AV365" s="686" t="str">
        <f ca="1">IFERROR(VLOOKUP(AU365,INDIRECT(AQ359),2,FALSE),"----")</f>
        <v>----</v>
      </c>
      <c r="AW365" s="685" t="e">
        <f t="shared" ca="1" si="5188"/>
        <v>#REF!</v>
      </c>
      <c r="AX365" s="686" t="str">
        <f ca="1">IFERROR(VLOOKUP(AW365,INDIRECT(AQ360),2,FALSE),"----")</f>
        <v>----</v>
      </c>
      <c r="AY365" s="685" t="e">
        <f t="shared" ca="1" si="6383"/>
        <v>#REF!</v>
      </c>
      <c r="AZ365" s="686" t="str">
        <f ca="1">IFERROR(VLOOKUP(AY365,INDIRECT(AQ361),2,FALSE),"----")</f>
        <v>----</v>
      </c>
      <c r="BA365" s="685" t="e">
        <f t="shared" ca="1" si="6384"/>
        <v>#REF!</v>
      </c>
      <c r="BB365" s="686" t="str">
        <f ca="1">IFERROR(VLOOKUP(BA365,INDIRECT(AQ362),2,FALSE),"----")</f>
        <v>----</v>
      </c>
      <c r="BC365" s="685" t="e">
        <f t="shared" ca="1" si="5191"/>
        <v>#REF!</v>
      </c>
      <c r="BD365" s="686" t="str">
        <f ca="1">IFERROR(VLOOKUP(BC365,INDIRECT(AQ363),2,FALSE),"----")</f>
        <v>----</v>
      </c>
      <c r="BE365" s="685" t="e">
        <f t="shared" ca="1" si="5192"/>
        <v>#REF!</v>
      </c>
      <c r="BF365" s="686" t="str">
        <f ca="1">IFERROR(VLOOKUP(BE365,INDIRECT(AQ364),2,FALSE),"----")</f>
        <v>----</v>
      </c>
      <c r="BG365" s="702" t="e">
        <f t="shared" ca="1" si="5193"/>
        <v>#REF!</v>
      </c>
      <c r="BH365" s="686" t="str">
        <f ca="1">IFERROR(VLOOKUP(BG365,INDIRECT(AQ365),2,FALSE),"----")</f>
        <v>----</v>
      </c>
      <c r="BI365" s="702" t="e">
        <f t="shared" ca="1" si="5194"/>
        <v>#REF!</v>
      </c>
      <c r="BJ365" s="686" t="str">
        <f ca="1">IFERROR(VLOOKUP(BI365,INDIRECT(AQ366),2,FALSE),"----")</f>
        <v>----</v>
      </c>
      <c r="BK365" s="702" t="e">
        <f t="shared" ca="1" si="5195"/>
        <v>#REF!</v>
      </c>
      <c r="BL365" s="686" t="str">
        <f ca="1">IFERROR(VLOOKUP(BK365,INDIRECT(AQ367),2,FALSE),"----")</f>
        <v>----</v>
      </c>
      <c r="BM365" s="702" t="e">
        <f t="shared" ca="1" si="5196"/>
        <v>#REF!</v>
      </c>
      <c r="BN365" s="686" t="str">
        <f ca="1">IFERROR(VLOOKUP(BM365,INDIRECT(AQ368),2,FALSE),"----")</f>
        <v>----</v>
      </c>
      <c r="BO365" s="702" t="e">
        <f t="shared" ca="1" si="5197"/>
        <v>#REF!</v>
      </c>
      <c r="BP365" s="686" t="str">
        <f ca="1">IFERROR(VLOOKUP(BO365,INDIRECT(AQ369),2,FALSE),"----")</f>
        <v>----</v>
      </c>
      <c r="BQ365" s="702" t="e">
        <f t="shared" ca="1" si="5198"/>
        <v>#REF!</v>
      </c>
      <c r="BR365" s="686" t="str">
        <f ca="1">IFERROR(VLOOKUP(BQ365,INDIRECT(AQ370),2,FALSE),"----")</f>
        <v>----</v>
      </c>
      <c r="BS365" s="695">
        <f>IF(AI365="",1,IF(COUNTIF(BH359:BH370,AI365)=0,2,1))</f>
        <v>1</v>
      </c>
      <c r="BT365" s="696">
        <f>IF(AP365="1",1,IF(AF365="",1,IF(BH359=".",2,1)))</f>
        <v>1</v>
      </c>
      <c r="BU365" s="706"/>
      <c r="BV365" s="155">
        <f ca="1">IF(COUNTIF(DI359:DI370,AF365)=0,IF(AF365&lt;&gt;"",0,1),1)</f>
        <v>1</v>
      </c>
      <c r="BW365" s="157">
        <f ca="1">IFERROR(MATCH(AF365,DI359:DI370,0),1)</f>
        <v>1</v>
      </c>
      <c r="BX365" s="769" t="s">
        <v>1593</v>
      </c>
      <c r="BY365" s="769" t="s">
        <v>1629</v>
      </c>
      <c r="BZ365" s="1110"/>
      <c r="CA365" s="691" t="e">
        <f t="shared" ca="1" si="6302"/>
        <v>#REF!</v>
      </c>
      <c r="CB365" s="4" t="e" cm="1">
        <f t="array" aca="1" ref="CB365" ca="1">IF(AND(INDEX(INDIRECT(BY359),CA365,4)&gt;=$AB359,INDEX(INDIRECT(BY359),CA365,5)&gt;=$S359,INDEX(INDIRECT(BY359),CA365,6)&gt;=$R359),1,0)</f>
        <v>#REF!</v>
      </c>
      <c r="CC365" s="4" t="e">
        <f t="shared" ref="CC365" ca="1" si="6406">MATCH(1,OFFSET(CB359:CB370,CD364,0,COUNT(CB359:CB370)-CD364),0)</f>
        <v>#REF!</v>
      </c>
      <c r="CD365" s="4" t="e">
        <f t="shared" ca="1" si="6304"/>
        <v>#REF!</v>
      </c>
      <c r="CE365" s="692" t="str" cm="1">
        <f t="array" aca="1" ref="CE365" ca="1">IFERROR(VLOOKUP(INDEX(CA359:CA370,CD365),INDIRECT(BY359),2,FALSE),"----")</f>
        <v>----</v>
      </c>
      <c r="CF365" s="691" t="e">
        <f t="shared" ca="1" si="6305"/>
        <v>#N/A</v>
      </c>
      <c r="CG365" s="4" t="e">
        <f ca="1">IF(AND(INDEX(SSM,CF365,4)&gt;=$AB359,INDEX(SSM,CF365,5)&gt;=$S359,INDEX(SSM,CF365,6)&gt;=$R359),1,0)</f>
        <v>#N/A</v>
      </c>
      <c r="CH365" s="4" t="e">
        <f t="shared" ref="CH365" ca="1" si="6407">MATCH(1,OFFSET(CG359:CG370,CI364,0,COUNT(CG359:CG370)-CI364),0)</f>
        <v>#REF!</v>
      </c>
      <c r="CI365" s="4" t="e">
        <f t="shared" ca="1" si="6307"/>
        <v>#REF!</v>
      </c>
      <c r="CJ365" s="692" t="str">
        <f ca="1">IFERROR(IF(AD360="Nested Steel Stud (wood infill)",VLOOKUP(INDEX(CF359:CF370,CI365),SSW,2,FALSE),VLOOKUP(INDEX(CF359:CF370,CI365),SSM,2,FALSE)),"----")</f>
        <v>----</v>
      </c>
      <c r="CK365" s="691" t="e">
        <f t="shared" ca="1" si="6308"/>
        <v>#N/A</v>
      </c>
      <c r="CL365" s="4" t="e">
        <f ca="1">IF(AND(INDEX(WSM,CK365,4)&gt;=$AB359,INDEX(WSM,CK365,5)&gt;=$S359,INDEX(WSM,CK365,6)&gt;=$R359),1,0)</f>
        <v>#N/A</v>
      </c>
      <c r="CM365" s="4" t="e">
        <f t="shared" ref="CM365" ca="1" si="6408">MATCH(1,OFFSET(CL359:CL370,CN364,0,COUNT(CL359:CL370)-CN364),0)</f>
        <v>#REF!</v>
      </c>
      <c r="CN365" s="4" t="e">
        <f t="shared" ca="1" si="6310"/>
        <v>#REF!</v>
      </c>
      <c r="CO365" s="692" t="str">
        <f ca="1">IFERROR(VLOOKUP(INDEX(CK359:CK370,CN365),WSM,2,FALSE),"----")</f>
        <v>----</v>
      </c>
      <c r="CP365" s="691" t="e">
        <f t="shared" ca="1" si="6311"/>
        <v>#N/A</v>
      </c>
      <c r="CQ365" s="4" t="e">
        <f ca="1">IF(AND(INDEX(STM,CP365,4)&gt;=$AB359,INDEX(STM,CP365,5)&gt;=$S359,INDEX(STM,CP365,6)&gt;=$R359),1,0)</f>
        <v>#N/A</v>
      </c>
      <c r="CR365" s="4" t="e">
        <f t="shared" ref="CR365" ca="1" si="6409">MATCH(1,OFFSET(CQ359:CQ370,CS364,0,COUNT(CQ359:CQ370)-CS364),0)</f>
        <v>#REF!</v>
      </c>
      <c r="CS365" s="4" t="e">
        <f t="shared" ca="1" si="6313"/>
        <v>#REF!</v>
      </c>
      <c r="CT365" s="692" t="str">
        <f ca="1">IFERROR(VLOOKUP(INDEX(CP359:CP370,CS365),STM,2,FALSE),"----")</f>
        <v>----</v>
      </c>
      <c r="CU365" s="691" t="e">
        <f t="shared" ca="1" si="6314"/>
        <v>#N/A</v>
      </c>
      <c r="CV365" s="4" t="e">
        <f ca="1">IF(AND(INDEX(ELM,CU365,4)&gt;=$AB359,INDEX(ELM,CU365,5)&gt;=$S359,INDEX(ELM,CU365,6)&gt;=$R359),1,0)</f>
        <v>#N/A</v>
      </c>
      <c r="CW365" s="4" t="e">
        <f t="shared" ref="CW365" ca="1" si="6410">MATCH(1,OFFSET(CV359:CV370,CX364,0,COUNT(CV359:CV370)-CX364),0)</f>
        <v>#REF!</v>
      </c>
      <c r="CX365" s="4" t="e">
        <f t="shared" ca="1" si="6316"/>
        <v>#REF!</v>
      </c>
      <c r="CY365" s="692" t="str">
        <f ca="1">IFERROR(VLOOKUP(INDEX(CU359:CU370,CX365),ELM,2,FALSE),"----")</f>
        <v>----</v>
      </c>
      <c r="CZ365" s="691" t="e">
        <f t="shared" ca="1" si="6317"/>
        <v>#N/A</v>
      </c>
      <c r="DA365" s="4" t="e">
        <f ca="1">IF(LEFT($J359,7)="Clad Wo",IF(AND(INDEX(SPPWS,CZ365,4)&gt;=$AB359,INDEX(SPPWS,CZ365,5)&gt;=$S359,INDEX(SPPWS,CZ365,6)&gt;=$R359),1,0),IF(AND(INDEX(SPM,CZ365,4)&gt;=$AB359,INDEX(SPM,CZ365,5)&gt;=$S359,INDEX(SPM,CZ365,6)&gt;=$R359),1,0))</f>
        <v>#N/A</v>
      </c>
      <c r="DB365" s="4" t="e">
        <f t="shared" ref="DB365" ca="1" si="6411">MATCH(1,OFFSET(DA359:DA370,DC364,0,COUNT(DA359:DA370)-DC364),0)</f>
        <v>#REF!</v>
      </c>
      <c r="DC365" s="4" t="e">
        <f t="shared" ca="1" si="6319"/>
        <v>#REF!</v>
      </c>
      <c r="DD365" s="693" t="str">
        <f ca="1">IF(LEFT($J359,7)="Clad Wo",IFERROR(VLOOKUP(INDEX(CZ359:CZ370,DC365),SPPWS,2,FALSE),"----"),IFERROR(VLOOKUP(INDEX(CZ359:CZ370,DC365),SPM,2,FALSE),"----"))</f>
        <v>----</v>
      </c>
      <c r="DE365" s="691" t="e">
        <f t="shared" ca="1" si="6320"/>
        <v>#REF!</v>
      </c>
      <c r="DF365" s="4" t="e" cm="1">
        <f t="array" aca="1" ref="DF365" ca="1">IF(AND(INDEX(INDIRECT(BY359),DE365,4)&gt;=$AB365,INDEX(INDIRECT(BY359),DE365,5)&gt;=$S359,INDEX(INDIRECT(BY359),DE365,6)&gt;=$R359),1,0)</f>
        <v>#REF!</v>
      </c>
      <c r="DG365" s="4" t="e">
        <f t="shared" ref="DG365" ca="1" si="6412">MATCH(1,OFFSET(DF359:DF370,DH364,0,COUNT(DF359:DF370)-DH364),0)</f>
        <v>#REF!</v>
      </c>
      <c r="DH365" s="4" t="e">
        <f t="shared" ca="1" si="6322"/>
        <v>#REF!</v>
      </c>
      <c r="DI365" s="692" t="str" cm="1">
        <f t="array" aca="1" ref="DI365" ca="1">IFERROR(VLOOKUP(INDEX(DE359:DE370,DH365),INDIRECT(BY359),2,FALSE),"----")</f>
        <v>----</v>
      </c>
      <c r="DJ365" s="691" t="e">
        <f t="shared" ca="1" si="6323"/>
        <v>#N/A</v>
      </c>
      <c r="DK365" s="4" t="e">
        <f ca="1">IF(AND(INDEX(SSM,DJ365,4)&gt;=$AB365,INDEX(SSM,DJ365,5)&gt;=$S359,INDEX(SSM,DJ365,6)&gt;=$R359),1,0)</f>
        <v>#N/A</v>
      </c>
      <c r="DL365" s="4" t="e">
        <f t="shared" ref="DL365" ca="1" si="6413">MATCH(1,OFFSET(DK359:DK370,DM364,0,COUNT(DK359:DK370)-DM364),0)</f>
        <v>#REF!</v>
      </c>
      <c r="DM365" s="4" t="e">
        <f t="shared" ca="1" si="6325"/>
        <v>#REF!</v>
      </c>
      <c r="DN365" s="692" t="str">
        <f ca="1">IFERROR(IF(AD366="Nested Steel Stud (wood infill)",VLOOKUP(INDEX(DJ359:DJ370,DM365),SSW,2,FALSE),VLOOKUP(INDEX(DJ359:DJ370,DM365),SSM,2,FALSE)),"----")</f>
        <v>----</v>
      </c>
      <c r="DO365" s="691" t="e">
        <f t="shared" ca="1" si="6326"/>
        <v>#N/A</v>
      </c>
      <c r="DP365" s="4" t="e">
        <f ca="1">IF(AND(INDEX(WSM,DO365,4)&gt;=$AB365,INDEX(WSM,DO365,5)&gt;=$S359,INDEX(WSM,DO365,6)&gt;=$R359),1,0)</f>
        <v>#N/A</v>
      </c>
      <c r="DQ365" s="4" t="e">
        <f t="shared" ref="DQ365" ca="1" si="6414">MATCH(1,OFFSET(DP359:DP370,DR364,0,COUNT(DP359:DP370)-DR364),0)</f>
        <v>#REF!</v>
      </c>
      <c r="DR365" s="4" t="e">
        <f t="shared" ca="1" si="6328"/>
        <v>#REF!</v>
      </c>
      <c r="DS365" s="692" t="str">
        <f ca="1">IFERROR(VLOOKUP(INDEX(DO359:DO370,DR365),WSM,2,FALSE),"----")</f>
        <v>----</v>
      </c>
      <c r="DT365" s="691" t="e">
        <f t="shared" ca="1" si="6329"/>
        <v>#N/A</v>
      </c>
      <c r="DU365" s="4" t="e">
        <f ca="1">IF(AND(INDEX(STM,DT365,4)&gt;=$AB365,INDEX(STM,DT365,5)&gt;=$S359,INDEX(STM,DT365,6)&gt;=$R359),1,0)</f>
        <v>#N/A</v>
      </c>
      <c r="DV365" s="4" t="e">
        <f t="shared" ref="DV365" ca="1" si="6415">MATCH(1,OFFSET(DU359:DU370,DW364,0,COUNT(DU359:DU370)-DW364),0)</f>
        <v>#REF!</v>
      </c>
      <c r="DW365" s="4" t="e">
        <f t="shared" ca="1" si="6331"/>
        <v>#REF!</v>
      </c>
      <c r="DX365" s="692" t="str">
        <f ca="1">IFERROR(VLOOKUP(INDEX(DT359:DT370,DW365),STM,2,FALSE),"----")</f>
        <v>----</v>
      </c>
      <c r="DY365" s="691" t="e">
        <f t="shared" ca="1" si="6332"/>
        <v>#N/A</v>
      </c>
      <c r="DZ365" s="4" t="e">
        <f ca="1">IF(AND(INDEX(ELM,DY365,4)&gt;=$AB365,INDEX(ELM,DY365,5)&gt;=$S359,INDEX(ELM,DY365,6)&gt;=$R359),1,0)</f>
        <v>#N/A</v>
      </c>
      <c r="EA365" s="4" t="e">
        <f t="shared" ref="EA365" ca="1" si="6416">MATCH(1,OFFSET(DZ359:DZ370,EB364,0,COUNT(DZ359:DZ370)-EB364),0)</f>
        <v>#REF!</v>
      </c>
      <c r="EB365" s="4" t="e">
        <f t="shared" ca="1" si="6334"/>
        <v>#REF!</v>
      </c>
      <c r="EC365" s="692" t="str">
        <f ca="1">IFERROR(VLOOKUP(INDEX(DY359:DY370,EB365),ELM,2,FALSE),"----")</f>
        <v>----</v>
      </c>
      <c r="ED365" s="691" t="e">
        <f t="shared" ca="1" si="6335"/>
        <v>#N/A</v>
      </c>
      <c r="EE365" s="4" t="e">
        <f ca="1">IF(LEFT($J359,7)="Clad Wo",IF(AND(INDEX(SPPWS,ED365,4)&gt;=$AB365,INDEX(SPPWS,ED365,5)&gt;=$S359,INDEX(SPPWS,ED365,6)&gt;=$R359),1,0),IF(AND(INDEX(SPM,ED365,4)&gt;=$AB365,INDEX(SPM,ED365,5)&gt;=$S359,INDEX(SPM,ED365,6)&gt;=$R359),1,0))</f>
        <v>#N/A</v>
      </c>
      <c r="EF365" s="4" t="e">
        <f t="shared" ref="EF365" ca="1" si="6417">MATCH(1,OFFSET(EE359:EE370,EG364,0,COUNT(EE359:EE370)-EG364),0)</f>
        <v>#REF!</v>
      </c>
      <c r="EG365" s="4" t="e">
        <f t="shared" ca="1" si="6337"/>
        <v>#REF!</v>
      </c>
      <c r="EH365" s="692" t="str">
        <f ca="1">IF(LEFT($J359,7)="Clad Wo",IFERROR(VLOOKUP(INDEX(ED359:ED370,EG365),SPPWS,2,FALSE),"----"),IFERROR(VLOOKUP(INDEX(ED359:ED370,EG365),SPM,2,FALSE),"----"))</f>
        <v>----</v>
      </c>
    </row>
    <row r="366" spans="1:138" ht="15" customHeight="1" x14ac:dyDescent="0.25">
      <c r="A366" s="1085"/>
      <c r="B366" s="925"/>
      <c r="C366" s="926"/>
      <c r="D366" s="927"/>
      <c r="E366" s="995"/>
      <c r="F366" s="996"/>
      <c r="G366" s="997"/>
      <c r="H366" s="1062"/>
      <c r="I366" s="990"/>
      <c r="J366" s="912"/>
      <c r="K366" s="913"/>
      <c r="L366" s="1002"/>
      <c r="M366" s="923"/>
      <c r="N366" s="1042"/>
      <c r="O366" s="1018"/>
      <c r="P366" s="987"/>
      <c r="Q366" s="1015"/>
      <c r="R366" s="1012"/>
      <c r="S366" s="1006"/>
      <c r="T366" s="1007"/>
      <c r="U366" s="878"/>
      <c r="V366" s="881"/>
      <c r="W366" s="884"/>
      <c r="X366" s="884"/>
      <c r="Y366" s="887"/>
      <c r="Z366" s="887"/>
      <c r="AA366" s="887"/>
      <c r="AB366" s="1081"/>
      <c r="AC366" s="1078"/>
      <c r="AD366" s="1070" t="str">
        <f t="shared" ref="AD366" si="6418">IF(ISBLANK(AD360)=TRUE,"",AD360)</f>
        <v>Nested Steel Stud</v>
      </c>
      <c r="AE366" s="1071"/>
      <c r="AF366" s="1052"/>
      <c r="AG366" s="1053"/>
      <c r="AH366" s="1053"/>
      <c r="AI366" s="1066"/>
      <c r="AJ366" s="1067"/>
      <c r="AK366" s="156" t="str">
        <f t="shared" ca="1" si="6208"/>
        <v/>
      </c>
      <c r="AL366" s="1059"/>
      <c r="AM366" s="343" t="str">
        <f ca="1">IFERROR(Q359/12*ROUND(VLOOKUP(AF366,OFFSET(SSM,0,1),6,FALSE),2),"")</f>
        <v/>
      </c>
      <c r="AN366" t="str">
        <f t="shared" ca="1" si="6226"/>
        <v/>
      </c>
      <c r="AP366" s="122" t="str">
        <f t="shared" ref="AP366" si="6419">_xlfn.CONCAT(AR366,AS370)</f>
        <v/>
      </c>
      <c r="AQ366" s="683" t="str">
        <f t="shared" si="5170"/>
        <v/>
      </c>
      <c r="AR366" s="96" t="str">
        <f t="shared" si="6193"/>
        <v/>
      </c>
      <c r="AS366" s="96" t="str">
        <f>IF(COUNTIF(Vista_1,AF365)=1,"Vista_1",IF(COUNTIF(Vista_2,AF365)=1,"Vista_2",""))</f>
        <v/>
      </c>
      <c r="AT366" s="684" t="str">
        <f>AL365</f>
        <v/>
      </c>
      <c r="AU366" s="694" t="e">
        <f t="shared" ca="1" si="5187"/>
        <v>#REF!</v>
      </c>
      <c r="AV366" s="686" t="str">
        <f ca="1">IFERROR(VLOOKUP(AU366,INDIRECT(AQ359),2,FALSE),"----")</f>
        <v>----</v>
      </c>
      <c r="AW366" s="694" t="e">
        <f t="shared" ca="1" si="5188"/>
        <v>#REF!</v>
      </c>
      <c r="AX366" s="686" t="str">
        <f ca="1">IFERROR(VLOOKUP(AW366,INDIRECT(AQ360),2,FALSE),"----")</f>
        <v>----</v>
      </c>
      <c r="AY366" s="694" t="e">
        <f t="shared" ca="1" si="6383"/>
        <v>#REF!</v>
      </c>
      <c r="AZ366" s="686" t="str">
        <f ca="1">IFERROR(VLOOKUP(AY366,INDIRECT(AQ361),2,FALSE),"----")</f>
        <v>----</v>
      </c>
      <c r="BA366" s="694" t="e">
        <f t="shared" ca="1" si="6384"/>
        <v>#REF!</v>
      </c>
      <c r="BB366" s="686" t="str">
        <f ca="1">IFERROR(VLOOKUP(BA366,INDIRECT(AQ362),2,FALSE),"----")</f>
        <v>----</v>
      </c>
      <c r="BC366" s="694" t="e">
        <f t="shared" ca="1" si="5191"/>
        <v>#REF!</v>
      </c>
      <c r="BD366" s="686" t="str">
        <f ca="1">IFERROR(VLOOKUP(BC366,INDIRECT(AQ363),2,FALSE),"----")</f>
        <v>----</v>
      </c>
      <c r="BE366" s="694" t="e">
        <f t="shared" ca="1" si="5192"/>
        <v>#REF!</v>
      </c>
      <c r="BF366" s="686" t="str">
        <f ca="1">IFERROR(VLOOKUP(BE366,INDIRECT(AQ364),2,FALSE),"----")</f>
        <v>----</v>
      </c>
      <c r="BG366" s="702" t="e">
        <f t="shared" ca="1" si="5193"/>
        <v>#REF!</v>
      </c>
      <c r="BH366" s="686" t="str">
        <f ca="1">IFERROR(VLOOKUP(BG366,INDIRECT(AQ365),2,FALSE),"----")</f>
        <v>----</v>
      </c>
      <c r="BI366" s="702" t="e">
        <f t="shared" ca="1" si="5194"/>
        <v>#REF!</v>
      </c>
      <c r="BJ366" s="686" t="str">
        <f ca="1">IFERROR(VLOOKUP(BI366,INDIRECT(AQ366),2,FALSE),"----")</f>
        <v>----</v>
      </c>
      <c r="BK366" s="702" t="e">
        <f t="shared" ca="1" si="5195"/>
        <v>#REF!</v>
      </c>
      <c r="BL366" s="686" t="str">
        <f ca="1">IFERROR(VLOOKUP(BK366,INDIRECT(AQ367),2,FALSE),"----")</f>
        <v>----</v>
      </c>
      <c r="BM366" s="702" t="e">
        <f t="shared" ca="1" si="5196"/>
        <v>#REF!</v>
      </c>
      <c r="BN366" s="686" t="str">
        <f ca="1">IFERROR(VLOOKUP(BM366,INDIRECT(AQ368),2,FALSE),"----")</f>
        <v>----</v>
      </c>
      <c r="BO366" s="702" t="e">
        <f t="shared" ca="1" si="5197"/>
        <v>#REF!</v>
      </c>
      <c r="BP366" s="686" t="str">
        <f ca="1">IFERROR(VLOOKUP(BO366,INDIRECT(AQ369),2,FALSE),"----")</f>
        <v>----</v>
      </c>
      <c r="BQ366" s="702" t="e">
        <f t="shared" ca="1" si="5198"/>
        <v>#REF!</v>
      </c>
      <c r="BR366" s="686" t="str">
        <f ca="1">IFERROR(VLOOKUP(BQ366,INDIRECT(AQ370),2,FALSE),"----")</f>
        <v>----</v>
      </c>
      <c r="BS366" s="695">
        <f>IF(AI366="",1,IF(COUNTIF(BJ359:BJ370,AI366)=0,2,1))</f>
        <v>1</v>
      </c>
      <c r="BT366" s="696">
        <f>IF(AF366="",1,IF(BJ359=".",2,1))</f>
        <v>1</v>
      </c>
      <c r="BU366" s="706"/>
      <c r="BV366" s="155">
        <f ca="1">IF(COUNTIF(DN359:DN370,AF366)=0,IF(AF366&lt;&gt;"",0,1),1)</f>
        <v>1</v>
      </c>
      <c r="BW366" s="157">
        <f ca="1">IFERROR(MATCH(AF366,DN359:DN370,0),1)</f>
        <v>1</v>
      </c>
      <c r="BX366" s="769">
        <f t="shared" ref="BX366" si="6420">E359*(H359+I359)/144/2</f>
        <v>0</v>
      </c>
      <c r="BY366" s="769">
        <f>SUM(IF(H359&gt;E359,E359^2/4,(H359*E359/2)-(H359^2/4))/144,IF(I359&gt;E359,E359^2/4,(I359*E359/2)-(I359^2/4))/144)</f>
        <v>0</v>
      </c>
      <c r="BZ366" s="1110"/>
      <c r="CA366" s="691" t="e">
        <f t="shared" ca="1" si="6302"/>
        <v>#REF!</v>
      </c>
      <c r="CB366" s="4" t="e" cm="1">
        <f t="array" aca="1" ref="CB366" ca="1">IF(AND(INDEX(INDIRECT(BY359),CA366,4)&gt;=$AB359,INDEX(INDIRECT(BY359),CA366,5)&gt;=$S359,INDEX(INDIRECT(BY359),CA366,6)&gt;=$R359),1,0)</f>
        <v>#REF!</v>
      </c>
      <c r="CC366" s="4" t="e">
        <f t="shared" ref="CC366" ca="1" si="6421">MATCH(1,OFFSET(CB359:CB370,CD365,0,COUNT(CB359:CB370)-CD365),0)</f>
        <v>#REF!</v>
      </c>
      <c r="CD366" s="4" t="e">
        <f t="shared" ca="1" si="6304"/>
        <v>#REF!</v>
      </c>
      <c r="CE366" s="692" t="str" cm="1">
        <f t="array" aca="1" ref="CE366" ca="1">IFERROR(VLOOKUP(INDEX(CA359:CA370,CD366),INDIRECT(BY359),2,FALSE),"----")</f>
        <v>----</v>
      </c>
      <c r="CF366" s="691" t="e">
        <f t="shared" ca="1" si="6305"/>
        <v>#N/A</v>
      </c>
      <c r="CG366" s="4" t="e">
        <f ca="1">IF(AND(INDEX(SSM,CF366,4)&gt;=$AB359,INDEX(SSM,CF366,5)&gt;=$S359,INDEX(SSM,CF366,6)&gt;=$R359),1,0)</f>
        <v>#N/A</v>
      </c>
      <c r="CH366" s="4" t="e">
        <f t="shared" ref="CH366" ca="1" si="6422">MATCH(1,OFFSET(CG359:CG370,CI365,0,COUNT(CG359:CG370)-CI365),0)</f>
        <v>#REF!</v>
      </c>
      <c r="CI366" s="4" t="e">
        <f t="shared" ca="1" si="6307"/>
        <v>#REF!</v>
      </c>
      <c r="CJ366" s="692" t="str">
        <f ca="1">IFERROR(IF(AD360="Nested Steel Stud (wood infill)",VLOOKUP(INDEX(CF359:CF370,CI366),SSW,2,FALSE),VLOOKUP(INDEX(CF359:CF370,CI366),SSM,2,FALSE)),"----")</f>
        <v>----</v>
      </c>
      <c r="CK366" s="691" t="e">
        <f t="shared" ca="1" si="6308"/>
        <v>#N/A</v>
      </c>
      <c r="CL366" s="4" t="e">
        <f ca="1">IF(AND(INDEX(WSM,CK366,4)&gt;=$AB359,INDEX(WSM,CK366,5)&gt;=$S359,INDEX(WSM,CK366,6)&gt;=$R359),1,0)</f>
        <v>#N/A</v>
      </c>
      <c r="CM366" s="4" t="e">
        <f t="shared" ref="CM366" ca="1" si="6423">MATCH(1,OFFSET(CL359:CL370,CN365,0,COUNT(CL359:CL370)-CN365),0)</f>
        <v>#REF!</v>
      </c>
      <c r="CN366" s="4" t="e">
        <f t="shared" ca="1" si="6310"/>
        <v>#REF!</v>
      </c>
      <c r="CO366" s="692" t="str">
        <f ca="1">IFERROR(VLOOKUP(INDEX(CK359:CK370,CN366),WSM,2,FALSE),"----")</f>
        <v>----</v>
      </c>
      <c r="CP366" s="691" t="e">
        <f t="shared" ca="1" si="6311"/>
        <v>#N/A</v>
      </c>
      <c r="CQ366" s="4" t="e">
        <f ca="1">IF(AND(INDEX(STM,CP366,4)&gt;=$AB359,INDEX(STM,CP366,5)&gt;=$S359,INDEX(STM,CP366,6)&gt;=$R359),1,0)</f>
        <v>#N/A</v>
      </c>
      <c r="CR366" s="4" t="e">
        <f t="shared" ref="CR366" ca="1" si="6424">MATCH(1,OFFSET(CQ359:CQ370,CS365,0,COUNT(CQ359:CQ370)-CS365),0)</f>
        <v>#REF!</v>
      </c>
      <c r="CS366" s="4" t="e">
        <f t="shared" ca="1" si="6313"/>
        <v>#REF!</v>
      </c>
      <c r="CT366" s="692" t="str">
        <f ca="1">IFERROR(VLOOKUP(INDEX(CP359:CP370,CS366),STM,2,FALSE),"----")</f>
        <v>----</v>
      </c>
      <c r="CU366" s="691" t="e">
        <f t="shared" ca="1" si="6314"/>
        <v>#N/A</v>
      </c>
      <c r="CV366" s="4" t="e">
        <f ca="1">IF(AND(INDEX(ELM,CU366,4)&gt;=$AB359,INDEX(ELM,CU366,5)&gt;=$S359,INDEX(ELM,CU366,6)&gt;=$R359),1,0)</f>
        <v>#N/A</v>
      </c>
      <c r="CW366" s="4" t="e">
        <f t="shared" ref="CW366" ca="1" si="6425">MATCH(1,OFFSET(CV359:CV370,CX365,0,COUNT(CV359:CV370)-CX365),0)</f>
        <v>#REF!</v>
      </c>
      <c r="CX366" s="4" t="e">
        <f t="shared" ca="1" si="6316"/>
        <v>#REF!</v>
      </c>
      <c r="CY366" s="692" t="str">
        <f ca="1">IFERROR(VLOOKUP(INDEX(CU359:CU370,CX366),ELM,2,FALSE),"----")</f>
        <v>----</v>
      </c>
      <c r="CZ366" s="691" t="e">
        <f t="shared" ca="1" si="6317"/>
        <v>#N/A</v>
      </c>
      <c r="DA366" s="4" t="e">
        <f ca="1">IF(LEFT($J359,7)="Clad Wo",IF(AND(INDEX(SPPWS,CZ366,4)&gt;=$AB359,INDEX(SPPWS,CZ366,5)&gt;=$S359,INDEX(SPPWS,CZ366,6)&gt;=$R359),1,0),IF(AND(INDEX(SPM,CZ366,4)&gt;=$AB359,INDEX(SPM,CZ366,5)&gt;=$S359,INDEX(SPM,CZ366,6)&gt;=$R359),1,0))</f>
        <v>#N/A</v>
      </c>
      <c r="DB366" s="4" t="e">
        <f t="shared" ref="DB366" ca="1" si="6426">MATCH(1,OFFSET(DA359:DA370,DC365,0,COUNT(DA359:DA370)-DC365),0)</f>
        <v>#REF!</v>
      </c>
      <c r="DC366" s="4" t="e">
        <f t="shared" ca="1" si="6319"/>
        <v>#REF!</v>
      </c>
      <c r="DD366" s="693" t="str">
        <f ca="1">IF(LEFT($J359,7)="Clad Wo",IFERROR(VLOOKUP(INDEX(CZ359:CZ370,DC366),SPPWS,2,FALSE),"----"),IFERROR(VLOOKUP(INDEX(CZ359:CZ370,DC366),SPM,2,FALSE),"----"))</f>
        <v>----</v>
      </c>
      <c r="DE366" s="691" t="e">
        <f t="shared" ca="1" si="6320"/>
        <v>#REF!</v>
      </c>
      <c r="DF366" s="4" t="e" cm="1">
        <f t="array" aca="1" ref="DF366" ca="1">IF(AND(INDEX(INDIRECT(BY359),DE366,4)&gt;=$AB365,INDEX(INDIRECT(BY359),DE366,5)&gt;=$S359,INDEX(INDIRECT(BY359),DE366,6)&gt;=$R359),1,0)</f>
        <v>#REF!</v>
      </c>
      <c r="DG366" s="4" t="e">
        <f t="shared" ref="DG366" ca="1" si="6427">MATCH(1,OFFSET(DF359:DF370,DH365,0,COUNT(DF359:DF370)-DH365),0)</f>
        <v>#REF!</v>
      </c>
      <c r="DH366" s="4" t="e">
        <f t="shared" ca="1" si="6322"/>
        <v>#REF!</v>
      </c>
      <c r="DI366" s="692" t="str" cm="1">
        <f t="array" aca="1" ref="DI366" ca="1">IFERROR(VLOOKUP(INDEX(DE359:DE370,DH366),INDIRECT(BY359),2,FALSE),"----")</f>
        <v>----</v>
      </c>
      <c r="DJ366" s="691" t="e">
        <f t="shared" ca="1" si="6323"/>
        <v>#N/A</v>
      </c>
      <c r="DK366" s="4" t="e">
        <f ca="1">IF(AND(INDEX(SSM,DJ366,4)&gt;=$AB365,INDEX(SSM,DJ366,5)&gt;=$S359,INDEX(SSM,DJ366,6)&gt;=$R359),1,0)</f>
        <v>#N/A</v>
      </c>
      <c r="DL366" s="4" t="e">
        <f t="shared" ref="DL366" ca="1" si="6428">MATCH(1,OFFSET(DK359:DK370,DM365,0,COUNT(DK359:DK370)-DM365),0)</f>
        <v>#REF!</v>
      </c>
      <c r="DM366" s="4" t="e">
        <f t="shared" ca="1" si="6325"/>
        <v>#REF!</v>
      </c>
      <c r="DN366" s="692" t="str">
        <f ca="1">IFERROR(IF(AD366="Nested Steel Stud (wood infill)",VLOOKUP(INDEX(DJ359:DJ370,DM366),SSW,2,FALSE),VLOOKUP(INDEX(DJ359:DJ370,DM366),SSM,2,FALSE)),"----")</f>
        <v>----</v>
      </c>
      <c r="DO366" s="691" t="e">
        <f t="shared" ca="1" si="6326"/>
        <v>#N/A</v>
      </c>
      <c r="DP366" s="4" t="e">
        <f ca="1">IF(AND(INDEX(WSM,DO366,4)&gt;=$AB365,INDEX(WSM,DO366,5)&gt;=$S359,INDEX(WSM,DO366,6)&gt;=$R359),1,0)</f>
        <v>#N/A</v>
      </c>
      <c r="DQ366" s="4" t="e">
        <f t="shared" ref="DQ366" ca="1" si="6429">MATCH(1,OFFSET(DP359:DP370,DR365,0,COUNT(DP359:DP370)-DR365),0)</f>
        <v>#REF!</v>
      </c>
      <c r="DR366" s="4" t="e">
        <f t="shared" ca="1" si="6328"/>
        <v>#REF!</v>
      </c>
      <c r="DS366" s="692" t="str">
        <f ca="1">IFERROR(VLOOKUP(INDEX(DO359:DO370,DR366),WSM,2,FALSE),"----")</f>
        <v>----</v>
      </c>
      <c r="DT366" s="691" t="e">
        <f t="shared" ca="1" si="6329"/>
        <v>#N/A</v>
      </c>
      <c r="DU366" s="4" t="e">
        <f ca="1">IF(AND(INDEX(STM,DT366,4)&gt;=$AB365,INDEX(STM,DT366,5)&gt;=$S359,INDEX(STM,DT366,6)&gt;=$R359),1,0)</f>
        <v>#N/A</v>
      </c>
      <c r="DV366" s="4" t="e">
        <f t="shared" ref="DV366" ca="1" si="6430">MATCH(1,OFFSET(DU359:DU370,DW365,0,COUNT(DU359:DU370)-DW365),0)</f>
        <v>#REF!</v>
      </c>
      <c r="DW366" s="4" t="e">
        <f t="shared" ca="1" si="6331"/>
        <v>#REF!</v>
      </c>
      <c r="DX366" s="692" t="str">
        <f ca="1">IFERROR(VLOOKUP(INDEX(DT359:DT370,DW366),STM,2,FALSE),"----")</f>
        <v>----</v>
      </c>
      <c r="DY366" s="691" t="e">
        <f t="shared" ca="1" si="6332"/>
        <v>#N/A</v>
      </c>
      <c r="DZ366" s="4" t="e">
        <f ca="1">IF(AND(INDEX(ELM,DY366,4)&gt;=$AB365,INDEX(ELM,DY366,5)&gt;=$S359,INDEX(ELM,DY366,6)&gt;=$R359),1,0)</f>
        <v>#N/A</v>
      </c>
      <c r="EA366" s="4" t="e">
        <f t="shared" ref="EA366" ca="1" si="6431">MATCH(1,OFFSET(DZ359:DZ370,EB365,0,COUNT(DZ359:DZ370)-EB365),0)</f>
        <v>#REF!</v>
      </c>
      <c r="EB366" s="4" t="e">
        <f t="shared" ca="1" si="6334"/>
        <v>#REF!</v>
      </c>
      <c r="EC366" s="692" t="str">
        <f ca="1">IFERROR(VLOOKUP(INDEX(DY359:DY370,EB366),ELM,2,FALSE),"----")</f>
        <v>----</v>
      </c>
      <c r="ED366" s="691" t="e">
        <f t="shared" ca="1" si="6335"/>
        <v>#N/A</v>
      </c>
      <c r="EE366" s="4" t="e">
        <f ca="1">IF(LEFT($J359,7)="Clad Wo",IF(AND(INDEX(SPPWS,ED366,4)&gt;=$AB365,INDEX(SPPWS,ED366,5)&gt;=$S359,INDEX(SPPWS,ED366,6)&gt;=$R359),1,0),IF(AND(INDEX(SPM,ED366,4)&gt;=$AB365,INDEX(SPM,ED366,5)&gt;=$S359,INDEX(SPM,ED366,6)&gt;=$R359),1,0))</f>
        <v>#N/A</v>
      </c>
      <c r="EF366" s="4" t="e">
        <f t="shared" ref="EF366" ca="1" si="6432">MATCH(1,OFFSET(EE359:EE370,EG365,0,COUNT(EE359:EE370)-EG365),0)</f>
        <v>#REF!</v>
      </c>
      <c r="EG366" s="4" t="e">
        <f t="shared" ca="1" si="6337"/>
        <v>#REF!</v>
      </c>
      <c r="EH366" s="692" t="str">
        <f ca="1">IF(LEFT($J359,7)="Clad Wo",IFERROR(VLOOKUP(INDEX(ED359:ED370,EG366),SPPWS,2,FALSE),"----"),IFERROR(VLOOKUP(INDEX(ED359:ED370,EG366),SPM,2,FALSE),"----"))</f>
        <v>----</v>
      </c>
    </row>
    <row r="367" spans="1:138" ht="15" customHeight="1" x14ac:dyDescent="0.25">
      <c r="A367" s="1085"/>
      <c r="B367" s="925"/>
      <c r="C367" s="926"/>
      <c r="D367" s="927"/>
      <c r="E367" s="995"/>
      <c r="F367" s="996"/>
      <c r="G367" s="997"/>
      <c r="H367" s="1062"/>
      <c r="I367" s="990"/>
      <c r="J367" s="902"/>
      <c r="K367" s="903"/>
      <c r="L367" s="1002"/>
      <c r="M367" s="923"/>
      <c r="N367" s="1042"/>
      <c r="O367" s="1018"/>
      <c r="P367" s="987"/>
      <c r="Q367" s="1015"/>
      <c r="R367" s="1012"/>
      <c r="S367" s="1006"/>
      <c r="T367" s="1007"/>
      <c r="U367" s="878"/>
      <c r="V367" s="881"/>
      <c r="W367" s="884"/>
      <c r="X367" s="884"/>
      <c r="Y367" s="887"/>
      <c r="Z367" s="887"/>
      <c r="AA367" s="887"/>
      <c r="AB367" s="1081"/>
      <c r="AC367" s="1078"/>
      <c r="AD367" s="1070" t="str">
        <f t="shared" si="5955"/>
        <v>Wood Stud Framing</v>
      </c>
      <c r="AE367" s="1071"/>
      <c r="AF367" s="1052"/>
      <c r="AG367" s="1053"/>
      <c r="AH367" s="1053"/>
      <c r="AI367" s="1066"/>
      <c r="AJ367" s="1067"/>
      <c r="AK367" s="156" t="str">
        <f t="shared" ca="1" si="6208"/>
        <v/>
      </c>
      <c r="AL367" s="1059"/>
      <c r="AM367" s="344" t="str">
        <f ca="1">IFERROR(Q359/12*ROUND(VLOOKUP(AF367,OFFSET(WSM,0,1),6,FALSE),2),"")</f>
        <v/>
      </c>
      <c r="AN367" t="str">
        <f t="shared" ca="1" si="6226"/>
        <v/>
      </c>
      <c r="AP367" s="122" t="str">
        <f t="shared" ref="AP367" si="6433">_xlfn.CONCAT(AR367,AS370)</f>
        <v/>
      </c>
      <c r="AQ367" s="683" t="str">
        <f t="shared" ref="AQ367:AQ430" si="6434">IFERROR(LEFT(AP367,LEN(AP367)-1),"")</f>
        <v/>
      </c>
      <c r="AR367" s="4" t="str">
        <f t="shared" si="6193"/>
        <v/>
      </c>
      <c r="AS367" s="4"/>
      <c r="AT367" s="697" t="str">
        <f>AL365</f>
        <v/>
      </c>
      <c r="AU367" s="694" t="e">
        <f t="shared" ca="1" si="5187"/>
        <v>#REF!</v>
      </c>
      <c r="AV367" s="686" t="str">
        <f ca="1">IFERROR(VLOOKUP(AU367,INDIRECT(AQ359),2,FALSE),"----")</f>
        <v>----</v>
      </c>
      <c r="AW367" s="694" t="e">
        <f t="shared" ca="1" si="5188"/>
        <v>#REF!</v>
      </c>
      <c r="AX367" s="686" t="str">
        <f ca="1">IFERROR(VLOOKUP(AW367,INDIRECT(AQ360),2,FALSE),"----")</f>
        <v>----</v>
      </c>
      <c r="AY367" s="694" t="e">
        <f t="shared" ca="1" si="6383"/>
        <v>#REF!</v>
      </c>
      <c r="AZ367" s="686" t="str">
        <f ca="1">IFERROR(VLOOKUP(AY367,INDIRECT(AQ361),2,FALSE),"----")</f>
        <v>----</v>
      </c>
      <c r="BA367" s="694" t="e">
        <f t="shared" ca="1" si="6384"/>
        <v>#REF!</v>
      </c>
      <c r="BB367" s="686" t="str">
        <f ca="1">IFERROR(VLOOKUP(BA367,INDIRECT(AQ362),2,FALSE),"----")</f>
        <v>----</v>
      </c>
      <c r="BC367" s="694" t="e">
        <f t="shared" ca="1" si="5191"/>
        <v>#REF!</v>
      </c>
      <c r="BD367" s="686" t="str">
        <f ca="1">IFERROR(VLOOKUP(BC367,INDIRECT(AQ363),2,FALSE),"----")</f>
        <v>----</v>
      </c>
      <c r="BE367" s="694" t="e">
        <f t="shared" ca="1" si="5192"/>
        <v>#REF!</v>
      </c>
      <c r="BF367" s="686" t="str">
        <f ca="1">IFERROR(VLOOKUP(BE367,INDIRECT(AQ364),2,FALSE),"----")</f>
        <v>----</v>
      </c>
      <c r="BG367" s="702" t="e">
        <f t="shared" ca="1" si="5193"/>
        <v>#REF!</v>
      </c>
      <c r="BH367" s="686" t="str">
        <f ca="1">IFERROR(VLOOKUP(BG367,INDIRECT(AQ365),2,FALSE),"----")</f>
        <v>----</v>
      </c>
      <c r="BI367" s="702" t="e">
        <f t="shared" ca="1" si="5194"/>
        <v>#REF!</v>
      </c>
      <c r="BJ367" s="686" t="str">
        <f ca="1">IFERROR(VLOOKUP(BI367,INDIRECT(AQ366),2,FALSE),"----")</f>
        <v>----</v>
      </c>
      <c r="BK367" s="702" t="e">
        <f t="shared" ca="1" si="5195"/>
        <v>#REF!</v>
      </c>
      <c r="BL367" s="686" t="str">
        <f ca="1">IFERROR(VLOOKUP(BK367,INDIRECT(AQ367),2,FALSE),"----")</f>
        <v>----</v>
      </c>
      <c r="BM367" s="702" t="e">
        <f t="shared" ca="1" si="5196"/>
        <v>#REF!</v>
      </c>
      <c r="BN367" s="686" t="str">
        <f ca="1">IFERROR(VLOOKUP(BM367,INDIRECT(AQ368),2,FALSE),"----")</f>
        <v>----</v>
      </c>
      <c r="BO367" s="702" t="e">
        <f t="shared" ca="1" si="5197"/>
        <v>#REF!</v>
      </c>
      <c r="BP367" s="686" t="str">
        <f ca="1">IFERROR(VLOOKUP(BO367,INDIRECT(AQ369),2,FALSE),"----")</f>
        <v>----</v>
      </c>
      <c r="BQ367" s="702" t="e">
        <f t="shared" ca="1" si="5198"/>
        <v>#REF!</v>
      </c>
      <c r="BR367" s="686" t="str">
        <f ca="1">IFERROR(VLOOKUP(BQ367,INDIRECT(AQ370),2,FALSE),"----")</f>
        <v>----</v>
      </c>
      <c r="BS367" s="695">
        <f>IF(AI367="",1,IF(COUNTIF(BL359:BL370,AI367)=0,2,1))</f>
        <v>1</v>
      </c>
      <c r="BT367" s="696">
        <f>IF(AF367="",1,IF(BL359=".",2,1))</f>
        <v>1</v>
      </c>
      <c r="BU367" s="706"/>
      <c r="BV367" s="155">
        <f ca="1">IF(COUNTIF(DS359:DS370,AF367)=0,IF(AF367&lt;&gt;"",0,1),1)</f>
        <v>1</v>
      </c>
      <c r="BW367" s="157">
        <f ca="1">IFERROR(MATCH(AF367,DS359:DS370,0),1)</f>
        <v>1</v>
      </c>
      <c r="BX367" s="769" t="e">
        <f t="shared" ref="BX367" si="6435">5*E359^3*W359/(384*X359)</f>
        <v>#VALUE!</v>
      </c>
      <c r="BY367" s="769" t="e">
        <f t="shared" ref="BY367" si="6436">W359*E359^3/(60*X359)</f>
        <v>#VALUE!</v>
      </c>
      <c r="BZ367" s="1110"/>
      <c r="CA367" s="691" t="e">
        <f t="shared" ca="1" si="6302"/>
        <v>#REF!</v>
      </c>
      <c r="CB367" s="4" t="e" cm="1">
        <f t="array" aca="1" ref="CB367" ca="1">IF(AND(INDEX(INDIRECT(BY359),CA367,4)&gt;=$AB359,INDEX(INDIRECT(BY359),CA367,5)&gt;=$S359,INDEX(INDIRECT(BY359),CA367,6)&gt;=$R359),1,0)</f>
        <v>#REF!</v>
      </c>
      <c r="CC367" s="4" t="e">
        <f t="shared" ref="CC367" ca="1" si="6437">MATCH(1,OFFSET(CB359:CB370,CD366,0,COUNT(CB359:CB370)-CD366),0)</f>
        <v>#REF!</v>
      </c>
      <c r="CD367" s="4" t="e">
        <f t="shared" ca="1" si="6304"/>
        <v>#REF!</v>
      </c>
      <c r="CE367" s="692" t="str" cm="1">
        <f t="array" aca="1" ref="CE367" ca="1">IFERROR(VLOOKUP(INDEX(CA359:CA370,CD367),INDIRECT(BY359),2,FALSE),"----")</f>
        <v>----</v>
      </c>
      <c r="CF367" s="691" t="e">
        <f t="shared" ca="1" si="6305"/>
        <v>#N/A</v>
      </c>
      <c r="CG367" s="4" t="e">
        <f ca="1">IF(AND(INDEX(SSM,CF367,4)&gt;=$AB359,INDEX(SSM,CF367,5)&gt;=$S359,INDEX(SSM,CF367,6)&gt;=$R359),1,0)</f>
        <v>#N/A</v>
      </c>
      <c r="CH367" s="4" t="e">
        <f t="shared" ref="CH367" ca="1" si="6438">MATCH(1,OFFSET(CG359:CG370,CI366,0,COUNT(CG359:CG370)-CI366),0)</f>
        <v>#REF!</v>
      </c>
      <c r="CI367" s="4" t="e">
        <f t="shared" ca="1" si="6307"/>
        <v>#REF!</v>
      </c>
      <c r="CJ367" s="692" t="str">
        <f ca="1">IFERROR(IF(AD360="Nested Steel Stud (wood infill)",VLOOKUP(INDEX(CF359:CF370,CI367),SSW,2,FALSE),VLOOKUP(INDEX(CF359:CF370,CI367),SSM,2,FALSE)),"----")</f>
        <v>----</v>
      </c>
      <c r="CK367" s="691" t="e">
        <f t="shared" ca="1" si="6308"/>
        <v>#N/A</v>
      </c>
      <c r="CL367" s="4" t="e">
        <f ca="1">IF(AND(INDEX(WSM,CK367,4)&gt;=$AB359,INDEX(WSM,CK367,5)&gt;=$S359,INDEX(WSM,CK367,6)&gt;=$R359),1,0)</f>
        <v>#N/A</v>
      </c>
      <c r="CM367" s="4" t="e">
        <f t="shared" ref="CM367" ca="1" si="6439">MATCH(1,OFFSET(CL359:CL370,CN366,0,COUNT(CL359:CL370)-CN366),0)</f>
        <v>#REF!</v>
      </c>
      <c r="CN367" s="4" t="e">
        <f t="shared" ca="1" si="6310"/>
        <v>#REF!</v>
      </c>
      <c r="CO367" s="692" t="str">
        <f ca="1">IFERROR(VLOOKUP(INDEX(CK359:CK370,CN367),WSM,2,FALSE),"----")</f>
        <v>----</v>
      </c>
      <c r="CP367" s="691" t="e">
        <f t="shared" ca="1" si="6311"/>
        <v>#N/A</v>
      </c>
      <c r="CQ367" s="4" t="e">
        <f ca="1">IF(AND(INDEX(STM,CP367,4)&gt;=$AB359,INDEX(STM,CP367,5)&gt;=$S359,INDEX(STM,CP367,6)&gt;=$R359),1,0)</f>
        <v>#N/A</v>
      </c>
      <c r="CR367" s="4" t="e">
        <f t="shared" ref="CR367" ca="1" si="6440">MATCH(1,OFFSET(CQ359:CQ370,CS366,0,COUNT(CQ359:CQ370)-CS366),0)</f>
        <v>#REF!</v>
      </c>
      <c r="CS367" s="4" t="e">
        <f t="shared" ca="1" si="6313"/>
        <v>#REF!</v>
      </c>
      <c r="CT367" s="692" t="str">
        <f ca="1">IFERROR(VLOOKUP(INDEX(CP359:CP370,CS367),STM,2,FALSE),"----")</f>
        <v>----</v>
      </c>
      <c r="CU367" s="691" t="e">
        <f t="shared" ca="1" si="6314"/>
        <v>#N/A</v>
      </c>
      <c r="CV367" s="4" t="e">
        <f ca="1">IF(AND(INDEX(ELM,CU367,4)&gt;=$AB359,INDEX(ELM,CU367,5)&gt;=$S359,INDEX(ELM,CU367,6)&gt;=$R359),1,0)</f>
        <v>#N/A</v>
      </c>
      <c r="CW367" s="4" t="e">
        <f t="shared" ref="CW367" ca="1" si="6441">MATCH(1,OFFSET(CV359:CV370,CX366,0,COUNT(CV359:CV370)-CX366),0)</f>
        <v>#REF!</v>
      </c>
      <c r="CX367" s="4" t="e">
        <f t="shared" ca="1" si="6316"/>
        <v>#REF!</v>
      </c>
      <c r="CY367" s="692" t="str">
        <f ca="1">IFERROR(VLOOKUP(INDEX(CU359:CU370,CX367),ELM,2,FALSE),"----")</f>
        <v>----</v>
      </c>
      <c r="CZ367" s="691" t="e">
        <f t="shared" ca="1" si="6317"/>
        <v>#N/A</v>
      </c>
      <c r="DA367" s="4" t="e">
        <f ca="1">IF(LEFT($J359,7)="Clad Wo",IF(AND(INDEX(SPPWS,CZ367,4)&gt;=$AB359,INDEX(SPPWS,CZ367,5)&gt;=$S359,INDEX(SPPWS,CZ367,6)&gt;=$R359),1,0),IF(AND(INDEX(SPM,CZ367,4)&gt;=$AB359,INDEX(SPM,CZ367,5)&gt;=$S359,INDEX(SPM,CZ367,6)&gt;=$R359),1,0))</f>
        <v>#N/A</v>
      </c>
      <c r="DB367" s="4" t="e">
        <f t="shared" ref="DB367" ca="1" si="6442">MATCH(1,OFFSET(DA359:DA370,DC366,0,COUNT(DA359:DA370)-DC366),0)</f>
        <v>#REF!</v>
      </c>
      <c r="DC367" s="4" t="e">
        <f t="shared" ca="1" si="6319"/>
        <v>#REF!</v>
      </c>
      <c r="DD367" s="693" t="str">
        <f ca="1">IF(LEFT($J359,7)="Clad Wo",IFERROR(VLOOKUP(INDEX(CZ359:CZ370,DC367),SPPWS,2,FALSE),"----"),IFERROR(VLOOKUP(INDEX(CZ359:CZ370,DC367),SPM,2,FALSE),"----"))</f>
        <v>----</v>
      </c>
      <c r="DE367" s="691" t="e">
        <f t="shared" ca="1" si="6320"/>
        <v>#REF!</v>
      </c>
      <c r="DF367" s="4" t="e" cm="1">
        <f t="array" aca="1" ref="DF367" ca="1">IF(AND(INDEX(INDIRECT(BY359),DE367,4)&gt;=$AB365,INDEX(INDIRECT(BY359),DE367,5)&gt;=$S359,INDEX(INDIRECT(BY359),DE367,6)&gt;=$R359),1,0)</f>
        <v>#REF!</v>
      </c>
      <c r="DG367" s="4" t="e">
        <f t="shared" ref="DG367" ca="1" si="6443">MATCH(1,OFFSET(DF359:DF370,DH366,0,COUNT(DF359:DF370)-DH366),0)</f>
        <v>#REF!</v>
      </c>
      <c r="DH367" s="4" t="e">
        <f t="shared" ca="1" si="6322"/>
        <v>#REF!</v>
      </c>
      <c r="DI367" s="692" t="str" cm="1">
        <f t="array" aca="1" ref="DI367" ca="1">IFERROR(VLOOKUP(INDEX(DE359:DE370,DH367),INDIRECT(BY359),2,FALSE),"----")</f>
        <v>----</v>
      </c>
      <c r="DJ367" s="691" t="e">
        <f t="shared" ca="1" si="6323"/>
        <v>#N/A</v>
      </c>
      <c r="DK367" s="4" t="e">
        <f ca="1">IF(AND(INDEX(SSM,DJ367,4)&gt;=$AB365,INDEX(SSM,DJ367,5)&gt;=$S359,INDEX(SSM,DJ367,6)&gt;=$R359),1,0)</f>
        <v>#N/A</v>
      </c>
      <c r="DL367" s="4" t="e">
        <f t="shared" ref="DL367" ca="1" si="6444">MATCH(1,OFFSET(DK359:DK370,DM366,0,COUNT(DK359:DK370)-DM366),0)</f>
        <v>#REF!</v>
      </c>
      <c r="DM367" s="4" t="e">
        <f t="shared" ca="1" si="6325"/>
        <v>#REF!</v>
      </c>
      <c r="DN367" s="692" t="str">
        <f ca="1">IFERROR(IF(AD366="Nested Steel Stud (wood infill)",VLOOKUP(INDEX(DJ359:DJ370,DM367),SSW,2,FALSE),VLOOKUP(INDEX(DJ359:DJ370,DM367),SSM,2,FALSE)),"----")</f>
        <v>----</v>
      </c>
      <c r="DO367" s="691" t="e">
        <f t="shared" ca="1" si="6326"/>
        <v>#N/A</v>
      </c>
      <c r="DP367" s="4" t="e">
        <f ca="1">IF(AND(INDEX(WSM,DO367,4)&gt;=$AB365,INDEX(WSM,DO367,5)&gt;=$S359,INDEX(WSM,DO367,6)&gt;=$R359),1,0)</f>
        <v>#N/A</v>
      </c>
      <c r="DQ367" s="4" t="e">
        <f t="shared" ref="DQ367" ca="1" si="6445">MATCH(1,OFFSET(DP359:DP370,DR366,0,COUNT(DP359:DP370)-DR366),0)</f>
        <v>#REF!</v>
      </c>
      <c r="DR367" s="4" t="e">
        <f t="shared" ca="1" si="6328"/>
        <v>#REF!</v>
      </c>
      <c r="DS367" s="692" t="str">
        <f ca="1">IFERROR(VLOOKUP(INDEX(DO359:DO370,DR367),WSM,2,FALSE),"----")</f>
        <v>----</v>
      </c>
      <c r="DT367" s="691" t="e">
        <f t="shared" ca="1" si="6329"/>
        <v>#N/A</v>
      </c>
      <c r="DU367" s="4" t="e">
        <f ca="1">IF(AND(INDEX(STM,DT367,4)&gt;=$AB365,INDEX(STM,DT367,5)&gt;=$S359,INDEX(STM,DT367,6)&gt;=$R359),1,0)</f>
        <v>#N/A</v>
      </c>
      <c r="DV367" s="4" t="e">
        <f t="shared" ref="DV367" ca="1" si="6446">MATCH(1,OFFSET(DU359:DU370,DW366,0,COUNT(DU359:DU370)-DW366),0)</f>
        <v>#REF!</v>
      </c>
      <c r="DW367" s="4" t="e">
        <f t="shared" ca="1" si="6331"/>
        <v>#REF!</v>
      </c>
      <c r="DX367" s="692" t="str">
        <f ca="1">IFERROR(VLOOKUP(INDEX(DT359:DT370,DW367),STM,2,FALSE),"----")</f>
        <v>----</v>
      </c>
      <c r="DY367" s="691" t="e">
        <f t="shared" ca="1" si="6332"/>
        <v>#N/A</v>
      </c>
      <c r="DZ367" s="4" t="e">
        <f ca="1">IF(AND(INDEX(ELM,DY367,4)&gt;=$AB365,INDEX(ELM,DY367,5)&gt;=$S359,INDEX(ELM,DY367,6)&gt;=$R359),1,0)</f>
        <v>#N/A</v>
      </c>
      <c r="EA367" s="4" t="e">
        <f t="shared" ref="EA367" ca="1" si="6447">MATCH(1,OFFSET(DZ359:DZ370,EB366,0,COUNT(DZ359:DZ370)-EB366),0)</f>
        <v>#REF!</v>
      </c>
      <c r="EB367" s="4" t="e">
        <f t="shared" ca="1" si="6334"/>
        <v>#REF!</v>
      </c>
      <c r="EC367" s="692" t="str">
        <f ca="1">IFERROR(VLOOKUP(INDEX(DY359:DY370,EB367),ELM,2,FALSE),"----")</f>
        <v>----</v>
      </c>
      <c r="ED367" s="691" t="e">
        <f t="shared" ca="1" si="6335"/>
        <v>#N/A</v>
      </c>
      <c r="EE367" s="4" t="e">
        <f ca="1">IF(LEFT($J359,7)="Clad Wo",IF(AND(INDEX(SPPWS,ED367,4)&gt;=$AB365,INDEX(SPPWS,ED367,5)&gt;=$S359,INDEX(SPPWS,ED367,6)&gt;=$R359),1,0),IF(AND(INDEX(SPM,ED367,4)&gt;=$AB365,INDEX(SPM,ED367,5)&gt;=$S359,INDEX(SPM,ED367,6)&gt;=$R359),1,0))</f>
        <v>#N/A</v>
      </c>
      <c r="EF367" s="4" t="e">
        <f t="shared" ref="EF367" ca="1" si="6448">MATCH(1,OFFSET(EE359:EE370,EG366,0,COUNT(EE359:EE370)-EG366),0)</f>
        <v>#REF!</v>
      </c>
      <c r="EG367" s="4" t="e">
        <f t="shared" ca="1" si="6337"/>
        <v>#REF!</v>
      </c>
      <c r="EH367" s="692" t="str">
        <f ca="1">IF(LEFT($J359,7)="Clad Wo",IFERROR(VLOOKUP(INDEX(ED359:ED370,EG367),SPPWS,2,FALSE),"----"),IFERROR(VLOOKUP(INDEX(ED359:ED370,EG367),SPM,2,FALSE),"----"))</f>
        <v>----</v>
      </c>
    </row>
    <row r="368" spans="1:138" ht="15" customHeight="1" x14ac:dyDescent="0.25">
      <c r="A368" s="1085"/>
      <c r="B368" s="925"/>
      <c r="C368" s="926"/>
      <c r="D368" s="927"/>
      <c r="E368" s="995"/>
      <c r="F368" s="996"/>
      <c r="G368" s="997"/>
      <c r="H368" s="1062"/>
      <c r="I368" s="990"/>
      <c r="J368" s="902"/>
      <c r="K368" s="903"/>
      <c r="L368" s="1002"/>
      <c r="M368" s="923"/>
      <c r="N368" s="1042"/>
      <c r="O368" s="1018"/>
      <c r="P368" s="987"/>
      <c r="Q368" s="1015"/>
      <c r="R368" s="1012"/>
      <c r="S368" s="1006"/>
      <c r="T368" s="1007"/>
      <c r="U368" s="878"/>
      <c r="V368" s="881"/>
      <c r="W368" s="884"/>
      <c r="X368" s="884"/>
      <c r="Y368" s="887"/>
      <c r="Z368" s="887"/>
      <c r="AA368" s="887"/>
      <c r="AB368" s="1081"/>
      <c r="AC368" s="1078"/>
      <c r="AD368" s="1070" t="str">
        <f t="shared" si="5955"/>
        <v>Steel Tube</v>
      </c>
      <c r="AE368" s="1071"/>
      <c r="AF368" s="1052"/>
      <c r="AG368" s="1053"/>
      <c r="AH368" s="1053"/>
      <c r="AI368" s="1066"/>
      <c r="AJ368" s="1067"/>
      <c r="AK368" s="156" t="str">
        <f t="shared" ca="1" si="6208"/>
        <v/>
      </c>
      <c r="AL368" s="1059"/>
      <c r="AM368" s="343" t="str">
        <f ca="1">IFERROR(Q359/12*ROUND(VLOOKUP(AF368,OFFSET(STM,0,1),6,FALSE),2),"")</f>
        <v/>
      </c>
      <c r="AN368" t="str">
        <f t="shared" ca="1" si="6226"/>
        <v/>
      </c>
      <c r="AP368" s="122" t="str">
        <f t="shared" ref="AP368" si="6449">_xlfn.CONCAT(AR368,AS370)</f>
        <v/>
      </c>
      <c r="AQ368" s="683" t="str">
        <f t="shared" si="6434"/>
        <v/>
      </c>
      <c r="AR368" s="4" t="str">
        <f t="shared" si="6193"/>
        <v/>
      </c>
      <c r="AS368" s="4"/>
      <c r="AT368" s="697" t="str">
        <f>AL365</f>
        <v/>
      </c>
      <c r="AU368" s="694" t="e">
        <f t="shared" ref="AU368:AU430" ca="1" si="6450">AU367-1</f>
        <v>#REF!</v>
      </c>
      <c r="AV368" s="686" t="str">
        <f ca="1">IFERROR(VLOOKUP(AU368,INDIRECT(AQ359),2,FALSE),"----")</f>
        <v>----</v>
      </c>
      <c r="AW368" s="694" t="e">
        <f t="shared" ref="AW368:AW430" ca="1" si="6451">AW367-1</f>
        <v>#REF!</v>
      </c>
      <c r="AX368" s="686" t="str">
        <f ca="1">IFERROR(VLOOKUP(AW368,INDIRECT(AQ360),2,FALSE),"----")</f>
        <v>----</v>
      </c>
      <c r="AY368" s="694" t="e">
        <f t="shared" ca="1" si="6210"/>
        <v>#REF!</v>
      </c>
      <c r="AZ368" s="686" t="str">
        <f ca="1">IFERROR(VLOOKUP(AY368,INDIRECT(AQ361),2,FALSE),"----")</f>
        <v>----</v>
      </c>
      <c r="BA368" s="694" t="e">
        <f t="shared" ca="1" si="6211"/>
        <v>#REF!</v>
      </c>
      <c r="BB368" s="686" t="str">
        <f ca="1">IFERROR(VLOOKUP(BA368,INDIRECT(AQ362),2,FALSE),"----")</f>
        <v>----</v>
      </c>
      <c r="BC368" s="694" t="e">
        <f t="shared" ref="BC368:BC430" ca="1" si="6452">BC367-1</f>
        <v>#REF!</v>
      </c>
      <c r="BD368" s="686" t="str">
        <f ca="1">IFERROR(VLOOKUP(BC368,INDIRECT(AQ363),2,FALSE),"----")</f>
        <v>----</v>
      </c>
      <c r="BE368" s="694" t="e">
        <f t="shared" ref="BE368:BE430" ca="1" si="6453">BE367-1</f>
        <v>#REF!</v>
      </c>
      <c r="BF368" s="686" t="str">
        <f ca="1">IFERROR(VLOOKUP(BE368,INDIRECT(AQ364),2,FALSE),"----")</f>
        <v>----</v>
      </c>
      <c r="BG368" s="702" t="e">
        <f t="shared" ref="BG368:BG430" ca="1" si="6454">BG367-1</f>
        <v>#REF!</v>
      </c>
      <c r="BH368" s="686" t="str">
        <f ca="1">IFERROR(VLOOKUP(BG368,INDIRECT(AQ365),2,FALSE),"----")</f>
        <v>----</v>
      </c>
      <c r="BI368" s="702" t="e">
        <f t="shared" ref="BI368:BI430" ca="1" si="6455">BI367-1</f>
        <v>#REF!</v>
      </c>
      <c r="BJ368" s="686" t="str">
        <f ca="1">IFERROR(VLOOKUP(BI368,INDIRECT(AQ366),2,FALSE),"----")</f>
        <v>----</v>
      </c>
      <c r="BK368" s="702" t="e">
        <f t="shared" ref="BK368:BK430" ca="1" si="6456">BK367-1</f>
        <v>#REF!</v>
      </c>
      <c r="BL368" s="686" t="str">
        <f ca="1">IFERROR(VLOOKUP(BK368,INDIRECT(AQ367),2,FALSE),"----")</f>
        <v>----</v>
      </c>
      <c r="BM368" s="702" t="e">
        <f t="shared" ref="BM368:BM430" ca="1" si="6457">BM367-1</f>
        <v>#REF!</v>
      </c>
      <c r="BN368" s="686" t="str">
        <f ca="1">IFERROR(VLOOKUP(BM368,INDIRECT(AQ368),2,FALSE),"----")</f>
        <v>----</v>
      </c>
      <c r="BO368" s="702" t="e">
        <f t="shared" ref="BO368:BO430" ca="1" si="6458">BO367-1</f>
        <v>#REF!</v>
      </c>
      <c r="BP368" s="686" t="str">
        <f ca="1">IFERROR(VLOOKUP(BO368,INDIRECT(AQ369),2,FALSE),"----")</f>
        <v>----</v>
      </c>
      <c r="BQ368" s="702" t="e">
        <f t="shared" ref="BQ368:BQ430" ca="1" si="6459">BQ367-1</f>
        <v>#REF!</v>
      </c>
      <c r="BR368" s="686" t="str">
        <f ca="1">IFERROR(VLOOKUP(BQ368,INDIRECT(AQ370),2,FALSE),"----")</f>
        <v>----</v>
      </c>
      <c r="BS368" s="695">
        <f>IF(AI368="",1,IF(COUNTIF(BN359:BN370,AI368)=0,2,1))</f>
        <v>1</v>
      </c>
      <c r="BT368" s="696">
        <f>IF(AF368="",1,IF(BN359=".",2,1))</f>
        <v>1</v>
      </c>
      <c r="BU368" s="706"/>
      <c r="BV368" s="155">
        <f ca="1">IF(COUNTIF(DX359:DX370,AF368)=0,IF(AF368&lt;&gt;"",0,1),1)</f>
        <v>1</v>
      </c>
      <c r="BW368" s="157">
        <f ca="1">IFERROR(MATCH(AF368,DX359:DX370,0),1)</f>
        <v>1</v>
      </c>
      <c r="BX368" s="769" t="e">
        <f t="shared" ref="BX368" si="6460">5*E359^3*W365/(384*X359)</f>
        <v>#VALUE!</v>
      </c>
      <c r="BY368" s="769" t="e">
        <f t="shared" ref="BY368" si="6461">E359^3*W365/(60*X359)</f>
        <v>#VALUE!</v>
      </c>
      <c r="BZ368" s="1110"/>
      <c r="CA368" s="691" t="e">
        <f t="shared" ca="1" si="6302"/>
        <v>#REF!</v>
      </c>
      <c r="CB368" s="4" t="e" cm="1">
        <f t="array" aca="1" ref="CB368" ca="1">IF(AND(INDEX(INDIRECT(BY359),CA368,4)&gt;=$AB359,INDEX(INDIRECT(BY359),CA368,5)&gt;=$S359,INDEX(INDIRECT(BY359),CA368,6)&gt;=$R359),1,0)</f>
        <v>#REF!</v>
      </c>
      <c r="CC368" s="4" t="e">
        <f t="shared" ref="CC368" ca="1" si="6462">MATCH(1,OFFSET(CB359:CB370,CD367,0,COUNT(CB359:CB370)-CD367),0)</f>
        <v>#REF!</v>
      </c>
      <c r="CD368" s="4" t="e">
        <f t="shared" ca="1" si="6304"/>
        <v>#REF!</v>
      </c>
      <c r="CE368" s="692" t="str" cm="1">
        <f t="array" aca="1" ref="CE368" ca="1">IFERROR(VLOOKUP(INDEX(CA359:CA370,CD368),INDIRECT(BY359),2,FALSE),"----")</f>
        <v>----</v>
      </c>
      <c r="CF368" s="691" t="e">
        <f t="shared" ca="1" si="6305"/>
        <v>#N/A</v>
      </c>
      <c r="CG368" s="4" t="e">
        <f ca="1">IF(AND(INDEX(SSM,CF368,4)&gt;=$AB359,INDEX(SSM,CF368,5)&gt;=$S359,INDEX(SSM,CF368,6)&gt;=$R359),1,0)</f>
        <v>#N/A</v>
      </c>
      <c r="CH368" s="4" t="e">
        <f t="shared" ref="CH368" ca="1" si="6463">MATCH(1,OFFSET(CG359:CG370,CI367,0,COUNT(CG359:CG370)-CI367),0)</f>
        <v>#REF!</v>
      </c>
      <c r="CI368" s="4" t="e">
        <f t="shared" ca="1" si="6307"/>
        <v>#REF!</v>
      </c>
      <c r="CJ368" s="692" t="str">
        <f ca="1">IFERROR(IF(AD360="Nested Steel Stud (wood infill)",VLOOKUP(INDEX(CF359:CF370,CI368),SSW,2,FALSE),VLOOKUP(INDEX(CF359:CF370,CI368),SSM,2,FALSE)),"----")</f>
        <v>----</v>
      </c>
      <c r="CK368" s="691" t="e">
        <f t="shared" ca="1" si="6308"/>
        <v>#N/A</v>
      </c>
      <c r="CL368" s="4" t="e">
        <f ca="1">IF(AND(INDEX(WSM,CK368,4)&gt;=$AB359,INDEX(WSM,CK368,5)&gt;=$S359,INDEX(WSM,CK368,6)&gt;=$R359),1,0)</f>
        <v>#N/A</v>
      </c>
      <c r="CM368" s="4" t="e">
        <f t="shared" ref="CM368" ca="1" si="6464">MATCH(1,OFFSET(CL359:CL370,CN367,0,COUNT(CL359:CL370)-CN367),0)</f>
        <v>#REF!</v>
      </c>
      <c r="CN368" s="4" t="e">
        <f t="shared" ca="1" si="6310"/>
        <v>#REF!</v>
      </c>
      <c r="CO368" s="692" t="str">
        <f ca="1">IFERROR(VLOOKUP(INDEX(CK359:CK370,CN368),WSM,2,FALSE),"----")</f>
        <v>----</v>
      </c>
      <c r="CP368" s="691" t="e">
        <f t="shared" ca="1" si="6311"/>
        <v>#N/A</v>
      </c>
      <c r="CQ368" s="4" t="e">
        <f ca="1">IF(AND(INDEX(STM,CP368,4)&gt;=$AB359,INDEX(STM,CP368,5)&gt;=$S359,INDEX(STM,CP368,6)&gt;=$R359),1,0)</f>
        <v>#N/A</v>
      </c>
      <c r="CR368" s="4" t="e">
        <f t="shared" ref="CR368" ca="1" si="6465">MATCH(1,OFFSET(CQ359:CQ370,CS367,0,COUNT(CQ359:CQ370)-CS367),0)</f>
        <v>#REF!</v>
      </c>
      <c r="CS368" s="4" t="e">
        <f t="shared" ca="1" si="6313"/>
        <v>#REF!</v>
      </c>
      <c r="CT368" s="692" t="str">
        <f ca="1">IFERROR(VLOOKUP(INDEX(CP359:CP370,CS368),STM,2,FALSE),"----")</f>
        <v>----</v>
      </c>
      <c r="CU368" s="691" t="e">
        <f t="shared" ca="1" si="6314"/>
        <v>#N/A</v>
      </c>
      <c r="CV368" s="4" t="e">
        <f ca="1">IF(AND(INDEX(ELM,CU368,4)&gt;=$AB359,INDEX(ELM,CU368,5)&gt;=$S359,INDEX(ELM,CU368,6)&gt;=$R359),1,0)</f>
        <v>#N/A</v>
      </c>
      <c r="CW368" s="4" t="e">
        <f t="shared" ref="CW368" ca="1" si="6466">MATCH(1,OFFSET(CV359:CV370,CX367,0,COUNT(CV359:CV370)-CX367),0)</f>
        <v>#REF!</v>
      </c>
      <c r="CX368" s="4" t="e">
        <f t="shared" ca="1" si="6316"/>
        <v>#REF!</v>
      </c>
      <c r="CY368" s="692" t="str">
        <f ca="1">IFERROR(VLOOKUP(INDEX(CU359:CU370,CX368),ELM,2,FALSE),"----")</f>
        <v>----</v>
      </c>
      <c r="CZ368" s="691" t="e">
        <f t="shared" ca="1" si="6317"/>
        <v>#N/A</v>
      </c>
      <c r="DA368" s="4" t="e">
        <f ca="1">IF(LEFT($J359,7)="Clad Wo",IF(AND(INDEX(SPPWS,CZ368,4)&gt;=$AB359,INDEX(SPPWS,CZ368,5)&gt;=$S359,INDEX(SPPWS,CZ368,6)&gt;=$R359),1,0),IF(AND(INDEX(SPM,CZ368,4)&gt;=$AB359,INDEX(SPM,CZ368,5)&gt;=$S359,INDEX(SPM,CZ368,6)&gt;=$R359),1,0))</f>
        <v>#N/A</v>
      </c>
      <c r="DB368" s="4" t="e">
        <f t="shared" ref="DB368" ca="1" si="6467">MATCH(1,OFFSET(DA359:DA370,DC367,0,COUNT(DA359:DA370)-DC367),0)</f>
        <v>#REF!</v>
      </c>
      <c r="DC368" s="4" t="e">
        <f t="shared" ca="1" si="6319"/>
        <v>#REF!</v>
      </c>
      <c r="DD368" s="693" t="str">
        <f ca="1">IF(LEFT($J359,7)="Clad Wo",IFERROR(VLOOKUP(INDEX(CZ359:CZ370,DC368),SPPWS,2,FALSE),"----"),IFERROR(VLOOKUP(INDEX(CZ359:CZ370,DC368),SPM,2,FALSE),"----"))</f>
        <v>----</v>
      </c>
      <c r="DE368" s="691" t="e">
        <f t="shared" ca="1" si="6320"/>
        <v>#REF!</v>
      </c>
      <c r="DF368" s="4" t="e" cm="1">
        <f t="array" aca="1" ref="DF368" ca="1">IF(AND(INDEX(INDIRECT(BY359),DE368,4)&gt;=$AB365,INDEX(INDIRECT(BY359),DE368,5)&gt;=$S359,INDEX(INDIRECT(BY359),DE368,6)&gt;=$R359),1,0)</f>
        <v>#REF!</v>
      </c>
      <c r="DG368" s="4" t="e">
        <f t="shared" ref="DG368" ca="1" si="6468">MATCH(1,OFFSET(DF359:DF370,DH367,0,COUNT(DF359:DF370)-DH367),0)</f>
        <v>#REF!</v>
      </c>
      <c r="DH368" s="4" t="e">
        <f t="shared" ca="1" si="6322"/>
        <v>#REF!</v>
      </c>
      <c r="DI368" s="692" t="str" cm="1">
        <f t="array" aca="1" ref="DI368" ca="1">IFERROR(VLOOKUP(INDEX(DE359:DE370,DH368),INDIRECT(BY359),2,FALSE),"----")</f>
        <v>----</v>
      </c>
      <c r="DJ368" s="691" t="e">
        <f t="shared" ca="1" si="6323"/>
        <v>#N/A</v>
      </c>
      <c r="DK368" s="4" t="e">
        <f ca="1">IF(AND(INDEX(SSM,DJ368,4)&gt;=$AB365,INDEX(SSM,DJ368,5)&gt;=$S359,INDEX(SSM,DJ368,6)&gt;=$R359),1,0)</f>
        <v>#N/A</v>
      </c>
      <c r="DL368" s="4" t="e">
        <f t="shared" ref="DL368" ca="1" si="6469">MATCH(1,OFFSET(DK359:DK370,DM367,0,COUNT(DK359:DK370)-DM367),0)</f>
        <v>#REF!</v>
      </c>
      <c r="DM368" s="4" t="e">
        <f t="shared" ca="1" si="6325"/>
        <v>#REF!</v>
      </c>
      <c r="DN368" s="692" t="str">
        <f ca="1">IFERROR(IF(AD366="Nested Steel Stud (wood infill)",VLOOKUP(INDEX(DJ359:DJ370,DM368),SSW,2,FALSE),VLOOKUP(INDEX(DJ359:DJ370,DM368),SSM,2,FALSE)),"----")</f>
        <v>----</v>
      </c>
      <c r="DO368" s="691" t="e">
        <f t="shared" ca="1" si="6326"/>
        <v>#N/A</v>
      </c>
      <c r="DP368" s="4" t="e">
        <f ca="1">IF(AND(INDEX(WSM,DO368,4)&gt;=$AB365,INDEX(WSM,DO368,5)&gt;=$S359,INDEX(WSM,DO368,6)&gt;=$R359),1,0)</f>
        <v>#N/A</v>
      </c>
      <c r="DQ368" s="4" t="e">
        <f t="shared" ref="DQ368" ca="1" si="6470">MATCH(1,OFFSET(DP359:DP370,DR367,0,COUNT(DP359:DP370)-DR367),0)</f>
        <v>#REF!</v>
      </c>
      <c r="DR368" s="4" t="e">
        <f t="shared" ca="1" si="6328"/>
        <v>#REF!</v>
      </c>
      <c r="DS368" s="692" t="str">
        <f ca="1">IFERROR(VLOOKUP(INDEX(DO359:DO370,DR368),WSM,2,FALSE),"----")</f>
        <v>----</v>
      </c>
      <c r="DT368" s="691" t="e">
        <f t="shared" ca="1" si="6329"/>
        <v>#N/A</v>
      </c>
      <c r="DU368" s="4" t="e">
        <f ca="1">IF(AND(INDEX(STM,DT368,4)&gt;=$AB365,INDEX(STM,DT368,5)&gt;=$S359,INDEX(STM,DT368,6)&gt;=$R359),1,0)</f>
        <v>#N/A</v>
      </c>
      <c r="DV368" s="4" t="e">
        <f t="shared" ref="DV368" ca="1" si="6471">MATCH(1,OFFSET(DU359:DU370,DW367,0,COUNT(DU359:DU370)-DW367),0)</f>
        <v>#REF!</v>
      </c>
      <c r="DW368" s="4" t="e">
        <f t="shared" ca="1" si="6331"/>
        <v>#REF!</v>
      </c>
      <c r="DX368" s="692" t="str">
        <f ca="1">IFERROR(VLOOKUP(INDEX(DT359:DT370,DW368),STM,2,FALSE),"----")</f>
        <v>----</v>
      </c>
      <c r="DY368" s="691" t="e">
        <f t="shared" ca="1" si="6332"/>
        <v>#N/A</v>
      </c>
      <c r="DZ368" s="4" t="e">
        <f ca="1">IF(AND(INDEX(ELM,DY368,4)&gt;=$AB365,INDEX(ELM,DY368,5)&gt;=$S359,INDEX(ELM,DY368,6)&gt;=$R359),1,0)</f>
        <v>#N/A</v>
      </c>
      <c r="EA368" s="4" t="e">
        <f t="shared" ref="EA368" ca="1" si="6472">MATCH(1,OFFSET(DZ359:DZ370,EB367,0,COUNT(DZ359:DZ370)-EB367),0)</f>
        <v>#REF!</v>
      </c>
      <c r="EB368" s="4" t="e">
        <f t="shared" ca="1" si="6334"/>
        <v>#REF!</v>
      </c>
      <c r="EC368" s="692" t="str">
        <f ca="1">IFERROR(VLOOKUP(INDEX(DY359:DY370,EB368),ELM,2,FALSE),"----")</f>
        <v>----</v>
      </c>
      <c r="ED368" s="691" t="e">
        <f t="shared" ca="1" si="6335"/>
        <v>#N/A</v>
      </c>
      <c r="EE368" s="4" t="e">
        <f ca="1">IF(LEFT($J359,7)="Clad Wo",IF(AND(INDEX(SPPWS,ED368,4)&gt;=$AB365,INDEX(SPPWS,ED368,5)&gt;=$S359,INDEX(SPPWS,ED368,6)&gt;=$R359),1,0),IF(AND(INDEX(SPM,ED368,4)&gt;=$AB365,INDEX(SPM,ED368,5)&gt;=$S359,INDEX(SPM,ED368,6)&gt;=$R359),1,0))</f>
        <v>#N/A</v>
      </c>
      <c r="EF368" s="4" t="e">
        <f t="shared" ref="EF368" ca="1" si="6473">MATCH(1,OFFSET(EE359:EE370,EG367,0,COUNT(EE359:EE370)-EG367),0)</f>
        <v>#REF!</v>
      </c>
      <c r="EG368" s="4" t="e">
        <f t="shared" ca="1" si="6337"/>
        <v>#REF!</v>
      </c>
      <c r="EH368" s="692" t="str">
        <f ca="1">IF(LEFT($J359,7)="Clad Wo",IFERROR(VLOOKUP(INDEX(ED359:ED370,EG368),SPPWS,2,FALSE),"----"),IFERROR(VLOOKUP(INDEX(ED359:ED370,EG368),SPM,2,FALSE),"----"))</f>
        <v>----</v>
      </c>
    </row>
    <row r="369" spans="1:138" ht="15" customHeight="1" x14ac:dyDescent="0.25">
      <c r="A369" s="1085"/>
      <c r="B369" s="925"/>
      <c r="C369" s="926"/>
      <c r="D369" s="927"/>
      <c r="E369" s="995"/>
      <c r="F369" s="996"/>
      <c r="G369" s="997"/>
      <c r="H369" s="1062"/>
      <c r="I369" s="990"/>
      <c r="J369" s="902"/>
      <c r="K369" s="903"/>
      <c r="L369" s="1002"/>
      <c r="M369" s="923"/>
      <c r="N369" s="1042"/>
      <c r="O369" s="1018"/>
      <c r="P369" s="987"/>
      <c r="Q369" s="1015"/>
      <c r="R369" s="1012"/>
      <c r="S369" s="1006"/>
      <c r="T369" s="1007"/>
      <c r="U369" s="878"/>
      <c r="V369" s="881"/>
      <c r="W369" s="884"/>
      <c r="X369" s="884"/>
      <c r="Y369" s="887"/>
      <c r="Z369" s="887"/>
      <c r="AA369" s="887"/>
      <c r="AB369" s="1081"/>
      <c r="AC369" s="1078"/>
      <c r="AD369" s="1070" t="str">
        <f t="shared" si="5955"/>
        <v>Engineered Lumber</v>
      </c>
      <c r="AE369" s="1071"/>
      <c r="AF369" s="1052"/>
      <c r="AG369" s="1053"/>
      <c r="AH369" s="1053"/>
      <c r="AI369" s="1068"/>
      <c r="AJ369" s="1069"/>
      <c r="AK369" s="154" t="str">
        <f t="shared" ca="1" si="6208"/>
        <v/>
      </c>
      <c r="AL369" s="1059"/>
      <c r="AM369" s="344" t="str">
        <f ca="1">IFERROR(Q359/12*ROUND(VLOOKUP(AF369,OFFSET(ELM,0,1),6,FALSE),2),"")</f>
        <v/>
      </c>
      <c r="AN369" t="str">
        <f t="shared" ca="1" si="6226"/>
        <v/>
      </c>
      <c r="AP369" s="122" t="str">
        <f t="shared" ref="AP369" si="6474">_xlfn.CONCAT(AR369,AS370)</f>
        <v/>
      </c>
      <c r="AQ369" s="683" t="str">
        <f t="shared" si="6434"/>
        <v/>
      </c>
      <c r="AR369" s="4" t="str">
        <f t="shared" si="6193"/>
        <v/>
      </c>
      <c r="AS369" s="4"/>
      <c r="AT369" s="697" t="str">
        <f>AL365</f>
        <v/>
      </c>
      <c r="AU369" s="694" t="e">
        <f t="shared" ca="1" si="6450"/>
        <v>#REF!</v>
      </c>
      <c r="AV369" s="698" t="str">
        <f ca="1">IFERROR(VLOOKUP(AU369,INDIRECT(AQ359),2,FALSE),"----")</f>
        <v>----</v>
      </c>
      <c r="AW369" s="694" t="e">
        <f t="shared" ca="1" si="6451"/>
        <v>#REF!</v>
      </c>
      <c r="AX369" s="698" t="str">
        <f ca="1">IFERROR(VLOOKUP(AW369,INDIRECT(AQ360),2,FALSE),"----")</f>
        <v>----</v>
      </c>
      <c r="AY369" s="694" t="e">
        <f t="shared" ca="1" si="6210"/>
        <v>#REF!</v>
      </c>
      <c r="AZ369" s="698" t="str">
        <f ca="1">IFERROR(VLOOKUP(AY369,INDIRECT(AQ361),2,FALSE),"----")</f>
        <v>----</v>
      </c>
      <c r="BA369" s="694" t="e">
        <f t="shared" ca="1" si="6211"/>
        <v>#REF!</v>
      </c>
      <c r="BB369" s="698" t="str">
        <f ca="1">IFERROR(VLOOKUP(BA369,INDIRECT(AQ362),2,FALSE),"----")</f>
        <v>----</v>
      </c>
      <c r="BC369" s="694" t="e">
        <f t="shared" ca="1" si="6452"/>
        <v>#REF!</v>
      </c>
      <c r="BD369" s="698" t="str">
        <f ca="1">IFERROR(VLOOKUP(BC369,INDIRECT(AQ363),2,FALSE),"----")</f>
        <v>----</v>
      </c>
      <c r="BE369" s="694" t="e">
        <f t="shared" ca="1" si="6453"/>
        <v>#REF!</v>
      </c>
      <c r="BF369" s="698" t="str">
        <f ca="1">IFERROR(VLOOKUP(BE369,INDIRECT(AQ364),2,FALSE),"----")</f>
        <v>----</v>
      </c>
      <c r="BG369" s="702" t="e">
        <f t="shared" ca="1" si="6454"/>
        <v>#REF!</v>
      </c>
      <c r="BH369" s="686" t="str">
        <f ca="1">IFERROR(VLOOKUP(BG369,INDIRECT(AQ365),2,FALSE),"----")</f>
        <v>----</v>
      </c>
      <c r="BI369" s="702" t="e">
        <f t="shared" ca="1" si="6455"/>
        <v>#REF!</v>
      </c>
      <c r="BJ369" s="686" t="str">
        <f ca="1">IFERROR(VLOOKUP(BI369,INDIRECT(AQ366),2,FALSE),"----")</f>
        <v>----</v>
      </c>
      <c r="BK369" s="702" t="e">
        <f t="shared" ca="1" si="6456"/>
        <v>#REF!</v>
      </c>
      <c r="BL369" s="686" t="str">
        <f ca="1">IFERROR(VLOOKUP(BK369,INDIRECT(AQ367),2,FALSE),"----")</f>
        <v>----</v>
      </c>
      <c r="BM369" s="702" t="e">
        <f t="shared" ca="1" si="6457"/>
        <v>#REF!</v>
      </c>
      <c r="BN369" s="686" t="str">
        <f ca="1">IFERROR(VLOOKUP(BM369,INDIRECT(AQ368),2,FALSE),"----")</f>
        <v>----</v>
      </c>
      <c r="BO369" s="702" t="e">
        <f t="shared" ca="1" si="6458"/>
        <v>#REF!</v>
      </c>
      <c r="BP369" s="686" t="str">
        <f ca="1">IFERROR(VLOOKUP(BO369,INDIRECT(AQ369),2,FALSE),"----")</f>
        <v>----</v>
      </c>
      <c r="BQ369" s="702" t="e">
        <f t="shared" ca="1" si="6459"/>
        <v>#REF!</v>
      </c>
      <c r="BR369" s="686" t="str">
        <f ca="1">IFERROR(VLOOKUP(BQ369,INDIRECT(AQ370),2,FALSE),"----")</f>
        <v>----</v>
      </c>
      <c r="BS369" s="695">
        <f>IF(AI369="",1,IF(COUNTIF(BP359:BP370,AI369)=0,2,1))</f>
        <v>1</v>
      </c>
      <c r="BT369" s="696">
        <f>IF(AF369="",1,IF(BP359=".",2,1))</f>
        <v>1</v>
      </c>
      <c r="BU369" s="706"/>
      <c r="BV369" s="155">
        <f ca="1">IF(COUNTIF(EC359:EC370,AF369)=0,IF(AF369&lt;&gt;"",0,1),1)</f>
        <v>1</v>
      </c>
      <c r="BW369" s="157">
        <f ca="1">IFERROR(MATCH(AF369,EC359:EC370,0),1)</f>
        <v>1</v>
      </c>
      <c r="BX369" s="769"/>
      <c r="BY369" s="769"/>
      <c r="BZ369" s="1110"/>
      <c r="CA369" s="691" t="e">
        <f t="shared" ca="1" si="6302"/>
        <v>#REF!</v>
      </c>
      <c r="CB369" s="4" t="e" cm="1">
        <f t="array" aca="1" ref="CB369" ca="1">IF(AND(INDEX(INDIRECT(BY359),CA369,4)&gt;=$AB359,INDEX(INDIRECT(BY359),CA369,5)&gt;=$S359,INDEX(INDIRECT(BY359),CA369,6)&gt;=$R359),1,0)</f>
        <v>#REF!</v>
      </c>
      <c r="CC369" s="4" t="e">
        <f t="shared" ref="CC369" ca="1" si="6475">MATCH(1,OFFSET(CB359:CB370,CD368,0,COUNT(CB359:CB370)-CD368),0)</f>
        <v>#REF!</v>
      </c>
      <c r="CD369" s="4" t="e">
        <f t="shared" ca="1" si="6304"/>
        <v>#REF!</v>
      </c>
      <c r="CE369" s="692" t="str" cm="1">
        <f t="array" aca="1" ref="CE369" ca="1">IFERROR(VLOOKUP(INDEX(CA359:CA370,CD369),INDIRECT(BY359),2,FALSE),"----")</f>
        <v>----</v>
      </c>
      <c r="CF369" s="691" t="e">
        <f t="shared" ca="1" si="6305"/>
        <v>#N/A</v>
      </c>
      <c r="CG369" s="4" t="e">
        <f ca="1">IF(AND(INDEX(SSM,CF369,4)&gt;=$AB359,INDEX(SSM,CF369,5)&gt;=$S359,INDEX(SSM,CF369,6)&gt;=$R359),1,0)</f>
        <v>#N/A</v>
      </c>
      <c r="CH369" s="4" t="e">
        <f t="shared" ref="CH369" ca="1" si="6476">MATCH(1,OFFSET(CG359:CG370,CI368,0,COUNT(CG359:CG370)-CI368),0)</f>
        <v>#REF!</v>
      </c>
      <c r="CI369" s="4" t="e">
        <f t="shared" ca="1" si="6307"/>
        <v>#REF!</v>
      </c>
      <c r="CJ369" s="692" t="str">
        <f ca="1">IFERROR(IF(AD360="Nested Steel Stud (wood infill)",VLOOKUP(INDEX(CF359:CF370,CI369),SSW,2,FALSE),VLOOKUP(INDEX(CF359:CF370,CI369),SSM,2,FALSE)),"----")</f>
        <v>----</v>
      </c>
      <c r="CK369" s="691" t="e">
        <f t="shared" ca="1" si="6308"/>
        <v>#N/A</v>
      </c>
      <c r="CL369" s="4" t="e">
        <f ca="1">IF(AND(INDEX(WSM,CK369,4)&gt;=$AB359,INDEX(WSM,CK369,5)&gt;=$S359,INDEX(WSM,CK369,6)&gt;=$R359),1,0)</f>
        <v>#N/A</v>
      </c>
      <c r="CM369" s="4" t="e">
        <f t="shared" ref="CM369" ca="1" si="6477">MATCH(1,OFFSET(CL359:CL370,CN368,0,COUNT(CL359:CL370)-CN368),0)</f>
        <v>#REF!</v>
      </c>
      <c r="CN369" s="4" t="e">
        <f t="shared" ca="1" si="6310"/>
        <v>#REF!</v>
      </c>
      <c r="CO369" s="692" t="str">
        <f ca="1">IFERROR(VLOOKUP(INDEX(CK359:CK370,CN369),WSM,2,FALSE),"----")</f>
        <v>----</v>
      </c>
      <c r="CP369" s="691" t="e">
        <f t="shared" ca="1" si="6311"/>
        <v>#N/A</v>
      </c>
      <c r="CQ369" s="4" t="e">
        <f ca="1">IF(AND(INDEX(STM,CP369,4)&gt;=$AB359,INDEX(STM,CP369,5)&gt;=$S359,INDEX(STM,CP369,6)&gt;=$R359),1,0)</f>
        <v>#N/A</v>
      </c>
      <c r="CR369" s="4" t="e">
        <f t="shared" ref="CR369" ca="1" si="6478">MATCH(1,OFFSET(CQ359:CQ370,CS368,0,COUNT(CQ359:CQ370)-CS368),0)</f>
        <v>#REF!</v>
      </c>
      <c r="CS369" s="4" t="e">
        <f t="shared" ca="1" si="6313"/>
        <v>#REF!</v>
      </c>
      <c r="CT369" s="692" t="str">
        <f ca="1">IFERROR(VLOOKUP(INDEX(CP359:CP370,CS369),STM,2,FALSE),"----")</f>
        <v>----</v>
      </c>
      <c r="CU369" s="691" t="e">
        <f t="shared" ca="1" si="6314"/>
        <v>#N/A</v>
      </c>
      <c r="CV369" s="4" t="e">
        <f ca="1">IF(AND(INDEX(ELM,CU369,4)&gt;=$AB359,INDEX(ELM,CU369,5)&gt;=$S359,INDEX(ELM,CU369,6)&gt;=$R359),1,0)</f>
        <v>#N/A</v>
      </c>
      <c r="CW369" s="4" t="e">
        <f t="shared" ref="CW369" ca="1" si="6479">MATCH(1,OFFSET(CV359:CV370,CX368,0,COUNT(CV359:CV370)-CX368),0)</f>
        <v>#REF!</v>
      </c>
      <c r="CX369" s="4" t="e">
        <f t="shared" ca="1" si="6316"/>
        <v>#REF!</v>
      </c>
      <c r="CY369" s="692" t="str">
        <f ca="1">IFERROR(VLOOKUP(INDEX(CU359:CU370,CX369),ELM,2,FALSE),"----")</f>
        <v>----</v>
      </c>
      <c r="CZ369" s="691" t="e">
        <f t="shared" ca="1" si="6317"/>
        <v>#N/A</v>
      </c>
      <c r="DA369" s="4" t="e">
        <f ca="1">IF(LEFT($J359,7)="Clad Wo",IF(AND(INDEX(SPPWS,CZ369,4)&gt;=$AB359,INDEX(SPPWS,CZ369,5)&gt;=$S359,INDEX(SPPWS,CZ369,6)&gt;=$R359),1,0),IF(AND(INDEX(SPM,CZ369,4)&gt;=$AB359,INDEX(SPM,CZ369,5)&gt;=$S359,INDEX(SPM,CZ369,6)&gt;=$R359),1,0))</f>
        <v>#N/A</v>
      </c>
      <c r="DB369" s="4" t="e">
        <f t="shared" ref="DB369" ca="1" si="6480">MATCH(1,OFFSET(DA359:DA370,DC368,0,COUNT(DA359:DA370)-DC368),0)</f>
        <v>#REF!</v>
      </c>
      <c r="DC369" s="4" t="e">
        <f t="shared" ca="1" si="6319"/>
        <v>#REF!</v>
      </c>
      <c r="DD369" s="693" t="str">
        <f ca="1">IF(LEFT($J359,7)="Clad Wo",IFERROR(VLOOKUP(INDEX(CZ359:CZ370,DC369),SPPWS,2,FALSE),"----"),IFERROR(VLOOKUP(INDEX(CZ359:CZ370,DC369),SPM,2,FALSE),"----"))</f>
        <v>----</v>
      </c>
      <c r="DE369" s="691" t="e">
        <f t="shared" ca="1" si="6320"/>
        <v>#REF!</v>
      </c>
      <c r="DF369" s="4" t="e" cm="1">
        <f t="array" aca="1" ref="DF369" ca="1">IF(AND(INDEX(INDIRECT(BY359),DE369,4)&gt;=$AB365,INDEX(INDIRECT(BY359),DE369,5)&gt;=$S359,INDEX(INDIRECT(BY359),DE369,6)&gt;=$R359),1,0)</f>
        <v>#REF!</v>
      </c>
      <c r="DG369" s="4" t="e">
        <f t="shared" ref="DG369" ca="1" si="6481">MATCH(1,OFFSET(DF359:DF370,DH368,0,COUNT(DF359:DF370)-DH368),0)</f>
        <v>#REF!</v>
      </c>
      <c r="DH369" s="4" t="e">
        <f t="shared" ca="1" si="6322"/>
        <v>#REF!</v>
      </c>
      <c r="DI369" s="692" t="str" cm="1">
        <f t="array" aca="1" ref="DI369" ca="1">IFERROR(VLOOKUP(INDEX(DE359:DE370,DH369),INDIRECT(BY359),2,FALSE),"----")</f>
        <v>----</v>
      </c>
      <c r="DJ369" s="691" t="e">
        <f t="shared" ca="1" si="6323"/>
        <v>#N/A</v>
      </c>
      <c r="DK369" s="4" t="e">
        <f ca="1">IF(AND(INDEX(SSM,DJ369,4)&gt;=$AB365,INDEX(SSM,DJ369,5)&gt;=$S359,INDEX(SSM,DJ369,6)&gt;=$R359),1,0)</f>
        <v>#N/A</v>
      </c>
      <c r="DL369" s="4" t="e">
        <f t="shared" ref="DL369" ca="1" si="6482">MATCH(1,OFFSET(DK359:DK370,DM368,0,COUNT(DK359:DK370)-DM368),0)</f>
        <v>#REF!</v>
      </c>
      <c r="DM369" s="4" t="e">
        <f t="shared" ca="1" si="6325"/>
        <v>#REF!</v>
      </c>
      <c r="DN369" s="692" t="str">
        <f ca="1">IFERROR(IF(AD366="Nested Steel Stud (wood infill)",VLOOKUP(INDEX(DJ359:DJ370,DM369),SSW,2,FALSE),VLOOKUP(INDEX(DJ359:DJ370,DM369),SSM,2,FALSE)),"----")</f>
        <v>----</v>
      </c>
      <c r="DO369" s="691" t="e">
        <f t="shared" ca="1" si="6326"/>
        <v>#N/A</v>
      </c>
      <c r="DP369" s="4" t="e">
        <f ca="1">IF(AND(INDEX(WSM,DO369,4)&gt;=$AB365,INDEX(WSM,DO369,5)&gt;=$S359,INDEX(WSM,DO369,6)&gt;=$R359),1,0)</f>
        <v>#N/A</v>
      </c>
      <c r="DQ369" s="4" t="e">
        <f t="shared" ref="DQ369" ca="1" si="6483">MATCH(1,OFFSET(DP359:DP370,DR368,0,COUNT(DP359:DP370)-DR368),0)</f>
        <v>#REF!</v>
      </c>
      <c r="DR369" s="4" t="e">
        <f t="shared" ca="1" si="6328"/>
        <v>#REF!</v>
      </c>
      <c r="DS369" s="692" t="str">
        <f ca="1">IFERROR(VLOOKUP(INDEX(DO359:DO370,DR369),WSM,2,FALSE),"----")</f>
        <v>----</v>
      </c>
      <c r="DT369" s="691" t="e">
        <f t="shared" ca="1" si="6329"/>
        <v>#N/A</v>
      </c>
      <c r="DU369" s="4" t="e">
        <f ca="1">IF(AND(INDEX(STM,DT369,4)&gt;=$AB365,INDEX(STM,DT369,5)&gt;=$S359,INDEX(STM,DT369,6)&gt;=$R359),1,0)</f>
        <v>#N/A</v>
      </c>
      <c r="DV369" s="4" t="e">
        <f t="shared" ref="DV369" ca="1" si="6484">MATCH(1,OFFSET(DU359:DU370,DW368,0,COUNT(DU359:DU370)-DW368),0)</f>
        <v>#REF!</v>
      </c>
      <c r="DW369" s="4" t="e">
        <f t="shared" ca="1" si="6331"/>
        <v>#REF!</v>
      </c>
      <c r="DX369" s="692" t="str">
        <f ca="1">IFERROR(VLOOKUP(INDEX(DT359:DT370,DW369),STM,2,FALSE),"----")</f>
        <v>----</v>
      </c>
      <c r="DY369" s="691" t="e">
        <f t="shared" ca="1" si="6332"/>
        <v>#N/A</v>
      </c>
      <c r="DZ369" s="4" t="e">
        <f ca="1">IF(AND(INDEX(ELM,DY369,4)&gt;=$AB365,INDEX(ELM,DY369,5)&gt;=$S359,INDEX(ELM,DY369,6)&gt;=$R359),1,0)</f>
        <v>#N/A</v>
      </c>
      <c r="EA369" s="4" t="e">
        <f t="shared" ref="EA369" ca="1" si="6485">MATCH(1,OFFSET(DZ359:DZ370,EB368,0,COUNT(DZ359:DZ370)-EB368),0)</f>
        <v>#REF!</v>
      </c>
      <c r="EB369" s="4" t="e">
        <f t="shared" ca="1" si="6334"/>
        <v>#REF!</v>
      </c>
      <c r="EC369" s="692" t="str">
        <f ca="1">IFERROR(VLOOKUP(INDEX(DY359:DY370,EB369),ELM,2,FALSE),"----")</f>
        <v>----</v>
      </c>
      <c r="ED369" s="691" t="e">
        <f t="shared" ca="1" si="6335"/>
        <v>#N/A</v>
      </c>
      <c r="EE369" s="4" t="e">
        <f ca="1">IF(LEFT($J359,7)="Clad Wo",IF(AND(INDEX(SPPWS,ED369,4)&gt;=$AB365,INDEX(SPPWS,ED369,5)&gt;=$S359,INDEX(SPPWS,ED369,6)&gt;=$R359),1,0),IF(AND(INDEX(SPM,ED369,4)&gt;=$AB365,INDEX(SPM,ED369,5)&gt;=$S359,INDEX(SPM,ED369,6)&gt;=$R359),1,0))</f>
        <v>#N/A</v>
      </c>
      <c r="EF369" s="4" t="e">
        <f t="shared" ref="EF369" ca="1" si="6486">MATCH(1,OFFSET(EE359:EE370,EG368,0,COUNT(EE359:EE370)-EG368),0)</f>
        <v>#REF!</v>
      </c>
      <c r="EG369" s="4" t="e">
        <f t="shared" ca="1" si="6337"/>
        <v>#REF!</v>
      </c>
      <c r="EH369" s="692" t="str">
        <f ca="1">IF(LEFT($J359,7)="Clad Wo",IFERROR(VLOOKUP(INDEX(ED359:ED370,EG369),SPPWS,2,FALSE),"----"),IFERROR(VLOOKUP(INDEX(ED359:ED370,EG369),SPM,2,FALSE),"----"))</f>
        <v>----</v>
      </c>
    </row>
    <row r="370" spans="1:138" ht="15" customHeight="1" thickBot="1" x14ac:dyDescent="0.3">
      <c r="A370" s="1085"/>
      <c r="B370" s="928"/>
      <c r="C370" s="929"/>
      <c r="D370" s="930"/>
      <c r="E370" s="998"/>
      <c r="F370" s="999"/>
      <c r="G370" s="1000"/>
      <c r="H370" s="1063"/>
      <c r="I370" s="991"/>
      <c r="J370" s="904"/>
      <c r="K370" s="905"/>
      <c r="L370" s="1003"/>
      <c r="M370" s="1065"/>
      <c r="N370" s="1043"/>
      <c r="O370" s="1019"/>
      <c r="P370" s="988"/>
      <c r="Q370" s="1016"/>
      <c r="R370" s="1013"/>
      <c r="S370" s="1008"/>
      <c r="T370" s="1009"/>
      <c r="U370" s="879"/>
      <c r="V370" s="882"/>
      <c r="W370" s="885"/>
      <c r="X370" s="885"/>
      <c r="Y370" s="888"/>
      <c r="Z370" s="888"/>
      <c r="AA370" s="888"/>
      <c r="AB370" s="1082"/>
      <c r="AC370" s="1087"/>
      <c r="AD370" s="1098" t="str">
        <f t="shared" ref="AD370" si="6487">IF(LEFT(J359,7)="Clad Wo","Pella Wood Spr / Steel Pte","Steel Plate")</f>
        <v>Steel Plate</v>
      </c>
      <c r="AE370" s="1099"/>
      <c r="AF370" s="1096"/>
      <c r="AG370" s="1097"/>
      <c r="AH370" s="1097"/>
      <c r="AI370" s="1094"/>
      <c r="AJ370" s="1095"/>
      <c r="AK370" s="163" t="str">
        <f t="shared" ca="1" si="6208"/>
        <v/>
      </c>
      <c r="AL370" s="1060"/>
      <c r="AM370" s="345" t="str">
        <f ca="1">IFERROR(Q359/12*ROUND(VLOOKUP(AF370,OFFSET(SPM,0,1),6,FALSE),2),"")</f>
        <v/>
      </c>
      <c r="AN370" t="str">
        <f t="shared" ca="1" si="6226"/>
        <v/>
      </c>
      <c r="AP370" s="699" t="str">
        <f t="shared" ref="AP370" si="6488">_xlfn.CONCAT(AR370,AS370)</f>
        <v/>
      </c>
      <c r="AQ370" s="700" t="str">
        <f t="shared" si="6434"/>
        <v/>
      </c>
      <c r="AR370" s="160" t="str">
        <f t="shared" si="6193"/>
        <v/>
      </c>
      <c r="AS370" s="160" t="str">
        <f>IFERROR(VLOOKUP(J367, WallType,2,FALSE),"")</f>
        <v/>
      </c>
      <c r="AT370" s="707" t="str">
        <f>AL365</f>
        <v/>
      </c>
      <c r="AU370" s="708" t="e">
        <f t="shared" ca="1" si="6450"/>
        <v>#REF!</v>
      </c>
      <c r="AV370" s="709" t="str">
        <f ca="1">IFERROR(VLOOKUP(AU370,INDIRECT(AQ359),2,FALSE),"----")</f>
        <v>----</v>
      </c>
      <c r="AW370" s="710" t="e">
        <f t="shared" ca="1" si="6451"/>
        <v>#REF!</v>
      </c>
      <c r="AX370" s="709" t="str">
        <f ca="1">IFERROR(VLOOKUP(AW370,INDIRECT(AQ360),2,FALSE),"----")</f>
        <v>----</v>
      </c>
      <c r="AY370" s="710" t="e">
        <f t="shared" ca="1" si="6210"/>
        <v>#REF!</v>
      </c>
      <c r="AZ370" s="709" t="str">
        <f ca="1">IFERROR(VLOOKUP(AY370,INDIRECT(AQ361),2,FALSE),"----")</f>
        <v>----</v>
      </c>
      <c r="BA370" s="710" t="e">
        <f t="shared" ca="1" si="6211"/>
        <v>#REF!</v>
      </c>
      <c r="BB370" s="709" t="str">
        <f ca="1">IFERROR(VLOOKUP(BA370,INDIRECT(AQ362),2,FALSE),"----")</f>
        <v>----</v>
      </c>
      <c r="BC370" s="710" t="e">
        <f t="shared" ca="1" si="6452"/>
        <v>#REF!</v>
      </c>
      <c r="BD370" s="709" t="str">
        <f ca="1">IFERROR(VLOOKUP(BC370,INDIRECT(AQ363),2,FALSE),"----")</f>
        <v>----</v>
      </c>
      <c r="BE370" s="710" t="e">
        <f t="shared" ca="1" si="6453"/>
        <v>#REF!</v>
      </c>
      <c r="BF370" s="709" t="str">
        <f ca="1">IFERROR(VLOOKUP(BE370,INDIRECT(AQ364),2,FALSE),"----")</f>
        <v>----</v>
      </c>
      <c r="BG370" s="710" t="e">
        <f t="shared" ca="1" si="6454"/>
        <v>#REF!</v>
      </c>
      <c r="BH370" s="711" t="str">
        <f ca="1">IFERROR(VLOOKUP(BG370,INDIRECT(AQ365),2,FALSE),"----")</f>
        <v>----</v>
      </c>
      <c r="BI370" s="710" t="e">
        <f t="shared" ca="1" si="6455"/>
        <v>#REF!</v>
      </c>
      <c r="BJ370" s="711" t="str">
        <f ca="1">IFERROR(VLOOKUP(BI370,INDIRECT(AQ366),2,FALSE),"----")</f>
        <v>----</v>
      </c>
      <c r="BK370" s="710" t="e">
        <f t="shared" ca="1" si="6456"/>
        <v>#REF!</v>
      </c>
      <c r="BL370" s="711" t="str">
        <f ca="1">IFERROR(VLOOKUP(BK370,INDIRECT(AQ367),2,FALSE),"----")</f>
        <v>----</v>
      </c>
      <c r="BM370" s="710" t="e">
        <f t="shared" ca="1" si="6457"/>
        <v>#REF!</v>
      </c>
      <c r="BN370" s="711" t="str">
        <f ca="1">IFERROR(VLOOKUP(BM370,INDIRECT(AQ368),2,FALSE),"----")</f>
        <v>----</v>
      </c>
      <c r="BO370" s="710" t="e">
        <f t="shared" ca="1" si="6458"/>
        <v>#REF!</v>
      </c>
      <c r="BP370" s="711" t="str">
        <f ca="1">IFERROR(VLOOKUP(BO370,INDIRECT(AQ369),2,FALSE),"----")</f>
        <v>----</v>
      </c>
      <c r="BQ370" s="710" t="e">
        <f t="shared" ca="1" si="6459"/>
        <v>#REF!</v>
      </c>
      <c r="BR370" s="712" t="str">
        <f ca="1">IFERROR(VLOOKUP(BQ370,INDIRECT(AQ370),2,FALSE),"----")</f>
        <v>----</v>
      </c>
      <c r="BS370" s="695">
        <f>IF(AI370="",1,IF(COUNTIF(BR359:BR370,AI370)=0,2,1))</f>
        <v>1</v>
      </c>
      <c r="BT370" s="713">
        <f>IF(AF370="",1,IF(BR359=".",2,1))</f>
        <v>1</v>
      </c>
      <c r="BV370" s="155">
        <f ca="1">IF(COUNTIF(EH359:EH370,AF370)=0,IF(AF370&lt;&gt;"",0,1),1)</f>
        <v>1</v>
      </c>
      <c r="BW370" s="157">
        <f ca="1">IFERROR(MATCH(AF370,EH359:EH370,0),1)</f>
        <v>1</v>
      </c>
      <c r="BX370" s="718"/>
      <c r="BY370" s="777"/>
      <c r="BZ370" s="1110"/>
      <c r="CA370" s="714" t="e">
        <f t="shared" ca="1" si="6302"/>
        <v>#REF!</v>
      </c>
      <c r="CB370" s="715" t="e" cm="1">
        <f t="array" aca="1" ref="CB370" ca="1">IF(AND(INDEX(INDIRECT(BY359),CA370,4)&gt;=$AB359,INDEX(INDIRECT(BY359),CA370,5)&gt;=$S359,INDEX(INDIRECT(BY359),CA370,6)&gt;=$R359),1,0)</f>
        <v>#REF!</v>
      </c>
      <c r="CC370" s="715" t="e">
        <f t="shared" ref="CC370" ca="1" si="6489">MATCH(1,OFFSET(CB359:CB370,CD369,0,COUNT(CB359:CB370)-CD369),0)</f>
        <v>#REF!</v>
      </c>
      <c r="CD370" s="715" t="e">
        <f t="shared" ca="1" si="6304"/>
        <v>#REF!</v>
      </c>
      <c r="CE370" s="716" t="str" cm="1">
        <f t="array" aca="1" ref="CE370" ca="1">IFERROR(VLOOKUP(INDEX(CA359:CA370,CD370),INDIRECT(BY359),2,FALSE),"----")</f>
        <v>----</v>
      </c>
      <c r="CF370" s="714" t="e">
        <f t="shared" ca="1" si="6305"/>
        <v>#N/A</v>
      </c>
      <c r="CG370" s="715" t="e">
        <f ca="1">IF(AND(INDEX(SSM,CF370,4)&gt;=$AB359,INDEX(SSM,CF370,5)&gt;=$S359,INDEX(SSM,CF370,6)&gt;=$R359),1,0)</f>
        <v>#N/A</v>
      </c>
      <c r="CH370" s="715" t="e">
        <f t="shared" ref="CH370" ca="1" si="6490">MATCH(1,OFFSET(CG359:CG370,CI369,0,COUNT(CG359:CG370)-CI369),0)</f>
        <v>#REF!</v>
      </c>
      <c r="CI370" s="715" t="e">
        <f t="shared" ca="1" si="6307"/>
        <v>#REF!</v>
      </c>
      <c r="CJ370" s="716" t="str">
        <f ca="1">IFERROR(IF(AD360="Nested Steel Stud (wood infill)",VLOOKUP(INDEX(CF359:CF370,CI370),SSW,2,FALSE),VLOOKUP(INDEX(CF359:CF370,CI370),SSM,2,FALSE)),"----")</f>
        <v>----</v>
      </c>
      <c r="CK370" s="714" t="e">
        <f t="shared" ca="1" si="6308"/>
        <v>#N/A</v>
      </c>
      <c r="CL370" s="715" t="e">
        <f ca="1">IF(AND(INDEX(WSM,CK370,4)&gt;=$AB359,INDEX(WSM,CK370,5)&gt;=$S359,INDEX(WSM,CK370,6)&gt;=$R359),1,0)</f>
        <v>#N/A</v>
      </c>
      <c r="CM370" s="715" t="e">
        <f t="shared" ref="CM370" ca="1" si="6491">MATCH(1,OFFSET(CL359:CL370,CN369,0,COUNT(CL359:CL370)-CN369),0)</f>
        <v>#REF!</v>
      </c>
      <c r="CN370" s="715" t="e">
        <f t="shared" ca="1" si="6310"/>
        <v>#REF!</v>
      </c>
      <c r="CO370" s="716" t="str">
        <f ca="1">IFERROR(VLOOKUP(INDEX(CK359:CK370,CN370),WSM,2,FALSE),"----")</f>
        <v>----</v>
      </c>
      <c r="CP370" s="714" t="e">
        <f t="shared" ca="1" si="6311"/>
        <v>#N/A</v>
      </c>
      <c r="CQ370" s="715" t="e">
        <f ca="1">IF(AND(INDEX(STM,CP370,4)&gt;=$AB359,INDEX(STM,CP370,5)&gt;=$S359,INDEX(STM,CP370,6)&gt;=$R359),1,0)</f>
        <v>#N/A</v>
      </c>
      <c r="CR370" s="715" t="e">
        <f t="shared" ref="CR370" ca="1" si="6492">MATCH(1,OFFSET(CQ359:CQ370,CS369,0,COUNT(CQ359:CQ370)-CS369),0)</f>
        <v>#REF!</v>
      </c>
      <c r="CS370" s="715" t="e">
        <f t="shared" ca="1" si="6313"/>
        <v>#REF!</v>
      </c>
      <c r="CT370" s="716" t="str">
        <f ca="1">IFERROR(VLOOKUP(INDEX(CP359:CP370,CS370),STM,2,FALSE),"----")</f>
        <v>----</v>
      </c>
      <c r="CU370" s="714" t="e">
        <f t="shared" ca="1" si="6314"/>
        <v>#N/A</v>
      </c>
      <c r="CV370" s="715" t="e">
        <f ca="1">IF(AND(INDEX(ELM,CU370,4)&gt;=$AB359,INDEX(ELM,CU370,5)&gt;=$S359,INDEX(ELM,CU370,6)&gt;=$R359),1,0)</f>
        <v>#N/A</v>
      </c>
      <c r="CW370" s="715" t="e">
        <f t="shared" ref="CW370" ca="1" si="6493">MATCH(1,OFFSET(CV359:CV370,CX369,0,COUNT(CV359:CV370)-CX369),0)</f>
        <v>#REF!</v>
      </c>
      <c r="CX370" s="715" t="e">
        <f t="shared" ca="1" si="6316"/>
        <v>#REF!</v>
      </c>
      <c r="CY370" s="716" t="str">
        <f ca="1">IFERROR(VLOOKUP(INDEX(CU359:CU370,CX370),ELM,2,FALSE),"----")</f>
        <v>----</v>
      </c>
      <c r="CZ370" s="714" t="e">
        <f t="shared" ca="1" si="6317"/>
        <v>#N/A</v>
      </c>
      <c r="DA370" s="715" t="e">
        <f ca="1">IF(LEFT($J359,7)="Clad Wo",IF(AND(INDEX(SPPWS,CZ370,4)&gt;=$AB359,INDEX(SPPWS,CZ370,5)&gt;=$S359,INDEX(SPPWS,CZ370,6)&gt;=$R359),1,0),IF(AND(INDEX(SPM,CZ370,4)&gt;=$AB359,INDEX(SPM,CZ370,5)&gt;=$S359,INDEX(SPM,CZ370,6)&gt;=$R359),1,0))</f>
        <v>#N/A</v>
      </c>
      <c r="DB370" s="715" t="e">
        <f t="shared" ref="DB370" ca="1" si="6494">MATCH(1,OFFSET(DA359:DA370,DC369,0,COUNT(DA359:DA370)-DC369),0)</f>
        <v>#REF!</v>
      </c>
      <c r="DC370" s="715" t="e">
        <f t="shared" ca="1" si="6319"/>
        <v>#REF!</v>
      </c>
      <c r="DD370" s="717" t="str">
        <f ca="1">IF(LEFT($J359,7)="Clad Wo",IFERROR(VLOOKUP(INDEX(CZ359:CZ370,DC370),SPPWS,2,FALSE),"----"),IFERROR(VLOOKUP(INDEX(CZ359:CZ370,DC370),SPM,2,FALSE),"----"))</f>
        <v>----</v>
      </c>
      <c r="DE370" s="714" t="e">
        <f t="shared" ca="1" si="6320"/>
        <v>#REF!</v>
      </c>
      <c r="DF370" s="715" t="e" cm="1">
        <f t="array" aca="1" ref="DF370" ca="1">IF(AND(INDEX(INDIRECT(BY359),DE370,4)&gt;=$AB365,INDEX(INDIRECT(BY359),DE370,5)&gt;=$S359,INDEX(INDIRECT(BY359),DE370,6)&gt;=$R359),1,0)</f>
        <v>#REF!</v>
      </c>
      <c r="DG370" s="715" t="e">
        <f t="shared" ref="DG370" ca="1" si="6495">MATCH(1,OFFSET(DF359:DF370,DH369,0,COUNT(DF359:DF370)-DH369),0)</f>
        <v>#REF!</v>
      </c>
      <c r="DH370" s="715" t="e">
        <f t="shared" ca="1" si="6322"/>
        <v>#REF!</v>
      </c>
      <c r="DI370" s="716" t="str" cm="1">
        <f t="array" aca="1" ref="DI370" ca="1">IFERROR(VLOOKUP(INDEX(DE359:DE370,DH370),INDIRECT(BY359),2,FALSE),"----")</f>
        <v>----</v>
      </c>
      <c r="DJ370" s="714" t="e">
        <f t="shared" ca="1" si="6323"/>
        <v>#N/A</v>
      </c>
      <c r="DK370" s="715" t="e">
        <f ca="1">IF(AND(INDEX(SSM,DJ370,4)&gt;=$AB365,INDEX(SSM,DJ370,5)&gt;=$S359,INDEX(SSM,DJ370,6)&gt;=$R359),1,0)</f>
        <v>#N/A</v>
      </c>
      <c r="DL370" s="715" t="e">
        <f t="shared" ref="DL370" ca="1" si="6496">MATCH(1,OFFSET(DK359:DK370,DM369,0,COUNT(DK359:DK370)-DM369),0)</f>
        <v>#REF!</v>
      </c>
      <c r="DM370" s="715" t="e">
        <f t="shared" ca="1" si="6325"/>
        <v>#REF!</v>
      </c>
      <c r="DN370" s="716" t="str">
        <f ca="1">IFERROR(IF(AD366="Nested Steel Stud (wood infill)",VLOOKUP(INDEX(DJ359:DJ370,DM370),SSW,2,FALSE),VLOOKUP(INDEX(DJ359:DJ370,DM370),SSM,2,FALSE)),"----")</f>
        <v>----</v>
      </c>
      <c r="DO370" s="714" t="e">
        <f t="shared" ca="1" si="6326"/>
        <v>#N/A</v>
      </c>
      <c r="DP370" s="715" t="e">
        <f ca="1">IF(AND(INDEX(WSM,DO370,4)&gt;=$AB365,INDEX(WSM,DO370,5)&gt;=$S359,INDEX(WSM,DO370,6)&gt;=$R359),1,0)</f>
        <v>#N/A</v>
      </c>
      <c r="DQ370" s="715" t="e">
        <f t="shared" ref="DQ370" ca="1" si="6497">MATCH(1,OFFSET(DP359:DP370,DR369,0,COUNT(DP359:DP370)-DR369),0)</f>
        <v>#REF!</v>
      </c>
      <c r="DR370" s="715" t="e">
        <f t="shared" ca="1" si="6328"/>
        <v>#REF!</v>
      </c>
      <c r="DS370" s="716" t="str">
        <f ca="1">IFERROR(VLOOKUP(INDEX(DO359:DO370,DR370),WSM,2,FALSE),"----")</f>
        <v>----</v>
      </c>
      <c r="DT370" s="714" t="e">
        <f t="shared" ca="1" si="6329"/>
        <v>#N/A</v>
      </c>
      <c r="DU370" s="715" t="e">
        <f ca="1">IF(AND(INDEX(STM,DT370,4)&gt;=$AB365,INDEX(STM,DT370,5)&gt;=$S359,INDEX(STM,DT370,6)&gt;=$R359),1,0)</f>
        <v>#N/A</v>
      </c>
      <c r="DV370" s="715" t="e">
        <f t="shared" ref="DV370" ca="1" si="6498">MATCH(1,OFFSET(DU359:DU370,DW369,0,COUNT(DU359:DU370)-DW369),0)</f>
        <v>#REF!</v>
      </c>
      <c r="DW370" s="715" t="e">
        <f t="shared" ca="1" si="6331"/>
        <v>#REF!</v>
      </c>
      <c r="DX370" s="716" t="str">
        <f ca="1">IFERROR(VLOOKUP(INDEX(DT359:DT370,DW370),STM,2,FALSE),"----")</f>
        <v>----</v>
      </c>
      <c r="DY370" s="714" t="e">
        <f t="shared" ca="1" si="6332"/>
        <v>#N/A</v>
      </c>
      <c r="DZ370" s="715" t="e">
        <f ca="1">IF(AND(INDEX(ELM,DY370,4)&gt;=$AB365,INDEX(ELM,DY370,5)&gt;=$S359,INDEX(ELM,DY370,6)&gt;=$R359),1,0)</f>
        <v>#N/A</v>
      </c>
      <c r="EA370" s="715" t="e">
        <f t="shared" ref="EA370" ca="1" si="6499">MATCH(1,OFFSET(DZ359:DZ370,EB369,0,COUNT(DZ359:DZ370)-EB369),0)</f>
        <v>#REF!</v>
      </c>
      <c r="EB370" s="715" t="e">
        <f t="shared" ca="1" si="6334"/>
        <v>#REF!</v>
      </c>
      <c r="EC370" s="716" t="str">
        <f ca="1">IFERROR(VLOOKUP(INDEX(DY359:DY370,EB370),ELM,2,FALSE),"----")</f>
        <v>----</v>
      </c>
      <c r="ED370" s="714" t="e">
        <f t="shared" ca="1" si="6335"/>
        <v>#N/A</v>
      </c>
      <c r="EE370" s="715" t="e">
        <f ca="1">IF(LEFT($J359,7)="Clad Wo",IF(AND(INDEX(SPPWS,ED370,4)&gt;=$AB365,INDEX(SPPWS,ED370,5)&gt;=$S359,INDEX(SPPWS,ED370,6)&gt;=$R359),1,0),IF(AND(INDEX(SPM,ED370,4)&gt;=$AB365,INDEX(SPM,ED370,5)&gt;=$S359,INDEX(SPM,ED370,6)&gt;=$R359),1,0))</f>
        <v>#N/A</v>
      </c>
      <c r="EF370" s="715" t="e">
        <f t="shared" ref="EF370" ca="1" si="6500">MATCH(1,OFFSET(EE359:EE370,EG369,0,COUNT(EE359:EE370)-EG369),0)</f>
        <v>#REF!</v>
      </c>
      <c r="EG370" s="715" t="e">
        <f t="shared" ca="1" si="6337"/>
        <v>#REF!</v>
      </c>
      <c r="EH370" s="716" t="str">
        <f ca="1">IF(LEFT($J359,7)="Clad Wo",IFERROR(VLOOKUP(INDEX(ED359:ED370,EG370),SPPWS,2,FALSE),"----"),IFERROR(VLOOKUP(INDEX(ED359:ED370,EG370),SPM,2,FALSE),"----"))</f>
        <v>----</v>
      </c>
    </row>
    <row r="371" spans="1:138" ht="15" customHeight="1" thickTop="1" x14ac:dyDescent="0.25">
      <c r="A371" s="1085"/>
      <c r="B371" s="931" t="s">
        <v>92</v>
      </c>
      <c r="C371" s="932"/>
      <c r="D371" s="933"/>
      <c r="E371" s="992"/>
      <c r="F371" s="993"/>
      <c r="G371" s="994"/>
      <c r="H371" s="1061"/>
      <c r="I371" s="989"/>
      <c r="J371" s="906"/>
      <c r="K371" s="907"/>
      <c r="L371" s="1001">
        <f>$W$3</f>
        <v>4</v>
      </c>
      <c r="M371" s="923" t="str">
        <f t="shared" ref="M371" si="6501">IFERROR(IF($AE$13="",IF($AG$19="Wind Loading",MIN($V$31,IF(E$11="ASCE 7-05",$U$26,$V$7)*$V$9*(IF($E$12&lt;60,0.0771*LN(MAX(MIN(500,O371),10)) -1.2737,IF($E$11="ASCE 7-22",0.0524*LN(MAX(MIN(500,O371),50))-1.0278,0.0614*LN(MAX(MIN(500,O371),20)) -1.0829))-$V$8)),$V$7*IF(E$12&lt;60,$V$13*($V$15*0.0771*LN(MAX(MIN(500,O371),10))-1.2737-$V$16),$V$13*$V$15*((0.0524*LN(MAX(MIN(500,O371),20))-1.0278)-$V$16))),-ABS($AE$13)),"")</f>
        <v/>
      </c>
      <c r="N371" s="1042" t="str">
        <f t="shared" ref="N371" si="6502">IFERROR(IF($AE$15="",IF($AG$19="Wind Loading",MAX($U$31,IF(E$11="ASCE 7-05",$U$26,$V$7)*$V$9*((IF($E$12&lt;60,-0.077*LN(MAX(MIN(500,O371),10))+1.1737,IF($E$11="ASCE 7-22",-0.077*LN(MAX(MIN(500,O371),20))+1.0798,-0.093*LN(MAX(MIN(500,O371),20))+1.1776)))+$V$8)),$V$7*IF(E$12&lt;60,$V$13*($V$15*(-0.077*LN(MAX(MIN(500,O371),10))+1.1737)-$V$17),$V$13*$V$15*((-0.077*LN(MAX(MIN(500,O371),20))+1.0798)-$V$17))),ABS($AE$15)),"")</f>
        <v/>
      </c>
      <c r="O371" s="1017" t="str">
        <f>IF(BX378=0,"",IF(AG$14="Trapezoidal",BY378,BX378))</f>
        <v/>
      </c>
      <c r="P371" s="986"/>
      <c r="Q371" s="1014"/>
      <c r="R371" s="1011">
        <f>P371*Q371/8</f>
        <v>0</v>
      </c>
      <c r="S371" s="1004">
        <f t="shared" ref="S371" si="6503">IF(5*(P371*Q371^3/(384*0.125))=0,0,5*(P371*Q371^3/(384*0.125)))</f>
        <v>0</v>
      </c>
      <c r="T371" s="1005"/>
      <c r="U371" s="877" t="e">
        <f ca="1">VLOOKUP(J375,INDIRECT(VLOOKUP(J371,FrameStrength,2,FALSE)),3,FALSE)</f>
        <v>#N/A</v>
      </c>
      <c r="V371" s="880">
        <f t="shared" ref="V371" si="6504">(H371+I371)/2</f>
        <v>0</v>
      </c>
      <c r="W371" s="883" t="e">
        <f t="shared" ref="W371" si="6505">MAX(-M371,N371)*O371</f>
        <v>#VALUE!</v>
      </c>
      <c r="X371" s="883">
        <f t="shared" ref="X371" si="6506">IF(E371&gt;162,(E371/240+0.25),IF(AND(E371&lt;162,E371/175&lt;0.75),E371/175,0.75))</f>
        <v>0</v>
      </c>
      <c r="Y371" s="886">
        <f>IFERROR(IF(AG$14="Trapezoidal",BY379,BX379)+IF($E$17="4",(400*E371^3)/(48*X371),0),0)</f>
        <v>0</v>
      </c>
      <c r="Z371" s="886" t="e">
        <f t="shared" ref="Z371" si="6507">+($V371*MAX(-$M371,$N371)*$E371^2)/(144*8)+IF($E$17=4,(400*$E371)/4,0)</f>
        <v>#VALUE!</v>
      </c>
      <c r="AA371" s="886" t="e">
        <f ca="1">VLOOKUP(J375,INDIRECT(VLOOKUP(J371,FrameStrength,2,FALSE)),2,FALSE)</f>
        <v>#N/A</v>
      </c>
      <c r="AB371" s="1083" t="str">
        <f t="shared" ref="AB371" ca="1" si="6508">IFERROR(Z371-AA371,"")</f>
        <v/>
      </c>
      <c r="AC371" s="1077" t="str">
        <f t="shared" ref="AC371" ca="1" si="6509">IFERROR(Y371-U371,"")</f>
        <v/>
      </c>
      <c r="AD371" s="1100" t="str">
        <f>IFERROR(IF(LEFT(J375,2)="As",VLOOKUP(J375,EIMM,4,FALSE),VLOOKUP(J371,EIMM,4,FALSE)),IF(AND(ISNUMBER(SEARCH("Impervia",J371)),ISNUMBER(SEARCH("door",J375))),'New Lookup Cells'!AF$10,IF(ISNUMBER(SEARCH("Impervia",J371)),'New Lookup Cells'!AF$7,IF(AND(ISNUMBER(SEARCH("250",J371)),ISNUMBER(SEARCH("door",J375))),'New Lookup Cells'!AF$14,IF(ISNUMBER(SEARCH("250",J371)),'New Lookup Cells'!AF$13,"")))))</f>
        <v/>
      </c>
      <c r="AE371" s="1101"/>
      <c r="AF371" s="1050"/>
      <c r="AG371" s="1051"/>
      <c r="AH371" s="1051"/>
      <c r="AI371" s="1088"/>
      <c r="AJ371" s="1089"/>
      <c r="AK371" s="154" t="str">
        <f t="shared" ca="1" si="6208"/>
        <v/>
      </c>
      <c r="AL371" s="1038" t="str">
        <f t="shared" ref="AL371" si="6510">IFERROR(ROUND(SQRT(P371^2+(W371/2+IF($E$17=4,200,0))^2),0),"")</f>
        <v/>
      </c>
      <c r="AM371" s="342" t="s">
        <v>669</v>
      </c>
      <c r="AN371" t="str">
        <f t="shared" ca="1" si="6226"/>
        <v/>
      </c>
      <c r="AP371" s="122" t="str">
        <f t="shared" ref="AP371" si="6511">_xlfn.CONCAT(AR371,AS376)</f>
        <v/>
      </c>
      <c r="AQ371" s="683" t="str">
        <f t="shared" si="6434"/>
        <v/>
      </c>
      <c r="AR371" s="96" t="str">
        <f t="shared" si="6193"/>
        <v/>
      </c>
      <c r="AS371" s="96" t="str">
        <f>IF(COUNTIF(imp_1,AF371)=1,"imp_1",IF(COUNTIF(imp_2,AF371)=1,"imp_2",IF(COUNTIF(imp_3,AF371)=1,"imp_3",IF(COUNTIF(impdoor,AF371)=1,"impdoor",""))))</f>
        <v/>
      </c>
      <c r="AT371" s="684" t="str">
        <f>AL371</f>
        <v/>
      </c>
      <c r="AU371" s="685" t="e">
        <f ca="1">MATCH(AL371,INDIRECT(AP371),-1)</f>
        <v>#REF!</v>
      </c>
      <c r="AV371" s="686" t="str">
        <f ca="1">IFERROR(VLOOKUP(AU371,INDIRECT(AQ371),2,FALSE),"----")</f>
        <v>----</v>
      </c>
      <c r="AW371" s="685" t="e">
        <f ca="1">MATCH(AL371,INDIRECT(AP372),-1)</f>
        <v>#REF!</v>
      </c>
      <c r="AX371" s="686" t="str">
        <f ca="1">IFERROR(VLOOKUP(AW371,INDIRECT(AQ372),2,FALSE),"----")</f>
        <v>----</v>
      </c>
      <c r="AY371" s="685" t="e">
        <f ca="1">MATCH(AL371,INDIRECT(AP373),-1)</f>
        <v>#REF!</v>
      </c>
      <c r="AZ371" s="686" t="str">
        <f ca="1">IFERROR(VLOOKUP(AY371,INDIRECT(AQ373),2,FALSE),"----")</f>
        <v>----</v>
      </c>
      <c r="BA371" s="685" t="e">
        <f ca="1">MATCH(AL371,INDIRECT(AP374),-1)</f>
        <v>#REF!</v>
      </c>
      <c r="BB371" s="686" t="str">
        <f ca="1">IFERROR(VLOOKUP(BA371,INDIRECT(AQ374),2,FALSE),"----")</f>
        <v>----</v>
      </c>
      <c r="BC371" s="685" t="e">
        <f ca="1">MATCH(AL371,INDIRECT(AP375),-1)</f>
        <v>#REF!</v>
      </c>
      <c r="BD371" s="686" t="str">
        <f ca="1">IFERROR(VLOOKUP(BC371,INDIRECT(AQ375),2,FALSE),"----")</f>
        <v>----</v>
      </c>
      <c r="BE371" s="685" t="e">
        <f ca="1">MATCH(AL371,INDIRECT(AP376),-1)</f>
        <v>#REF!</v>
      </c>
      <c r="BF371" s="686" t="str">
        <f ca="1">IFERROR(VLOOKUP(BE371,INDIRECT(AQ376),2,FALSE),"----")</f>
        <v>----</v>
      </c>
      <c r="BG371" s="685" t="e">
        <f ca="1">MATCH(AL377,INDIRECT(AP377),-1)</f>
        <v>#REF!</v>
      </c>
      <c r="BH371" s="686" t="str">
        <f ca="1">IFERROR(VLOOKUP(BG371,INDIRECT(AQ377),2,FALSE),"----")</f>
        <v>----</v>
      </c>
      <c r="BI371" s="685" t="e">
        <f ca="1">MATCH(AL377,INDIRECT(AP378),-1)</f>
        <v>#REF!</v>
      </c>
      <c r="BJ371" s="686" t="str">
        <f ca="1">IFERROR(VLOOKUP(BI371,INDIRECT(AQ378),2,FALSE),"----")</f>
        <v>----</v>
      </c>
      <c r="BK371" s="685" t="e">
        <f ca="1">MATCH(AL377,INDIRECT(AP379),-1)</f>
        <v>#REF!</v>
      </c>
      <c r="BL371" s="686" t="str">
        <f ca="1">IFERROR(VLOOKUP(BK371,INDIRECT(AQ379),2,FALSE),"----")</f>
        <v>----</v>
      </c>
      <c r="BM371" s="685" t="e">
        <f ca="1">MATCH(AL377,INDIRECT(AP380),-1)</f>
        <v>#REF!</v>
      </c>
      <c r="BN371" s="686" t="str">
        <f ca="1">IFERROR(VLOOKUP(BM371,INDIRECT(AQ380),2,FALSE),"----")</f>
        <v>----</v>
      </c>
      <c r="BO371" s="685" t="e">
        <f ca="1">MATCH(AL377,INDIRECT(AP381),-1)</f>
        <v>#REF!</v>
      </c>
      <c r="BP371" s="686" t="str">
        <f ca="1">IFERROR(VLOOKUP(BO371,INDIRECT(AQ381),2,FALSE),"----")</f>
        <v>----</v>
      </c>
      <c r="BQ371" s="685" t="e">
        <f ca="1">MATCH(AL377,INDIRECT(AP382),-1)</f>
        <v>#REF!</v>
      </c>
      <c r="BR371" s="686" t="str">
        <f ca="1">IFERROR(VLOOKUP(BQ371,INDIRECT(AQ382),2,FALSE),"----")</f>
        <v>----</v>
      </c>
      <c r="BS371" s="687">
        <f>IF(AI371="",1,IF(COUNTIF(AV371:AV382,AI371)=0,2,1))</f>
        <v>1</v>
      </c>
      <c r="BT371" s="688">
        <f>IF(AP371="1",1,IF(AF371="",1,IF(AV371=".",2,1)))</f>
        <v>1</v>
      </c>
      <c r="BU371" s="706"/>
      <c r="BV371" s="155">
        <f ca="1">IF(COUNTIF(CE371:CE382,AF371)=0,IF(AF371&lt;&gt;"",0,1),1)</f>
        <v>1</v>
      </c>
      <c r="BW371" s="157">
        <f ca="1">IFERROR(MATCH(AF371,CE371:CE382,0),1)</f>
        <v>1</v>
      </c>
      <c r="BX371" s="769" t="str">
        <f>IFERROR(IF(LEFT(J375,2)="As",VLOOKUP(J375,EIMM,2,FALSE),IF(AND(ISNUMBER(SEARCH("Impervia",J371)),ISNUMBER(SEARCH("door",J375))),VLOOKUP("Impervia Door",EIMM,2,FALSE),IF(AND(ISNUMBER(SEARCH("250",J371)),ISNUMBER(SEARCH("door",J375))),VLOOKUP("250 Series Door",EIMM,2,FALSE),VLOOKUP(J371,EIMM,2,FALSE)))),"")</f>
        <v/>
      </c>
      <c r="BY371" s="769" t="str">
        <f ca="1">IFERROR(VLOOKUP(BX371,OFFSET(EIMM,0,1),2,FALSE),"")</f>
        <v/>
      </c>
      <c r="BZ371" s="1110" t="e">
        <f ca="1">IF((COUNTIF(INDIRECT(SUBSTITUTE(J371," ","_")),J375))=0,IF(J375="",1,0),1)</f>
        <v>#REF!</v>
      </c>
      <c r="CA371" s="691" t="e">
        <f ca="1">MATCH(AC371,INDIRECT(BX371),-1)</f>
        <v>#REF!</v>
      </c>
      <c r="CB371" s="4" t="e" cm="1">
        <f t="array" aca="1" ref="CB371" ca="1">IF(AND(INDEX(INDIRECT(BY371),CA371,4)&gt;=$AB371,INDEX(INDIRECT(BY371),CA371,5)&gt;=$S371,INDEX(INDIRECT(BY371),CA371,6)&gt;=$R371),1,0)</f>
        <v>#REF!</v>
      </c>
      <c r="CC371" s="4" t="e">
        <f t="shared" ref="CC371" ca="1" si="6512">MATCH(1,OFFSET(CB371:CB382,$W$2,0,COUNT(CB371:CB382)-$W$2),0)</f>
        <v>#REF!</v>
      </c>
      <c r="CD371" s="4" t="e">
        <f t="shared" ref="CD371" ca="1" si="6513">$W$2+CC371</f>
        <v>#REF!</v>
      </c>
      <c r="CE371" s="692" t="str" cm="1">
        <f t="array" aca="1" ref="CE371" ca="1">IFERROR(VLOOKUP(INDEX(CA371:CA382,CD371),INDIRECT(BY371),2,FALSE),"----")</f>
        <v>----</v>
      </c>
      <c r="CF371" s="691" t="e">
        <f ca="1">MATCH($AC371,SSEI,-1)</f>
        <v>#N/A</v>
      </c>
      <c r="CG371" s="4" t="e">
        <f ca="1">IF(AND(INDEX(SSM,CF371,4)&gt;=$AB371,INDEX(SSM,CF371,5)&gt;=$S371,INDEX(SSM,CF371,6)&gt;=$R371),1,0)</f>
        <v>#N/A</v>
      </c>
      <c r="CH371" s="4" t="e">
        <f t="shared" ref="CH371" ca="1" si="6514">MATCH(1,OFFSET(CG371:CG382,$W$2,0,COUNT(CG371:CG382)-$W$2),0)</f>
        <v>#REF!</v>
      </c>
      <c r="CI371" s="4" t="e">
        <f t="shared" ref="CI371" ca="1" si="6515">$W$2+CH371</f>
        <v>#REF!</v>
      </c>
      <c r="CJ371" s="692" t="str">
        <f ca="1">IFERROR(IF(AD372="Nested Steel Stud (wood infill)",VLOOKUP(INDEX(CF371:CF382,CI371),SSW,2,FALSE),VLOOKUP(INDEX(CF371:CF382,CI371),SSM,2,FALSE)),"----")</f>
        <v>----</v>
      </c>
      <c r="CK371" s="691" t="e">
        <f ca="1">MATCH($AC371,WSEI,-1)</f>
        <v>#N/A</v>
      </c>
      <c r="CL371" s="4" t="e">
        <f ca="1">IF(AND(INDEX(WSM,CK371,4)&gt;=$AB371,INDEX(WSM,CK371,5)&gt;=$S371,INDEX(WSM,CK371,6)&gt;=$R371),1,0)</f>
        <v>#N/A</v>
      </c>
      <c r="CM371" s="4" t="e">
        <f t="shared" ref="CM371" ca="1" si="6516">MATCH(1,OFFSET(CL371:CL382,$W$2,0,COUNT(CL371:CL382)-$W$2),0)</f>
        <v>#REF!</v>
      </c>
      <c r="CN371" s="4" t="e">
        <f t="shared" ref="CN371" ca="1" si="6517">$W$2+CM371</f>
        <v>#REF!</v>
      </c>
      <c r="CO371" s="692" t="str">
        <f ca="1">IFERROR(VLOOKUP(INDEX(CK371:CK382,CN371),WSM,2,FALSE),"----")</f>
        <v>----</v>
      </c>
      <c r="CP371" s="691" t="e">
        <f ca="1">MATCH($AC371,STEI,-1)</f>
        <v>#N/A</v>
      </c>
      <c r="CQ371" s="4" t="e">
        <f ca="1">IF(AND(INDEX(STM,CP371,4)&gt;=$AB371,INDEX(STM,CP371,5)&gt;=$S371,INDEX(STM,CP371,6)&gt;=$R371),1,0)</f>
        <v>#N/A</v>
      </c>
      <c r="CR371" s="4" t="e">
        <f t="shared" ref="CR371" ca="1" si="6518">MATCH(1,OFFSET(CQ371:CQ382,$W$2,0,COUNT(CQ371:CQ382)-$W$2),0)</f>
        <v>#REF!</v>
      </c>
      <c r="CS371" s="4" t="e">
        <f t="shared" ref="CS371" ca="1" si="6519">$W$2+CR371</f>
        <v>#REF!</v>
      </c>
      <c r="CT371" s="692" t="str">
        <f ca="1">IFERROR(VLOOKUP(INDEX(CP371:CP382,CS371),STM,2,FALSE),"----")</f>
        <v>----</v>
      </c>
      <c r="CU371" s="691" t="e">
        <f ca="1">MATCH($AC371,ELEI,-1)</f>
        <v>#N/A</v>
      </c>
      <c r="CV371" s="4" t="e">
        <f ca="1">IF(AND(INDEX(ELM,CU371,4)&gt;=$AB371,INDEX(ELM,CU371,5)&gt;=$S371,INDEX(ELM,CU371,6)&gt;=$R371),1,0)</f>
        <v>#N/A</v>
      </c>
      <c r="CW371" s="4" t="e">
        <f t="shared" ref="CW371" ca="1" si="6520">MATCH(1,OFFSET(CV371:CV382,$W$2,0,COUNT(CV371:CV382)-$W$2),0)</f>
        <v>#REF!</v>
      </c>
      <c r="CX371" s="4" t="e">
        <f t="shared" ref="CX371" ca="1" si="6521">$W$2+CW371</f>
        <v>#REF!</v>
      </c>
      <c r="CY371" s="692" t="str">
        <f ca="1">IFERROR(VLOOKUP(INDEX(CU371:CU382,CX371),ELM,2,FALSE),"----")</f>
        <v>----</v>
      </c>
      <c r="CZ371" s="691" t="e">
        <f ca="1">IF(LEFT($J371,7)="Clad Wo",MATCH($AC371,SPEIW,-1),MATCH($AC371,SPEI,-1))</f>
        <v>#N/A</v>
      </c>
      <c r="DA371" s="4" t="e">
        <f ca="1">IF(LEFT($J371,7)="Clad Wo",IF(AND(INDEX(SPPWS,CZ371,4)&gt;=$AB371,INDEX(SPPWS,CZ371,5)&gt;=$S371,INDEX(SPPWS,CZ371,6)&gt;=$R371),1,0),IF(AND(INDEX(SPM,CZ371,4)&gt;=$AB371,INDEX(SPM,CZ371,5)&gt;=$S371,INDEX(SPM,CZ371,6)&gt;=$R371),1,0))</f>
        <v>#N/A</v>
      </c>
      <c r="DB371" s="4" t="e">
        <f t="shared" ref="DB371" ca="1" si="6522">MATCH(1,OFFSET(DA371:DA382,$W$2,0,COUNT(DA371:DA382)-$W$2),0)</f>
        <v>#REF!</v>
      </c>
      <c r="DC371" s="4" t="e">
        <f t="shared" ref="DC371" ca="1" si="6523">$W$2+DB371</f>
        <v>#REF!</v>
      </c>
      <c r="DD371" s="693" t="str">
        <f ca="1">IF(LEFT($J371,7)="Clad Wo",IFERROR(VLOOKUP(INDEX(CZ371:CZ382,DC371),SPPWS,2,FALSE),"----"),IFERROR(VLOOKUP(INDEX(CZ371:CZ382,DC371),SPM,2,FALSE),"----"))</f>
        <v>----</v>
      </c>
      <c r="DE371" s="691" t="e">
        <f ca="1">MATCH(AC377,INDIRECT(BX371),-1)</f>
        <v>#REF!</v>
      </c>
      <c r="DF371" s="4" t="e" cm="1">
        <f t="array" aca="1" ref="DF371" ca="1">IF(AND(INDEX(INDIRECT(BY371),DE371,4)&gt;=$AB377,INDEX(INDIRECT(BY371),DE371,5)&gt;=$S371,INDEX(INDIRECT(BY371),DE371,6)&gt;=$R371),1,0)</f>
        <v>#REF!</v>
      </c>
      <c r="DG371" s="4" t="e">
        <f t="shared" ref="DG371" ca="1" si="6524">MATCH(1,OFFSET(DF371:DF382,$W$2,0,COUNT(DF371:DF382)-$W$2),0)</f>
        <v>#REF!</v>
      </c>
      <c r="DH371" s="4" t="e">
        <f t="shared" ref="DH371" ca="1" si="6525">$W$2+DG371</f>
        <v>#REF!</v>
      </c>
      <c r="DI371" s="692" t="str" cm="1">
        <f t="array" aca="1" ref="DI371" ca="1">IFERROR(VLOOKUP(INDEX(DE371:DE382,DH371),INDIRECT(BY371),2,FALSE),"----")</f>
        <v>----</v>
      </c>
      <c r="DJ371" s="691" t="e">
        <f ca="1">MATCH($AC377,SSEI,-1)</f>
        <v>#N/A</v>
      </c>
      <c r="DK371" s="4" t="e">
        <f ca="1">IF(AND(INDEX(SSM,DJ371,4)&gt;=$AB377,INDEX(SSM,DJ371,5)&gt;=$S371,INDEX(SSM,DJ371,6)&gt;=$R371),1,0)</f>
        <v>#N/A</v>
      </c>
      <c r="DL371" s="4" t="e">
        <f t="shared" ref="DL371" ca="1" si="6526">MATCH(1,OFFSET(DK371:DK382,$W$2,0,COUNT(DK371:DK382)-$W$2),0)</f>
        <v>#REF!</v>
      </c>
      <c r="DM371" s="4" t="e">
        <f t="shared" ref="DM371" ca="1" si="6527">$W$2+DL371</f>
        <v>#REF!</v>
      </c>
      <c r="DN371" s="692" t="str">
        <f ca="1">IFERROR(IF(AD378="Nested Steel Stud (wood infill)",VLOOKUP(INDEX(DJ371:DJ382,DM371),SSW,2,FALSE),VLOOKUP(INDEX(DJ371:DJ382,DM371),SSM,2,FALSE)),"----")</f>
        <v>----</v>
      </c>
      <c r="DO371" s="691" t="e">
        <f ca="1">MATCH($AC377,WSEI,-1)</f>
        <v>#N/A</v>
      </c>
      <c r="DP371" s="4" t="e">
        <f ca="1">IF(AND(INDEX(WSM,DO371,4)&gt;=$AB377,INDEX(WSM,DO371,5)&gt;=$S371,INDEX(WSM,DO371,6)&gt;=$R371),1,0)</f>
        <v>#N/A</v>
      </c>
      <c r="DQ371" s="4" t="e">
        <f t="shared" ref="DQ371" ca="1" si="6528">MATCH(1,OFFSET(DP371:DP382,$W$2,0,COUNT(DP371:DP382)-$W$2),0)</f>
        <v>#REF!</v>
      </c>
      <c r="DR371" s="4" t="e">
        <f t="shared" ref="DR371" ca="1" si="6529">$W$2+DQ371</f>
        <v>#REF!</v>
      </c>
      <c r="DS371" s="692" t="str">
        <f ca="1">IFERROR(VLOOKUP(INDEX(DO371:DO382,DR371),WSM,2,FALSE),"----")</f>
        <v>----</v>
      </c>
      <c r="DT371" s="691" t="e">
        <f ca="1">MATCH($AC377,STEI,-1)</f>
        <v>#N/A</v>
      </c>
      <c r="DU371" s="4" t="e">
        <f ca="1">IF(AND(INDEX(STM,DT371,4)&gt;=$AB377,INDEX(STM,DT371,5)&gt;=$S371,INDEX(STM,DT371,6)&gt;=$R371),1,0)</f>
        <v>#N/A</v>
      </c>
      <c r="DV371" s="4" t="e">
        <f t="shared" ref="DV371" ca="1" si="6530">MATCH(1,OFFSET(DU371:DU382,$W$2,0,COUNT(DU371:DU382)-$W$2),0)</f>
        <v>#REF!</v>
      </c>
      <c r="DW371" s="4" t="e">
        <f t="shared" ref="DW371" ca="1" si="6531">$W$2+DV371</f>
        <v>#REF!</v>
      </c>
      <c r="DX371" s="692" t="str">
        <f ca="1">IFERROR(VLOOKUP(INDEX(DT371:DT382,DW371),STM,2,FALSE),"----")</f>
        <v>----</v>
      </c>
      <c r="DY371" s="691" t="e">
        <f ca="1">MATCH($AC377,ELEI,-1)</f>
        <v>#N/A</v>
      </c>
      <c r="DZ371" s="4" t="e">
        <f ca="1">IF(AND(INDEX(ELM,DY371,4)&gt;=$AB377,INDEX(ELM,DY371,5)&gt;=$S371,INDEX(ELM,DY371,6)&gt;=$R371),1,0)</f>
        <v>#N/A</v>
      </c>
      <c r="EA371" s="4" t="e">
        <f t="shared" ref="EA371" ca="1" si="6532">MATCH(1,OFFSET(DZ371:DZ382,$W$2,0,COUNT(DZ371:DZ382)-$W$2),0)</f>
        <v>#REF!</v>
      </c>
      <c r="EB371" s="4" t="e">
        <f t="shared" ref="EB371" ca="1" si="6533">EA371+$W$2</f>
        <v>#REF!</v>
      </c>
      <c r="EC371" s="692" t="str">
        <f ca="1">IFERROR(VLOOKUP(INDEX(DY371:DY382,EB371),ELM,2,FALSE),"----")</f>
        <v>----</v>
      </c>
      <c r="ED371" s="691" t="e">
        <f ca="1">IF(LEFT($J371,7)="Clad Wo",MATCH($AC377,SPEIW,-1),MATCH($AC377,SPEI,-1))</f>
        <v>#N/A</v>
      </c>
      <c r="EE371" s="4" t="e">
        <f ca="1">IF(LEFT($J371,7)="Clad Wo",IF(AND(INDEX(SPPWS,ED371,4)&gt;=$AB377,INDEX(SPPWS,ED371,5)&gt;=$S371,INDEX(SPPWS,ED371,6)&gt;=$R371),1,0),IF(AND(INDEX(SPM,ED371,4)&gt;=$AB377,INDEX(SPM,ED371,5)&gt;=$S371,INDEX(SPM,ED371,6)&gt;=$R371),1,0))</f>
        <v>#N/A</v>
      </c>
      <c r="EF371" s="4" t="e">
        <f t="shared" ref="EF371" ca="1" si="6534">MATCH(1,OFFSET(EE371:EE382,$W$2,0,COUNT(EE371:EE382)-$W$2),0)</f>
        <v>#REF!</v>
      </c>
      <c r="EG371" s="4" t="e">
        <f t="shared" ref="EG371" ca="1" si="6535">$W$2+EF371</f>
        <v>#REF!</v>
      </c>
      <c r="EH371" s="692" t="str">
        <f ca="1">IF(LEFT($J371,7)="Clad Wo",IFERROR(VLOOKUP(INDEX(ED371:ED382,EG371),SPPWS,2,FALSE),"----"),IFERROR(VLOOKUP(INDEX(ED371:ED382,EG371),SPM,2,FALSE),"----"))</f>
        <v>----</v>
      </c>
    </row>
    <row r="372" spans="1:138" ht="15" customHeight="1" x14ac:dyDescent="0.25">
      <c r="A372" s="1085"/>
      <c r="B372" s="925"/>
      <c r="C372" s="926"/>
      <c r="D372" s="927"/>
      <c r="E372" s="995"/>
      <c r="F372" s="996"/>
      <c r="G372" s="997"/>
      <c r="H372" s="1062"/>
      <c r="I372" s="990"/>
      <c r="J372" s="908"/>
      <c r="K372" s="909"/>
      <c r="L372" s="1002"/>
      <c r="M372" s="923"/>
      <c r="N372" s="1042"/>
      <c r="O372" s="1018"/>
      <c r="P372" s="987"/>
      <c r="Q372" s="1015"/>
      <c r="R372" s="1012"/>
      <c r="S372" s="1006"/>
      <c r="T372" s="1007"/>
      <c r="U372" s="878"/>
      <c r="V372" s="881"/>
      <c r="W372" s="884"/>
      <c r="X372" s="884"/>
      <c r="Y372" s="887"/>
      <c r="Z372" s="887"/>
      <c r="AA372" s="887"/>
      <c r="AB372" s="1081"/>
      <c r="AC372" s="1078"/>
      <c r="AD372" s="1102" t="s">
        <v>38</v>
      </c>
      <c r="AE372" s="1103"/>
      <c r="AF372" s="1052"/>
      <c r="AG372" s="1053"/>
      <c r="AH372" s="1053"/>
      <c r="AI372" s="1066"/>
      <c r="AJ372" s="1067"/>
      <c r="AK372" s="156" t="str">
        <f t="shared" ca="1" si="6208"/>
        <v/>
      </c>
      <c r="AL372" s="1039"/>
      <c r="AM372" s="343" t="str">
        <f ca="1">IFERROR(Q371/12*ROUND(VLOOKUP(AF372,OFFSET(SSM,0,1),6,FALSE),2),"")</f>
        <v/>
      </c>
      <c r="AN372" t="str">
        <f t="shared" ca="1" si="6226"/>
        <v/>
      </c>
      <c r="AP372" s="122" t="str">
        <f t="shared" ref="AP372" si="6536">_xlfn.CONCAT(AR372,AS376)</f>
        <v/>
      </c>
      <c r="AQ372" s="683" t="str">
        <f t="shared" si="6434"/>
        <v/>
      </c>
      <c r="AR372" s="96" t="str">
        <f t="shared" si="6193"/>
        <v/>
      </c>
      <c r="AS372" s="96" t="str">
        <f>IF(COUNTIF(Vista_1,AF371)=1,"Vista_1",IF(COUNTIF(Vista_2,AF371)=1,"Vista_2",""))</f>
        <v/>
      </c>
      <c r="AT372" s="684" t="str">
        <f>AL371</f>
        <v/>
      </c>
      <c r="AU372" s="694" t="e">
        <f t="shared" ref="AU372" ca="1" si="6537">AU371-1</f>
        <v>#REF!</v>
      </c>
      <c r="AV372" s="686" t="str">
        <f ca="1">IFERROR(VLOOKUP(AU372,INDIRECT(AQ371),2,FALSE),"----")</f>
        <v>----</v>
      </c>
      <c r="AW372" s="694" t="e">
        <f t="shared" ref="AW372:AW373" ca="1" si="6538">AW371-1</f>
        <v>#REF!</v>
      </c>
      <c r="AX372" s="686" t="str">
        <f ca="1">IFERROR(VLOOKUP(AW372,INDIRECT(AQ372),2,FALSE),"----")</f>
        <v>----</v>
      </c>
      <c r="AY372" s="694" t="e">
        <f t="shared" ref="AY372:AY373" ca="1" si="6539">AY371-1</f>
        <v>#REF!</v>
      </c>
      <c r="AZ372" s="686" t="str">
        <f ca="1">IFERROR(VLOOKUP(AY372,INDIRECT(AQ373),2,FALSE),"----")</f>
        <v>----</v>
      </c>
      <c r="BA372" s="694" t="e">
        <f t="shared" ref="BA372:BA373" ca="1" si="6540">BA371-1</f>
        <v>#REF!</v>
      </c>
      <c r="BB372" s="686" t="str">
        <f ca="1">IFERROR(VLOOKUP(BA372,INDIRECT(AQ374),2,FALSE),"----")</f>
        <v>----</v>
      </c>
      <c r="BC372" s="694" t="e">
        <f t="shared" ref="BC372:BC373" ca="1" si="6541">BC371-1</f>
        <v>#REF!</v>
      </c>
      <c r="BD372" s="686" t="str">
        <f ca="1">IFERROR(VLOOKUP(BC372,INDIRECT(AQ375),2,FALSE),"----")</f>
        <v>----</v>
      </c>
      <c r="BE372" s="694" t="e">
        <f t="shared" ref="BE372" ca="1" si="6542">BE371-1</f>
        <v>#REF!</v>
      </c>
      <c r="BF372" s="686" t="str">
        <f ca="1">IFERROR(VLOOKUP(BE372,INDIRECT(AQ376),2,FALSE),"----")</f>
        <v>----</v>
      </c>
      <c r="BG372" s="694" t="e">
        <f t="shared" ref="BG372" ca="1" si="6543">BG371-1</f>
        <v>#REF!</v>
      </c>
      <c r="BH372" s="686" t="str">
        <f ca="1">IFERROR(VLOOKUP(BG372,INDIRECT(AQ377),2,FALSE),"----")</f>
        <v>----</v>
      </c>
      <c r="BI372" s="694" t="e">
        <f t="shared" ref="BI372:BI373" ca="1" si="6544">BI371-1</f>
        <v>#REF!</v>
      </c>
      <c r="BJ372" s="686" t="str">
        <f ca="1">IFERROR(VLOOKUP(BI372,INDIRECT(AQ378),2,FALSE),"----")</f>
        <v>----</v>
      </c>
      <c r="BK372" s="694" t="e">
        <f t="shared" ref="BK372:BK373" ca="1" si="6545">BK371-1</f>
        <v>#REF!</v>
      </c>
      <c r="BL372" s="686" t="str">
        <f ca="1">IFERROR(VLOOKUP(BK372,INDIRECT(AQ379),2,FALSE),"----")</f>
        <v>----</v>
      </c>
      <c r="BM372" s="694" t="e">
        <f t="shared" ref="BM372:BM373" ca="1" si="6546">BM371-1</f>
        <v>#REF!</v>
      </c>
      <c r="BN372" s="686" t="str">
        <f ca="1">IFERROR(VLOOKUP(BM372,INDIRECT(AQ380),2,FALSE),"----")</f>
        <v>----</v>
      </c>
      <c r="BO372" s="694" t="e">
        <f t="shared" ref="BO372:BO373" ca="1" si="6547">BO371-1</f>
        <v>#REF!</v>
      </c>
      <c r="BP372" s="686" t="str">
        <f ca="1">IFERROR(VLOOKUP(BO372,INDIRECT(AQ381),2,FALSE),"----")</f>
        <v>----</v>
      </c>
      <c r="BQ372" s="694" t="e">
        <f t="shared" ref="BQ372" ca="1" si="6548">BQ371-1</f>
        <v>#REF!</v>
      </c>
      <c r="BR372" s="686" t="str">
        <f ca="1">IFERROR(VLOOKUP(BQ372,INDIRECT(AQ382),2,FALSE),"----")</f>
        <v>----</v>
      </c>
      <c r="BS372" s="695">
        <f>IF(AI372="",1,IF(COUNTIF(AX371:AX382,AI372)=0,2,1))</f>
        <v>1</v>
      </c>
      <c r="BT372" s="696">
        <f>IF(AF372="",1,IF(AX371=".",2,1))</f>
        <v>1</v>
      </c>
      <c r="BU372" s="706"/>
      <c r="BV372" s="155">
        <f ca="1">IF(COUNTIF(CJ371:CJ382,AF372)=0,IF(AF372&lt;&gt;"",0,1),1)</f>
        <v>1</v>
      </c>
      <c r="BW372" s="157">
        <f ca="1">IFERROR(MATCH(AF372,CJ371:CJ382,0),1)</f>
        <v>1</v>
      </c>
      <c r="BX372" s="769"/>
      <c r="BY372" s="769"/>
      <c r="BZ372" s="1110"/>
      <c r="CA372" s="691" t="e">
        <f t="shared" ref="CA372:CA382" ca="1" si="6549">CA371-1</f>
        <v>#REF!</v>
      </c>
      <c r="CB372" s="4" t="e" cm="1">
        <f t="array" aca="1" ref="CB372" ca="1">IF(AND(INDEX(INDIRECT(BY371),CA372,4)&gt;=$AB371,INDEX(INDIRECT(BY371),CA372,5)&gt;=$S371,INDEX(INDIRECT(BY371),CA372,6)&gt;=$R371),1,0)</f>
        <v>#REF!</v>
      </c>
      <c r="CC372" s="4" t="e">
        <f t="shared" ref="CC372" ca="1" si="6550">MATCH(1,OFFSET(CB371:CB382,CD371,0,COUNT(CB371:CB382)-CD371),0)</f>
        <v>#REF!</v>
      </c>
      <c r="CD372" s="4" t="e">
        <f t="shared" ref="CD372:CD382" ca="1" si="6551">CD371+CC372</f>
        <v>#REF!</v>
      </c>
      <c r="CE372" s="692" t="str" cm="1">
        <f t="array" aca="1" ref="CE372" ca="1">IFERROR(VLOOKUP(INDEX(CA371:CA382,CD372),INDIRECT(BY371),2,FALSE),"----")</f>
        <v>----</v>
      </c>
      <c r="CF372" s="691" t="e">
        <f t="shared" ref="CF372:CF382" ca="1" si="6552">CF371-1</f>
        <v>#N/A</v>
      </c>
      <c r="CG372" s="4" t="e">
        <f ca="1">IF(AND(INDEX(SSM,CF372,4)&gt;=$AB371,INDEX(SSM,CF372,5)&gt;=$S371,INDEX(SSM,CF372,6)&gt;=$R371),1,0)</f>
        <v>#N/A</v>
      </c>
      <c r="CH372" s="4" t="e">
        <f t="shared" ref="CH372" ca="1" si="6553">MATCH(1,OFFSET(CG371:CG382,CI371,0,COUNT(CG371:CG382)-CI371),0)</f>
        <v>#REF!</v>
      </c>
      <c r="CI372" s="4" t="e">
        <f t="shared" ref="CI372:CI382" ca="1" si="6554">CI371+CH372</f>
        <v>#REF!</v>
      </c>
      <c r="CJ372" s="692" t="str">
        <f ca="1">IFERROR(IF(AD372="Nested Steel Stud (wood infill)",VLOOKUP(INDEX(CF371:CF382,CI372),SSW,2,FALSE),VLOOKUP(INDEX(CF371:CF382,CI372),SSM,2,FALSE)),"----")</f>
        <v>----</v>
      </c>
      <c r="CK372" s="691" t="e">
        <f t="shared" ref="CK372:CK382" ca="1" si="6555">CK371-1</f>
        <v>#N/A</v>
      </c>
      <c r="CL372" s="4" t="e">
        <f ca="1">IF(AND(INDEX(WSM,CK372,4)&gt;=$AB371,INDEX(WSM,CK372,5)&gt;=$S371,INDEX(WSM,CK372,6)&gt;=$R371),1,0)</f>
        <v>#N/A</v>
      </c>
      <c r="CM372" s="4" t="e">
        <f t="shared" ref="CM372" ca="1" si="6556">MATCH(1,OFFSET(CL371:CL382,CN371,0,COUNT(CL371:CL382)-CN371),0)</f>
        <v>#REF!</v>
      </c>
      <c r="CN372" s="4" t="e">
        <f t="shared" ref="CN372:CN382" ca="1" si="6557">CM372+CN371</f>
        <v>#REF!</v>
      </c>
      <c r="CO372" s="692" t="str">
        <f ca="1">IFERROR(VLOOKUP(INDEX(CK371:CK382,CN372),WSM,2,FALSE),"----")</f>
        <v>----</v>
      </c>
      <c r="CP372" s="691" t="e">
        <f t="shared" ref="CP372:CP382" ca="1" si="6558">CP371-1</f>
        <v>#N/A</v>
      </c>
      <c r="CQ372" s="4" t="e">
        <f ca="1">IF(AND(INDEX(STM,CP372,4)&gt;=$AB371,INDEX(STM,CP372,5)&gt;=$S371,INDEX(STM,CP372,6)&gt;=$R371),1,0)</f>
        <v>#N/A</v>
      </c>
      <c r="CR372" s="4" t="e">
        <f t="shared" ref="CR372" ca="1" si="6559">MATCH(1,OFFSET(CQ371:CQ382,CS371,0,COUNT(CQ371:CQ382)-CS371),0)</f>
        <v>#REF!</v>
      </c>
      <c r="CS372" s="4" t="e">
        <f t="shared" ref="CS372:CS382" ca="1" si="6560">CR372+CS371</f>
        <v>#REF!</v>
      </c>
      <c r="CT372" s="692" t="str">
        <f ca="1">IFERROR(VLOOKUP(INDEX(CP371:CP382,CS372),STM,2,FALSE),"----")</f>
        <v>----</v>
      </c>
      <c r="CU372" s="691" t="e">
        <f t="shared" ref="CU372:CU382" ca="1" si="6561">CU371-1</f>
        <v>#N/A</v>
      </c>
      <c r="CV372" s="4" t="e">
        <f ca="1">IF(AND(INDEX(ELM,CU372,4)&gt;=$AB371,INDEX(ELM,CU372,5)&gt;=$S371,INDEX(ELM,CU372,6)&gt;=$R371),1,0)</f>
        <v>#N/A</v>
      </c>
      <c r="CW372" s="4" t="e">
        <f t="shared" ref="CW372" ca="1" si="6562">MATCH(1,OFFSET(CV371:CV382,CX371,0,COUNT(CV371:CV382)-CX371),0)</f>
        <v>#REF!</v>
      </c>
      <c r="CX372" s="4" t="e">
        <f t="shared" ref="CX372:CX382" ca="1" si="6563">CW372+CX371</f>
        <v>#REF!</v>
      </c>
      <c r="CY372" s="692" t="str">
        <f ca="1">IFERROR(VLOOKUP(INDEX(CU371:CU382,CX372),ELM,2,FALSE),"----")</f>
        <v>----</v>
      </c>
      <c r="CZ372" s="691" t="e">
        <f t="shared" ref="CZ372:CZ382" ca="1" si="6564">CZ371-1</f>
        <v>#N/A</v>
      </c>
      <c r="DA372" s="4" t="e">
        <f ca="1">IF(LEFT($J371,7)="Clad Wo",IF(AND(INDEX(SPPWS,CZ372,4)&gt;=$AB371,INDEX(SPPWS,CZ372,5)&gt;=$S371,INDEX(SPPWS,CZ372,6)&gt;=$R371),1,0),IF(AND(INDEX(SPM,CZ372,4)&gt;=$AB371,INDEX(SPM,CZ372,5)&gt;=$S371,INDEX(SPM,CZ372,6)&gt;=$R371),1,0))</f>
        <v>#N/A</v>
      </c>
      <c r="DB372" s="4" t="e">
        <f t="shared" ref="DB372" ca="1" si="6565">MATCH(1,OFFSET(DA371:DA382,DC371,0,COUNT(DA371:DA382)-DC371),0)</f>
        <v>#REF!</v>
      </c>
      <c r="DC372" s="4" t="e">
        <f t="shared" ref="DC372:DC382" ca="1" si="6566">DC371+DB372</f>
        <v>#REF!</v>
      </c>
      <c r="DD372" s="693" t="str">
        <f ca="1">IF(LEFT($J371,7)="Clad Wo",IFERROR(VLOOKUP(INDEX(CZ371:CZ382,DC372),SPPWS,2,FALSE),"----"),IFERROR(VLOOKUP(INDEX(CZ371:CZ382,DC372),SPM,2,FALSE),"----"))</f>
        <v>----</v>
      </c>
      <c r="DE372" s="691" t="e">
        <f t="shared" ref="DE372:DE382" ca="1" si="6567">DE371-1</f>
        <v>#REF!</v>
      </c>
      <c r="DF372" s="4" t="e" cm="1">
        <f t="array" aca="1" ref="DF372" ca="1">IF(AND(INDEX(INDIRECT(BY371),DE372,4)&gt;=$AB377,INDEX(INDIRECT(BY371),DE372,5)&gt;=$S371,INDEX(INDIRECT(BY371),DE372,6)&gt;=$R371),1,0)</f>
        <v>#REF!</v>
      </c>
      <c r="DG372" s="4" t="e">
        <f t="shared" ref="DG372" ca="1" si="6568">MATCH(1,OFFSET(DF371:DF382,DH371,0,COUNT(DF371:DF382)-DH371),0)</f>
        <v>#REF!</v>
      </c>
      <c r="DH372" s="4" t="e">
        <f t="shared" ref="DH372:DH382" ca="1" si="6569">DH371+DG372</f>
        <v>#REF!</v>
      </c>
      <c r="DI372" s="692" t="str" cm="1">
        <f t="array" aca="1" ref="DI372" ca="1">IFERROR(VLOOKUP(INDEX(DE371:DE382,DH372),INDIRECT(BY371),2,FALSE),"----")</f>
        <v>----</v>
      </c>
      <c r="DJ372" s="691" t="e">
        <f t="shared" ref="DJ372:DJ382" ca="1" si="6570">DJ371-1</f>
        <v>#N/A</v>
      </c>
      <c r="DK372" s="4" t="e">
        <f ca="1">IF(AND(INDEX(SSM,DJ372,4)&gt;=$AB377,INDEX(SSM,DJ372,5)&gt;=$S371,INDEX(SSM,DJ372,6)&gt;=$R371),1,0)</f>
        <v>#N/A</v>
      </c>
      <c r="DL372" s="4" t="e">
        <f t="shared" ref="DL372" ca="1" si="6571">MATCH(1,OFFSET(DK371:DK382,DM371,0,COUNT(DK371:DK382)-DM371),0)</f>
        <v>#REF!</v>
      </c>
      <c r="DM372" s="4" t="e">
        <f t="shared" ref="DM372:DM382" ca="1" si="6572">DL372+DM371</f>
        <v>#REF!</v>
      </c>
      <c r="DN372" s="692" t="str">
        <f ca="1">IFERROR(IF(AD378="Nested Steel Stud (wood infill)",VLOOKUP(INDEX(DJ371:DJ382,DM372),SSW,2,FALSE),VLOOKUP(INDEX(DJ371:DJ382,DM372),SSM,2,FALSE)),"----")</f>
        <v>----</v>
      </c>
      <c r="DO372" s="691" t="e">
        <f t="shared" ref="DO372:DO382" ca="1" si="6573">DO371-1</f>
        <v>#N/A</v>
      </c>
      <c r="DP372" s="4" t="e">
        <f ca="1">IF(AND(INDEX(WSM,DO372,4)&gt;=$AB377,INDEX(WSM,DO372,5)&gt;=$S371,INDEX(WSM,DO372,6)&gt;=$R371),1,0)</f>
        <v>#N/A</v>
      </c>
      <c r="DQ372" s="4" t="e">
        <f t="shared" ref="DQ372" ca="1" si="6574">MATCH(1,OFFSET(DP371:DP382,DR371,0,COUNT(DP371:DP382)-DR371),0)</f>
        <v>#REF!</v>
      </c>
      <c r="DR372" s="4" t="e">
        <f t="shared" ref="DR372:DR382" ca="1" si="6575">DQ372+DR371</f>
        <v>#REF!</v>
      </c>
      <c r="DS372" s="692" t="str">
        <f ca="1">IFERROR(VLOOKUP(INDEX(DO371:DO382,DR372),WSM,2,FALSE),"----")</f>
        <v>----</v>
      </c>
      <c r="DT372" s="691" t="e">
        <f t="shared" ref="DT372:DT382" ca="1" si="6576">DT371-1</f>
        <v>#N/A</v>
      </c>
      <c r="DU372" s="4" t="e">
        <f ca="1">IF(AND(INDEX(STM,DT372,4)&gt;=$AB377,INDEX(STM,DT372,5)&gt;=$S371,INDEX(STM,DT372,6)&gt;=$R371),1,0)</f>
        <v>#N/A</v>
      </c>
      <c r="DV372" s="4" t="e">
        <f t="shared" ref="DV372" ca="1" si="6577">MATCH(1,OFFSET(DU371:DU382,DW371,0,COUNT(DU371:DU382)-DW371),0)</f>
        <v>#REF!</v>
      </c>
      <c r="DW372" s="4" t="e">
        <f t="shared" ref="DW372:DW382" ca="1" si="6578">DV372+DW371</f>
        <v>#REF!</v>
      </c>
      <c r="DX372" s="692" t="str">
        <f ca="1">IFERROR(VLOOKUP(INDEX(DT371:DT382,DW372),STM,2,FALSE),"----")</f>
        <v>----</v>
      </c>
      <c r="DY372" s="691" t="e">
        <f t="shared" ref="DY372:DY382" ca="1" si="6579">DY371-1</f>
        <v>#N/A</v>
      </c>
      <c r="DZ372" s="4" t="e">
        <f ca="1">IF(AND(INDEX(ELM,DY372,4)&gt;=$AB377,INDEX(ELM,DY372,5)&gt;=$S371,INDEX(ELM,DY372,6)&gt;=$R371),1,0)</f>
        <v>#N/A</v>
      </c>
      <c r="EA372" s="4" t="e">
        <f t="shared" ref="EA372" ca="1" si="6580">MATCH(1,OFFSET(DZ371:DZ382,EB371,0,COUNT(DZ371:DZ382)-EB371),0)</f>
        <v>#REF!</v>
      </c>
      <c r="EB372" s="4" t="e">
        <f t="shared" ref="EB372:EB382" ca="1" si="6581">EA372+EB371</f>
        <v>#REF!</v>
      </c>
      <c r="EC372" s="692" t="str">
        <f ca="1">IFERROR(VLOOKUP(INDEX(DY371:DY382,EB372),ELM,2,FALSE),"----")</f>
        <v>----</v>
      </c>
      <c r="ED372" s="691" t="e">
        <f t="shared" ref="ED372:ED382" ca="1" si="6582">ED371-1</f>
        <v>#N/A</v>
      </c>
      <c r="EE372" s="4" t="e">
        <f ca="1">IF(LEFT($J371,7)="Clad Wo",IF(AND(INDEX(SPPWS,ED372,4)&gt;=$AB377,INDEX(SPPWS,ED372,5)&gt;=$S371,INDEX(SPPWS,ED372,6)&gt;=$R371),1,0),IF(AND(INDEX(SPM,ED372,4)&gt;=$AB377,INDEX(SPM,ED372,5)&gt;=$S371,INDEX(SPM,ED372,6)&gt;=$R371),1,0))</f>
        <v>#N/A</v>
      </c>
      <c r="EF372" s="4" t="e">
        <f t="shared" ref="EF372" ca="1" si="6583">MATCH(1,OFFSET(EE371:EE382,EG371,0,COUNT(EE371:EE382)-EG371),0)</f>
        <v>#REF!</v>
      </c>
      <c r="EG372" s="4" t="e">
        <f t="shared" ref="EG372:EG382" ca="1" si="6584">EG371+EF372</f>
        <v>#REF!</v>
      </c>
      <c r="EH372" s="692" t="str">
        <f ca="1">IF(LEFT($J371,7)="Clad Wo",IFERROR(VLOOKUP(INDEX(ED371:ED382,EG372),SPPWS,2,FALSE),"----"),IFERROR(VLOOKUP(INDEX(ED371:ED382,EG372),SPM,2,FALSE),"----"))</f>
        <v>----</v>
      </c>
    </row>
    <row r="373" spans="1:138" ht="15" customHeight="1" x14ac:dyDescent="0.25">
      <c r="A373" s="1085"/>
      <c r="B373" s="925"/>
      <c r="C373" s="926"/>
      <c r="D373" s="927"/>
      <c r="E373" s="995"/>
      <c r="F373" s="996"/>
      <c r="G373" s="997"/>
      <c r="H373" s="1062"/>
      <c r="I373" s="990"/>
      <c r="J373" s="908"/>
      <c r="K373" s="909"/>
      <c r="L373" s="1002"/>
      <c r="M373" s="923"/>
      <c r="N373" s="1042"/>
      <c r="O373" s="1018"/>
      <c r="P373" s="987"/>
      <c r="Q373" s="1015"/>
      <c r="R373" s="1012"/>
      <c r="S373" s="1006"/>
      <c r="T373" s="1007"/>
      <c r="U373" s="878"/>
      <c r="V373" s="881"/>
      <c r="W373" s="884"/>
      <c r="X373" s="884"/>
      <c r="Y373" s="887"/>
      <c r="Z373" s="887"/>
      <c r="AA373" s="887"/>
      <c r="AB373" s="1081"/>
      <c r="AC373" s="1078"/>
      <c r="AD373" s="1070" t="s">
        <v>333</v>
      </c>
      <c r="AE373" s="1071"/>
      <c r="AF373" s="1052"/>
      <c r="AG373" s="1053"/>
      <c r="AH373" s="1053"/>
      <c r="AI373" s="1066"/>
      <c r="AJ373" s="1067"/>
      <c r="AK373" s="154" t="str">
        <f t="shared" ca="1" si="6208"/>
        <v/>
      </c>
      <c r="AL373" s="1039"/>
      <c r="AM373" s="344" t="str">
        <f ca="1">IFERROR(Q371/12*ROUND(VLOOKUP(AF373,OFFSET(WSM,0,1),6,FALSE),2),"")</f>
        <v/>
      </c>
      <c r="AN373" t="str">
        <f t="shared" ca="1" si="6226"/>
        <v/>
      </c>
      <c r="AP373" s="122" t="str">
        <f t="shared" ref="AP373" si="6585">_xlfn.CONCAT(AR373,AS376)</f>
        <v/>
      </c>
      <c r="AQ373" s="683" t="str">
        <f t="shared" si="6434"/>
        <v/>
      </c>
      <c r="AR373" s="4" t="str">
        <f t="shared" si="6193"/>
        <v/>
      </c>
      <c r="AS373" s="4"/>
      <c r="AT373" s="697" t="str">
        <f>AL371</f>
        <v/>
      </c>
      <c r="AU373" s="694" t="e">
        <f t="shared" ca="1" si="6450"/>
        <v>#REF!</v>
      </c>
      <c r="AV373" s="686" t="str">
        <f ca="1">IFERROR(VLOOKUP(AU373,INDIRECT(AQ371),2,FALSE),"----")</f>
        <v>----</v>
      </c>
      <c r="AW373" s="694" t="e">
        <f t="shared" ca="1" si="6538"/>
        <v>#REF!</v>
      </c>
      <c r="AX373" s="686" t="str">
        <f ca="1">IFERROR(VLOOKUP(AW373,INDIRECT(AQ372),2,FALSE),"----")</f>
        <v>----</v>
      </c>
      <c r="AY373" s="694" t="e">
        <f t="shared" ca="1" si="6539"/>
        <v>#REF!</v>
      </c>
      <c r="AZ373" s="686" t="str">
        <f ca="1">IFERROR(VLOOKUP(AY373,INDIRECT(AQ373),2,FALSE),"----")</f>
        <v>----</v>
      </c>
      <c r="BA373" s="694" t="e">
        <f t="shared" ca="1" si="6540"/>
        <v>#REF!</v>
      </c>
      <c r="BB373" s="686" t="str">
        <f ca="1">IFERROR(VLOOKUP(BA373,INDIRECT(AQ374),2,FALSE),"----")</f>
        <v>----</v>
      </c>
      <c r="BC373" s="694" t="e">
        <f t="shared" ca="1" si="6541"/>
        <v>#REF!</v>
      </c>
      <c r="BD373" s="686" t="str">
        <f ca="1">IFERROR(VLOOKUP(BC373,INDIRECT(AQ375),2,FALSE),"----")</f>
        <v>----</v>
      </c>
      <c r="BE373" s="694" t="e">
        <f t="shared" ca="1" si="6453"/>
        <v>#REF!</v>
      </c>
      <c r="BF373" s="686" t="str">
        <f ca="1">IFERROR(VLOOKUP(BE373,INDIRECT(AQ376),2,FALSE),"----")</f>
        <v>----</v>
      </c>
      <c r="BG373" s="694" t="e">
        <f t="shared" ca="1" si="6454"/>
        <v>#REF!</v>
      </c>
      <c r="BH373" s="686" t="str">
        <f ca="1">IFERROR(VLOOKUP(BG373,INDIRECT(AQ377),2,FALSE),"----")</f>
        <v>----</v>
      </c>
      <c r="BI373" s="694" t="e">
        <f t="shared" ca="1" si="6544"/>
        <v>#REF!</v>
      </c>
      <c r="BJ373" s="686" t="str">
        <f ca="1">IFERROR(VLOOKUP(BI373,INDIRECT(AQ378),2,FALSE),"----")</f>
        <v>----</v>
      </c>
      <c r="BK373" s="694" t="e">
        <f t="shared" ca="1" si="6545"/>
        <v>#REF!</v>
      </c>
      <c r="BL373" s="686" t="str">
        <f ca="1">IFERROR(VLOOKUP(BK373,INDIRECT(AQ379),2,FALSE),"----")</f>
        <v>----</v>
      </c>
      <c r="BM373" s="694" t="e">
        <f t="shared" ca="1" si="6546"/>
        <v>#REF!</v>
      </c>
      <c r="BN373" s="686" t="str">
        <f ca="1">IFERROR(VLOOKUP(BM373,INDIRECT(AQ380),2,FALSE),"----")</f>
        <v>----</v>
      </c>
      <c r="BO373" s="694" t="e">
        <f t="shared" ca="1" si="6547"/>
        <v>#REF!</v>
      </c>
      <c r="BP373" s="686" t="str">
        <f ca="1">IFERROR(VLOOKUP(BO373,INDIRECT(AQ381),2,FALSE),"----")</f>
        <v>----</v>
      </c>
      <c r="BQ373" s="694" t="e">
        <f t="shared" ca="1" si="6459"/>
        <v>#REF!</v>
      </c>
      <c r="BR373" s="686" t="str">
        <f ca="1">IFERROR(VLOOKUP(BQ373,INDIRECT(AQ382),2,FALSE),"----")</f>
        <v>----</v>
      </c>
      <c r="BS373" s="695">
        <f>IF(AI373="",1,IF(COUNTIF(AZ371:AZ382,AI373)=0,2,1))</f>
        <v>1</v>
      </c>
      <c r="BT373" s="696">
        <f>IF(AF373="",1,IF(AZ371=".",2,1))</f>
        <v>1</v>
      </c>
      <c r="BU373" s="706"/>
      <c r="BV373" s="155">
        <f ca="1">IF(COUNTIF(CO371:CO382,AF373)=0,IF(AF373&lt;&gt;"",0,1),1)</f>
        <v>1</v>
      </c>
      <c r="BW373" s="157">
        <f ca="1">IFERROR(MATCH(AF373,CO371:CO382,0),1)</f>
        <v>1</v>
      </c>
      <c r="BX373" s="769"/>
      <c r="BY373" s="769"/>
      <c r="BZ373" s="1110"/>
      <c r="CA373" s="691" t="e">
        <f t="shared" ca="1" si="6549"/>
        <v>#REF!</v>
      </c>
      <c r="CB373" s="4" t="e" cm="1">
        <f t="array" aca="1" ref="CB373" ca="1">IF(AND(INDEX(INDIRECT(BY371),CA373,4)&gt;=$AB371,INDEX(INDIRECT(BY371),CA373,5)&gt;=$S371,INDEX(INDIRECT(BY371),CA373,6)&gt;=$R371),1,0)</f>
        <v>#REF!</v>
      </c>
      <c r="CC373" s="4" t="e">
        <f t="shared" ref="CC373" ca="1" si="6586">MATCH(1,OFFSET(CB371:CB382,CD372,0,COUNT(CB371:CB382)-CD372),0)</f>
        <v>#REF!</v>
      </c>
      <c r="CD373" s="4" t="e">
        <f t="shared" ca="1" si="6551"/>
        <v>#REF!</v>
      </c>
      <c r="CE373" s="692" t="str" cm="1">
        <f t="array" aca="1" ref="CE373" ca="1">IFERROR(VLOOKUP(INDEX(CA371:CA382,CD373),INDIRECT(BY371),2,FALSE),"----")</f>
        <v>----</v>
      </c>
      <c r="CF373" s="691" t="e">
        <f t="shared" ca="1" si="6552"/>
        <v>#N/A</v>
      </c>
      <c r="CG373" s="4" t="e">
        <f ca="1">IF(AND(INDEX(SSM,CF373,4)&gt;=$AB371,INDEX(SSM,CF373,5)&gt;=$S371,INDEX(SSM,CF373,6)&gt;=$R371),1,0)</f>
        <v>#N/A</v>
      </c>
      <c r="CH373" s="4" t="e">
        <f t="shared" ref="CH373" ca="1" si="6587">MATCH(1,OFFSET(CG371:CG382,CI372,0,COUNT(CG371:CG382)-CI372),0)</f>
        <v>#REF!</v>
      </c>
      <c r="CI373" s="4" t="e">
        <f t="shared" ca="1" si="6554"/>
        <v>#REF!</v>
      </c>
      <c r="CJ373" s="692" t="str">
        <f ca="1">IFERROR(IF(AD372="Nested Steel Stud (wood infill)",VLOOKUP(INDEX(CF371:CF382,CI373),SSW,2,FALSE),VLOOKUP(INDEX(CF371:CF382,CI373),SSM,2,FALSE)),"----")</f>
        <v>----</v>
      </c>
      <c r="CK373" s="691" t="e">
        <f t="shared" ca="1" si="6555"/>
        <v>#N/A</v>
      </c>
      <c r="CL373" s="4" t="e">
        <f ca="1">IF(AND(INDEX(WSM,CK373,4)&gt;=$AB371,INDEX(WSM,CK373,5)&gt;=$S371,INDEX(WSM,CK373,6)&gt;=$R371),1,0)</f>
        <v>#N/A</v>
      </c>
      <c r="CM373" s="4" t="e">
        <f t="shared" ref="CM373" ca="1" si="6588">MATCH(1,OFFSET(CL371:CL382,CN372,0,COUNT(CL371:CL382)-CN372),0)</f>
        <v>#REF!</v>
      </c>
      <c r="CN373" s="4" t="e">
        <f t="shared" ca="1" si="6557"/>
        <v>#REF!</v>
      </c>
      <c r="CO373" s="692" t="str">
        <f ca="1">IFERROR(VLOOKUP(INDEX(CK371:CK382,CN373),WSM,2,FALSE),"----")</f>
        <v>----</v>
      </c>
      <c r="CP373" s="691" t="e">
        <f t="shared" ca="1" si="6558"/>
        <v>#N/A</v>
      </c>
      <c r="CQ373" s="4" t="e">
        <f ca="1">IF(AND(INDEX(STM,CP373,4)&gt;=$AB371,INDEX(STM,CP373,5)&gt;=$S371,INDEX(STM,CP373,6)&gt;=$R371),1,0)</f>
        <v>#N/A</v>
      </c>
      <c r="CR373" s="4" t="e">
        <f t="shared" ref="CR373" ca="1" si="6589">MATCH(1,OFFSET(CQ371:CQ382,CS372,0,COUNT(CQ371:CQ382)-CS372),0)</f>
        <v>#REF!</v>
      </c>
      <c r="CS373" s="4" t="e">
        <f t="shared" ca="1" si="6560"/>
        <v>#REF!</v>
      </c>
      <c r="CT373" s="692" t="str">
        <f ca="1">IFERROR(VLOOKUP(INDEX(CP371:CP382,CS373),STM,2,FALSE),"----")</f>
        <v>----</v>
      </c>
      <c r="CU373" s="691" t="e">
        <f t="shared" ca="1" si="6561"/>
        <v>#N/A</v>
      </c>
      <c r="CV373" s="4" t="e">
        <f ca="1">IF(AND(INDEX(ELM,CU373,4)&gt;=$AB371,INDEX(ELM,CU373,5)&gt;=$S371,INDEX(ELM,CU373,6)&gt;=$R371),1,0)</f>
        <v>#N/A</v>
      </c>
      <c r="CW373" s="4" t="e">
        <f t="shared" ref="CW373" ca="1" si="6590">MATCH(1,OFFSET(CV371:CV382,CX372,0,COUNT(CV371:CV382)-CX372),0)</f>
        <v>#REF!</v>
      </c>
      <c r="CX373" s="4" t="e">
        <f t="shared" ca="1" si="6563"/>
        <v>#REF!</v>
      </c>
      <c r="CY373" s="692" t="str">
        <f ca="1">IFERROR(VLOOKUP(INDEX(CU371:CU382,CX373),ELM,2,FALSE),"----")</f>
        <v>----</v>
      </c>
      <c r="CZ373" s="691" t="e">
        <f t="shared" ca="1" si="6564"/>
        <v>#N/A</v>
      </c>
      <c r="DA373" s="4" t="e">
        <f ca="1">IF(LEFT($J371,7)="Clad Wo",IF(AND(INDEX(SPPWS,CZ373,4)&gt;=$AB371,INDEX(SPPWS,CZ373,5)&gt;=$S371,INDEX(SPPWS,CZ373,6)&gt;=$R371),1,0),IF(AND(INDEX(SPM,CZ373,4)&gt;=$AB371,INDEX(SPM,CZ373,5)&gt;=$S371,INDEX(SPM,CZ373,6)&gt;=$R371),1,0))</f>
        <v>#N/A</v>
      </c>
      <c r="DB373" s="4" t="e">
        <f t="shared" ref="DB373" ca="1" si="6591">MATCH(1,OFFSET(DA371:DA382,DC372,0,COUNT(DA371:DA382)-DC372),0)</f>
        <v>#REF!</v>
      </c>
      <c r="DC373" s="4" t="e">
        <f t="shared" ca="1" si="6566"/>
        <v>#REF!</v>
      </c>
      <c r="DD373" s="693" t="str">
        <f ca="1">IF(LEFT($J371,7)="Clad Wo",IFERROR(VLOOKUP(INDEX(CZ371:CZ382,DC373),SPPWS,2,FALSE),"----"),IFERROR(VLOOKUP(INDEX(CZ371:CZ382,DC373),SPM,2,FALSE),"----"))</f>
        <v>----</v>
      </c>
      <c r="DE373" s="691" t="e">
        <f t="shared" ca="1" si="6567"/>
        <v>#REF!</v>
      </c>
      <c r="DF373" s="4" t="e" cm="1">
        <f t="array" aca="1" ref="DF373" ca="1">IF(AND(INDEX(INDIRECT(BY371),DE373,4)&gt;=$AB377,INDEX(INDIRECT(BY371),DE373,5)&gt;=$S371,INDEX(INDIRECT(BY371),DE373,6)&gt;=$R371),1,0)</f>
        <v>#REF!</v>
      </c>
      <c r="DG373" s="4" t="e">
        <f t="shared" ref="DG373" ca="1" si="6592">MATCH(1,OFFSET(DF371:DF382,DH372,0,COUNT(DF371:DF382)-DH372),0)</f>
        <v>#REF!</v>
      </c>
      <c r="DH373" s="4" t="e">
        <f t="shared" ca="1" si="6569"/>
        <v>#REF!</v>
      </c>
      <c r="DI373" s="692" t="str" cm="1">
        <f t="array" aca="1" ref="DI373" ca="1">IFERROR(VLOOKUP(INDEX(DE371:DE382,DH373),INDIRECT(BY371),2,FALSE),"----")</f>
        <v>----</v>
      </c>
      <c r="DJ373" s="691" t="e">
        <f t="shared" ca="1" si="6570"/>
        <v>#N/A</v>
      </c>
      <c r="DK373" s="4" t="e">
        <f ca="1">IF(AND(INDEX(SSM,DJ373,4)&gt;=$AB377,INDEX(SSM,DJ373,5)&gt;=$S371,INDEX(SSM,DJ373,6)&gt;=$R371),1,0)</f>
        <v>#N/A</v>
      </c>
      <c r="DL373" s="4" t="e">
        <f t="shared" ref="DL373" ca="1" si="6593">MATCH(1,OFFSET(DK371:DK382,DM372,0,COUNT(DK371:DK382)-DM372),0)</f>
        <v>#REF!</v>
      </c>
      <c r="DM373" s="4" t="e">
        <f t="shared" ca="1" si="6572"/>
        <v>#REF!</v>
      </c>
      <c r="DN373" s="692" t="str">
        <f ca="1">IFERROR(IF(AD378="Nested Steel Stud (wood infill)",VLOOKUP(INDEX(DJ371:DJ382,DM373),SSW,2,FALSE),VLOOKUP(INDEX(DJ371:DJ382,DM373),SSM,2,FALSE)),"----")</f>
        <v>----</v>
      </c>
      <c r="DO373" s="691" t="e">
        <f t="shared" ca="1" si="6573"/>
        <v>#N/A</v>
      </c>
      <c r="DP373" s="4" t="e">
        <f ca="1">IF(AND(INDEX(WSM,DO373,4)&gt;=$AB377,INDEX(WSM,DO373,5)&gt;=$S371,INDEX(WSM,DO373,6)&gt;=$R371),1,0)</f>
        <v>#N/A</v>
      </c>
      <c r="DQ373" s="4" t="e">
        <f t="shared" ref="DQ373" ca="1" si="6594">MATCH(1,OFFSET(DP371:DP382,DR372,0,COUNT(DP371:DP382)-DR372),0)</f>
        <v>#REF!</v>
      </c>
      <c r="DR373" s="4" t="e">
        <f t="shared" ca="1" si="6575"/>
        <v>#REF!</v>
      </c>
      <c r="DS373" s="692" t="str">
        <f ca="1">IFERROR(VLOOKUP(INDEX(DO371:DO382,DR373),WSM,2,FALSE),"----")</f>
        <v>----</v>
      </c>
      <c r="DT373" s="691" t="e">
        <f t="shared" ca="1" si="6576"/>
        <v>#N/A</v>
      </c>
      <c r="DU373" s="4" t="e">
        <f ca="1">IF(AND(INDEX(STM,DT373,4)&gt;=$AB377,INDEX(STM,DT373,5)&gt;=$S371,INDEX(STM,DT373,6)&gt;=$R371),1,0)</f>
        <v>#N/A</v>
      </c>
      <c r="DV373" s="4" t="e">
        <f t="shared" ref="DV373" ca="1" si="6595">MATCH(1,OFFSET(DU371:DU382,DW372,0,COUNT(DU371:DU382)-DW372),0)</f>
        <v>#REF!</v>
      </c>
      <c r="DW373" s="4" t="e">
        <f t="shared" ca="1" si="6578"/>
        <v>#REF!</v>
      </c>
      <c r="DX373" s="692" t="str">
        <f ca="1">IFERROR(VLOOKUP(INDEX(DT371:DT382,DW373),STM,2,FALSE),"----")</f>
        <v>----</v>
      </c>
      <c r="DY373" s="691" t="e">
        <f t="shared" ca="1" si="6579"/>
        <v>#N/A</v>
      </c>
      <c r="DZ373" s="4" t="e">
        <f ca="1">IF(AND(INDEX(ELM,DY373,4)&gt;=$AB377,INDEX(ELM,DY373,5)&gt;=$S371,INDEX(ELM,DY373,6)&gt;=$R371),1,0)</f>
        <v>#N/A</v>
      </c>
      <c r="EA373" s="4" t="e">
        <f t="shared" ref="EA373" ca="1" si="6596">MATCH(1,OFFSET(DZ371:DZ382,EB372,0,COUNT(DZ371:DZ382)-EB372),0)</f>
        <v>#REF!</v>
      </c>
      <c r="EB373" s="4" t="e">
        <f t="shared" ca="1" si="6581"/>
        <v>#REF!</v>
      </c>
      <c r="EC373" s="692" t="str">
        <f ca="1">IFERROR(VLOOKUP(INDEX(DY371:DY382,EB373),ELM,2,FALSE),"----")</f>
        <v>----</v>
      </c>
      <c r="ED373" s="691" t="e">
        <f t="shared" ca="1" si="6582"/>
        <v>#N/A</v>
      </c>
      <c r="EE373" s="4" t="e">
        <f ca="1">IF(LEFT($J371,7)="Clad Wo",IF(AND(INDEX(SPPWS,ED373,4)&gt;=$AB377,INDEX(SPPWS,ED373,5)&gt;=$S371,INDEX(SPPWS,ED373,6)&gt;=$R371),1,0),IF(AND(INDEX(SPM,ED373,4)&gt;=$AB377,INDEX(SPM,ED373,5)&gt;=$S371,INDEX(SPM,ED373,6)&gt;=$R371),1,0))</f>
        <v>#N/A</v>
      </c>
      <c r="EF373" s="4" t="e">
        <f t="shared" ref="EF373" ca="1" si="6597">MATCH(1,OFFSET(EE371:EE382,EG372,0,COUNT(EE371:EE382)-EG372),0)</f>
        <v>#REF!</v>
      </c>
      <c r="EG373" s="4" t="e">
        <f t="shared" ca="1" si="6584"/>
        <v>#REF!</v>
      </c>
      <c r="EH373" s="692" t="str">
        <f ca="1">IF(LEFT($J371,7)="Clad Wo",IFERROR(VLOOKUP(INDEX(ED371:ED382,EG373),SPPWS,2,FALSE),"----"),IFERROR(VLOOKUP(INDEX(ED371:ED382,EG373),SPM,2,FALSE),"----"))</f>
        <v>----</v>
      </c>
    </row>
    <row r="374" spans="1:138" ht="15" customHeight="1" x14ac:dyDescent="0.25">
      <c r="A374" s="1085"/>
      <c r="B374" s="925"/>
      <c r="C374" s="926"/>
      <c r="D374" s="927"/>
      <c r="E374" s="995"/>
      <c r="F374" s="996"/>
      <c r="G374" s="997"/>
      <c r="H374" s="1062"/>
      <c r="I374" s="990"/>
      <c r="J374" s="908"/>
      <c r="K374" s="909"/>
      <c r="L374" s="1002"/>
      <c r="M374" s="923"/>
      <c r="N374" s="1042"/>
      <c r="O374" s="1018"/>
      <c r="P374" s="987"/>
      <c r="Q374" s="1015"/>
      <c r="R374" s="1012"/>
      <c r="S374" s="1006"/>
      <c r="T374" s="1007"/>
      <c r="U374" s="878"/>
      <c r="V374" s="881"/>
      <c r="W374" s="884"/>
      <c r="X374" s="884"/>
      <c r="Y374" s="887"/>
      <c r="Z374" s="887"/>
      <c r="AA374" s="887"/>
      <c r="AB374" s="1081"/>
      <c r="AC374" s="1078"/>
      <c r="AD374" s="1070" t="s">
        <v>37</v>
      </c>
      <c r="AE374" s="1071"/>
      <c r="AF374" s="1052"/>
      <c r="AG374" s="1053"/>
      <c r="AH374" s="1053"/>
      <c r="AI374" s="1066"/>
      <c r="AJ374" s="1067"/>
      <c r="AK374" s="156" t="str">
        <f t="shared" ca="1" si="6208"/>
        <v/>
      </c>
      <c r="AL374" s="1039"/>
      <c r="AM374" s="343" t="str">
        <f ca="1">IFERROR(Q371/12*ROUND(VLOOKUP(AF374,OFFSET(STM,0,1),6,FALSE),2),"")</f>
        <v/>
      </c>
      <c r="AN374" t="str">
        <f t="shared" ca="1" si="6226"/>
        <v/>
      </c>
      <c r="AP374" s="122" t="str">
        <f t="shared" ref="AP374" si="6598">_xlfn.CONCAT(AR374,AS376)</f>
        <v/>
      </c>
      <c r="AQ374" s="683" t="str">
        <f t="shared" si="6434"/>
        <v/>
      </c>
      <c r="AR374" s="4" t="str">
        <f t="shared" si="6193"/>
        <v/>
      </c>
      <c r="AS374" s="4"/>
      <c r="AT374" s="697" t="str">
        <f>AL371</f>
        <v/>
      </c>
      <c r="AU374" s="694" t="e">
        <f t="shared" ca="1" si="6450"/>
        <v>#REF!</v>
      </c>
      <c r="AV374" s="686" t="str">
        <f ca="1">IFERROR(VLOOKUP(AU374,INDIRECT(AQ371),2,FALSE),"----")</f>
        <v>----</v>
      </c>
      <c r="AW374" s="694" t="e">
        <f t="shared" ca="1" si="6451"/>
        <v>#REF!</v>
      </c>
      <c r="AX374" s="686" t="str">
        <f ca="1">IFERROR(VLOOKUP(AW374,INDIRECT(AQ372),2,FALSE),"----")</f>
        <v>----</v>
      </c>
      <c r="AY374" s="694" t="e">
        <f t="shared" ref="AY374" ca="1" si="6599">AY373-1</f>
        <v>#REF!</v>
      </c>
      <c r="AZ374" s="686" t="str">
        <f ca="1">IFERROR(VLOOKUP(AY374,INDIRECT(AQ373),2,FALSE),"----")</f>
        <v>----</v>
      </c>
      <c r="BA374" s="694" t="e">
        <f t="shared" ref="BA374" ca="1" si="6600">BA373-1</f>
        <v>#REF!</v>
      </c>
      <c r="BB374" s="686" t="str">
        <f ca="1">IFERROR(VLOOKUP(BA374,INDIRECT(AQ374),2,FALSE),"----")</f>
        <v>----</v>
      </c>
      <c r="BC374" s="694" t="e">
        <f t="shared" ca="1" si="6452"/>
        <v>#REF!</v>
      </c>
      <c r="BD374" s="686" t="str">
        <f ca="1">IFERROR(VLOOKUP(BC374,INDIRECT(AQ375),2,FALSE),"----")</f>
        <v>----</v>
      </c>
      <c r="BE374" s="694" t="e">
        <f t="shared" ca="1" si="6453"/>
        <v>#REF!</v>
      </c>
      <c r="BF374" s="686" t="str">
        <f ca="1">IFERROR(VLOOKUP(BE374,INDIRECT(AQ376),2,FALSE),"----")</f>
        <v>----</v>
      </c>
      <c r="BG374" s="694" t="e">
        <f t="shared" ca="1" si="6454"/>
        <v>#REF!</v>
      </c>
      <c r="BH374" s="686" t="str">
        <f ca="1">IFERROR(VLOOKUP(BG374,INDIRECT(AQ377),2,FALSE),"----")</f>
        <v>----</v>
      </c>
      <c r="BI374" s="694" t="e">
        <f t="shared" ca="1" si="6455"/>
        <v>#REF!</v>
      </c>
      <c r="BJ374" s="686" t="str">
        <f ca="1">IFERROR(VLOOKUP(BI374,INDIRECT(AQ378),2,FALSE),"----")</f>
        <v>----</v>
      </c>
      <c r="BK374" s="694" t="e">
        <f t="shared" ca="1" si="6456"/>
        <v>#REF!</v>
      </c>
      <c r="BL374" s="686" t="str">
        <f ca="1">IFERROR(VLOOKUP(BK374,INDIRECT(AQ379),2,FALSE),"----")</f>
        <v>----</v>
      </c>
      <c r="BM374" s="694" t="e">
        <f t="shared" ca="1" si="6457"/>
        <v>#REF!</v>
      </c>
      <c r="BN374" s="686" t="str">
        <f ca="1">IFERROR(VLOOKUP(BM374,INDIRECT(AQ380),2,FALSE),"----")</f>
        <v>----</v>
      </c>
      <c r="BO374" s="694" t="e">
        <f t="shared" ca="1" si="6458"/>
        <v>#REF!</v>
      </c>
      <c r="BP374" s="686" t="str">
        <f ca="1">IFERROR(VLOOKUP(BO374,INDIRECT(AQ381),2,FALSE),"----")</f>
        <v>----</v>
      </c>
      <c r="BQ374" s="694" t="e">
        <f t="shared" ca="1" si="6459"/>
        <v>#REF!</v>
      </c>
      <c r="BR374" s="686" t="str">
        <f ca="1">IFERROR(VLOOKUP(BQ374,INDIRECT(AQ382),2,FALSE),"----")</f>
        <v>----</v>
      </c>
      <c r="BS374" s="695">
        <f>IF(AI374="",1,IF(COUNTIF(BB371:BB382,AI374)=0,2,1))</f>
        <v>1</v>
      </c>
      <c r="BT374" s="696">
        <f>IF(AF374="",1,IF(BB371=".",2,1))</f>
        <v>1</v>
      </c>
      <c r="BU374" s="706"/>
      <c r="BV374" s="155">
        <f ca="1">IF(COUNTIF(CT371:CT382,AF374)=0,IF(AF374&lt;&gt;"",0,1),1)</f>
        <v>1</v>
      </c>
      <c r="BW374" s="157">
        <f ca="1">IFERROR(MATCH(AF374,CT371:CT382,0),1)</f>
        <v>1</v>
      </c>
      <c r="BX374" s="769"/>
      <c r="BY374" s="769"/>
      <c r="BZ374" s="1110"/>
      <c r="CA374" s="691" t="e">
        <f t="shared" ca="1" si="6549"/>
        <v>#REF!</v>
      </c>
      <c r="CB374" s="4" t="e" cm="1">
        <f t="array" aca="1" ref="CB374" ca="1">IF(AND(INDEX(INDIRECT(BY371),CA374,4)&gt;=$AB371,INDEX(INDIRECT(BY371),CA374,5)&gt;=$S371,INDEX(INDIRECT(BY371),CA374,6)&gt;=$R371),1,0)</f>
        <v>#REF!</v>
      </c>
      <c r="CC374" s="4" t="e">
        <f t="shared" ref="CC374" ca="1" si="6601">MATCH(1,OFFSET(CB371:CB382,CD373,0,COUNT(CB371:CB382)-CD373),0)</f>
        <v>#REF!</v>
      </c>
      <c r="CD374" s="4" t="e">
        <f t="shared" ca="1" si="6551"/>
        <v>#REF!</v>
      </c>
      <c r="CE374" s="692" t="str" cm="1">
        <f t="array" aca="1" ref="CE374" ca="1">IFERROR(VLOOKUP(INDEX(CA371:CA382,CD374),INDIRECT(BY371),2,FALSE),"----")</f>
        <v>----</v>
      </c>
      <c r="CF374" s="691" t="e">
        <f t="shared" ca="1" si="6552"/>
        <v>#N/A</v>
      </c>
      <c r="CG374" s="4" t="e">
        <f ca="1">IF(AND(INDEX(SSM,CF374,4)&gt;=$AB371,INDEX(SSM,CF374,5)&gt;=$S371,INDEX(SSM,CF374,6)&gt;=$R371),1,0)</f>
        <v>#N/A</v>
      </c>
      <c r="CH374" s="4" t="e">
        <f t="shared" ref="CH374" ca="1" si="6602">MATCH(1,OFFSET(CG371:CG382,CI373,0,COUNT(CG371:CG382)-CI373),0)</f>
        <v>#REF!</v>
      </c>
      <c r="CI374" s="4" t="e">
        <f t="shared" ca="1" si="6554"/>
        <v>#REF!</v>
      </c>
      <c r="CJ374" s="692" t="str">
        <f ca="1">IFERROR(IF(AD372="Nested Steel Stud (wood infill)",VLOOKUP(INDEX(CF371:CF382,CI374),SSW,2,FALSE),VLOOKUP(INDEX(CF371:CF382,CI374),SSM,2,FALSE)),"----")</f>
        <v>----</v>
      </c>
      <c r="CK374" s="691" t="e">
        <f t="shared" ca="1" si="6555"/>
        <v>#N/A</v>
      </c>
      <c r="CL374" s="4" t="e">
        <f ca="1">IF(AND(INDEX(WSM,CK374,4)&gt;=$AB371,INDEX(WSM,CK374,5)&gt;=$S371,INDEX(WSM,CK374,6)&gt;=$R371),1,0)</f>
        <v>#N/A</v>
      </c>
      <c r="CM374" s="4" t="e">
        <f t="shared" ref="CM374" ca="1" si="6603">MATCH(1,OFFSET(CL371:CL382,CN373,0,COUNT(CL371:CL382)-CN373),0)</f>
        <v>#REF!</v>
      </c>
      <c r="CN374" s="4" t="e">
        <f t="shared" ca="1" si="6557"/>
        <v>#REF!</v>
      </c>
      <c r="CO374" s="692" t="str">
        <f ca="1">IFERROR(VLOOKUP(INDEX(CK371:CK382,CN374),WSM,2,FALSE),"----")</f>
        <v>----</v>
      </c>
      <c r="CP374" s="691" t="e">
        <f t="shared" ca="1" si="6558"/>
        <v>#N/A</v>
      </c>
      <c r="CQ374" s="4" t="e">
        <f ca="1">IF(AND(INDEX(STM,CP374,4)&gt;=$AB371,INDEX(STM,CP374,5)&gt;=$S371,INDEX(STM,CP374,6)&gt;=$R371),1,0)</f>
        <v>#N/A</v>
      </c>
      <c r="CR374" s="4" t="e">
        <f t="shared" ref="CR374" ca="1" si="6604">MATCH(1,OFFSET(CQ371:CQ382,CS373,0,COUNT(CQ371:CQ382)-CS373),0)</f>
        <v>#REF!</v>
      </c>
      <c r="CS374" s="4" t="e">
        <f t="shared" ca="1" si="6560"/>
        <v>#REF!</v>
      </c>
      <c r="CT374" s="692" t="str">
        <f ca="1">IFERROR(VLOOKUP(INDEX(CP371:CP382,CS374),STM,2,FALSE),"----")</f>
        <v>----</v>
      </c>
      <c r="CU374" s="691" t="e">
        <f t="shared" ca="1" si="6561"/>
        <v>#N/A</v>
      </c>
      <c r="CV374" s="4" t="e">
        <f ca="1">IF(AND(INDEX(ELM,CU374,4)&gt;=$AB371,INDEX(ELM,CU374,5)&gt;=$S371,INDEX(ELM,CU374,6)&gt;=$R371),1,0)</f>
        <v>#N/A</v>
      </c>
      <c r="CW374" s="4" t="e">
        <f t="shared" ref="CW374" ca="1" si="6605">MATCH(1,OFFSET(CV371:CV382,CX373,0,COUNT(CV371:CV382)-CX373),0)</f>
        <v>#REF!</v>
      </c>
      <c r="CX374" s="4" t="e">
        <f t="shared" ca="1" si="6563"/>
        <v>#REF!</v>
      </c>
      <c r="CY374" s="692" t="str">
        <f ca="1">IFERROR(VLOOKUP(INDEX(CU371:CU382,CX374),ELM,2,FALSE),"----")</f>
        <v>----</v>
      </c>
      <c r="CZ374" s="691" t="e">
        <f t="shared" ca="1" si="6564"/>
        <v>#N/A</v>
      </c>
      <c r="DA374" s="4" t="e">
        <f ca="1">IF(LEFT($J371,7)="Clad Wo",IF(AND(INDEX(SPPWS,CZ374,4)&gt;=$AB371,INDEX(SPPWS,CZ374,5)&gt;=$S371,INDEX(SPPWS,CZ374,6)&gt;=$R371),1,0),IF(AND(INDEX(SPM,CZ374,4)&gt;=$AB371,INDEX(SPM,CZ374,5)&gt;=$S371,INDEX(SPM,CZ374,6)&gt;=$R371),1,0))</f>
        <v>#N/A</v>
      </c>
      <c r="DB374" s="4" t="e">
        <f t="shared" ref="DB374" ca="1" si="6606">MATCH(1,OFFSET(DA371:DA382,DC373,0,COUNT(DA371:DA382)-DC373),0)</f>
        <v>#REF!</v>
      </c>
      <c r="DC374" s="4" t="e">
        <f t="shared" ca="1" si="6566"/>
        <v>#REF!</v>
      </c>
      <c r="DD374" s="693" t="str">
        <f ca="1">IF(LEFT($J371,7)="Clad Wo",IFERROR(VLOOKUP(INDEX(CZ371:CZ382,DC374),SPPWS,2,FALSE),"----"),IFERROR(VLOOKUP(INDEX(CZ371:CZ382,DC374),SPM,2,FALSE),"----"))</f>
        <v>----</v>
      </c>
      <c r="DE374" s="691" t="e">
        <f t="shared" ca="1" si="6567"/>
        <v>#REF!</v>
      </c>
      <c r="DF374" s="4" t="e" cm="1">
        <f t="array" aca="1" ref="DF374" ca="1">IF(AND(INDEX(INDIRECT(BY371),DE374,4)&gt;=$AB377,INDEX(INDIRECT(BY371),DE374,5)&gt;=$S371,INDEX(INDIRECT(BY371),DE374,6)&gt;=$R371),1,0)</f>
        <v>#REF!</v>
      </c>
      <c r="DG374" s="4" t="e">
        <f t="shared" ref="DG374" ca="1" si="6607">MATCH(1,OFFSET(DF371:DF382,DH373,0,COUNT(DF371:DF382)-DH373),0)</f>
        <v>#REF!</v>
      </c>
      <c r="DH374" s="4" t="e">
        <f t="shared" ca="1" si="6569"/>
        <v>#REF!</v>
      </c>
      <c r="DI374" s="692" t="str" cm="1">
        <f t="array" aca="1" ref="DI374" ca="1">IFERROR(VLOOKUP(INDEX(DE371:DE382,DH374),INDIRECT(BY371),2,FALSE),"----")</f>
        <v>----</v>
      </c>
      <c r="DJ374" s="691" t="e">
        <f t="shared" ca="1" si="6570"/>
        <v>#N/A</v>
      </c>
      <c r="DK374" s="4" t="e">
        <f ca="1">IF(AND(INDEX(SSM,DJ374,4)&gt;=$AB377,INDEX(SSM,DJ374,5)&gt;=$S371,INDEX(SSM,DJ374,6)&gt;=$R371),1,0)</f>
        <v>#N/A</v>
      </c>
      <c r="DL374" s="4" t="e">
        <f t="shared" ref="DL374" ca="1" si="6608">MATCH(1,OFFSET(DK371:DK382,DM373,0,COUNT(DK371:DK382)-DM373),0)</f>
        <v>#REF!</v>
      </c>
      <c r="DM374" s="4" t="e">
        <f t="shared" ca="1" si="6572"/>
        <v>#REF!</v>
      </c>
      <c r="DN374" s="692" t="str">
        <f ca="1">IFERROR(IF(AD378="Nested Steel Stud (wood infill)",VLOOKUP(INDEX(DJ371:DJ382,DM374),SSW,2,FALSE),VLOOKUP(INDEX(DJ371:DJ382,DM374),SSM,2,FALSE)),"----")</f>
        <v>----</v>
      </c>
      <c r="DO374" s="691" t="e">
        <f t="shared" ca="1" si="6573"/>
        <v>#N/A</v>
      </c>
      <c r="DP374" s="4" t="e">
        <f ca="1">IF(AND(INDEX(WSM,DO374,4)&gt;=$AB377,INDEX(WSM,DO374,5)&gt;=$S371,INDEX(WSM,DO374,6)&gt;=$R371),1,0)</f>
        <v>#N/A</v>
      </c>
      <c r="DQ374" s="4" t="e">
        <f t="shared" ref="DQ374" ca="1" si="6609">MATCH(1,OFFSET(DP371:DP382,DR373,0,COUNT(DP371:DP382)-DR373),0)</f>
        <v>#REF!</v>
      </c>
      <c r="DR374" s="4" t="e">
        <f t="shared" ca="1" si="6575"/>
        <v>#REF!</v>
      </c>
      <c r="DS374" s="692" t="str">
        <f ca="1">IFERROR(VLOOKUP(INDEX(DO371:DO382,DR374),WSM,2,FALSE),"----")</f>
        <v>----</v>
      </c>
      <c r="DT374" s="691" t="e">
        <f t="shared" ca="1" si="6576"/>
        <v>#N/A</v>
      </c>
      <c r="DU374" s="4" t="e">
        <f ca="1">IF(AND(INDEX(STM,DT374,4)&gt;=$AB377,INDEX(STM,DT374,5)&gt;=$S371,INDEX(STM,DT374,6)&gt;=$R371),1,0)</f>
        <v>#N/A</v>
      </c>
      <c r="DV374" s="4" t="e">
        <f t="shared" ref="DV374" ca="1" si="6610">MATCH(1,OFFSET(DU371:DU382,DW373,0,COUNT(DU371:DU382)-DW373),0)</f>
        <v>#REF!</v>
      </c>
      <c r="DW374" s="4" t="e">
        <f t="shared" ca="1" si="6578"/>
        <v>#REF!</v>
      </c>
      <c r="DX374" s="692" t="str">
        <f ca="1">IFERROR(VLOOKUP(INDEX(DT371:DT382,DW374),STM,2,FALSE),"----")</f>
        <v>----</v>
      </c>
      <c r="DY374" s="691" t="e">
        <f t="shared" ca="1" si="6579"/>
        <v>#N/A</v>
      </c>
      <c r="DZ374" s="4" t="e">
        <f ca="1">IF(AND(INDEX(ELM,DY374,4)&gt;=$AB377,INDEX(ELM,DY374,5)&gt;=$S371,INDEX(ELM,DY374,6)&gt;=$R371),1,0)</f>
        <v>#N/A</v>
      </c>
      <c r="EA374" s="4" t="e">
        <f t="shared" ref="EA374" ca="1" si="6611">MATCH(1,OFFSET(DZ371:DZ382,EB373,0,COUNT(DZ371:DZ382)-EB373),0)</f>
        <v>#REF!</v>
      </c>
      <c r="EB374" s="4" t="e">
        <f t="shared" ca="1" si="6581"/>
        <v>#REF!</v>
      </c>
      <c r="EC374" s="692" t="str">
        <f ca="1">IFERROR(VLOOKUP(INDEX(DY371:DY382,EB374),ELM,2,FALSE),"----")</f>
        <v>----</v>
      </c>
      <c r="ED374" s="691" t="e">
        <f t="shared" ca="1" si="6582"/>
        <v>#N/A</v>
      </c>
      <c r="EE374" s="4" t="e">
        <f ca="1">IF(LEFT($J371,7)="Clad Wo",IF(AND(INDEX(SPPWS,ED374,4)&gt;=$AB377,INDEX(SPPWS,ED374,5)&gt;=$S371,INDEX(SPPWS,ED374,6)&gt;=$R371),1,0),IF(AND(INDEX(SPM,ED374,4)&gt;=$AB377,INDEX(SPM,ED374,5)&gt;=$S371,INDEX(SPM,ED374,6)&gt;=$R371),1,0))</f>
        <v>#N/A</v>
      </c>
      <c r="EF374" s="4" t="e">
        <f t="shared" ref="EF374" ca="1" si="6612">MATCH(1,OFFSET(EE371:EE382,EG373,0,COUNT(EE371:EE382)-EG373),0)</f>
        <v>#REF!</v>
      </c>
      <c r="EG374" s="4" t="e">
        <f t="shared" ca="1" si="6584"/>
        <v>#REF!</v>
      </c>
      <c r="EH374" s="692" t="str">
        <f ca="1">IF(LEFT($J371,7)="Clad Wo",IFERROR(VLOOKUP(INDEX(ED371:ED382,EG374),SPPWS,2,FALSE),"----"),IFERROR(VLOOKUP(INDEX(ED371:ED382,EG374),SPM,2,FALSE),"----"))</f>
        <v>----</v>
      </c>
    </row>
    <row r="375" spans="1:138" ht="15" customHeight="1" x14ac:dyDescent="0.25">
      <c r="A375" s="1085"/>
      <c r="B375" s="925"/>
      <c r="C375" s="926"/>
      <c r="D375" s="927"/>
      <c r="E375" s="995"/>
      <c r="F375" s="996"/>
      <c r="G375" s="997"/>
      <c r="H375" s="1062"/>
      <c r="I375" s="990"/>
      <c r="J375" s="910"/>
      <c r="K375" s="911"/>
      <c r="L375" s="1002"/>
      <c r="M375" s="923"/>
      <c r="N375" s="1042"/>
      <c r="O375" s="1018"/>
      <c r="P375" s="987"/>
      <c r="Q375" s="1015"/>
      <c r="R375" s="1012"/>
      <c r="S375" s="1006"/>
      <c r="T375" s="1007"/>
      <c r="U375" s="878"/>
      <c r="V375" s="881"/>
      <c r="W375" s="884"/>
      <c r="X375" s="884"/>
      <c r="Y375" s="887"/>
      <c r="Z375" s="887"/>
      <c r="AA375" s="887"/>
      <c r="AB375" s="1081"/>
      <c r="AC375" s="1078"/>
      <c r="AD375" s="1070" t="s">
        <v>39</v>
      </c>
      <c r="AE375" s="1071"/>
      <c r="AF375" s="1052"/>
      <c r="AG375" s="1053"/>
      <c r="AH375" s="1053"/>
      <c r="AI375" s="1068"/>
      <c r="AJ375" s="1069"/>
      <c r="AK375" s="154" t="str">
        <f t="shared" ca="1" si="6208"/>
        <v/>
      </c>
      <c r="AL375" s="1039"/>
      <c r="AM375" s="344" t="str">
        <f ca="1">IFERROR(Q371/12*ROUND(VLOOKUP(AF375,OFFSET(ELM,0,1),6,FALSE),2),"")</f>
        <v/>
      </c>
      <c r="AN375" t="str">
        <f t="shared" ca="1" si="6226"/>
        <v/>
      </c>
      <c r="AP375" s="122" t="str">
        <f t="shared" ref="AP375" si="6613">_xlfn.CONCAT(AR375,AS376)</f>
        <v/>
      </c>
      <c r="AQ375" s="683" t="str">
        <f t="shared" si="6434"/>
        <v/>
      </c>
      <c r="AR375" s="4" t="str">
        <f t="shared" si="6193"/>
        <v/>
      </c>
      <c r="AS375" s="4"/>
      <c r="AT375" s="697" t="str">
        <f>AL371</f>
        <v/>
      </c>
      <c r="AU375" s="694" t="e">
        <f t="shared" ca="1" si="6450"/>
        <v>#REF!</v>
      </c>
      <c r="AV375" s="698" t="str">
        <f ca="1">IFERROR(VLOOKUP(AU375,INDIRECT(AQ371),2,FALSE),"----")</f>
        <v>----</v>
      </c>
      <c r="AW375" s="694" t="e">
        <f t="shared" ca="1" si="6451"/>
        <v>#REF!</v>
      </c>
      <c r="AX375" s="698" t="str">
        <f ca="1">IFERROR(VLOOKUP(AW375,INDIRECT(AQ372),2,FALSE),"----")</f>
        <v>----</v>
      </c>
      <c r="AY375" s="694" t="e">
        <f t="shared" ref="AY375" ca="1" si="6614">AY374-1</f>
        <v>#REF!</v>
      </c>
      <c r="AZ375" s="698" t="str">
        <f ca="1">IFERROR(VLOOKUP(AY375,INDIRECT(AQ373),2,FALSE),"----")</f>
        <v>----</v>
      </c>
      <c r="BA375" s="694" t="e">
        <f t="shared" ref="BA375" ca="1" si="6615">BA374-1</f>
        <v>#REF!</v>
      </c>
      <c r="BB375" s="698" t="str">
        <f ca="1">IFERROR(VLOOKUP(BA375,INDIRECT(AQ374),2,FALSE),"----")</f>
        <v>----</v>
      </c>
      <c r="BC375" s="694" t="e">
        <f t="shared" ca="1" si="6452"/>
        <v>#REF!</v>
      </c>
      <c r="BD375" s="698" t="str">
        <f ca="1">IFERROR(VLOOKUP(BC375,INDIRECT(AQ375),2,FALSE),"----")</f>
        <v>----</v>
      </c>
      <c r="BE375" s="694" t="e">
        <f t="shared" ca="1" si="6453"/>
        <v>#REF!</v>
      </c>
      <c r="BF375" s="698" t="str">
        <f ca="1">IFERROR(VLOOKUP(BE375,INDIRECT(AQ376),2,FALSE),"----")</f>
        <v>----</v>
      </c>
      <c r="BG375" s="694" t="e">
        <f t="shared" ca="1" si="6454"/>
        <v>#REF!</v>
      </c>
      <c r="BH375" s="686" t="str">
        <f ca="1">IFERROR(VLOOKUP(BG375,INDIRECT(AQ377),2,FALSE),"----")</f>
        <v>----</v>
      </c>
      <c r="BI375" s="694" t="e">
        <f t="shared" ca="1" si="6455"/>
        <v>#REF!</v>
      </c>
      <c r="BJ375" s="686" t="str">
        <f ca="1">IFERROR(VLOOKUP(BI375,INDIRECT(AQ378),2,FALSE),"----")</f>
        <v>----</v>
      </c>
      <c r="BK375" s="694" t="e">
        <f t="shared" ca="1" si="6456"/>
        <v>#REF!</v>
      </c>
      <c r="BL375" s="686" t="str">
        <f ca="1">IFERROR(VLOOKUP(BK375,INDIRECT(AQ379),2,FALSE),"----")</f>
        <v>----</v>
      </c>
      <c r="BM375" s="694" t="e">
        <f t="shared" ca="1" si="6457"/>
        <v>#REF!</v>
      </c>
      <c r="BN375" s="686" t="str">
        <f ca="1">IFERROR(VLOOKUP(BM375,INDIRECT(AQ380),2,FALSE),"----")</f>
        <v>----</v>
      </c>
      <c r="BO375" s="694" t="e">
        <f t="shared" ca="1" si="6458"/>
        <v>#REF!</v>
      </c>
      <c r="BP375" s="686" t="str">
        <f ca="1">IFERROR(VLOOKUP(BO375,INDIRECT(AQ381),2,FALSE),"----")</f>
        <v>----</v>
      </c>
      <c r="BQ375" s="694" t="e">
        <f t="shared" ca="1" si="6459"/>
        <v>#REF!</v>
      </c>
      <c r="BR375" s="686" t="str">
        <f ca="1">IFERROR(VLOOKUP(BQ375,INDIRECT(AQ382),2,FALSE),"----")</f>
        <v>----</v>
      </c>
      <c r="BS375" s="695">
        <f>IF(AI375="",1,IF(COUNTIF(BD371:BD382,AI375)=0,2,1))</f>
        <v>1</v>
      </c>
      <c r="BT375" s="696">
        <f>IF(AF375="",1,IF(BD371=".",2,1))</f>
        <v>1</v>
      </c>
      <c r="BU375" s="706"/>
      <c r="BV375" s="155">
        <f ca="1">IF(COUNTIF(CY371:CY382,AF375)=0,IF(AF375&lt;&gt;"",0,1),1)</f>
        <v>1</v>
      </c>
      <c r="BW375" s="157">
        <f ca="1">IFERROR(MATCH(AF375,CY371:CY382,0),1)</f>
        <v>1</v>
      </c>
      <c r="BX375" s="769"/>
      <c r="BY375" s="769"/>
      <c r="BZ375" s="1110"/>
      <c r="CA375" s="691" t="e">
        <f t="shared" ca="1" si="6549"/>
        <v>#REF!</v>
      </c>
      <c r="CB375" s="4" t="e" cm="1">
        <f t="array" aca="1" ref="CB375" ca="1">IF(AND(INDEX(INDIRECT(BY371),CA375,4)&gt;=$AB371,INDEX(INDIRECT(BY371),CA375,5)&gt;=$S371,INDEX(INDIRECT(BY371),CA375,6)&gt;=$R371),1,0)</f>
        <v>#REF!</v>
      </c>
      <c r="CC375" s="4" t="e">
        <f t="shared" ref="CC375" ca="1" si="6616">MATCH(1,OFFSET(CB371:CB382,CD374,0,COUNT(CB371:CB382)-CD374),0)</f>
        <v>#REF!</v>
      </c>
      <c r="CD375" s="4" t="e">
        <f t="shared" ca="1" si="6551"/>
        <v>#REF!</v>
      </c>
      <c r="CE375" s="692" t="str" cm="1">
        <f t="array" aca="1" ref="CE375" ca="1">IFERROR(VLOOKUP(INDEX(CA371:CA382,CD375),INDIRECT(BY371),2,FALSE),"----")</f>
        <v>----</v>
      </c>
      <c r="CF375" s="691" t="e">
        <f t="shared" ca="1" si="6552"/>
        <v>#N/A</v>
      </c>
      <c r="CG375" s="4" t="e">
        <f ca="1">IF(AND(INDEX(SSM,CF375,4)&gt;=$AB371,INDEX(SSM,CF375,5)&gt;=$S371,INDEX(SSM,CF375,6)&gt;=$R371),1,0)</f>
        <v>#N/A</v>
      </c>
      <c r="CH375" s="4" t="e">
        <f t="shared" ref="CH375" ca="1" si="6617">MATCH(1,OFFSET(CG371:CG382,CI374,0,COUNT(CG371:CG382)-CI374),0)</f>
        <v>#REF!</v>
      </c>
      <c r="CI375" s="4" t="e">
        <f t="shared" ca="1" si="6554"/>
        <v>#REF!</v>
      </c>
      <c r="CJ375" s="692" t="str">
        <f ca="1">IFERROR(IF(AD372="Nested Steel Stud (wood infill)",VLOOKUP(INDEX(CF371:CF382,CI375),SSW,2,FALSE),VLOOKUP(INDEX(CF371:CF382,CI375),SSM,2,FALSE)),"----")</f>
        <v>----</v>
      </c>
      <c r="CK375" s="691" t="e">
        <f t="shared" ca="1" si="6555"/>
        <v>#N/A</v>
      </c>
      <c r="CL375" s="4" t="e">
        <f ca="1">IF(AND(INDEX(WSM,CK375,4)&gt;=$AB371,INDEX(WSM,CK375,5)&gt;=$S371,INDEX(WSM,CK375,6)&gt;=$R371),1,0)</f>
        <v>#N/A</v>
      </c>
      <c r="CM375" s="4" t="e">
        <f t="shared" ref="CM375" ca="1" si="6618">MATCH(1,OFFSET(CL371:CL382,CN374,0,COUNT(CL371:CL382)-CN374),0)</f>
        <v>#REF!</v>
      </c>
      <c r="CN375" s="4" t="e">
        <f t="shared" ca="1" si="6557"/>
        <v>#REF!</v>
      </c>
      <c r="CO375" s="692" t="str">
        <f ca="1">IFERROR(VLOOKUP(INDEX(CK371:CK382,CN375),WSM,2,FALSE),"----")</f>
        <v>----</v>
      </c>
      <c r="CP375" s="691" t="e">
        <f t="shared" ca="1" si="6558"/>
        <v>#N/A</v>
      </c>
      <c r="CQ375" s="4" t="e">
        <f ca="1">IF(AND(INDEX(STM,CP375,4)&gt;=$AB371,INDEX(STM,CP375,5)&gt;=$S371,INDEX(STM,CP375,6)&gt;=$R371),1,0)</f>
        <v>#N/A</v>
      </c>
      <c r="CR375" s="4" t="e">
        <f t="shared" ref="CR375" ca="1" si="6619">MATCH(1,OFFSET(CQ371:CQ382,CS374,0,COUNT(CQ371:CQ382)-CS374),0)</f>
        <v>#REF!</v>
      </c>
      <c r="CS375" s="4" t="e">
        <f t="shared" ca="1" si="6560"/>
        <v>#REF!</v>
      </c>
      <c r="CT375" s="692" t="str">
        <f ca="1">IFERROR(VLOOKUP(INDEX(CP371:CP382,CS375),STM,2,FALSE),"----")</f>
        <v>----</v>
      </c>
      <c r="CU375" s="691" t="e">
        <f t="shared" ca="1" si="6561"/>
        <v>#N/A</v>
      </c>
      <c r="CV375" s="4" t="e">
        <f ca="1">IF(AND(INDEX(ELM,CU375,4)&gt;=$AB371,INDEX(ELM,CU375,5)&gt;=$S371,INDEX(ELM,CU375,6)&gt;=$R371),1,0)</f>
        <v>#N/A</v>
      </c>
      <c r="CW375" s="4" t="e">
        <f t="shared" ref="CW375" ca="1" si="6620">MATCH(1,OFFSET(CV371:CV382,CX374,0,COUNT(CV371:CV382)-CX374),0)</f>
        <v>#REF!</v>
      </c>
      <c r="CX375" s="4" t="e">
        <f t="shared" ca="1" si="6563"/>
        <v>#REF!</v>
      </c>
      <c r="CY375" s="692" t="str">
        <f ca="1">IFERROR(VLOOKUP(INDEX(CU371:CU382,CX375),ELM,2,FALSE),"----")</f>
        <v>----</v>
      </c>
      <c r="CZ375" s="691" t="e">
        <f t="shared" ca="1" si="6564"/>
        <v>#N/A</v>
      </c>
      <c r="DA375" s="4" t="e">
        <f ca="1">IF(LEFT($J371,7)="Clad Wo",IF(AND(INDEX(SPPWS,CZ375,4)&gt;=$AB371,INDEX(SPPWS,CZ375,5)&gt;=$S371,INDEX(SPPWS,CZ375,6)&gt;=$R371),1,0),IF(AND(INDEX(SPM,CZ375,4)&gt;=$AB371,INDEX(SPM,CZ375,5)&gt;=$S371,INDEX(SPM,CZ375,6)&gt;=$R371),1,0))</f>
        <v>#N/A</v>
      </c>
      <c r="DB375" s="4" t="e">
        <f t="shared" ref="DB375" ca="1" si="6621">MATCH(1,OFFSET(DA371:DA382,DC374,0,COUNT(DA371:DA382)-DC374),0)</f>
        <v>#REF!</v>
      </c>
      <c r="DC375" s="4" t="e">
        <f t="shared" ca="1" si="6566"/>
        <v>#REF!</v>
      </c>
      <c r="DD375" s="693" t="str">
        <f ca="1">IF(LEFT($J371,7)="Clad Wo",IFERROR(VLOOKUP(INDEX(CZ371:CZ382,DC375),SPPWS,2,FALSE),"----"),IFERROR(VLOOKUP(INDEX(CZ371:CZ382,DC375),SPM,2,FALSE),"----"))</f>
        <v>----</v>
      </c>
      <c r="DE375" s="691" t="e">
        <f t="shared" ca="1" si="6567"/>
        <v>#REF!</v>
      </c>
      <c r="DF375" s="4" t="e" cm="1">
        <f t="array" aca="1" ref="DF375" ca="1">IF(AND(INDEX(INDIRECT(BY371),DE375,4)&gt;=$AB377,INDEX(INDIRECT(BY371),DE375,5)&gt;=$S371,INDEX(INDIRECT(BY371),DE375,6)&gt;=$R371),1,0)</f>
        <v>#REF!</v>
      </c>
      <c r="DG375" s="4" t="e">
        <f t="shared" ref="DG375" ca="1" si="6622">MATCH(1,OFFSET(DF371:DF382,DH374,0,COUNT(DF371:DF382)-DH374),0)</f>
        <v>#REF!</v>
      </c>
      <c r="DH375" s="4" t="e">
        <f t="shared" ca="1" si="6569"/>
        <v>#REF!</v>
      </c>
      <c r="DI375" s="692" t="str" cm="1">
        <f t="array" aca="1" ref="DI375" ca="1">IFERROR(VLOOKUP(INDEX(DE371:DE382,DH375),INDIRECT(BY371),2,FALSE),"----")</f>
        <v>----</v>
      </c>
      <c r="DJ375" s="691" t="e">
        <f t="shared" ca="1" si="6570"/>
        <v>#N/A</v>
      </c>
      <c r="DK375" s="4" t="e">
        <f ca="1">IF(AND(INDEX(SSM,DJ375,4)&gt;=$AB377,INDEX(SSM,DJ375,5)&gt;=$S371,INDEX(SSM,DJ375,6)&gt;=$R371),1,0)</f>
        <v>#N/A</v>
      </c>
      <c r="DL375" s="4" t="e">
        <f t="shared" ref="DL375" ca="1" si="6623">MATCH(1,OFFSET(DK371:DK382,DM374,0,COUNT(DK371:DK382)-DM374),0)</f>
        <v>#REF!</v>
      </c>
      <c r="DM375" s="4" t="e">
        <f t="shared" ca="1" si="6572"/>
        <v>#REF!</v>
      </c>
      <c r="DN375" s="692" t="str">
        <f ca="1">IFERROR(IF(AD378="Nested Steel Stud (wood infill)",VLOOKUP(INDEX(DJ371:DJ382,DM375),SSW,2,FALSE),VLOOKUP(INDEX(DJ371:DJ382,DM375),SSM,2,FALSE)),"----")</f>
        <v>----</v>
      </c>
      <c r="DO375" s="691" t="e">
        <f t="shared" ca="1" si="6573"/>
        <v>#N/A</v>
      </c>
      <c r="DP375" s="4" t="e">
        <f ca="1">IF(AND(INDEX(WSM,DO375,4)&gt;=$AB377,INDEX(WSM,DO375,5)&gt;=$S371,INDEX(WSM,DO375,6)&gt;=$R371),1,0)</f>
        <v>#N/A</v>
      </c>
      <c r="DQ375" s="4" t="e">
        <f t="shared" ref="DQ375" ca="1" si="6624">MATCH(1,OFFSET(DP371:DP382,DR374,0,COUNT(DP371:DP382)-DR374),0)</f>
        <v>#REF!</v>
      </c>
      <c r="DR375" s="4" t="e">
        <f t="shared" ca="1" si="6575"/>
        <v>#REF!</v>
      </c>
      <c r="DS375" s="692" t="str">
        <f ca="1">IFERROR(VLOOKUP(INDEX(DO371:DO382,DR375),WSM,2,FALSE),"----")</f>
        <v>----</v>
      </c>
      <c r="DT375" s="691" t="e">
        <f t="shared" ca="1" si="6576"/>
        <v>#N/A</v>
      </c>
      <c r="DU375" s="4" t="e">
        <f ca="1">IF(AND(INDEX(STM,DT375,4)&gt;=$AB377,INDEX(STM,DT375,5)&gt;=$S371,INDEX(STM,DT375,6)&gt;=$R371),1,0)</f>
        <v>#N/A</v>
      </c>
      <c r="DV375" s="4" t="e">
        <f t="shared" ref="DV375" ca="1" si="6625">MATCH(1,OFFSET(DU371:DU382,DW374,0,COUNT(DU371:DU382)-DW374),0)</f>
        <v>#REF!</v>
      </c>
      <c r="DW375" s="4" t="e">
        <f t="shared" ca="1" si="6578"/>
        <v>#REF!</v>
      </c>
      <c r="DX375" s="692" t="str">
        <f ca="1">IFERROR(VLOOKUP(INDEX(DT371:DT382,DW375),STM,2,FALSE),"----")</f>
        <v>----</v>
      </c>
      <c r="DY375" s="691" t="e">
        <f t="shared" ca="1" si="6579"/>
        <v>#N/A</v>
      </c>
      <c r="DZ375" s="4" t="e">
        <f ca="1">IF(AND(INDEX(ELM,DY375,4)&gt;=$AB377,INDEX(ELM,DY375,5)&gt;=$S371,INDEX(ELM,DY375,6)&gt;=$R371),1,0)</f>
        <v>#N/A</v>
      </c>
      <c r="EA375" s="4" t="e">
        <f t="shared" ref="EA375" ca="1" si="6626">MATCH(1,OFFSET(DZ371:DZ382,EB374,0,COUNT(DZ371:DZ382)-EB374),0)</f>
        <v>#REF!</v>
      </c>
      <c r="EB375" s="4" t="e">
        <f t="shared" ca="1" si="6581"/>
        <v>#REF!</v>
      </c>
      <c r="EC375" s="692" t="str">
        <f ca="1">IFERROR(VLOOKUP(INDEX(DY371:DY382,EB375),ELM,2,FALSE),"----")</f>
        <v>----</v>
      </c>
      <c r="ED375" s="691" t="e">
        <f t="shared" ca="1" si="6582"/>
        <v>#N/A</v>
      </c>
      <c r="EE375" s="4" t="e">
        <f ca="1">IF(LEFT($J371,7)="Clad Wo",IF(AND(INDEX(SPPWS,ED375,4)&gt;=$AB377,INDEX(SPPWS,ED375,5)&gt;=$S371,INDEX(SPPWS,ED375,6)&gt;=$R371),1,0),IF(AND(INDEX(SPM,ED375,4)&gt;=$AB377,INDEX(SPM,ED375,5)&gt;=$S371,INDEX(SPM,ED375,6)&gt;=$R371),1,0))</f>
        <v>#N/A</v>
      </c>
      <c r="EF375" s="4" t="e">
        <f t="shared" ref="EF375" ca="1" si="6627">MATCH(1,OFFSET(EE371:EE382,EG374,0,COUNT(EE371:EE382)-EG374),0)</f>
        <v>#REF!</v>
      </c>
      <c r="EG375" s="4" t="e">
        <f t="shared" ca="1" si="6584"/>
        <v>#REF!</v>
      </c>
      <c r="EH375" s="692" t="str">
        <f ca="1">IF(LEFT($J371,7)="Clad Wo",IFERROR(VLOOKUP(INDEX(ED371:ED382,EG375),SPPWS,2,FALSE),"----"),IFERROR(VLOOKUP(INDEX(ED371:ED382,EG375),SPM,2,FALSE),"----"))</f>
        <v>----</v>
      </c>
    </row>
    <row r="376" spans="1:138" ht="15" customHeight="1" thickBot="1" x14ac:dyDescent="0.3">
      <c r="A376" s="1085"/>
      <c r="B376" s="934"/>
      <c r="C376" s="935"/>
      <c r="D376" s="936"/>
      <c r="E376" s="995"/>
      <c r="F376" s="996"/>
      <c r="G376" s="997"/>
      <c r="H376" s="1062"/>
      <c r="I376" s="990"/>
      <c r="J376" s="908"/>
      <c r="K376" s="909"/>
      <c r="L376" s="1010"/>
      <c r="M376" s="924"/>
      <c r="N376" s="1044"/>
      <c r="O376" s="1018"/>
      <c r="P376" s="987"/>
      <c r="Q376" s="1015"/>
      <c r="R376" s="1012"/>
      <c r="S376" s="1006"/>
      <c r="T376" s="1007"/>
      <c r="U376" s="878"/>
      <c r="V376" s="881"/>
      <c r="W376" s="889"/>
      <c r="X376" s="884"/>
      <c r="Y376" s="890"/>
      <c r="Z376" s="890"/>
      <c r="AA376" s="887"/>
      <c r="AB376" s="1084"/>
      <c r="AC376" s="1079"/>
      <c r="AD376" s="1072" t="str">
        <f t="shared" ref="AD376" si="6628">IF(LEFT(J371,7)="Clad Wo","Pella Wood Spr / Steel Pte","Steel Plate")</f>
        <v>Steel Plate</v>
      </c>
      <c r="AE376" s="1073"/>
      <c r="AF376" s="1054"/>
      <c r="AG376" s="1055"/>
      <c r="AH376" s="1055"/>
      <c r="AI376" s="1092"/>
      <c r="AJ376" s="1093"/>
      <c r="AK376" s="159" t="str">
        <f t="shared" ca="1" si="6208"/>
        <v/>
      </c>
      <c r="AL376" s="1040"/>
      <c r="AM376" s="345" t="str">
        <f ca="1">IFERROR(Q371/12*ROUND(VLOOKUP(AF376,OFFSET(SPM,0,1),6,FALSE),2),"")</f>
        <v/>
      </c>
      <c r="AN376" t="str">
        <f t="shared" ca="1" si="6226"/>
        <v/>
      </c>
      <c r="AP376" s="699" t="str">
        <f t="shared" ref="AP376" si="6629">_xlfn.CONCAT(AR376,AS376)</f>
        <v/>
      </c>
      <c r="AQ376" s="700" t="str">
        <f t="shared" si="6434"/>
        <v/>
      </c>
      <c r="AR376" s="160" t="str">
        <f t="shared" si="6193"/>
        <v/>
      </c>
      <c r="AS376" s="160" t="str">
        <f>IFERROR(VLOOKUP(J379, WallType,2,FALSE),"")</f>
        <v/>
      </c>
      <c r="AT376" s="701" t="str">
        <f>AL371</f>
        <v/>
      </c>
      <c r="AU376" s="694" t="e">
        <f t="shared" ca="1" si="6450"/>
        <v>#REF!</v>
      </c>
      <c r="AV376" s="698" t="str">
        <f ca="1">IFERROR(VLOOKUP(AU376,INDIRECT(AQ371),2,FALSE),"----")</f>
        <v>----</v>
      </c>
      <c r="AW376" s="702" t="e">
        <f t="shared" ca="1" si="6451"/>
        <v>#REF!</v>
      </c>
      <c r="AX376" s="698" t="str">
        <f ca="1">IFERROR(VLOOKUP(AW376,INDIRECT(AQ372),2,FALSE),"----")</f>
        <v>----</v>
      </c>
      <c r="AY376" s="702" t="e">
        <f t="shared" ref="AY376" ca="1" si="6630">AY375-1</f>
        <v>#REF!</v>
      </c>
      <c r="AZ376" s="698" t="str">
        <f ca="1">IFERROR(VLOOKUP(AY376,INDIRECT(AQ373),2,FALSE),"----")</f>
        <v>----</v>
      </c>
      <c r="BA376" s="702" t="e">
        <f t="shared" ref="BA376" ca="1" si="6631">BA375-1</f>
        <v>#REF!</v>
      </c>
      <c r="BB376" s="698" t="str">
        <f ca="1">IFERROR(VLOOKUP(BA376,INDIRECT(AQ374),2,FALSE),"----")</f>
        <v>----</v>
      </c>
      <c r="BC376" s="702" t="e">
        <f t="shared" ca="1" si="6452"/>
        <v>#REF!</v>
      </c>
      <c r="BD376" s="698" t="str">
        <f ca="1">IFERROR(VLOOKUP(BC376,INDIRECT(AQ375),2,FALSE),"----")</f>
        <v>----</v>
      </c>
      <c r="BE376" s="702" t="e">
        <f t="shared" ca="1" si="6453"/>
        <v>#REF!</v>
      </c>
      <c r="BF376" s="698" t="str">
        <f ca="1">IFERROR(VLOOKUP(BE376,INDIRECT(AQ376),2,FALSE),"----")</f>
        <v>----</v>
      </c>
      <c r="BG376" s="702" t="e">
        <f t="shared" ca="1" si="6454"/>
        <v>#REF!</v>
      </c>
      <c r="BH376" s="686" t="str">
        <f ca="1">IFERROR(VLOOKUP(BG376,INDIRECT(AQ377),2,FALSE),"----")</f>
        <v>----</v>
      </c>
      <c r="BI376" s="702" t="e">
        <f t="shared" ca="1" si="6455"/>
        <v>#REF!</v>
      </c>
      <c r="BJ376" s="686" t="str">
        <f ca="1">IFERROR(VLOOKUP(BI376,INDIRECT(AQ378),2,FALSE),"----")</f>
        <v>----</v>
      </c>
      <c r="BK376" s="702" t="e">
        <f t="shared" ca="1" si="6456"/>
        <v>#REF!</v>
      </c>
      <c r="BL376" s="686" t="str">
        <f ca="1">IFERROR(VLOOKUP(BK376,INDIRECT(AQ379),2,FALSE),"----")</f>
        <v>----</v>
      </c>
      <c r="BM376" s="702" t="e">
        <f t="shared" ca="1" si="6457"/>
        <v>#REF!</v>
      </c>
      <c r="BN376" s="686" t="str">
        <f ca="1">IFERROR(VLOOKUP(BM376,INDIRECT(AQ380),2,FALSE),"----")</f>
        <v>----</v>
      </c>
      <c r="BO376" s="702" t="e">
        <f t="shared" ca="1" si="6458"/>
        <v>#REF!</v>
      </c>
      <c r="BP376" s="686" t="str">
        <f ca="1">IFERROR(VLOOKUP(BO376,INDIRECT(AQ381),2,FALSE),"----")</f>
        <v>----</v>
      </c>
      <c r="BQ376" s="702" t="e">
        <f t="shared" ca="1" si="6459"/>
        <v>#REF!</v>
      </c>
      <c r="BR376" s="686" t="str">
        <f ca="1">IFERROR(VLOOKUP(BQ376,INDIRECT(AQ382),2,FALSE),"----")</f>
        <v>----</v>
      </c>
      <c r="BS376" s="703">
        <f>IF(AI376="",1,IF(COUNTIF(BF371:BF382,AI376)=0,2,1))</f>
        <v>1</v>
      </c>
      <c r="BT376" s="704">
        <f>IF(AF376="",1,IF(BF371=".",2,1))</f>
        <v>1</v>
      </c>
      <c r="BV376" s="155">
        <f ca="1">IF(COUNTIF(DD371:DD382,AF376)=0,IF(AF376&lt;&gt;"",0,1),1)</f>
        <v>1</v>
      </c>
      <c r="BW376" s="157">
        <f ca="1">IFERROR(MATCH(AF376,DD371:DD382,0),1)</f>
        <v>1</v>
      </c>
      <c r="BX376" s="875" t="s">
        <v>1594</v>
      </c>
      <c r="BY376" s="876"/>
      <c r="BZ376" s="1110"/>
      <c r="CA376" s="691" t="e">
        <f t="shared" ca="1" si="6549"/>
        <v>#REF!</v>
      </c>
      <c r="CB376" s="4" t="e" cm="1">
        <f t="array" aca="1" ref="CB376" ca="1">IF(AND(INDEX(INDIRECT(BY371),CA376,4)&gt;=$AB371,INDEX(INDIRECT(BY371),CA376,5)&gt;=$S371,INDEX(INDIRECT(BY371),CA376,6)&gt;=$R371),1,0)</f>
        <v>#REF!</v>
      </c>
      <c r="CC376" s="4" t="e">
        <f t="shared" ref="CC376" ca="1" si="6632">MATCH(1,OFFSET(CB371:CB382,CD375,0,COUNT(CB371:CB382)-CD375),0)</f>
        <v>#REF!</v>
      </c>
      <c r="CD376" s="4" t="e">
        <f t="shared" ca="1" si="6551"/>
        <v>#REF!</v>
      </c>
      <c r="CE376" s="692" t="str" cm="1">
        <f t="array" aca="1" ref="CE376" ca="1">IFERROR(VLOOKUP(INDEX(CA371:CA382,CD376),INDIRECT(BY371),2,FALSE),"----")</f>
        <v>----</v>
      </c>
      <c r="CF376" s="691" t="e">
        <f t="shared" ca="1" si="6552"/>
        <v>#N/A</v>
      </c>
      <c r="CG376" s="4" t="e">
        <f ca="1">IF(AND(INDEX(SSM,CF376,4)&gt;=$AB371,INDEX(SSM,CF376,5)&gt;=$S371,INDEX(SSM,CF376,6)&gt;=$R371),1,0)</f>
        <v>#N/A</v>
      </c>
      <c r="CH376" s="4" t="e">
        <f t="shared" ref="CH376" ca="1" si="6633">MATCH(1,OFFSET(CG371:CG382,CI375,0,COUNT(CG371:CG382)-CI375),0)</f>
        <v>#REF!</v>
      </c>
      <c r="CI376" s="4" t="e">
        <f t="shared" ca="1" si="6554"/>
        <v>#REF!</v>
      </c>
      <c r="CJ376" s="692" t="str">
        <f ca="1">IFERROR(IF(AD372="Nested Steel Stud (wood infill)",VLOOKUP(INDEX(CF371:CF382,CI376),SSW,2,FALSE),VLOOKUP(INDEX(CF371:CF382,CI376),SSM,2,FALSE)),"----")</f>
        <v>----</v>
      </c>
      <c r="CK376" s="691" t="e">
        <f t="shared" ca="1" si="6555"/>
        <v>#N/A</v>
      </c>
      <c r="CL376" s="4" t="e">
        <f ca="1">IF(AND(INDEX(WSM,CK376,4)&gt;=$AB371,INDEX(WSM,CK376,5)&gt;=$S371,INDEX(WSM,CK376,6)&gt;=$R371),1,0)</f>
        <v>#N/A</v>
      </c>
      <c r="CM376" s="4" t="e">
        <f t="shared" ref="CM376" ca="1" si="6634">MATCH(1,OFFSET(CL371:CL382,CN375,0,COUNT(CL371:CL382)-CN375),0)</f>
        <v>#REF!</v>
      </c>
      <c r="CN376" s="4" t="e">
        <f t="shared" ca="1" si="6557"/>
        <v>#REF!</v>
      </c>
      <c r="CO376" s="692" t="str">
        <f ca="1">IFERROR(VLOOKUP(INDEX(CK371:CK382,CN376),WSM,2,FALSE),"----")</f>
        <v>----</v>
      </c>
      <c r="CP376" s="691" t="e">
        <f t="shared" ca="1" si="6558"/>
        <v>#N/A</v>
      </c>
      <c r="CQ376" s="4" t="e">
        <f ca="1">IF(AND(INDEX(STM,CP376,4)&gt;=$AB371,INDEX(STM,CP376,5)&gt;=$S371,INDEX(STM,CP376,6)&gt;=$R371),1,0)</f>
        <v>#N/A</v>
      </c>
      <c r="CR376" s="4" t="e">
        <f t="shared" ref="CR376" ca="1" si="6635">MATCH(1,OFFSET(CQ371:CQ382,CS375,0,COUNT(CQ371:CQ382)-CS375),0)</f>
        <v>#REF!</v>
      </c>
      <c r="CS376" s="4" t="e">
        <f t="shared" ca="1" si="6560"/>
        <v>#REF!</v>
      </c>
      <c r="CT376" s="692" t="str">
        <f ca="1">IFERROR(VLOOKUP(INDEX(CP371:CP382,CS376),STM,2,FALSE),"----")</f>
        <v>----</v>
      </c>
      <c r="CU376" s="691" t="e">
        <f t="shared" ca="1" si="6561"/>
        <v>#N/A</v>
      </c>
      <c r="CV376" s="4" t="e">
        <f ca="1">IF(AND(INDEX(ELM,CU376,4)&gt;=$AB371,INDEX(ELM,CU376,5)&gt;=$S371,INDEX(ELM,CU376,6)&gt;=$R371),1,0)</f>
        <v>#N/A</v>
      </c>
      <c r="CW376" s="4" t="e">
        <f t="shared" ref="CW376" ca="1" si="6636">MATCH(1,OFFSET(CV371:CV382,CX375,0,COUNT(CV371:CV382)-CX375),0)</f>
        <v>#REF!</v>
      </c>
      <c r="CX376" s="4" t="e">
        <f t="shared" ca="1" si="6563"/>
        <v>#REF!</v>
      </c>
      <c r="CY376" s="692" t="str">
        <f ca="1">IFERROR(VLOOKUP(INDEX(CU371:CU382,CX376),ELM,2,FALSE),"----")</f>
        <v>----</v>
      </c>
      <c r="CZ376" s="691" t="e">
        <f t="shared" ca="1" si="6564"/>
        <v>#N/A</v>
      </c>
      <c r="DA376" s="4" t="e">
        <f ca="1">IF(LEFT($J371,7)="Clad Wo",IF(AND(INDEX(SPPWS,CZ376,4)&gt;=$AB371,INDEX(SPPWS,CZ376,5)&gt;=$S371,INDEX(SPPWS,CZ376,6)&gt;=$R371),1,0),IF(AND(INDEX(SPM,CZ376,4)&gt;=$AB371,INDEX(SPM,CZ376,5)&gt;=$S371,INDEX(SPM,CZ376,6)&gt;=$R371),1,0))</f>
        <v>#N/A</v>
      </c>
      <c r="DB376" s="4" t="e">
        <f t="shared" ref="DB376" ca="1" si="6637">MATCH(1,OFFSET(DA371:DA382,DC375,0,COUNT(DA371:DA382)-DC375),0)</f>
        <v>#REF!</v>
      </c>
      <c r="DC376" s="4" t="e">
        <f t="shared" ca="1" si="6566"/>
        <v>#REF!</v>
      </c>
      <c r="DD376" s="693" t="str">
        <f ca="1">IF(LEFT($J371,7)="Clad Wo",IFERROR(VLOOKUP(INDEX(CZ371:CZ382,DC376),SPPWS,2,FALSE),"----"),IFERROR(VLOOKUP(INDEX(CZ371:CZ382,DC376),SPM,2,FALSE),"----"))</f>
        <v>----</v>
      </c>
      <c r="DE376" s="691" t="e">
        <f t="shared" ca="1" si="6567"/>
        <v>#REF!</v>
      </c>
      <c r="DF376" s="4" t="e" cm="1">
        <f t="array" aca="1" ref="DF376" ca="1">IF(AND(INDEX(INDIRECT(BY371),DE376,4)&gt;=$AB377,INDEX(INDIRECT(BY371),DE376,5)&gt;=$S371,INDEX(INDIRECT(BY371),DE376,6)&gt;=$R371),1,0)</f>
        <v>#REF!</v>
      </c>
      <c r="DG376" s="4" t="e">
        <f t="shared" ref="DG376" ca="1" si="6638">MATCH(1,OFFSET(DF371:DF382,DH375,0,COUNT(DF371:DF382)-DH375),0)</f>
        <v>#REF!</v>
      </c>
      <c r="DH376" s="4" t="e">
        <f t="shared" ca="1" si="6569"/>
        <v>#REF!</v>
      </c>
      <c r="DI376" s="692" t="str" cm="1">
        <f t="array" aca="1" ref="DI376" ca="1">IFERROR(VLOOKUP(INDEX(DE371:DE382,DH376),INDIRECT(BY371),2,FALSE),"----")</f>
        <v>----</v>
      </c>
      <c r="DJ376" s="691" t="e">
        <f t="shared" ca="1" si="6570"/>
        <v>#N/A</v>
      </c>
      <c r="DK376" s="4" t="e">
        <f ca="1">IF(AND(INDEX(SSM,DJ376,4)&gt;=$AB377,INDEX(SSM,DJ376,5)&gt;=$S371,INDEX(SSM,DJ376,6)&gt;=$R371),1,0)</f>
        <v>#N/A</v>
      </c>
      <c r="DL376" s="4" t="e">
        <f t="shared" ref="DL376" ca="1" si="6639">MATCH(1,OFFSET(DK371:DK382,DM375,0,COUNT(DK371:DK382)-DM375),0)</f>
        <v>#REF!</v>
      </c>
      <c r="DM376" s="4" t="e">
        <f t="shared" ca="1" si="6572"/>
        <v>#REF!</v>
      </c>
      <c r="DN376" s="692" t="str">
        <f ca="1">IFERROR(IF(AD378="Nested Steel Stud (wood infill)",VLOOKUP(INDEX(DJ371:DJ382,DM376),SSW,2,FALSE),VLOOKUP(INDEX(DJ371:DJ382,DM376),SSM,2,FALSE)),"----")</f>
        <v>----</v>
      </c>
      <c r="DO376" s="691" t="e">
        <f t="shared" ca="1" si="6573"/>
        <v>#N/A</v>
      </c>
      <c r="DP376" s="4" t="e">
        <f ca="1">IF(AND(INDEX(WSM,DO376,4)&gt;=$AB377,INDEX(WSM,DO376,5)&gt;=$S371,INDEX(WSM,DO376,6)&gt;=$R371),1,0)</f>
        <v>#N/A</v>
      </c>
      <c r="DQ376" s="4" t="e">
        <f t="shared" ref="DQ376" ca="1" si="6640">MATCH(1,OFFSET(DP371:DP382,DR375,0,COUNT(DP371:DP382)-DR375),0)</f>
        <v>#REF!</v>
      </c>
      <c r="DR376" s="4" t="e">
        <f t="shared" ca="1" si="6575"/>
        <v>#REF!</v>
      </c>
      <c r="DS376" s="692" t="str">
        <f ca="1">IFERROR(VLOOKUP(INDEX(DO371:DO382,DR376),WSM,2,FALSE),"----")</f>
        <v>----</v>
      </c>
      <c r="DT376" s="691" t="e">
        <f t="shared" ca="1" si="6576"/>
        <v>#N/A</v>
      </c>
      <c r="DU376" s="4" t="e">
        <f ca="1">IF(AND(INDEX(STM,DT376,4)&gt;=$AB377,INDEX(STM,DT376,5)&gt;=$S371,INDEX(STM,DT376,6)&gt;=$R371),1,0)</f>
        <v>#N/A</v>
      </c>
      <c r="DV376" s="4" t="e">
        <f t="shared" ref="DV376" ca="1" si="6641">MATCH(1,OFFSET(DU371:DU382,DW375,0,COUNT(DU371:DU382)-DW375),0)</f>
        <v>#REF!</v>
      </c>
      <c r="DW376" s="4" t="e">
        <f t="shared" ca="1" si="6578"/>
        <v>#REF!</v>
      </c>
      <c r="DX376" s="692" t="str">
        <f ca="1">IFERROR(VLOOKUP(INDEX(DT371:DT382,DW376),STM,2,FALSE),"----")</f>
        <v>----</v>
      </c>
      <c r="DY376" s="691" t="e">
        <f t="shared" ca="1" si="6579"/>
        <v>#N/A</v>
      </c>
      <c r="DZ376" s="4" t="e">
        <f ca="1">IF(AND(INDEX(ELM,DY376,4)&gt;=$AB377,INDEX(ELM,DY376,5)&gt;=$S371,INDEX(ELM,DY376,6)&gt;=$R371),1,0)</f>
        <v>#N/A</v>
      </c>
      <c r="EA376" s="4" t="e">
        <f t="shared" ref="EA376" ca="1" si="6642">MATCH(1,OFFSET(DZ371:DZ382,EB375,0,COUNT(DZ371:DZ382)-EB375),0)</f>
        <v>#REF!</v>
      </c>
      <c r="EB376" s="4" t="e">
        <f t="shared" ca="1" si="6581"/>
        <v>#REF!</v>
      </c>
      <c r="EC376" s="692" t="str">
        <f ca="1">IFERROR(VLOOKUP(INDEX(DY371:DY382,EB376),ELM,2,FALSE),"----")</f>
        <v>----</v>
      </c>
      <c r="ED376" s="691" t="e">
        <f t="shared" ca="1" si="6582"/>
        <v>#N/A</v>
      </c>
      <c r="EE376" s="4" t="e">
        <f ca="1">IF(LEFT($J371,7)="Clad Wo",IF(AND(INDEX(SPPWS,ED376,4)&gt;=$AB377,INDEX(SPPWS,ED376,5)&gt;=$S371,INDEX(SPPWS,ED376,6)&gt;=$R371),1,0),IF(AND(INDEX(SPM,ED376,4)&gt;=$AB377,INDEX(SPM,ED376,5)&gt;=$S371,INDEX(SPM,ED376,6)&gt;=$R371),1,0))</f>
        <v>#N/A</v>
      </c>
      <c r="EF376" s="4" t="e">
        <f t="shared" ref="EF376" ca="1" si="6643">MATCH(1,OFFSET(EE371:EE382,EG375,0,COUNT(EE371:EE382)-EG375),0)</f>
        <v>#REF!</v>
      </c>
      <c r="EG376" s="4" t="e">
        <f t="shared" ca="1" si="6584"/>
        <v>#REF!</v>
      </c>
      <c r="EH376" s="692" t="str">
        <f ca="1">IF(LEFT($J371,7)="Clad Wo",IFERROR(VLOOKUP(INDEX(ED371:ED382,EG376),SPPWS,2,FALSE),"----"),IFERROR(VLOOKUP(INDEX(ED371:ED382,EG376),SPM,2,FALSE),"----"))</f>
        <v>----</v>
      </c>
    </row>
    <row r="377" spans="1:138" ht="15" customHeight="1" x14ac:dyDescent="0.25">
      <c r="A377" s="1085"/>
      <c r="B377" s="925" t="s">
        <v>409</v>
      </c>
      <c r="C377" s="926"/>
      <c r="D377" s="927"/>
      <c r="E377" s="995"/>
      <c r="F377" s="996"/>
      <c r="G377" s="997"/>
      <c r="H377" s="1062"/>
      <c r="I377" s="990"/>
      <c r="J377" s="908"/>
      <c r="K377" s="909"/>
      <c r="L377" s="1001">
        <f>L371+1</f>
        <v>5</v>
      </c>
      <c r="M377" s="1064" t="str">
        <f t="shared" ref="M377" si="6644">IFERROR(IF($AE$17="",IF($AG$19="Wind Loading",MIN($V$31,IF(E$11="ASCE 7-05",$U$26,$V$7)*$V$9*(IF($E$12&lt;60,0.156*LN(MAX(MIN(500,O371),10)) -1.7618,IF($E$11="ASCE 7-22", 0.2026*LN(MAX(MIN(500,O371),20))-2.2638,0.2503*LN(MAX(MIN(500,O371),20)) -2.5526))-$V$8)),$V$7*IF(E$12&lt;60,$V$13*($V$15*(0.156*LN(MAX(MIN(500,O371),10)) -1.7618)-$V$16),$V$13*$V$15*((0.2026*LN(MAX(MIN(500,O371),20))-2.2638)-$V$16))),-ABS($AE$17)),"")</f>
        <v/>
      </c>
      <c r="N377" s="1041" t="str">
        <f t="shared" ref="N377" si="6645">IFERROR(IF($AE$19="",IF($AG$19="Wind Loading",MAX($U$31,IF(E$11="ASCE 7-05",$U$26,$V$7)*$V$9*((IF($E$12&lt;60,-0.077*LN(MAX(MIN(500,O371),10))+1.1737,IF($E$11="ASCE 7-22",-0.077*LN(MAX(MIN(500,O371),20))+1.0798,-0.093*LN(MAX(MIN(500,O371),20))+1.1776)))+$V$8)),$V$7*IF(E$12&lt;60,$V$13*($V$15*(-0.077*LN(MAX(MIN(500,O371),10))+1.1737)-$V$17),$V$13*$V$15*((-0.077*LN(MAX(MIN(500,O371),20))+1.0798)-$V$17))),ABS($AE$19)),"")</f>
        <v/>
      </c>
      <c r="O377" s="1018"/>
      <c r="P377" s="987"/>
      <c r="Q377" s="1015"/>
      <c r="R377" s="1012">
        <f>P377*Q377/8</f>
        <v>0</v>
      </c>
      <c r="S377" s="1006"/>
      <c r="T377" s="1007"/>
      <c r="U377" s="878"/>
      <c r="V377" s="881"/>
      <c r="W377" s="883" t="e">
        <f t="shared" ref="W377" si="6646">MAX(-M377,N377)*O371</f>
        <v>#VALUE!</v>
      </c>
      <c r="X377" s="884"/>
      <c r="Y377" s="886">
        <f>IFERROR(IF(AG$14="Trapezoidal",BY380,BX380)+IF($E$17="4",(400*E371^3)/(48*X371),0),0)</f>
        <v>0</v>
      </c>
      <c r="Z377" s="886" t="e">
        <f t="shared" ref="Z377" si="6647">+($V371*MAX(-$M377,$N377)*$E371^2)/(144*8)+IF($E$17=4,(400*$E371)/4,0)</f>
        <v>#VALUE!</v>
      </c>
      <c r="AA377" s="887"/>
      <c r="AB377" s="1080" t="str">
        <f t="shared" ref="AB377" ca="1" si="6648">IFERROR(Z377-AA371,"")</f>
        <v/>
      </c>
      <c r="AC377" s="1086" t="str">
        <f t="shared" ref="AC377" ca="1" si="6649">IFERROR(Y377-U371,"")</f>
        <v/>
      </c>
      <c r="AD377" s="1074" t="str">
        <f t="shared" ref="AD377" si="6650">AD371</f>
        <v/>
      </c>
      <c r="AE377" s="1075"/>
      <c r="AF377" s="1056"/>
      <c r="AG377" s="1057"/>
      <c r="AH377" s="1057"/>
      <c r="AI377" s="1088"/>
      <c r="AJ377" s="1089"/>
      <c r="AK377" s="162" t="str">
        <f t="shared" ca="1" si="6208"/>
        <v/>
      </c>
      <c r="AL377" s="1058" t="str">
        <f t="shared" ref="AL377" si="6651">IFERROR(ROUND(SQRT(P371^2+(W377/2+IF($E$17=4,200,0))^2),0),"")</f>
        <v/>
      </c>
      <c r="AM377" s="342" t="s">
        <v>669</v>
      </c>
      <c r="AN377" t="str">
        <f t="shared" ca="1" si="6226"/>
        <v/>
      </c>
      <c r="AP377" s="122" t="str">
        <f t="shared" ref="AP377" si="6652">_xlfn.CONCAT(AR377,AS382)</f>
        <v/>
      </c>
      <c r="AQ377" s="683" t="str">
        <f t="shared" si="6434"/>
        <v/>
      </c>
      <c r="AR377" s="96" t="str">
        <f t="shared" si="6193"/>
        <v/>
      </c>
      <c r="AS377" s="96" t="str">
        <f>IF(COUNTIF(imp_1,AF377)=1,"imp_1",IF(COUNTIF(imp_2,AF377)=1,"imp_2",IF(COUNTIF(imp_3,AF377)=1,"imp_3",IF(COUNTIF(impdoor,AF377)=1,"impdoor",""))))</f>
        <v/>
      </c>
      <c r="AT377" s="684" t="str">
        <f>AL377</f>
        <v/>
      </c>
      <c r="AU377" s="685" t="e">
        <f t="shared" ca="1" si="6450"/>
        <v>#REF!</v>
      </c>
      <c r="AV377" s="686" t="str">
        <f ca="1">IFERROR(VLOOKUP(AU377,INDIRECT(AQ371),2,FALSE),"----")</f>
        <v>----</v>
      </c>
      <c r="AW377" s="685" t="e">
        <f t="shared" ca="1" si="6451"/>
        <v>#REF!</v>
      </c>
      <c r="AX377" s="686" t="str">
        <f ca="1">IFERROR(VLOOKUP(AW377,INDIRECT(AQ372),2,FALSE),"----")</f>
        <v>----</v>
      </c>
      <c r="AY377" s="685" t="e">
        <f t="shared" ca="1" si="6383"/>
        <v>#REF!</v>
      </c>
      <c r="AZ377" s="686" t="str">
        <f ca="1">IFERROR(VLOOKUP(AY377,INDIRECT(AQ373),2,FALSE),"----")</f>
        <v>----</v>
      </c>
      <c r="BA377" s="685" t="e">
        <f t="shared" ca="1" si="6384"/>
        <v>#REF!</v>
      </c>
      <c r="BB377" s="686" t="str">
        <f ca="1">IFERROR(VLOOKUP(BA377,INDIRECT(AQ374),2,FALSE),"----")</f>
        <v>----</v>
      </c>
      <c r="BC377" s="685" t="e">
        <f t="shared" ca="1" si="6452"/>
        <v>#REF!</v>
      </c>
      <c r="BD377" s="686" t="str">
        <f ca="1">IFERROR(VLOOKUP(BC377,INDIRECT(AQ375),2,FALSE),"----")</f>
        <v>----</v>
      </c>
      <c r="BE377" s="685" t="e">
        <f t="shared" ca="1" si="6453"/>
        <v>#REF!</v>
      </c>
      <c r="BF377" s="686" t="str">
        <f ca="1">IFERROR(VLOOKUP(BE377,INDIRECT(AQ376),2,FALSE),"----")</f>
        <v>----</v>
      </c>
      <c r="BG377" s="702" t="e">
        <f t="shared" ca="1" si="6454"/>
        <v>#REF!</v>
      </c>
      <c r="BH377" s="686" t="str">
        <f ca="1">IFERROR(VLOOKUP(BG377,INDIRECT(AQ377),2,FALSE),"----")</f>
        <v>----</v>
      </c>
      <c r="BI377" s="702" t="e">
        <f t="shared" ca="1" si="6455"/>
        <v>#REF!</v>
      </c>
      <c r="BJ377" s="686" t="str">
        <f ca="1">IFERROR(VLOOKUP(BI377,INDIRECT(AQ378),2,FALSE),"----")</f>
        <v>----</v>
      </c>
      <c r="BK377" s="702" t="e">
        <f t="shared" ca="1" si="6456"/>
        <v>#REF!</v>
      </c>
      <c r="BL377" s="686" t="str">
        <f ca="1">IFERROR(VLOOKUP(BK377,INDIRECT(AQ379),2,FALSE),"----")</f>
        <v>----</v>
      </c>
      <c r="BM377" s="702" t="e">
        <f t="shared" ca="1" si="6457"/>
        <v>#REF!</v>
      </c>
      <c r="BN377" s="686" t="str">
        <f ca="1">IFERROR(VLOOKUP(BM377,INDIRECT(AQ380),2,FALSE),"----")</f>
        <v>----</v>
      </c>
      <c r="BO377" s="702" t="e">
        <f t="shared" ca="1" si="6458"/>
        <v>#REF!</v>
      </c>
      <c r="BP377" s="686" t="str">
        <f ca="1">IFERROR(VLOOKUP(BO377,INDIRECT(AQ381),2,FALSE),"----")</f>
        <v>----</v>
      </c>
      <c r="BQ377" s="702" t="e">
        <f t="shared" ca="1" si="6459"/>
        <v>#REF!</v>
      </c>
      <c r="BR377" s="686" t="str">
        <f ca="1">IFERROR(VLOOKUP(BQ377,INDIRECT(AQ382),2,FALSE),"----")</f>
        <v>----</v>
      </c>
      <c r="BS377" s="695">
        <f>IF(AI377="",1,IF(COUNTIF(BH371:BH382,AI377)=0,2,1))</f>
        <v>1</v>
      </c>
      <c r="BT377" s="696">
        <f>IF(AP377="1",1,IF(AF377="",1,IF(BH371=".",2,1)))</f>
        <v>1</v>
      </c>
      <c r="BU377" s="706"/>
      <c r="BV377" s="155">
        <f ca="1">IF(COUNTIF(DI371:DI382,AF377)=0,IF(AF377&lt;&gt;"",0,1),1)</f>
        <v>1</v>
      </c>
      <c r="BW377" s="157">
        <f ca="1">IFERROR(MATCH(AF377,DI371:DI382,0),1)</f>
        <v>1</v>
      </c>
      <c r="BX377" s="769" t="s">
        <v>1593</v>
      </c>
      <c r="BY377" s="769" t="s">
        <v>1629</v>
      </c>
      <c r="BZ377" s="1110"/>
      <c r="CA377" s="691" t="e">
        <f t="shared" ca="1" si="6549"/>
        <v>#REF!</v>
      </c>
      <c r="CB377" s="4" t="e" cm="1">
        <f t="array" aca="1" ref="CB377" ca="1">IF(AND(INDEX(INDIRECT(BY371),CA377,4)&gt;=$AB371,INDEX(INDIRECT(BY371),CA377,5)&gt;=$S371,INDEX(INDIRECT(BY371),CA377,6)&gt;=$R371),1,0)</f>
        <v>#REF!</v>
      </c>
      <c r="CC377" s="4" t="e">
        <f t="shared" ref="CC377" ca="1" si="6653">MATCH(1,OFFSET(CB371:CB382,CD376,0,COUNT(CB371:CB382)-CD376),0)</f>
        <v>#REF!</v>
      </c>
      <c r="CD377" s="4" t="e">
        <f t="shared" ca="1" si="6551"/>
        <v>#REF!</v>
      </c>
      <c r="CE377" s="692" t="str" cm="1">
        <f t="array" aca="1" ref="CE377" ca="1">IFERROR(VLOOKUP(INDEX(CA371:CA382,CD377),INDIRECT(BY371),2,FALSE),"----")</f>
        <v>----</v>
      </c>
      <c r="CF377" s="691" t="e">
        <f t="shared" ca="1" si="6552"/>
        <v>#N/A</v>
      </c>
      <c r="CG377" s="4" t="e">
        <f ca="1">IF(AND(INDEX(SSM,CF377,4)&gt;=$AB371,INDEX(SSM,CF377,5)&gt;=$S371,INDEX(SSM,CF377,6)&gt;=$R371),1,0)</f>
        <v>#N/A</v>
      </c>
      <c r="CH377" s="4" t="e">
        <f t="shared" ref="CH377" ca="1" si="6654">MATCH(1,OFFSET(CG371:CG382,CI376,0,COUNT(CG371:CG382)-CI376),0)</f>
        <v>#REF!</v>
      </c>
      <c r="CI377" s="4" t="e">
        <f t="shared" ca="1" si="6554"/>
        <v>#REF!</v>
      </c>
      <c r="CJ377" s="692" t="str">
        <f ca="1">IFERROR(IF(AD372="Nested Steel Stud (wood infill)",VLOOKUP(INDEX(CF371:CF382,CI377),SSW,2,FALSE),VLOOKUP(INDEX(CF371:CF382,CI377),SSM,2,FALSE)),"----")</f>
        <v>----</v>
      </c>
      <c r="CK377" s="691" t="e">
        <f t="shared" ca="1" si="6555"/>
        <v>#N/A</v>
      </c>
      <c r="CL377" s="4" t="e">
        <f ca="1">IF(AND(INDEX(WSM,CK377,4)&gt;=$AB371,INDEX(WSM,CK377,5)&gt;=$S371,INDEX(WSM,CK377,6)&gt;=$R371),1,0)</f>
        <v>#N/A</v>
      </c>
      <c r="CM377" s="4" t="e">
        <f t="shared" ref="CM377" ca="1" si="6655">MATCH(1,OFFSET(CL371:CL382,CN376,0,COUNT(CL371:CL382)-CN376),0)</f>
        <v>#REF!</v>
      </c>
      <c r="CN377" s="4" t="e">
        <f t="shared" ca="1" si="6557"/>
        <v>#REF!</v>
      </c>
      <c r="CO377" s="692" t="str">
        <f ca="1">IFERROR(VLOOKUP(INDEX(CK371:CK382,CN377),WSM,2,FALSE),"----")</f>
        <v>----</v>
      </c>
      <c r="CP377" s="691" t="e">
        <f t="shared" ca="1" si="6558"/>
        <v>#N/A</v>
      </c>
      <c r="CQ377" s="4" t="e">
        <f ca="1">IF(AND(INDEX(STM,CP377,4)&gt;=$AB371,INDEX(STM,CP377,5)&gt;=$S371,INDEX(STM,CP377,6)&gt;=$R371),1,0)</f>
        <v>#N/A</v>
      </c>
      <c r="CR377" s="4" t="e">
        <f t="shared" ref="CR377" ca="1" si="6656">MATCH(1,OFFSET(CQ371:CQ382,CS376,0,COUNT(CQ371:CQ382)-CS376),0)</f>
        <v>#REF!</v>
      </c>
      <c r="CS377" s="4" t="e">
        <f t="shared" ca="1" si="6560"/>
        <v>#REF!</v>
      </c>
      <c r="CT377" s="692" t="str">
        <f ca="1">IFERROR(VLOOKUP(INDEX(CP371:CP382,CS377),STM,2,FALSE),"----")</f>
        <v>----</v>
      </c>
      <c r="CU377" s="691" t="e">
        <f t="shared" ca="1" si="6561"/>
        <v>#N/A</v>
      </c>
      <c r="CV377" s="4" t="e">
        <f ca="1">IF(AND(INDEX(ELM,CU377,4)&gt;=$AB371,INDEX(ELM,CU377,5)&gt;=$S371,INDEX(ELM,CU377,6)&gt;=$R371),1,0)</f>
        <v>#N/A</v>
      </c>
      <c r="CW377" s="4" t="e">
        <f t="shared" ref="CW377" ca="1" si="6657">MATCH(1,OFFSET(CV371:CV382,CX376,0,COUNT(CV371:CV382)-CX376),0)</f>
        <v>#REF!</v>
      </c>
      <c r="CX377" s="4" t="e">
        <f t="shared" ca="1" si="6563"/>
        <v>#REF!</v>
      </c>
      <c r="CY377" s="692" t="str">
        <f ca="1">IFERROR(VLOOKUP(INDEX(CU371:CU382,CX377),ELM,2,FALSE),"----")</f>
        <v>----</v>
      </c>
      <c r="CZ377" s="691" t="e">
        <f t="shared" ca="1" si="6564"/>
        <v>#N/A</v>
      </c>
      <c r="DA377" s="4" t="e">
        <f ca="1">IF(LEFT($J371,7)="Clad Wo",IF(AND(INDEX(SPPWS,CZ377,4)&gt;=$AB371,INDEX(SPPWS,CZ377,5)&gt;=$S371,INDEX(SPPWS,CZ377,6)&gt;=$R371),1,0),IF(AND(INDEX(SPM,CZ377,4)&gt;=$AB371,INDEX(SPM,CZ377,5)&gt;=$S371,INDEX(SPM,CZ377,6)&gt;=$R371),1,0))</f>
        <v>#N/A</v>
      </c>
      <c r="DB377" s="4" t="e">
        <f t="shared" ref="DB377" ca="1" si="6658">MATCH(1,OFFSET(DA371:DA382,DC376,0,COUNT(DA371:DA382)-DC376),0)</f>
        <v>#REF!</v>
      </c>
      <c r="DC377" s="4" t="e">
        <f t="shared" ca="1" si="6566"/>
        <v>#REF!</v>
      </c>
      <c r="DD377" s="693" t="str">
        <f ca="1">IF(LEFT($J371,7)="Clad Wo",IFERROR(VLOOKUP(INDEX(CZ371:CZ382,DC377),SPPWS,2,FALSE),"----"),IFERROR(VLOOKUP(INDEX(CZ371:CZ382,DC377),SPM,2,FALSE),"----"))</f>
        <v>----</v>
      </c>
      <c r="DE377" s="691" t="e">
        <f t="shared" ca="1" si="6567"/>
        <v>#REF!</v>
      </c>
      <c r="DF377" s="4" t="e" cm="1">
        <f t="array" aca="1" ref="DF377" ca="1">IF(AND(INDEX(INDIRECT(BY371),DE377,4)&gt;=$AB377,INDEX(INDIRECT(BY371),DE377,5)&gt;=$S371,INDEX(INDIRECT(BY371),DE377,6)&gt;=$R371),1,0)</f>
        <v>#REF!</v>
      </c>
      <c r="DG377" s="4" t="e">
        <f t="shared" ref="DG377" ca="1" si="6659">MATCH(1,OFFSET(DF371:DF382,DH376,0,COUNT(DF371:DF382)-DH376),0)</f>
        <v>#REF!</v>
      </c>
      <c r="DH377" s="4" t="e">
        <f t="shared" ca="1" si="6569"/>
        <v>#REF!</v>
      </c>
      <c r="DI377" s="692" t="str" cm="1">
        <f t="array" aca="1" ref="DI377" ca="1">IFERROR(VLOOKUP(INDEX(DE371:DE382,DH377),INDIRECT(BY371),2,FALSE),"----")</f>
        <v>----</v>
      </c>
      <c r="DJ377" s="691" t="e">
        <f t="shared" ca="1" si="6570"/>
        <v>#N/A</v>
      </c>
      <c r="DK377" s="4" t="e">
        <f ca="1">IF(AND(INDEX(SSM,DJ377,4)&gt;=$AB377,INDEX(SSM,DJ377,5)&gt;=$S371,INDEX(SSM,DJ377,6)&gt;=$R371),1,0)</f>
        <v>#N/A</v>
      </c>
      <c r="DL377" s="4" t="e">
        <f t="shared" ref="DL377" ca="1" si="6660">MATCH(1,OFFSET(DK371:DK382,DM376,0,COUNT(DK371:DK382)-DM376),0)</f>
        <v>#REF!</v>
      </c>
      <c r="DM377" s="4" t="e">
        <f t="shared" ca="1" si="6572"/>
        <v>#REF!</v>
      </c>
      <c r="DN377" s="692" t="str">
        <f ca="1">IFERROR(IF(AD378="Nested Steel Stud (wood infill)",VLOOKUP(INDEX(DJ371:DJ382,DM377),SSW,2,FALSE),VLOOKUP(INDEX(DJ371:DJ382,DM377),SSM,2,FALSE)),"----")</f>
        <v>----</v>
      </c>
      <c r="DO377" s="691" t="e">
        <f t="shared" ca="1" si="6573"/>
        <v>#N/A</v>
      </c>
      <c r="DP377" s="4" t="e">
        <f ca="1">IF(AND(INDEX(WSM,DO377,4)&gt;=$AB377,INDEX(WSM,DO377,5)&gt;=$S371,INDEX(WSM,DO377,6)&gt;=$R371),1,0)</f>
        <v>#N/A</v>
      </c>
      <c r="DQ377" s="4" t="e">
        <f t="shared" ref="DQ377" ca="1" si="6661">MATCH(1,OFFSET(DP371:DP382,DR376,0,COUNT(DP371:DP382)-DR376),0)</f>
        <v>#REF!</v>
      </c>
      <c r="DR377" s="4" t="e">
        <f t="shared" ca="1" si="6575"/>
        <v>#REF!</v>
      </c>
      <c r="DS377" s="692" t="str">
        <f ca="1">IFERROR(VLOOKUP(INDEX(DO371:DO382,DR377),WSM,2,FALSE),"----")</f>
        <v>----</v>
      </c>
      <c r="DT377" s="691" t="e">
        <f t="shared" ca="1" si="6576"/>
        <v>#N/A</v>
      </c>
      <c r="DU377" s="4" t="e">
        <f ca="1">IF(AND(INDEX(STM,DT377,4)&gt;=$AB377,INDEX(STM,DT377,5)&gt;=$S371,INDEX(STM,DT377,6)&gt;=$R371),1,0)</f>
        <v>#N/A</v>
      </c>
      <c r="DV377" s="4" t="e">
        <f t="shared" ref="DV377" ca="1" si="6662">MATCH(1,OFFSET(DU371:DU382,DW376,0,COUNT(DU371:DU382)-DW376),0)</f>
        <v>#REF!</v>
      </c>
      <c r="DW377" s="4" t="e">
        <f t="shared" ca="1" si="6578"/>
        <v>#REF!</v>
      </c>
      <c r="DX377" s="692" t="str">
        <f ca="1">IFERROR(VLOOKUP(INDEX(DT371:DT382,DW377),STM,2,FALSE),"----")</f>
        <v>----</v>
      </c>
      <c r="DY377" s="691" t="e">
        <f t="shared" ca="1" si="6579"/>
        <v>#N/A</v>
      </c>
      <c r="DZ377" s="4" t="e">
        <f ca="1">IF(AND(INDEX(ELM,DY377,4)&gt;=$AB377,INDEX(ELM,DY377,5)&gt;=$S371,INDEX(ELM,DY377,6)&gt;=$R371),1,0)</f>
        <v>#N/A</v>
      </c>
      <c r="EA377" s="4" t="e">
        <f t="shared" ref="EA377" ca="1" si="6663">MATCH(1,OFFSET(DZ371:DZ382,EB376,0,COUNT(DZ371:DZ382)-EB376),0)</f>
        <v>#REF!</v>
      </c>
      <c r="EB377" s="4" t="e">
        <f t="shared" ca="1" si="6581"/>
        <v>#REF!</v>
      </c>
      <c r="EC377" s="692" t="str">
        <f ca="1">IFERROR(VLOOKUP(INDEX(DY371:DY382,EB377),ELM,2,FALSE),"----")</f>
        <v>----</v>
      </c>
      <c r="ED377" s="691" t="e">
        <f t="shared" ca="1" si="6582"/>
        <v>#N/A</v>
      </c>
      <c r="EE377" s="4" t="e">
        <f ca="1">IF(LEFT($J371,7)="Clad Wo",IF(AND(INDEX(SPPWS,ED377,4)&gt;=$AB377,INDEX(SPPWS,ED377,5)&gt;=$S371,INDEX(SPPWS,ED377,6)&gt;=$R371),1,0),IF(AND(INDEX(SPM,ED377,4)&gt;=$AB377,INDEX(SPM,ED377,5)&gt;=$S371,INDEX(SPM,ED377,6)&gt;=$R371),1,0))</f>
        <v>#N/A</v>
      </c>
      <c r="EF377" s="4" t="e">
        <f t="shared" ref="EF377" ca="1" si="6664">MATCH(1,OFFSET(EE371:EE382,EG376,0,COUNT(EE371:EE382)-EG376),0)</f>
        <v>#REF!</v>
      </c>
      <c r="EG377" s="4" t="e">
        <f t="shared" ca="1" si="6584"/>
        <v>#REF!</v>
      </c>
      <c r="EH377" s="692" t="str">
        <f ca="1">IF(LEFT($J371,7)="Clad Wo",IFERROR(VLOOKUP(INDEX(ED371:ED382,EG377),SPPWS,2,FALSE),"----"),IFERROR(VLOOKUP(INDEX(ED371:ED382,EG377),SPM,2,FALSE),"----"))</f>
        <v>----</v>
      </c>
    </row>
    <row r="378" spans="1:138" ht="15" customHeight="1" x14ac:dyDescent="0.25">
      <c r="A378" s="1085"/>
      <c r="B378" s="925"/>
      <c r="C378" s="926"/>
      <c r="D378" s="927"/>
      <c r="E378" s="995"/>
      <c r="F378" s="996"/>
      <c r="G378" s="997"/>
      <c r="H378" s="1062"/>
      <c r="I378" s="990"/>
      <c r="J378" s="912"/>
      <c r="K378" s="913"/>
      <c r="L378" s="1002"/>
      <c r="M378" s="923"/>
      <c r="N378" s="1042"/>
      <c r="O378" s="1018"/>
      <c r="P378" s="987"/>
      <c r="Q378" s="1015"/>
      <c r="R378" s="1012"/>
      <c r="S378" s="1006"/>
      <c r="T378" s="1007"/>
      <c r="U378" s="878"/>
      <c r="V378" s="881"/>
      <c r="W378" s="884"/>
      <c r="X378" s="884"/>
      <c r="Y378" s="887"/>
      <c r="Z378" s="887"/>
      <c r="AA378" s="887"/>
      <c r="AB378" s="1081"/>
      <c r="AC378" s="1078"/>
      <c r="AD378" s="1070" t="str">
        <f t="shared" ref="AD378" si="6665">IF(ISBLANK(AD372)=TRUE,"",AD372)</f>
        <v>Nested Steel Stud</v>
      </c>
      <c r="AE378" s="1071"/>
      <c r="AF378" s="1052"/>
      <c r="AG378" s="1053"/>
      <c r="AH378" s="1053"/>
      <c r="AI378" s="1066"/>
      <c r="AJ378" s="1067"/>
      <c r="AK378" s="156" t="str">
        <f t="shared" ca="1" si="6208"/>
        <v/>
      </c>
      <c r="AL378" s="1059"/>
      <c r="AM378" s="343" t="str">
        <f ca="1">IFERROR(Q371/12*ROUND(VLOOKUP(AF378,OFFSET(SSM,0,1),6,FALSE),2),"")</f>
        <v/>
      </c>
      <c r="AN378" t="str">
        <f t="shared" ca="1" si="6226"/>
        <v/>
      </c>
      <c r="AP378" s="122" t="str">
        <f t="shared" ref="AP378" si="6666">_xlfn.CONCAT(AR378,AS382)</f>
        <v/>
      </c>
      <c r="AQ378" s="683" t="str">
        <f t="shared" si="6434"/>
        <v/>
      </c>
      <c r="AR378" s="96" t="str">
        <f t="shared" si="6193"/>
        <v/>
      </c>
      <c r="AS378" s="96" t="str">
        <f>IF(COUNTIF(Vista_1,AF377)=1,"Vista_1",IF(COUNTIF(Vista_2,AF377)=1,"Vista_2",""))</f>
        <v/>
      </c>
      <c r="AT378" s="684" t="str">
        <f>AL377</f>
        <v/>
      </c>
      <c r="AU378" s="694" t="e">
        <f t="shared" ca="1" si="6450"/>
        <v>#REF!</v>
      </c>
      <c r="AV378" s="686" t="str">
        <f ca="1">IFERROR(VLOOKUP(AU378,INDIRECT(AQ371),2,FALSE),"----")</f>
        <v>----</v>
      </c>
      <c r="AW378" s="694" t="e">
        <f t="shared" ca="1" si="6451"/>
        <v>#REF!</v>
      </c>
      <c r="AX378" s="686" t="str">
        <f ca="1">IFERROR(VLOOKUP(AW378,INDIRECT(AQ372),2,FALSE),"----")</f>
        <v>----</v>
      </c>
      <c r="AY378" s="694" t="e">
        <f t="shared" ca="1" si="6383"/>
        <v>#REF!</v>
      </c>
      <c r="AZ378" s="686" t="str">
        <f ca="1">IFERROR(VLOOKUP(AY378,INDIRECT(AQ373),2,FALSE),"----")</f>
        <v>----</v>
      </c>
      <c r="BA378" s="694" t="e">
        <f t="shared" ca="1" si="6384"/>
        <v>#REF!</v>
      </c>
      <c r="BB378" s="686" t="str">
        <f ca="1">IFERROR(VLOOKUP(BA378,INDIRECT(AQ374),2,FALSE),"----")</f>
        <v>----</v>
      </c>
      <c r="BC378" s="694" t="e">
        <f t="shared" ca="1" si="6452"/>
        <v>#REF!</v>
      </c>
      <c r="BD378" s="686" t="str">
        <f ca="1">IFERROR(VLOOKUP(BC378,INDIRECT(AQ375),2,FALSE),"----")</f>
        <v>----</v>
      </c>
      <c r="BE378" s="694" t="e">
        <f t="shared" ca="1" si="6453"/>
        <v>#REF!</v>
      </c>
      <c r="BF378" s="686" t="str">
        <f ca="1">IFERROR(VLOOKUP(BE378,INDIRECT(AQ376),2,FALSE),"----")</f>
        <v>----</v>
      </c>
      <c r="BG378" s="702" t="e">
        <f t="shared" ca="1" si="6454"/>
        <v>#REF!</v>
      </c>
      <c r="BH378" s="686" t="str">
        <f ca="1">IFERROR(VLOOKUP(BG378,INDIRECT(AQ377),2,FALSE),"----")</f>
        <v>----</v>
      </c>
      <c r="BI378" s="702" t="e">
        <f t="shared" ca="1" si="6455"/>
        <v>#REF!</v>
      </c>
      <c r="BJ378" s="686" t="str">
        <f ca="1">IFERROR(VLOOKUP(BI378,INDIRECT(AQ378),2,FALSE),"----")</f>
        <v>----</v>
      </c>
      <c r="BK378" s="702" t="e">
        <f t="shared" ca="1" si="6456"/>
        <v>#REF!</v>
      </c>
      <c r="BL378" s="686" t="str">
        <f ca="1">IFERROR(VLOOKUP(BK378,INDIRECT(AQ379),2,FALSE),"----")</f>
        <v>----</v>
      </c>
      <c r="BM378" s="702" t="e">
        <f t="shared" ca="1" si="6457"/>
        <v>#REF!</v>
      </c>
      <c r="BN378" s="686" t="str">
        <f ca="1">IFERROR(VLOOKUP(BM378,INDIRECT(AQ380),2,FALSE),"----")</f>
        <v>----</v>
      </c>
      <c r="BO378" s="702" t="e">
        <f t="shared" ca="1" si="6458"/>
        <v>#REF!</v>
      </c>
      <c r="BP378" s="686" t="str">
        <f ca="1">IFERROR(VLOOKUP(BO378,INDIRECT(AQ381),2,FALSE),"----")</f>
        <v>----</v>
      </c>
      <c r="BQ378" s="702" t="e">
        <f t="shared" ca="1" si="6459"/>
        <v>#REF!</v>
      </c>
      <c r="BR378" s="686" t="str">
        <f ca="1">IFERROR(VLOOKUP(BQ378,INDIRECT(AQ382),2,FALSE),"----")</f>
        <v>----</v>
      </c>
      <c r="BS378" s="695">
        <f>IF(AI378="",1,IF(COUNTIF(BJ371:BJ382,AI378)=0,2,1))</f>
        <v>1</v>
      </c>
      <c r="BT378" s="696">
        <f>IF(AF378="",1,IF(BJ371=".",2,1))</f>
        <v>1</v>
      </c>
      <c r="BU378" s="706"/>
      <c r="BV378" s="155">
        <f ca="1">IF(COUNTIF(DN371:DN382,AF378)=0,IF(AF378&lt;&gt;"",0,1),1)</f>
        <v>1</v>
      </c>
      <c r="BW378" s="157">
        <f ca="1">IFERROR(MATCH(AF378,DN371:DN382,0),1)</f>
        <v>1</v>
      </c>
      <c r="BX378" s="769">
        <f t="shared" ref="BX378" si="6667">E371*(H371+I371)/144/2</f>
        <v>0</v>
      </c>
      <c r="BY378" s="769">
        <f>SUM(IF(H371&gt;E371,E371^2/4,(H371*E371/2)-(H371^2/4))/144,IF(I371&gt;E371,E371^2/4,(I371*E371/2)-(I371^2/4))/144)</f>
        <v>0</v>
      </c>
      <c r="BZ378" s="1110"/>
      <c r="CA378" s="691" t="e">
        <f t="shared" ca="1" si="6549"/>
        <v>#REF!</v>
      </c>
      <c r="CB378" s="4" t="e" cm="1">
        <f t="array" aca="1" ref="CB378" ca="1">IF(AND(INDEX(INDIRECT(BY371),CA378,4)&gt;=$AB371,INDEX(INDIRECT(BY371),CA378,5)&gt;=$S371,INDEX(INDIRECT(BY371),CA378,6)&gt;=$R371),1,0)</f>
        <v>#REF!</v>
      </c>
      <c r="CC378" s="4" t="e">
        <f t="shared" ref="CC378" ca="1" si="6668">MATCH(1,OFFSET(CB371:CB382,CD377,0,COUNT(CB371:CB382)-CD377),0)</f>
        <v>#REF!</v>
      </c>
      <c r="CD378" s="4" t="e">
        <f t="shared" ca="1" si="6551"/>
        <v>#REF!</v>
      </c>
      <c r="CE378" s="692" t="str" cm="1">
        <f t="array" aca="1" ref="CE378" ca="1">IFERROR(VLOOKUP(INDEX(CA371:CA382,CD378),INDIRECT(BY371),2,FALSE),"----")</f>
        <v>----</v>
      </c>
      <c r="CF378" s="691" t="e">
        <f t="shared" ca="1" si="6552"/>
        <v>#N/A</v>
      </c>
      <c r="CG378" s="4" t="e">
        <f ca="1">IF(AND(INDEX(SSM,CF378,4)&gt;=$AB371,INDEX(SSM,CF378,5)&gt;=$S371,INDEX(SSM,CF378,6)&gt;=$R371),1,0)</f>
        <v>#N/A</v>
      </c>
      <c r="CH378" s="4" t="e">
        <f t="shared" ref="CH378" ca="1" si="6669">MATCH(1,OFFSET(CG371:CG382,CI377,0,COUNT(CG371:CG382)-CI377),0)</f>
        <v>#REF!</v>
      </c>
      <c r="CI378" s="4" t="e">
        <f t="shared" ca="1" si="6554"/>
        <v>#REF!</v>
      </c>
      <c r="CJ378" s="692" t="str">
        <f ca="1">IFERROR(IF(AD372="Nested Steel Stud (wood infill)",VLOOKUP(INDEX(CF371:CF382,CI378),SSW,2,FALSE),VLOOKUP(INDEX(CF371:CF382,CI378),SSM,2,FALSE)),"----")</f>
        <v>----</v>
      </c>
      <c r="CK378" s="691" t="e">
        <f t="shared" ca="1" si="6555"/>
        <v>#N/A</v>
      </c>
      <c r="CL378" s="4" t="e">
        <f ca="1">IF(AND(INDEX(WSM,CK378,4)&gt;=$AB371,INDEX(WSM,CK378,5)&gt;=$S371,INDEX(WSM,CK378,6)&gt;=$R371),1,0)</f>
        <v>#N/A</v>
      </c>
      <c r="CM378" s="4" t="e">
        <f t="shared" ref="CM378" ca="1" si="6670">MATCH(1,OFFSET(CL371:CL382,CN377,0,COUNT(CL371:CL382)-CN377),0)</f>
        <v>#REF!</v>
      </c>
      <c r="CN378" s="4" t="e">
        <f t="shared" ca="1" si="6557"/>
        <v>#REF!</v>
      </c>
      <c r="CO378" s="692" t="str">
        <f ca="1">IFERROR(VLOOKUP(INDEX(CK371:CK382,CN378),WSM,2,FALSE),"----")</f>
        <v>----</v>
      </c>
      <c r="CP378" s="691" t="e">
        <f t="shared" ca="1" si="6558"/>
        <v>#N/A</v>
      </c>
      <c r="CQ378" s="4" t="e">
        <f ca="1">IF(AND(INDEX(STM,CP378,4)&gt;=$AB371,INDEX(STM,CP378,5)&gt;=$S371,INDEX(STM,CP378,6)&gt;=$R371),1,0)</f>
        <v>#N/A</v>
      </c>
      <c r="CR378" s="4" t="e">
        <f t="shared" ref="CR378" ca="1" si="6671">MATCH(1,OFFSET(CQ371:CQ382,CS377,0,COUNT(CQ371:CQ382)-CS377),0)</f>
        <v>#REF!</v>
      </c>
      <c r="CS378" s="4" t="e">
        <f t="shared" ca="1" si="6560"/>
        <v>#REF!</v>
      </c>
      <c r="CT378" s="692" t="str">
        <f ca="1">IFERROR(VLOOKUP(INDEX(CP371:CP382,CS378),STM,2,FALSE),"----")</f>
        <v>----</v>
      </c>
      <c r="CU378" s="691" t="e">
        <f t="shared" ca="1" si="6561"/>
        <v>#N/A</v>
      </c>
      <c r="CV378" s="4" t="e">
        <f ca="1">IF(AND(INDEX(ELM,CU378,4)&gt;=$AB371,INDEX(ELM,CU378,5)&gt;=$S371,INDEX(ELM,CU378,6)&gt;=$R371),1,0)</f>
        <v>#N/A</v>
      </c>
      <c r="CW378" s="4" t="e">
        <f t="shared" ref="CW378" ca="1" si="6672">MATCH(1,OFFSET(CV371:CV382,CX377,0,COUNT(CV371:CV382)-CX377),0)</f>
        <v>#REF!</v>
      </c>
      <c r="CX378" s="4" t="e">
        <f t="shared" ca="1" si="6563"/>
        <v>#REF!</v>
      </c>
      <c r="CY378" s="692" t="str">
        <f ca="1">IFERROR(VLOOKUP(INDEX(CU371:CU382,CX378),ELM,2,FALSE),"----")</f>
        <v>----</v>
      </c>
      <c r="CZ378" s="691" t="e">
        <f t="shared" ca="1" si="6564"/>
        <v>#N/A</v>
      </c>
      <c r="DA378" s="4" t="e">
        <f ca="1">IF(LEFT($J371,7)="Clad Wo",IF(AND(INDEX(SPPWS,CZ378,4)&gt;=$AB371,INDEX(SPPWS,CZ378,5)&gt;=$S371,INDEX(SPPWS,CZ378,6)&gt;=$R371),1,0),IF(AND(INDEX(SPM,CZ378,4)&gt;=$AB371,INDEX(SPM,CZ378,5)&gt;=$S371,INDEX(SPM,CZ378,6)&gt;=$R371),1,0))</f>
        <v>#N/A</v>
      </c>
      <c r="DB378" s="4" t="e">
        <f t="shared" ref="DB378" ca="1" si="6673">MATCH(1,OFFSET(DA371:DA382,DC377,0,COUNT(DA371:DA382)-DC377),0)</f>
        <v>#REF!</v>
      </c>
      <c r="DC378" s="4" t="e">
        <f t="shared" ca="1" si="6566"/>
        <v>#REF!</v>
      </c>
      <c r="DD378" s="693" t="str">
        <f ca="1">IF(LEFT($J371,7)="Clad Wo",IFERROR(VLOOKUP(INDEX(CZ371:CZ382,DC378),SPPWS,2,FALSE),"----"),IFERROR(VLOOKUP(INDEX(CZ371:CZ382,DC378),SPM,2,FALSE),"----"))</f>
        <v>----</v>
      </c>
      <c r="DE378" s="691" t="e">
        <f t="shared" ca="1" si="6567"/>
        <v>#REF!</v>
      </c>
      <c r="DF378" s="4" t="e" cm="1">
        <f t="array" aca="1" ref="DF378" ca="1">IF(AND(INDEX(INDIRECT(BY371),DE378,4)&gt;=$AB377,INDEX(INDIRECT(BY371),DE378,5)&gt;=$S371,INDEX(INDIRECT(BY371),DE378,6)&gt;=$R371),1,0)</f>
        <v>#REF!</v>
      </c>
      <c r="DG378" s="4" t="e">
        <f t="shared" ref="DG378" ca="1" si="6674">MATCH(1,OFFSET(DF371:DF382,DH377,0,COUNT(DF371:DF382)-DH377),0)</f>
        <v>#REF!</v>
      </c>
      <c r="DH378" s="4" t="e">
        <f t="shared" ca="1" si="6569"/>
        <v>#REF!</v>
      </c>
      <c r="DI378" s="692" t="str" cm="1">
        <f t="array" aca="1" ref="DI378" ca="1">IFERROR(VLOOKUP(INDEX(DE371:DE382,DH378),INDIRECT(BY371),2,FALSE),"----")</f>
        <v>----</v>
      </c>
      <c r="DJ378" s="691" t="e">
        <f t="shared" ca="1" si="6570"/>
        <v>#N/A</v>
      </c>
      <c r="DK378" s="4" t="e">
        <f ca="1">IF(AND(INDEX(SSM,DJ378,4)&gt;=$AB377,INDEX(SSM,DJ378,5)&gt;=$S371,INDEX(SSM,DJ378,6)&gt;=$R371),1,0)</f>
        <v>#N/A</v>
      </c>
      <c r="DL378" s="4" t="e">
        <f t="shared" ref="DL378" ca="1" si="6675">MATCH(1,OFFSET(DK371:DK382,DM377,0,COUNT(DK371:DK382)-DM377),0)</f>
        <v>#REF!</v>
      </c>
      <c r="DM378" s="4" t="e">
        <f t="shared" ca="1" si="6572"/>
        <v>#REF!</v>
      </c>
      <c r="DN378" s="692" t="str">
        <f ca="1">IFERROR(IF(AD378="Nested Steel Stud (wood infill)",VLOOKUP(INDEX(DJ371:DJ382,DM378),SSW,2,FALSE),VLOOKUP(INDEX(DJ371:DJ382,DM378),SSM,2,FALSE)),"----")</f>
        <v>----</v>
      </c>
      <c r="DO378" s="691" t="e">
        <f t="shared" ca="1" si="6573"/>
        <v>#N/A</v>
      </c>
      <c r="DP378" s="4" t="e">
        <f ca="1">IF(AND(INDEX(WSM,DO378,4)&gt;=$AB377,INDEX(WSM,DO378,5)&gt;=$S371,INDEX(WSM,DO378,6)&gt;=$R371),1,0)</f>
        <v>#N/A</v>
      </c>
      <c r="DQ378" s="4" t="e">
        <f t="shared" ref="DQ378" ca="1" si="6676">MATCH(1,OFFSET(DP371:DP382,DR377,0,COUNT(DP371:DP382)-DR377),0)</f>
        <v>#REF!</v>
      </c>
      <c r="DR378" s="4" t="e">
        <f t="shared" ca="1" si="6575"/>
        <v>#REF!</v>
      </c>
      <c r="DS378" s="692" t="str">
        <f ca="1">IFERROR(VLOOKUP(INDEX(DO371:DO382,DR378),WSM,2,FALSE),"----")</f>
        <v>----</v>
      </c>
      <c r="DT378" s="691" t="e">
        <f t="shared" ca="1" si="6576"/>
        <v>#N/A</v>
      </c>
      <c r="DU378" s="4" t="e">
        <f ca="1">IF(AND(INDEX(STM,DT378,4)&gt;=$AB377,INDEX(STM,DT378,5)&gt;=$S371,INDEX(STM,DT378,6)&gt;=$R371),1,0)</f>
        <v>#N/A</v>
      </c>
      <c r="DV378" s="4" t="e">
        <f t="shared" ref="DV378" ca="1" si="6677">MATCH(1,OFFSET(DU371:DU382,DW377,0,COUNT(DU371:DU382)-DW377),0)</f>
        <v>#REF!</v>
      </c>
      <c r="DW378" s="4" t="e">
        <f t="shared" ca="1" si="6578"/>
        <v>#REF!</v>
      </c>
      <c r="DX378" s="692" t="str">
        <f ca="1">IFERROR(VLOOKUP(INDEX(DT371:DT382,DW378),STM,2,FALSE),"----")</f>
        <v>----</v>
      </c>
      <c r="DY378" s="691" t="e">
        <f t="shared" ca="1" si="6579"/>
        <v>#N/A</v>
      </c>
      <c r="DZ378" s="4" t="e">
        <f ca="1">IF(AND(INDEX(ELM,DY378,4)&gt;=$AB377,INDEX(ELM,DY378,5)&gt;=$S371,INDEX(ELM,DY378,6)&gt;=$R371),1,0)</f>
        <v>#N/A</v>
      </c>
      <c r="EA378" s="4" t="e">
        <f t="shared" ref="EA378" ca="1" si="6678">MATCH(1,OFFSET(DZ371:DZ382,EB377,0,COUNT(DZ371:DZ382)-EB377),0)</f>
        <v>#REF!</v>
      </c>
      <c r="EB378" s="4" t="e">
        <f t="shared" ca="1" si="6581"/>
        <v>#REF!</v>
      </c>
      <c r="EC378" s="692" t="str">
        <f ca="1">IFERROR(VLOOKUP(INDEX(DY371:DY382,EB378),ELM,2,FALSE),"----")</f>
        <v>----</v>
      </c>
      <c r="ED378" s="691" t="e">
        <f t="shared" ca="1" si="6582"/>
        <v>#N/A</v>
      </c>
      <c r="EE378" s="4" t="e">
        <f ca="1">IF(LEFT($J371,7)="Clad Wo",IF(AND(INDEX(SPPWS,ED378,4)&gt;=$AB377,INDEX(SPPWS,ED378,5)&gt;=$S371,INDEX(SPPWS,ED378,6)&gt;=$R371),1,0),IF(AND(INDEX(SPM,ED378,4)&gt;=$AB377,INDEX(SPM,ED378,5)&gt;=$S371,INDEX(SPM,ED378,6)&gt;=$R371),1,0))</f>
        <v>#N/A</v>
      </c>
      <c r="EF378" s="4" t="e">
        <f t="shared" ref="EF378" ca="1" si="6679">MATCH(1,OFFSET(EE371:EE382,EG377,0,COUNT(EE371:EE382)-EG377),0)</f>
        <v>#REF!</v>
      </c>
      <c r="EG378" s="4" t="e">
        <f t="shared" ca="1" si="6584"/>
        <v>#REF!</v>
      </c>
      <c r="EH378" s="692" t="str">
        <f ca="1">IF(LEFT($J371,7)="Clad Wo",IFERROR(VLOOKUP(INDEX(ED371:ED382,EG378),SPPWS,2,FALSE),"----"),IFERROR(VLOOKUP(INDEX(ED371:ED382,EG378),SPM,2,FALSE),"----"))</f>
        <v>----</v>
      </c>
    </row>
    <row r="379" spans="1:138" ht="15" customHeight="1" x14ac:dyDescent="0.25">
      <c r="A379" s="1085"/>
      <c r="B379" s="925"/>
      <c r="C379" s="926"/>
      <c r="D379" s="927"/>
      <c r="E379" s="995"/>
      <c r="F379" s="996"/>
      <c r="G379" s="997"/>
      <c r="H379" s="1062"/>
      <c r="I379" s="990"/>
      <c r="J379" s="902"/>
      <c r="K379" s="903"/>
      <c r="L379" s="1002"/>
      <c r="M379" s="923"/>
      <c r="N379" s="1042"/>
      <c r="O379" s="1018"/>
      <c r="P379" s="987"/>
      <c r="Q379" s="1015"/>
      <c r="R379" s="1012"/>
      <c r="S379" s="1006"/>
      <c r="T379" s="1007"/>
      <c r="U379" s="878"/>
      <c r="V379" s="881"/>
      <c r="W379" s="884"/>
      <c r="X379" s="884"/>
      <c r="Y379" s="887"/>
      <c r="Z379" s="887"/>
      <c r="AA379" s="887"/>
      <c r="AB379" s="1081"/>
      <c r="AC379" s="1078"/>
      <c r="AD379" s="1070" t="str">
        <f t="shared" si="5955"/>
        <v>Wood Stud Framing</v>
      </c>
      <c r="AE379" s="1071"/>
      <c r="AF379" s="1052"/>
      <c r="AG379" s="1053"/>
      <c r="AH379" s="1053"/>
      <c r="AI379" s="1066"/>
      <c r="AJ379" s="1067"/>
      <c r="AK379" s="156" t="str">
        <f t="shared" ca="1" si="6208"/>
        <v/>
      </c>
      <c r="AL379" s="1059"/>
      <c r="AM379" s="344" t="str">
        <f ca="1">IFERROR(Q371/12*ROUND(VLOOKUP(AF379,OFFSET(WSM,0,1),6,FALSE),2),"")</f>
        <v/>
      </c>
      <c r="AN379" t="str">
        <f t="shared" ca="1" si="6226"/>
        <v/>
      </c>
      <c r="AP379" s="122" t="str">
        <f t="shared" ref="AP379" si="6680">_xlfn.CONCAT(AR379,AS382)</f>
        <v/>
      </c>
      <c r="AQ379" s="683" t="str">
        <f t="shared" si="6434"/>
        <v/>
      </c>
      <c r="AR379" s="4" t="str">
        <f t="shared" si="6193"/>
        <v/>
      </c>
      <c r="AS379" s="4"/>
      <c r="AT379" s="697" t="str">
        <f>AL377</f>
        <v/>
      </c>
      <c r="AU379" s="694" t="e">
        <f t="shared" ca="1" si="6450"/>
        <v>#REF!</v>
      </c>
      <c r="AV379" s="686" t="str">
        <f ca="1">IFERROR(VLOOKUP(AU379,INDIRECT(AQ371),2,FALSE),"----")</f>
        <v>----</v>
      </c>
      <c r="AW379" s="694" t="e">
        <f t="shared" ca="1" si="6451"/>
        <v>#REF!</v>
      </c>
      <c r="AX379" s="686" t="str">
        <f ca="1">IFERROR(VLOOKUP(AW379,INDIRECT(AQ372),2,FALSE),"----")</f>
        <v>----</v>
      </c>
      <c r="AY379" s="694" t="e">
        <f t="shared" ca="1" si="6383"/>
        <v>#REF!</v>
      </c>
      <c r="AZ379" s="686" t="str">
        <f ca="1">IFERROR(VLOOKUP(AY379,INDIRECT(AQ373),2,FALSE),"----")</f>
        <v>----</v>
      </c>
      <c r="BA379" s="694" t="e">
        <f t="shared" ca="1" si="6384"/>
        <v>#REF!</v>
      </c>
      <c r="BB379" s="686" t="str">
        <f ca="1">IFERROR(VLOOKUP(BA379,INDIRECT(AQ374),2,FALSE),"----")</f>
        <v>----</v>
      </c>
      <c r="BC379" s="694" t="e">
        <f t="shared" ca="1" si="6452"/>
        <v>#REF!</v>
      </c>
      <c r="BD379" s="686" t="str">
        <f ca="1">IFERROR(VLOOKUP(BC379,INDIRECT(AQ375),2,FALSE),"----")</f>
        <v>----</v>
      </c>
      <c r="BE379" s="694" t="e">
        <f t="shared" ca="1" si="6453"/>
        <v>#REF!</v>
      </c>
      <c r="BF379" s="686" t="str">
        <f ca="1">IFERROR(VLOOKUP(BE379,INDIRECT(AQ376),2,FALSE),"----")</f>
        <v>----</v>
      </c>
      <c r="BG379" s="702" t="e">
        <f t="shared" ca="1" si="6454"/>
        <v>#REF!</v>
      </c>
      <c r="BH379" s="686" t="str">
        <f ca="1">IFERROR(VLOOKUP(BG379,INDIRECT(AQ377),2,FALSE),"----")</f>
        <v>----</v>
      </c>
      <c r="BI379" s="702" t="e">
        <f t="shared" ca="1" si="6455"/>
        <v>#REF!</v>
      </c>
      <c r="BJ379" s="686" t="str">
        <f ca="1">IFERROR(VLOOKUP(BI379,INDIRECT(AQ378),2,FALSE),"----")</f>
        <v>----</v>
      </c>
      <c r="BK379" s="702" t="e">
        <f t="shared" ca="1" si="6456"/>
        <v>#REF!</v>
      </c>
      <c r="BL379" s="686" t="str">
        <f ca="1">IFERROR(VLOOKUP(BK379,INDIRECT(AQ379),2,FALSE),"----")</f>
        <v>----</v>
      </c>
      <c r="BM379" s="702" t="e">
        <f t="shared" ca="1" si="6457"/>
        <v>#REF!</v>
      </c>
      <c r="BN379" s="686" t="str">
        <f ca="1">IFERROR(VLOOKUP(BM379,INDIRECT(AQ380),2,FALSE),"----")</f>
        <v>----</v>
      </c>
      <c r="BO379" s="702" t="e">
        <f t="shared" ca="1" si="6458"/>
        <v>#REF!</v>
      </c>
      <c r="BP379" s="686" t="str">
        <f ca="1">IFERROR(VLOOKUP(BO379,INDIRECT(AQ381),2,FALSE),"----")</f>
        <v>----</v>
      </c>
      <c r="BQ379" s="702" t="e">
        <f t="shared" ca="1" si="6459"/>
        <v>#REF!</v>
      </c>
      <c r="BR379" s="686" t="str">
        <f ca="1">IFERROR(VLOOKUP(BQ379,INDIRECT(AQ382),2,FALSE),"----")</f>
        <v>----</v>
      </c>
      <c r="BS379" s="695">
        <f>IF(AI379="",1,IF(COUNTIF(BL371:BL382,AI379)=0,2,1))</f>
        <v>1</v>
      </c>
      <c r="BT379" s="696">
        <f>IF(AF379="",1,IF(BL371=".",2,1))</f>
        <v>1</v>
      </c>
      <c r="BU379" s="706"/>
      <c r="BV379" s="155">
        <f ca="1">IF(COUNTIF(DS371:DS382,AF379)=0,IF(AF379&lt;&gt;"",0,1),1)</f>
        <v>1</v>
      </c>
      <c r="BW379" s="157">
        <f ca="1">IFERROR(MATCH(AF379,DS371:DS382,0),1)</f>
        <v>1</v>
      </c>
      <c r="BX379" s="769" t="e">
        <f t="shared" ref="BX379" si="6681">5*E371^3*W371/(384*X371)</f>
        <v>#VALUE!</v>
      </c>
      <c r="BY379" s="769" t="e">
        <f t="shared" ref="BY379" si="6682">W371*E371^3/(60*X371)</f>
        <v>#VALUE!</v>
      </c>
      <c r="BZ379" s="1110"/>
      <c r="CA379" s="691" t="e">
        <f t="shared" ca="1" si="6549"/>
        <v>#REF!</v>
      </c>
      <c r="CB379" s="4" t="e" cm="1">
        <f t="array" aca="1" ref="CB379" ca="1">IF(AND(INDEX(INDIRECT(BY371),CA379,4)&gt;=$AB371,INDEX(INDIRECT(BY371),CA379,5)&gt;=$S371,INDEX(INDIRECT(BY371),CA379,6)&gt;=$R371),1,0)</f>
        <v>#REF!</v>
      </c>
      <c r="CC379" s="4" t="e">
        <f t="shared" ref="CC379" ca="1" si="6683">MATCH(1,OFFSET(CB371:CB382,CD378,0,COUNT(CB371:CB382)-CD378),0)</f>
        <v>#REF!</v>
      </c>
      <c r="CD379" s="4" t="e">
        <f t="shared" ca="1" si="6551"/>
        <v>#REF!</v>
      </c>
      <c r="CE379" s="692" t="str" cm="1">
        <f t="array" aca="1" ref="CE379" ca="1">IFERROR(VLOOKUP(INDEX(CA371:CA382,CD379),INDIRECT(BY371),2,FALSE),"----")</f>
        <v>----</v>
      </c>
      <c r="CF379" s="691" t="e">
        <f t="shared" ca="1" si="6552"/>
        <v>#N/A</v>
      </c>
      <c r="CG379" s="4" t="e">
        <f ca="1">IF(AND(INDEX(SSM,CF379,4)&gt;=$AB371,INDEX(SSM,CF379,5)&gt;=$S371,INDEX(SSM,CF379,6)&gt;=$R371),1,0)</f>
        <v>#N/A</v>
      </c>
      <c r="CH379" s="4" t="e">
        <f t="shared" ref="CH379" ca="1" si="6684">MATCH(1,OFFSET(CG371:CG382,CI378,0,COUNT(CG371:CG382)-CI378),0)</f>
        <v>#REF!</v>
      </c>
      <c r="CI379" s="4" t="e">
        <f t="shared" ca="1" si="6554"/>
        <v>#REF!</v>
      </c>
      <c r="CJ379" s="692" t="str">
        <f ca="1">IFERROR(IF(AD372="Nested Steel Stud (wood infill)",VLOOKUP(INDEX(CF371:CF382,CI379),SSW,2,FALSE),VLOOKUP(INDEX(CF371:CF382,CI379),SSM,2,FALSE)),"----")</f>
        <v>----</v>
      </c>
      <c r="CK379" s="691" t="e">
        <f t="shared" ca="1" si="6555"/>
        <v>#N/A</v>
      </c>
      <c r="CL379" s="4" t="e">
        <f ca="1">IF(AND(INDEX(WSM,CK379,4)&gt;=$AB371,INDEX(WSM,CK379,5)&gt;=$S371,INDEX(WSM,CK379,6)&gt;=$R371),1,0)</f>
        <v>#N/A</v>
      </c>
      <c r="CM379" s="4" t="e">
        <f t="shared" ref="CM379" ca="1" si="6685">MATCH(1,OFFSET(CL371:CL382,CN378,0,COUNT(CL371:CL382)-CN378),0)</f>
        <v>#REF!</v>
      </c>
      <c r="CN379" s="4" t="e">
        <f t="shared" ca="1" si="6557"/>
        <v>#REF!</v>
      </c>
      <c r="CO379" s="692" t="str">
        <f ca="1">IFERROR(VLOOKUP(INDEX(CK371:CK382,CN379),WSM,2,FALSE),"----")</f>
        <v>----</v>
      </c>
      <c r="CP379" s="691" t="e">
        <f t="shared" ca="1" si="6558"/>
        <v>#N/A</v>
      </c>
      <c r="CQ379" s="4" t="e">
        <f ca="1">IF(AND(INDEX(STM,CP379,4)&gt;=$AB371,INDEX(STM,CP379,5)&gt;=$S371,INDEX(STM,CP379,6)&gt;=$R371),1,0)</f>
        <v>#N/A</v>
      </c>
      <c r="CR379" s="4" t="e">
        <f t="shared" ref="CR379" ca="1" si="6686">MATCH(1,OFFSET(CQ371:CQ382,CS378,0,COUNT(CQ371:CQ382)-CS378),0)</f>
        <v>#REF!</v>
      </c>
      <c r="CS379" s="4" t="e">
        <f t="shared" ca="1" si="6560"/>
        <v>#REF!</v>
      </c>
      <c r="CT379" s="692" t="str">
        <f ca="1">IFERROR(VLOOKUP(INDEX(CP371:CP382,CS379),STM,2,FALSE),"----")</f>
        <v>----</v>
      </c>
      <c r="CU379" s="691" t="e">
        <f t="shared" ca="1" si="6561"/>
        <v>#N/A</v>
      </c>
      <c r="CV379" s="4" t="e">
        <f ca="1">IF(AND(INDEX(ELM,CU379,4)&gt;=$AB371,INDEX(ELM,CU379,5)&gt;=$S371,INDEX(ELM,CU379,6)&gt;=$R371),1,0)</f>
        <v>#N/A</v>
      </c>
      <c r="CW379" s="4" t="e">
        <f t="shared" ref="CW379" ca="1" si="6687">MATCH(1,OFFSET(CV371:CV382,CX378,0,COUNT(CV371:CV382)-CX378),0)</f>
        <v>#REF!</v>
      </c>
      <c r="CX379" s="4" t="e">
        <f t="shared" ca="1" si="6563"/>
        <v>#REF!</v>
      </c>
      <c r="CY379" s="692" t="str">
        <f ca="1">IFERROR(VLOOKUP(INDEX(CU371:CU382,CX379),ELM,2,FALSE),"----")</f>
        <v>----</v>
      </c>
      <c r="CZ379" s="691" t="e">
        <f t="shared" ca="1" si="6564"/>
        <v>#N/A</v>
      </c>
      <c r="DA379" s="4" t="e">
        <f ca="1">IF(LEFT($J371,7)="Clad Wo",IF(AND(INDEX(SPPWS,CZ379,4)&gt;=$AB371,INDEX(SPPWS,CZ379,5)&gt;=$S371,INDEX(SPPWS,CZ379,6)&gt;=$R371),1,0),IF(AND(INDEX(SPM,CZ379,4)&gt;=$AB371,INDEX(SPM,CZ379,5)&gt;=$S371,INDEX(SPM,CZ379,6)&gt;=$R371),1,0))</f>
        <v>#N/A</v>
      </c>
      <c r="DB379" s="4" t="e">
        <f t="shared" ref="DB379" ca="1" si="6688">MATCH(1,OFFSET(DA371:DA382,DC378,0,COUNT(DA371:DA382)-DC378),0)</f>
        <v>#REF!</v>
      </c>
      <c r="DC379" s="4" t="e">
        <f t="shared" ca="1" si="6566"/>
        <v>#REF!</v>
      </c>
      <c r="DD379" s="693" t="str">
        <f ca="1">IF(LEFT($J371,7)="Clad Wo",IFERROR(VLOOKUP(INDEX(CZ371:CZ382,DC379),SPPWS,2,FALSE),"----"),IFERROR(VLOOKUP(INDEX(CZ371:CZ382,DC379),SPM,2,FALSE),"----"))</f>
        <v>----</v>
      </c>
      <c r="DE379" s="691" t="e">
        <f t="shared" ca="1" si="6567"/>
        <v>#REF!</v>
      </c>
      <c r="DF379" s="4" t="e" cm="1">
        <f t="array" aca="1" ref="DF379" ca="1">IF(AND(INDEX(INDIRECT(BY371),DE379,4)&gt;=$AB377,INDEX(INDIRECT(BY371),DE379,5)&gt;=$S371,INDEX(INDIRECT(BY371),DE379,6)&gt;=$R371),1,0)</f>
        <v>#REF!</v>
      </c>
      <c r="DG379" s="4" t="e">
        <f t="shared" ref="DG379" ca="1" si="6689">MATCH(1,OFFSET(DF371:DF382,DH378,0,COUNT(DF371:DF382)-DH378),0)</f>
        <v>#REF!</v>
      </c>
      <c r="DH379" s="4" t="e">
        <f t="shared" ca="1" si="6569"/>
        <v>#REF!</v>
      </c>
      <c r="DI379" s="692" t="str" cm="1">
        <f t="array" aca="1" ref="DI379" ca="1">IFERROR(VLOOKUP(INDEX(DE371:DE382,DH379),INDIRECT(BY371),2,FALSE),"----")</f>
        <v>----</v>
      </c>
      <c r="DJ379" s="691" t="e">
        <f t="shared" ca="1" si="6570"/>
        <v>#N/A</v>
      </c>
      <c r="DK379" s="4" t="e">
        <f ca="1">IF(AND(INDEX(SSM,DJ379,4)&gt;=$AB377,INDEX(SSM,DJ379,5)&gt;=$S371,INDEX(SSM,DJ379,6)&gt;=$R371),1,0)</f>
        <v>#N/A</v>
      </c>
      <c r="DL379" s="4" t="e">
        <f t="shared" ref="DL379" ca="1" si="6690">MATCH(1,OFFSET(DK371:DK382,DM378,0,COUNT(DK371:DK382)-DM378),0)</f>
        <v>#REF!</v>
      </c>
      <c r="DM379" s="4" t="e">
        <f t="shared" ca="1" si="6572"/>
        <v>#REF!</v>
      </c>
      <c r="DN379" s="692" t="str">
        <f ca="1">IFERROR(IF(AD378="Nested Steel Stud (wood infill)",VLOOKUP(INDEX(DJ371:DJ382,DM379),SSW,2,FALSE),VLOOKUP(INDEX(DJ371:DJ382,DM379),SSM,2,FALSE)),"----")</f>
        <v>----</v>
      </c>
      <c r="DO379" s="691" t="e">
        <f t="shared" ca="1" si="6573"/>
        <v>#N/A</v>
      </c>
      <c r="DP379" s="4" t="e">
        <f ca="1">IF(AND(INDEX(WSM,DO379,4)&gt;=$AB377,INDEX(WSM,DO379,5)&gt;=$S371,INDEX(WSM,DO379,6)&gt;=$R371),1,0)</f>
        <v>#N/A</v>
      </c>
      <c r="DQ379" s="4" t="e">
        <f t="shared" ref="DQ379" ca="1" si="6691">MATCH(1,OFFSET(DP371:DP382,DR378,0,COUNT(DP371:DP382)-DR378),0)</f>
        <v>#REF!</v>
      </c>
      <c r="DR379" s="4" t="e">
        <f t="shared" ca="1" si="6575"/>
        <v>#REF!</v>
      </c>
      <c r="DS379" s="692" t="str">
        <f ca="1">IFERROR(VLOOKUP(INDEX(DO371:DO382,DR379),WSM,2,FALSE),"----")</f>
        <v>----</v>
      </c>
      <c r="DT379" s="691" t="e">
        <f t="shared" ca="1" si="6576"/>
        <v>#N/A</v>
      </c>
      <c r="DU379" s="4" t="e">
        <f ca="1">IF(AND(INDEX(STM,DT379,4)&gt;=$AB377,INDEX(STM,DT379,5)&gt;=$S371,INDEX(STM,DT379,6)&gt;=$R371),1,0)</f>
        <v>#N/A</v>
      </c>
      <c r="DV379" s="4" t="e">
        <f t="shared" ref="DV379" ca="1" si="6692">MATCH(1,OFFSET(DU371:DU382,DW378,0,COUNT(DU371:DU382)-DW378),0)</f>
        <v>#REF!</v>
      </c>
      <c r="DW379" s="4" t="e">
        <f t="shared" ca="1" si="6578"/>
        <v>#REF!</v>
      </c>
      <c r="DX379" s="692" t="str">
        <f ca="1">IFERROR(VLOOKUP(INDEX(DT371:DT382,DW379),STM,2,FALSE),"----")</f>
        <v>----</v>
      </c>
      <c r="DY379" s="691" t="e">
        <f t="shared" ca="1" si="6579"/>
        <v>#N/A</v>
      </c>
      <c r="DZ379" s="4" t="e">
        <f ca="1">IF(AND(INDEX(ELM,DY379,4)&gt;=$AB377,INDEX(ELM,DY379,5)&gt;=$S371,INDEX(ELM,DY379,6)&gt;=$R371),1,0)</f>
        <v>#N/A</v>
      </c>
      <c r="EA379" s="4" t="e">
        <f t="shared" ref="EA379" ca="1" si="6693">MATCH(1,OFFSET(DZ371:DZ382,EB378,0,COUNT(DZ371:DZ382)-EB378),0)</f>
        <v>#REF!</v>
      </c>
      <c r="EB379" s="4" t="e">
        <f t="shared" ca="1" si="6581"/>
        <v>#REF!</v>
      </c>
      <c r="EC379" s="692" t="str">
        <f ca="1">IFERROR(VLOOKUP(INDEX(DY371:DY382,EB379),ELM,2,FALSE),"----")</f>
        <v>----</v>
      </c>
      <c r="ED379" s="691" t="e">
        <f t="shared" ca="1" si="6582"/>
        <v>#N/A</v>
      </c>
      <c r="EE379" s="4" t="e">
        <f ca="1">IF(LEFT($J371,7)="Clad Wo",IF(AND(INDEX(SPPWS,ED379,4)&gt;=$AB377,INDEX(SPPWS,ED379,5)&gt;=$S371,INDEX(SPPWS,ED379,6)&gt;=$R371),1,0),IF(AND(INDEX(SPM,ED379,4)&gt;=$AB377,INDEX(SPM,ED379,5)&gt;=$S371,INDEX(SPM,ED379,6)&gt;=$R371),1,0))</f>
        <v>#N/A</v>
      </c>
      <c r="EF379" s="4" t="e">
        <f t="shared" ref="EF379" ca="1" si="6694">MATCH(1,OFFSET(EE371:EE382,EG378,0,COUNT(EE371:EE382)-EG378),0)</f>
        <v>#REF!</v>
      </c>
      <c r="EG379" s="4" t="e">
        <f t="shared" ca="1" si="6584"/>
        <v>#REF!</v>
      </c>
      <c r="EH379" s="692" t="str">
        <f ca="1">IF(LEFT($J371,7)="Clad Wo",IFERROR(VLOOKUP(INDEX(ED371:ED382,EG379),SPPWS,2,FALSE),"----"),IFERROR(VLOOKUP(INDEX(ED371:ED382,EG379),SPM,2,FALSE),"----"))</f>
        <v>----</v>
      </c>
    </row>
    <row r="380" spans="1:138" ht="15" customHeight="1" x14ac:dyDescent="0.25">
      <c r="A380" s="1085"/>
      <c r="B380" s="925"/>
      <c r="C380" s="926"/>
      <c r="D380" s="927"/>
      <c r="E380" s="995"/>
      <c r="F380" s="996"/>
      <c r="G380" s="997"/>
      <c r="H380" s="1062"/>
      <c r="I380" s="990"/>
      <c r="J380" s="902"/>
      <c r="K380" s="903"/>
      <c r="L380" s="1002"/>
      <c r="M380" s="923"/>
      <c r="N380" s="1042"/>
      <c r="O380" s="1018"/>
      <c r="P380" s="987"/>
      <c r="Q380" s="1015"/>
      <c r="R380" s="1012"/>
      <c r="S380" s="1006"/>
      <c r="T380" s="1007"/>
      <c r="U380" s="878"/>
      <c r="V380" s="881"/>
      <c r="W380" s="884"/>
      <c r="X380" s="884"/>
      <c r="Y380" s="887"/>
      <c r="Z380" s="887"/>
      <c r="AA380" s="887"/>
      <c r="AB380" s="1081"/>
      <c r="AC380" s="1078"/>
      <c r="AD380" s="1070" t="str">
        <f t="shared" si="5955"/>
        <v>Steel Tube</v>
      </c>
      <c r="AE380" s="1071"/>
      <c r="AF380" s="1052"/>
      <c r="AG380" s="1053"/>
      <c r="AH380" s="1053"/>
      <c r="AI380" s="1066"/>
      <c r="AJ380" s="1067"/>
      <c r="AK380" s="156" t="str">
        <f t="shared" ca="1" si="6208"/>
        <v/>
      </c>
      <c r="AL380" s="1059"/>
      <c r="AM380" s="343" t="str">
        <f ca="1">IFERROR(Q371/12*ROUND(VLOOKUP(AF380,OFFSET(STM,0,1),6,FALSE),2),"")</f>
        <v/>
      </c>
      <c r="AN380" t="str">
        <f t="shared" ca="1" si="6226"/>
        <v/>
      </c>
      <c r="AP380" s="122" t="str">
        <f t="shared" ref="AP380" si="6695">_xlfn.CONCAT(AR380,AS382)</f>
        <v/>
      </c>
      <c r="AQ380" s="683" t="str">
        <f t="shared" si="6434"/>
        <v/>
      </c>
      <c r="AR380" s="4" t="str">
        <f t="shared" si="6193"/>
        <v/>
      </c>
      <c r="AS380" s="4"/>
      <c r="AT380" s="697" t="str">
        <f>AL377</f>
        <v/>
      </c>
      <c r="AU380" s="694" t="e">
        <f t="shared" ca="1" si="6450"/>
        <v>#REF!</v>
      </c>
      <c r="AV380" s="686" t="str">
        <f ca="1">IFERROR(VLOOKUP(AU380,INDIRECT(AQ371),2,FALSE),"----")</f>
        <v>----</v>
      </c>
      <c r="AW380" s="694" t="e">
        <f t="shared" ca="1" si="6451"/>
        <v>#REF!</v>
      </c>
      <c r="AX380" s="686" t="str">
        <f ca="1">IFERROR(VLOOKUP(AW380,INDIRECT(AQ372),2,FALSE),"----")</f>
        <v>----</v>
      </c>
      <c r="AY380" s="694" t="e">
        <f t="shared" ca="1" si="6210"/>
        <v>#REF!</v>
      </c>
      <c r="AZ380" s="686" t="str">
        <f ca="1">IFERROR(VLOOKUP(AY380,INDIRECT(AQ373),2,FALSE),"----")</f>
        <v>----</v>
      </c>
      <c r="BA380" s="694" t="e">
        <f t="shared" ca="1" si="6211"/>
        <v>#REF!</v>
      </c>
      <c r="BB380" s="686" t="str">
        <f ca="1">IFERROR(VLOOKUP(BA380,INDIRECT(AQ374),2,FALSE),"----")</f>
        <v>----</v>
      </c>
      <c r="BC380" s="694" t="e">
        <f t="shared" ca="1" si="6452"/>
        <v>#REF!</v>
      </c>
      <c r="BD380" s="686" t="str">
        <f ca="1">IFERROR(VLOOKUP(BC380,INDIRECT(AQ375),2,FALSE),"----")</f>
        <v>----</v>
      </c>
      <c r="BE380" s="694" t="e">
        <f t="shared" ca="1" si="6453"/>
        <v>#REF!</v>
      </c>
      <c r="BF380" s="686" t="str">
        <f ca="1">IFERROR(VLOOKUP(BE380,INDIRECT(AQ376),2,FALSE),"----")</f>
        <v>----</v>
      </c>
      <c r="BG380" s="702" t="e">
        <f t="shared" ca="1" si="6454"/>
        <v>#REF!</v>
      </c>
      <c r="BH380" s="686" t="str">
        <f ca="1">IFERROR(VLOOKUP(BG380,INDIRECT(AQ377),2,FALSE),"----")</f>
        <v>----</v>
      </c>
      <c r="BI380" s="702" t="e">
        <f t="shared" ca="1" si="6455"/>
        <v>#REF!</v>
      </c>
      <c r="BJ380" s="686" t="str">
        <f ca="1">IFERROR(VLOOKUP(BI380,INDIRECT(AQ378),2,FALSE),"----")</f>
        <v>----</v>
      </c>
      <c r="BK380" s="702" t="e">
        <f t="shared" ca="1" si="6456"/>
        <v>#REF!</v>
      </c>
      <c r="BL380" s="686" t="str">
        <f ca="1">IFERROR(VLOOKUP(BK380,INDIRECT(AQ379),2,FALSE),"----")</f>
        <v>----</v>
      </c>
      <c r="BM380" s="702" t="e">
        <f t="shared" ca="1" si="6457"/>
        <v>#REF!</v>
      </c>
      <c r="BN380" s="686" t="str">
        <f ca="1">IFERROR(VLOOKUP(BM380,INDIRECT(AQ380),2,FALSE),"----")</f>
        <v>----</v>
      </c>
      <c r="BO380" s="702" t="e">
        <f t="shared" ca="1" si="6458"/>
        <v>#REF!</v>
      </c>
      <c r="BP380" s="686" t="str">
        <f ca="1">IFERROR(VLOOKUP(BO380,INDIRECT(AQ381),2,FALSE),"----")</f>
        <v>----</v>
      </c>
      <c r="BQ380" s="702" t="e">
        <f t="shared" ca="1" si="6459"/>
        <v>#REF!</v>
      </c>
      <c r="BR380" s="686" t="str">
        <f ca="1">IFERROR(VLOOKUP(BQ380,INDIRECT(AQ382),2,FALSE),"----")</f>
        <v>----</v>
      </c>
      <c r="BS380" s="695">
        <f>IF(AI380="",1,IF(COUNTIF(BN371:BN382,AI380)=0,2,1))</f>
        <v>1</v>
      </c>
      <c r="BT380" s="696">
        <f>IF(AF380="",1,IF(BN371=".",2,1))</f>
        <v>1</v>
      </c>
      <c r="BU380" s="706"/>
      <c r="BV380" s="155">
        <f ca="1">IF(COUNTIF(DX371:DX382,AF380)=0,IF(AF380&lt;&gt;"",0,1),1)</f>
        <v>1</v>
      </c>
      <c r="BW380" s="157">
        <f ca="1">IFERROR(MATCH(AF380,DX371:DX382,0),1)</f>
        <v>1</v>
      </c>
      <c r="BX380" s="769" t="e">
        <f t="shared" ref="BX380" si="6696">5*E371^3*W377/(384*X371)</f>
        <v>#VALUE!</v>
      </c>
      <c r="BY380" s="769" t="e">
        <f t="shared" ref="BY380" si="6697">E371^3*W377/(60*X371)</f>
        <v>#VALUE!</v>
      </c>
      <c r="BZ380" s="1110"/>
      <c r="CA380" s="691" t="e">
        <f t="shared" ca="1" si="6549"/>
        <v>#REF!</v>
      </c>
      <c r="CB380" s="4" t="e" cm="1">
        <f t="array" aca="1" ref="CB380" ca="1">IF(AND(INDEX(INDIRECT(BY371),CA380,4)&gt;=$AB371,INDEX(INDIRECT(BY371),CA380,5)&gt;=$S371,INDEX(INDIRECT(BY371),CA380,6)&gt;=$R371),1,0)</f>
        <v>#REF!</v>
      </c>
      <c r="CC380" s="4" t="e">
        <f t="shared" ref="CC380" ca="1" si="6698">MATCH(1,OFFSET(CB371:CB382,CD379,0,COUNT(CB371:CB382)-CD379),0)</f>
        <v>#REF!</v>
      </c>
      <c r="CD380" s="4" t="e">
        <f t="shared" ca="1" si="6551"/>
        <v>#REF!</v>
      </c>
      <c r="CE380" s="692" t="str" cm="1">
        <f t="array" aca="1" ref="CE380" ca="1">IFERROR(VLOOKUP(INDEX(CA371:CA382,CD380),INDIRECT(BY371),2,FALSE),"----")</f>
        <v>----</v>
      </c>
      <c r="CF380" s="691" t="e">
        <f t="shared" ca="1" si="6552"/>
        <v>#N/A</v>
      </c>
      <c r="CG380" s="4" t="e">
        <f ca="1">IF(AND(INDEX(SSM,CF380,4)&gt;=$AB371,INDEX(SSM,CF380,5)&gt;=$S371,INDEX(SSM,CF380,6)&gt;=$R371),1,0)</f>
        <v>#N/A</v>
      </c>
      <c r="CH380" s="4" t="e">
        <f t="shared" ref="CH380" ca="1" si="6699">MATCH(1,OFFSET(CG371:CG382,CI379,0,COUNT(CG371:CG382)-CI379),0)</f>
        <v>#REF!</v>
      </c>
      <c r="CI380" s="4" t="e">
        <f t="shared" ca="1" si="6554"/>
        <v>#REF!</v>
      </c>
      <c r="CJ380" s="692" t="str">
        <f ca="1">IFERROR(IF(AD372="Nested Steel Stud (wood infill)",VLOOKUP(INDEX(CF371:CF382,CI380),SSW,2,FALSE),VLOOKUP(INDEX(CF371:CF382,CI380),SSM,2,FALSE)),"----")</f>
        <v>----</v>
      </c>
      <c r="CK380" s="691" t="e">
        <f t="shared" ca="1" si="6555"/>
        <v>#N/A</v>
      </c>
      <c r="CL380" s="4" t="e">
        <f ca="1">IF(AND(INDEX(WSM,CK380,4)&gt;=$AB371,INDEX(WSM,CK380,5)&gt;=$S371,INDEX(WSM,CK380,6)&gt;=$R371),1,0)</f>
        <v>#N/A</v>
      </c>
      <c r="CM380" s="4" t="e">
        <f t="shared" ref="CM380" ca="1" si="6700">MATCH(1,OFFSET(CL371:CL382,CN379,0,COUNT(CL371:CL382)-CN379),0)</f>
        <v>#REF!</v>
      </c>
      <c r="CN380" s="4" t="e">
        <f t="shared" ca="1" si="6557"/>
        <v>#REF!</v>
      </c>
      <c r="CO380" s="692" t="str">
        <f ca="1">IFERROR(VLOOKUP(INDEX(CK371:CK382,CN380),WSM,2,FALSE),"----")</f>
        <v>----</v>
      </c>
      <c r="CP380" s="691" t="e">
        <f t="shared" ca="1" si="6558"/>
        <v>#N/A</v>
      </c>
      <c r="CQ380" s="4" t="e">
        <f ca="1">IF(AND(INDEX(STM,CP380,4)&gt;=$AB371,INDEX(STM,CP380,5)&gt;=$S371,INDEX(STM,CP380,6)&gt;=$R371),1,0)</f>
        <v>#N/A</v>
      </c>
      <c r="CR380" s="4" t="e">
        <f t="shared" ref="CR380" ca="1" si="6701">MATCH(1,OFFSET(CQ371:CQ382,CS379,0,COUNT(CQ371:CQ382)-CS379),0)</f>
        <v>#REF!</v>
      </c>
      <c r="CS380" s="4" t="e">
        <f t="shared" ca="1" si="6560"/>
        <v>#REF!</v>
      </c>
      <c r="CT380" s="692" t="str">
        <f ca="1">IFERROR(VLOOKUP(INDEX(CP371:CP382,CS380),STM,2,FALSE),"----")</f>
        <v>----</v>
      </c>
      <c r="CU380" s="691" t="e">
        <f t="shared" ca="1" si="6561"/>
        <v>#N/A</v>
      </c>
      <c r="CV380" s="4" t="e">
        <f ca="1">IF(AND(INDEX(ELM,CU380,4)&gt;=$AB371,INDEX(ELM,CU380,5)&gt;=$S371,INDEX(ELM,CU380,6)&gt;=$R371),1,0)</f>
        <v>#N/A</v>
      </c>
      <c r="CW380" s="4" t="e">
        <f t="shared" ref="CW380" ca="1" si="6702">MATCH(1,OFFSET(CV371:CV382,CX379,0,COUNT(CV371:CV382)-CX379),0)</f>
        <v>#REF!</v>
      </c>
      <c r="CX380" s="4" t="e">
        <f t="shared" ca="1" si="6563"/>
        <v>#REF!</v>
      </c>
      <c r="CY380" s="692" t="str">
        <f ca="1">IFERROR(VLOOKUP(INDEX(CU371:CU382,CX380),ELM,2,FALSE),"----")</f>
        <v>----</v>
      </c>
      <c r="CZ380" s="691" t="e">
        <f t="shared" ca="1" si="6564"/>
        <v>#N/A</v>
      </c>
      <c r="DA380" s="4" t="e">
        <f ca="1">IF(LEFT($J371,7)="Clad Wo",IF(AND(INDEX(SPPWS,CZ380,4)&gt;=$AB371,INDEX(SPPWS,CZ380,5)&gt;=$S371,INDEX(SPPWS,CZ380,6)&gt;=$R371),1,0),IF(AND(INDEX(SPM,CZ380,4)&gt;=$AB371,INDEX(SPM,CZ380,5)&gt;=$S371,INDEX(SPM,CZ380,6)&gt;=$R371),1,0))</f>
        <v>#N/A</v>
      </c>
      <c r="DB380" s="4" t="e">
        <f t="shared" ref="DB380" ca="1" si="6703">MATCH(1,OFFSET(DA371:DA382,DC379,0,COUNT(DA371:DA382)-DC379),0)</f>
        <v>#REF!</v>
      </c>
      <c r="DC380" s="4" t="e">
        <f t="shared" ca="1" si="6566"/>
        <v>#REF!</v>
      </c>
      <c r="DD380" s="693" t="str">
        <f ca="1">IF(LEFT($J371,7)="Clad Wo",IFERROR(VLOOKUP(INDEX(CZ371:CZ382,DC380),SPPWS,2,FALSE),"----"),IFERROR(VLOOKUP(INDEX(CZ371:CZ382,DC380),SPM,2,FALSE),"----"))</f>
        <v>----</v>
      </c>
      <c r="DE380" s="691" t="e">
        <f t="shared" ca="1" si="6567"/>
        <v>#REF!</v>
      </c>
      <c r="DF380" s="4" t="e" cm="1">
        <f t="array" aca="1" ref="DF380" ca="1">IF(AND(INDEX(INDIRECT(BY371),DE380,4)&gt;=$AB377,INDEX(INDIRECT(BY371),DE380,5)&gt;=$S371,INDEX(INDIRECT(BY371),DE380,6)&gt;=$R371),1,0)</f>
        <v>#REF!</v>
      </c>
      <c r="DG380" s="4" t="e">
        <f t="shared" ref="DG380" ca="1" si="6704">MATCH(1,OFFSET(DF371:DF382,DH379,0,COUNT(DF371:DF382)-DH379),0)</f>
        <v>#REF!</v>
      </c>
      <c r="DH380" s="4" t="e">
        <f t="shared" ca="1" si="6569"/>
        <v>#REF!</v>
      </c>
      <c r="DI380" s="692" t="str" cm="1">
        <f t="array" aca="1" ref="DI380" ca="1">IFERROR(VLOOKUP(INDEX(DE371:DE382,DH380),INDIRECT(BY371),2,FALSE),"----")</f>
        <v>----</v>
      </c>
      <c r="DJ380" s="691" t="e">
        <f t="shared" ca="1" si="6570"/>
        <v>#N/A</v>
      </c>
      <c r="DK380" s="4" t="e">
        <f ca="1">IF(AND(INDEX(SSM,DJ380,4)&gt;=$AB377,INDEX(SSM,DJ380,5)&gt;=$S371,INDEX(SSM,DJ380,6)&gt;=$R371),1,0)</f>
        <v>#N/A</v>
      </c>
      <c r="DL380" s="4" t="e">
        <f t="shared" ref="DL380" ca="1" si="6705">MATCH(1,OFFSET(DK371:DK382,DM379,0,COUNT(DK371:DK382)-DM379),0)</f>
        <v>#REF!</v>
      </c>
      <c r="DM380" s="4" t="e">
        <f t="shared" ca="1" si="6572"/>
        <v>#REF!</v>
      </c>
      <c r="DN380" s="692" t="str">
        <f ca="1">IFERROR(IF(AD378="Nested Steel Stud (wood infill)",VLOOKUP(INDEX(DJ371:DJ382,DM380),SSW,2,FALSE),VLOOKUP(INDEX(DJ371:DJ382,DM380),SSM,2,FALSE)),"----")</f>
        <v>----</v>
      </c>
      <c r="DO380" s="691" t="e">
        <f t="shared" ca="1" si="6573"/>
        <v>#N/A</v>
      </c>
      <c r="DP380" s="4" t="e">
        <f ca="1">IF(AND(INDEX(WSM,DO380,4)&gt;=$AB377,INDEX(WSM,DO380,5)&gt;=$S371,INDEX(WSM,DO380,6)&gt;=$R371),1,0)</f>
        <v>#N/A</v>
      </c>
      <c r="DQ380" s="4" t="e">
        <f t="shared" ref="DQ380" ca="1" si="6706">MATCH(1,OFFSET(DP371:DP382,DR379,0,COUNT(DP371:DP382)-DR379),0)</f>
        <v>#REF!</v>
      </c>
      <c r="DR380" s="4" t="e">
        <f t="shared" ca="1" si="6575"/>
        <v>#REF!</v>
      </c>
      <c r="DS380" s="692" t="str">
        <f ca="1">IFERROR(VLOOKUP(INDEX(DO371:DO382,DR380),WSM,2,FALSE),"----")</f>
        <v>----</v>
      </c>
      <c r="DT380" s="691" t="e">
        <f t="shared" ca="1" si="6576"/>
        <v>#N/A</v>
      </c>
      <c r="DU380" s="4" t="e">
        <f ca="1">IF(AND(INDEX(STM,DT380,4)&gt;=$AB377,INDEX(STM,DT380,5)&gt;=$S371,INDEX(STM,DT380,6)&gt;=$R371),1,0)</f>
        <v>#N/A</v>
      </c>
      <c r="DV380" s="4" t="e">
        <f t="shared" ref="DV380" ca="1" si="6707">MATCH(1,OFFSET(DU371:DU382,DW379,0,COUNT(DU371:DU382)-DW379),0)</f>
        <v>#REF!</v>
      </c>
      <c r="DW380" s="4" t="e">
        <f t="shared" ca="1" si="6578"/>
        <v>#REF!</v>
      </c>
      <c r="DX380" s="692" t="str">
        <f ca="1">IFERROR(VLOOKUP(INDEX(DT371:DT382,DW380),STM,2,FALSE),"----")</f>
        <v>----</v>
      </c>
      <c r="DY380" s="691" t="e">
        <f t="shared" ca="1" si="6579"/>
        <v>#N/A</v>
      </c>
      <c r="DZ380" s="4" t="e">
        <f ca="1">IF(AND(INDEX(ELM,DY380,4)&gt;=$AB377,INDEX(ELM,DY380,5)&gt;=$S371,INDEX(ELM,DY380,6)&gt;=$R371),1,0)</f>
        <v>#N/A</v>
      </c>
      <c r="EA380" s="4" t="e">
        <f t="shared" ref="EA380" ca="1" si="6708">MATCH(1,OFFSET(DZ371:DZ382,EB379,0,COUNT(DZ371:DZ382)-EB379),0)</f>
        <v>#REF!</v>
      </c>
      <c r="EB380" s="4" t="e">
        <f t="shared" ca="1" si="6581"/>
        <v>#REF!</v>
      </c>
      <c r="EC380" s="692" t="str">
        <f ca="1">IFERROR(VLOOKUP(INDEX(DY371:DY382,EB380),ELM,2,FALSE),"----")</f>
        <v>----</v>
      </c>
      <c r="ED380" s="691" t="e">
        <f t="shared" ca="1" si="6582"/>
        <v>#N/A</v>
      </c>
      <c r="EE380" s="4" t="e">
        <f ca="1">IF(LEFT($J371,7)="Clad Wo",IF(AND(INDEX(SPPWS,ED380,4)&gt;=$AB377,INDEX(SPPWS,ED380,5)&gt;=$S371,INDEX(SPPWS,ED380,6)&gt;=$R371),1,0),IF(AND(INDEX(SPM,ED380,4)&gt;=$AB377,INDEX(SPM,ED380,5)&gt;=$S371,INDEX(SPM,ED380,6)&gt;=$R371),1,0))</f>
        <v>#N/A</v>
      </c>
      <c r="EF380" s="4" t="e">
        <f t="shared" ref="EF380" ca="1" si="6709">MATCH(1,OFFSET(EE371:EE382,EG379,0,COUNT(EE371:EE382)-EG379),0)</f>
        <v>#REF!</v>
      </c>
      <c r="EG380" s="4" t="e">
        <f t="shared" ca="1" si="6584"/>
        <v>#REF!</v>
      </c>
      <c r="EH380" s="692" t="str">
        <f ca="1">IF(LEFT($J371,7)="Clad Wo",IFERROR(VLOOKUP(INDEX(ED371:ED382,EG380),SPPWS,2,FALSE),"----"),IFERROR(VLOOKUP(INDEX(ED371:ED382,EG380),SPM,2,FALSE),"----"))</f>
        <v>----</v>
      </c>
    </row>
    <row r="381" spans="1:138" ht="15" customHeight="1" x14ac:dyDescent="0.25">
      <c r="A381" s="1085"/>
      <c r="B381" s="925"/>
      <c r="C381" s="926"/>
      <c r="D381" s="927"/>
      <c r="E381" s="995"/>
      <c r="F381" s="996"/>
      <c r="G381" s="997"/>
      <c r="H381" s="1062"/>
      <c r="I381" s="990"/>
      <c r="J381" s="902"/>
      <c r="K381" s="903"/>
      <c r="L381" s="1002"/>
      <c r="M381" s="923"/>
      <c r="N381" s="1042"/>
      <c r="O381" s="1018"/>
      <c r="P381" s="987"/>
      <c r="Q381" s="1015"/>
      <c r="R381" s="1012"/>
      <c r="S381" s="1006"/>
      <c r="T381" s="1007"/>
      <c r="U381" s="878"/>
      <c r="V381" s="881"/>
      <c r="W381" s="884"/>
      <c r="X381" s="884"/>
      <c r="Y381" s="887"/>
      <c r="Z381" s="887"/>
      <c r="AA381" s="887"/>
      <c r="AB381" s="1081"/>
      <c r="AC381" s="1078"/>
      <c r="AD381" s="1070" t="str">
        <f t="shared" si="5955"/>
        <v>Engineered Lumber</v>
      </c>
      <c r="AE381" s="1071"/>
      <c r="AF381" s="1052"/>
      <c r="AG381" s="1053"/>
      <c r="AH381" s="1053"/>
      <c r="AI381" s="1068"/>
      <c r="AJ381" s="1069"/>
      <c r="AK381" s="154" t="str">
        <f t="shared" ca="1" si="6208"/>
        <v/>
      </c>
      <c r="AL381" s="1059"/>
      <c r="AM381" s="344" t="str">
        <f ca="1">IFERROR(Q371/12*ROUND(VLOOKUP(AF381,OFFSET(ELM,0,1),6,FALSE),2),"")</f>
        <v/>
      </c>
      <c r="AN381" t="str">
        <f t="shared" ca="1" si="6226"/>
        <v/>
      </c>
      <c r="AP381" s="122" t="str">
        <f t="shared" ref="AP381" si="6710">_xlfn.CONCAT(AR381,AS382)</f>
        <v/>
      </c>
      <c r="AQ381" s="683" t="str">
        <f t="shared" si="6434"/>
        <v/>
      </c>
      <c r="AR381" s="4" t="str">
        <f t="shared" si="6193"/>
        <v/>
      </c>
      <c r="AS381" s="4"/>
      <c r="AT381" s="697" t="str">
        <f>AL377</f>
        <v/>
      </c>
      <c r="AU381" s="694" t="e">
        <f t="shared" ca="1" si="6450"/>
        <v>#REF!</v>
      </c>
      <c r="AV381" s="698" t="str">
        <f ca="1">IFERROR(VLOOKUP(AU381,INDIRECT(AQ371),2,FALSE),"----")</f>
        <v>----</v>
      </c>
      <c r="AW381" s="694" t="e">
        <f t="shared" ca="1" si="6451"/>
        <v>#REF!</v>
      </c>
      <c r="AX381" s="698" t="str">
        <f ca="1">IFERROR(VLOOKUP(AW381,INDIRECT(AQ372),2,FALSE),"----")</f>
        <v>----</v>
      </c>
      <c r="AY381" s="694" t="e">
        <f t="shared" ca="1" si="6210"/>
        <v>#REF!</v>
      </c>
      <c r="AZ381" s="698" t="str">
        <f ca="1">IFERROR(VLOOKUP(AY381,INDIRECT(AQ373),2,FALSE),"----")</f>
        <v>----</v>
      </c>
      <c r="BA381" s="694" t="e">
        <f t="shared" ca="1" si="6211"/>
        <v>#REF!</v>
      </c>
      <c r="BB381" s="698" t="str">
        <f ca="1">IFERROR(VLOOKUP(BA381,INDIRECT(AQ374),2,FALSE),"----")</f>
        <v>----</v>
      </c>
      <c r="BC381" s="694" t="e">
        <f t="shared" ca="1" si="6452"/>
        <v>#REF!</v>
      </c>
      <c r="BD381" s="698" t="str">
        <f ca="1">IFERROR(VLOOKUP(BC381,INDIRECT(AQ375),2,FALSE),"----")</f>
        <v>----</v>
      </c>
      <c r="BE381" s="694" t="e">
        <f t="shared" ca="1" si="6453"/>
        <v>#REF!</v>
      </c>
      <c r="BF381" s="698" t="str">
        <f ca="1">IFERROR(VLOOKUP(BE381,INDIRECT(AQ376),2,FALSE),"----")</f>
        <v>----</v>
      </c>
      <c r="BG381" s="702" t="e">
        <f t="shared" ca="1" si="6454"/>
        <v>#REF!</v>
      </c>
      <c r="BH381" s="686" t="str">
        <f ca="1">IFERROR(VLOOKUP(BG381,INDIRECT(AQ377),2,FALSE),"----")</f>
        <v>----</v>
      </c>
      <c r="BI381" s="702" t="e">
        <f t="shared" ca="1" si="6455"/>
        <v>#REF!</v>
      </c>
      <c r="BJ381" s="686" t="str">
        <f ca="1">IFERROR(VLOOKUP(BI381,INDIRECT(AQ378),2,FALSE),"----")</f>
        <v>----</v>
      </c>
      <c r="BK381" s="702" t="e">
        <f t="shared" ca="1" si="6456"/>
        <v>#REF!</v>
      </c>
      <c r="BL381" s="686" t="str">
        <f ca="1">IFERROR(VLOOKUP(BK381,INDIRECT(AQ379),2,FALSE),"----")</f>
        <v>----</v>
      </c>
      <c r="BM381" s="702" t="e">
        <f t="shared" ca="1" si="6457"/>
        <v>#REF!</v>
      </c>
      <c r="BN381" s="686" t="str">
        <f ca="1">IFERROR(VLOOKUP(BM381,INDIRECT(AQ380),2,FALSE),"----")</f>
        <v>----</v>
      </c>
      <c r="BO381" s="702" t="e">
        <f t="shared" ca="1" si="6458"/>
        <v>#REF!</v>
      </c>
      <c r="BP381" s="686" t="str">
        <f ca="1">IFERROR(VLOOKUP(BO381,INDIRECT(AQ381),2,FALSE),"----")</f>
        <v>----</v>
      </c>
      <c r="BQ381" s="702" t="e">
        <f t="shared" ca="1" si="6459"/>
        <v>#REF!</v>
      </c>
      <c r="BR381" s="686" t="str">
        <f ca="1">IFERROR(VLOOKUP(BQ381,INDIRECT(AQ382),2,FALSE),"----")</f>
        <v>----</v>
      </c>
      <c r="BS381" s="695">
        <f>IF(AI381="",1,IF(COUNTIF(BP371:BP382,AI381)=0,2,1))</f>
        <v>1</v>
      </c>
      <c r="BT381" s="696">
        <f>IF(AF381="",1,IF(BP371=".",2,1))</f>
        <v>1</v>
      </c>
      <c r="BU381" s="706"/>
      <c r="BV381" s="155">
        <f ca="1">IF(COUNTIF(EC371:EC382,AF381)=0,IF(AF381&lt;&gt;"",0,1),1)</f>
        <v>1</v>
      </c>
      <c r="BW381" s="157">
        <f ca="1">IFERROR(MATCH(AF381,EC371:EC382,0),1)</f>
        <v>1</v>
      </c>
      <c r="BX381" s="769"/>
      <c r="BY381" s="769"/>
      <c r="BZ381" s="1110"/>
      <c r="CA381" s="691" t="e">
        <f t="shared" ca="1" si="6549"/>
        <v>#REF!</v>
      </c>
      <c r="CB381" s="4" t="e" cm="1">
        <f t="array" aca="1" ref="CB381" ca="1">IF(AND(INDEX(INDIRECT(BY371),CA381,4)&gt;=$AB371,INDEX(INDIRECT(BY371),CA381,5)&gt;=$S371,INDEX(INDIRECT(BY371),CA381,6)&gt;=$R371),1,0)</f>
        <v>#REF!</v>
      </c>
      <c r="CC381" s="4" t="e">
        <f t="shared" ref="CC381" ca="1" si="6711">MATCH(1,OFFSET(CB371:CB382,CD380,0,COUNT(CB371:CB382)-CD380),0)</f>
        <v>#REF!</v>
      </c>
      <c r="CD381" s="4" t="e">
        <f t="shared" ca="1" si="6551"/>
        <v>#REF!</v>
      </c>
      <c r="CE381" s="692" t="str" cm="1">
        <f t="array" aca="1" ref="CE381" ca="1">IFERROR(VLOOKUP(INDEX(CA371:CA382,CD381),INDIRECT(BY371),2,FALSE),"----")</f>
        <v>----</v>
      </c>
      <c r="CF381" s="691" t="e">
        <f t="shared" ca="1" si="6552"/>
        <v>#N/A</v>
      </c>
      <c r="CG381" s="4" t="e">
        <f ca="1">IF(AND(INDEX(SSM,CF381,4)&gt;=$AB371,INDEX(SSM,CF381,5)&gt;=$S371,INDEX(SSM,CF381,6)&gt;=$R371),1,0)</f>
        <v>#N/A</v>
      </c>
      <c r="CH381" s="4" t="e">
        <f t="shared" ref="CH381" ca="1" si="6712">MATCH(1,OFFSET(CG371:CG382,CI380,0,COUNT(CG371:CG382)-CI380),0)</f>
        <v>#REF!</v>
      </c>
      <c r="CI381" s="4" t="e">
        <f t="shared" ca="1" si="6554"/>
        <v>#REF!</v>
      </c>
      <c r="CJ381" s="692" t="str">
        <f ca="1">IFERROR(IF(AD372="Nested Steel Stud (wood infill)",VLOOKUP(INDEX(CF371:CF382,CI381),SSW,2,FALSE),VLOOKUP(INDEX(CF371:CF382,CI381),SSM,2,FALSE)),"----")</f>
        <v>----</v>
      </c>
      <c r="CK381" s="691" t="e">
        <f t="shared" ca="1" si="6555"/>
        <v>#N/A</v>
      </c>
      <c r="CL381" s="4" t="e">
        <f ca="1">IF(AND(INDEX(WSM,CK381,4)&gt;=$AB371,INDEX(WSM,CK381,5)&gt;=$S371,INDEX(WSM,CK381,6)&gt;=$R371),1,0)</f>
        <v>#N/A</v>
      </c>
      <c r="CM381" s="4" t="e">
        <f t="shared" ref="CM381" ca="1" si="6713">MATCH(1,OFFSET(CL371:CL382,CN380,0,COUNT(CL371:CL382)-CN380),0)</f>
        <v>#REF!</v>
      </c>
      <c r="CN381" s="4" t="e">
        <f t="shared" ca="1" si="6557"/>
        <v>#REF!</v>
      </c>
      <c r="CO381" s="692" t="str">
        <f ca="1">IFERROR(VLOOKUP(INDEX(CK371:CK382,CN381),WSM,2,FALSE),"----")</f>
        <v>----</v>
      </c>
      <c r="CP381" s="691" t="e">
        <f t="shared" ca="1" si="6558"/>
        <v>#N/A</v>
      </c>
      <c r="CQ381" s="4" t="e">
        <f ca="1">IF(AND(INDEX(STM,CP381,4)&gt;=$AB371,INDEX(STM,CP381,5)&gt;=$S371,INDEX(STM,CP381,6)&gt;=$R371),1,0)</f>
        <v>#N/A</v>
      </c>
      <c r="CR381" s="4" t="e">
        <f t="shared" ref="CR381" ca="1" si="6714">MATCH(1,OFFSET(CQ371:CQ382,CS380,0,COUNT(CQ371:CQ382)-CS380),0)</f>
        <v>#REF!</v>
      </c>
      <c r="CS381" s="4" t="e">
        <f t="shared" ca="1" si="6560"/>
        <v>#REF!</v>
      </c>
      <c r="CT381" s="692" t="str">
        <f ca="1">IFERROR(VLOOKUP(INDEX(CP371:CP382,CS381),STM,2,FALSE),"----")</f>
        <v>----</v>
      </c>
      <c r="CU381" s="691" t="e">
        <f t="shared" ca="1" si="6561"/>
        <v>#N/A</v>
      </c>
      <c r="CV381" s="4" t="e">
        <f ca="1">IF(AND(INDEX(ELM,CU381,4)&gt;=$AB371,INDEX(ELM,CU381,5)&gt;=$S371,INDEX(ELM,CU381,6)&gt;=$R371),1,0)</f>
        <v>#N/A</v>
      </c>
      <c r="CW381" s="4" t="e">
        <f t="shared" ref="CW381" ca="1" si="6715">MATCH(1,OFFSET(CV371:CV382,CX380,0,COUNT(CV371:CV382)-CX380),0)</f>
        <v>#REF!</v>
      </c>
      <c r="CX381" s="4" t="e">
        <f t="shared" ca="1" si="6563"/>
        <v>#REF!</v>
      </c>
      <c r="CY381" s="692" t="str">
        <f ca="1">IFERROR(VLOOKUP(INDEX(CU371:CU382,CX381),ELM,2,FALSE),"----")</f>
        <v>----</v>
      </c>
      <c r="CZ381" s="691" t="e">
        <f t="shared" ca="1" si="6564"/>
        <v>#N/A</v>
      </c>
      <c r="DA381" s="4" t="e">
        <f ca="1">IF(LEFT($J371,7)="Clad Wo",IF(AND(INDEX(SPPWS,CZ381,4)&gt;=$AB371,INDEX(SPPWS,CZ381,5)&gt;=$S371,INDEX(SPPWS,CZ381,6)&gt;=$R371),1,0),IF(AND(INDEX(SPM,CZ381,4)&gt;=$AB371,INDEX(SPM,CZ381,5)&gt;=$S371,INDEX(SPM,CZ381,6)&gt;=$R371),1,0))</f>
        <v>#N/A</v>
      </c>
      <c r="DB381" s="4" t="e">
        <f t="shared" ref="DB381" ca="1" si="6716">MATCH(1,OFFSET(DA371:DA382,DC380,0,COUNT(DA371:DA382)-DC380),0)</f>
        <v>#REF!</v>
      </c>
      <c r="DC381" s="4" t="e">
        <f t="shared" ca="1" si="6566"/>
        <v>#REF!</v>
      </c>
      <c r="DD381" s="693" t="str">
        <f ca="1">IF(LEFT($J371,7)="Clad Wo",IFERROR(VLOOKUP(INDEX(CZ371:CZ382,DC381),SPPWS,2,FALSE),"----"),IFERROR(VLOOKUP(INDEX(CZ371:CZ382,DC381),SPM,2,FALSE),"----"))</f>
        <v>----</v>
      </c>
      <c r="DE381" s="691" t="e">
        <f t="shared" ca="1" si="6567"/>
        <v>#REF!</v>
      </c>
      <c r="DF381" s="4" t="e" cm="1">
        <f t="array" aca="1" ref="DF381" ca="1">IF(AND(INDEX(INDIRECT(BY371),DE381,4)&gt;=$AB377,INDEX(INDIRECT(BY371),DE381,5)&gt;=$S371,INDEX(INDIRECT(BY371),DE381,6)&gt;=$R371),1,0)</f>
        <v>#REF!</v>
      </c>
      <c r="DG381" s="4" t="e">
        <f t="shared" ref="DG381" ca="1" si="6717">MATCH(1,OFFSET(DF371:DF382,DH380,0,COUNT(DF371:DF382)-DH380),0)</f>
        <v>#REF!</v>
      </c>
      <c r="DH381" s="4" t="e">
        <f t="shared" ca="1" si="6569"/>
        <v>#REF!</v>
      </c>
      <c r="DI381" s="692" t="str" cm="1">
        <f t="array" aca="1" ref="DI381" ca="1">IFERROR(VLOOKUP(INDEX(DE371:DE382,DH381),INDIRECT(BY371),2,FALSE),"----")</f>
        <v>----</v>
      </c>
      <c r="DJ381" s="691" t="e">
        <f t="shared" ca="1" si="6570"/>
        <v>#N/A</v>
      </c>
      <c r="DK381" s="4" t="e">
        <f ca="1">IF(AND(INDEX(SSM,DJ381,4)&gt;=$AB377,INDEX(SSM,DJ381,5)&gt;=$S371,INDEX(SSM,DJ381,6)&gt;=$R371),1,0)</f>
        <v>#N/A</v>
      </c>
      <c r="DL381" s="4" t="e">
        <f t="shared" ref="DL381" ca="1" si="6718">MATCH(1,OFFSET(DK371:DK382,DM380,0,COUNT(DK371:DK382)-DM380),0)</f>
        <v>#REF!</v>
      </c>
      <c r="DM381" s="4" t="e">
        <f t="shared" ca="1" si="6572"/>
        <v>#REF!</v>
      </c>
      <c r="DN381" s="692" t="str">
        <f ca="1">IFERROR(IF(AD378="Nested Steel Stud (wood infill)",VLOOKUP(INDEX(DJ371:DJ382,DM381),SSW,2,FALSE),VLOOKUP(INDEX(DJ371:DJ382,DM381),SSM,2,FALSE)),"----")</f>
        <v>----</v>
      </c>
      <c r="DO381" s="691" t="e">
        <f t="shared" ca="1" si="6573"/>
        <v>#N/A</v>
      </c>
      <c r="DP381" s="4" t="e">
        <f ca="1">IF(AND(INDEX(WSM,DO381,4)&gt;=$AB377,INDEX(WSM,DO381,5)&gt;=$S371,INDEX(WSM,DO381,6)&gt;=$R371),1,0)</f>
        <v>#N/A</v>
      </c>
      <c r="DQ381" s="4" t="e">
        <f t="shared" ref="DQ381" ca="1" si="6719">MATCH(1,OFFSET(DP371:DP382,DR380,0,COUNT(DP371:DP382)-DR380),0)</f>
        <v>#REF!</v>
      </c>
      <c r="DR381" s="4" t="e">
        <f t="shared" ca="1" si="6575"/>
        <v>#REF!</v>
      </c>
      <c r="DS381" s="692" t="str">
        <f ca="1">IFERROR(VLOOKUP(INDEX(DO371:DO382,DR381),WSM,2,FALSE),"----")</f>
        <v>----</v>
      </c>
      <c r="DT381" s="691" t="e">
        <f t="shared" ca="1" si="6576"/>
        <v>#N/A</v>
      </c>
      <c r="DU381" s="4" t="e">
        <f ca="1">IF(AND(INDEX(STM,DT381,4)&gt;=$AB377,INDEX(STM,DT381,5)&gt;=$S371,INDEX(STM,DT381,6)&gt;=$R371),1,0)</f>
        <v>#N/A</v>
      </c>
      <c r="DV381" s="4" t="e">
        <f t="shared" ref="DV381" ca="1" si="6720">MATCH(1,OFFSET(DU371:DU382,DW380,0,COUNT(DU371:DU382)-DW380),0)</f>
        <v>#REF!</v>
      </c>
      <c r="DW381" s="4" t="e">
        <f t="shared" ca="1" si="6578"/>
        <v>#REF!</v>
      </c>
      <c r="DX381" s="692" t="str">
        <f ca="1">IFERROR(VLOOKUP(INDEX(DT371:DT382,DW381),STM,2,FALSE),"----")</f>
        <v>----</v>
      </c>
      <c r="DY381" s="691" t="e">
        <f t="shared" ca="1" si="6579"/>
        <v>#N/A</v>
      </c>
      <c r="DZ381" s="4" t="e">
        <f ca="1">IF(AND(INDEX(ELM,DY381,4)&gt;=$AB377,INDEX(ELM,DY381,5)&gt;=$S371,INDEX(ELM,DY381,6)&gt;=$R371),1,0)</f>
        <v>#N/A</v>
      </c>
      <c r="EA381" s="4" t="e">
        <f t="shared" ref="EA381" ca="1" si="6721">MATCH(1,OFFSET(DZ371:DZ382,EB380,0,COUNT(DZ371:DZ382)-EB380),0)</f>
        <v>#REF!</v>
      </c>
      <c r="EB381" s="4" t="e">
        <f t="shared" ca="1" si="6581"/>
        <v>#REF!</v>
      </c>
      <c r="EC381" s="692" t="str">
        <f ca="1">IFERROR(VLOOKUP(INDEX(DY371:DY382,EB381),ELM,2,FALSE),"----")</f>
        <v>----</v>
      </c>
      <c r="ED381" s="691" t="e">
        <f t="shared" ca="1" si="6582"/>
        <v>#N/A</v>
      </c>
      <c r="EE381" s="4" t="e">
        <f ca="1">IF(LEFT($J371,7)="Clad Wo",IF(AND(INDEX(SPPWS,ED381,4)&gt;=$AB377,INDEX(SPPWS,ED381,5)&gt;=$S371,INDEX(SPPWS,ED381,6)&gt;=$R371),1,0),IF(AND(INDEX(SPM,ED381,4)&gt;=$AB377,INDEX(SPM,ED381,5)&gt;=$S371,INDEX(SPM,ED381,6)&gt;=$R371),1,0))</f>
        <v>#N/A</v>
      </c>
      <c r="EF381" s="4" t="e">
        <f t="shared" ref="EF381" ca="1" si="6722">MATCH(1,OFFSET(EE371:EE382,EG380,0,COUNT(EE371:EE382)-EG380),0)</f>
        <v>#REF!</v>
      </c>
      <c r="EG381" s="4" t="e">
        <f t="shared" ca="1" si="6584"/>
        <v>#REF!</v>
      </c>
      <c r="EH381" s="692" t="str">
        <f ca="1">IF(LEFT($J371,7)="Clad Wo",IFERROR(VLOOKUP(INDEX(ED371:ED382,EG381),SPPWS,2,FALSE),"----"),IFERROR(VLOOKUP(INDEX(ED371:ED382,EG381),SPM,2,FALSE),"----"))</f>
        <v>----</v>
      </c>
    </row>
    <row r="382" spans="1:138" ht="15" customHeight="1" thickBot="1" x14ac:dyDescent="0.3">
      <c r="A382" s="1085"/>
      <c r="B382" s="928"/>
      <c r="C382" s="929"/>
      <c r="D382" s="930"/>
      <c r="E382" s="998"/>
      <c r="F382" s="999"/>
      <c r="G382" s="1000"/>
      <c r="H382" s="1063"/>
      <c r="I382" s="991"/>
      <c r="J382" s="904"/>
      <c r="K382" s="905"/>
      <c r="L382" s="1003"/>
      <c r="M382" s="1065"/>
      <c r="N382" s="1043"/>
      <c r="O382" s="1019"/>
      <c r="P382" s="988"/>
      <c r="Q382" s="1016"/>
      <c r="R382" s="1013"/>
      <c r="S382" s="1008"/>
      <c r="T382" s="1009"/>
      <c r="U382" s="879"/>
      <c r="V382" s="882"/>
      <c r="W382" s="885"/>
      <c r="X382" s="885"/>
      <c r="Y382" s="888"/>
      <c r="Z382" s="888"/>
      <c r="AA382" s="888"/>
      <c r="AB382" s="1082"/>
      <c r="AC382" s="1087"/>
      <c r="AD382" s="1098" t="str">
        <f t="shared" ref="AD382" si="6723">IF(LEFT(J371,7)="Clad Wo","Pella Wood Spr / Steel Pte","Steel Plate")</f>
        <v>Steel Plate</v>
      </c>
      <c r="AE382" s="1099"/>
      <c r="AF382" s="1096"/>
      <c r="AG382" s="1097"/>
      <c r="AH382" s="1097"/>
      <c r="AI382" s="1094"/>
      <c r="AJ382" s="1095"/>
      <c r="AK382" s="163" t="str">
        <f t="shared" ca="1" si="6208"/>
        <v/>
      </c>
      <c r="AL382" s="1060"/>
      <c r="AM382" s="345" t="str">
        <f ca="1">IFERROR(Q371/12*ROUND(VLOOKUP(AF382,OFFSET(SPM,0,1),6,FALSE),2),"")</f>
        <v/>
      </c>
      <c r="AN382" t="str">
        <f t="shared" ca="1" si="6226"/>
        <v/>
      </c>
      <c r="AP382" s="699" t="str">
        <f t="shared" ref="AP382" si="6724">_xlfn.CONCAT(AR382,AS382)</f>
        <v/>
      </c>
      <c r="AQ382" s="700" t="str">
        <f t="shared" si="6434"/>
        <v/>
      </c>
      <c r="AR382" s="160" t="str">
        <f t="shared" si="6193"/>
        <v/>
      </c>
      <c r="AS382" s="160" t="str">
        <f>IFERROR(VLOOKUP(J379, WallType,2,FALSE),"")</f>
        <v/>
      </c>
      <c r="AT382" s="707" t="str">
        <f>AL377</f>
        <v/>
      </c>
      <c r="AU382" s="708" t="e">
        <f t="shared" ca="1" si="6450"/>
        <v>#REF!</v>
      </c>
      <c r="AV382" s="709" t="str">
        <f ca="1">IFERROR(VLOOKUP(AU382,INDIRECT(AQ371),2,FALSE),"----")</f>
        <v>----</v>
      </c>
      <c r="AW382" s="710" t="e">
        <f t="shared" ca="1" si="6451"/>
        <v>#REF!</v>
      </c>
      <c r="AX382" s="709" t="str">
        <f ca="1">IFERROR(VLOOKUP(AW382,INDIRECT(AQ372),2,FALSE),"----")</f>
        <v>----</v>
      </c>
      <c r="AY382" s="710" t="e">
        <f t="shared" ca="1" si="6210"/>
        <v>#REF!</v>
      </c>
      <c r="AZ382" s="709" t="str">
        <f ca="1">IFERROR(VLOOKUP(AY382,INDIRECT(AQ373),2,FALSE),"----")</f>
        <v>----</v>
      </c>
      <c r="BA382" s="710" t="e">
        <f t="shared" ca="1" si="6211"/>
        <v>#REF!</v>
      </c>
      <c r="BB382" s="709" t="str">
        <f ca="1">IFERROR(VLOOKUP(BA382,INDIRECT(AQ374),2,FALSE),"----")</f>
        <v>----</v>
      </c>
      <c r="BC382" s="710" t="e">
        <f t="shared" ca="1" si="6452"/>
        <v>#REF!</v>
      </c>
      <c r="BD382" s="709" t="str">
        <f ca="1">IFERROR(VLOOKUP(BC382,INDIRECT(AQ375),2,FALSE),"----")</f>
        <v>----</v>
      </c>
      <c r="BE382" s="710" t="e">
        <f t="shared" ca="1" si="6453"/>
        <v>#REF!</v>
      </c>
      <c r="BF382" s="709" t="str">
        <f ca="1">IFERROR(VLOOKUP(BE382,INDIRECT(AQ376),2,FALSE),"----")</f>
        <v>----</v>
      </c>
      <c r="BG382" s="710" t="e">
        <f t="shared" ca="1" si="6454"/>
        <v>#REF!</v>
      </c>
      <c r="BH382" s="711" t="str">
        <f ca="1">IFERROR(VLOOKUP(BG382,INDIRECT(AQ377),2,FALSE),"----")</f>
        <v>----</v>
      </c>
      <c r="BI382" s="710" t="e">
        <f t="shared" ca="1" si="6455"/>
        <v>#REF!</v>
      </c>
      <c r="BJ382" s="711" t="str">
        <f ca="1">IFERROR(VLOOKUP(BI382,INDIRECT(AQ378),2,FALSE),"----")</f>
        <v>----</v>
      </c>
      <c r="BK382" s="710" t="e">
        <f t="shared" ca="1" si="6456"/>
        <v>#REF!</v>
      </c>
      <c r="BL382" s="711" t="str">
        <f ca="1">IFERROR(VLOOKUP(BK382,INDIRECT(AQ379),2,FALSE),"----")</f>
        <v>----</v>
      </c>
      <c r="BM382" s="710" t="e">
        <f t="shared" ca="1" si="6457"/>
        <v>#REF!</v>
      </c>
      <c r="BN382" s="711" t="str">
        <f ca="1">IFERROR(VLOOKUP(BM382,INDIRECT(AQ380),2,FALSE),"----")</f>
        <v>----</v>
      </c>
      <c r="BO382" s="710" t="e">
        <f t="shared" ca="1" si="6458"/>
        <v>#REF!</v>
      </c>
      <c r="BP382" s="711" t="str">
        <f ca="1">IFERROR(VLOOKUP(BO382,INDIRECT(AQ381),2,FALSE),"----")</f>
        <v>----</v>
      </c>
      <c r="BQ382" s="710" t="e">
        <f t="shared" ca="1" si="6459"/>
        <v>#REF!</v>
      </c>
      <c r="BR382" s="712" t="str">
        <f ca="1">IFERROR(VLOOKUP(BQ382,INDIRECT(AQ382),2,FALSE),"----")</f>
        <v>----</v>
      </c>
      <c r="BS382" s="695">
        <f>IF(AI382="",1,IF(COUNTIF(BR371:BR382,AI382)=0,2,1))</f>
        <v>1</v>
      </c>
      <c r="BT382" s="713">
        <f>IF(AF382="",1,IF(BR371=".",2,1))</f>
        <v>1</v>
      </c>
      <c r="BV382" s="155">
        <f ca="1">IF(COUNTIF(EH371:EH382,AF382)=0,IF(AF382&lt;&gt;"",0,1),1)</f>
        <v>1</v>
      </c>
      <c r="BW382" s="157">
        <f ca="1">IFERROR(MATCH(AF382,EH371:EH382,0),1)</f>
        <v>1</v>
      </c>
      <c r="BX382" s="718"/>
      <c r="BY382" s="777"/>
      <c r="BZ382" s="1110"/>
      <c r="CA382" s="714" t="e">
        <f t="shared" ca="1" si="6549"/>
        <v>#REF!</v>
      </c>
      <c r="CB382" s="715" t="e" cm="1">
        <f t="array" aca="1" ref="CB382" ca="1">IF(AND(INDEX(INDIRECT(BY371),CA382,4)&gt;=$AB371,INDEX(INDIRECT(BY371),CA382,5)&gt;=$S371,INDEX(INDIRECT(BY371),CA382,6)&gt;=$R371),1,0)</f>
        <v>#REF!</v>
      </c>
      <c r="CC382" s="715" t="e">
        <f t="shared" ref="CC382" ca="1" si="6725">MATCH(1,OFFSET(CB371:CB382,CD381,0,COUNT(CB371:CB382)-CD381),0)</f>
        <v>#REF!</v>
      </c>
      <c r="CD382" s="715" t="e">
        <f t="shared" ca="1" si="6551"/>
        <v>#REF!</v>
      </c>
      <c r="CE382" s="716" t="str" cm="1">
        <f t="array" aca="1" ref="CE382" ca="1">IFERROR(VLOOKUP(INDEX(CA371:CA382,CD382),INDIRECT(BY371),2,FALSE),"----")</f>
        <v>----</v>
      </c>
      <c r="CF382" s="714" t="e">
        <f t="shared" ca="1" si="6552"/>
        <v>#N/A</v>
      </c>
      <c r="CG382" s="715" t="e">
        <f ca="1">IF(AND(INDEX(SSM,CF382,4)&gt;=$AB371,INDEX(SSM,CF382,5)&gt;=$S371,INDEX(SSM,CF382,6)&gt;=$R371),1,0)</f>
        <v>#N/A</v>
      </c>
      <c r="CH382" s="715" t="e">
        <f t="shared" ref="CH382" ca="1" si="6726">MATCH(1,OFFSET(CG371:CG382,CI381,0,COUNT(CG371:CG382)-CI381),0)</f>
        <v>#REF!</v>
      </c>
      <c r="CI382" s="715" t="e">
        <f t="shared" ca="1" si="6554"/>
        <v>#REF!</v>
      </c>
      <c r="CJ382" s="716" t="str">
        <f ca="1">IFERROR(IF(AD372="Nested Steel Stud (wood infill)",VLOOKUP(INDEX(CF371:CF382,CI382),SSW,2,FALSE),VLOOKUP(INDEX(CF371:CF382,CI382),SSM,2,FALSE)),"----")</f>
        <v>----</v>
      </c>
      <c r="CK382" s="714" t="e">
        <f t="shared" ca="1" si="6555"/>
        <v>#N/A</v>
      </c>
      <c r="CL382" s="715" t="e">
        <f ca="1">IF(AND(INDEX(WSM,CK382,4)&gt;=$AB371,INDEX(WSM,CK382,5)&gt;=$S371,INDEX(WSM,CK382,6)&gt;=$R371),1,0)</f>
        <v>#N/A</v>
      </c>
      <c r="CM382" s="715" t="e">
        <f t="shared" ref="CM382" ca="1" si="6727">MATCH(1,OFFSET(CL371:CL382,CN381,0,COUNT(CL371:CL382)-CN381),0)</f>
        <v>#REF!</v>
      </c>
      <c r="CN382" s="715" t="e">
        <f t="shared" ca="1" si="6557"/>
        <v>#REF!</v>
      </c>
      <c r="CO382" s="716" t="str">
        <f ca="1">IFERROR(VLOOKUP(INDEX(CK371:CK382,CN382),WSM,2,FALSE),"----")</f>
        <v>----</v>
      </c>
      <c r="CP382" s="714" t="e">
        <f t="shared" ca="1" si="6558"/>
        <v>#N/A</v>
      </c>
      <c r="CQ382" s="715" t="e">
        <f ca="1">IF(AND(INDEX(STM,CP382,4)&gt;=$AB371,INDEX(STM,CP382,5)&gt;=$S371,INDEX(STM,CP382,6)&gt;=$R371),1,0)</f>
        <v>#N/A</v>
      </c>
      <c r="CR382" s="715" t="e">
        <f t="shared" ref="CR382" ca="1" si="6728">MATCH(1,OFFSET(CQ371:CQ382,CS381,0,COUNT(CQ371:CQ382)-CS381),0)</f>
        <v>#REF!</v>
      </c>
      <c r="CS382" s="715" t="e">
        <f t="shared" ca="1" si="6560"/>
        <v>#REF!</v>
      </c>
      <c r="CT382" s="716" t="str">
        <f ca="1">IFERROR(VLOOKUP(INDEX(CP371:CP382,CS382),STM,2,FALSE),"----")</f>
        <v>----</v>
      </c>
      <c r="CU382" s="714" t="e">
        <f t="shared" ca="1" si="6561"/>
        <v>#N/A</v>
      </c>
      <c r="CV382" s="715" t="e">
        <f ca="1">IF(AND(INDEX(ELM,CU382,4)&gt;=$AB371,INDEX(ELM,CU382,5)&gt;=$S371,INDEX(ELM,CU382,6)&gt;=$R371),1,0)</f>
        <v>#N/A</v>
      </c>
      <c r="CW382" s="715" t="e">
        <f t="shared" ref="CW382" ca="1" si="6729">MATCH(1,OFFSET(CV371:CV382,CX381,0,COUNT(CV371:CV382)-CX381),0)</f>
        <v>#REF!</v>
      </c>
      <c r="CX382" s="715" t="e">
        <f t="shared" ca="1" si="6563"/>
        <v>#REF!</v>
      </c>
      <c r="CY382" s="716" t="str">
        <f ca="1">IFERROR(VLOOKUP(INDEX(CU371:CU382,CX382),ELM,2,FALSE),"----")</f>
        <v>----</v>
      </c>
      <c r="CZ382" s="714" t="e">
        <f t="shared" ca="1" si="6564"/>
        <v>#N/A</v>
      </c>
      <c r="DA382" s="715" t="e">
        <f ca="1">IF(LEFT($J371,7)="Clad Wo",IF(AND(INDEX(SPPWS,CZ382,4)&gt;=$AB371,INDEX(SPPWS,CZ382,5)&gt;=$S371,INDEX(SPPWS,CZ382,6)&gt;=$R371),1,0),IF(AND(INDEX(SPM,CZ382,4)&gt;=$AB371,INDEX(SPM,CZ382,5)&gt;=$S371,INDEX(SPM,CZ382,6)&gt;=$R371),1,0))</f>
        <v>#N/A</v>
      </c>
      <c r="DB382" s="715" t="e">
        <f t="shared" ref="DB382" ca="1" si="6730">MATCH(1,OFFSET(DA371:DA382,DC381,0,COUNT(DA371:DA382)-DC381),0)</f>
        <v>#REF!</v>
      </c>
      <c r="DC382" s="715" t="e">
        <f t="shared" ca="1" si="6566"/>
        <v>#REF!</v>
      </c>
      <c r="DD382" s="717" t="str">
        <f ca="1">IF(LEFT($J371,7)="Clad Wo",IFERROR(VLOOKUP(INDEX(CZ371:CZ382,DC382),SPPWS,2,FALSE),"----"),IFERROR(VLOOKUP(INDEX(CZ371:CZ382,DC382),SPM,2,FALSE),"----"))</f>
        <v>----</v>
      </c>
      <c r="DE382" s="714" t="e">
        <f t="shared" ca="1" si="6567"/>
        <v>#REF!</v>
      </c>
      <c r="DF382" s="715" t="e" cm="1">
        <f t="array" aca="1" ref="DF382" ca="1">IF(AND(INDEX(INDIRECT(BY371),DE382,4)&gt;=$AB377,INDEX(INDIRECT(BY371),DE382,5)&gt;=$S371,INDEX(INDIRECT(BY371),DE382,6)&gt;=$R371),1,0)</f>
        <v>#REF!</v>
      </c>
      <c r="DG382" s="715" t="e">
        <f t="shared" ref="DG382" ca="1" si="6731">MATCH(1,OFFSET(DF371:DF382,DH381,0,COUNT(DF371:DF382)-DH381),0)</f>
        <v>#REF!</v>
      </c>
      <c r="DH382" s="715" t="e">
        <f t="shared" ca="1" si="6569"/>
        <v>#REF!</v>
      </c>
      <c r="DI382" s="716" t="str" cm="1">
        <f t="array" aca="1" ref="DI382" ca="1">IFERROR(VLOOKUP(INDEX(DE371:DE382,DH382),INDIRECT(BY371),2,FALSE),"----")</f>
        <v>----</v>
      </c>
      <c r="DJ382" s="714" t="e">
        <f t="shared" ca="1" si="6570"/>
        <v>#N/A</v>
      </c>
      <c r="DK382" s="715" t="e">
        <f ca="1">IF(AND(INDEX(SSM,DJ382,4)&gt;=$AB377,INDEX(SSM,DJ382,5)&gt;=$S371,INDEX(SSM,DJ382,6)&gt;=$R371),1,0)</f>
        <v>#N/A</v>
      </c>
      <c r="DL382" s="715" t="e">
        <f t="shared" ref="DL382" ca="1" si="6732">MATCH(1,OFFSET(DK371:DK382,DM381,0,COUNT(DK371:DK382)-DM381),0)</f>
        <v>#REF!</v>
      </c>
      <c r="DM382" s="715" t="e">
        <f t="shared" ca="1" si="6572"/>
        <v>#REF!</v>
      </c>
      <c r="DN382" s="716" t="str">
        <f ca="1">IFERROR(IF(AD378="Nested Steel Stud (wood infill)",VLOOKUP(INDEX(DJ371:DJ382,DM382),SSW,2,FALSE),VLOOKUP(INDEX(DJ371:DJ382,DM382),SSM,2,FALSE)),"----")</f>
        <v>----</v>
      </c>
      <c r="DO382" s="714" t="e">
        <f t="shared" ca="1" si="6573"/>
        <v>#N/A</v>
      </c>
      <c r="DP382" s="715" t="e">
        <f ca="1">IF(AND(INDEX(WSM,DO382,4)&gt;=$AB377,INDEX(WSM,DO382,5)&gt;=$S371,INDEX(WSM,DO382,6)&gt;=$R371),1,0)</f>
        <v>#N/A</v>
      </c>
      <c r="DQ382" s="715" t="e">
        <f t="shared" ref="DQ382" ca="1" si="6733">MATCH(1,OFFSET(DP371:DP382,DR381,0,COUNT(DP371:DP382)-DR381),0)</f>
        <v>#REF!</v>
      </c>
      <c r="DR382" s="715" t="e">
        <f t="shared" ca="1" si="6575"/>
        <v>#REF!</v>
      </c>
      <c r="DS382" s="716" t="str">
        <f ca="1">IFERROR(VLOOKUP(INDEX(DO371:DO382,DR382),WSM,2,FALSE),"----")</f>
        <v>----</v>
      </c>
      <c r="DT382" s="714" t="e">
        <f t="shared" ca="1" si="6576"/>
        <v>#N/A</v>
      </c>
      <c r="DU382" s="715" t="e">
        <f ca="1">IF(AND(INDEX(STM,DT382,4)&gt;=$AB377,INDEX(STM,DT382,5)&gt;=$S371,INDEX(STM,DT382,6)&gt;=$R371),1,0)</f>
        <v>#N/A</v>
      </c>
      <c r="DV382" s="715" t="e">
        <f t="shared" ref="DV382" ca="1" si="6734">MATCH(1,OFFSET(DU371:DU382,DW381,0,COUNT(DU371:DU382)-DW381),0)</f>
        <v>#REF!</v>
      </c>
      <c r="DW382" s="715" t="e">
        <f t="shared" ca="1" si="6578"/>
        <v>#REF!</v>
      </c>
      <c r="DX382" s="716" t="str">
        <f ca="1">IFERROR(VLOOKUP(INDEX(DT371:DT382,DW382),STM,2,FALSE),"----")</f>
        <v>----</v>
      </c>
      <c r="DY382" s="714" t="e">
        <f t="shared" ca="1" si="6579"/>
        <v>#N/A</v>
      </c>
      <c r="DZ382" s="715" t="e">
        <f ca="1">IF(AND(INDEX(ELM,DY382,4)&gt;=$AB377,INDEX(ELM,DY382,5)&gt;=$S371,INDEX(ELM,DY382,6)&gt;=$R371),1,0)</f>
        <v>#N/A</v>
      </c>
      <c r="EA382" s="715" t="e">
        <f t="shared" ref="EA382" ca="1" si="6735">MATCH(1,OFFSET(DZ371:DZ382,EB381,0,COUNT(DZ371:DZ382)-EB381),0)</f>
        <v>#REF!</v>
      </c>
      <c r="EB382" s="715" t="e">
        <f t="shared" ca="1" si="6581"/>
        <v>#REF!</v>
      </c>
      <c r="EC382" s="716" t="str">
        <f ca="1">IFERROR(VLOOKUP(INDEX(DY371:DY382,EB382),ELM,2,FALSE),"----")</f>
        <v>----</v>
      </c>
      <c r="ED382" s="714" t="e">
        <f t="shared" ca="1" si="6582"/>
        <v>#N/A</v>
      </c>
      <c r="EE382" s="715" t="e">
        <f ca="1">IF(LEFT($J371,7)="Clad Wo",IF(AND(INDEX(SPPWS,ED382,4)&gt;=$AB377,INDEX(SPPWS,ED382,5)&gt;=$S371,INDEX(SPPWS,ED382,6)&gt;=$R371),1,0),IF(AND(INDEX(SPM,ED382,4)&gt;=$AB377,INDEX(SPM,ED382,5)&gt;=$S371,INDEX(SPM,ED382,6)&gt;=$R371),1,0))</f>
        <v>#N/A</v>
      </c>
      <c r="EF382" s="715" t="e">
        <f t="shared" ref="EF382" ca="1" si="6736">MATCH(1,OFFSET(EE371:EE382,EG381,0,COUNT(EE371:EE382)-EG381),0)</f>
        <v>#REF!</v>
      </c>
      <c r="EG382" s="715" t="e">
        <f t="shared" ca="1" si="6584"/>
        <v>#REF!</v>
      </c>
      <c r="EH382" s="716" t="str">
        <f ca="1">IF(LEFT($J371,7)="Clad Wo",IFERROR(VLOOKUP(INDEX(ED371:ED382,EG382),SPPWS,2,FALSE),"----"),IFERROR(VLOOKUP(INDEX(ED371:ED382,EG382),SPM,2,FALSE),"----"))</f>
        <v>----</v>
      </c>
    </row>
    <row r="383" spans="1:138" ht="15" customHeight="1" thickTop="1" x14ac:dyDescent="0.25">
      <c r="A383" s="1085"/>
      <c r="B383" s="931" t="s">
        <v>92</v>
      </c>
      <c r="C383" s="932"/>
      <c r="D383" s="933"/>
      <c r="E383" s="992"/>
      <c r="F383" s="993"/>
      <c r="G383" s="994"/>
      <c r="H383" s="1061"/>
      <c r="I383" s="989"/>
      <c r="J383" s="906"/>
      <c r="K383" s="907"/>
      <c r="L383" s="1001">
        <f>$W$3</f>
        <v>4</v>
      </c>
      <c r="M383" s="923" t="str">
        <f t="shared" ref="M383" si="6737">IFERROR(IF($AE$13="",IF($AG$19="Wind Loading",MIN($V$31,IF(E$11="ASCE 7-05",$U$26,$V$7)*$V$9*(IF($E$12&lt;60,0.0771*LN(MAX(MIN(500,O383),10)) -1.2737,IF($E$11="ASCE 7-22",0.0524*LN(MAX(MIN(500,O383),50))-1.0278,0.0614*LN(MAX(MIN(500,O383),20)) -1.0829))-$V$8)),$V$7*IF(E$12&lt;60,$V$13*($V$15*0.0771*LN(MAX(MIN(500,O383),10))-1.2737-$V$16),$V$13*$V$15*((0.0524*LN(MAX(MIN(500,O383),20))-1.0278)-$V$16))),-ABS($AE$13)),"")</f>
        <v/>
      </c>
      <c r="N383" s="1042" t="str">
        <f t="shared" ref="N383" si="6738">IFERROR(IF($AE$15="",IF($AG$19="Wind Loading",MAX($U$31,IF(E$11="ASCE 7-05",$U$26,$V$7)*$V$9*((IF($E$12&lt;60,-0.077*LN(MAX(MIN(500,O383),10))+1.1737,IF($E$11="ASCE 7-22",-0.077*LN(MAX(MIN(500,O383),20))+1.0798,-0.093*LN(MAX(MIN(500,O383),20))+1.1776)))+$V$8)),$V$7*IF(E$12&lt;60,$V$13*($V$15*(-0.077*LN(MAX(MIN(500,O383),10))+1.1737)-$V$17),$V$13*$V$15*((-0.077*LN(MAX(MIN(500,O383),20))+1.0798)-$V$17))),ABS($AE$15)),"")</f>
        <v/>
      </c>
      <c r="O383" s="1017" t="str">
        <f>IF(BX390=0,"",IF(AG$14="Trapezoidal",BY390,BX390))</f>
        <v/>
      </c>
      <c r="P383" s="986"/>
      <c r="Q383" s="1014"/>
      <c r="R383" s="1011">
        <f>P383*Q383/8</f>
        <v>0</v>
      </c>
      <c r="S383" s="1004">
        <f t="shared" ref="S383" si="6739">IF(5*(P383*Q383^3/(384*0.125))=0,0,5*(P383*Q383^3/(384*0.125)))</f>
        <v>0</v>
      </c>
      <c r="T383" s="1005"/>
      <c r="U383" s="877" t="e">
        <f ca="1">VLOOKUP(J387,INDIRECT(VLOOKUP(J383,FrameStrength,2,FALSE)),3,FALSE)</f>
        <v>#N/A</v>
      </c>
      <c r="V383" s="880">
        <f t="shared" ref="V383" si="6740">(H383+I383)/2</f>
        <v>0</v>
      </c>
      <c r="W383" s="883" t="e">
        <f t="shared" ref="W383" si="6741">MAX(-M383,N383)*O383</f>
        <v>#VALUE!</v>
      </c>
      <c r="X383" s="883">
        <f t="shared" ref="X383" si="6742">IF(E383&gt;162,(E383/240+0.25),IF(AND(E383&lt;162,E383/175&lt;0.75),E383/175,0.75))</f>
        <v>0</v>
      </c>
      <c r="Y383" s="886">
        <f>IFERROR(IF(AG$14="Trapezoidal",BY391,BX391)+IF($E$17="4",(400*E383^3)/(48*X383),0),0)</f>
        <v>0</v>
      </c>
      <c r="Z383" s="886" t="e">
        <f t="shared" ref="Z383" si="6743">+($V383*MAX(-$M383,$N383)*$E383^2)/(144*8)+IF($E$17=4,(400*$E383)/4,0)</f>
        <v>#VALUE!</v>
      </c>
      <c r="AA383" s="886" t="e">
        <f ca="1">VLOOKUP(J387,INDIRECT(VLOOKUP(J383,FrameStrength,2,FALSE)),2,FALSE)</f>
        <v>#N/A</v>
      </c>
      <c r="AB383" s="1083" t="str">
        <f t="shared" ref="AB383" ca="1" si="6744">IFERROR(Z383-AA383,"")</f>
        <v/>
      </c>
      <c r="AC383" s="1077" t="str">
        <f t="shared" ref="AC383" ca="1" si="6745">IFERROR(Y383-U383,"")</f>
        <v/>
      </c>
      <c r="AD383" s="1100" t="str">
        <f>IFERROR(IF(LEFT(J387,2)="As",VLOOKUP(J387,EIMM,4,FALSE),VLOOKUP(J383,EIMM,4,FALSE)),IF(AND(ISNUMBER(SEARCH("Impervia",J383)),ISNUMBER(SEARCH("door",J387))),'New Lookup Cells'!AF$10,IF(ISNUMBER(SEARCH("Impervia",J383)),'New Lookup Cells'!AF$7,IF(AND(ISNUMBER(SEARCH("250",J383)),ISNUMBER(SEARCH("door",J387))),'New Lookup Cells'!AF$14,IF(ISNUMBER(SEARCH("250",J383)),'New Lookup Cells'!AF$13,"")))))</f>
        <v/>
      </c>
      <c r="AE383" s="1101"/>
      <c r="AF383" s="1050"/>
      <c r="AG383" s="1051"/>
      <c r="AH383" s="1051"/>
      <c r="AI383" s="1088"/>
      <c r="AJ383" s="1089"/>
      <c r="AK383" s="154" t="str">
        <f t="shared" ca="1" si="6208"/>
        <v/>
      </c>
      <c r="AL383" s="1038" t="str">
        <f t="shared" ref="AL383" si="6746">IFERROR(ROUND(SQRT(P383^2+(W383/2+IF($E$17=4,200,0))^2),0),"")</f>
        <v/>
      </c>
      <c r="AM383" s="342" t="s">
        <v>669</v>
      </c>
      <c r="AN383" t="str">
        <f t="shared" ca="1" si="6226"/>
        <v/>
      </c>
      <c r="AP383" s="122" t="str">
        <f t="shared" ref="AP383" si="6747">_xlfn.CONCAT(AR383,AS388)</f>
        <v/>
      </c>
      <c r="AQ383" s="683" t="str">
        <f t="shared" si="6434"/>
        <v/>
      </c>
      <c r="AR383" s="96" t="str">
        <f t="shared" si="6193"/>
        <v/>
      </c>
      <c r="AS383" s="96" t="str">
        <f>IF(COUNTIF(imp_1,AF383)=1,"imp_1",IF(COUNTIF(imp_2,AF383)=1,"imp_2",IF(COUNTIF(imp_3,AF383)=1,"imp_3",IF(COUNTIF(impdoor,AF383)=1,"impdoor",""))))</f>
        <v/>
      </c>
      <c r="AT383" s="684" t="str">
        <f>AL383</f>
        <v/>
      </c>
      <c r="AU383" s="685" t="e">
        <f ca="1">MATCH(AL383,INDIRECT(AP383),-1)</f>
        <v>#REF!</v>
      </c>
      <c r="AV383" s="686" t="str">
        <f ca="1">IFERROR(VLOOKUP(AU383,INDIRECT(AQ383),2,FALSE),"----")</f>
        <v>----</v>
      </c>
      <c r="AW383" s="685" t="e">
        <f ca="1">MATCH(AL383,INDIRECT(AP384),-1)</f>
        <v>#REF!</v>
      </c>
      <c r="AX383" s="686" t="str">
        <f ca="1">IFERROR(VLOOKUP(AW383,INDIRECT(AQ384),2,FALSE),"----")</f>
        <v>----</v>
      </c>
      <c r="AY383" s="685" t="e">
        <f ca="1">MATCH(AL383,INDIRECT(AP385),-1)</f>
        <v>#REF!</v>
      </c>
      <c r="AZ383" s="686" t="str">
        <f ca="1">IFERROR(VLOOKUP(AY383,INDIRECT(AQ385),2,FALSE),"----")</f>
        <v>----</v>
      </c>
      <c r="BA383" s="685" t="e">
        <f ca="1">MATCH(AL383,INDIRECT(AP386),-1)</f>
        <v>#REF!</v>
      </c>
      <c r="BB383" s="686" t="str">
        <f ca="1">IFERROR(VLOOKUP(BA383,INDIRECT(AQ386),2,FALSE),"----")</f>
        <v>----</v>
      </c>
      <c r="BC383" s="685" t="e">
        <f ca="1">MATCH(AL383,INDIRECT(AP387),-1)</f>
        <v>#REF!</v>
      </c>
      <c r="BD383" s="686" t="str">
        <f ca="1">IFERROR(VLOOKUP(BC383,INDIRECT(AQ387),2,FALSE),"----")</f>
        <v>----</v>
      </c>
      <c r="BE383" s="685" t="e">
        <f ca="1">MATCH(AL383,INDIRECT(AP388),-1)</f>
        <v>#REF!</v>
      </c>
      <c r="BF383" s="686" t="str">
        <f ca="1">IFERROR(VLOOKUP(BE383,INDIRECT(AQ388),2,FALSE),"----")</f>
        <v>----</v>
      </c>
      <c r="BG383" s="685" t="e">
        <f ca="1">MATCH(AL389,INDIRECT(AP389),-1)</f>
        <v>#REF!</v>
      </c>
      <c r="BH383" s="686" t="str">
        <f ca="1">IFERROR(VLOOKUP(BG383,INDIRECT(AQ389),2,FALSE),"----")</f>
        <v>----</v>
      </c>
      <c r="BI383" s="685" t="e">
        <f ca="1">MATCH(AL389,INDIRECT(AP390),-1)</f>
        <v>#REF!</v>
      </c>
      <c r="BJ383" s="686" t="str">
        <f ca="1">IFERROR(VLOOKUP(BI383,INDIRECT(AQ390),2,FALSE),"----")</f>
        <v>----</v>
      </c>
      <c r="BK383" s="685" t="e">
        <f ca="1">MATCH(AL389,INDIRECT(AP391),-1)</f>
        <v>#REF!</v>
      </c>
      <c r="BL383" s="686" t="str">
        <f ca="1">IFERROR(VLOOKUP(BK383,INDIRECT(AQ391),2,FALSE),"----")</f>
        <v>----</v>
      </c>
      <c r="BM383" s="685" t="e">
        <f ca="1">MATCH(AL389,INDIRECT(AP392),-1)</f>
        <v>#REF!</v>
      </c>
      <c r="BN383" s="686" t="str">
        <f ca="1">IFERROR(VLOOKUP(BM383,INDIRECT(AQ392),2,FALSE),"----")</f>
        <v>----</v>
      </c>
      <c r="BO383" s="685" t="e">
        <f ca="1">MATCH(AL389,INDIRECT(AP393),-1)</f>
        <v>#REF!</v>
      </c>
      <c r="BP383" s="686" t="str">
        <f ca="1">IFERROR(VLOOKUP(BO383,INDIRECT(AQ393),2,FALSE),"----")</f>
        <v>----</v>
      </c>
      <c r="BQ383" s="685" t="e">
        <f ca="1">MATCH(AL389,INDIRECT(AP394),-1)</f>
        <v>#REF!</v>
      </c>
      <c r="BR383" s="686" t="str">
        <f ca="1">IFERROR(VLOOKUP(BQ383,INDIRECT(AQ394),2,FALSE),"----")</f>
        <v>----</v>
      </c>
      <c r="BS383" s="687">
        <f>IF(AI383="",1,IF(COUNTIF(AV383:AV394,AI383)=0,2,1))</f>
        <v>1</v>
      </c>
      <c r="BT383" s="688">
        <f>IF(AP383="1",1,IF(AF383="",1,IF(AV383=".",2,1)))</f>
        <v>1</v>
      </c>
      <c r="BU383" s="706"/>
      <c r="BV383" s="155">
        <f ca="1">IF(COUNTIF(CE383:CE394,AF383)=0,IF(AF383&lt;&gt;"",0,1),1)</f>
        <v>1</v>
      </c>
      <c r="BW383" s="157">
        <f ca="1">IFERROR(MATCH(AF383,CE383:CE394,0),1)</f>
        <v>1</v>
      </c>
      <c r="BX383" s="769" t="str">
        <f>IFERROR(IF(LEFT(J387,2)="As",VLOOKUP(J387,EIMM,2,FALSE),IF(AND(ISNUMBER(SEARCH("Impervia",J383)),ISNUMBER(SEARCH("door",J387))),VLOOKUP("Impervia Door",EIMM,2,FALSE),IF(AND(ISNUMBER(SEARCH("250",J383)),ISNUMBER(SEARCH("door",J387))),VLOOKUP("250 Series Door",EIMM,2,FALSE),VLOOKUP(J383,EIMM,2,FALSE)))),"")</f>
        <v/>
      </c>
      <c r="BY383" s="769" t="str">
        <f ca="1">IFERROR(VLOOKUP(BX383,OFFSET(EIMM,0,1),2,FALSE),"")</f>
        <v/>
      </c>
      <c r="BZ383" s="1110" t="e">
        <f ca="1">IF((COUNTIF(INDIRECT(SUBSTITUTE(J383," ","_")),J387))=0,IF(J387="",1,0),1)</f>
        <v>#REF!</v>
      </c>
      <c r="CA383" s="691" t="e">
        <f ca="1">MATCH(AC383,INDIRECT(BX383),-1)</f>
        <v>#REF!</v>
      </c>
      <c r="CB383" s="4" t="e" cm="1">
        <f t="array" aca="1" ref="CB383" ca="1">IF(AND(INDEX(INDIRECT(BY383),CA383,4)&gt;=$AB383,INDEX(INDIRECT(BY383),CA383,5)&gt;=$S383,INDEX(INDIRECT(BY383),CA383,6)&gt;=$R383),1,0)</f>
        <v>#REF!</v>
      </c>
      <c r="CC383" s="4" t="e">
        <f t="shared" ref="CC383" ca="1" si="6748">MATCH(1,OFFSET(CB383:CB394,$W$2,0,COUNT(CB383:CB394)-$W$2),0)</f>
        <v>#REF!</v>
      </c>
      <c r="CD383" s="4" t="e">
        <f t="shared" ref="CD383" ca="1" si="6749">$W$2+CC383</f>
        <v>#REF!</v>
      </c>
      <c r="CE383" s="692" t="str" cm="1">
        <f t="array" aca="1" ref="CE383" ca="1">IFERROR(VLOOKUP(INDEX(CA383:CA394,CD383),INDIRECT(BY383),2,FALSE),"----")</f>
        <v>----</v>
      </c>
      <c r="CF383" s="691" t="e">
        <f ca="1">MATCH($AC383,SSEI,-1)</f>
        <v>#N/A</v>
      </c>
      <c r="CG383" s="4" t="e">
        <f ca="1">IF(AND(INDEX(SSM,CF383,4)&gt;=$AB383,INDEX(SSM,CF383,5)&gt;=$S383,INDEX(SSM,CF383,6)&gt;=$R383),1,0)</f>
        <v>#N/A</v>
      </c>
      <c r="CH383" s="4" t="e">
        <f t="shared" ref="CH383" ca="1" si="6750">MATCH(1,OFFSET(CG383:CG394,$W$2,0,COUNT(CG383:CG394)-$W$2),0)</f>
        <v>#REF!</v>
      </c>
      <c r="CI383" s="4" t="e">
        <f t="shared" ref="CI383" ca="1" si="6751">$W$2+CH383</f>
        <v>#REF!</v>
      </c>
      <c r="CJ383" s="692" t="str">
        <f ca="1">IFERROR(IF(AD384="Nested Steel Stud (wood infill)",VLOOKUP(INDEX(CF383:CF394,CI383),SSW,2,FALSE),VLOOKUP(INDEX(CF383:CF394,CI383),SSM,2,FALSE)),"----")</f>
        <v>----</v>
      </c>
      <c r="CK383" s="691" t="e">
        <f ca="1">MATCH($AC383,WSEI,-1)</f>
        <v>#N/A</v>
      </c>
      <c r="CL383" s="4" t="e">
        <f ca="1">IF(AND(INDEX(WSM,CK383,4)&gt;=$AB383,INDEX(WSM,CK383,5)&gt;=$S383,INDEX(WSM,CK383,6)&gt;=$R383),1,0)</f>
        <v>#N/A</v>
      </c>
      <c r="CM383" s="4" t="e">
        <f t="shared" ref="CM383" ca="1" si="6752">MATCH(1,OFFSET(CL383:CL394,$W$2,0,COUNT(CL383:CL394)-$W$2),0)</f>
        <v>#REF!</v>
      </c>
      <c r="CN383" s="4" t="e">
        <f t="shared" ref="CN383" ca="1" si="6753">$W$2+CM383</f>
        <v>#REF!</v>
      </c>
      <c r="CO383" s="692" t="str">
        <f ca="1">IFERROR(VLOOKUP(INDEX(CK383:CK394,CN383),WSM,2,FALSE),"----")</f>
        <v>----</v>
      </c>
      <c r="CP383" s="691" t="e">
        <f ca="1">MATCH($AC383,STEI,-1)</f>
        <v>#N/A</v>
      </c>
      <c r="CQ383" s="4" t="e">
        <f ca="1">IF(AND(INDEX(STM,CP383,4)&gt;=$AB383,INDEX(STM,CP383,5)&gt;=$S383,INDEX(STM,CP383,6)&gt;=$R383),1,0)</f>
        <v>#N/A</v>
      </c>
      <c r="CR383" s="4" t="e">
        <f t="shared" ref="CR383" ca="1" si="6754">MATCH(1,OFFSET(CQ383:CQ394,$W$2,0,COUNT(CQ383:CQ394)-$W$2),0)</f>
        <v>#REF!</v>
      </c>
      <c r="CS383" s="4" t="e">
        <f t="shared" ref="CS383" ca="1" si="6755">$W$2+CR383</f>
        <v>#REF!</v>
      </c>
      <c r="CT383" s="692" t="str">
        <f ca="1">IFERROR(VLOOKUP(INDEX(CP383:CP394,CS383),STM,2,FALSE),"----")</f>
        <v>----</v>
      </c>
      <c r="CU383" s="691" t="e">
        <f ca="1">MATCH($AC383,ELEI,-1)</f>
        <v>#N/A</v>
      </c>
      <c r="CV383" s="4" t="e">
        <f ca="1">IF(AND(INDEX(ELM,CU383,4)&gt;=$AB383,INDEX(ELM,CU383,5)&gt;=$S383,INDEX(ELM,CU383,6)&gt;=$R383),1,0)</f>
        <v>#N/A</v>
      </c>
      <c r="CW383" s="4" t="e">
        <f t="shared" ref="CW383" ca="1" si="6756">MATCH(1,OFFSET(CV383:CV394,$W$2,0,COUNT(CV383:CV394)-$W$2),0)</f>
        <v>#REF!</v>
      </c>
      <c r="CX383" s="4" t="e">
        <f t="shared" ref="CX383" ca="1" si="6757">$W$2+CW383</f>
        <v>#REF!</v>
      </c>
      <c r="CY383" s="692" t="str">
        <f ca="1">IFERROR(VLOOKUP(INDEX(CU383:CU394,CX383),ELM,2,FALSE),"----")</f>
        <v>----</v>
      </c>
      <c r="CZ383" s="691" t="e">
        <f ca="1">IF(LEFT($J383,7)="Clad Wo",MATCH($AC383,SPEIW,-1),MATCH($AC383,SPEI,-1))</f>
        <v>#N/A</v>
      </c>
      <c r="DA383" s="4" t="e">
        <f ca="1">IF(LEFT($J383,7)="Clad Wo",IF(AND(INDEX(SPPWS,CZ383,4)&gt;=$AB383,INDEX(SPPWS,CZ383,5)&gt;=$S383,INDEX(SPPWS,CZ383,6)&gt;=$R383),1,0),IF(AND(INDEX(SPM,CZ383,4)&gt;=$AB383,INDEX(SPM,CZ383,5)&gt;=$S383,INDEX(SPM,CZ383,6)&gt;=$R383),1,0))</f>
        <v>#N/A</v>
      </c>
      <c r="DB383" s="4" t="e">
        <f t="shared" ref="DB383" ca="1" si="6758">MATCH(1,OFFSET(DA383:DA394,$W$2,0,COUNT(DA383:DA394)-$W$2),0)</f>
        <v>#REF!</v>
      </c>
      <c r="DC383" s="4" t="e">
        <f t="shared" ref="DC383" ca="1" si="6759">$W$2+DB383</f>
        <v>#REF!</v>
      </c>
      <c r="DD383" s="693" t="str">
        <f ca="1">IF(LEFT($J383,7)="Clad Wo",IFERROR(VLOOKUP(INDEX(CZ383:CZ394,DC383),SPPWS,2,FALSE),"----"),IFERROR(VLOOKUP(INDEX(CZ383:CZ394,DC383),SPM,2,FALSE),"----"))</f>
        <v>----</v>
      </c>
      <c r="DE383" s="691" t="e">
        <f ca="1">MATCH(AC389,INDIRECT(BX383),-1)</f>
        <v>#REF!</v>
      </c>
      <c r="DF383" s="4" t="e" cm="1">
        <f t="array" aca="1" ref="DF383" ca="1">IF(AND(INDEX(INDIRECT(BY383),DE383,4)&gt;=$AB389,INDEX(INDIRECT(BY383),DE383,5)&gt;=$S383,INDEX(INDIRECT(BY383),DE383,6)&gt;=$R383),1,0)</f>
        <v>#REF!</v>
      </c>
      <c r="DG383" s="4" t="e">
        <f t="shared" ref="DG383" ca="1" si="6760">MATCH(1,OFFSET(DF383:DF394,$W$2,0,COUNT(DF383:DF394)-$W$2),0)</f>
        <v>#REF!</v>
      </c>
      <c r="DH383" s="4" t="e">
        <f t="shared" ref="DH383" ca="1" si="6761">$W$2+DG383</f>
        <v>#REF!</v>
      </c>
      <c r="DI383" s="692" t="str" cm="1">
        <f t="array" aca="1" ref="DI383" ca="1">IFERROR(VLOOKUP(INDEX(DE383:DE394,DH383),INDIRECT(BY383),2,FALSE),"----")</f>
        <v>----</v>
      </c>
      <c r="DJ383" s="691" t="e">
        <f ca="1">MATCH($AC389,SSEI,-1)</f>
        <v>#N/A</v>
      </c>
      <c r="DK383" s="4" t="e">
        <f ca="1">IF(AND(INDEX(SSM,DJ383,4)&gt;=$AB389,INDEX(SSM,DJ383,5)&gt;=$S383,INDEX(SSM,DJ383,6)&gt;=$R383),1,0)</f>
        <v>#N/A</v>
      </c>
      <c r="DL383" s="4" t="e">
        <f t="shared" ref="DL383" ca="1" si="6762">MATCH(1,OFFSET(DK383:DK394,$W$2,0,COUNT(DK383:DK394)-$W$2),0)</f>
        <v>#REF!</v>
      </c>
      <c r="DM383" s="4" t="e">
        <f t="shared" ref="DM383" ca="1" si="6763">$W$2+DL383</f>
        <v>#REF!</v>
      </c>
      <c r="DN383" s="692" t="str">
        <f ca="1">IFERROR(IF(AD390="Nested Steel Stud (wood infill)",VLOOKUP(INDEX(DJ383:DJ394,DM383),SSW,2,FALSE),VLOOKUP(INDEX(DJ383:DJ394,DM383),SSM,2,FALSE)),"----")</f>
        <v>----</v>
      </c>
      <c r="DO383" s="691" t="e">
        <f ca="1">MATCH($AC389,WSEI,-1)</f>
        <v>#N/A</v>
      </c>
      <c r="DP383" s="4" t="e">
        <f ca="1">IF(AND(INDEX(WSM,DO383,4)&gt;=$AB389,INDEX(WSM,DO383,5)&gt;=$S383,INDEX(WSM,DO383,6)&gt;=$R383),1,0)</f>
        <v>#N/A</v>
      </c>
      <c r="DQ383" s="4" t="e">
        <f t="shared" ref="DQ383" ca="1" si="6764">MATCH(1,OFFSET(DP383:DP394,$W$2,0,COUNT(DP383:DP394)-$W$2),0)</f>
        <v>#REF!</v>
      </c>
      <c r="DR383" s="4" t="e">
        <f t="shared" ref="DR383" ca="1" si="6765">$W$2+DQ383</f>
        <v>#REF!</v>
      </c>
      <c r="DS383" s="692" t="str">
        <f ca="1">IFERROR(VLOOKUP(INDEX(DO383:DO394,DR383),WSM,2,FALSE),"----")</f>
        <v>----</v>
      </c>
      <c r="DT383" s="691" t="e">
        <f ca="1">MATCH($AC389,STEI,-1)</f>
        <v>#N/A</v>
      </c>
      <c r="DU383" s="4" t="e">
        <f ca="1">IF(AND(INDEX(STM,DT383,4)&gt;=$AB389,INDEX(STM,DT383,5)&gt;=$S383,INDEX(STM,DT383,6)&gt;=$R383),1,0)</f>
        <v>#N/A</v>
      </c>
      <c r="DV383" s="4" t="e">
        <f t="shared" ref="DV383" ca="1" si="6766">MATCH(1,OFFSET(DU383:DU394,$W$2,0,COUNT(DU383:DU394)-$W$2),0)</f>
        <v>#REF!</v>
      </c>
      <c r="DW383" s="4" t="e">
        <f t="shared" ref="DW383" ca="1" si="6767">$W$2+DV383</f>
        <v>#REF!</v>
      </c>
      <c r="DX383" s="692" t="str">
        <f ca="1">IFERROR(VLOOKUP(INDEX(DT383:DT394,DW383),STM,2,FALSE),"----")</f>
        <v>----</v>
      </c>
      <c r="DY383" s="691" t="e">
        <f ca="1">MATCH($AC389,ELEI,-1)</f>
        <v>#N/A</v>
      </c>
      <c r="DZ383" s="4" t="e">
        <f ca="1">IF(AND(INDEX(ELM,DY383,4)&gt;=$AB389,INDEX(ELM,DY383,5)&gt;=$S383,INDEX(ELM,DY383,6)&gt;=$R383),1,0)</f>
        <v>#N/A</v>
      </c>
      <c r="EA383" s="4" t="e">
        <f t="shared" ref="EA383" ca="1" si="6768">MATCH(1,OFFSET(DZ383:DZ394,$W$2,0,COUNT(DZ383:DZ394)-$W$2),0)</f>
        <v>#REF!</v>
      </c>
      <c r="EB383" s="4" t="e">
        <f t="shared" ref="EB383" ca="1" si="6769">EA383+$W$2</f>
        <v>#REF!</v>
      </c>
      <c r="EC383" s="692" t="str">
        <f ca="1">IFERROR(VLOOKUP(INDEX(DY383:DY394,EB383),ELM,2,FALSE),"----")</f>
        <v>----</v>
      </c>
      <c r="ED383" s="691" t="e">
        <f ca="1">IF(LEFT($J383,7)="Clad Wo",MATCH($AC389,SPEIW,-1),MATCH($AC389,SPEI,-1))</f>
        <v>#N/A</v>
      </c>
      <c r="EE383" s="4" t="e">
        <f ca="1">IF(LEFT($J383,7)="Clad Wo",IF(AND(INDEX(SPPWS,ED383,4)&gt;=$AB389,INDEX(SPPWS,ED383,5)&gt;=$S383,INDEX(SPPWS,ED383,6)&gt;=$R383),1,0),IF(AND(INDEX(SPM,ED383,4)&gt;=$AB389,INDEX(SPM,ED383,5)&gt;=$S383,INDEX(SPM,ED383,6)&gt;=$R383),1,0))</f>
        <v>#N/A</v>
      </c>
      <c r="EF383" s="4" t="e">
        <f t="shared" ref="EF383" ca="1" si="6770">MATCH(1,OFFSET(EE383:EE394,$W$2,0,COUNT(EE383:EE394)-$W$2),0)</f>
        <v>#REF!</v>
      </c>
      <c r="EG383" s="4" t="e">
        <f t="shared" ref="EG383" ca="1" si="6771">$W$2+EF383</f>
        <v>#REF!</v>
      </c>
      <c r="EH383" s="692" t="str">
        <f ca="1">IF(LEFT($J383,7)="Clad Wo",IFERROR(VLOOKUP(INDEX(ED383:ED394,EG383),SPPWS,2,FALSE),"----"),IFERROR(VLOOKUP(INDEX(ED383:ED394,EG383),SPM,2,FALSE),"----"))</f>
        <v>----</v>
      </c>
    </row>
    <row r="384" spans="1:138" ht="15" customHeight="1" x14ac:dyDescent="0.25">
      <c r="A384" s="1085"/>
      <c r="B384" s="925"/>
      <c r="C384" s="926"/>
      <c r="D384" s="927"/>
      <c r="E384" s="995"/>
      <c r="F384" s="996"/>
      <c r="G384" s="997"/>
      <c r="H384" s="1062"/>
      <c r="I384" s="990"/>
      <c r="J384" s="908"/>
      <c r="K384" s="909"/>
      <c r="L384" s="1002"/>
      <c r="M384" s="923"/>
      <c r="N384" s="1042"/>
      <c r="O384" s="1018"/>
      <c r="P384" s="987"/>
      <c r="Q384" s="1015"/>
      <c r="R384" s="1012"/>
      <c r="S384" s="1006"/>
      <c r="T384" s="1007"/>
      <c r="U384" s="878"/>
      <c r="V384" s="881"/>
      <c r="W384" s="884"/>
      <c r="X384" s="884"/>
      <c r="Y384" s="887"/>
      <c r="Z384" s="887"/>
      <c r="AA384" s="887"/>
      <c r="AB384" s="1081"/>
      <c r="AC384" s="1078"/>
      <c r="AD384" s="1102" t="s">
        <v>38</v>
      </c>
      <c r="AE384" s="1103"/>
      <c r="AF384" s="1052"/>
      <c r="AG384" s="1053"/>
      <c r="AH384" s="1053"/>
      <c r="AI384" s="1066"/>
      <c r="AJ384" s="1067"/>
      <c r="AK384" s="156" t="str">
        <f t="shared" ca="1" si="6208"/>
        <v/>
      </c>
      <c r="AL384" s="1039"/>
      <c r="AM384" s="343" t="str">
        <f ca="1">IFERROR(Q383/12*ROUND(VLOOKUP(AF384,OFFSET(SSM,0,1),6,FALSE),2),"")</f>
        <v/>
      </c>
      <c r="AN384" t="str">
        <f t="shared" ca="1" si="6226"/>
        <v/>
      </c>
      <c r="AP384" s="122" t="str">
        <f t="shared" ref="AP384" si="6772">_xlfn.CONCAT(AR384,AS388)</f>
        <v/>
      </c>
      <c r="AQ384" s="683" t="str">
        <f t="shared" si="6434"/>
        <v/>
      </c>
      <c r="AR384" s="96" t="str">
        <f t="shared" si="6193"/>
        <v/>
      </c>
      <c r="AS384" s="96" t="str">
        <f>IF(COUNTIF(Vista_1,AF383)=1,"Vista_1",IF(COUNTIF(Vista_2,AF383)=1,"Vista_2",""))</f>
        <v/>
      </c>
      <c r="AT384" s="684" t="str">
        <f>AL383</f>
        <v/>
      </c>
      <c r="AU384" s="694" t="e">
        <f t="shared" ref="AU384" ca="1" si="6773">AU383-1</f>
        <v>#REF!</v>
      </c>
      <c r="AV384" s="686" t="str">
        <f ca="1">IFERROR(VLOOKUP(AU384,INDIRECT(AQ383),2,FALSE),"----")</f>
        <v>----</v>
      </c>
      <c r="AW384" s="694" t="e">
        <f t="shared" ref="AW384:AW385" ca="1" si="6774">AW383-1</f>
        <v>#REF!</v>
      </c>
      <c r="AX384" s="686" t="str">
        <f ca="1">IFERROR(VLOOKUP(AW384,INDIRECT(AQ384),2,FALSE),"----")</f>
        <v>----</v>
      </c>
      <c r="AY384" s="694" t="e">
        <f t="shared" ref="AY384:AY385" ca="1" si="6775">AY383-1</f>
        <v>#REF!</v>
      </c>
      <c r="AZ384" s="686" t="str">
        <f ca="1">IFERROR(VLOOKUP(AY384,INDIRECT(AQ385),2,FALSE),"----")</f>
        <v>----</v>
      </c>
      <c r="BA384" s="694" t="e">
        <f t="shared" ref="BA384:BA385" ca="1" si="6776">BA383-1</f>
        <v>#REF!</v>
      </c>
      <c r="BB384" s="686" t="str">
        <f ca="1">IFERROR(VLOOKUP(BA384,INDIRECT(AQ386),2,FALSE),"----")</f>
        <v>----</v>
      </c>
      <c r="BC384" s="694" t="e">
        <f t="shared" ref="BC384:BC385" ca="1" si="6777">BC383-1</f>
        <v>#REF!</v>
      </c>
      <c r="BD384" s="686" t="str">
        <f ca="1">IFERROR(VLOOKUP(BC384,INDIRECT(AQ387),2,FALSE),"----")</f>
        <v>----</v>
      </c>
      <c r="BE384" s="694" t="e">
        <f t="shared" ref="BE384" ca="1" si="6778">BE383-1</f>
        <v>#REF!</v>
      </c>
      <c r="BF384" s="686" t="str">
        <f ca="1">IFERROR(VLOOKUP(BE384,INDIRECT(AQ388),2,FALSE),"----")</f>
        <v>----</v>
      </c>
      <c r="BG384" s="694" t="e">
        <f t="shared" ref="BG384" ca="1" si="6779">BG383-1</f>
        <v>#REF!</v>
      </c>
      <c r="BH384" s="686" t="str">
        <f ca="1">IFERROR(VLOOKUP(BG384,INDIRECT(AQ389),2,FALSE),"----")</f>
        <v>----</v>
      </c>
      <c r="BI384" s="694" t="e">
        <f t="shared" ref="BI384:BI385" ca="1" si="6780">BI383-1</f>
        <v>#REF!</v>
      </c>
      <c r="BJ384" s="686" t="str">
        <f ca="1">IFERROR(VLOOKUP(BI384,INDIRECT(AQ390),2,FALSE),"----")</f>
        <v>----</v>
      </c>
      <c r="BK384" s="694" t="e">
        <f t="shared" ref="BK384:BK385" ca="1" si="6781">BK383-1</f>
        <v>#REF!</v>
      </c>
      <c r="BL384" s="686" t="str">
        <f ca="1">IFERROR(VLOOKUP(BK384,INDIRECT(AQ391),2,FALSE),"----")</f>
        <v>----</v>
      </c>
      <c r="BM384" s="694" t="e">
        <f t="shared" ref="BM384:BM385" ca="1" si="6782">BM383-1</f>
        <v>#REF!</v>
      </c>
      <c r="BN384" s="686" t="str">
        <f ca="1">IFERROR(VLOOKUP(BM384,INDIRECT(AQ392),2,FALSE),"----")</f>
        <v>----</v>
      </c>
      <c r="BO384" s="694" t="e">
        <f t="shared" ref="BO384:BO385" ca="1" si="6783">BO383-1</f>
        <v>#REF!</v>
      </c>
      <c r="BP384" s="686" t="str">
        <f ca="1">IFERROR(VLOOKUP(BO384,INDIRECT(AQ393),2,FALSE),"----")</f>
        <v>----</v>
      </c>
      <c r="BQ384" s="694" t="e">
        <f t="shared" ref="BQ384" ca="1" si="6784">BQ383-1</f>
        <v>#REF!</v>
      </c>
      <c r="BR384" s="686" t="str">
        <f ca="1">IFERROR(VLOOKUP(BQ384,INDIRECT(AQ394),2,FALSE),"----")</f>
        <v>----</v>
      </c>
      <c r="BS384" s="695">
        <f>IF(AI384="",1,IF(COUNTIF(AX383:AX394,AI384)=0,2,1))</f>
        <v>1</v>
      </c>
      <c r="BT384" s="696">
        <f>IF(AF384="",1,IF(AX383=".",2,1))</f>
        <v>1</v>
      </c>
      <c r="BU384" s="706"/>
      <c r="BV384" s="155">
        <f ca="1">IF(COUNTIF(CJ383:CJ394,AF384)=0,IF(AF384&lt;&gt;"",0,1),1)</f>
        <v>1</v>
      </c>
      <c r="BW384" s="157">
        <f ca="1">IFERROR(MATCH(AF384,CJ383:CJ394,0),1)</f>
        <v>1</v>
      </c>
      <c r="BX384" s="769"/>
      <c r="BY384" s="769"/>
      <c r="BZ384" s="1110"/>
      <c r="CA384" s="691" t="e">
        <f t="shared" ref="CA384:CA394" ca="1" si="6785">CA383-1</f>
        <v>#REF!</v>
      </c>
      <c r="CB384" s="4" t="e" cm="1">
        <f t="array" aca="1" ref="CB384" ca="1">IF(AND(INDEX(INDIRECT(BY383),CA384,4)&gt;=$AB383,INDEX(INDIRECT(BY383),CA384,5)&gt;=$S383,INDEX(INDIRECT(BY383),CA384,6)&gt;=$R383),1,0)</f>
        <v>#REF!</v>
      </c>
      <c r="CC384" s="4" t="e">
        <f t="shared" ref="CC384" ca="1" si="6786">MATCH(1,OFFSET(CB383:CB394,CD383,0,COUNT(CB383:CB394)-CD383),0)</f>
        <v>#REF!</v>
      </c>
      <c r="CD384" s="4" t="e">
        <f t="shared" ref="CD384:CD394" ca="1" si="6787">CD383+CC384</f>
        <v>#REF!</v>
      </c>
      <c r="CE384" s="692" t="str" cm="1">
        <f t="array" aca="1" ref="CE384" ca="1">IFERROR(VLOOKUP(INDEX(CA383:CA394,CD384),INDIRECT(BY383),2,FALSE),"----")</f>
        <v>----</v>
      </c>
      <c r="CF384" s="691" t="e">
        <f t="shared" ref="CF384:CF394" ca="1" si="6788">CF383-1</f>
        <v>#N/A</v>
      </c>
      <c r="CG384" s="4" t="e">
        <f ca="1">IF(AND(INDEX(SSM,CF384,4)&gt;=$AB383,INDEX(SSM,CF384,5)&gt;=$S383,INDEX(SSM,CF384,6)&gt;=$R383),1,0)</f>
        <v>#N/A</v>
      </c>
      <c r="CH384" s="4" t="e">
        <f t="shared" ref="CH384" ca="1" si="6789">MATCH(1,OFFSET(CG383:CG394,CI383,0,COUNT(CG383:CG394)-CI383),0)</f>
        <v>#REF!</v>
      </c>
      <c r="CI384" s="4" t="e">
        <f t="shared" ref="CI384:CI394" ca="1" si="6790">CI383+CH384</f>
        <v>#REF!</v>
      </c>
      <c r="CJ384" s="692" t="str">
        <f ca="1">IFERROR(IF(AD384="Nested Steel Stud (wood infill)",VLOOKUP(INDEX(CF383:CF394,CI384),SSW,2,FALSE),VLOOKUP(INDEX(CF383:CF394,CI384),SSM,2,FALSE)),"----")</f>
        <v>----</v>
      </c>
      <c r="CK384" s="691" t="e">
        <f t="shared" ref="CK384:CK394" ca="1" si="6791">CK383-1</f>
        <v>#N/A</v>
      </c>
      <c r="CL384" s="4" t="e">
        <f ca="1">IF(AND(INDEX(WSM,CK384,4)&gt;=$AB383,INDEX(WSM,CK384,5)&gt;=$S383,INDEX(WSM,CK384,6)&gt;=$R383),1,0)</f>
        <v>#N/A</v>
      </c>
      <c r="CM384" s="4" t="e">
        <f t="shared" ref="CM384" ca="1" si="6792">MATCH(1,OFFSET(CL383:CL394,CN383,0,COUNT(CL383:CL394)-CN383),0)</f>
        <v>#REF!</v>
      </c>
      <c r="CN384" s="4" t="e">
        <f t="shared" ref="CN384:CN394" ca="1" si="6793">CM384+CN383</f>
        <v>#REF!</v>
      </c>
      <c r="CO384" s="692" t="str">
        <f ca="1">IFERROR(VLOOKUP(INDEX(CK383:CK394,CN384),WSM,2,FALSE),"----")</f>
        <v>----</v>
      </c>
      <c r="CP384" s="691" t="e">
        <f t="shared" ref="CP384:CP394" ca="1" si="6794">CP383-1</f>
        <v>#N/A</v>
      </c>
      <c r="CQ384" s="4" t="e">
        <f ca="1">IF(AND(INDEX(STM,CP384,4)&gt;=$AB383,INDEX(STM,CP384,5)&gt;=$S383,INDEX(STM,CP384,6)&gt;=$R383),1,0)</f>
        <v>#N/A</v>
      </c>
      <c r="CR384" s="4" t="e">
        <f t="shared" ref="CR384" ca="1" si="6795">MATCH(1,OFFSET(CQ383:CQ394,CS383,0,COUNT(CQ383:CQ394)-CS383),0)</f>
        <v>#REF!</v>
      </c>
      <c r="CS384" s="4" t="e">
        <f t="shared" ref="CS384:CS394" ca="1" si="6796">CR384+CS383</f>
        <v>#REF!</v>
      </c>
      <c r="CT384" s="692" t="str">
        <f ca="1">IFERROR(VLOOKUP(INDEX(CP383:CP394,CS384),STM,2,FALSE),"----")</f>
        <v>----</v>
      </c>
      <c r="CU384" s="691" t="e">
        <f t="shared" ref="CU384:CU394" ca="1" si="6797">CU383-1</f>
        <v>#N/A</v>
      </c>
      <c r="CV384" s="4" t="e">
        <f ca="1">IF(AND(INDEX(ELM,CU384,4)&gt;=$AB383,INDEX(ELM,CU384,5)&gt;=$S383,INDEX(ELM,CU384,6)&gt;=$R383),1,0)</f>
        <v>#N/A</v>
      </c>
      <c r="CW384" s="4" t="e">
        <f t="shared" ref="CW384" ca="1" si="6798">MATCH(1,OFFSET(CV383:CV394,CX383,0,COUNT(CV383:CV394)-CX383),0)</f>
        <v>#REF!</v>
      </c>
      <c r="CX384" s="4" t="e">
        <f t="shared" ref="CX384:CX394" ca="1" si="6799">CW384+CX383</f>
        <v>#REF!</v>
      </c>
      <c r="CY384" s="692" t="str">
        <f ca="1">IFERROR(VLOOKUP(INDEX(CU383:CU394,CX384),ELM,2,FALSE),"----")</f>
        <v>----</v>
      </c>
      <c r="CZ384" s="691" t="e">
        <f t="shared" ref="CZ384:CZ394" ca="1" si="6800">CZ383-1</f>
        <v>#N/A</v>
      </c>
      <c r="DA384" s="4" t="e">
        <f ca="1">IF(LEFT($J383,7)="Clad Wo",IF(AND(INDEX(SPPWS,CZ384,4)&gt;=$AB383,INDEX(SPPWS,CZ384,5)&gt;=$S383,INDEX(SPPWS,CZ384,6)&gt;=$R383),1,0),IF(AND(INDEX(SPM,CZ384,4)&gt;=$AB383,INDEX(SPM,CZ384,5)&gt;=$S383,INDEX(SPM,CZ384,6)&gt;=$R383),1,0))</f>
        <v>#N/A</v>
      </c>
      <c r="DB384" s="4" t="e">
        <f t="shared" ref="DB384" ca="1" si="6801">MATCH(1,OFFSET(DA383:DA394,DC383,0,COUNT(DA383:DA394)-DC383),0)</f>
        <v>#REF!</v>
      </c>
      <c r="DC384" s="4" t="e">
        <f t="shared" ref="DC384:DC394" ca="1" si="6802">DC383+DB384</f>
        <v>#REF!</v>
      </c>
      <c r="DD384" s="693" t="str">
        <f ca="1">IF(LEFT($J383,7)="Clad Wo",IFERROR(VLOOKUP(INDEX(CZ383:CZ394,DC384),SPPWS,2,FALSE),"----"),IFERROR(VLOOKUP(INDEX(CZ383:CZ394,DC384),SPM,2,FALSE),"----"))</f>
        <v>----</v>
      </c>
      <c r="DE384" s="691" t="e">
        <f t="shared" ref="DE384:DE394" ca="1" si="6803">DE383-1</f>
        <v>#REF!</v>
      </c>
      <c r="DF384" s="4" t="e" cm="1">
        <f t="array" aca="1" ref="DF384" ca="1">IF(AND(INDEX(INDIRECT(BY383),DE384,4)&gt;=$AB389,INDEX(INDIRECT(BY383),DE384,5)&gt;=$S383,INDEX(INDIRECT(BY383),DE384,6)&gt;=$R383),1,0)</f>
        <v>#REF!</v>
      </c>
      <c r="DG384" s="4" t="e">
        <f t="shared" ref="DG384" ca="1" si="6804">MATCH(1,OFFSET(DF383:DF394,DH383,0,COUNT(DF383:DF394)-DH383),0)</f>
        <v>#REF!</v>
      </c>
      <c r="DH384" s="4" t="e">
        <f t="shared" ref="DH384:DH394" ca="1" si="6805">DH383+DG384</f>
        <v>#REF!</v>
      </c>
      <c r="DI384" s="692" t="str" cm="1">
        <f t="array" aca="1" ref="DI384" ca="1">IFERROR(VLOOKUP(INDEX(DE383:DE394,DH384),INDIRECT(BY383),2,FALSE),"----")</f>
        <v>----</v>
      </c>
      <c r="DJ384" s="691" t="e">
        <f t="shared" ref="DJ384:DJ394" ca="1" si="6806">DJ383-1</f>
        <v>#N/A</v>
      </c>
      <c r="DK384" s="4" t="e">
        <f ca="1">IF(AND(INDEX(SSM,DJ384,4)&gt;=$AB389,INDEX(SSM,DJ384,5)&gt;=$S383,INDEX(SSM,DJ384,6)&gt;=$R383),1,0)</f>
        <v>#N/A</v>
      </c>
      <c r="DL384" s="4" t="e">
        <f t="shared" ref="DL384" ca="1" si="6807">MATCH(1,OFFSET(DK383:DK394,DM383,0,COUNT(DK383:DK394)-DM383),0)</f>
        <v>#REF!</v>
      </c>
      <c r="DM384" s="4" t="e">
        <f t="shared" ref="DM384:DM394" ca="1" si="6808">DL384+DM383</f>
        <v>#REF!</v>
      </c>
      <c r="DN384" s="692" t="str">
        <f ca="1">IFERROR(IF(AD390="Nested Steel Stud (wood infill)",VLOOKUP(INDEX(DJ383:DJ394,DM384),SSW,2,FALSE),VLOOKUP(INDEX(DJ383:DJ394,DM384),SSM,2,FALSE)),"----")</f>
        <v>----</v>
      </c>
      <c r="DO384" s="691" t="e">
        <f t="shared" ref="DO384:DO394" ca="1" si="6809">DO383-1</f>
        <v>#N/A</v>
      </c>
      <c r="DP384" s="4" t="e">
        <f ca="1">IF(AND(INDEX(WSM,DO384,4)&gt;=$AB389,INDEX(WSM,DO384,5)&gt;=$S383,INDEX(WSM,DO384,6)&gt;=$R383),1,0)</f>
        <v>#N/A</v>
      </c>
      <c r="DQ384" s="4" t="e">
        <f t="shared" ref="DQ384" ca="1" si="6810">MATCH(1,OFFSET(DP383:DP394,DR383,0,COUNT(DP383:DP394)-DR383),0)</f>
        <v>#REF!</v>
      </c>
      <c r="DR384" s="4" t="e">
        <f t="shared" ref="DR384:DR394" ca="1" si="6811">DQ384+DR383</f>
        <v>#REF!</v>
      </c>
      <c r="DS384" s="692" t="str">
        <f ca="1">IFERROR(VLOOKUP(INDEX(DO383:DO394,DR384),WSM,2,FALSE),"----")</f>
        <v>----</v>
      </c>
      <c r="DT384" s="691" t="e">
        <f t="shared" ref="DT384:DT394" ca="1" si="6812">DT383-1</f>
        <v>#N/A</v>
      </c>
      <c r="DU384" s="4" t="e">
        <f ca="1">IF(AND(INDEX(STM,DT384,4)&gt;=$AB389,INDEX(STM,DT384,5)&gt;=$S383,INDEX(STM,DT384,6)&gt;=$R383),1,0)</f>
        <v>#N/A</v>
      </c>
      <c r="DV384" s="4" t="e">
        <f t="shared" ref="DV384" ca="1" si="6813">MATCH(1,OFFSET(DU383:DU394,DW383,0,COUNT(DU383:DU394)-DW383),0)</f>
        <v>#REF!</v>
      </c>
      <c r="DW384" s="4" t="e">
        <f t="shared" ref="DW384:DW394" ca="1" si="6814">DV384+DW383</f>
        <v>#REF!</v>
      </c>
      <c r="DX384" s="692" t="str">
        <f ca="1">IFERROR(VLOOKUP(INDEX(DT383:DT394,DW384),STM,2,FALSE),"----")</f>
        <v>----</v>
      </c>
      <c r="DY384" s="691" t="e">
        <f t="shared" ref="DY384:DY394" ca="1" si="6815">DY383-1</f>
        <v>#N/A</v>
      </c>
      <c r="DZ384" s="4" t="e">
        <f ca="1">IF(AND(INDEX(ELM,DY384,4)&gt;=$AB389,INDEX(ELM,DY384,5)&gt;=$S383,INDEX(ELM,DY384,6)&gt;=$R383),1,0)</f>
        <v>#N/A</v>
      </c>
      <c r="EA384" s="4" t="e">
        <f t="shared" ref="EA384" ca="1" si="6816">MATCH(1,OFFSET(DZ383:DZ394,EB383,0,COUNT(DZ383:DZ394)-EB383),0)</f>
        <v>#REF!</v>
      </c>
      <c r="EB384" s="4" t="e">
        <f t="shared" ref="EB384:EB394" ca="1" si="6817">EA384+EB383</f>
        <v>#REF!</v>
      </c>
      <c r="EC384" s="692" t="str">
        <f ca="1">IFERROR(VLOOKUP(INDEX(DY383:DY394,EB384),ELM,2,FALSE),"----")</f>
        <v>----</v>
      </c>
      <c r="ED384" s="691" t="e">
        <f t="shared" ref="ED384:ED394" ca="1" si="6818">ED383-1</f>
        <v>#N/A</v>
      </c>
      <c r="EE384" s="4" t="e">
        <f ca="1">IF(LEFT($J383,7)="Clad Wo",IF(AND(INDEX(SPPWS,ED384,4)&gt;=$AB389,INDEX(SPPWS,ED384,5)&gt;=$S383,INDEX(SPPWS,ED384,6)&gt;=$R383),1,0),IF(AND(INDEX(SPM,ED384,4)&gt;=$AB389,INDEX(SPM,ED384,5)&gt;=$S383,INDEX(SPM,ED384,6)&gt;=$R383),1,0))</f>
        <v>#N/A</v>
      </c>
      <c r="EF384" s="4" t="e">
        <f t="shared" ref="EF384" ca="1" si="6819">MATCH(1,OFFSET(EE383:EE394,EG383,0,COUNT(EE383:EE394)-EG383),0)</f>
        <v>#REF!</v>
      </c>
      <c r="EG384" s="4" t="e">
        <f t="shared" ref="EG384:EG394" ca="1" si="6820">EG383+EF384</f>
        <v>#REF!</v>
      </c>
      <c r="EH384" s="692" t="str">
        <f ca="1">IF(LEFT($J383,7)="Clad Wo",IFERROR(VLOOKUP(INDEX(ED383:ED394,EG384),SPPWS,2,FALSE),"----"),IFERROR(VLOOKUP(INDEX(ED383:ED394,EG384),SPM,2,FALSE),"----"))</f>
        <v>----</v>
      </c>
    </row>
    <row r="385" spans="1:138" ht="15" customHeight="1" x14ac:dyDescent="0.25">
      <c r="A385" s="1085"/>
      <c r="B385" s="925"/>
      <c r="C385" s="926"/>
      <c r="D385" s="927"/>
      <c r="E385" s="995"/>
      <c r="F385" s="996"/>
      <c r="G385" s="997"/>
      <c r="H385" s="1062"/>
      <c r="I385" s="990"/>
      <c r="J385" s="908"/>
      <c r="K385" s="909"/>
      <c r="L385" s="1002"/>
      <c r="M385" s="923"/>
      <c r="N385" s="1042"/>
      <c r="O385" s="1018"/>
      <c r="P385" s="987"/>
      <c r="Q385" s="1015"/>
      <c r="R385" s="1012"/>
      <c r="S385" s="1006"/>
      <c r="T385" s="1007"/>
      <c r="U385" s="878"/>
      <c r="V385" s="881"/>
      <c r="W385" s="884"/>
      <c r="X385" s="884"/>
      <c r="Y385" s="887"/>
      <c r="Z385" s="887"/>
      <c r="AA385" s="887"/>
      <c r="AB385" s="1081"/>
      <c r="AC385" s="1078"/>
      <c r="AD385" s="1070" t="s">
        <v>333</v>
      </c>
      <c r="AE385" s="1071"/>
      <c r="AF385" s="1052"/>
      <c r="AG385" s="1053"/>
      <c r="AH385" s="1053"/>
      <c r="AI385" s="1066"/>
      <c r="AJ385" s="1067"/>
      <c r="AK385" s="154" t="str">
        <f t="shared" ca="1" si="6208"/>
        <v/>
      </c>
      <c r="AL385" s="1039"/>
      <c r="AM385" s="344" t="str">
        <f ca="1">IFERROR(Q383/12*ROUND(VLOOKUP(AF385,OFFSET(WSM,0,1),6,FALSE),2),"")</f>
        <v/>
      </c>
      <c r="AN385" t="str">
        <f t="shared" ca="1" si="6226"/>
        <v/>
      </c>
      <c r="AP385" s="122" t="str">
        <f t="shared" ref="AP385" si="6821">_xlfn.CONCAT(AR385,AS388)</f>
        <v/>
      </c>
      <c r="AQ385" s="683" t="str">
        <f t="shared" si="6434"/>
        <v/>
      </c>
      <c r="AR385" s="4" t="str">
        <f t="shared" si="6193"/>
        <v/>
      </c>
      <c r="AS385" s="4"/>
      <c r="AT385" s="697" t="str">
        <f>AL383</f>
        <v/>
      </c>
      <c r="AU385" s="694" t="e">
        <f t="shared" ca="1" si="6450"/>
        <v>#REF!</v>
      </c>
      <c r="AV385" s="686" t="str">
        <f ca="1">IFERROR(VLOOKUP(AU385,INDIRECT(AQ383),2,FALSE),"----")</f>
        <v>----</v>
      </c>
      <c r="AW385" s="694" t="e">
        <f t="shared" ca="1" si="6774"/>
        <v>#REF!</v>
      </c>
      <c r="AX385" s="686" t="str">
        <f ca="1">IFERROR(VLOOKUP(AW385,INDIRECT(AQ384),2,FALSE),"----")</f>
        <v>----</v>
      </c>
      <c r="AY385" s="694" t="e">
        <f t="shared" ca="1" si="6775"/>
        <v>#REF!</v>
      </c>
      <c r="AZ385" s="686" t="str">
        <f ca="1">IFERROR(VLOOKUP(AY385,INDIRECT(AQ385),2,FALSE),"----")</f>
        <v>----</v>
      </c>
      <c r="BA385" s="694" t="e">
        <f t="shared" ca="1" si="6776"/>
        <v>#REF!</v>
      </c>
      <c r="BB385" s="686" t="str">
        <f ca="1">IFERROR(VLOOKUP(BA385,INDIRECT(AQ386),2,FALSE),"----")</f>
        <v>----</v>
      </c>
      <c r="BC385" s="694" t="e">
        <f t="shared" ca="1" si="6777"/>
        <v>#REF!</v>
      </c>
      <c r="BD385" s="686" t="str">
        <f ca="1">IFERROR(VLOOKUP(BC385,INDIRECT(AQ387),2,FALSE),"----")</f>
        <v>----</v>
      </c>
      <c r="BE385" s="694" t="e">
        <f t="shared" ca="1" si="6453"/>
        <v>#REF!</v>
      </c>
      <c r="BF385" s="686" t="str">
        <f ca="1">IFERROR(VLOOKUP(BE385,INDIRECT(AQ388),2,FALSE),"----")</f>
        <v>----</v>
      </c>
      <c r="BG385" s="694" t="e">
        <f t="shared" ca="1" si="6454"/>
        <v>#REF!</v>
      </c>
      <c r="BH385" s="686" t="str">
        <f ca="1">IFERROR(VLOOKUP(BG385,INDIRECT(AQ389),2,FALSE),"----")</f>
        <v>----</v>
      </c>
      <c r="BI385" s="694" t="e">
        <f t="shared" ca="1" si="6780"/>
        <v>#REF!</v>
      </c>
      <c r="BJ385" s="686" t="str">
        <f ca="1">IFERROR(VLOOKUP(BI385,INDIRECT(AQ390),2,FALSE),"----")</f>
        <v>----</v>
      </c>
      <c r="BK385" s="694" t="e">
        <f t="shared" ca="1" si="6781"/>
        <v>#REF!</v>
      </c>
      <c r="BL385" s="686" t="str">
        <f ca="1">IFERROR(VLOOKUP(BK385,INDIRECT(AQ391),2,FALSE),"----")</f>
        <v>----</v>
      </c>
      <c r="BM385" s="694" t="e">
        <f t="shared" ca="1" si="6782"/>
        <v>#REF!</v>
      </c>
      <c r="BN385" s="686" t="str">
        <f ca="1">IFERROR(VLOOKUP(BM385,INDIRECT(AQ392),2,FALSE),"----")</f>
        <v>----</v>
      </c>
      <c r="BO385" s="694" t="e">
        <f t="shared" ca="1" si="6783"/>
        <v>#REF!</v>
      </c>
      <c r="BP385" s="686" t="str">
        <f ca="1">IFERROR(VLOOKUP(BO385,INDIRECT(AQ393),2,FALSE),"----")</f>
        <v>----</v>
      </c>
      <c r="BQ385" s="694" t="e">
        <f t="shared" ca="1" si="6459"/>
        <v>#REF!</v>
      </c>
      <c r="BR385" s="686" t="str">
        <f ca="1">IFERROR(VLOOKUP(BQ385,INDIRECT(AQ394),2,FALSE),"----")</f>
        <v>----</v>
      </c>
      <c r="BS385" s="695">
        <f>IF(AI385="",1,IF(COUNTIF(AZ383:AZ394,AI385)=0,2,1))</f>
        <v>1</v>
      </c>
      <c r="BT385" s="696">
        <f>IF(AF385="",1,IF(AZ383=".",2,1))</f>
        <v>1</v>
      </c>
      <c r="BU385" s="706"/>
      <c r="BV385" s="155">
        <f ca="1">IF(COUNTIF(CO383:CO394,AF385)=0,IF(AF385&lt;&gt;"",0,1),1)</f>
        <v>1</v>
      </c>
      <c r="BW385" s="157">
        <f ca="1">IFERROR(MATCH(AF385,CO383:CO394,0),1)</f>
        <v>1</v>
      </c>
      <c r="BX385" s="769"/>
      <c r="BY385" s="769"/>
      <c r="BZ385" s="1110"/>
      <c r="CA385" s="691" t="e">
        <f t="shared" ca="1" si="6785"/>
        <v>#REF!</v>
      </c>
      <c r="CB385" s="4" t="e" cm="1">
        <f t="array" aca="1" ref="CB385" ca="1">IF(AND(INDEX(INDIRECT(BY383),CA385,4)&gt;=$AB383,INDEX(INDIRECT(BY383),CA385,5)&gt;=$S383,INDEX(INDIRECT(BY383),CA385,6)&gt;=$R383),1,0)</f>
        <v>#REF!</v>
      </c>
      <c r="CC385" s="4" t="e">
        <f t="shared" ref="CC385" ca="1" si="6822">MATCH(1,OFFSET(CB383:CB394,CD384,0,COUNT(CB383:CB394)-CD384),0)</f>
        <v>#REF!</v>
      </c>
      <c r="CD385" s="4" t="e">
        <f t="shared" ca="1" si="6787"/>
        <v>#REF!</v>
      </c>
      <c r="CE385" s="692" t="str" cm="1">
        <f t="array" aca="1" ref="CE385" ca="1">IFERROR(VLOOKUP(INDEX(CA383:CA394,CD385),INDIRECT(BY383),2,FALSE),"----")</f>
        <v>----</v>
      </c>
      <c r="CF385" s="691" t="e">
        <f t="shared" ca="1" si="6788"/>
        <v>#N/A</v>
      </c>
      <c r="CG385" s="4" t="e">
        <f ca="1">IF(AND(INDEX(SSM,CF385,4)&gt;=$AB383,INDEX(SSM,CF385,5)&gt;=$S383,INDEX(SSM,CF385,6)&gt;=$R383),1,0)</f>
        <v>#N/A</v>
      </c>
      <c r="CH385" s="4" t="e">
        <f t="shared" ref="CH385" ca="1" si="6823">MATCH(1,OFFSET(CG383:CG394,CI384,0,COUNT(CG383:CG394)-CI384),0)</f>
        <v>#REF!</v>
      </c>
      <c r="CI385" s="4" t="e">
        <f t="shared" ca="1" si="6790"/>
        <v>#REF!</v>
      </c>
      <c r="CJ385" s="692" t="str">
        <f ca="1">IFERROR(IF(AD384="Nested Steel Stud (wood infill)",VLOOKUP(INDEX(CF383:CF394,CI385),SSW,2,FALSE),VLOOKUP(INDEX(CF383:CF394,CI385),SSM,2,FALSE)),"----")</f>
        <v>----</v>
      </c>
      <c r="CK385" s="691" t="e">
        <f t="shared" ca="1" si="6791"/>
        <v>#N/A</v>
      </c>
      <c r="CL385" s="4" t="e">
        <f ca="1">IF(AND(INDEX(WSM,CK385,4)&gt;=$AB383,INDEX(WSM,CK385,5)&gt;=$S383,INDEX(WSM,CK385,6)&gt;=$R383),1,0)</f>
        <v>#N/A</v>
      </c>
      <c r="CM385" s="4" t="e">
        <f t="shared" ref="CM385" ca="1" si="6824">MATCH(1,OFFSET(CL383:CL394,CN384,0,COUNT(CL383:CL394)-CN384),0)</f>
        <v>#REF!</v>
      </c>
      <c r="CN385" s="4" t="e">
        <f t="shared" ca="1" si="6793"/>
        <v>#REF!</v>
      </c>
      <c r="CO385" s="692" t="str">
        <f ca="1">IFERROR(VLOOKUP(INDEX(CK383:CK394,CN385),WSM,2,FALSE),"----")</f>
        <v>----</v>
      </c>
      <c r="CP385" s="691" t="e">
        <f t="shared" ca="1" si="6794"/>
        <v>#N/A</v>
      </c>
      <c r="CQ385" s="4" t="e">
        <f ca="1">IF(AND(INDEX(STM,CP385,4)&gt;=$AB383,INDEX(STM,CP385,5)&gt;=$S383,INDEX(STM,CP385,6)&gt;=$R383),1,0)</f>
        <v>#N/A</v>
      </c>
      <c r="CR385" s="4" t="e">
        <f t="shared" ref="CR385" ca="1" si="6825">MATCH(1,OFFSET(CQ383:CQ394,CS384,0,COUNT(CQ383:CQ394)-CS384),0)</f>
        <v>#REF!</v>
      </c>
      <c r="CS385" s="4" t="e">
        <f t="shared" ca="1" si="6796"/>
        <v>#REF!</v>
      </c>
      <c r="CT385" s="692" t="str">
        <f ca="1">IFERROR(VLOOKUP(INDEX(CP383:CP394,CS385),STM,2,FALSE),"----")</f>
        <v>----</v>
      </c>
      <c r="CU385" s="691" t="e">
        <f t="shared" ca="1" si="6797"/>
        <v>#N/A</v>
      </c>
      <c r="CV385" s="4" t="e">
        <f ca="1">IF(AND(INDEX(ELM,CU385,4)&gt;=$AB383,INDEX(ELM,CU385,5)&gt;=$S383,INDEX(ELM,CU385,6)&gt;=$R383),1,0)</f>
        <v>#N/A</v>
      </c>
      <c r="CW385" s="4" t="e">
        <f t="shared" ref="CW385" ca="1" si="6826">MATCH(1,OFFSET(CV383:CV394,CX384,0,COUNT(CV383:CV394)-CX384),0)</f>
        <v>#REF!</v>
      </c>
      <c r="CX385" s="4" t="e">
        <f t="shared" ca="1" si="6799"/>
        <v>#REF!</v>
      </c>
      <c r="CY385" s="692" t="str">
        <f ca="1">IFERROR(VLOOKUP(INDEX(CU383:CU394,CX385),ELM,2,FALSE),"----")</f>
        <v>----</v>
      </c>
      <c r="CZ385" s="691" t="e">
        <f t="shared" ca="1" si="6800"/>
        <v>#N/A</v>
      </c>
      <c r="DA385" s="4" t="e">
        <f ca="1">IF(LEFT($J383,7)="Clad Wo",IF(AND(INDEX(SPPWS,CZ385,4)&gt;=$AB383,INDEX(SPPWS,CZ385,5)&gt;=$S383,INDEX(SPPWS,CZ385,6)&gt;=$R383),1,0),IF(AND(INDEX(SPM,CZ385,4)&gt;=$AB383,INDEX(SPM,CZ385,5)&gt;=$S383,INDEX(SPM,CZ385,6)&gt;=$R383),1,0))</f>
        <v>#N/A</v>
      </c>
      <c r="DB385" s="4" t="e">
        <f t="shared" ref="DB385" ca="1" si="6827">MATCH(1,OFFSET(DA383:DA394,DC384,0,COUNT(DA383:DA394)-DC384),0)</f>
        <v>#REF!</v>
      </c>
      <c r="DC385" s="4" t="e">
        <f t="shared" ca="1" si="6802"/>
        <v>#REF!</v>
      </c>
      <c r="DD385" s="693" t="str">
        <f ca="1">IF(LEFT($J383,7)="Clad Wo",IFERROR(VLOOKUP(INDEX(CZ383:CZ394,DC385),SPPWS,2,FALSE),"----"),IFERROR(VLOOKUP(INDEX(CZ383:CZ394,DC385),SPM,2,FALSE),"----"))</f>
        <v>----</v>
      </c>
      <c r="DE385" s="691" t="e">
        <f t="shared" ca="1" si="6803"/>
        <v>#REF!</v>
      </c>
      <c r="DF385" s="4" t="e" cm="1">
        <f t="array" aca="1" ref="DF385" ca="1">IF(AND(INDEX(INDIRECT(BY383),DE385,4)&gt;=$AB389,INDEX(INDIRECT(BY383),DE385,5)&gt;=$S383,INDEX(INDIRECT(BY383),DE385,6)&gt;=$R383),1,0)</f>
        <v>#REF!</v>
      </c>
      <c r="DG385" s="4" t="e">
        <f t="shared" ref="DG385" ca="1" si="6828">MATCH(1,OFFSET(DF383:DF394,DH384,0,COUNT(DF383:DF394)-DH384),0)</f>
        <v>#REF!</v>
      </c>
      <c r="DH385" s="4" t="e">
        <f t="shared" ca="1" si="6805"/>
        <v>#REF!</v>
      </c>
      <c r="DI385" s="692" t="str" cm="1">
        <f t="array" aca="1" ref="DI385" ca="1">IFERROR(VLOOKUP(INDEX(DE383:DE394,DH385),INDIRECT(BY383),2,FALSE),"----")</f>
        <v>----</v>
      </c>
      <c r="DJ385" s="691" t="e">
        <f t="shared" ca="1" si="6806"/>
        <v>#N/A</v>
      </c>
      <c r="DK385" s="4" t="e">
        <f ca="1">IF(AND(INDEX(SSM,DJ385,4)&gt;=$AB389,INDEX(SSM,DJ385,5)&gt;=$S383,INDEX(SSM,DJ385,6)&gt;=$R383),1,0)</f>
        <v>#N/A</v>
      </c>
      <c r="DL385" s="4" t="e">
        <f t="shared" ref="DL385" ca="1" si="6829">MATCH(1,OFFSET(DK383:DK394,DM384,0,COUNT(DK383:DK394)-DM384),0)</f>
        <v>#REF!</v>
      </c>
      <c r="DM385" s="4" t="e">
        <f t="shared" ca="1" si="6808"/>
        <v>#REF!</v>
      </c>
      <c r="DN385" s="692" t="str">
        <f ca="1">IFERROR(IF(AD390="Nested Steel Stud (wood infill)",VLOOKUP(INDEX(DJ383:DJ394,DM385),SSW,2,FALSE),VLOOKUP(INDEX(DJ383:DJ394,DM385),SSM,2,FALSE)),"----")</f>
        <v>----</v>
      </c>
      <c r="DO385" s="691" t="e">
        <f t="shared" ca="1" si="6809"/>
        <v>#N/A</v>
      </c>
      <c r="DP385" s="4" t="e">
        <f ca="1">IF(AND(INDEX(WSM,DO385,4)&gt;=$AB389,INDEX(WSM,DO385,5)&gt;=$S383,INDEX(WSM,DO385,6)&gt;=$R383),1,0)</f>
        <v>#N/A</v>
      </c>
      <c r="DQ385" s="4" t="e">
        <f t="shared" ref="DQ385" ca="1" si="6830">MATCH(1,OFFSET(DP383:DP394,DR384,0,COUNT(DP383:DP394)-DR384),0)</f>
        <v>#REF!</v>
      </c>
      <c r="DR385" s="4" t="e">
        <f t="shared" ca="1" si="6811"/>
        <v>#REF!</v>
      </c>
      <c r="DS385" s="692" t="str">
        <f ca="1">IFERROR(VLOOKUP(INDEX(DO383:DO394,DR385),WSM,2,FALSE),"----")</f>
        <v>----</v>
      </c>
      <c r="DT385" s="691" t="e">
        <f t="shared" ca="1" si="6812"/>
        <v>#N/A</v>
      </c>
      <c r="DU385" s="4" t="e">
        <f ca="1">IF(AND(INDEX(STM,DT385,4)&gt;=$AB389,INDEX(STM,DT385,5)&gt;=$S383,INDEX(STM,DT385,6)&gt;=$R383),1,0)</f>
        <v>#N/A</v>
      </c>
      <c r="DV385" s="4" t="e">
        <f t="shared" ref="DV385" ca="1" si="6831">MATCH(1,OFFSET(DU383:DU394,DW384,0,COUNT(DU383:DU394)-DW384),0)</f>
        <v>#REF!</v>
      </c>
      <c r="DW385" s="4" t="e">
        <f t="shared" ca="1" si="6814"/>
        <v>#REF!</v>
      </c>
      <c r="DX385" s="692" t="str">
        <f ca="1">IFERROR(VLOOKUP(INDEX(DT383:DT394,DW385),STM,2,FALSE),"----")</f>
        <v>----</v>
      </c>
      <c r="DY385" s="691" t="e">
        <f t="shared" ca="1" si="6815"/>
        <v>#N/A</v>
      </c>
      <c r="DZ385" s="4" t="e">
        <f ca="1">IF(AND(INDEX(ELM,DY385,4)&gt;=$AB389,INDEX(ELM,DY385,5)&gt;=$S383,INDEX(ELM,DY385,6)&gt;=$R383),1,0)</f>
        <v>#N/A</v>
      </c>
      <c r="EA385" s="4" t="e">
        <f t="shared" ref="EA385" ca="1" si="6832">MATCH(1,OFFSET(DZ383:DZ394,EB384,0,COUNT(DZ383:DZ394)-EB384),0)</f>
        <v>#REF!</v>
      </c>
      <c r="EB385" s="4" t="e">
        <f t="shared" ca="1" si="6817"/>
        <v>#REF!</v>
      </c>
      <c r="EC385" s="692" t="str">
        <f ca="1">IFERROR(VLOOKUP(INDEX(DY383:DY394,EB385),ELM,2,FALSE),"----")</f>
        <v>----</v>
      </c>
      <c r="ED385" s="691" t="e">
        <f t="shared" ca="1" si="6818"/>
        <v>#N/A</v>
      </c>
      <c r="EE385" s="4" t="e">
        <f ca="1">IF(LEFT($J383,7)="Clad Wo",IF(AND(INDEX(SPPWS,ED385,4)&gt;=$AB389,INDEX(SPPWS,ED385,5)&gt;=$S383,INDEX(SPPWS,ED385,6)&gt;=$R383),1,0),IF(AND(INDEX(SPM,ED385,4)&gt;=$AB389,INDEX(SPM,ED385,5)&gt;=$S383,INDEX(SPM,ED385,6)&gt;=$R383),1,0))</f>
        <v>#N/A</v>
      </c>
      <c r="EF385" s="4" t="e">
        <f t="shared" ref="EF385" ca="1" si="6833">MATCH(1,OFFSET(EE383:EE394,EG384,0,COUNT(EE383:EE394)-EG384),0)</f>
        <v>#REF!</v>
      </c>
      <c r="EG385" s="4" t="e">
        <f t="shared" ca="1" si="6820"/>
        <v>#REF!</v>
      </c>
      <c r="EH385" s="692" t="str">
        <f ca="1">IF(LEFT($J383,7)="Clad Wo",IFERROR(VLOOKUP(INDEX(ED383:ED394,EG385),SPPWS,2,FALSE),"----"),IFERROR(VLOOKUP(INDEX(ED383:ED394,EG385),SPM,2,FALSE),"----"))</f>
        <v>----</v>
      </c>
    </row>
    <row r="386" spans="1:138" ht="15" customHeight="1" x14ac:dyDescent="0.25">
      <c r="A386" s="1085"/>
      <c r="B386" s="925"/>
      <c r="C386" s="926"/>
      <c r="D386" s="927"/>
      <c r="E386" s="995"/>
      <c r="F386" s="996"/>
      <c r="G386" s="997"/>
      <c r="H386" s="1062"/>
      <c r="I386" s="990"/>
      <c r="J386" s="908"/>
      <c r="K386" s="909"/>
      <c r="L386" s="1002"/>
      <c r="M386" s="923"/>
      <c r="N386" s="1042"/>
      <c r="O386" s="1018"/>
      <c r="P386" s="987"/>
      <c r="Q386" s="1015"/>
      <c r="R386" s="1012"/>
      <c r="S386" s="1006"/>
      <c r="T386" s="1007"/>
      <c r="U386" s="878"/>
      <c r="V386" s="881"/>
      <c r="W386" s="884"/>
      <c r="X386" s="884"/>
      <c r="Y386" s="887"/>
      <c r="Z386" s="887"/>
      <c r="AA386" s="887"/>
      <c r="AB386" s="1081"/>
      <c r="AC386" s="1078"/>
      <c r="AD386" s="1070" t="s">
        <v>37</v>
      </c>
      <c r="AE386" s="1071"/>
      <c r="AF386" s="1052"/>
      <c r="AG386" s="1053"/>
      <c r="AH386" s="1053"/>
      <c r="AI386" s="1066"/>
      <c r="AJ386" s="1067"/>
      <c r="AK386" s="156" t="str">
        <f t="shared" ca="1" si="6208"/>
        <v/>
      </c>
      <c r="AL386" s="1039"/>
      <c r="AM386" s="343" t="str">
        <f ca="1">IFERROR(Q383/12*ROUND(VLOOKUP(AF386,OFFSET(STM,0,1),6,FALSE),2),"")</f>
        <v/>
      </c>
      <c r="AN386" t="str">
        <f t="shared" ca="1" si="6226"/>
        <v/>
      </c>
      <c r="AP386" s="122" t="str">
        <f t="shared" ref="AP386" si="6834">_xlfn.CONCAT(AR386,AS388)</f>
        <v/>
      </c>
      <c r="AQ386" s="683" t="str">
        <f t="shared" si="6434"/>
        <v/>
      </c>
      <c r="AR386" s="4" t="str">
        <f t="shared" si="6193"/>
        <v/>
      </c>
      <c r="AS386" s="4"/>
      <c r="AT386" s="697" t="str">
        <f>AL383</f>
        <v/>
      </c>
      <c r="AU386" s="694" t="e">
        <f t="shared" ca="1" si="6450"/>
        <v>#REF!</v>
      </c>
      <c r="AV386" s="686" t="str">
        <f ca="1">IFERROR(VLOOKUP(AU386,INDIRECT(AQ383),2,FALSE),"----")</f>
        <v>----</v>
      </c>
      <c r="AW386" s="694" t="e">
        <f t="shared" ca="1" si="6451"/>
        <v>#REF!</v>
      </c>
      <c r="AX386" s="686" t="str">
        <f ca="1">IFERROR(VLOOKUP(AW386,INDIRECT(AQ384),2,FALSE),"----")</f>
        <v>----</v>
      </c>
      <c r="AY386" s="694" t="e">
        <f t="shared" ref="AY386" ca="1" si="6835">AY385-1</f>
        <v>#REF!</v>
      </c>
      <c r="AZ386" s="686" t="str">
        <f ca="1">IFERROR(VLOOKUP(AY386,INDIRECT(AQ385),2,FALSE),"----")</f>
        <v>----</v>
      </c>
      <c r="BA386" s="694" t="e">
        <f t="shared" ref="BA386" ca="1" si="6836">BA385-1</f>
        <v>#REF!</v>
      </c>
      <c r="BB386" s="686" t="str">
        <f ca="1">IFERROR(VLOOKUP(BA386,INDIRECT(AQ386),2,FALSE),"----")</f>
        <v>----</v>
      </c>
      <c r="BC386" s="694" t="e">
        <f t="shared" ca="1" si="6452"/>
        <v>#REF!</v>
      </c>
      <c r="BD386" s="686" t="str">
        <f ca="1">IFERROR(VLOOKUP(BC386,INDIRECT(AQ387),2,FALSE),"----")</f>
        <v>----</v>
      </c>
      <c r="BE386" s="694" t="e">
        <f t="shared" ca="1" si="6453"/>
        <v>#REF!</v>
      </c>
      <c r="BF386" s="686" t="str">
        <f ca="1">IFERROR(VLOOKUP(BE386,INDIRECT(AQ388),2,FALSE),"----")</f>
        <v>----</v>
      </c>
      <c r="BG386" s="694" t="e">
        <f t="shared" ca="1" si="6454"/>
        <v>#REF!</v>
      </c>
      <c r="BH386" s="686" t="str">
        <f ca="1">IFERROR(VLOOKUP(BG386,INDIRECT(AQ389),2,FALSE),"----")</f>
        <v>----</v>
      </c>
      <c r="BI386" s="694" t="e">
        <f t="shared" ca="1" si="6455"/>
        <v>#REF!</v>
      </c>
      <c r="BJ386" s="686" t="str">
        <f ca="1">IFERROR(VLOOKUP(BI386,INDIRECT(AQ390),2,FALSE),"----")</f>
        <v>----</v>
      </c>
      <c r="BK386" s="694" t="e">
        <f t="shared" ca="1" si="6456"/>
        <v>#REF!</v>
      </c>
      <c r="BL386" s="686" t="str">
        <f ca="1">IFERROR(VLOOKUP(BK386,INDIRECT(AQ391),2,FALSE),"----")</f>
        <v>----</v>
      </c>
      <c r="BM386" s="694" t="e">
        <f t="shared" ca="1" si="6457"/>
        <v>#REF!</v>
      </c>
      <c r="BN386" s="686" t="str">
        <f ca="1">IFERROR(VLOOKUP(BM386,INDIRECT(AQ392),2,FALSE),"----")</f>
        <v>----</v>
      </c>
      <c r="BO386" s="694" t="e">
        <f t="shared" ca="1" si="6458"/>
        <v>#REF!</v>
      </c>
      <c r="BP386" s="686" t="str">
        <f ca="1">IFERROR(VLOOKUP(BO386,INDIRECT(AQ393),2,FALSE),"----")</f>
        <v>----</v>
      </c>
      <c r="BQ386" s="694" t="e">
        <f t="shared" ca="1" si="6459"/>
        <v>#REF!</v>
      </c>
      <c r="BR386" s="686" t="str">
        <f ca="1">IFERROR(VLOOKUP(BQ386,INDIRECT(AQ394),2,FALSE),"----")</f>
        <v>----</v>
      </c>
      <c r="BS386" s="695">
        <f>IF(AI386="",1,IF(COUNTIF(BB383:BB394,AI386)=0,2,1))</f>
        <v>1</v>
      </c>
      <c r="BT386" s="696">
        <f>IF(AF386="",1,IF(BB383=".",2,1))</f>
        <v>1</v>
      </c>
      <c r="BU386" s="706"/>
      <c r="BV386" s="155">
        <f ca="1">IF(COUNTIF(CT383:CT394,AF386)=0,IF(AF386&lt;&gt;"",0,1),1)</f>
        <v>1</v>
      </c>
      <c r="BW386" s="157">
        <f ca="1">IFERROR(MATCH(AF386,CT383:CT394,0),1)</f>
        <v>1</v>
      </c>
      <c r="BX386" s="769"/>
      <c r="BY386" s="769"/>
      <c r="BZ386" s="1110"/>
      <c r="CA386" s="691" t="e">
        <f t="shared" ca="1" si="6785"/>
        <v>#REF!</v>
      </c>
      <c r="CB386" s="4" t="e" cm="1">
        <f t="array" aca="1" ref="CB386" ca="1">IF(AND(INDEX(INDIRECT(BY383),CA386,4)&gt;=$AB383,INDEX(INDIRECT(BY383),CA386,5)&gt;=$S383,INDEX(INDIRECT(BY383),CA386,6)&gt;=$R383),1,0)</f>
        <v>#REF!</v>
      </c>
      <c r="CC386" s="4" t="e">
        <f t="shared" ref="CC386" ca="1" si="6837">MATCH(1,OFFSET(CB383:CB394,CD385,0,COUNT(CB383:CB394)-CD385),0)</f>
        <v>#REF!</v>
      </c>
      <c r="CD386" s="4" t="e">
        <f t="shared" ca="1" si="6787"/>
        <v>#REF!</v>
      </c>
      <c r="CE386" s="692" t="str" cm="1">
        <f t="array" aca="1" ref="CE386" ca="1">IFERROR(VLOOKUP(INDEX(CA383:CA394,CD386),INDIRECT(BY383),2,FALSE),"----")</f>
        <v>----</v>
      </c>
      <c r="CF386" s="691" t="e">
        <f t="shared" ca="1" si="6788"/>
        <v>#N/A</v>
      </c>
      <c r="CG386" s="4" t="e">
        <f ca="1">IF(AND(INDEX(SSM,CF386,4)&gt;=$AB383,INDEX(SSM,CF386,5)&gt;=$S383,INDEX(SSM,CF386,6)&gt;=$R383),1,0)</f>
        <v>#N/A</v>
      </c>
      <c r="CH386" s="4" t="e">
        <f t="shared" ref="CH386" ca="1" si="6838">MATCH(1,OFFSET(CG383:CG394,CI385,0,COUNT(CG383:CG394)-CI385),0)</f>
        <v>#REF!</v>
      </c>
      <c r="CI386" s="4" t="e">
        <f t="shared" ca="1" si="6790"/>
        <v>#REF!</v>
      </c>
      <c r="CJ386" s="692" t="str">
        <f ca="1">IFERROR(IF(AD384="Nested Steel Stud (wood infill)",VLOOKUP(INDEX(CF383:CF394,CI386),SSW,2,FALSE),VLOOKUP(INDEX(CF383:CF394,CI386),SSM,2,FALSE)),"----")</f>
        <v>----</v>
      </c>
      <c r="CK386" s="691" t="e">
        <f t="shared" ca="1" si="6791"/>
        <v>#N/A</v>
      </c>
      <c r="CL386" s="4" t="e">
        <f ca="1">IF(AND(INDEX(WSM,CK386,4)&gt;=$AB383,INDEX(WSM,CK386,5)&gt;=$S383,INDEX(WSM,CK386,6)&gt;=$R383),1,0)</f>
        <v>#N/A</v>
      </c>
      <c r="CM386" s="4" t="e">
        <f t="shared" ref="CM386" ca="1" si="6839">MATCH(1,OFFSET(CL383:CL394,CN385,0,COUNT(CL383:CL394)-CN385),0)</f>
        <v>#REF!</v>
      </c>
      <c r="CN386" s="4" t="e">
        <f t="shared" ca="1" si="6793"/>
        <v>#REF!</v>
      </c>
      <c r="CO386" s="692" t="str">
        <f ca="1">IFERROR(VLOOKUP(INDEX(CK383:CK394,CN386),WSM,2,FALSE),"----")</f>
        <v>----</v>
      </c>
      <c r="CP386" s="691" t="e">
        <f t="shared" ca="1" si="6794"/>
        <v>#N/A</v>
      </c>
      <c r="CQ386" s="4" t="e">
        <f ca="1">IF(AND(INDEX(STM,CP386,4)&gt;=$AB383,INDEX(STM,CP386,5)&gt;=$S383,INDEX(STM,CP386,6)&gt;=$R383),1,0)</f>
        <v>#N/A</v>
      </c>
      <c r="CR386" s="4" t="e">
        <f t="shared" ref="CR386" ca="1" si="6840">MATCH(1,OFFSET(CQ383:CQ394,CS385,0,COUNT(CQ383:CQ394)-CS385),0)</f>
        <v>#REF!</v>
      </c>
      <c r="CS386" s="4" t="e">
        <f t="shared" ca="1" si="6796"/>
        <v>#REF!</v>
      </c>
      <c r="CT386" s="692" t="str">
        <f ca="1">IFERROR(VLOOKUP(INDEX(CP383:CP394,CS386),STM,2,FALSE),"----")</f>
        <v>----</v>
      </c>
      <c r="CU386" s="691" t="e">
        <f t="shared" ca="1" si="6797"/>
        <v>#N/A</v>
      </c>
      <c r="CV386" s="4" t="e">
        <f ca="1">IF(AND(INDEX(ELM,CU386,4)&gt;=$AB383,INDEX(ELM,CU386,5)&gt;=$S383,INDEX(ELM,CU386,6)&gt;=$R383),1,0)</f>
        <v>#N/A</v>
      </c>
      <c r="CW386" s="4" t="e">
        <f t="shared" ref="CW386" ca="1" si="6841">MATCH(1,OFFSET(CV383:CV394,CX385,0,COUNT(CV383:CV394)-CX385),0)</f>
        <v>#REF!</v>
      </c>
      <c r="CX386" s="4" t="e">
        <f t="shared" ca="1" si="6799"/>
        <v>#REF!</v>
      </c>
      <c r="CY386" s="692" t="str">
        <f ca="1">IFERROR(VLOOKUP(INDEX(CU383:CU394,CX386),ELM,2,FALSE),"----")</f>
        <v>----</v>
      </c>
      <c r="CZ386" s="691" t="e">
        <f t="shared" ca="1" si="6800"/>
        <v>#N/A</v>
      </c>
      <c r="DA386" s="4" t="e">
        <f ca="1">IF(LEFT($J383,7)="Clad Wo",IF(AND(INDEX(SPPWS,CZ386,4)&gt;=$AB383,INDEX(SPPWS,CZ386,5)&gt;=$S383,INDEX(SPPWS,CZ386,6)&gt;=$R383),1,0),IF(AND(INDEX(SPM,CZ386,4)&gt;=$AB383,INDEX(SPM,CZ386,5)&gt;=$S383,INDEX(SPM,CZ386,6)&gt;=$R383),1,0))</f>
        <v>#N/A</v>
      </c>
      <c r="DB386" s="4" t="e">
        <f t="shared" ref="DB386" ca="1" si="6842">MATCH(1,OFFSET(DA383:DA394,DC385,0,COUNT(DA383:DA394)-DC385),0)</f>
        <v>#REF!</v>
      </c>
      <c r="DC386" s="4" t="e">
        <f t="shared" ca="1" si="6802"/>
        <v>#REF!</v>
      </c>
      <c r="DD386" s="693" t="str">
        <f ca="1">IF(LEFT($J383,7)="Clad Wo",IFERROR(VLOOKUP(INDEX(CZ383:CZ394,DC386),SPPWS,2,FALSE),"----"),IFERROR(VLOOKUP(INDEX(CZ383:CZ394,DC386),SPM,2,FALSE),"----"))</f>
        <v>----</v>
      </c>
      <c r="DE386" s="691" t="e">
        <f t="shared" ca="1" si="6803"/>
        <v>#REF!</v>
      </c>
      <c r="DF386" s="4" t="e" cm="1">
        <f t="array" aca="1" ref="DF386" ca="1">IF(AND(INDEX(INDIRECT(BY383),DE386,4)&gt;=$AB389,INDEX(INDIRECT(BY383),DE386,5)&gt;=$S383,INDEX(INDIRECT(BY383),DE386,6)&gt;=$R383),1,0)</f>
        <v>#REF!</v>
      </c>
      <c r="DG386" s="4" t="e">
        <f t="shared" ref="DG386" ca="1" si="6843">MATCH(1,OFFSET(DF383:DF394,DH385,0,COUNT(DF383:DF394)-DH385),0)</f>
        <v>#REF!</v>
      </c>
      <c r="DH386" s="4" t="e">
        <f t="shared" ca="1" si="6805"/>
        <v>#REF!</v>
      </c>
      <c r="DI386" s="692" t="str" cm="1">
        <f t="array" aca="1" ref="DI386" ca="1">IFERROR(VLOOKUP(INDEX(DE383:DE394,DH386),INDIRECT(BY383),2,FALSE),"----")</f>
        <v>----</v>
      </c>
      <c r="DJ386" s="691" t="e">
        <f t="shared" ca="1" si="6806"/>
        <v>#N/A</v>
      </c>
      <c r="DK386" s="4" t="e">
        <f ca="1">IF(AND(INDEX(SSM,DJ386,4)&gt;=$AB389,INDEX(SSM,DJ386,5)&gt;=$S383,INDEX(SSM,DJ386,6)&gt;=$R383),1,0)</f>
        <v>#N/A</v>
      </c>
      <c r="DL386" s="4" t="e">
        <f t="shared" ref="DL386" ca="1" si="6844">MATCH(1,OFFSET(DK383:DK394,DM385,0,COUNT(DK383:DK394)-DM385),0)</f>
        <v>#REF!</v>
      </c>
      <c r="DM386" s="4" t="e">
        <f t="shared" ca="1" si="6808"/>
        <v>#REF!</v>
      </c>
      <c r="DN386" s="692" t="str">
        <f ca="1">IFERROR(IF(AD390="Nested Steel Stud (wood infill)",VLOOKUP(INDEX(DJ383:DJ394,DM386),SSW,2,FALSE),VLOOKUP(INDEX(DJ383:DJ394,DM386),SSM,2,FALSE)),"----")</f>
        <v>----</v>
      </c>
      <c r="DO386" s="691" t="e">
        <f t="shared" ca="1" si="6809"/>
        <v>#N/A</v>
      </c>
      <c r="DP386" s="4" t="e">
        <f ca="1">IF(AND(INDEX(WSM,DO386,4)&gt;=$AB389,INDEX(WSM,DO386,5)&gt;=$S383,INDEX(WSM,DO386,6)&gt;=$R383),1,0)</f>
        <v>#N/A</v>
      </c>
      <c r="DQ386" s="4" t="e">
        <f t="shared" ref="DQ386" ca="1" si="6845">MATCH(1,OFFSET(DP383:DP394,DR385,0,COUNT(DP383:DP394)-DR385),0)</f>
        <v>#REF!</v>
      </c>
      <c r="DR386" s="4" t="e">
        <f t="shared" ca="1" si="6811"/>
        <v>#REF!</v>
      </c>
      <c r="DS386" s="692" t="str">
        <f ca="1">IFERROR(VLOOKUP(INDEX(DO383:DO394,DR386),WSM,2,FALSE),"----")</f>
        <v>----</v>
      </c>
      <c r="DT386" s="691" t="e">
        <f t="shared" ca="1" si="6812"/>
        <v>#N/A</v>
      </c>
      <c r="DU386" s="4" t="e">
        <f ca="1">IF(AND(INDEX(STM,DT386,4)&gt;=$AB389,INDEX(STM,DT386,5)&gt;=$S383,INDEX(STM,DT386,6)&gt;=$R383),1,0)</f>
        <v>#N/A</v>
      </c>
      <c r="DV386" s="4" t="e">
        <f t="shared" ref="DV386" ca="1" si="6846">MATCH(1,OFFSET(DU383:DU394,DW385,0,COUNT(DU383:DU394)-DW385),0)</f>
        <v>#REF!</v>
      </c>
      <c r="DW386" s="4" t="e">
        <f t="shared" ca="1" si="6814"/>
        <v>#REF!</v>
      </c>
      <c r="DX386" s="692" t="str">
        <f ca="1">IFERROR(VLOOKUP(INDEX(DT383:DT394,DW386),STM,2,FALSE),"----")</f>
        <v>----</v>
      </c>
      <c r="DY386" s="691" t="e">
        <f t="shared" ca="1" si="6815"/>
        <v>#N/A</v>
      </c>
      <c r="DZ386" s="4" t="e">
        <f ca="1">IF(AND(INDEX(ELM,DY386,4)&gt;=$AB389,INDEX(ELM,DY386,5)&gt;=$S383,INDEX(ELM,DY386,6)&gt;=$R383),1,0)</f>
        <v>#N/A</v>
      </c>
      <c r="EA386" s="4" t="e">
        <f t="shared" ref="EA386" ca="1" si="6847">MATCH(1,OFFSET(DZ383:DZ394,EB385,0,COUNT(DZ383:DZ394)-EB385),0)</f>
        <v>#REF!</v>
      </c>
      <c r="EB386" s="4" t="e">
        <f t="shared" ca="1" si="6817"/>
        <v>#REF!</v>
      </c>
      <c r="EC386" s="692" t="str">
        <f ca="1">IFERROR(VLOOKUP(INDEX(DY383:DY394,EB386),ELM,2,FALSE),"----")</f>
        <v>----</v>
      </c>
      <c r="ED386" s="691" t="e">
        <f t="shared" ca="1" si="6818"/>
        <v>#N/A</v>
      </c>
      <c r="EE386" s="4" t="e">
        <f ca="1">IF(LEFT($J383,7)="Clad Wo",IF(AND(INDEX(SPPWS,ED386,4)&gt;=$AB389,INDEX(SPPWS,ED386,5)&gt;=$S383,INDEX(SPPWS,ED386,6)&gt;=$R383),1,0),IF(AND(INDEX(SPM,ED386,4)&gt;=$AB389,INDEX(SPM,ED386,5)&gt;=$S383,INDEX(SPM,ED386,6)&gt;=$R383),1,0))</f>
        <v>#N/A</v>
      </c>
      <c r="EF386" s="4" t="e">
        <f t="shared" ref="EF386" ca="1" si="6848">MATCH(1,OFFSET(EE383:EE394,EG385,0,COUNT(EE383:EE394)-EG385),0)</f>
        <v>#REF!</v>
      </c>
      <c r="EG386" s="4" t="e">
        <f t="shared" ca="1" si="6820"/>
        <v>#REF!</v>
      </c>
      <c r="EH386" s="692" t="str">
        <f ca="1">IF(LEFT($J383,7)="Clad Wo",IFERROR(VLOOKUP(INDEX(ED383:ED394,EG386),SPPWS,2,FALSE),"----"),IFERROR(VLOOKUP(INDEX(ED383:ED394,EG386),SPM,2,FALSE),"----"))</f>
        <v>----</v>
      </c>
    </row>
    <row r="387" spans="1:138" ht="15" customHeight="1" x14ac:dyDescent="0.25">
      <c r="A387" s="1085"/>
      <c r="B387" s="925"/>
      <c r="C387" s="926"/>
      <c r="D387" s="927"/>
      <c r="E387" s="995"/>
      <c r="F387" s="996"/>
      <c r="G387" s="997"/>
      <c r="H387" s="1062"/>
      <c r="I387" s="990"/>
      <c r="J387" s="910"/>
      <c r="K387" s="911"/>
      <c r="L387" s="1002"/>
      <c r="M387" s="923"/>
      <c r="N387" s="1042"/>
      <c r="O387" s="1018"/>
      <c r="P387" s="987"/>
      <c r="Q387" s="1015"/>
      <c r="R387" s="1012"/>
      <c r="S387" s="1006"/>
      <c r="T387" s="1007"/>
      <c r="U387" s="878"/>
      <c r="V387" s="881"/>
      <c r="W387" s="884"/>
      <c r="X387" s="884"/>
      <c r="Y387" s="887"/>
      <c r="Z387" s="887"/>
      <c r="AA387" s="887"/>
      <c r="AB387" s="1081"/>
      <c r="AC387" s="1078"/>
      <c r="AD387" s="1070" t="s">
        <v>39</v>
      </c>
      <c r="AE387" s="1071"/>
      <c r="AF387" s="1052"/>
      <c r="AG387" s="1053"/>
      <c r="AH387" s="1053"/>
      <c r="AI387" s="1068"/>
      <c r="AJ387" s="1069"/>
      <c r="AK387" s="154" t="str">
        <f t="shared" ca="1" si="6208"/>
        <v/>
      </c>
      <c r="AL387" s="1039"/>
      <c r="AM387" s="344" t="str">
        <f ca="1">IFERROR(Q383/12*ROUND(VLOOKUP(AF387,OFFSET(ELM,0,1),6,FALSE),2),"")</f>
        <v/>
      </c>
      <c r="AN387" t="str">
        <f t="shared" ca="1" si="6226"/>
        <v/>
      </c>
      <c r="AP387" s="122" t="str">
        <f t="shared" ref="AP387" si="6849">_xlfn.CONCAT(AR387,AS388)</f>
        <v/>
      </c>
      <c r="AQ387" s="683" t="str">
        <f t="shared" si="6434"/>
        <v/>
      </c>
      <c r="AR387" s="4" t="str">
        <f t="shared" si="6193"/>
        <v/>
      </c>
      <c r="AS387" s="4"/>
      <c r="AT387" s="697" t="str">
        <f>AL383</f>
        <v/>
      </c>
      <c r="AU387" s="694" t="e">
        <f t="shared" ca="1" si="6450"/>
        <v>#REF!</v>
      </c>
      <c r="AV387" s="698" t="str">
        <f ca="1">IFERROR(VLOOKUP(AU387,INDIRECT(AQ383),2,FALSE),"----")</f>
        <v>----</v>
      </c>
      <c r="AW387" s="694" t="e">
        <f t="shared" ca="1" si="6451"/>
        <v>#REF!</v>
      </c>
      <c r="AX387" s="698" t="str">
        <f ca="1">IFERROR(VLOOKUP(AW387,INDIRECT(AQ384),2,FALSE),"----")</f>
        <v>----</v>
      </c>
      <c r="AY387" s="694" t="e">
        <f t="shared" ref="AY387" ca="1" si="6850">AY386-1</f>
        <v>#REF!</v>
      </c>
      <c r="AZ387" s="698" t="str">
        <f ca="1">IFERROR(VLOOKUP(AY387,INDIRECT(AQ385),2,FALSE),"----")</f>
        <v>----</v>
      </c>
      <c r="BA387" s="694" t="e">
        <f t="shared" ref="BA387" ca="1" si="6851">BA386-1</f>
        <v>#REF!</v>
      </c>
      <c r="BB387" s="698" t="str">
        <f ca="1">IFERROR(VLOOKUP(BA387,INDIRECT(AQ386),2,FALSE),"----")</f>
        <v>----</v>
      </c>
      <c r="BC387" s="694" t="e">
        <f t="shared" ca="1" si="6452"/>
        <v>#REF!</v>
      </c>
      <c r="BD387" s="698" t="str">
        <f ca="1">IFERROR(VLOOKUP(BC387,INDIRECT(AQ387),2,FALSE),"----")</f>
        <v>----</v>
      </c>
      <c r="BE387" s="694" t="e">
        <f t="shared" ca="1" si="6453"/>
        <v>#REF!</v>
      </c>
      <c r="BF387" s="698" t="str">
        <f ca="1">IFERROR(VLOOKUP(BE387,INDIRECT(AQ388),2,FALSE),"----")</f>
        <v>----</v>
      </c>
      <c r="BG387" s="694" t="e">
        <f t="shared" ca="1" si="6454"/>
        <v>#REF!</v>
      </c>
      <c r="BH387" s="686" t="str">
        <f ca="1">IFERROR(VLOOKUP(BG387,INDIRECT(AQ389),2,FALSE),"----")</f>
        <v>----</v>
      </c>
      <c r="BI387" s="694" t="e">
        <f t="shared" ca="1" si="6455"/>
        <v>#REF!</v>
      </c>
      <c r="BJ387" s="686" t="str">
        <f ca="1">IFERROR(VLOOKUP(BI387,INDIRECT(AQ390),2,FALSE),"----")</f>
        <v>----</v>
      </c>
      <c r="BK387" s="694" t="e">
        <f t="shared" ca="1" si="6456"/>
        <v>#REF!</v>
      </c>
      <c r="BL387" s="686" t="str">
        <f ca="1">IFERROR(VLOOKUP(BK387,INDIRECT(AQ391),2,FALSE),"----")</f>
        <v>----</v>
      </c>
      <c r="BM387" s="694" t="e">
        <f t="shared" ca="1" si="6457"/>
        <v>#REF!</v>
      </c>
      <c r="BN387" s="686" t="str">
        <f ca="1">IFERROR(VLOOKUP(BM387,INDIRECT(AQ392),2,FALSE),"----")</f>
        <v>----</v>
      </c>
      <c r="BO387" s="694" t="e">
        <f t="shared" ca="1" si="6458"/>
        <v>#REF!</v>
      </c>
      <c r="BP387" s="686" t="str">
        <f ca="1">IFERROR(VLOOKUP(BO387,INDIRECT(AQ393),2,FALSE),"----")</f>
        <v>----</v>
      </c>
      <c r="BQ387" s="694" t="e">
        <f t="shared" ca="1" si="6459"/>
        <v>#REF!</v>
      </c>
      <c r="BR387" s="686" t="str">
        <f ca="1">IFERROR(VLOOKUP(BQ387,INDIRECT(AQ394),2,FALSE),"----")</f>
        <v>----</v>
      </c>
      <c r="BS387" s="695">
        <f>IF(AI387="",1,IF(COUNTIF(BD383:BD394,AI387)=0,2,1))</f>
        <v>1</v>
      </c>
      <c r="BT387" s="696">
        <f>IF(AF387="",1,IF(BD383=".",2,1))</f>
        <v>1</v>
      </c>
      <c r="BU387" s="706"/>
      <c r="BV387" s="155">
        <f ca="1">IF(COUNTIF(CY383:CY394,AF387)=0,IF(AF387&lt;&gt;"",0,1),1)</f>
        <v>1</v>
      </c>
      <c r="BW387" s="157">
        <f ca="1">IFERROR(MATCH(AF387,CY383:CY394,0),1)</f>
        <v>1</v>
      </c>
      <c r="BX387" s="769"/>
      <c r="BY387" s="769"/>
      <c r="BZ387" s="1110"/>
      <c r="CA387" s="691" t="e">
        <f t="shared" ca="1" si="6785"/>
        <v>#REF!</v>
      </c>
      <c r="CB387" s="4" t="e" cm="1">
        <f t="array" aca="1" ref="CB387" ca="1">IF(AND(INDEX(INDIRECT(BY383),CA387,4)&gt;=$AB383,INDEX(INDIRECT(BY383),CA387,5)&gt;=$S383,INDEX(INDIRECT(BY383),CA387,6)&gt;=$R383),1,0)</f>
        <v>#REF!</v>
      </c>
      <c r="CC387" s="4" t="e">
        <f t="shared" ref="CC387" ca="1" si="6852">MATCH(1,OFFSET(CB383:CB394,CD386,0,COUNT(CB383:CB394)-CD386),0)</f>
        <v>#REF!</v>
      </c>
      <c r="CD387" s="4" t="e">
        <f t="shared" ca="1" si="6787"/>
        <v>#REF!</v>
      </c>
      <c r="CE387" s="692" t="str" cm="1">
        <f t="array" aca="1" ref="CE387" ca="1">IFERROR(VLOOKUP(INDEX(CA383:CA394,CD387),INDIRECT(BY383),2,FALSE),"----")</f>
        <v>----</v>
      </c>
      <c r="CF387" s="691" t="e">
        <f t="shared" ca="1" si="6788"/>
        <v>#N/A</v>
      </c>
      <c r="CG387" s="4" t="e">
        <f ca="1">IF(AND(INDEX(SSM,CF387,4)&gt;=$AB383,INDEX(SSM,CF387,5)&gt;=$S383,INDEX(SSM,CF387,6)&gt;=$R383),1,0)</f>
        <v>#N/A</v>
      </c>
      <c r="CH387" s="4" t="e">
        <f t="shared" ref="CH387" ca="1" si="6853">MATCH(1,OFFSET(CG383:CG394,CI386,0,COUNT(CG383:CG394)-CI386),0)</f>
        <v>#REF!</v>
      </c>
      <c r="CI387" s="4" t="e">
        <f t="shared" ca="1" si="6790"/>
        <v>#REF!</v>
      </c>
      <c r="CJ387" s="692" t="str">
        <f ca="1">IFERROR(IF(AD384="Nested Steel Stud (wood infill)",VLOOKUP(INDEX(CF383:CF394,CI387),SSW,2,FALSE),VLOOKUP(INDEX(CF383:CF394,CI387),SSM,2,FALSE)),"----")</f>
        <v>----</v>
      </c>
      <c r="CK387" s="691" t="e">
        <f t="shared" ca="1" si="6791"/>
        <v>#N/A</v>
      </c>
      <c r="CL387" s="4" t="e">
        <f ca="1">IF(AND(INDEX(WSM,CK387,4)&gt;=$AB383,INDEX(WSM,CK387,5)&gt;=$S383,INDEX(WSM,CK387,6)&gt;=$R383),1,0)</f>
        <v>#N/A</v>
      </c>
      <c r="CM387" s="4" t="e">
        <f t="shared" ref="CM387" ca="1" si="6854">MATCH(1,OFFSET(CL383:CL394,CN386,0,COUNT(CL383:CL394)-CN386),0)</f>
        <v>#REF!</v>
      </c>
      <c r="CN387" s="4" t="e">
        <f t="shared" ca="1" si="6793"/>
        <v>#REF!</v>
      </c>
      <c r="CO387" s="692" t="str">
        <f ca="1">IFERROR(VLOOKUP(INDEX(CK383:CK394,CN387),WSM,2,FALSE),"----")</f>
        <v>----</v>
      </c>
      <c r="CP387" s="691" t="e">
        <f t="shared" ca="1" si="6794"/>
        <v>#N/A</v>
      </c>
      <c r="CQ387" s="4" t="e">
        <f ca="1">IF(AND(INDEX(STM,CP387,4)&gt;=$AB383,INDEX(STM,CP387,5)&gt;=$S383,INDEX(STM,CP387,6)&gt;=$R383),1,0)</f>
        <v>#N/A</v>
      </c>
      <c r="CR387" s="4" t="e">
        <f t="shared" ref="CR387" ca="1" si="6855">MATCH(1,OFFSET(CQ383:CQ394,CS386,0,COUNT(CQ383:CQ394)-CS386),0)</f>
        <v>#REF!</v>
      </c>
      <c r="CS387" s="4" t="e">
        <f t="shared" ca="1" si="6796"/>
        <v>#REF!</v>
      </c>
      <c r="CT387" s="692" t="str">
        <f ca="1">IFERROR(VLOOKUP(INDEX(CP383:CP394,CS387),STM,2,FALSE),"----")</f>
        <v>----</v>
      </c>
      <c r="CU387" s="691" t="e">
        <f t="shared" ca="1" si="6797"/>
        <v>#N/A</v>
      </c>
      <c r="CV387" s="4" t="e">
        <f ca="1">IF(AND(INDEX(ELM,CU387,4)&gt;=$AB383,INDEX(ELM,CU387,5)&gt;=$S383,INDEX(ELM,CU387,6)&gt;=$R383),1,0)</f>
        <v>#N/A</v>
      </c>
      <c r="CW387" s="4" t="e">
        <f t="shared" ref="CW387" ca="1" si="6856">MATCH(1,OFFSET(CV383:CV394,CX386,0,COUNT(CV383:CV394)-CX386),0)</f>
        <v>#REF!</v>
      </c>
      <c r="CX387" s="4" t="e">
        <f t="shared" ca="1" si="6799"/>
        <v>#REF!</v>
      </c>
      <c r="CY387" s="692" t="str">
        <f ca="1">IFERROR(VLOOKUP(INDEX(CU383:CU394,CX387),ELM,2,FALSE),"----")</f>
        <v>----</v>
      </c>
      <c r="CZ387" s="691" t="e">
        <f t="shared" ca="1" si="6800"/>
        <v>#N/A</v>
      </c>
      <c r="DA387" s="4" t="e">
        <f ca="1">IF(LEFT($J383,7)="Clad Wo",IF(AND(INDEX(SPPWS,CZ387,4)&gt;=$AB383,INDEX(SPPWS,CZ387,5)&gt;=$S383,INDEX(SPPWS,CZ387,6)&gt;=$R383),1,0),IF(AND(INDEX(SPM,CZ387,4)&gt;=$AB383,INDEX(SPM,CZ387,5)&gt;=$S383,INDEX(SPM,CZ387,6)&gt;=$R383),1,0))</f>
        <v>#N/A</v>
      </c>
      <c r="DB387" s="4" t="e">
        <f t="shared" ref="DB387" ca="1" si="6857">MATCH(1,OFFSET(DA383:DA394,DC386,0,COUNT(DA383:DA394)-DC386),0)</f>
        <v>#REF!</v>
      </c>
      <c r="DC387" s="4" t="e">
        <f t="shared" ca="1" si="6802"/>
        <v>#REF!</v>
      </c>
      <c r="DD387" s="693" t="str">
        <f ca="1">IF(LEFT($J383,7)="Clad Wo",IFERROR(VLOOKUP(INDEX(CZ383:CZ394,DC387),SPPWS,2,FALSE),"----"),IFERROR(VLOOKUP(INDEX(CZ383:CZ394,DC387),SPM,2,FALSE),"----"))</f>
        <v>----</v>
      </c>
      <c r="DE387" s="691" t="e">
        <f t="shared" ca="1" si="6803"/>
        <v>#REF!</v>
      </c>
      <c r="DF387" s="4" t="e" cm="1">
        <f t="array" aca="1" ref="DF387" ca="1">IF(AND(INDEX(INDIRECT(BY383),DE387,4)&gt;=$AB389,INDEX(INDIRECT(BY383),DE387,5)&gt;=$S383,INDEX(INDIRECT(BY383),DE387,6)&gt;=$R383),1,0)</f>
        <v>#REF!</v>
      </c>
      <c r="DG387" s="4" t="e">
        <f t="shared" ref="DG387" ca="1" si="6858">MATCH(1,OFFSET(DF383:DF394,DH386,0,COUNT(DF383:DF394)-DH386),0)</f>
        <v>#REF!</v>
      </c>
      <c r="DH387" s="4" t="e">
        <f t="shared" ca="1" si="6805"/>
        <v>#REF!</v>
      </c>
      <c r="DI387" s="692" t="str" cm="1">
        <f t="array" aca="1" ref="DI387" ca="1">IFERROR(VLOOKUP(INDEX(DE383:DE394,DH387),INDIRECT(BY383),2,FALSE),"----")</f>
        <v>----</v>
      </c>
      <c r="DJ387" s="691" t="e">
        <f t="shared" ca="1" si="6806"/>
        <v>#N/A</v>
      </c>
      <c r="DK387" s="4" t="e">
        <f ca="1">IF(AND(INDEX(SSM,DJ387,4)&gt;=$AB389,INDEX(SSM,DJ387,5)&gt;=$S383,INDEX(SSM,DJ387,6)&gt;=$R383),1,0)</f>
        <v>#N/A</v>
      </c>
      <c r="DL387" s="4" t="e">
        <f t="shared" ref="DL387" ca="1" si="6859">MATCH(1,OFFSET(DK383:DK394,DM386,0,COUNT(DK383:DK394)-DM386),0)</f>
        <v>#REF!</v>
      </c>
      <c r="DM387" s="4" t="e">
        <f t="shared" ca="1" si="6808"/>
        <v>#REF!</v>
      </c>
      <c r="DN387" s="692" t="str">
        <f ca="1">IFERROR(IF(AD390="Nested Steel Stud (wood infill)",VLOOKUP(INDEX(DJ383:DJ394,DM387),SSW,2,FALSE),VLOOKUP(INDEX(DJ383:DJ394,DM387),SSM,2,FALSE)),"----")</f>
        <v>----</v>
      </c>
      <c r="DO387" s="691" t="e">
        <f t="shared" ca="1" si="6809"/>
        <v>#N/A</v>
      </c>
      <c r="DP387" s="4" t="e">
        <f ca="1">IF(AND(INDEX(WSM,DO387,4)&gt;=$AB389,INDEX(WSM,DO387,5)&gt;=$S383,INDEX(WSM,DO387,6)&gt;=$R383),1,0)</f>
        <v>#N/A</v>
      </c>
      <c r="DQ387" s="4" t="e">
        <f t="shared" ref="DQ387" ca="1" si="6860">MATCH(1,OFFSET(DP383:DP394,DR386,0,COUNT(DP383:DP394)-DR386),0)</f>
        <v>#REF!</v>
      </c>
      <c r="DR387" s="4" t="e">
        <f t="shared" ca="1" si="6811"/>
        <v>#REF!</v>
      </c>
      <c r="DS387" s="692" t="str">
        <f ca="1">IFERROR(VLOOKUP(INDEX(DO383:DO394,DR387),WSM,2,FALSE),"----")</f>
        <v>----</v>
      </c>
      <c r="DT387" s="691" t="e">
        <f t="shared" ca="1" si="6812"/>
        <v>#N/A</v>
      </c>
      <c r="DU387" s="4" t="e">
        <f ca="1">IF(AND(INDEX(STM,DT387,4)&gt;=$AB389,INDEX(STM,DT387,5)&gt;=$S383,INDEX(STM,DT387,6)&gt;=$R383),1,0)</f>
        <v>#N/A</v>
      </c>
      <c r="DV387" s="4" t="e">
        <f t="shared" ref="DV387" ca="1" si="6861">MATCH(1,OFFSET(DU383:DU394,DW386,0,COUNT(DU383:DU394)-DW386),0)</f>
        <v>#REF!</v>
      </c>
      <c r="DW387" s="4" t="e">
        <f t="shared" ca="1" si="6814"/>
        <v>#REF!</v>
      </c>
      <c r="DX387" s="692" t="str">
        <f ca="1">IFERROR(VLOOKUP(INDEX(DT383:DT394,DW387),STM,2,FALSE),"----")</f>
        <v>----</v>
      </c>
      <c r="DY387" s="691" t="e">
        <f t="shared" ca="1" si="6815"/>
        <v>#N/A</v>
      </c>
      <c r="DZ387" s="4" t="e">
        <f ca="1">IF(AND(INDEX(ELM,DY387,4)&gt;=$AB389,INDEX(ELM,DY387,5)&gt;=$S383,INDEX(ELM,DY387,6)&gt;=$R383),1,0)</f>
        <v>#N/A</v>
      </c>
      <c r="EA387" s="4" t="e">
        <f t="shared" ref="EA387" ca="1" si="6862">MATCH(1,OFFSET(DZ383:DZ394,EB386,0,COUNT(DZ383:DZ394)-EB386),0)</f>
        <v>#REF!</v>
      </c>
      <c r="EB387" s="4" t="e">
        <f t="shared" ca="1" si="6817"/>
        <v>#REF!</v>
      </c>
      <c r="EC387" s="692" t="str">
        <f ca="1">IFERROR(VLOOKUP(INDEX(DY383:DY394,EB387),ELM,2,FALSE),"----")</f>
        <v>----</v>
      </c>
      <c r="ED387" s="691" t="e">
        <f t="shared" ca="1" si="6818"/>
        <v>#N/A</v>
      </c>
      <c r="EE387" s="4" t="e">
        <f ca="1">IF(LEFT($J383,7)="Clad Wo",IF(AND(INDEX(SPPWS,ED387,4)&gt;=$AB389,INDEX(SPPWS,ED387,5)&gt;=$S383,INDEX(SPPWS,ED387,6)&gt;=$R383),1,0),IF(AND(INDEX(SPM,ED387,4)&gt;=$AB389,INDEX(SPM,ED387,5)&gt;=$S383,INDEX(SPM,ED387,6)&gt;=$R383),1,0))</f>
        <v>#N/A</v>
      </c>
      <c r="EF387" s="4" t="e">
        <f t="shared" ref="EF387" ca="1" si="6863">MATCH(1,OFFSET(EE383:EE394,EG386,0,COUNT(EE383:EE394)-EG386),0)</f>
        <v>#REF!</v>
      </c>
      <c r="EG387" s="4" t="e">
        <f t="shared" ca="1" si="6820"/>
        <v>#REF!</v>
      </c>
      <c r="EH387" s="692" t="str">
        <f ca="1">IF(LEFT($J383,7)="Clad Wo",IFERROR(VLOOKUP(INDEX(ED383:ED394,EG387),SPPWS,2,FALSE),"----"),IFERROR(VLOOKUP(INDEX(ED383:ED394,EG387),SPM,2,FALSE),"----"))</f>
        <v>----</v>
      </c>
    </row>
    <row r="388" spans="1:138" ht="15" customHeight="1" thickBot="1" x14ac:dyDescent="0.3">
      <c r="A388" s="1085"/>
      <c r="B388" s="934"/>
      <c r="C388" s="935"/>
      <c r="D388" s="936"/>
      <c r="E388" s="995"/>
      <c r="F388" s="996"/>
      <c r="G388" s="997"/>
      <c r="H388" s="1062"/>
      <c r="I388" s="990"/>
      <c r="J388" s="908"/>
      <c r="K388" s="909"/>
      <c r="L388" s="1010"/>
      <c r="M388" s="924"/>
      <c r="N388" s="1044"/>
      <c r="O388" s="1018"/>
      <c r="P388" s="987"/>
      <c r="Q388" s="1015"/>
      <c r="R388" s="1012"/>
      <c r="S388" s="1006"/>
      <c r="T388" s="1007"/>
      <c r="U388" s="878"/>
      <c r="V388" s="881"/>
      <c r="W388" s="889"/>
      <c r="X388" s="884"/>
      <c r="Y388" s="890"/>
      <c r="Z388" s="890"/>
      <c r="AA388" s="887"/>
      <c r="AB388" s="1084"/>
      <c r="AC388" s="1079"/>
      <c r="AD388" s="1072" t="str">
        <f t="shared" ref="AD388" si="6864">IF(LEFT(J383,7)="Clad Wo","Pella Wood Spr / Steel Pte","Steel Plate")</f>
        <v>Steel Plate</v>
      </c>
      <c r="AE388" s="1073"/>
      <c r="AF388" s="1054"/>
      <c r="AG388" s="1055"/>
      <c r="AH388" s="1055"/>
      <c r="AI388" s="1092"/>
      <c r="AJ388" s="1093"/>
      <c r="AK388" s="159" t="str">
        <f t="shared" ca="1" si="6208"/>
        <v/>
      </c>
      <c r="AL388" s="1040"/>
      <c r="AM388" s="345" t="str">
        <f ca="1">IFERROR(Q383/12*ROUND(VLOOKUP(AF388,OFFSET(SPM,0,1),6,FALSE),2),"")</f>
        <v/>
      </c>
      <c r="AN388" t="str">
        <f t="shared" ca="1" si="6226"/>
        <v/>
      </c>
      <c r="AP388" s="699" t="str">
        <f t="shared" ref="AP388" si="6865">_xlfn.CONCAT(AR388,AS388)</f>
        <v/>
      </c>
      <c r="AQ388" s="700" t="str">
        <f t="shared" si="6434"/>
        <v/>
      </c>
      <c r="AR388" s="160" t="str">
        <f t="shared" si="6193"/>
        <v/>
      </c>
      <c r="AS388" s="160" t="str">
        <f>IFERROR(VLOOKUP(J391, WallType,2,FALSE),"")</f>
        <v/>
      </c>
      <c r="AT388" s="701" t="str">
        <f>AL383</f>
        <v/>
      </c>
      <c r="AU388" s="694" t="e">
        <f t="shared" ca="1" si="6450"/>
        <v>#REF!</v>
      </c>
      <c r="AV388" s="698" t="str">
        <f ca="1">IFERROR(VLOOKUP(AU388,INDIRECT(AQ383),2,FALSE),"----")</f>
        <v>----</v>
      </c>
      <c r="AW388" s="702" t="e">
        <f t="shared" ca="1" si="6451"/>
        <v>#REF!</v>
      </c>
      <c r="AX388" s="698" t="str">
        <f ca="1">IFERROR(VLOOKUP(AW388,INDIRECT(AQ384),2,FALSE),"----")</f>
        <v>----</v>
      </c>
      <c r="AY388" s="702" t="e">
        <f t="shared" ref="AY388:AY403" ca="1" si="6866">AY387-1</f>
        <v>#REF!</v>
      </c>
      <c r="AZ388" s="698" t="str">
        <f ca="1">IFERROR(VLOOKUP(AY388,INDIRECT(AQ385),2,FALSE),"----")</f>
        <v>----</v>
      </c>
      <c r="BA388" s="702" t="e">
        <f t="shared" ref="BA388:BA403" ca="1" si="6867">BA387-1</f>
        <v>#REF!</v>
      </c>
      <c r="BB388" s="698" t="str">
        <f ca="1">IFERROR(VLOOKUP(BA388,INDIRECT(AQ386),2,FALSE),"----")</f>
        <v>----</v>
      </c>
      <c r="BC388" s="702" t="e">
        <f t="shared" ca="1" si="6452"/>
        <v>#REF!</v>
      </c>
      <c r="BD388" s="698" t="str">
        <f ca="1">IFERROR(VLOOKUP(BC388,INDIRECT(AQ387),2,FALSE),"----")</f>
        <v>----</v>
      </c>
      <c r="BE388" s="702" t="e">
        <f t="shared" ca="1" si="6453"/>
        <v>#REF!</v>
      </c>
      <c r="BF388" s="698" t="str">
        <f ca="1">IFERROR(VLOOKUP(BE388,INDIRECT(AQ388),2,FALSE),"----")</f>
        <v>----</v>
      </c>
      <c r="BG388" s="702" t="e">
        <f t="shared" ca="1" si="6454"/>
        <v>#REF!</v>
      </c>
      <c r="BH388" s="686" t="str">
        <f ca="1">IFERROR(VLOOKUP(BG388,INDIRECT(AQ389),2,FALSE),"----")</f>
        <v>----</v>
      </c>
      <c r="BI388" s="702" t="e">
        <f t="shared" ca="1" si="6455"/>
        <v>#REF!</v>
      </c>
      <c r="BJ388" s="686" t="str">
        <f ca="1">IFERROR(VLOOKUP(BI388,INDIRECT(AQ390),2,FALSE),"----")</f>
        <v>----</v>
      </c>
      <c r="BK388" s="702" t="e">
        <f t="shared" ca="1" si="6456"/>
        <v>#REF!</v>
      </c>
      <c r="BL388" s="686" t="str">
        <f ca="1">IFERROR(VLOOKUP(BK388,INDIRECT(AQ391),2,FALSE),"----")</f>
        <v>----</v>
      </c>
      <c r="BM388" s="702" t="e">
        <f t="shared" ca="1" si="6457"/>
        <v>#REF!</v>
      </c>
      <c r="BN388" s="686" t="str">
        <f ca="1">IFERROR(VLOOKUP(BM388,INDIRECT(AQ392),2,FALSE),"----")</f>
        <v>----</v>
      </c>
      <c r="BO388" s="702" t="e">
        <f t="shared" ca="1" si="6458"/>
        <v>#REF!</v>
      </c>
      <c r="BP388" s="686" t="str">
        <f ca="1">IFERROR(VLOOKUP(BO388,INDIRECT(AQ393),2,FALSE),"----")</f>
        <v>----</v>
      </c>
      <c r="BQ388" s="702" t="e">
        <f t="shared" ca="1" si="6459"/>
        <v>#REF!</v>
      </c>
      <c r="BR388" s="686" t="str">
        <f ca="1">IFERROR(VLOOKUP(BQ388,INDIRECT(AQ394),2,FALSE),"----")</f>
        <v>----</v>
      </c>
      <c r="BS388" s="703">
        <f>IF(AI388="",1,IF(COUNTIF(BF383:BF394,AI388)=0,2,1))</f>
        <v>1</v>
      </c>
      <c r="BT388" s="704">
        <f>IF(AF388="",1,IF(BF383=".",2,1))</f>
        <v>1</v>
      </c>
      <c r="BV388" s="155">
        <f ca="1">IF(COUNTIF(DD383:DD394,AF388)=0,IF(AF388&lt;&gt;"",0,1),1)</f>
        <v>1</v>
      </c>
      <c r="BW388" s="157">
        <f ca="1">IFERROR(MATCH(AF388,DD383:DD394,0),1)</f>
        <v>1</v>
      </c>
      <c r="BX388" s="875" t="s">
        <v>1594</v>
      </c>
      <c r="BY388" s="876"/>
      <c r="BZ388" s="1110"/>
      <c r="CA388" s="691" t="e">
        <f t="shared" ca="1" si="6785"/>
        <v>#REF!</v>
      </c>
      <c r="CB388" s="4" t="e" cm="1">
        <f t="array" aca="1" ref="CB388" ca="1">IF(AND(INDEX(INDIRECT(BY383),CA388,4)&gt;=$AB383,INDEX(INDIRECT(BY383),CA388,5)&gt;=$S383,INDEX(INDIRECT(BY383),CA388,6)&gt;=$R383),1,0)</f>
        <v>#REF!</v>
      </c>
      <c r="CC388" s="4" t="e">
        <f t="shared" ref="CC388" ca="1" si="6868">MATCH(1,OFFSET(CB383:CB394,CD387,0,COUNT(CB383:CB394)-CD387),0)</f>
        <v>#REF!</v>
      </c>
      <c r="CD388" s="4" t="e">
        <f t="shared" ca="1" si="6787"/>
        <v>#REF!</v>
      </c>
      <c r="CE388" s="692" t="str" cm="1">
        <f t="array" aca="1" ref="CE388" ca="1">IFERROR(VLOOKUP(INDEX(CA383:CA394,CD388),INDIRECT(BY383),2,FALSE),"----")</f>
        <v>----</v>
      </c>
      <c r="CF388" s="691" t="e">
        <f t="shared" ca="1" si="6788"/>
        <v>#N/A</v>
      </c>
      <c r="CG388" s="4" t="e">
        <f ca="1">IF(AND(INDEX(SSM,CF388,4)&gt;=$AB383,INDEX(SSM,CF388,5)&gt;=$S383,INDEX(SSM,CF388,6)&gt;=$R383),1,0)</f>
        <v>#N/A</v>
      </c>
      <c r="CH388" s="4" t="e">
        <f t="shared" ref="CH388" ca="1" si="6869">MATCH(1,OFFSET(CG383:CG394,CI387,0,COUNT(CG383:CG394)-CI387),0)</f>
        <v>#REF!</v>
      </c>
      <c r="CI388" s="4" t="e">
        <f t="shared" ca="1" si="6790"/>
        <v>#REF!</v>
      </c>
      <c r="CJ388" s="692" t="str">
        <f ca="1">IFERROR(IF(AD384="Nested Steel Stud (wood infill)",VLOOKUP(INDEX(CF383:CF394,CI388),SSW,2,FALSE),VLOOKUP(INDEX(CF383:CF394,CI388),SSM,2,FALSE)),"----")</f>
        <v>----</v>
      </c>
      <c r="CK388" s="691" t="e">
        <f t="shared" ca="1" si="6791"/>
        <v>#N/A</v>
      </c>
      <c r="CL388" s="4" t="e">
        <f ca="1">IF(AND(INDEX(WSM,CK388,4)&gt;=$AB383,INDEX(WSM,CK388,5)&gt;=$S383,INDEX(WSM,CK388,6)&gt;=$R383),1,0)</f>
        <v>#N/A</v>
      </c>
      <c r="CM388" s="4" t="e">
        <f t="shared" ref="CM388" ca="1" si="6870">MATCH(1,OFFSET(CL383:CL394,CN387,0,COUNT(CL383:CL394)-CN387),0)</f>
        <v>#REF!</v>
      </c>
      <c r="CN388" s="4" t="e">
        <f t="shared" ca="1" si="6793"/>
        <v>#REF!</v>
      </c>
      <c r="CO388" s="692" t="str">
        <f ca="1">IFERROR(VLOOKUP(INDEX(CK383:CK394,CN388),WSM,2,FALSE),"----")</f>
        <v>----</v>
      </c>
      <c r="CP388" s="691" t="e">
        <f t="shared" ca="1" si="6794"/>
        <v>#N/A</v>
      </c>
      <c r="CQ388" s="4" t="e">
        <f ca="1">IF(AND(INDEX(STM,CP388,4)&gt;=$AB383,INDEX(STM,CP388,5)&gt;=$S383,INDEX(STM,CP388,6)&gt;=$R383),1,0)</f>
        <v>#N/A</v>
      </c>
      <c r="CR388" s="4" t="e">
        <f t="shared" ref="CR388" ca="1" si="6871">MATCH(1,OFFSET(CQ383:CQ394,CS387,0,COUNT(CQ383:CQ394)-CS387),0)</f>
        <v>#REF!</v>
      </c>
      <c r="CS388" s="4" t="e">
        <f t="shared" ca="1" si="6796"/>
        <v>#REF!</v>
      </c>
      <c r="CT388" s="692" t="str">
        <f ca="1">IFERROR(VLOOKUP(INDEX(CP383:CP394,CS388),STM,2,FALSE),"----")</f>
        <v>----</v>
      </c>
      <c r="CU388" s="691" t="e">
        <f t="shared" ca="1" si="6797"/>
        <v>#N/A</v>
      </c>
      <c r="CV388" s="4" t="e">
        <f ca="1">IF(AND(INDEX(ELM,CU388,4)&gt;=$AB383,INDEX(ELM,CU388,5)&gt;=$S383,INDEX(ELM,CU388,6)&gt;=$R383),1,0)</f>
        <v>#N/A</v>
      </c>
      <c r="CW388" s="4" t="e">
        <f t="shared" ref="CW388" ca="1" si="6872">MATCH(1,OFFSET(CV383:CV394,CX387,0,COUNT(CV383:CV394)-CX387),0)</f>
        <v>#REF!</v>
      </c>
      <c r="CX388" s="4" t="e">
        <f t="shared" ca="1" si="6799"/>
        <v>#REF!</v>
      </c>
      <c r="CY388" s="692" t="str">
        <f ca="1">IFERROR(VLOOKUP(INDEX(CU383:CU394,CX388),ELM,2,FALSE),"----")</f>
        <v>----</v>
      </c>
      <c r="CZ388" s="691" t="e">
        <f t="shared" ca="1" si="6800"/>
        <v>#N/A</v>
      </c>
      <c r="DA388" s="4" t="e">
        <f ca="1">IF(LEFT($J383,7)="Clad Wo",IF(AND(INDEX(SPPWS,CZ388,4)&gt;=$AB383,INDEX(SPPWS,CZ388,5)&gt;=$S383,INDEX(SPPWS,CZ388,6)&gt;=$R383),1,0),IF(AND(INDEX(SPM,CZ388,4)&gt;=$AB383,INDEX(SPM,CZ388,5)&gt;=$S383,INDEX(SPM,CZ388,6)&gt;=$R383),1,0))</f>
        <v>#N/A</v>
      </c>
      <c r="DB388" s="4" t="e">
        <f t="shared" ref="DB388" ca="1" si="6873">MATCH(1,OFFSET(DA383:DA394,DC387,0,COUNT(DA383:DA394)-DC387),0)</f>
        <v>#REF!</v>
      </c>
      <c r="DC388" s="4" t="e">
        <f t="shared" ca="1" si="6802"/>
        <v>#REF!</v>
      </c>
      <c r="DD388" s="693" t="str">
        <f ca="1">IF(LEFT($J383,7)="Clad Wo",IFERROR(VLOOKUP(INDEX(CZ383:CZ394,DC388),SPPWS,2,FALSE),"----"),IFERROR(VLOOKUP(INDEX(CZ383:CZ394,DC388),SPM,2,FALSE),"----"))</f>
        <v>----</v>
      </c>
      <c r="DE388" s="691" t="e">
        <f t="shared" ca="1" si="6803"/>
        <v>#REF!</v>
      </c>
      <c r="DF388" s="4" t="e" cm="1">
        <f t="array" aca="1" ref="DF388" ca="1">IF(AND(INDEX(INDIRECT(BY383),DE388,4)&gt;=$AB389,INDEX(INDIRECT(BY383),DE388,5)&gt;=$S383,INDEX(INDIRECT(BY383),DE388,6)&gt;=$R383),1,0)</f>
        <v>#REF!</v>
      </c>
      <c r="DG388" s="4" t="e">
        <f t="shared" ref="DG388" ca="1" si="6874">MATCH(1,OFFSET(DF383:DF394,DH387,0,COUNT(DF383:DF394)-DH387),0)</f>
        <v>#REF!</v>
      </c>
      <c r="DH388" s="4" t="e">
        <f t="shared" ca="1" si="6805"/>
        <v>#REF!</v>
      </c>
      <c r="DI388" s="692" t="str" cm="1">
        <f t="array" aca="1" ref="DI388" ca="1">IFERROR(VLOOKUP(INDEX(DE383:DE394,DH388),INDIRECT(BY383),2,FALSE),"----")</f>
        <v>----</v>
      </c>
      <c r="DJ388" s="691" t="e">
        <f t="shared" ca="1" si="6806"/>
        <v>#N/A</v>
      </c>
      <c r="DK388" s="4" t="e">
        <f ca="1">IF(AND(INDEX(SSM,DJ388,4)&gt;=$AB389,INDEX(SSM,DJ388,5)&gt;=$S383,INDEX(SSM,DJ388,6)&gt;=$R383),1,0)</f>
        <v>#N/A</v>
      </c>
      <c r="DL388" s="4" t="e">
        <f t="shared" ref="DL388" ca="1" si="6875">MATCH(1,OFFSET(DK383:DK394,DM387,0,COUNT(DK383:DK394)-DM387),0)</f>
        <v>#REF!</v>
      </c>
      <c r="DM388" s="4" t="e">
        <f t="shared" ca="1" si="6808"/>
        <v>#REF!</v>
      </c>
      <c r="DN388" s="692" t="str">
        <f ca="1">IFERROR(IF(AD390="Nested Steel Stud (wood infill)",VLOOKUP(INDEX(DJ383:DJ394,DM388),SSW,2,FALSE),VLOOKUP(INDEX(DJ383:DJ394,DM388),SSM,2,FALSE)),"----")</f>
        <v>----</v>
      </c>
      <c r="DO388" s="691" t="e">
        <f t="shared" ca="1" si="6809"/>
        <v>#N/A</v>
      </c>
      <c r="DP388" s="4" t="e">
        <f ca="1">IF(AND(INDEX(WSM,DO388,4)&gt;=$AB389,INDEX(WSM,DO388,5)&gt;=$S383,INDEX(WSM,DO388,6)&gt;=$R383),1,0)</f>
        <v>#N/A</v>
      </c>
      <c r="DQ388" s="4" t="e">
        <f t="shared" ref="DQ388" ca="1" si="6876">MATCH(1,OFFSET(DP383:DP394,DR387,0,COUNT(DP383:DP394)-DR387),0)</f>
        <v>#REF!</v>
      </c>
      <c r="DR388" s="4" t="e">
        <f t="shared" ca="1" si="6811"/>
        <v>#REF!</v>
      </c>
      <c r="DS388" s="692" t="str">
        <f ca="1">IFERROR(VLOOKUP(INDEX(DO383:DO394,DR388),WSM,2,FALSE),"----")</f>
        <v>----</v>
      </c>
      <c r="DT388" s="691" t="e">
        <f t="shared" ca="1" si="6812"/>
        <v>#N/A</v>
      </c>
      <c r="DU388" s="4" t="e">
        <f ca="1">IF(AND(INDEX(STM,DT388,4)&gt;=$AB389,INDEX(STM,DT388,5)&gt;=$S383,INDEX(STM,DT388,6)&gt;=$R383),1,0)</f>
        <v>#N/A</v>
      </c>
      <c r="DV388" s="4" t="e">
        <f t="shared" ref="DV388" ca="1" si="6877">MATCH(1,OFFSET(DU383:DU394,DW387,0,COUNT(DU383:DU394)-DW387),0)</f>
        <v>#REF!</v>
      </c>
      <c r="DW388" s="4" t="e">
        <f t="shared" ca="1" si="6814"/>
        <v>#REF!</v>
      </c>
      <c r="DX388" s="692" t="str">
        <f ca="1">IFERROR(VLOOKUP(INDEX(DT383:DT394,DW388),STM,2,FALSE),"----")</f>
        <v>----</v>
      </c>
      <c r="DY388" s="691" t="e">
        <f t="shared" ca="1" si="6815"/>
        <v>#N/A</v>
      </c>
      <c r="DZ388" s="4" t="e">
        <f ca="1">IF(AND(INDEX(ELM,DY388,4)&gt;=$AB389,INDEX(ELM,DY388,5)&gt;=$S383,INDEX(ELM,DY388,6)&gt;=$R383),1,0)</f>
        <v>#N/A</v>
      </c>
      <c r="EA388" s="4" t="e">
        <f t="shared" ref="EA388" ca="1" si="6878">MATCH(1,OFFSET(DZ383:DZ394,EB387,0,COUNT(DZ383:DZ394)-EB387),0)</f>
        <v>#REF!</v>
      </c>
      <c r="EB388" s="4" t="e">
        <f t="shared" ca="1" si="6817"/>
        <v>#REF!</v>
      </c>
      <c r="EC388" s="692" t="str">
        <f ca="1">IFERROR(VLOOKUP(INDEX(DY383:DY394,EB388),ELM,2,FALSE),"----")</f>
        <v>----</v>
      </c>
      <c r="ED388" s="691" t="e">
        <f t="shared" ca="1" si="6818"/>
        <v>#N/A</v>
      </c>
      <c r="EE388" s="4" t="e">
        <f ca="1">IF(LEFT($J383,7)="Clad Wo",IF(AND(INDEX(SPPWS,ED388,4)&gt;=$AB389,INDEX(SPPWS,ED388,5)&gt;=$S383,INDEX(SPPWS,ED388,6)&gt;=$R383),1,0),IF(AND(INDEX(SPM,ED388,4)&gt;=$AB389,INDEX(SPM,ED388,5)&gt;=$S383,INDEX(SPM,ED388,6)&gt;=$R383),1,0))</f>
        <v>#N/A</v>
      </c>
      <c r="EF388" s="4" t="e">
        <f t="shared" ref="EF388" ca="1" si="6879">MATCH(1,OFFSET(EE383:EE394,EG387,0,COUNT(EE383:EE394)-EG387),0)</f>
        <v>#REF!</v>
      </c>
      <c r="EG388" s="4" t="e">
        <f t="shared" ca="1" si="6820"/>
        <v>#REF!</v>
      </c>
      <c r="EH388" s="692" t="str">
        <f ca="1">IF(LEFT($J383,7)="Clad Wo",IFERROR(VLOOKUP(INDEX(ED383:ED394,EG388),SPPWS,2,FALSE),"----"),IFERROR(VLOOKUP(INDEX(ED383:ED394,EG388),SPM,2,FALSE),"----"))</f>
        <v>----</v>
      </c>
    </row>
    <row r="389" spans="1:138" ht="15" customHeight="1" x14ac:dyDescent="0.25">
      <c r="A389" s="1085"/>
      <c r="B389" s="925" t="s">
        <v>409</v>
      </c>
      <c r="C389" s="926"/>
      <c r="D389" s="927"/>
      <c r="E389" s="995"/>
      <c r="F389" s="996"/>
      <c r="G389" s="997"/>
      <c r="H389" s="1062"/>
      <c r="I389" s="990"/>
      <c r="J389" s="908"/>
      <c r="K389" s="909"/>
      <c r="L389" s="1001">
        <f>L383+1</f>
        <v>5</v>
      </c>
      <c r="M389" s="1064" t="str">
        <f t="shared" ref="M389" si="6880">IFERROR(IF($AE$17="",IF($AG$19="Wind Loading",MIN($V$31,IF(E$11="ASCE 7-05",$U$26,$V$7)*$V$9*(IF($E$12&lt;60,0.156*LN(MAX(MIN(500,O383),10)) -1.7618,IF($E$11="ASCE 7-22", 0.2026*LN(MAX(MIN(500,O383),20))-2.2638,0.2503*LN(MAX(MIN(500,O383),20)) -2.5526))-$V$8)),$V$7*IF(E$12&lt;60,$V$13*($V$15*(0.156*LN(MAX(MIN(500,O383),10)) -1.7618)-$V$16),$V$13*$V$15*((0.2026*LN(MAX(MIN(500,O383),20))-2.2638)-$V$16))),-ABS($AE$17)),"")</f>
        <v/>
      </c>
      <c r="N389" s="1041" t="str">
        <f t="shared" ref="N389" si="6881">IFERROR(IF($AE$19="",IF($AG$19="Wind Loading",MAX($U$31,IF(E$11="ASCE 7-05",$U$26,$V$7)*$V$9*((IF($E$12&lt;60,-0.077*LN(MAX(MIN(500,O383),10))+1.1737,IF($E$11="ASCE 7-22",-0.077*LN(MAX(MIN(500,O383),20))+1.0798,-0.093*LN(MAX(MIN(500,O383),20))+1.1776)))+$V$8)),$V$7*IF(E$12&lt;60,$V$13*($V$15*(-0.077*LN(MAX(MIN(500,O383),10))+1.1737)-$V$17),$V$13*$V$15*((-0.077*LN(MAX(MIN(500,O383),20))+1.0798)-$V$17))),ABS($AE$19)),"")</f>
        <v/>
      </c>
      <c r="O389" s="1018"/>
      <c r="P389" s="987"/>
      <c r="Q389" s="1015"/>
      <c r="R389" s="1012">
        <f>P389*Q389/8</f>
        <v>0</v>
      </c>
      <c r="S389" s="1006"/>
      <c r="T389" s="1007"/>
      <c r="U389" s="878"/>
      <c r="V389" s="881"/>
      <c r="W389" s="883" t="e">
        <f t="shared" ref="W389" si="6882">MAX(-M389,N389)*O383</f>
        <v>#VALUE!</v>
      </c>
      <c r="X389" s="884"/>
      <c r="Y389" s="886">
        <f>IFERROR(IF(AG$14="Trapezoidal",BY392,BX392)+IF($E$17="4",(400*E383^3)/(48*X383),0),0)</f>
        <v>0</v>
      </c>
      <c r="Z389" s="886" t="e">
        <f t="shared" ref="Z389" si="6883">+($V383*MAX(-$M389,$N389)*$E383^2)/(144*8)+IF($E$17=4,(400*$E383)/4,0)</f>
        <v>#VALUE!</v>
      </c>
      <c r="AA389" s="887"/>
      <c r="AB389" s="1080" t="str">
        <f t="shared" ref="AB389" ca="1" si="6884">IFERROR(Z389-AA383,"")</f>
        <v/>
      </c>
      <c r="AC389" s="1086" t="str">
        <f t="shared" ref="AC389" ca="1" si="6885">IFERROR(Y389-U383,"")</f>
        <v/>
      </c>
      <c r="AD389" s="1074" t="str">
        <f t="shared" ref="AD389" si="6886">AD383</f>
        <v/>
      </c>
      <c r="AE389" s="1075"/>
      <c r="AF389" s="1056"/>
      <c r="AG389" s="1057"/>
      <c r="AH389" s="1057"/>
      <c r="AI389" s="1088"/>
      <c r="AJ389" s="1089"/>
      <c r="AK389" s="162" t="str">
        <f t="shared" ca="1" si="6208"/>
        <v/>
      </c>
      <c r="AL389" s="1058" t="str">
        <f t="shared" ref="AL389" si="6887">IFERROR(ROUND(SQRT(P383^2+(W389/2+IF($E$17=4,200,0))^2),0),"")</f>
        <v/>
      </c>
      <c r="AM389" s="342" t="s">
        <v>669</v>
      </c>
      <c r="AN389" t="str">
        <f t="shared" ca="1" si="6226"/>
        <v/>
      </c>
      <c r="AP389" s="122" t="str">
        <f t="shared" ref="AP389" si="6888">_xlfn.CONCAT(AR389,AS394)</f>
        <v/>
      </c>
      <c r="AQ389" s="683" t="str">
        <f t="shared" si="6434"/>
        <v/>
      </c>
      <c r="AR389" s="96" t="str">
        <f t="shared" si="6193"/>
        <v/>
      </c>
      <c r="AS389" s="96" t="str">
        <f>IF(COUNTIF(imp_1,AF389)=1,"imp_1",IF(COUNTIF(imp_2,AF389)=1,"imp_2",IF(COUNTIF(imp_3,AF389)=1,"imp_3",IF(COUNTIF(impdoor,AF389)=1,"impdoor",""))))</f>
        <v/>
      </c>
      <c r="AT389" s="684" t="str">
        <f>AL389</f>
        <v/>
      </c>
      <c r="AU389" s="685" t="e">
        <f t="shared" ca="1" si="6450"/>
        <v>#REF!</v>
      </c>
      <c r="AV389" s="686" t="str">
        <f ca="1">IFERROR(VLOOKUP(AU389,INDIRECT(AQ383),2,FALSE),"----")</f>
        <v>----</v>
      </c>
      <c r="AW389" s="685" t="e">
        <f t="shared" ca="1" si="6451"/>
        <v>#REF!</v>
      </c>
      <c r="AX389" s="686" t="str">
        <f ca="1">IFERROR(VLOOKUP(AW389,INDIRECT(AQ384),2,FALSE),"----")</f>
        <v>----</v>
      </c>
      <c r="AY389" s="685" t="e">
        <f t="shared" ca="1" si="6866"/>
        <v>#REF!</v>
      </c>
      <c r="AZ389" s="686" t="str">
        <f ca="1">IFERROR(VLOOKUP(AY389,INDIRECT(AQ385),2,FALSE),"----")</f>
        <v>----</v>
      </c>
      <c r="BA389" s="685" t="e">
        <f t="shared" ca="1" si="6867"/>
        <v>#REF!</v>
      </c>
      <c r="BB389" s="686" t="str">
        <f ca="1">IFERROR(VLOOKUP(BA389,INDIRECT(AQ386),2,FALSE),"----")</f>
        <v>----</v>
      </c>
      <c r="BC389" s="685" t="e">
        <f t="shared" ca="1" si="6452"/>
        <v>#REF!</v>
      </c>
      <c r="BD389" s="686" t="str">
        <f ca="1">IFERROR(VLOOKUP(BC389,INDIRECT(AQ387),2,FALSE),"----")</f>
        <v>----</v>
      </c>
      <c r="BE389" s="685" t="e">
        <f t="shared" ca="1" si="6453"/>
        <v>#REF!</v>
      </c>
      <c r="BF389" s="686" t="str">
        <f ca="1">IFERROR(VLOOKUP(BE389,INDIRECT(AQ388),2,FALSE),"----")</f>
        <v>----</v>
      </c>
      <c r="BG389" s="702" t="e">
        <f t="shared" ca="1" si="6454"/>
        <v>#REF!</v>
      </c>
      <c r="BH389" s="686" t="str">
        <f ca="1">IFERROR(VLOOKUP(BG389,INDIRECT(AQ389),2,FALSE),"----")</f>
        <v>----</v>
      </c>
      <c r="BI389" s="702" t="e">
        <f t="shared" ca="1" si="6455"/>
        <v>#REF!</v>
      </c>
      <c r="BJ389" s="686" t="str">
        <f ca="1">IFERROR(VLOOKUP(BI389,INDIRECT(AQ390),2,FALSE),"----")</f>
        <v>----</v>
      </c>
      <c r="BK389" s="702" t="e">
        <f t="shared" ca="1" si="6456"/>
        <v>#REF!</v>
      </c>
      <c r="BL389" s="686" t="str">
        <f ca="1">IFERROR(VLOOKUP(BK389,INDIRECT(AQ391),2,FALSE),"----")</f>
        <v>----</v>
      </c>
      <c r="BM389" s="702" t="e">
        <f t="shared" ca="1" si="6457"/>
        <v>#REF!</v>
      </c>
      <c r="BN389" s="686" t="str">
        <f ca="1">IFERROR(VLOOKUP(BM389,INDIRECT(AQ392),2,FALSE),"----")</f>
        <v>----</v>
      </c>
      <c r="BO389" s="702" t="e">
        <f t="shared" ca="1" si="6458"/>
        <v>#REF!</v>
      </c>
      <c r="BP389" s="686" t="str">
        <f ca="1">IFERROR(VLOOKUP(BO389,INDIRECT(AQ393),2,FALSE),"----")</f>
        <v>----</v>
      </c>
      <c r="BQ389" s="702" t="e">
        <f t="shared" ca="1" si="6459"/>
        <v>#REF!</v>
      </c>
      <c r="BR389" s="686" t="str">
        <f ca="1">IFERROR(VLOOKUP(BQ389,INDIRECT(AQ394),2,FALSE),"----")</f>
        <v>----</v>
      </c>
      <c r="BS389" s="695">
        <f>IF(AI389="",1,IF(COUNTIF(BH383:BH394,AI389)=0,2,1))</f>
        <v>1</v>
      </c>
      <c r="BT389" s="696">
        <f>IF(AP389="1",1,IF(AF389="",1,IF(BH383=".",2,1)))</f>
        <v>1</v>
      </c>
      <c r="BU389" s="706"/>
      <c r="BV389" s="155">
        <f ca="1">IF(COUNTIF(DI383:DI394,AF389)=0,IF(AF389&lt;&gt;"",0,1),1)</f>
        <v>1</v>
      </c>
      <c r="BW389" s="157">
        <f ca="1">IFERROR(MATCH(AF389,DI383:DI394,0),1)</f>
        <v>1</v>
      </c>
      <c r="BX389" s="769" t="s">
        <v>1593</v>
      </c>
      <c r="BY389" s="769" t="s">
        <v>1629</v>
      </c>
      <c r="BZ389" s="1110"/>
      <c r="CA389" s="691" t="e">
        <f t="shared" ca="1" si="6785"/>
        <v>#REF!</v>
      </c>
      <c r="CB389" s="4" t="e" cm="1">
        <f t="array" aca="1" ref="CB389" ca="1">IF(AND(INDEX(INDIRECT(BY383),CA389,4)&gt;=$AB383,INDEX(INDIRECT(BY383),CA389,5)&gt;=$S383,INDEX(INDIRECT(BY383),CA389,6)&gt;=$R383),1,0)</f>
        <v>#REF!</v>
      </c>
      <c r="CC389" s="4" t="e">
        <f t="shared" ref="CC389" ca="1" si="6889">MATCH(1,OFFSET(CB383:CB394,CD388,0,COUNT(CB383:CB394)-CD388),0)</f>
        <v>#REF!</v>
      </c>
      <c r="CD389" s="4" t="e">
        <f t="shared" ca="1" si="6787"/>
        <v>#REF!</v>
      </c>
      <c r="CE389" s="692" t="str" cm="1">
        <f t="array" aca="1" ref="CE389" ca="1">IFERROR(VLOOKUP(INDEX(CA383:CA394,CD389),INDIRECT(BY383),2,FALSE),"----")</f>
        <v>----</v>
      </c>
      <c r="CF389" s="691" t="e">
        <f t="shared" ca="1" si="6788"/>
        <v>#N/A</v>
      </c>
      <c r="CG389" s="4" t="e">
        <f ca="1">IF(AND(INDEX(SSM,CF389,4)&gt;=$AB383,INDEX(SSM,CF389,5)&gt;=$S383,INDEX(SSM,CF389,6)&gt;=$R383),1,0)</f>
        <v>#N/A</v>
      </c>
      <c r="CH389" s="4" t="e">
        <f t="shared" ref="CH389" ca="1" si="6890">MATCH(1,OFFSET(CG383:CG394,CI388,0,COUNT(CG383:CG394)-CI388),0)</f>
        <v>#REF!</v>
      </c>
      <c r="CI389" s="4" t="e">
        <f t="shared" ca="1" si="6790"/>
        <v>#REF!</v>
      </c>
      <c r="CJ389" s="692" t="str">
        <f ca="1">IFERROR(IF(AD384="Nested Steel Stud (wood infill)",VLOOKUP(INDEX(CF383:CF394,CI389),SSW,2,FALSE),VLOOKUP(INDEX(CF383:CF394,CI389),SSM,2,FALSE)),"----")</f>
        <v>----</v>
      </c>
      <c r="CK389" s="691" t="e">
        <f t="shared" ca="1" si="6791"/>
        <v>#N/A</v>
      </c>
      <c r="CL389" s="4" t="e">
        <f ca="1">IF(AND(INDEX(WSM,CK389,4)&gt;=$AB383,INDEX(WSM,CK389,5)&gt;=$S383,INDEX(WSM,CK389,6)&gt;=$R383),1,0)</f>
        <v>#N/A</v>
      </c>
      <c r="CM389" s="4" t="e">
        <f t="shared" ref="CM389" ca="1" si="6891">MATCH(1,OFFSET(CL383:CL394,CN388,0,COUNT(CL383:CL394)-CN388),0)</f>
        <v>#REF!</v>
      </c>
      <c r="CN389" s="4" t="e">
        <f t="shared" ca="1" si="6793"/>
        <v>#REF!</v>
      </c>
      <c r="CO389" s="692" t="str">
        <f ca="1">IFERROR(VLOOKUP(INDEX(CK383:CK394,CN389),WSM,2,FALSE),"----")</f>
        <v>----</v>
      </c>
      <c r="CP389" s="691" t="e">
        <f t="shared" ca="1" si="6794"/>
        <v>#N/A</v>
      </c>
      <c r="CQ389" s="4" t="e">
        <f ca="1">IF(AND(INDEX(STM,CP389,4)&gt;=$AB383,INDEX(STM,CP389,5)&gt;=$S383,INDEX(STM,CP389,6)&gt;=$R383),1,0)</f>
        <v>#N/A</v>
      </c>
      <c r="CR389" s="4" t="e">
        <f t="shared" ref="CR389" ca="1" si="6892">MATCH(1,OFFSET(CQ383:CQ394,CS388,0,COUNT(CQ383:CQ394)-CS388),0)</f>
        <v>#REF!</v>
      </c>
      <c r="CS389" s="4" t="e">
        <f t="shared" ca="1" si="6796"/>
        <v>#REF!</v>
      </c>
      <c r="CT389" s="692" t="str">
        <f ca="1">IFERROR(VLOOKUP(INDEX(CP383:CP394,CS389),STM,2,FALSE),"----")</f>
        <v>----</v>
      </c>
      <c r="CU389" s="691" t="e">
        <f t="shared" ca="1" si="6797"/>
        <v>#N/A</v>
      </c>
      <c r="CV389" s="4" t="e">
        <f ca="1">IF(AND(INDEX(ELM,CU389,4)&gt;=$AB383,INDEX(ELM,CU389,5)&gt;=$S383,INDEX(ELM,CU389,6)&gt;=$R383),1,0)</f>
        <v>#N/A</v>
      </c>
      <c r="CW389" s="4" t="e">
        <f t="shared" ref="CW389" ca="1" si="6893">MATCH(1,OFFSET(CV383:CV394,CX388,0,COUNT(CV383:CV394)-CX388),0)</f>
        <v>#REF!</v>
      </c>
      <c r="CX389" s="4" t="e">
        <f t="shared" ca="1" si="6799"/>
        <v>#REF!</v>
      </c>
      <c r="CY389" s="692" t="str">
        <f ca="1">IFERROR(VLOOKUP(INDEX(CU383:CU394,CX389),ELM,2,FALSE),"----")</f>
        <v>----</v>
      </c>
      <c r="CZ389" s="691" t="e">
        <f t="shared" ca="1" si="6800"/>
        <v>#N/A</v>
      </c>
      <c r="DA389" s="4" t="e">
        <f ca="1">IF(LEFT($J383,7)="Clad Wo",IF(AND(INDEX(SPPWS,CZ389,4)&gt;=$AB383,INDEX(SPPWS,CZ389,5)&gt;=$S383,INDEX(SPPWS,CZ389,6)&gt;=$R383),1,0),IF(AND(INDEX(SPM,CZ389,4)&gt;=$AB383,INDEX(SPM,CZ389,5)&gt;=$S383,INDEX(SPM,CZ389,6)&gt;=$R383),1,0))</f>
        <v>#N/A</v>
      </c>
      <c r="DB389" s="4" t="e">
        <f t="shared" ref="DB389" ca="1" si="6894">MATCH(1,OFFSET(DA383:DA394,DC388,0,COUNT(DA383:DA394)-DC388),0)</f>
        <v>#REF!</v>
      </c>
      <c r="DC389" s="4" t="e">
        <f t="shared" ca="1" si="6802"/>
        <v>#REF!</v>
      </c>
      <c r="DD389" s="693" t="str">
        <f ca="1">IF(LEFT($J383,7)="Clad Wo",IFERROR(VLOOKUP(INDEX(CZ383:CZ394,DC389),SPPWS,2,FALSE),"----"),IFERROR(VLOOKUP(INDEX(CZ383:CZ394,DC389),SPM,2,FALSE),"----"))</f>
        <v>----</v>
      </c>
      <c r="DE389" s="691" t="e">
        <f t="shared" ca="1" si="6803"/>
        <v>#REF!</v>
      </c>
      <c r="DF389" s="4" t="e" cm="1">
        <f t="array" aca="1" ref="DF389" ca="1">IF(AND(INDEX(INDIRECT(BY383),DE389,4)&gt;=$AB389,INDEX(INDIRECT(BY383),DE389,5)&gt;=$S383,INDEX(INDIRECT(BY383),DE389,6)&gt;=$R383),1,0)</f>
        <v>#REF!</v>
      </c>
      <c r="DG389" s="4" t="e">
        <f t="shared" ref="DG389" ca="1" si="6895">MATCH(1,OFFSET(DF383:DF394,DH388,0,COUNT(DF383:DF394)-DH388),0)</f>
        <v>#REF!</v>
      </c>
      <c r="DH389" s="4" t="e">
        <f t="shared" ca="1" si="6805"/>
        <v>#REF!</v>
      </c>
      <c r="DI389" s="692" t="str" cm="1">
        <f t="array" aca="1" ref="DI389" ca="1">IFERROR(VLOOKUP(INDEX(DE383:DE394,DH389),INDIRECT(BY383),2,FALSE),"----")</f>
        <v>----</v>
      </c>
      <c r="DJ389" s="691" t="e">
        <f t="shared" ca="1" si="6806"/>
        <v>#N/A</v>
      </c>
      <c r="DK389" s="4" t="e">
        <f ca="1">IF(AND(INDEX(SSM,DJ389,4)&gt;=$AB389,INDEX(SSM,DJ389,5)&gt;=$S383,INDEX(SSM,DJ389,6)&gt;=$R383),1,0)</f>
        <v>#N/A</v>
      </c>
      <c r="DL389" s="4" t="e">
        <f t="shared" ref="DL389" ca="1" si="6896">MATCH(1,OFFSET(DK383:DK394,DM388,0,COUNT(DK383:DK394)-DM388),0)</f>
        <v>#REF!</v>
      </c>
      <c r="DM389" s="4" t="e">
        <f t="shared" ca="1" si="6808"/>
        <v>#REF!</v>
      </c>
      <c r="DN389" s="692" t="str">
        <f ca="1">IFERROR(IF(AD390="Nested Steel Stud (wood infill)",VLOOKUP(INDEX(DJ383:DJ394,DM389),SSW,2,FALSE),VLOOKUP(INDEX(DJ383:DJ394,DM389),SSM,2,FALSE)),"----")</f>
        <v>----</v>
      </c>
      <c r="DO389" s="691" t="e">
        <f t="shared" ca="1" si="6809"/>
        <v>#N/A</v>
      </c>
      <c r="DP389" s="4" t="e">
        <f ca="1">IF(AND(INDEX(WSM,DO389,4)&gt;=$AB389,INDEX(WSM,DO389,5)&gt;=$S383,INDEX(WSM,DO389,6)&gt;=$R383),1,0)</f>
        <v>#N/A</v>
      </c>
      <c r="DQ389" s="4" t="e">
        <f t="shared" ref="DQ389" ca="1" si="6897">MATCH(1,OFFSET(DP383:DP394,DR388,0,COUNT(DP383:DP394)-DR388),0)</f>
        <v>#REF!</v>
      </c>
      <c r="DR389" s="4" t="e">
        <f t="shared" ca="1" si="6811"/>
        <v>#REF!</v>
      </c>
      <c r="DS389" s="692" t="str">
        <f ca="1">IFERROR(VLOOKUP(INDEX(DO383:DO394,DR389),WSM,2,FALSE),"----")</f>
        <v>----</v>
      </c>
      <c r="DT389" s="691" t="e">
        <f t="shared" ca="1" si="6812"/>
        <v>#N/A</v>
      </c>
      <c r="DU389" s="4" t="e">
        <f ca="1">IF(AND(INDEX(STM,DT389,4)&gt;=$AB389,INDEX(STM,DT389,5)&gt;=$S383,INDEX(STM,DT389,6)&gt;=$R383),1,0)</f>
        <v>#N/A</v>
      </c>
      <c r="DV389" s="4" t="e">
        <f t="shared" ref="DV389" ca="1" si="6898">MATCH(1,OFFSET(DU383:DU394,DW388,0,COUNT(DU383:DU394)-DW388),0)</f>
        <v>#REF!</v>
      </c>
      <c r="DW389" s="4" t="e">
        <f t="shared" ca="1" si="6814"/>
        <v>#REF!</v>
      </c>
      <c r="DX389" s="692" t="str">
        <f ca="1">IFERROR(VLOOKUP(INDEX(DT383:DT394,DW389),STM,2,FALSE),"----")</f>
        <v>----</v>
      </c>
      <c r="DY389" s="691" t="e">
        <f t="shared" ca="1" si="6815"/>
        <v>#N/A</v>
      </c>
      <c r="DZ389" s="4" t="e">
        <f ca="1">IF(AND(INDEX(ELM,DY389,4)&gt;=$AB389,INDEX(ELM,DY389,5)&gt;=$S383,INDEX(ELM,DY389,6)&gt;=$R383),1,0)</f>
        <v>#N/A</v>
      </c>
      <c r="EA389" s="4" t="e">
        <f t="shared" ref="EA389" ca="1" si="6899">MATCH(1,OFFSET(DZ383:DZ394,EB388,0,COUNT(DZ383:DZ394)-EB388),0)</f>
        <v>#REF!</v>
      </c>
      <c r="EB389" s="4" t="e">
        <f t="shared" ca="1" si="6817"/>
        <v>#REF!</v>
      </c>
      <c r="EC389" s="692" t="str">
        <f ca="1">IFERROR(VLOOKUP(INDEX(DY383:DY394,EB389),ELM,2,FALSE),"----")</f>
        <v>----</v>
      </c>
      <c r="ED389" s="691" t="e">
        <f t="shared" ca="1" si="6818"/>
        <v>#N/A</v>
      </c>
      <c r="EE389" s="4" t="e">
        <f ca="1">IF(LEFT($J383,7)="Clad Wo",IF(AND(INDEX(SPPWS,ED389,4)&gt;=$AB389,INDEX(SPPWS,ED389,5)&gt;=$S383,INDEX(SPPWS,ED389,6)&gt;=$R383),1,0),IF(AND(INDEX(SPM,ED389,4)&gt;=$AB389,INDEX(SPM,ED389,5)&gt;=$S383,INDEX(SPM,ED389,6)&gt;=$R383),1,0))</f>
        <v>#N/A</v>
      </c>
      <c r="EF389" s="4" t="e">
        <f t="shared" ref="EF389" ca="1" si="6900">MATCH(1,OFFSET(EE383:EE394,EG388,0,COUNT(EE383:EE394)-EG388),0)</f>
        <v>#REF!</v>
      </c>
      <c r="EG389" s="4" t="e">
        <f t="shared" ca="1" si="6820"/>
        <v>#REF!</v>
      </c>
      <c r="EH389" s="692" t="str">
        <f ca="1">IF(LEFT($J383,7)="Clad Wo",IFERROR(VLOOKUP(INDEX(ED383:ED394,EG389),SPPWS,2,FALSE),"----"),IFERROR(VLOOKUP(INDEX(ED383:ED394,EG389),SPM,2,FALSE),"----"))</f>
        <v>----</v>
      </c>
    </row>
    <row r="390" spans="1:138" ht="15" customHeight="1" x14ac:dyDescent="0.25">
      <c r="A390" s="1085"/>
      <c r="B390" s="925"/>
      <c r="C390" s="926"/>
      <c r="D390" s="927"/>
      <c r="E390" s="995"/>
      <c r="F390" s="996"/>
      <c r="G390" s="997"/>
      <c r="H390" s="1062"/>
      <c r="I390" s="990"/>
      <c r="J390" s="912"/>
      <c r="K390" s="913"/>
      <c r="L390" s="1002"/>
      <c r="M390" s="923"/>
      <c r="N390" s="1042"/>
      <c r="O390" s="1018"/>
      <c r="P390" s="987"/>
      <c r="Q390" s="1015"/>
      <c r="R390" s="1012"/>
      <c r="S390" s="1006"/>
      <c r="T390" s="1007"/>
      <c r="U390" s="878"/>
      <c r="V390" s="881"/>
      <c r="W390" s="884"/>
      <c r="X390" s="884"/>
      <c r="Y390" s="887"/>
      <c r="Z390" s="887"/>
      <c r="AA390" s="887"/>
      <c r="AB390" s="1081"/>
      <c r="AC390" s="1078"/>
      <c r="AD390" s="1070" t="str">
        <f t="shared" ref="AD390" si="6901">IF(ISBLANK(AD384)=TRUE,"",AD384)</f>
        <v>Nested Steel Stud</v>
      </c>
      <c r="AE390" s="1071"/>
      <c r="AF390" s="1052"/>
      <c r="AG390" s="1053"/>
      <c r="AH390" s="1053"/>
      <c r="AI390" s="1066"/>
      <c r="AJ390" s="1067"/>
      <c r="AK390" s="156" t="str">
        <f t="shared" ca="1" si="6208"/>
        <v/>
      </c>
      <c r="AL390" s="1059"/>
      <c r="AM390" s="343" t="str">
        <f ca="1">IFERROR(Q383/12*ROUND(VLOOKUP(AF390,OFFSET(SSM,0,1),6,FALSE),2),"")</f>
        <v/>
      </c>
      <c r="AN390" t="str">
        <f t="shared" ca="1" si="6226"/>
        <v/>
      </c>
      <c r="AP390" s="122" t="str">
        <f t="shared" ref="AP390" si="6902">_xlfn.CONCAT(AR390,AS394)</f>
        <v/>
      </c>
      <c r="AQ390" s="683" t="str">
        <f t="shared" si="6434"/>
        <v/>
      </c>
      <c r="AR390" s="96" t="str">
        <f t="shared" si="6193"/>
        <v/>
      </c>
      <c r="AS390" s="96" t="str">
        <f>IF(COUNTIF(Vista_1,AF389)=1,"Vista_1",IF(COUNTIF(Vista_2,AF389)=1,"Vista_2",""))</f>
        <v/>
      </c>
      <c r="AT390" s="684" t="str">
        <f>AL389</f>
        <v/>
      </c>
      <c r="AU390" s="694" t="e">
        <f t="shared" ca="1" si="6450"/>
        <v>#REF!</v>
      </c>
      <c r="AV390" s="686" t="str">
        <f ca="1">IFERROR(VLOOKUP(AU390,INDIRECT(AQ383),2,FALSE),"----")</f>
        <v>----</v>
      </c>
      <c r="AW390" s="694" t="e">
        <f t="shared" ca="1" si="6451"/>
        <v>#REF!</v>
      </c>
      <c r="AX390" s="686" t="str">
        <f ca="1">IFERROR(VLOOKUP(AW390,INDIRECT(AQ384),2,FALSE),"----")</f>
        <v>----</v>
      </c>
      <c r="AY390" s="694" t="e">
        <f t="shared" ca="1" si="6866"/>
        <v>#REF!</v>
      </c>
      <c r="AZ390" s="686" t="str">
        <f ca="1">IFERROR(VLOOKUP(AY390,INDIRECT(AQ385),2,FALSE),"----")</f>
        <v>----</v>
      </c>
      <c r="BA390" s="694" t="e">
        <f t="shared" ca="1" si="6867"/>
        <v>#REF!</v>
      </c>
      <c r="BB390" s="686" t="str">
        <f ca="1">IFERROR(VLOOKUP(BA390,INDIRECT(AQ386),2,FALSE),"----")</f>
        <v>----</v>
      </c>
      <c r="BC390" s="694" t="e">
        <f t="shared" ca="1" si="6452"/>
        <v>#REF!</v>
      </c>
      <c r="BD390" s="686" t="str">
        <f ca="1">IFERROR(VLOOKUP(BC390,INDIRECT(AQ387),2,FALSE),"----")</f>
        <v>----</v>
      </c>
      <c r="BE390" s="694" t="e">
        <f t="shared" ca="1" si="6453"/>
        <v>#REF!</v>
      </c>
      <c r="BF390" s="686" t="str">
        <f ca="1">IFERROR(VLOOKUP(BE390,INDIRECT(AQ388),2,FALSE),"----")</f>
        <v>----</v>
      </c>
      <c r="BG390" s="702" t="e">
        <f t="shared" ca="1" si="6454"/>
        <v>#REF!</v>
      </c>
      <c r="BH390" s="686" t="str">
        <f ca="1">IFERROR(VLOOKUP(BG390,INDIRECT(AQ389),2,FALSE),"----")</f>
        <v>----</v>
      </c>
      <c r="BI390" s="702" t="e">
        <f t="shared" ca="1" si="6455"/>
        <v>#REF!</v>
      </c>
      <c r="BJ390" s="686" t="str">
        <f ca="1">IFERROR(VLOOKUP(BI390,INDIRECT(AQ390),2,FALSE),"----")</f>
        <v>----</v>
      </c>
      <c r="BK390" s="702" t="e">
        <f t="shared" ca="1" si="6456"/>
        <v>#REF!</v>
      </c>
      <c r="BL390" s="686" t="str">
        <f ca="1">IFERROR(VLOOKUP(BK390,INDIRECT(AQ391),2,FALSE),"----")</f>
        <v>----</v>
      </c>
      <c r="BM390" s="702" t="e">
        <f t="shared" ca="1" si="6457"/>
        <v>#REF!</v>
      </c>
      <c r="BN390" s="686" t="str">
        <f ca="1">IFERROR(VLOOKUP(BM390,INDIRECT(AQ392),2,FALSE),"----")</f>
        <v>----</v>
      </c>
      <c r="BO390" s="702" t="e">
        <f t="shared" ca="1" si="6458"/>
        <v>#REF!</v>
      </c>
      <c r="BP390" s="686" t="str">
        <f ca="1">IFERROR(VLOOKUP(BO390,INDIRECT(AQ393),2,FALSE),"----")</f>
        <v>----</v>
      </c>
      <c r="BQ390" s="702" t="e">
        <f t="shared" ca="1" si="6459"/>
        <v>#REF!</v>
      </c>
      <c r="BR390" s="686" t="str">
        <f ca="1">IFERROR(VLOOKUP(BQ390,INDIRECT(AQ394),2,FALSE),"----")</f>
        <v>----</v>
      </c>
      <c r="BS390" s="695">
        <f>IF(AI390="",1,IF(COUNTIF(BJ383:BJ394,AI390)=0,2,1))</f>
        <v>1</v>
      </c>
      <c r="BT390" s="696">
        <f>IF(AF390="",1,IF(BJ383=".",2,1))</f>
        <v>1</v>
      </c>
      <c r="BU390" s="706"/>
      <c r="BV390" s="155">
        <f ca="1">IF(COUNTIF(DN383:DN394,AF390)=0,IF(AF390&lt;&gt;"",0,1),1)</f>
        <v>1</v>
      </c>
      <c r="BW390" s="157">
        <f ca="1">IFERROR(MATCH(AF390,DN383:DN394,0),1)</f>
        <v>1</v>
      </c>
      <c r="BX390" s="769">
        <f t="shared" ref="BX390" si="6903">E383*(H383+I383)/144/2</f>
        <v>0</v>
      </c>
      <c r="BY390" s="769">
        <f>SUM(IF(H383&gt;E383,E383^2/4,(H383*E383/2)-(H383^2/4))/144,IF(I383&gt;E383,E383^2/4,(I383*E383/2)-(I383^2/4))/144)</f>
        <v>0</v>
      </c>
      <c r="BZ390" s="1110"/>
      <c r="CA390" s="691" t="e">
        <f t="shared" ca="1" si="6785"/>
        <v>#REF!</v>
      </c>
      <c r="CB390" s="4" t="e" cm="1">
        <f t="array" aca="1" ref="CB390" ca="1">IF(AND(INDEX(INDIRECT(BY383),CA390,4)&gt;=$AB383,INDEX(INDIRECT(BY383),CA390,5)&gt;=$S383,INDEX(INDIRECT(BY383),CA390,6)&gt;=$R383),1,0)</f>
        <v>#REF!</v>
      </c>
      <c r="CC390" s="4" t="e">
        <f t="shared" ref="CC390" ca="1" si="6904">MATCH(1,OFFSET(CB383:CB394,CD389,0,COUNT(CB383:CB394)-CD389),0)</f>
        <v>#REF!</v>
      </c>
      <c r="CD390" s="4" t="e">
        <f t="shared" ca="1" si="6787"/>
        <v>#REF!</v>
      </c>
      <c r="CE390" s="692" t="str" cm="1">
        <f t="array" aca="1" ref="CE390" ca="1">IFERROR(VLOOKUP(INDEX(CA383:CA394,CD390),INDIRECT(BY383),2,FALSE),"----")</f>
        <v>----</v>
      </c>
      <c r="CF390" s="691" t="e">
        <f t="shared" ca="1" si="6788"/>
        <v>#N/A</v>
      </c>
      <c r="CG390" s="4" t="e">
        <f ca="1">IF(AND(INDEX(SSM,CF390,4)&gt;=$AB383,INDEX(SSM,CF390,5)&gt;=$S383,INDEX(SSM,CF390,6)&gt;=$R383),1,0)</f>
        <v>#N/A</v>
      </c>
      <c r="CH390" s="4" t="e">
        <f t="shared" ref="CH390" ca="1" si="6905">MATCH(1,OFFSET(CG383:CG394,CI389,0,COUNT(CG383:CG394)-CI389),0)</f>
        <v>#REF!</v>
      </c>
      <c r="CI390" s="4" t="e">
        <f t="shared" ca="1" si="6790"/>
        <v>#REF!</v>
      </c>
      <c r="CJ390" s="692" t="str">
        <f ca="1">IFERROR(IF(AD384="Nested Steel Stud (wood infill)",VLOOKUP(INDEX(CF383:CF394,CI390),SSW,2,FALSE),VLOOKUP(INDEX(CF383:CF394,CI390),SSM,2,FALSE)),"----")</f>
        <v>----</v>
      </c>
      <c r="CK390" s="691" t="e">
        <f t="shared" ca="1" si="6791"/>
        <v>#N/A</v>
      </c>
      <c r="CL390" s="4" t="e">
        <f ca="1">IF(AND(INDEX(WSM,CK390,4)&gt;=$AB383,INDEX(WSM,CK390,5)&gt;=$S383,INDEX(WSM,CK390,6)&gt;=$R383),1,0)</f>
        <v>#N/A</v>
      </c>
      <c r="CM390" s="4" t="e">
        <f t="shared" ref="CM390" ca="1" si="6906">MATCH(1,OFFSET(CL383:CL394,CN389,0,COUNT(CL383:CL394)-CN389),0)</f>
        <v>#REF!</v>
      </c>
      <c r="CN390" s="4" t="e">
        <f t="shared" ca="1" si="6793"/>
        <v>#REF!</v>
      </c>
      <c r="CO390" s="692" t="str">
        <f ca="1">IFERROR(VLOOKUP(INDEX(CK383:CK394,CN390),WSM,2,FALSE),"----")</f>
        <v>----</v>
      </c>
      <c r="CP390" s="691" t="e">
        <f t="shared" ca="1" si="6794"/>
        <v>#N/A</v>
      </c>
      <c r="CQ390" s="4" t="e">
        <f ca="1">IF(AND(INDEX(STM,CP390,4)&gt;=$AB383,INDEX(STM,CP390,5)&gt;=$S383,INDEX(STM,CP390,6)&gt;=$R383),1,0)</f>
        <v>#N/A</v>
      </c>
      <c r="CR390" s="4" t="e">
        <f t="shared" ref="CR390" ca="1" si="6907">MATCH(1,OFFSET(CQ383:CQ394,CS389,0,COUNT(CQ383:CQ394)-CS389),0)</f>
        <v>#REF!</v>
      </c>
      <c r="CS390" s="4" t="e">
        <f t="shared" ca="1" si="6796"/>
        <v>#REF!</v>
      </c>
      <c r="CT390" s="692" t="str">
        <f ca="1">IFERROR(VLOOKUP(INDEX(CP383:CP394,CS390),STM,2,FALSE),"----")</f>
        <v>----</v>
      </c>
      <c r="CU390" s="691" t="e">
        <f t="shared" ca="1" si="6797"/>
        <v>#N/A</v>
      </c>
      <c r="CV390" s="4" t="e">
        <f ca="1">IF(AND(INDEX(ELM,CU390,4)&gt;=$AB383,INDEX(ELM,CU390,5)&gt;=$S383,INDEX(ELM,CU390,6)&gt;=$R383),1,0)</f>
        <v>#N/A</v>
      </c>
      <c r="CW390" s="4" t="e">
        <f t="shared" ref="CW390" ca="1" si="6908">MATCH(1,OFFSET(CV383:CV394,CX389,0,COUNT(CV383:CV394)-CX389),0)</f>
        <v>#REF!</v>
      </c>
      <c r="CX390" s="4" t="e">
        <f t="shared" ca="1" si="6799"/>
        <v>#REF!</v>
      </c>
      <c r="CY390" s="692" t="str">
        <f ca="1">IFERROR(VLOOKUP(INDEX(CU383:CU394,CX390),ELM,2,FALSE),"----")</f>
        <v>----</v>
      </c>
      <c r="CZ390" s="691" t="e">
        <f t="shared" ca="1" si="6800"/>
        <v>#N/A</v>
      </c>
      <c r="DA390" s="4" t="e">
        <f ca="1">IF(LEFT($J383,7)="Clad Wo",IF(AND(INDEX(SPPWS,CZ390,4)&gt;=$AB383,INDEX(SPPWS,CZ390,5)&gt;=$S383,INDEX(SPPWS,CZ390,6)&gt;=$R383),1,0),IF(AND(INDEX(SPM,CZ390,4)&gt;=$AB383,INDEX(SPM,CZ390,5)&gt;=$S383,INDEX(SPM,CZ390,6)&gt;=$R383),1,0))</f>
        <v>#N/A</v>
      </c>
      <c r="DB390" s="4" t="e">
        <f t="shared" ref="DB390" ca="1" si="6909">MATCH(1,OFFSET(DA383:DA394,DC389,0,COUNT(DA383:DA394)-DC389),0)</f>
        <v>#REF!</v>
      </c>
      <c r="DC390" s="4" t="e">
        <f t="shared" ca="1" si="6802"/>
        <v>#REF!</v>
      </c>
      <c r="DD390" s="693" t="str">
        <f ca="1">IF(LEFT($J383,7)="Clad Wo",IFERROR(VLOOKUP(INDEX(CZ383:CZ394,DC390),SPPWS,2,FALSE),"----"),IFERROR(VLOOKUP(INDEX(CZ383:CZ394,DC390),SPM,2,FALSE),"----"))</f>
        <v>----</v>
      </c>
      <c r="DE390" s="691" t="e">
        <f t="shared" ca="1" si="6803"/>
        <v>#REF!</v>
      </c>
      <c r="DF390" s="4" t="e" cm="1">
        <f t="array" aca="1" ref="DF390" ca="1">IF(AND(INDEX(INDIRECT(BY383),DE390,4)&gt;=$AB389,INDEX(INDIRECT(BY383),DE390,5)&gt;=$S383,INDEX(INDIRECT(BY383),DE390,6)&gt;=$R383),1,0)</f>
        <v>#REF!</v>
      </c>
      <c r="DG390" s="4" t="e">
        <f t="shared" ref="DG390" ca="1" si="6910">MATCH(1,OFFSET(DF383:DF394,DH389,0,COUNT(DF383:DF394)-DH389),0)</f>
        <v>#REF!</v>
      </c>
      <c r="DH390" s="4" t="e">
        <f t="shared" ca="1" si="6805"/>
        <v>#REF!</v>
      </c>
      <c r="DI390" s="692" t="str" cm="1">
        <f t="array" aca="1" ref="DI390" ca="1">IFERROR(VLOOKUP(INDEX(DE383:DE394,DH390),INDIRECT(BY383),2,FALSE),"----")</f>
        <v>----</v>
      </c>
      <c r="DJ390" s="691" t="e">
        <f t="shared" ca="1" si="6806"/>
        <v>#N/A</v>
      </c>
      <c r="DK390" s="4" t="e">
        <f ca="1">IF(AND(INDEX(SSM,DJ390,4)&gt;=$AB389,INDEX(SSM,DJ390,5)&gt;=$S383,INDEX(SSM,DJ390,6)&gt;=$R383),1,0)</f>
        <v>#N/A</v>
      </c>
      <c r="DL390" s="4" t="e">
        <f t="shared" ref="DL390" ca="1" si="6911">MATCH(1,OFFSET(DK383:DK394,DM389,0,COUNT(DK383:DK394)-DM389),0)</f>
        <v>#REF!</v>
      </c>
      <c r="DM390" s="4" t="e">
        <f t="shared" ca="1" si="6808"/>
        <v>#REF!</v>
      </c>
      <c r="DN390" s="692" t="str">
        <f ca="1">IFERROR(IF(AD390="Nested Steel Stud (wood infill)",VLOOKUP(INDEX(DJ383:DJ394,DM390),SSW,2,FALSE),VLOOKUP(INDEX(DJ383:DJ394,DM390),SSM,2,FALSE)),"----")</f>
        <v>----</v>
      </c>
      <c r="DO390" s="691" t="e">
        <f t="shared" ca="1" si="6809"/>
        <v>#N/A</v>
      </c>
      <c r="DP390" s="4" t="e">
        <f ca="1">IF(AND(INDEX(WSM,DO390,4)&gt;=$AB389,INDEX(WSM,DO390,5)&gt;=$S383,INDEX(WSM,DO390,6)&gt;=$R383),1,0)</f>
        <v>#N/A</v>
      </c>
      <c r="DQ390" s="4" t="e">
        <f t="shared" ref="DQ390" ca="1" si="6912">MATCH(1,OFFSET(DP383:DP394,DR389,0,COUNT(DP383:DP394)-DR389),0)</f>
        <v>#REF!</v>
      </c>
      <c r="DR390" s="4" t="e">
        <f t="shared" ca="1" si="6811"/>
        <v>#REF!</v>
      </c>
      <c r="DS390" s="692" t="str">
        <f ca="1">IFERROR(VLOOKUP(INDEX(DO383:DO394,DR390),WSM,2,FALSE),"----")</f>
        <v>----</v>
      </c>
      <c r="DT390" s="691" t="e">
        <f t="shared" ca="1" si="6812"/>
        <v>#N/A</v>
      </c>
      <c r="DU390" s="4" t="e">
        <f ca="1">IF(AND(INDEX(STM,DT390,4)&gt;=$AB389,INDEX(STM,DT390,5)&gt;=$S383,INDEX(STM,DT390,6)&gt;=$R383),1,0)</f>
        <v>#N/A</v>
      </c>
      <c r="DV390" s="4" t="e">
        <f t="shared" ref="DV390" ca="1" si="6913">MATCH(1,OFFSET(DU383:DU394,DW389,0,COUNT(DU383:DU394)-DW389),0)</f>
        <v>#REF!</v>
      </c>
      <c r="DW390" s="4" t="e">
        <f t="shared" ca="1" si="6814"/>
        <v>#REF!</v>
      </c>
      <c r="DX390" s="692" t="str">
        <f ca="1">IFERROR(VLOOKUP(INDEX(DT383:DT394,DW390),STM,2,FALSE),"----")</f>
        <v>----</v>
      </c>
      <c r="DY390" s="691" t="e">
        <f t="shared" ca="1" si="6815"/>
        <v>#N/A</v>
      </c>
      <c r="DZ390" s="4" t="e">
        <f ca="1">IF(AND(INDEX(ELM,DY390,4)&gt;=$AB389,INDEX(ELM,DY390,5)&gt;=$S383,INDEX(ELM,DY390,6)&gt;=$R383),1,0)</f>
        <v>#N/A</v>
      </c>
      <c r="EA390" s="4" t="e">
        <f t="shared" ref="EA390" ca="1" si="6914">MATCH(1,OFFSET(DZ383:DZ394,EB389,0,COUNT(DZ383:DZ394)-EB389),0)</f>
        <v>#REF!</v>
      </c>
      <c r="EB390" s="4" t="e">
        <f t="shared" ca="1" si="6817"/>
        <v>#REF!</v>
      </c>
      <c r="EC390" s="692" t="str">
        <f ca="1">IFERROR(VLOOKUP(INDEX(DY383:DY394,EB390),ELM,2,FALSE),"----")</f>
        <v>----</v>
      </c>
      <c r="ED390" s="691" t="e">
        <f t="shared" ca="1" si="6818"/>
        <v>#N/A</v>
      </c>
      <c r="EE390" s="4" t="e">
        <f ca="1">IF(LEFT($J383,7)="Clad Wo",IF(AND(INDEX(SPPWS,ED390,4)&gt;=$AB389,INDEX(SPPWS,ED390,5)&gt;=$S383,INDEX(SPPWS,ED390,6)&gt;=$R383),1,0),IF(AND(INDEX(SPM,ED390,4)&gt;=$AB389,INDEX(SPM,ED390,5)&gt;=$S383,INDEX(SPM,ED390,6)&gt;=$R383),1,0))</f>
        <v>#N/A</v>
      </c>
      <c r="EF390" s="4" t="e">
        <f t="shared" ref="EF390" ca="1" si="6915">MATCH(1,OFFSET(EE383:EE394,EG389,0,COUNT(EE383:EE394)-EG389),0)</f>
        <v>#REF!</v>
      </c>
      <c r="EG390" s="4" t="e">
        <f t="shared" ca="1" si="6820"/>
        <v>#REF!</v>
      </c>
      <c r="EH390" s="692" t="str">
        <f ca="1">IF(LEFT($J383,7)="Clad Wo",IFERROR(VLOOKUP(INDEX(ED383:ED394,EG390),SPPWS,2,FALSE),"----"),IFERROR(VLOOKUP(INDEX(ED383:ED394,EG390),SPM,2,FALSE),"----"))</f>
        <v>----</v>
      </c>
    </row>
    <row r="391" spans="1:138" ht="15" customHeight="1" x14ac:dyDescent="0.25">
      <c r="A391" s="1085"/>
      <c r="B391" s="925"/>
      <c r="C391" s="926"/>
      <c r="D391" s="927"/>
      <c r="E391" s="995"/>
      <c r="F391" s="996"/>
      <c r="G391" s="997"/>
      <c r="H391" s="1062"/>
      <c r="I391" s="990"/>
      <c r="J391" s="902"/>
      <c r="K391" s="903"/>
      <c r="L391" s="1002"/>
      <c r="M391" s="923"/>
      <c r="N391" s="1042"/>
      <c r="O391" s="1018"/>
      <c r="P391" s="987"/>
      <c r="Q391" s="1015"/>
      <c r="R391" s="1012"/>
      <c r="S391" s="1006"/>
      <c r="T391" s="1007"/>
      <c r="U391" s="878"/>
      <c r="V391" s="881"/>
      <c r="W391" s="884"/>
      <c r="X391" s="884"/>
      <c r="Y391" s="887"/>
      <c r="Z391" s="887"/>
      <c r="AA391" s="887"/>
      <c r="AB391" s="1081"/>
      <c r="AC391" s="1078"/>
      <c r="AD391" s="1070" t="str">
        <f t="shared" si="5955"/>
        <v>Wood Stud Framing</v>
      </c>
      <c r="AE391" s="1071"/>
      <c r="AF391" s="1052"/>
      <c r="AG391" s="1053"/>
      <c r="AH391" s="1053"/>
      <c r="AI391" s="1066"/>
      <c r="AJ391" s="1067"/>
      <c r="AK391" s="156" t="str">
        <f t="shared" ca="1" si="6208"/>
        <v/>
      </c>
      <c r="AL391" s="1059"/>
      <c r="AM391" s="344" t="str">
        <f ca="1">IFERROR(Q383/12*ROUND(VLOOKUP(AF391,OFFSET(WSM,0,1),6,FALSE),2),"")</f>
        <v/>
      </c>
      <c r="AN391" t="str">
        <f t="shared" ca="1" si="6226"/>
        <v/>
      </c>
      <c r="AP391" s="122" t="str">
        <f t="shared" ref="AP391" si="6916">_xlfn.CONCAT(AR391,AS394)</f>
        <v/>
      </c>
      <c r="AQ391" s="683" t="str">
        <f t="shared" si="6434"/>
        <v/>
      </c>
      <c r="AR391" s="4" t="str">
        <f t="shared" si="6193"/>
        <v/>
      </c>
      <c r="AS391" s="4"/>
      <c r="AT391" s="697" t="str">
        <f>AL389</f>
        <v/>
      </c>
      <c r="AU391" s="694" t="e">
        <f t="shared" ca="1" si="6450"/>
        <v>#REF!</v>
      </c>
      <c r="AV391" s="686" t="str">
        <f ca="1">IFERROR(VLOOKUP(AU391,INDIRECT(AQ383),2,FALSE),"----")</f>
        <v>----</v>
      </c>
      <c r="AW391" s="694" t="e">
        <f t="shared" ca="1" si="6451"/>
        <v>#REF!</v>
      </c>
      <c r="AX391" s="686" t="str">
        <f ca="1">IFERROR(VLOOKUP(AW391,INDIRECT(AQ384),2,FALSE),"----")</f>
        <v>----</v>
      </c>
      <c r="AY391" s="694" t="e">
        <f t="shared" ca="1" si="6866"/>
        <v>#REF!</v>
      </c>
      <c r="AZ391" s="686" t="str">
        <f ca="1">IFERROR(VLOOKUP(AY391,INDIRECT(AQ385),2,FALSE),"----")</f>
        <v>----</v>
      </c>
      <c r="BA391" s="694" t="e">
        <f t="shared" ca="1" si="6867"/>
        <v>#REF!</v>
      </c>
      <c r="BB391" s="686" t="str">
        <f ca="1">IFERROR(VLOOKUP(BA391,INDIRECT(AQ386),2,FALSE),"----")</f>
        <v>----</v>
      </c>
      <c r="BC391" s="694" t="e">
        <f t="shared" ca="1" si="6452"/>
        <v>#REF!</v>
      </c>
      <c r="BD391" s="686" t="str">
        <f ca="1">IFERROR(VLOOKUP(BC391,INDIRECT(AQ387),2,FALSE),"----")</f>
        <v>----</v>
      </c>
      <c r="BE391" s="694" t="e">
        <f t="shared" ca="1" si="6453"/>
        <v>#REF!</v>
      </c>
      <c r="BF391" s="686" t="str">
        <f ca="1">IFERROR(VLOOKUP(BE391,INDIRECT(AQ388),2,FALSE),"----")</f>
        <v>----</v>
      </c>
      <c r="BG391" s="702" t="e">
        <f t="shared" ca="1" si="6454"/>
        <v>#REF!</v>
      </c>
      <c r="BH391" s="686" t="str">
        <f ca="1">IFERROR(VLOOKUP(BG391,INDIRECT(AQ389),2,FALSE),"----")</f>
        <v>----</v>
      </c>
      <c r="BI391" s="702" t="e">
        <f t="shared" ca="1" si="6455"/>
        <v>#REF!</v>
      </c>
      <c r="BJ391" s="686" t="str">
        <f ca="1">IFERROR(VLOOKUP(BI391,INDIRECT(AQ390),2,FALSE),"----")</f>
        <v>----</v>
      </c>
      <c r="BK391" s="702" t="e">
        <f t="shared" ca="1" si="6456"/>
        <v>#REF!</v>
      </c>
      <c r="BL391" s="686" t="str">
        <f ca="1">IFERROR(VLOOKUP(BK391,INDIRECT(AQ391),2,FALSE),"----")</f>
        <v>----</v>
      </c>
      <c r="BM391" s="702" t="e">
        <f t="shared" ca="1" si="6457"/>
        <v>#REF!</v>
      </c>
      <c r="BN391" s="686" t="str">
        <f ca="1">IFERROR(VLOOKUP(BM391,INDIRECT(AQ392),2,FALSE),"----")</f>
        <v>----</v>
      </c>
      <c r="BO391" s="702" t="e">
        <f t="shared" ca="1" si="6458"/>
        <v>#REF!</v>
      </c>
      <c r="BP391" s="686" t="str">
        <f ca="1">IFERROR(VLOOKUP(BO391,INDIRECT(AQ393),2,FALSE),"----")</f>
        <v>----</v>
      </c>
      <c r="BQ391" s="702" t="e">
        <f t="shared" ca="1" si="6459"/>
        <v>#REF!</v>
      </c>
      <c r="BR391" s="686" t="str">
        <f ca="1">IFERROR(VLOOKUP(BQ391,INDIRECT(AQ394),2,FALSE),"----")</f>
        <v>----</v>
      </c>
      <c r="BS391" s="695">
        <f>IF(AI391="",1,IF(COUNTIF(BL383:BL394,AI391)=0,2,1))</f>
        <v>1</v>
      </c>
      <c r="BT391" s="696">
        <f>IF(AF391="",1,IF(BL383=".",2,1))</f>
        <v>1</v>
      </c>
      <c r="BU391" s="706"/>
      <c r="BV391" s="155">
        <f ca="1">IF(COUNTIF(DS383:DS394,AF391)=0,IF(AF391&lt;&gt;"",0,1),1)</f>
        <v>1</v>
      </c>
      <c r="BW391" s="157">
        <f ca="1">IFERROR(MATCH(AF391,DS383:DS394,0),1)</f>
        <v>1</v>
      </c>
      <c r="BX391" s="769" t="e">
        <f t="shared" ref="BX391" si="6917">5*E383^3*W383/(384*X383)</f>
        <v>#VALUE!</v>
      </c>
      <c r="BY391" s="769" t="e">
        <f t="shared" ref="BY391" si="6918">W383*E383^3/(60*X383)</f>
        <v>#VALUE!</v>
      </c>
      <c r="BZ391" s="1110"/>
      <c r="CA391" s="691" t="e">
        <f t="shared" ca="1" si="6785"/>
        <v>#REF!</v>
      </c>
      <c r="CB391" s="4" t="e" cm="1">
        <f t="array" aca="1" ref="CB391" ca="1">IF(AND(INDEX(INDIRECT(BY383),CA391,4)&gt;=$AB383,INDEX(INDIRECT(BY383),CA391,5)&gt;=$S383,INDEX(INDIRECT(BY383),CA391,6)&gt;=$R383),1,0)</f>
        <v>#REF!</v>
      </c>
      <c r="CC391" s="4" t="e">
        <f t="shared" ref="CC391" ca="1" si="6919">MATCH(1,OFFSET(CB383:CB394,CD390,0,COUNT(CB383:CB394)-CD390),0)</f>
        <v>#REF!</v>
      </c>
      <c r="CD391" s="4" t="e">
        <f t="shared" ca="1" si="6787"/>
        <v>#REF!</v>
      </c>
      <c r="CE391" s="692" t="str" cm="1">
        <f t="array" aca="1" ref="CE391" ca="1">IFERROR(VLOOKUP(INDEX(CA383:CA394,CD391),INDIRECT(BY383),2,FALSE),"----")</f>
        <v>----</v>
      </c>
      <c r="CF391" s="691" t="e">
        <f t="shared" ca="1" si="6788"/>
        <v>#N/A</v>
      </c>
      <c r="CG391" s="4" t="e">
        <f ca="1">IF(AND(INDEX(SSM,CF391,4)&gt;=$AB383,INDEX(SSM,CF391,5)&gt;=$S383,INDEX(SSM,CF391,6)&gt;=$R383),1,0)</f>
        <v>#N/A</v>
      </c>
      <c r="CH391" s="4" t="e">
        <f t="shared" ref="CH391" ca="1" si="6920">MATCH(1,OFFSET(CG383:CG394,CI390,0,COUNT(CG383:CG394)-CI390),0)</f>
        <v>#REF!</v>
      </c>
      <c r="CI391" s="4" t="e">
        <f t="shared" ca="1" si="6790"/>
        <v>#REF!</v>
      </c>
      <c r="CJ391" s="692" t="str">
        <f ca="1">IFERROR(IF(AD384="Nested Steel Stud (wood infill)",VLOOKUP(INDEX(CF383:CF394,CI391),SSW,2,FALSE),VLOOKUP(INDEX(CF383:CF394,CI391),SSM,2,FALSE)),"----")</f>
        <v>----</v>
      </c>
      <c r="CK391" s="691" t="e">
        <f t="shared" ca="1" si="6791"/>
        <v>#N/A</v>
      </c>
      <c r="CL391" s="4" t="e">
        <f ca="1">IF(AND(INDEX(WSM,CK391,4)&gt;=$AB383,INDEX(WSM,CK391,5)&gt;=$S383,INDEX(WSM,CK391,6)&gt;=$R383),1,0)</f>
        <v>#N/A</v>
      </c>
      <c r="CM391" s="4" t="e">
        <f t="shared" ref="CM391" ca="1" si="6921">MATCH(1,OFFSET(CL383:CL394,CN390,0,COUNT(CL383:CL394)-CN390),0)</f>
        <v>#REF!</v>
      </c>
      <c r="CN391" s="4" t="e">
        <f t="shared" ca="1" si="6793"/>
        <v>#REF!</v>
      </c>
      <c r="CO391" s="692" t="str">
        <f ca="1">IFERROR(VLOOKUP(INDEX(CK383:CK394,CN391),WSM,2,FALSE),"----")</f>
        <v>----</v>
      </c>
      <c r="CP391" s="691" t="e">
        <f t="shared" ca="1" si="6794"/>
        <v>#N/A</v>
      </c>
      <c r="CQ391" s="4" t="e">
        <f ca="1">IF(AND(INDEX(STM,CP391,4)&gt;=$AB383,INDEX(STM,CP391,5)&gt;=$S383,INDEX(STM,CP391,6)&gt;=$R383),1,0)</f>
        <v>#N/A</v>
      </c>
      <c r="CR391" s="4" t="e">
        <f t="shared" ref="CR391" ca="1" si="6922">MATCH(1,OFFSET(CQ383:CQ394,CS390,0,COUNT(CQ383:CQ394)-CS390),0)</f>
        <v>#REF!</v>
      </c>
      <c r="CS391" s="4" t="e">
        <f t="shared" ca="1" si="6796"/>
        <v>#REF!</v>
      </c>
      <c r="CT391" s="692" t="str">
        <f ca="1">IFERROR(VLOOKUP(INDEX(CP383:CP394,CS391),STM,2,FALSE),"----")</f>
        <v>----</v>
      </c>
      <c r="CU391" s="691" t="e">
        <f t="shared" ca="1" si="6797"/>
        <v>#N/A</v>
      </c>
      <c r="CV391" s="4" t="e">
        <f ca="1">IF(AND(INDEX(ELM,CU391,4)&gt;=$AB383,INDEX(ELM,CU391,5)&gt;=$S383,INDEX(ELM,CU391,6)&gt;=$R383),1,0)</f>
        <v>#N/A</v>
      </c>
      <c r="CW391" s="4" t="e">
        <f t="shared" ref="CW391" ca="1" si="6923">MATCH(1,OFFSET(CV383:CV394,CX390,0,COUNT(CV383:CV394)-CX390),0)</f>
        <v>#REF!</v>
      </c>
      <c r="CX391" s="4" t="e">
        <f t="shared" ca="1" si="6799"/>
        <v>#REF!</v>
      </c>
      <c r="CY391" s="692" t="str">
        <f ca="1">IFERROR(VLOOKUP(INDEX(CU383:CU394,CX391),ELM,2,FALSE),"----")</f>
        <v>----</v>
      </c>
      <c r="CZ391" s="691" t="e">
        <f t="shared" ca="1" si="6800"/>
        <v>#N/A</v>
      </c>
      <c r="DA391" s="4" t="e">
        <f ca="1">IF(LEFT($J383,7)="Clad Wo",IF(AND(INDEX(SPPWS,CZ391,4)&gt;=$AB383,INDEX(SPPWS,CZ391,5)&gt;=$S383,INDEX(SPPWS,CZ391,6)&gt;=$R383),1,0),IF(AND(INDEX(SPM,CZ391,4)&gt;=$AB383,INDEX(SPM,CZ391,5)&gt;=$S383,INDEX(SPM,CZ391,6)&gt;=$R383),1,0))</f>
        <v>#N/A</v>
      </c>
      <c r="DB391" s="4" t="e">
        <f t="shared" ref="DB391" ca="1" si="6924">MATCH(1,OFFSET(DA383:DA394,DC390,0,COUNT(DA383:DA394)-DC390),0)</f>
        <v>#REF!</v>
      </c>
      <c r="DC391" s="4" t="e">
        <f t="shared" ca="1" si="6802"/>
        <v>#REF!</v>
      </c>
      <c r="DD391" s="693" t="str">
        <f ca="1">IF(LEFT($J383,7)="Clad Wo",IFERROR(VLOOKUP(INDEX(CZ383:CZ394,DC391),SPPWS,2,FALSE),"----"),IFERROR(VLOOKUP(INDEX(CZ383:CZ394,DC391),SPM,2,FALSE),"----"))</f>
        <v>----</v>
      </c>
      <c r="DE391" s="691" t="e">
        <f t="shared" ca="1" si="6803"/>
        <v>#REF!</v>
      </c>
      <c r="DF391" s="4" t="e" cm="1">
        <f t="array" aca="1" ref="DF391" ca="1">IF(AND(INDEX(INDIRECT(BY383),DE391,4)&gt;=$AB389,INDEX(INDIRECT(BY383),DE391,5)&gt;=$S383,INDEX(INDIRECT(BY383),DE391,6)&gt;=$R383),1,0)</f>
        <v>#REF!</v>
      </c>
      <c r="DG391" s="4" t="e">
        <f t="shared" ref="DG391" ca="1" si="6925">MATCH(1,OFFSET(DF383:DF394,DH390,0,COUNT(DF383:DF394)-DH390),0)</f>
        <v>#REF!</v>
      </c>
      <c r="DH391" s="4" t="e">
        <f t="shared" ca="1" si="6805"/>
        <v>#REF!</v>
      </c>
      <c r="DI391" s="692" t="str" cm="1">
        <f t="array" aca="1" ref="DI391" ca="1">IFERROR(VLOOKUP(INDEX(DE383:DE394,DH391),INDIRECT(BY383),2,FALSE),"----")</f>
        <v>----</v>
      </c>
      <c r="DJ391" s="691" t="e">
        <f t="shared" ca="1" si="6806"/>
        <v>#N/A</v>
      </c>
      <c r="DK391" s="4" t="e">
        <f ca="1">IF(AND(INDEX(SSM,DJ391,4)&gt;=$AB389,INDEX(SSM,DJ391,5)&gt;=$S383,INDEX(SSM,DJ391,6)&gt;=$R383),1,0)</f>
        <v>#N/A</v>
      </c>
      <c r="DL391" s="4" t="e">
        <f t="shared" ref="DL391" ca="1" si="6926">MATCH(1,OFFSET(DK383:DK394,DM390,0,COUNT(DK383:DK394)-DM390),0)</f>
        <v>#REF!</v>
      </c>
      <c r="DM391" s="4" t="e">
        <f t="shared" ca="1" si="6808"/>
        <v>#REF!</v>
      </c>
      <c r="DN391" s="692" t="str">
        <f ca="1">IFERROR(IF(AD390="Nested Steel Stud (wood infill)",VLOOKUP(INDEX(DJ383:DJ394,DM391),SSW,2,FALSE),VLOOKUP(INDEX(DJ383:DJ394,DM391),SSM,2,FALSE)),"----")</f>
        <v>----</v>
      </c>
      <c r="DO391" s="691" t="e">
        <f t="shared" ca="1" si="6809"/>
        <v>#N/A</v>
      </c>
      <c r="DP391" s="4" t="e">
        <f ca="1">IF(AND(INDEX(WSM,DO391,4)&gt;=$AB389,INDEX(WSM,DO391,5)&gt;=$S383,INDEX(WSM,DO391,6)&gt;=$R383),1,0)</f>
        <v>#N/A</v>
      </c>
      <c r="DQ391" s="4" t="e">
        <f t="shared" ref="DQ391" ca="1" si="6927">MATCH(1,OFFSET(DP383:DP394,DR390,0,COUNT(DP383:DP394)-DR390),0)</f>
        <v>#REF!</v>
      </c>
      <c r="DR391" s="4" t="e">
        <f t="shared" ca="1" si="6811"/>
        <v>#REF!</v>
      </c>
      <c r="DS391" s="692" t="str">
        <f ca="1">IFERROR(VLOOKUP(INDEX(DO383:DO394,DR391),WSM,2,FALSE),"----")</f>
        <v>----</v>
      </c>
      <c r="DT391" s="691" t="e">
        <f t="shared" ca="1" si="6812"/>
        <v>#N/A</v>
      </c>
      <c r="DU391" s="4" t="e">
        <f ca="1">IF(AND(INDEX(STM,DT391,4)&gt;=$AB389,INDEX(STM,DT391,5)&gt;=$S383,INDEX(STM,DT391,6)&gt;=$R383),1,0)</f>
        <v>#N/A</v>
      </c>
      <c r="DV391" s="4" t="e">
        <f t="shared" ref="DV391" ca="1" si="6928">MATCH(1,OFFSET(DU383:DU394,DW390,0,COUNT(DU383:DU394)-DW390),0)</f>
        <v>#REF!</v>
      </c>
      <c r="DW391" s="4" t="e">
        <f t="shared" ca="1" si="6814"/>
        <v>#REF!</v>
      </c>
      <c r="DX391" s="692" t="str">
        <f ca="1">IFERROR(VLOOKUP(INDEX(DT383:DT394,DW391),STM,2,FALSE),"----")</f>
        <v>----</v>
      </c>
      <c r="DY391" s="691" t="e">
        <f t="shared" ca="1" si="6815"/>
        <v>#N/A</v>
      </c>
      <c r="DZ391" s="4" t="e">
        <f ca="1">IF(AND(INDEX(ELM,DY391,4)&gt;=$AB389,INDEX(ELM,DY391,5)&gt;=$S383,INDEX(ELM,DY391,6)&gt;=$R383),1,0)</f>
        <v>#N/A</v>
      </c>
      <c r="EA391" s="4" t="e">
        <f t="shared" ref="EA391" ca="1" si="6929">MATCH(1,OFFSET(DZ383:DZ394,EB390,0,COUNT(DZ383:DZ394)-EB390),0)</f>
        <v>#REF!</v>
      </c>
      <c r="EB391" s="4" t="e">
        <f t="shared" ca="1" si="6817"/>
        <v>#REF!</v>
      </c>
      <c r="EC391" s="692" t="str">
        <f ca="1">IFERROR(VLOOKUP(INDEX(DY383:DY394,EB391),ELM,2,FALSE),"----")</f>
        <v>----</v>
      </c>
      <c r="ED391" s="691" t="e">
        <f t="shared" ca="1" si="6818"/>
        <v>#N/A</v>
      </c>
      <c r="EE391" s="4" t="e">
        <f ca="1">IF(LEFT($J383,7)="Clad Wo",IF(AND(INDEX(SPPWS,ED391,4)&gt;=$AB389,INDEX(SPPWS,ED391,5)&gt;=$S383,INDEX(SPPWS,ED391,6)&gt;=$R383),1,0),IF(AND(INDEX(SPM,ED391,4)&gt;=$AB389,INDEX(SPM,ED391,5)&gt;=$S383,INDEX(SPM,ED391,6)&gt;=$R383),1,0))</f>
        <v>#N/A</v>
      </c>
      <c r="EF391" s="4" t="e">
        <f t="shared" ref="EF391" ca="1" si="6930">MATCH(1,OFFSET(EE383:EE394,EG390,0,COUNT(EE383:EE394)-EG390),0)</f>
        <v>#REF!</v>
      </c>
      <c r="EG391" s="4" t="e">
        <f t="shared" ca="1" si="6820"/>
        <v>#REF!</v>
      </c>
      <c r="EH391" s="692" t="str">
        <f ca="1">IF(LEFT($J383,7)="Clad Wo",IFERROR(VLOOKUP(INDEX(ED383:ED394,EG391),SPPWS,2,FALSE),"----"),IFERROR(VLOOKUP(INDEX(ED383:ED394,EG391),SPM,2,FALSE),"----"))</f>
        <v>----</v>
      </c>
    </row>
    <row r="392" spans="1:138" ht="15" customHeight="1" x14ac:dyDescent="0.25">
      <c r="A392" s="1085"/>
      <c r="B392" s="925"/>
      <c r="C392" s="926"/>
      <c r="D392" s="927"/>
      <c r="E392" s="995"/>
      <c r="F392" s="996"/>
      <c r="G392" s="997"/>
      <c r="H392" s="1062"/>
      <c r="I392" s="990"/>
      <c r="J392" s="902"/>
      <c r="K392" s="903"/>
      <c r="L392" s="1002"/>
      <c r="M392" s="923"/>
      <c r="N392" s="1042"/>
      <c r="O392" s="1018"/>
      <c r="P392" s="987"/>
      <c r="Q392" s="1015"/>
      <c r="R392" s="1012"/>
      <c r="S392" s="1006"/>
      <c r="T392" s="1007"/>
      <c r="U392" s="878"/>
      <c r="V392" s="881"/>
      <c r="W392" s="884"/>
      <c r="X392" s="884"/>
      <c r="Y392" s="887"/>
      <c r="Z392" s="887"/>
      <c r="AA392" s="887"/>
      <c r="AB392" s="1081"/>
      <c r="AC392" s="1078"/>
      <c r="AD392" s="1070" t="str">
        <f t="shared" si="5955"/>
        <v>Steel Tube</v>
      </c>
      <c r="AE392" s="1071"/>
      <c r="AF392" s="1052"/>
      <c r="AG392" s="1053"/>
      <c r="AH392" s="1053"/>
      <c r="AI392" s="1066"/>
      <c r="AJ392" s="1067"/>
      <c r="AK392" s="156" t="str">
        <f t="shared" ca="1" si="6208"/>
        <v/>
      </c>
      <c r="AL392" s="1059"/>
      <c r="AM392" s="343" t="str">
        <f ca="1">IFERROR(Q383/12*ROUND(VLOOKUP(AF392,OFFSET(STM,0,1),6,FALSE),2),"")</f>
        <v/>
      </c>
      <c r="AN392" t="str">
        <f t="shared" ca="1" si="6226"/>
        <v/>
      </c>
      <c r="AP392" s="122" t="str">
        <f t="shared" ref="AP392" si="6931">_xlfn.CONCAT(AR392,AS394)</f>
        <v/>
      </c>
      <c r="AQ392" s="683" t="str">
        <f t="shared" si="6434"/>
        <v/>
      </c>
      <c r="AR392" s="4" t="str">
        <f t="shared" si="6193"/>
        <v/>
      </c>
      <c r="AS392" s="4"/>
      <c r="AT392" s="697" t="str">
        <f>AL389</f>
        <v/>
      </c>
      <c r="AU392" s="694" t="e">
        <f t="shared" ca="1" si="6450"/>
        <v>#REF!</v>
      </c>
      <c r="AV392" s="686" t="str">
        <f ca="1">IFERROR(VLOOKUP(AU392,INDIRECT(AQ383),2,FALSE),"----")</f>
        <v>----</v>
      </c>
      <c r="AW392" s="694" t="e">
        <f t="shared" ca="1" si="6451"/>
        <v>#REF!</v>
      </c>
      <c r="AX392" s="686" t="str">
        <f ca="1">IFERROR(VLOOKUP(AW392,INDIRECT(AQ384),2,FALSE),"----")</f>
        <v>----</v>
      </c>
      <c r="AY392" s="694" t="e">
        <f t="shared" ca="1" si="6210"/>
        <v>#REF!</v>
      </c>
      <c r="AZ392" s="686" t="str">
        <f ca="1">IFERROR(VLOOKUP(AY392,INDIRECT(AQ385),2,FALSE),"----")</f>
        <v>----</v>
      </c>
      <c r="BA392" s="694" t="e">
        <f t="shared" ca="1" si="6211"/>
        <v>#REF!</v>
      </c>
      <c r="BB392" s="686" t="str">
        <f ca="1">IFERROR(VLOOKUP(BA392,INDIRECT(AQ386),2,FALSE),"----")</f>
        <v>----</v>
      </c>
      <c r="BC392" s="694" t="e">
        <f t="shared" ca="1" si="6452"/>
        <v>#REF!</v>
      </c>
      <c r="BD392" s="686" t="str">
        <f ca="1">IFERROR(VLOOKUP(BC392,INDIRECT(AQ387),2,FALSE),"----")</f>
        <v>----</v>
      </c>
      <c r="BE392" s="694" t="e">
        <f t="shared" ca="1" si="6453"/>
        <v>#REF!</v>
      </c>
      <c r="BF392" s="686" t="str">
        <f ca="1">IFERROR(VLOOKUP(BE392,INDIRECT(AQ388),2,FALSE),"----")</f>
        <v>----</v>
      </c>
      <c r="BG392" s="702" t="e">
        <f t="shared" ca="1" si="6454"/>
        <v>#REF!</v>
      </c>
      <c r="BH392" s="686" t="str">
        <f ca="1">IFERROR(VLOOKUP(BG392,INDIRECT(AQ389),2,FALSE),"----")</f>
        <v>----</v>
      </c>
      <c r="BI392" s="702" t="e">
        <f t="shared" ca="1" si="6455"/>
        <v>#REF!</v>
      </c>
      <c r="BJ392" s="686" t="str">
        <f ca="1">IFERROR(VLOOKUP(BI392,INDIRECT(AQ390),2,FALSE),"----")</f>
        <v>----</v>
      </c>
      <c r="BK392" s="702" t="e">
        <f t="shared" ca="1" si="6456"/>
        <v>#REF!</v>
      </c>
      <c r="BL392" s="686" t="str">
        <f ca="1">IFERROR(VLOOKUP(BK392,INDIRECT(AQ391),2,FALSE),"----")</f>
        <v>----</v>
      </c>
      <c r="BM392" s="702" t="e">
        <f t="shared" ca="1" si="6457"/>
        <v>#REF!</v>
      </c>
      <c r="BN392" s="686" t="str">
        <f ca="1">IFERROR(VLOOKUP(BM392,INDIRECT(AQ392),2,FALSE),"----")</f>
        <v>----</v>
      </c>
      <c r="BO392" s="702" t="e">
        <f t="shared" ca="1" si="6458"/>
        <v>#REF!</v>
      </c>
      <c r="BP392" s="686" t="str">
        <f ca="1">IFERROR(VLOOKUP(BO392,INDIRECT(AQ393),2,FALSE),"----")</f>
        <v>----</v>
      </c>
      <c r="BQ392" s="702" t="e">
        <f t="shared" ca="1" si="6459"/>
        <v>#REF!</v>
      </c>
      <c r="BR392" s="686" t="str">
        <f ca="1">IFERROR(VLOOKUP(BQ392,INDIRECT(AQ394),2,FALSE),"----")</f>
        <v>----</v>
      </c>
      <c r="BS392" s="695">
        <f>IF(AI392="",1,IF(COUNTIF(BN383:BN394,AI392)=0,2,1))</f>
        <v>1</v>
      </c>
      <c r="BT392" s="696">
        <f>IF(AF392="",1,IF(BN383=".",2,1))</f>
        <v>1</v>
      </c>
      <c r="BU392" s="706"/>
      <c r="BV392" s="155">
        <f ca="1">IF(COUNTIF(DX383:DX394,AF392)=0,IF(AF392&lt;&gt;"",0,1),1)</f>
        <v>1</v>
      </c>
      <c r="BW392" s="157">
        <f ca="1">IFERROR(MATCH(AF392,DX383:DX394,0),1)</f>
        <v>1</v>
      </c>
      <c r="BX392" s="769" t="e">
        <f t="shared" ref="BX392" si="6932">5*E383^3*W389/(384*X383)</f>
        <v>#VALUE!</v>
      </c>
      <c r="BY392" s="769" t="e">
        <f t="shared" ref="BY392" si="6933">E383^3*W389/(60*X383)</f>
        <v>#VALUE!</v>
      </c>
      <c r="BZ392" s="1110"/>
      <c r="CA392" s="691" t="e">
        <f t="shared" ca="1" si="6785"/>
        <v>#REF!</v>
      </c>
      <c r="CB392" s="4" t="e" cm="1">
        <f t="array" aca="1" ref="CB392" ca="1">IF(AND(INDEX(INDIRECT(BY383),CA392,4)&gt;=$AB383,INDEX(INDIRECT(BY383),CA392,5)&gt;=$S383,INDEX(INDIRECT(BY383),CA392,6)&gt;=$R383),1,0)</f>
        <v>#REF!</v>
      </c>
      <c r="CC392" s="4" t="e">
        <f t="shared" ref="CC392" ca="1" si="6934">MATCH(1,OFFSET(CB383:CB394,CD391,0,COUNT(CB383:CB394)-CD391),0)</f>
        <v>#REF!</v>
      </c>
      <c r="CD392" s="4" t="e">
        <f t="shared" ca="1" si="6787"/>
        <v>#REF!</v>
      </c>
      <c r="CE392" s="692" t="str" cm="1">
        <f t="array" aca="1" ref="CE392" ca="1">IFERROR(VLOOKUP(INDEX(CA383:CA394,CD392),INDIRECT(BY383),2,FALSE),"----")</f>
        <v>----</v>
      </c>
      <c r="CF392" s="691" t="e">
        <f t="shared" ca="1" si="6788"/>
        <v>#N/A</v>
      </c>
      <c r="CG392" s="4" t="e">
        <f ca="1">IF(AND(INDEX(SSM,CF392,4)&gt;=$AB383,INDEX(SSM,CF392,5)&gt;=$S383,INDEX(SSM,CF392,6)&gt;=$R383),1,0)</f>
        <v>#N/A</v>
      </c>
      <c r="CH392" s="4" t="e">
        <f t="shared" ref="CH392" ca="1" si="6935">MATCH(1,OFFSET(CG383:CG394,CI391,0,COUNT(CG383:CG394)-CI391),0)</f>
        <v>#REF!</v>
      </c>
      <c r="CI392" s="4" t="e">
        <f t="shared" ca="1" si="6790"/>
        <v>#REF!</v>
      </c>
      <c r="CJ392" s="692" t="str">
        <f ca="1">IFERROR(IF(AD384="Nested Steel Stud (wood infill)",VLOOKUP(INDEX(CF383:CF394,CI392),SSW,2,FALSE),VLOOKUP(INDEX(CF383:CF394,CI392),SSM,2,FALSE)),"----")</f>
        <v>----</v>
      </c>
      <c r="CK392" s="691" t="e">
        <f t="shared" ca="1" si="6791"/>
        <v>#N/A</v>
      </c>
      <c r="CL392" s="4" t="e">
        <f ca="1">IF(AND(INDEX(WSM,CK392,4)&gt;=$AB383,INDEX(WSM,CK392,5)&gt;=$S383,INDEX(WSM,CK392,6)&gt;=$R383),1,0)</f>
        <v>#N/A</v>
      </c>
      <c r="CM392" s="4" t="e">
        <f t="shared" ref="CM392" ca="1" si="6936">MATCH(1,OFFSET(CL383:CL394,CN391,0,COUNT(CL383:CL394)-CN391),0)</f>
        <v>#REF!</v>
      </c>
      <c r="CN392" s="4" t="e">
        <f t="shared" ca="1" si="6793"/>
        <v>#REF!</v>
      </c>
      <c r="CO392" s="692" t="str">
        <f ca="1">IFERROR(VLOOKUP(INDEX(CK383:CK394,CN392),WSM,2,FALSE),"----")</f>
        <v>----</v>
      </c>
      <c r="CP392" s="691" t="e">
        <f t="shared" ca="1" si="6794"/>
        <v>#N/A</v>
      </c>
      <c r="CQ392" s="4" t="e">
        <f ca="1">IF(AND(INDEX(STM,CP392,4)&gt;=$AB383,INDEX(STM,CP392,5)&gt;=$S383,INDEX(STM,CP392,6)&gt;=$R383),1,0)</f>
        <v>#N/A</v>
      </c>
      <c r="CR392" s="4" t="e">
        <f t="shared" ref="CR392" ca="1" si="6937">MATCH(1,OFFSET(CQ383:CQ394,CS391,0,COUNT(CQ383:CQ394)-CS391),0)</f>
        <v>#REF!</v>
      </c>
      <c r="CS392" s="4" t="e">
        <f t="shared" ca="1" si="6796"/>
        <v>#REF!</v>
      </c>
      <c r="CT392" s="692" t="str">
        <f ca="1">IFERROR(VLOOKUP(INDEX(CP383:CP394,CS392),STM,2,FALSE),"----")</f>
        <v>----</v>
      </c>
      <c r="CU392" s="691" t="e">
        <f t="shared" ca="1" si="6797"/>
        <v>#N/A</v>
      </c>
      <c r="CV392" s="4" t="e">
        <f ca="1">IF(AND(INDEX(ELM,CU392,4)&gt;=$AB383,INDEX(ELM,CU392,5)&gt;=$S383,INDEX(ELM,CU392,6)&gt;=$R383),1,0)</f>
        <v>#N/A</v>
      </c>
      <c r="CW392" s="4" t="e">
        <f t="shared" ref="CW392" ca="1" si="6938">MATCH(1,OFFSET(CV383:CV394,CX391,0,COUNT(CV383:CV394)-CX391),0)</f>
        <v>#REF!</v>
      </c>
      <c r="CX392" s="4" t="e">
        <f t="shared" ca="1" si="6799"/>
        <v>#REF!</v>
      </c>
      <c r="CY392" s="692" t="str">
        <f ca="1">IFERROR(VLOOKUP(INDEX(CU383:CU394,CX392),ELM,2,FALSE),"----")</f>
        <v>----</v>
      </c>
      <c r="CZ392" s="691" t="e">
        <f t="shared" ca="1" si="6800"/>
        <v>#N/A</v>
      </c>
      <c r="DA392" s="4" t="e">
        <f ca="1">IF(LEFT($J383,7)="Clad Wo",IF(AND(INDEX(SPPWS,CZ392,4)&gt;=$AB383,INDEX(SPPWS,CZ392,5)&gt;=$S383,INDEX(SPPWS,CZ392,6)&gt;=$R383),1,0),IF(AND(INDEX(SPM,CZ392,4)&gt;=$AB383,INDEX(SPM,CZ392,5)&gt;=$S383,INDEX(SPM,CZ392,6)&gt;=$R383),1,0))</f>
        <v>#N/A</v>
      </c>
      <c r="DB392" s="4" t="e">
        <f t="shared" ref="DB392" ca="1" si="6939">MATCH(1,OFFSET(DA383:DA394,DC391,0,COUNT(DA383:DA394)-DC391),0)</f>
        <v>#REF!</v>
      </c>
      <c r="DC392" s="4" t="e">
        <f t="shared" ca="1" si="6802"/>
        <v>#REF!</v>
      </c>
      <c r="DD392" s="693" t="str">
        <f ca="1">IF(LEFT($J383,7)="Clad Wo",IFERROR(VLOOKUP(INDEX(CZ383:CZ394,DC392),SPPWS,2,FALSE),"----"),IFERROR(VLOOKUP(INDEX(CZ383:CZ394,DC392),SPM,2,FALSE),"----"))</f>
        <v>----</v>
      </c>
      <c r="DE392" s="691" t="e">
        <f t="shared" ca="1" si="6803"/>
        <v>#REF!</v>
      </c>
      <c r="DF392" s="4" t="e" cm="1">
        <f t="array" aca="1" ref="DF392" ca="1">IF(AND(INDEX(INDIRECT(BY383),DE392,4)&gt;=$AB389,INDEX(INDIRECT(BY383),DE392,5)&gt;=$S383,INDEX(INDIRECT(BY383),DE392,6)&gt;=$R383),1,0)</f>
        <v>#REF!</v>
      </c>
      <c r="DG392" s="4" t="e">
        <f t="shared" ref="DG392" ca="1" si="6940">MATCH(1,OFFSET(DF383:DF394,DH391,0,COUNT(DF383:DF394)-DH391),0)</f>
        <v>#REF!</v>
      </c>
      <c r="DH392" s="4" t="e">
        <f t="shared" ca="1" si="6805"/>
        <v>#REF!</v>
      </c>
      <c r="DI392" s="692" t="str" cm="1">
        <f t="array" aca="1" ref="DI392" ca="1">IFERROR(VLOOKUP(INDEX(DE383:DE394,DH392),INDIRECT(BY383),2,FALSE),"----")</f>
        <v>----</v>
      </c>
      <c r="DJ392" s="691" t="e">
        <f t="shared" ca="1" si="6806"/>
        <v>#N/A</v>
      </c>
      <c r="DK392" s="4" t="e">
        <f ca="1">IF(AND(INDEX(SSM,DJ392,4)&gt;=$AB389,INDEX(SSM,DJ392,5)&gt;=$S383,INDEX(SSM,DJ392,6)&gt;=$R383),1,0)</f>
        <v>#N/A</v>
      </c>
      <c r="DL392" s="4" t="e">
        <f t="shared" ref="DL392" ca="1" si="6941">MATCH(1,OFFSET(DK383:DK394,DM391,0,COUNT(DK383:DK394)-DM391),0)</f>
        <v>#REF!</v>
      </c>
      <c r="DM392" s="4" t="e">
        <f t="shared" ca="1" si="6808"/>
        <v>#REF!</v>
      </c>
      <c r="DN392" s="692" t="str">
        <f ca="1">IFERROR(IF(AD390="Nested Steel Stud (wood infill)",VLOOKUP(INDEX(DJ383:DJ394,DM392),SSW,2,FALSE),VLOOKUP(INDEX(DJ383:DJ394,DM392),SSM,2,FALSE)),"----")</f>
        <v>----</v>
      </c>
      <c r="DO392" s="691" t="e">
        <f t="shared" ca="1" si="6809"/>
        <v>#N/A</v>
      </c>
      <c r="DP392" s="4" t="e">
        <f ca="1">IF(AND(INDEX(WSM,DO392,4)&gt;=$AB389,INDEX(WSM,DO392,5)&gt;=$S383,INDEX(WSM,DO392,6)&gt;=$R383),1,0)</f>
        <v>#N/A</v>
      </c>
      <c r="DQ392" s="4" t="e">
        <f t="shared" ref="DQ392" ca="1" si="6942">MATCH(1,OFFSET(DP383:DP394,DR391,0,COUNT(DP383:DP394)-DR391),0)</f>
        <v>#REF!</v>
      </c>
      <c r="DR392" s="4" t="e">
        <f t="shared" ca="1" si="6811"/>
        <v>#REF!</v>
      </c>
      <c r="DS392" s="692" t="str">
        <f ca="1">IFERROR(VLOOKUP(INDEX(DO383:DO394,DR392),WSM,2,FALSE),"----")</f>
        <v>----</v>
      </c>
      <c r="DT392" s="691" t="e">
        <f t="shared" ca="1" si="6812"/>
        <v>#N/A</v>
      </c>
      <c r="DU392" s="4" t="e">
        <f ca="1">IF(AND(INDEX(STM,DT392,4)&gt;=$AB389,INDEX(STM,DT392,5)&gt;=$S383,INDEX(STM,DT392,6)&gt;=$R383),1,0)</f>
        <v>#N/A</v>
      </c>
      <c r="DV392" s="4" t="e">
        <f t="shared" ref="DV392" ca="1" si="6943">MATCH(1,OFFSET(DU383:DU394,DW391,0,COUNT(DU383:DU394)-DW391),0)</f>
        <v>#REF!</v>
      </c>
      <c r="DW392" s="4" t="e">
        <f t="shared" ca="1" si="6814"/>
        <v>#REF!</v>
      </c>
      <c r="DX392" s="692" t="str">
        <f ca="1">IFERROR(VLOOKUP(INDEX(DT383:DT394,DW392),STM,2,FALSE),"----")</f>
        <v>----</v>
      </c>
      <c r="DY392" s="691" t="e">
        <f t="shared" ca="1" si="6815"/>
        <v>#N/A</v>
      </c>
      <c r="DZ392" s="4" t="e">
        <f ca="1">IF(AND(INDEX(ELM,DY392,4)&gt;=$AB389,INDEX(ELM,DY392,5)&gt;=$S383,INDEX(ELM,DY392,6)&gt;=$R383),1,0)</f>
        <v>#N/A</v>
      </c>
      <c r="EA392" s="4" t="e">
        <f t="shared" ref="EA392" ca="1" si="6944">MATCH(1,OFFSET(DZ383:DZ394,EB391,0,COUNT(DZ383:DZ394)-EB391),0)</f>
        <v>#REF!</v>
      </c>
      <c r="EB392" s="4" t="e">
        <f t="shared" ca="1" si="6817"/>
        <v>#REF!</v>
      </c>
      <c r="EC392" s="692" t="str">
        <f ca="1">IFERROR(VLOOKUP(INDEX(DY383:DY394,EB392),ELM,2,FALSE),"----")</f>
        <v>----</v>
      </c>
      <c r="ED392" s="691" t="e">
        <f t="shared" ca="1" si="6818"/>
        <v>#N/A</v>
      </c>
      <c r="EE392" s="4" t="e">
        <f ca="1">IF(LEFT($J383,7)="Clad Wo",IF(AND(INDEX(SPPWS,ED392,4)&gt;=$AB389,INDEX(SPPWS,ED392,5)&gt;=$S383,INDEX(SPPWS,ED392,6)&gt;=$R383),1,0),IF(AND(INDEX(SPM,ED392,4)&gt;=$AB389,INDEX(SPM,ED392,5)&gt;=$S383,INDEX(SPM,ED392,6)&gt;=$R383),1,0))</f>
        <v>#N/A</v>
      </c>
      <c r="EF392" s="4" t="e">
        <f t="shared" ref="EF392" ca="1" si="6945">MATCH(1,OFFSET(EE383:EE394,EG391,0,COUNT(EE383:EE394)-EG391),0)</f>
        <v>#REF!</v>
      </c>
      <c r="EG392" s="4" t="e">
        <f t="shared" ca="1" si="6820"/>
        <v>#REF!</v>
      </c>
      <c r="EH392" s="692" t="str">
        <f ca="1">IF(LEFT($J383,7)="Clad Wo",IFERROR(VLOOKUP(INDEX(ED383:ED394,EG392),SPPWS,2,FALSE),"----"),IFERROR(VLOOKUP(INDEX(ED383:ED394,EG392),SPM,2,FALSE),"----"))</f>
        <v>----</v>
      </c>
    </row>
    <row r="393" spans="1:138" ht="15" customHeight="1" x14ac:dyDescent="0.25">
      <c r="A393" s="1085"/>
      <c r="B393" s="925"/>
      <c r="C393" s="926"/>
      <c r="D393" s="927"/>
      <c r="E393" s="995"/>
      <c r="F393" s="996"/>
      <c r="G393" s="997"/>
      <c r="H393" s="1062"/>
      <c r="I393" s="990"/>
      <c r="J393" s="902"/>
      <c r="K393" s="903"/>
      <c r="L393" s="1002"/>
      <c r="M393" s="923"/>
      <c r="N393" s="1042"/>
      <c r="O393" s="1018"/>
      <c r="P393" s="987"/>
      <c r="Q393" s="1015"/>
      <c r="R393" s="1012"/>
      <c r="S393" s="1006"/>
      <c r="T393" s="1007"/>
      <c r="U393" s="878"/>
      <c r="V393" s="881"/>
      <c r="W393" s="884"/>
      <c r="X393" s="884"/>
      <c r="Y393" s="887"/>
      <c r="Z393" s="887"/>
      <c r="AA393" s="887"/>
      <c r="AB393" s="1081"/>
      <c r="AC393" s="1078"/>
      <c r="AD393" s="1070" t="str">
        <f t="shared" si="5955"/>
        <v>Engineered Lumber</v>
      </c>
      <c r="AE393" s="1071"/>
      <c r="AF393" s="1052"/>
      <c r="AG393" s="1053"/>
      <c r="AH393" s="1053"/>
      <c r="AI393" s="1068"/>
      <c r="AJ393" s="1069"/>
      <c r="AK393" s="154" t="str">
        <f t="shared" ca="1" si="6208"/>
        <v/>
      </c>
      <c r="AL393" s="1059"/>
      <c r="AM393" s="344" t="str">
        <f ca="1">IFERROR(Q383/12*ROUND(VLOOKUP(AF393,OFFSET(ELM,0,1),6,FALSE),2),"")</f>
        <v/>
      </c>
      <c r="AN393" t="str">
        <f t="shared" ca="1" si="6226"/>
        <v/>
      </c>
      <c r="AP393" s="122" t="str">
        <f t="shared" ref="AP393" si="6946">_xlfn.CONCAT(AR393,AS394)</f>
        <v/>
      </c>
      <c r="AQ393" s="683" t="str">
        <f t="shared" si="6434"/>
        <v/>
      </c>
      <c r="AR393" s="4" t="str">
        <f t="shared" si="6193"/>
        <v/>
      </c>
      <c r="AS393" s="4"/>
      <c r="AT393" s="697" t="str">
        <f>AL389</f>
        <v/>
      </c>
      <c r="AU393" s="694" t="e">
        <f t="shared" ca="1" si="6450"/>
        <v>#REF!</v>
      </c>
      <c r="AV393" s="698" t="str">
        <f ca="1">IFERROR(VLOOKUP(AU393,INDIRECT(AQ383),2,FALSE),"----")</f>
        <v>----</v>
      </c>
      <c r="AW393" s="694" t="e">
        <f t="shared" ca="1" si="6451"/>
        <v>#REF!</v>
      </c>
      <c r="AX393" s="698" t="str">
        <f ca="1">IFERROR(VLOOKUP(AW393,INDIRECT(AQ384),2,FALSE),"----")</f>
        <v>----</v>
      </c>
      <c r="AY393" s="694" t="e">
        <f t="shared" ca="1" si="6210"/>
        <v>#REF!</v>
      </c>
      <c r="AZ393" s="698" t="str">
        <f ca="1">IFERROR(VLOOKUP(AY393,INDIRECT(AQ385),2,FALSE),"----")</f>
        <v>----</v>
      </c>
      <c r="BA393" s="694" t="e">
        <f t="shared" ca="1" si="6211"/>
        <v>#REF!</v>
      </c>
      <c r="BB393" s="698" t="str">
        <f ca="1">IFERROR(VLOOKUP(BA393,INDIRECT(AQ386),2,FALSE),"----")</f>
        <v>----</v>
      </c>
      <c r="BC393" s="694" t="e">
        <f t="shared" ca="1" si="6452"/>
        <v>#REF!</v>
      </c>
      <c r="BD393" s="698" t="str">
        <f ca="1">IFERROR(VLOOKUP(BC393,INDIRECT(AQ387),2,FALSE),"----")</f>
        <v>----</v>
      </c>
      <c r="BE393" s="694" t="e">
        <f t="shared" ca="1" si="6453"/>
        <v>#REF!</v>
      </c>
      <c r="BF393" s="698" t="str">
        <f ca="1">IFERROR(VLOOKUP(BE393,INDIRECT(AQ388),2,FALSE),"----")</f>
        <v>----</v>
      </c>
      <c r="BG393" s="702" t="e">
        <f t="shared" ca="1" si="6454"/>
        <v>#REF!</v>
      </c>
      <c r="BH393" s="686" t="str">
        <f ca="1">IFERROR(VLOOKUP(BG393,INDIRECT(AQ389),2,FALSE),"----")</f>
        <v>----</v>
      </c>
      <c r="BI393" s="702" t="e">
        <f t="shared" ca="1" si="6455"/>
        <v>#REF!</v>
      </c>
      <c r="BJ393" s="686" t="str">
        <f ca="1">IFERROR(VLOOKUP(BI393,INDIRECT(AQ390),2,FALSE),"----")</f>
        <v>----</v>
      </c>
      <c r="BK393" s="702" t="e">
        <f t="shared" ca="1" si="6456"/>
        <v>#REF!</v>
      </c>
      <c r="BL393" s="686" t="str">
        <f ca="1">IFERROR(VLOOKUP(BK393,INDIRECT(AQ391),2,FALSE),"----")</f>
        <v>----</v>
      </c>
      <c r="BM393" s="702" t="e">
        <f t="shared" ca="1" si="6457"/>
        <v>#REF!</v>
      </c>
      <c r="BN393" s="686" t="str">
        <f ca="1">IFERROR(VLOOKUP(BM393,INDIRECT(AQ392),2,FALSE),"----")</f>
        <v>----</v>
      </c>
      <c r="BO393" s="702" t="e">
        <f t="shared" ca="1" si="6458"/>
        <v>#REF!</v>
      </c>
      <c r="BP393" s="686" t="str">
        <f ca="1">IFERROR(VLOOKUP(BO393,INDIRECT(AQ393),2,FALSE),"----")</f>
        <v>----</v>
      </c>
      <c r="BQ393" s="702" t="e">
        <f t="shared" ca="1" si="6459"/>
        <v>#REF!</v>
      </c>
      <c r="BR393" s="686" t="str">
        <f ca="1">IFERROR(VLOOKUP(BQ393,INDIRECT(AQ394),2,FALSE),"----")</f>
        <v>----</v>
      </c>
      <c r="BS393" s="695">
        <f>IF(AI393="",1,IF(COUNTIF(BP383:BP394,AI393)=0,2,1))</f>
        <v>1</v>
      </c>
      <c r="BT393" s="696">
        <f>IF(AF393="",1,IF(BP383=".",2,1))</f>
        <v>1</v>
      </c>
      <c r="BU393" s="706"/>
      <c r="BV393" s="155">
        <f ca="1">IF(COUNTIF(EC383:EC394,AF393)=0,IF(AF393&lt;&gt;"",0,1),1)</f>
        <v>1</v>
      </c>
      <c r="BW393" s="157">
        <f ca="1">IFERROR(MATCH(AF393,EC383:EC394,0),1)</f>
        <v>1</v>
      </c>
      <c r="BX393" s="769"/>
      <c r="BY393" s="769"/>
      <c r="BZ393" s="1110"/>
      <c r="CA393" s="691" t="e">
        <f t="shared" ca="1" si="6785"/>
        <v>#REF!</v>
      </c>
      <c r="CB393" s="4" t="e" cm="1">
        <f t="array" aca="1" ref="CB393" ca="1">IF(AND(INDEX(INDIRECT(BY383),CA393,4)&gt;=$AB383,INDEX(INDIRECT(BY383),CA393,5)&gt;=$S383,INDEX(INDIRECT(BY383),CA393,6)&gt;=$R383),1,0)</f>
        <v>#REF!</v>
      </c>
      <c r="CC393" s="4" t="e">
        <f t="shared" ref="CC393" ca="1" si="6947">MATCH(1,OFFSET(CB383:CB394,CD392,0,COUNT(CB383:CB394)-CD392),0)</f>
        <v>#REF!</v>
      </c>
      <c r="CD393" s="4" t="e">
        <f t="shared" ca="1" si="6787"/>
        <v>#REF!</v>
      </c>
      <c r="CE393" s="692" t="str" cm="1">
        <f t="array" aca="1" ref="CE393" ca="1">IFERROR(VLOOKUP(INDEX(CA383:CA394,CD393),INDIRECT(BY383),2,FALSE),"----")</f>
        <v>----</v>
      </c>
      <c r="CF393" s="691" t="e">
        <f t="shared" ca="1" si="6788"/>
        <v>#N/A</v>
      </c>
      <c r="CG393" s="4" t="e">
        <f ca="1">IF(AND(INDEX(SSM,CF393,4)&gt;=$AB383,INDEX(SSM,CF393,5)&gt;=$S383,INDEX(SSM,CF393,6)&gt;=$R383),1,0)</f>
        <v>#N/A</v>
      </c>
      <c r="CH393" s="4" t="e">
        <f t="shared" ref="CH393" ca="1" si="6948">MATCH(1,OFFSET(CG383:CG394,CI392,0,COUNT(CG383:CG394)-CI392),0)</f>
        <v>#REF!</v>
      </c>
      <c r="CI393" s="4" t="e">
        <f t="shared" ca="1" si="6790"/>
        <v>#REF!</v>
      </c>
      <c r="CJ393" s="692" t="str">
        <f ca="1">IFERROR(IF(AD384="Nested Steel Stud (wood infill)",VLOOKUP(INDEX(CF383:CF394,CI393),SSW,2,FALSE),VLOOKUP(INDEX(CF383:CF394,CI393),SSM,2,FALSE)),"----")</f>
        <v>----</v>
      </c>
      <c r="CK393" s="691" t="e">
        <f t="shared" ca="1" si="6791"/>
        <v>#N/A</v>
      </c>
      <c r="CL393" s="4" t="e">
        <f ca="1">IF(AND(INDEX(WSM,CK393,4)&gt;=$AB383,INDEX(WSM,CK393,5)&gt;=$S383,INDEX(WSM,CK393,6)&gt;=$R383),1,0)</f>
        <v>#N/A</v>
      </c>
      <c r="CM393" s="4" t="e">
        <f t="shared" ref="CM393" ca="1" si="6949">MATCH(1,OFFSET(CL383:CL394,CN392,0,COUNT(CL383:CL394)-CN392),0)</f>
        <v>#REF!</v>
      </c>
      <c r="CN393" s="4" t="e">
        <f t="shared" ca="1" si="6793"/>
        <v>#REF!</v>
      </c>
      <c r="CO393" s="692" t="str">
        <f ca="1">IFERROR(VLOOKUP(INDEX(CK383:CK394,CN393),WSM,2,FALSE),"----")</f>
        <v>----</v>
      </c>
      <c r="CP393" s="691" t="e">
        <f t="shared" ca="1" si="6794"/>
        <v>#N/A</v>
      </c>
      <c r="CQ393" s="4" t="e">
        <f ca="1">IF(AND(INDEX(STM,CP393,4)&gt;=$AB383,INDEX(STM,CP393,5)&gt;=$S383,INDEX(STM,CP393,6)&gt;=$R383),1,0)</f>
        <v>#N/A</v>
      </c>
      <c r="CR393" s="4" t="e">
        <f t="shared" ref="CR393" ca="1" si="6950">MATCH(1,OFFSET(CQ383:CQ394,CS392,0,COUNT(CQ383:CQ394)-CS392),0)</f>
        <v>#REF!</v>
      </c>
      <c r="CS393" s="4" t="e">
        <f t="shared" ca="1" si="6796"/>
        <v>#REF!</v>
      </c>
      <c r="CT393" s="692" t="str">
        <f ca="1">IFERROR(VLOOKUP(INDEX(CP383:CP394,CS393),STM,2,FALSE),"----")</f>
        <v>----</v>
      </c>
      <c r="CU393" s="691" t="e">
        <f t="shared" ca="1" si="6797"/>
        <v>#N/A</v>
      </c>
      <c r="CV393" s="4" t="e">
        <f ca="1">IF(AND(INDEX(ELM,CU393,4)&gt;=$AB383,INDEX(ELM,CU393,5)&gt;=$S383,INDEX(ELM,CU393,6)&gt;=$R383),1,0)</f>
        <v>#N/A</v>
      </c>
      <c r="CW393" s="4" t="e">
        <f t="shared" ref="CW393" ca="1" si="6951">MATCH(1,OFFSET(CV383:CV394,CX392,0,COUNT(CV383:CV394)-CX392),0)</f>
        <v>#REF!</v>
      </c>
      <c r="CX393" s="4" t="e">
        <f t="shared" ca="1" si="6799"/>
        <v>#REF!</v>
      </c>
      <c r="CY393" s="692" t="str">
        <f ca="1">IFERROR(VLOOKUP(INDEX(CU383:CU394,CX393),ELM,2,FALSE),"----")</f>
        <v>----</v>
      </c>
      <c r="CZ393" s="691" t="e">
        <f t="shared" ca="1" si="6800"/>
        <v>#N/A</v>
      </c>
      <c r="DA393" s="4" t="e">
        <f ca="1">IF(LEFT($J383,7)="Clad Wo",IF(AND(INDEX(SPPWS,CZ393,4)&gt;=$AB383,INDEX(SPPWS,CZ393,5)&gt;=$S383,INDEX(SPPWS,CZ393,6)&gt;=$R383),1,0),IF(AND(INDEX(SPM,CZ393,4)&gt;=$AB383,INDEX(SPM,CZ393,5)&gt;=$S383,INDEX(SPM,CZ393,6)&gt;=$R383),1,0))</f>
        <v>#N/A</v>
      </c>
      <c r="DB393" s="4" t="e">
        <f t="shared" ref="DB393" ca="1" si="6952">MATCH(1,OFFSET(DA383:DA394,DC392,0,COUNT(DA383:DA394)-DC392),0)</f>
        <v>#REF!</v>
      </c>
      <c r="DC393" s="4" t="e">
        <f t="shared" ca="1" si="6802"/>
        <v>#REF!</v>
      </c>
      <c r="DD393" s="693" t="str">
        <f ca="1">IF(LEFT($J383,7)="Clad Wo",IFERROR(VLOOKUP(INDEX(CZ383:CZ394,DC393),SPPWS,2,FALSE),"----"),IFERROR(VLOOKUP(INDEX(CZ383:CZ394,DC393),SPM,2,FALSE),"----"))</f>
        <v>----</v>
      </c>
      <c r="DE393" s="691" t="e">
        <f t="shared" ca="1" si="6803"/>
        <v>#REF!</v>
      </c>
      <c r="DF393" s="4" t="e" cm="1">
        <f t="array" aca="1" ref="DF393" ca="1">IF(AND(INDEX(INDIRECT(BY383),DE393,4)&gt;=$AB389,INDEX(INDIRECT(BY383),DE393,5)&gt;=$S383,INDEX(INDIRECT(BY383),DE393,6)&gt;=$R383),1,0)</f>
        <v>#REF!</v>
      </c>
      <c r="DG393" s="4" t="e">
        <f t="shared" ref="DG393" ca="1" si="6953">MATCH(1,OFFSET(DF383:DF394,DH392,0,COUNT(DF383:DF394)-DH392),0)</f>
        <v>#REF!</v>
      </c>
      <c r="DH393" s="4" t="e">
        <f t="shared" ca="1" si="6805"/>
        <v>#REF!</v>
      </c>
      <c r="DI393" s="692" t="str" cm="1">
        <f t="array" aca="1" ref="DI393" ca="1">IFERROR(VLOOKUP(INDEX(DE383:DE394,DH393),INDIRECT(BY383),2,FALSE),"----")</f>
        <v>----</v>
      </c>
      <c r="DJ393" s="691" t="e">
        <f t="shared" ca="1" si="6806"/>
        <v>#N/A</v>
      </c>
      <c r="DK393" s="4" t="e">
        <f ca="1">IF(AND(INDEX(SSM,DJ393,4)&gt;=$AB389,INDEX(SSM,DJ393,5)&gt;=$S383,INDEX(SSM,DJ393,6)&gt;=$R383),1,0)</f>
        <v>#N/A</v>
      </c>
      <c r="DL393" s="4" t="e">
        <f t="shared" ref="DL393" ca="1" si="6954">MATCH(1,OFFSET(DK383:DK394,DM392,0,COUNT(DK383:DK394)-DM392),0)</f>
        <v>#REF!</v>
      </c>
      <c r="DM393" s="4" t="e">
        <f t="shared" ca="1" si="6808"/>
        <v>#REF!</v>
      </c>
      <c r="DN393" s="692" t="str">
        <f ca="1">IFERROR(IF(AD390="Nested Steel Stud (wood infill)",VLOOKUP(INDEX(DJ383:DJ394,DM393),SSW,2,FALSE),VLOOKUP(INDEX(DJ383:DJ394,DM393),SSM,2,FALSE)),"----")</f>
        <v>----</v>
      </c>
      <c r="DO393" s="691" t="e">
        <f t="shared" ca="1" si="6809"/>
        <v>#N/A</v>
      </c>
      <c r="DP393" s="4" t="e">
        <f ca="1">IF(AND(INDEX(WSM,DO393,4)&gt;=$AB389,INDEX(WSM,DO393,5)&gt;=$S383,INDEX(WSM,DO393,6)&gt;=$R383),1,0)</f>
        <v>#N/A</v>
      </c>
      <c r="DQ393" s="4" t="e">
        <f t="shared" ref="DQ393" ca="1" si="6955">MATCH(1,OFFSET(DP383:DP394,DR392,0,COUNT(DP383:DP394)-DR392),0)</f>
        <v>#REF!</v>
      </c>
      <c r="DR393" s="4" t="e">
        <f t="shared" ca="1" si="6811"/>
        <v>#REF!</v>
      </c>
      <c r="DS393" s="692" t="str">
        <f ca="1">IFERROR(VLOOKUP(INDEX(DO383:DO394,DR393),WSM,2,FALSE),"----")</f>
        <v>----</v>
      </c>
      <c r="DT393" s="691" t="e">
        <f t="shared" ca="1" si="6812"/>
        <v>#N/A</v>
      </c>
      <c r="DU393" s="4" t="e">
        <f ca="1">IF(AND(INDEX(STM,DT393,4)&gt;=$AB389,INDEX(STM,DT393,5)&gt;=$S383,INDEX(STM,DT393,6)&gt;=$R383),1,0)</f>
        <v>#N/A</v>
      </c>
      <c r="DV393" s="4" t="e">
        <f t="shared" ref="DV393" ca="1" si="6956">MATCH(1,OFFSET(DU383:DU394,DW392,0,COUNT(DU383:DU394)-DW392),0)</f>
        <v>#REF!</v>
      </c>
      <c r="DW393" s="4" t="e">
        <f t="shared" ca="1" si="6814"/>
        <v>#REF!</v>
      </c>
      <c r="DX393" s="692" t="str">
        <f ca="1">IFERROR(VLOOKUP(INDEX(DT383:DT394,DW393),STM,2,FALSE),"----")</f>
        <v>----</v>
      </c>
      <c r="DY393" s="691" t="e">
        <f t="shared" ca="1" si="6815"/>
        <v>#N/A</v>
      </c>
      <c r="DZ393" s="4" t="e">
        <f ca="1">IF(AND(INDEX(ELM,DY393,4)&gt;=$AB389,INDEX(ELM,DY393,5)&gt;=$S383,INDEX(ELM,DY393,6)&gt;=$R383),1,0)</f>
        <v>#N/A</v>
      </c>
      <c r="EA393" s="4" t="e">
        <f t="shared" ref="EA393" ca="1" si="6957">MATCH(1,OFFSET(DZ383:DZ394,EB392,0,COUNT(DZ383:DZ394)-EB392),0)</f>
        <v>#REF!</v>
      </c>
      <c r="EB393" s="4" t="e">
        <f t="shared" ca="1" si="6817"/>
        <v>#REF!</v>
      </c>
      <c r="EC393" s="692" t="str">
        <f ca="1">IFERROR(VLOOKUP(INDEX(DY383:DY394,EB393),ELM,2,FALSE),"----")</f>
        <v>----</v>
      </c>
      <c r="ED393" s="691" t="e">
        <f t="shared" ca="1" si="6818"/>
        <v>#N/A</v>
      </c>
      <c r="EE393" s="4" t="e">
        <f ca="1">IF(LEFT($J383,7)="Clad Wo",IF(AND(INDEX(SPPWS,ED393,4)&gt;=$AB389,INDEX(SPPWS,ED393,5)&gt;=$S383,INDEX(SPPWS,ED393,6)&gt;=$R383),1,0),IF(AND(INDEX(SPM,ED393,4)&gt;=$AB389,INDEX(SPM,ED393,5)&gt;=$S383,INDEX(SPM,ED393,6)&gt;=$R383),1,0))</f>
        <v>#N/A</v>
      </c>
      <c r="EF393" s="4" t="e">
        <f t="shared" ref="EF393" ca="1" si="6958">MATCH(1,OFFSET(EE383:EE394,EG392,0,COUNT(EE383:EE394)-EG392),0)</f>
        <v>#REF!</v>
      </c>
      <c r="EG393" s="4" t="e">
        <f t="shared" ca="1" si="6820"/>
        <v>#REF!</v>
      </c>
      <c r="EH393" s="692" t="str">
        <f ca="1">IF(LEFT($J383,7)="Clad Wo",IFERROR(VLOOKUP(INDEX(ED383:ED394,EG393),SPPWS,2,FALSE),"----"),IFERROR(VLOOKUP(INDEX(ED383:ED394,EG393),SPM,2,FALSE),"----"))</f>
        <v>----</v>
      </c>
    </row>
    <row r="394" spans="1:138" ht="15" customHeight="1" thickBot="1" x14ac:dyDescent="0.3">
      <c r="A394" s="1085"/>
      <c r="B394" s="928"/>
      <c r="C394" s="929"/>
      <c r="D394" s="930"/>
      <c r="E394" s="998"/>
      <c r="F394" s="999"/>
      <c r="G394" s="1000"/>
      <c r="H394" s="1063"/>
      <c r="I394" s="991"/>
      <c r="J394" s="904"/>
      <c r="K394" s="905"/>
      <c r="L394" s="1003"/>
      <c r="M394" s="1065"/>
      <c r="N394" s="1043"/>
      <c r="O394" s="1019"/>
      <c r="P394" s="988"/>
      <c r="Q394" s="1016"/>
      <c r="R394" s="1013"/>
      <c r="S394" s="1008"/>
      <c r="T394" s="1009"/>
      <c r="U394" s="879"/>
      <c r="V394" s="882"/>
      <c r="W394" s="885"/>
      <c r="X394" s="885"/>
      <c r="Y394" s="888"/>
      <c r="Z394" s="888"/>
      <c r="AA394" s="888"/>
      <c r="AB394" s="1082"/>
      <c r="AC394" s="1087"/>
      <c r="AD394" s="1098" t="str">
        <f t="shared" ref="AD394" si="6959">IF(LEFT(J383,7)="Clad Wo","Pella Wood Spr / Steel Pte","Steel Plate")</f>
        <v>Steel Plate</v>
      </c>
      <c r="AE394" s="1099"/>
      <c r="AF394" s="1096"/>
      <c r="AG394" s="1097"/>
      <c r="AH394" s="1097"/>
      <c r="AI394" s="1094"/>
      <c r="AJ394" s="1095"/>
      <c r="AK394" s="163" t="str">
        <f t="shared" ca="1" si="6208"/>
        <v/>
      </c>
      <c r="AL394" s="1060"/>
      <c r="AM394" s="345" t="str">
        <f ca="1">IFERROR(Q383/12*ROUND(VLOOKUP(AF394,OFFSET(SPM,0,1),6,FALSE),2),"")</f>
        <v/>
      </c>
      <c r="AN394" t="str">
        <f t="shared" ca="1" si="6226"/>
        <v/>
      </c>
      <c r="AP394" s="699" t="str">
        <f t="shared" ref="AP394" si="6960">_xlfn.CONCAT(AR394,AS394)</f>
        <v/>
      </c>
      <c r="AQ394" s="700" t="str">
        <f t="shared" si="6434"/>
        <v/>
      </c>
      <c r="AR394" s="160" t="str">
        <f t="shared" si="6193"/>
        <v/>
      </c>
      <c r="AS394" s="160" t="str">
        <f>IFERROR(VLOOKUP(J391, WallType,2,FALSE),"")</f>
        <v/>
      </c>
      <c r="AT394" s="707" t="str">
        <f>AL389</f>
        <v/>
      </c>
      <c r="AU394" s="708" t="e">
        <f t="shared" ca="1" si="6450"/>
        <v>#REF!</v>
      </c>
      <c r="AV394" s="709" t="str">
        <f ca="1">IFERROR(VLOOKUP(AU394,INDIRECT(AQ383),2,FALSE),"----")</f>
        <v>----</v>
      </c>
      <c r="AW394" s="710" t="e">
        <f t="shared" ca="1" si="6451"/>
        <v>#REF!</v>
      </c>
      <c r="AX394" s="709" t="str">
        <f ca="1">IFERROR(VLOOKUP(AW394,INDIRECT(AQ384),2,FALSE),"----")</f>
        <v>----</v>
      </c>
      <c r="AY394" s="710" t="e">
        <f t="shared" ca="1" si="6210"/>
        <v>#REF!</v>
      </c>
      <c r="AZ394" s="709" t="str">
        <f ca="1">IFERROR(VLOOKUP(AY394,INDIRECT(AQ385),2,FALSE),"----")</f>
        <v>----</v>
      </c>
      <c r="BA394" s="710" t="e">
        <f t="shared" ca="1" si="6211"/>
        <v>#REF!</v>
      </c>
      <c r="BB394" s="709" t="str">
        <f ca="1">IFERROR(VLOOKUP(BA394,INDIRECT(AQ386),2,FALSE),"----")</f>
        <v>----</v>
      </c>
      <c r="BC394" s="710" t="e">
        <f t="shared" ca="1" si="6452"/>
        <v>#REF!</v>
      </c>
      <c r="BD394" s="709" t="str">
        <f ca="1">IFERROR(VLOOKUP(BC394,INDIRECT(AQ387),2,FALSE),"----")</f>
        <v>----</v>
      </c>
      <c r="BE394" s="710" t="e">
        <f t="shared" ca="1" si="6453"/>
        <v>#REF!</v>
      </c>
      <c r="BF394" s="709" t="str">
        <f ca="1">IFERROR(VLOOKUP(BE394,INDIRECT(AQ388),2,FALSE),"----")</f>
        <v>----</v>
      </c>
      <c r="BG394" s="710" t="e">
        <f t="shared" ca="1" si="6454"/>
        <v>#REF!</v>
      </c>
      <c r="BH394" s="711" t="str">
        <f ca="1">IFERROR(VLOOKUP(BG394,INDIRECT(AQ389),2,FALSE),"----")</f>
        <v>----</v>
      </c>
      <c r="BI394" s="710" t="e">
        <f t="shared" ca="1" si="6455"/>
        <v>#REF!</v>
      </c>
      <c r="BJ394" s="711" t="str">
        <f ca="1">IFERROR(VLOOKUP(BI394,INDIRECT(AQ390),2,FALSE),"----")</f>
        <v>----</v>
      </c>
      <c r="BK394" s="710" t="e">
        <f t="shared" ca="1" si="6456"/>
        <v>#REF!</v>
      </c>
      <c r="BL394" s="711" t="str">
        <f ca="1">IFERROR(VLOOKUP(BK394,INDIRECT(AQ391),2,FALSE),"----")</f>
        <v>----</v>
      </c>
      <c r="BM394" s="710" t="e">
        <f t="shared" ca="1" si="6457"/>
        <v>#REF!</v>
      </c>
      <c r="BN394" s="711" t="str">
        <f ca="1">IFERROR(VLOOKUP(BM394,INDIRECT(AQ392),2,FALSE),"----")</f>
        <v>----</v>
      </c>
      <c r="BO394" s="710" t="e">
        <f t="shared" ca="1" si="6458"/>
        <v>#REF!</v>
      </c>
      <c r="BP394" s="711" t="str">
        <f ca="1">IFERROR(VLOOKUP(BO394,INDIRECT(AQ393),2,FALSE),"----")</f>
        <v>----</v>
      </c>
      <c r="BQ394" s="710" t="e">
        <f t="shared" ca="1" si="6459"/>
        <v>#REF!</v>
      </c>
      <c r="BR394" s="712" t="str">
        <f ca="1">IFERROR(VLOOKUP(BQ394,INDIRECT(AQ394),2,FALSE),"----")</f>
        <v>----</v>
      </c>
      <c r="BS394" s="695">
        <f>IF(AI394="",1,IF(COUNTIF(BR383:BR394,AI394)=0,2,1))</f>
        <v>1</v>
      </c>
      <c r="BT394" s="713">
        <f>IF(AF394="",1,IF(BR383=".",2,1))</f>
        <v>1</v>
      </c>
      <c r="BV394" s="155">
        <f ca="1">IF(COUNTIF(EH383:EH394,AF394)=0,IF(AF394&lt;&gt;"",0,1),1)</f>
        <v>1</v>
      </c>
      <c r="BW394" s="157">
        <f ca="1">IFERROR(MATCH(AF394,EH383:EH394,0),1)</f>
        <v>1</v>
      </c>
      <c r="BX394" s="718"/>
      <c r="BY394" s="777"/>
      <c r="BZ394" s="1110"/>
      <c r="CA394" s="714" t="e">
        <f t="shared" ca="1" si="6785"/>
        <v>#REF!</v>
      </c>
      <c r="CB394" s="715" t="e" cm="1">
        <f t="array" aca="1" ref="CB394" ca="1">IF(AND(INDEX(INDIRECT(BY383),CA394,4)&gt;=$AB383,INDEX(INDIRECT(BY383),CA394,5)&gt;=$S383,INDEX(INDIRECT(BY383),CA394,6)&gt;=$R383),1,0)</f>
        <v>#REF!</v>
      </c>
      <c r="CC394" s="715" t="e">
        <f t="shared" ref="CC394" ca="1" si="6961">MATCH(1,OFFSET(CB383:CB394,CD393,0,COUNT(CB383:CB394)-CD393),0)</f>
        <v>#REF!</v>
      </c>
      <c r="CD394" s="715" t="e">
        <f t="shared" ca="1" si="6787"/>
        <v>#REF!</v>
      </c>
      <c r="CE394" s="716" t="str" cm="1">
        <f t="array" aca="1" ref="CE394" ca="1">IFERROR(VLOOKUP(INDEX(CA383:CA394,CD394),INDIRECT(BY383),2,FALSE),"----")</f>
        <v>----</v>
      </c>
      <c r="CF394" s="714" t="e">
        <f t="shared" ca="1" si="6788"/>
        <v>#N/A</v>
      </c>
      <c r="CG394" s="715" t="e">
        <f ca="1">IF(AND(INDEX(SSM,CF394,4)&gt;=$AB383,INDEX(SSM,CF394,5)&gt;=$S383,INDEX(SSM,CF394,6)&gt;=$R383),1,0)</f>
        <v>#N/A</v>
      </c>
      <c r="CH394" s="715" t="e">
        <f t="shared" ref="CH394" ca="1" si="6962">MATCH(1,OFFSET(CG383:CG394,CI393,0,COUNT(CG383:CG394)-CI393),0)</f>
        <v>#REF!</v>
      </c>
      <c r="CI394" s="715" t="e">
        <f t="shared" ca="1" si="6790"/>
        <v>#REF!</v>
      </c>
      <c r="CJ394" s="716" t="str">
        <f ca="1">IFERROR(IF(AD384="Nested Steel Stud (wood infill)",VLOOKUP(INDEX(CF383:CF394,CI394),SSW,2,FALSE),VLOOKUP(INDEX(CF383:CF394,CI394),SSM,2,FALSE)),"----")</f>
        <v>----</v>
      </c>
      <c r="CK394" s="714" t="e">
        <f t="shared" ca="1" si="6791"/>
        <v>#N/A</v>
      </c>
      <c r="CL394" s="715" t="e">
        <f ca="1">IF(AND(INDEX(WSM,CK394,4)&gt;=$AB383,INDEX(WSM,CK394,5)&gt;=$S383,INDEX(WSM,CK394,6)&gt;=$R383),1,0)</f>
        <v>#N/A</v>
      </c>
      <c r="CM394" s="715" t="e">
        <f t="shared" ref="CM394" ca="1" si="6963">MATCH(1,OFFSET(CL383:CL394,CN393,0,COUNT(CL383:CL394)-CN393),0)</f>
        <v>#REF!</v>
      </c>
      <c r="CN394" s="715" t="e">
        <f t="shared" ca="1" si="6793"/>
        <v>#REF!</v>
      </c>
      <c r="CO394" s="716" t="str">
        <f ca="1">IFERROR(VLOOKUP(INDEX(CK383:CK394,CN394),WSM,2,FALSE),"----")</f>
        <v>----</v>
      </c>
      <c r="CP394" s="714" t="e">
        <f t="shared" ca="1" si="6794"/>
        <v>#N/A</v>
      </c>
      <c r="CQ394" s="715" t="e">
        <f ca="1">IF(AND(INDEX(STM,CP394,4)&gt;=$AB383,INDEX(STM,CP394,5)&gt;=$S383,INDEX(STM,CP394,6)&gt;=$R383),1,0)</f>
        <v>#N/A</v>
      </c>
      <c r="CR394" s="715" t="e">
        <f t="shared" ref="CR394" ca="1" si="6964">MATCH(1,OFFSET(CQ383:CQ394,CS393,0,COUNT(CQ383:CQ394)-CS393),0)</f>
        <v>#REF!</v>
      </c>
      <c r="CS394" s="715" t="e">
        <f t="shared" ca="1" si="6796"/>
        <v>#REF!</v>
      </c>
      <c r="CT394" s="716" t="str">
        <f ca="1">IFERROR(VLOOKUP(INDEX(CP383:CP394,CS394),STM,2,FALSE),"----")</f>
        <v>----</v>
      </c>
      <c r="CU394" s="714" t="e">
        <f t="shared" ca="1" si="6797"/>
        <v>#N/A</v>
      </c>
      <c r="CV394" s="715" t="e">
        <f ca="1">IF(AND(INDEX(ELM,CU394,4)&gt;=$AB383,INDEX(ELM,CU394,5)&gt;=$S383,INDEX(ELM,CU394,6)&gt;=$R383),1,0)</f>
        <v>#N/A</v>
      </c>
      <c r="CW394" s="715" t="e">
        <f t="shared" ref="CW394" ca="1" si="6965">MATCH(1,OFFSET(CV383:CV394,CX393,0,COUNT(CV383:CV394)-CX393),0)</f>
        <v>#REF!</v>
      </c>
      <c r="CX394" s="715" t="e">
        <f t="shared" ca="1" si="6799"/>
        <v>#REF!</v>
      </c>
      <c r="CY394" s="716" t="str">
        <f ca="1">IFERROR(VLOOKUP(INDEX(CU383:CU394,CX394),ELM,2,FALSE),"----")</f>
        <v>----</v>
      </c>
      <c r="CZ394" s="714" t="e">
        <f t="shared" ca="1" si="6800"/>
        <v>#N/A</v>
      </c>
      <c r="DA394" s="715" t="e">
        <f ca="1">IF(LEFT($J383,7)="Clad Wo",IF(AND(INDEX(SPPWS,CZ394,4)&gt;=$AB383,INDEX(SPPWS,CZ394,5)&gt;=$S383,INDEX(SPPWS,CZ394,6)&gt;=$R383),1,0),IF(AND(INDEX(SPM,CZ394,4)&gt;=$AB383,INDEX(SPM,CZ394,5)&gt;=$S383,INDEX(SPM,CZ394,6)&gt;=$R383),1,0))</f>
        <v>#N/A</v>
      </c>
      <c r="DB394" s="715" t="e">
        <f t="shared" ref="DB394" ca="1" si="6966">MATCH(1,OFFSET(DA383:DA394,DC393,0,COUNT(DA383:DA394)-DC393),0)</f>
        <v>#REF!</v>
      </c>
      <c r="DC394" s="715" t="e">
        <f t="shared" ca="1" si="6802"/>
        <v>#REF!</v>
      </c>
      <c r="DD394" s="717" t="str">
        <f ca="1">IF(LEFT($J383,7)="Clad Wo",IFERROR(VLOOKUP(INDEX(CZ383:CZ394,DC394),SPPWS,2,FALSE),"----"),IFERROR(VLOOKUP(INDEX(CZ383:CZ394,DC394),SPM,2,FALSE),"----"))</f>
        <v>----</v>
      </c>
      <c r="DE394" s="714" t="e">
        <f t="shared" ca="1" si="6803"/>
        <v>#REF!</v>
      </c>
      <c r="DF394" s="715" t="e" cm="1">
        <f t="array" aca="1" ref="DF394" ca="1">IF(AND(INDEX(INDIRECT(BY383),DE394,4)&gt;=$AB389,INDEX(INDIRECT(BY383),DE394,5)&gt;=$S383,INDEX(INDIRECT(BY383),DE394,6)&gt;=$R383),1,0)</f>
        <v>#REF!</v>
      </c>
      <c r="DG394" s="715" t="e">
        <f t="shared" ref="DG394" ca="1" si="6967">MATCH(1,OFFSET(DF383:DF394,DH393,0,COUNT(DF383:DF394)-DH393),0)</f>
        <v>#REF!</v>
      </c>
      <c r="DH394" s="715" t="e">
        <f t="shared" ca="1" si="6805"/>
        <v>#REF!</v>
      </c>
      <c r="DI394" s="716" t="str" cm="1">
        <f t="array" aca="1" ref="DI394" ca="1">IFERROR(VLOOKUP(INDEX(DE383:DE394,DH394),INDIRECT(BY383),2,FALSE),"----")</f>
        <v>----</v>
      </c>
      <c r="DJ394" s="714" t="e">
        <f t="shared" ca="1" si="6806"/>
        <v>#N/A</v>
      </c>
      <c r="DK394" s="715" t="e">
        <f ca="1">IF(AND(INDEX(SSM,DJ394,4)&gt;=$AB389,INDEX(SSM,DJ394,5)&gt;=$S383,INDEX(SSM,DJ394,6)&gt;=$R383),1,0)</f>
        <v>#N/A</v>
      </c>
      <c r="DL394" s="715" t="e">
        <f t="shared" ref="DL394" ca="1" si="6968">MATCH(1,OFFSET(DK383:DK394,DM393,0,COUNT(DK383:DK394)-DM393),0)</f>
        <v>#REF!</v>
      </c>
      <c r="DM394" s="715" t="e">
        <f t="shared" ca="1" si="6808"/>
        <v>#REF!</v>
      </c>
      <c r="DN394" s="716" t="str">
        <f ca="1">IFERROR(IF(AD390="Nested Steel Stud (wood infill)",VLOOKUP(INDEX(DJ383:DJ394,DM394),SSW,2,FALSE),VLOOKUP(INDEX(DJ383:DJ394,DM394),SSM,2,FALSE)),"----")</f>
        <v>----</v>
      </c>
      <c r="DO394" s="714" t="e">
        <f t="shared" ca="1" si="6809"/>
        <v>#N/A</v>
      </c>
      <c r="DP394" s="715" t="e">
        <f ca="1">IF(AND(INDEX(WSM,DO394,4)&gt;=$AB389,INDEX(WSM,DO394,5)&gt;=$S383,INDEX(WSM,DO394,6)&gt;=$R383),1,0)</f>
        <v>#N/A</v>
      </c>
      <c r="DQ394" s="715" t="e">
        <f t="shared" ref="DQ394" ca="1" si="6969">MATCH(1,OFFSET(DP383:DP394,DR393,0,COUNT(DP383:DP394)-DR393),0)</f>
        <v>#REF!</v>
      </c>
      <c r="DR394" s="715" t="e">
        <f t="shared" ca="1" si="6811"/>
        <v>#REF!</v>
      </c>
      <c r="DS394" s="716" t="str">
        <f ca="1">IFERROR(VLOOKUP(INDEX(DO383:DO394,DR394),WSM,2,FALSE),"----")</f>
        <v>----</v>
      </c>
      <c r="DT394" s="714" t="e">
        <f t="shared" ca="1" si="6812"/>
        <v>#N/A</v>
      </c>
      <c r="DU394" s="715" t="e">
        <f ca="1">IF(AND(INDEX(STM,DT394,4)&gt;=$AB389,INDEX(STM,DT394,5)&gt;=$S383,INDEX(STM,DT394,6)&gt;=$R383),1,0)</f>
        <v>#N/A</v>
      </c>
      <c r="DV394" s="715" t="e">
        <f t="shared" ref="DV394" ca="1" si="6970">MATCH(1,OFFSET(DU383:DU394,DW393,0,COUNT(DU383:DU394)-DW393),0)</f>
        <v>#REF!</v>
      </c>
      <c r="DW394" s="715" t="e">
        <f t="shared" ca="1" si="6814"/>
        <v>#REF!</v>
      </c>
      <c r="DX394" s="716" t="str">
        <f ca="1">IFERROR(VLOOKUP(INDEX(DT383:DT394,DW394),STM,2,FALSE),"----")</f>
        <v>----</v>
      </c>
      <c r="DY394" s="714" t="e">
        <f t="shared" ca="1" si="6815"/>
        <v>#N/A</v>
      </c>
      <c r="DZ394" s="715" t="e">
        <f ca="1">IF(AND(INDEX(ELM,DY394,4)&gt;=$AB389,INDEX(ELM,DY394,5)&gt;=$S383,INDEX(ELM,DY394,6)&gt;=$R383),1,0)</f>
        <v>#N/A</v>
      </c>
      <c r="EA394" s="715" t="e">
        <f t="shared" ref="EA394" ca="1" si="6971">MATCH(1,OFFSET(DZ383:DZ394,EB393,0,COUNT(DZ383:DZ394)-EB393),0)</f>
        <v>#REF!</v>
      </c>
      <c r="EB394" s="715" t="e">
        <f t="shared" ca="1" si="6817"/>
        <v>#REF!</v>
      </c>
      <c r="EC394" s="716" t="str">
        <f ca="1">IFERROR(VLOOKUP(INDEX(DY383:DY394,EB394),ELM,2,FALSE),"----")</f>
        <v>----</v>
      </c>
      <c r="ED394" s="714" t="e">
        <f t="shared" ca="1" si="6818"/>
        <v>#N/A</v>
      </c>
      <c r="EE394" s="715" t="e">
        <f ca="1">IF(LEFT($J383,7)="Clad Wo",IF(AND(INDEX(SPPWS,ED394,4)&gt;=$AB389,INDEX(SPPWS,ED394,5)&gt;=$S383,INDEX(SPPWS,ED394,6)&gt;=$R383),1,0),IF(AND(INDEX(SPM,ED394,4)&gt;=$AB389,INDEX(SPM,ED394,5)&gt;=$S383,INDEX(SPM,ED394,6)&gt;=$R383),1,0))</f>
        <v>#N/A</v>
      </c>
      <c r="EF394" s="715" t="e">
        <f t="shared" ref="EF394" ca="1" si="6972">MATCH(1,OFFSET(EE383:EE394,EG393,0,COUNT(EE383:EE394)-EG393),0)</f>
        <v>#REF!</v>
      </c>
      <c r="EG394" s="715" t="e">
        <f t="shared" ca="1" si="6820"/>
        <v>#REF!</v>
      </c>
      <c r="EH394" s="716" t="str">
        <f ca="1">IF(LEFT($J383,7)="Clad Wo",IFERROR(VLOOKUP(INDEX(ED383:ED394,EG394),SPPWS,2,FALSE),"----"),IFERROR(VLOOKUP(INDEX(ED383:ED394,EG394),SPM,2,FALSE),"----"))</f>
        <v>----</v>
      </c>
    </row>
    <row r="395" spans="1:138" ht="15" customHeight="1" thickTop="1" x14ac:dyDescent="0.25">
      <c r="A395" s="1085"/>
      <c r="B395" s="931" t="s">
        <v>92</v>
      </c>
      <c r="C395" s="932"/>
      <c r="D395" s="933"/>
      <c r="E395" s="992"/>
      <c r="F395" s="993"/>
      <c r="G395" s="994"/>
      <c r="H395" s="1061"/>
      <c r="I395" s="989"/>
      <c r="J395" s="906"/>
      <c r="K395" s="907"/>
      <c r="L395" s="1001">
        <f>$W$3</f>
        <v>4</v>
      </c>
      <c r="M395" s="923" t="str">
        <f t="shared" ref="M395" si="6973">IFERROR(IF($AE$13="",IF($AG$19="Wind Loading",MIN($V$31,IF(E$11="ASCE 7-05",$U$26,$V$7)*$V$9*(IF($E$12&lt;60,0.0771*LN(MAX(MIN(500,O395),10)) -1.2737,IF($E$11="ASCE 7-22",0.0524*LN(MAX(MIN(500,O395),50))-1.0278,0.0614*LN(MAX(MIN(500,O395),20)) -1.0829))-$V$8)),$V$7*IF(E$12&lt;60,$V$13*($V$15*0.0771*LN(MAX(MIN(500,O395),10))-1.2737-$V$16),$V$13*$V$15*((0.0524*LN(MAX(MIN(500,O395),20))-1.0278)-$V$16))),-ABS($AE$13)),"")</f>
        <v/>
      </c>
      <c r="N395" s="1042" t="str">
        <f t="shared" ref="N395" si="6974">IFERROR(IF($AE$15="",IF($AG$19="Wind Loading",MAX($U$31,IF(E$11="ASCE 7-05",$U$26,$V$7)*$V$9*((IF($E$12&lt;60,-0.077*LN(MAX(MIN(500,O395),10))+1.1737,IF($E$11="ASCE 7-22",-0.077*LN(MAX(MIN(500,O395),20))+1.0798,-0.093*LN(MAX(MIN(500,O395),20))+1.1776)))+$V$8)),$V$7*IF(E$12&lt;60,$V$13*($V$15*(-0.077*LN(MAX(MIN(500,O395),10))+1.1737)-$V$17),$V$13*$V$15*((-0.077*LN(MAX(MIN(500,O395),20))+1.0798)-$V$17))),ABS($AE$15)),"")</f>
        <v/>
      </c>
      <c r="O395" s="1017" t="str">
        <f>IF(BX402=0,"",IF(AG$14="Trapezoidal",BY402,BX402))</f>
        <v/>
      </c>
      <c r="P395" s="986"/>
      <c r="Q395" s="1014"/>
      <c r="R395" s="1011">
        <f>P395*Q395/8</f>
        <v>0</v>
      </c>
      <c r="S395" s="1004">
        <f t="shared" ref="S395" si="6975">IF(5*(P395*Q395^3/(384*0.125))=0,0,5*(P395*Q395^3/(384*0.125)))</f>
        <v>0</v>
      </c>
      <c r="T395" s="1005"/>
      <c r="U395" s="877" t="e">
        <f ca="1">VLOOKUP(J399,INDIRECT(VLOOKUP(J395,FrameStrength,2,FALSE)),3,FALSE)</f>
        <v>#N/A</v>
      </c>
      <c r="V395" s="880">
        <f t="shared" ref="V395" si="6976">(H395+I395)/2</f>
        <v>0</v>
      </c>
      <c r="W395" s="883" t="e">
        <f t="shared" ref="W395" si="6977">MAX(-M395,N395)*O395</f>
        <v>#VALUE!</v>
      </c>
      <c r="X395" s="883">
        <f t="shared" ref="X395" si="6978">IF(E395&gt;162,(E395/240+0.25),IF(AND(E395&lt;162,E395/175&lt;0.75),E395/175,0.75))</f>
        <v>0</v>
      </c>
      <c r="Y395" s="886">
        <f>IFERROR(IF(AG$14="Trapezoidal",BY403,BX403)+IF($E$17="4",(400*E395^3)/(48*X395),0),0)</f>
        <v>0</v>
      </c>
      <c r="Z395" s="886" t="e">
        <f t="shared" ref="Z395" si="6979">+($V395*MAX(-$M395,$N395)*$E395^2)/(144*8)+IF($E$17=4,(400*$E395)/4,0)</f>
        <v>#VALUE!</v>
      </c>
      <c r="AA395" s="886" t="e">
        <f ca="1">VLOOKUP(J399,INDIRECT(VLOOKUP(J395,FrameStrength,2,FALSE)),2,FALSE)</f>
        <v>#N/A</v>
      </c>
      <c r="AB395" s="1083" t="str">
        <f t="shared" ref="AB395" ca="1" si="6980">IFERROR(Z395-AA395,"")</f>
        <v/>
      </c>
      <c r="AC395" s="1077" t="str">
        <f t="shared" ref="AC395" ca="1" si="6981">IFERROR(Y395-U395,"")</f>
        <v/>
      </c>
      <c r="AD395" s="1100" t="str">
        <f>IFERROR(IF(LEFT(J399,2)="As",VLOOKUP(J399,EIMM,4,FALSE),VLOOKUP(J395,EIMM,4,FALSE)),IF(AND(ISNUMBER(SEARCH("Impervia",J395)),ISNUMBER(SEARCH("door",J399))),'New Lookup Cells'!AF$10,IF(ISNUMBER(SEARCH("Impervia",J395)),'New Lookup Cells'!AF$7,IF(AND(ISNUMBER(SEARCH("250",J395)),ISNUMBER(SEARCH("door",J399))),'New Lookup Cells'!AF$14,IF(ISNUMBER(SEARCH("250",J395)),'New Lookup Cells'!AF$13,"")))))</f>
        <v/>
      </c>
      <c r="AE395" s="1101"/>
      <c r="AF395" s="1050"/>
      <c r="AG395" s="1051"/>
      <c r="AH395" s="1051"/>
      <c r="AI395" s="1088"/>
      <c r="AJ395" s="1089"/>
      <c r="AK395" s="154" t="str">
        <f t="shared" ca="1" si="6208"/>
        <v/>
      </c>
      <c r="AL395" s="1038" t="str">
        <f t="shared" ref="AL395" si="6982">IFERROR(ROUND(SQRT(P395^2+(W395/2+IF($E$17=4,200,0))^2),0),"")</f>
        <v/>
      </c>
      <c r="AM395" s="342" t="s">
        <v>669</v>
      </c>
      <c r="AN395" t="str">
        <f t="shared" ca="1" si="6226"/>
        <v/>
      </c>
      <c r="AP395" s="122" t="str">
        <f t="shared" ref="AP395" si="6983">_xlfn.CONCAT(AR395,AS400)</f>
        <v/>
      </c>
      <c r="AQ395" s="683" t="str">
        <f t="shared" si="6434"/>
        <v/>
      </c>
      <c r="AR395" s="96" t="str">
        <f t="shared" si="6193"/>
        <v/>
      </c>
      <c r="AS395" s="96" t="str">
        <f>IF(COUNTIF(imp_1,AF395)=1,"imp_1",IF(COUNTIF(imp_2,AF395)=1,"imp_2",IF(COUNTIF(imp_3,AF395)=1,"imp_3",IF(COUNTIF(impdoor,AF395)=1,"impdoor",""))))</f>
        <v/>
      </c>
      <c r="AT395" s="684" t="str">
        <f>AL395</f>
        <v/>
      </c>
      <c r="AU395" s="685" t="e">
        <f ca="1">MATCH(AL395,INDIRECT(AP395),-1)</f>
        <v>#REF!</v>
      </c>
      <c r="AV395" s="686" t="str">
        <f ca="1">IFERROR(VLOOKUP(AU395,INDIRECT(AQ395),2,FALSE),"----")</f>
        <v>----</v>
      </c>
      <c r="AW395" s="685" t="e">
        <f ca="1">MATCH(AL395,INDIRECT(AP396),-1)</f>
        <v>#REF!</v>
      </c>
      <c r="AX395" s="686" t="str">
        <f ca="1">IFERROR(VLOOKUP(AW395,INDIRECT(AQ396),2,FALSE),"----")</f>
        <v>----</v>
      </c>
      <c r="AY395" s="685" t="e">
        <f ca="1">MATCH(AL395,INDIRECT(AP397),-1)</f>
        <v>#REF!</v>
      </c>
      <c r="AZ395" s="686" t="str">
        <f ca="1">IFERROR(VLOOKUP(AY395,INDIRECT(AQ397),2,FALSE),"----")</f>
        <v>----</v>
      </c>
      <c r="BA395" s="685" t="e">
        <f ca="1">MATCH(AL395,INDIRECT(AP398),-1)</f>
        <v>#REF!</v>
      </c>
      <c r="BB395" s="686" t="str">
        <f ca="1">IFERROR(VLOOKUP(BA395,INDIRECT(AQ398),2,FALSE),"----")</f>
        <v>----</v>
      </c>
      <c r="BC395" s="685" t="e">
        <f ca="1">MATCH(AL395,INDIRECT(AP399),-1)</f>
        <v>#REF!</v>
      </c>
      <c r="BD395" s="686" t="str">
        <f ca="1">IFERROR(VLOOKUP(BC395,INDIRECT(AQ399),2,FALSE),"----")</f>
        <v>----</v>
      </c>
      <c r="BE395" s="685" t="e">
        <f ca="1">MATCH(AL395,INDIRECT(AP400),-1)</f>
        <v>#REF!</v>
      </c>
      <c r="BF395" s="686" t="str">
        <f ca="1">IFERROR(VLOOKUP(BE395,INDIRECT(AQ400),2,FALSE),"----")</f>
        <v>----</v>
      </c>
      <c r="BG395" s="685" t="e">
        <f ca="1">MATCH(AL401,INDIRECT(AP401),-1)</f>
        <v>#REF!</v>
      </c>
      <c r="BH395" s="686" t="str">
        <f ca="1">IFERROR(VLOOKUP(BG395,INDIRECT(AQ401),2,FALSE),"----")</f>
        <v>----</v>
      </c>
      <c r="BI395" s="685" t="e">
        <f ca="1">MATCH(AL401,INDIRECT(AP402),-1)</f>
        <v>#REF!</v>
      </c>
      <c r="BJ395" s="686" t="str">
        <f ca="1">IFERROR(VLOOKUP(BI395,INDIRECT(AQ402),2,FALSE),"----")</f>
        <v>----</v>
      </c>
      <c r="BK395" s="685" t="e">
        <f ca="1">MATCH(AL401,INDIRECT(AP403),-1)</f>
        <v>#REF!</v>
      </c>
      <c r="BL395" s="686" t="str">
        <f ca="1">IFERROR(VLOOKUP(BK395,INDIRECT(AQ403),2,FALSE),"----")</f>
        <v>----</v>
      </c>
      <c r="BM395" s="685" t="e">
        <f ca="1">MATCH(AL401,INDIRECT(AP404),-1)</f>
        <v>#REF!</v>
      </c>
      <c r="BN395" s="686" t="str">
        <f ca="1">IFERROR(VLOOKUP(BM395,INDIRECT(AQ404),2,FALSE),"----")</f>
        <v>----</v>
      </c>
      <c r="BO395" s="685" t="e">
        <f ca="1">MATCH(AL401,INDIRECT(AP405),-1)</f>
        <v>#REF!</v>
      </c>
      <c r="BP395" s="686" t="str">
        <f ca="1">IFERROR(VLOOKUP(BO395,INDIRECT(AQ405),2,FALSE),"----")</f>
        <v>----</v>
      </c>
      <c r="BQ395" s="685" t="e">
        <f ca="1">MATCH(AL401,INDIRECT(AP406),-1)</f>
        <v>#REF!</v>
      </c>
      <c r="BR395" s="686" t="str">
        <f ca="1">IFERROR(VLOOKUP(BQ395,INDIRECT(AQ406),2,FALSE),"----")</f>
        <v>----</v>
      </c>
      <c r="BS395" s="687">
        <f>IF(AI395="",1,IF(COUNTIF(AV395:AV406,AI395)=0,2,1))</f>
        <v>1</v>
      </c>
      <c r="BT395" s="688">
        <f>IF(AP395="1",1,IF(AF395="",1,IF(AV395=".",2,1)))</f>
        <v>1</v>
      </c>
      <c r="BU395" s="706"/>
      <c r="BV395" s="155">
        <f ca="1">IF(COUNTIF(CE395:CE406,AF395)=0,IF(AF395&lt;&gt;"",0,1),1)</f>
        <v>1</v>
      </c>
      <c r="BW395" s="157">
        <f ca="1">IFERROR(MATCH(AF395,CE395:CE406,0),1)</f>
        <v>1</v>
      </c>
      <c r="BX395" s="769" t="str">
        <f>IFERROR(IF(LEFT(J399,2)="As",VLOOKUP(J399,EIMM,2,FALSE),IF(AND(ISNUMBER(SEARCH("Impervia",J395)),ISNUMBER(SEARCH("door",J399))),VLOOKUP("Impervia Door",EIMM,2,FALSE),IF(AND(ISNUMBER(SEARCH("250",J395)),ISNUMBER(SEARCH("door",J399))),VLOOKUP("250 Series Door",EIMM,2,FALSE),VLOOKUP(J395,EIMM,2,FALSE)))),"")</f>
        <v/>
      </c>
      <c r="BY395" s="769" t="str">
        <f ca="1">IFERROR(VLOOKUP(BX395,OFFSET(EIMM,0,1),2,FALSE),"")</f>
        <v/>
      </c>
      <c r="BZ395" s="1110" t="e">
        <f ca="1">IF((COUNTIF(INDIRECT(SUBSTITUTE(J395," ","_")),J399))=0,IF(J399="",1,0),1)</f>
        <v>#REF!</v>
      </c>
      <c r="CA395" s="691" t="e">
        <f ca="1">MATCH(AC395,INDIRECT(BX395),-1)</f>
        <v>#REF!</v>
      </c>
      <c r="CB395" s="4" t="e" cm="1">
        <f t="array" aca="1" ref="CB395" ca="1">IF(AND(INDEX(INDIRECT(BY395),CA395,4)&gt;=$AB395,INDEX(INDIRECT(BY395),CA395,5)&gt;=$S395,INDEX(INDIRECT(BY395),CA395,6)&gt;=$R395),1,0)</f>
        <v>#REF!</v>
      </c>
      <c r="CC395" s="4" t="e">
        <f t="shared" ref="CC395" ca="1" si="6984">MATCH(1,OFFSET(CB395:CB406,$W$2,0,COUNT(CB395:CB406)-$W$2),0)</f>
        <v>#REF!</v>
      </c>
      <c r="CD395" s="4" t="e">
        <f t="shared" ref="CD395" ca="1" si="6985">$W$2+CC395</f>
        <v>#REF!</v>
      </c>
      <c r="CE395" s="692" t="str" cm="1">
        <f t="array" aca="1" ref="CE395" ca="1">IFERROR(VLOOKUP(INDEX(CA395:CA406,CD395),INDIRECT(BY395),2,FALSE),"----")</f>
        <v>----</v>
      </c>
      <c r="CF395" s="691" t="e">
        <f ca="1">MATCH($AC395,SSEI,-1)</f>
        <v>#N/A</v>
      </c>
      <c r="CG395" s="4" t="e">
        <f ca="1">IF(AND(INDEX(SSM,CF395,4)&gt;=$AB395,INDEX(SSM,CF395,5)&gt;=$S395,INDEX(SSM,CF395,6)&gt;=$R395),1,0)</f>
        <v>#N/A</v>
      </c>
      <c r="CH395" s="4" t="e">
        <f t="shared" ref="CH395" ca="1" si="6986">MATCH(1,OFFSET(CG395:CG406,$W$2,0,COUNT(CG395:CG406)-$W$2),0)</f>
        <v>#REF!</v>
      </c>
      <c r="CI395" s="4" t="e">
        <f t="shared" ref="CI395" ca="1" si="6987">$W$2+CH395</f>
        <v>#REF!</v>
      </c>
      <c r="CJ395" s="692" t="str">
        <f ca="1">IFERROR(IF(AD396="Nested Steel Stud (wood infill)",VLOOKUP(INDEX(CF395:CF406,CI395),SSW,2,FALSE),VLOOKUP(INDEX(CF395:CF406,CI395),SSM,2,FALSE)),"----")</f>
        <v>----</v>
      </c>
      <c r="CK395" s="691" t="e">
        <f ca="1">MATCH($AC395,WSEI,-1)</f>
        <v>#N/A</v>
      </c>
      <c r="CL395" s="4" t="e">
        <f ca="1">IF(AND(INDEX(WSM,CK395,4)&gt;=$AB395,INDEX(WSM,CK395,5)&gt;=$S395,INDEX(WSM,CK395,6)&gt;=$R395),1,0)</f>
        <v>#N/A</v>
      </c>
      <c r="CM395" s="4" t="e">
        <f t="shared" ref="CM395" ca="1" si="6988">MATCH(1,OFFSET(CL395:CL406,$W$2,0,COUNT(CL395:CL406)-$W$2),0)</f>
        <v>#REF!</v>
      </c>
      <c r="CN395" s="4" t="e">
        <f t="shared" ref="CN395" ca="1" si="6989">$W$2+CM395</f>
        <v>#REF!</v>
      </c>
      <c r="CO395" s="692" t="str">
        <f ca="1">IFERROR(VLOOKUP(INDEX(CK395:CK406,CN395),WSM,2,FALSE),"----")</f>
        <v>----</v>
      </c>
      <c r="CP395" s="691" t="e">
        <f ca="1">MATCH($AC395,STEI,-1)</f>
        <v>#N/A</v>
      </c>
      <c r="CQ395" s="4" t="e">
        <f ca="1">IF(AND(INDEX(STM,CP395,4)&gt;=$AB395,INDEX(STM,CP395,5)&gt;=$S395,INDEX(STM,CP395,6)&gt;=$R395),1,0)</f>
        <v>#N/A</v>
      </c>
      <c r="CR395" s="4" t="e">
        <f t="shared" ref="CR395" ca="1" si="6990">MATCH(1,OFFSET(CQ395:CQ406,$W$2,0,COUNT(CQ395:CQ406)-$W$2),0)</f>
        <v>#REF!</v>
      </c>
      <c r="CS395" s="4" t="e">
        <f t="shared" ref="CS395" ca="1" si="6991">$W$2+CR395</f>
        <v>#REF!</v>
      </c>
      <c r="CT395" s="692" t="str">
        <f ca="1">IFERROR(VLOOKUP(INDEX(CP395:CP406,CS395),STM,2,FALSE),"----")</f>
        <v>----</v>
      </c>
      <c r="CU395" s="691" t="e">
        <f ca="1">MATCH($AC395,ELEI,-1)</f>
        <v>#N/A</v>
      </c>
      <c r="CV395" s="4" t="e">
        <f ca="1">IF(AND(INDEX(ELM,CU395,4)&gt;=$AB395,INDEX(ELM,CU395,5)&gt;=$S395,INDEX(ELM,CU395,6)&gt;=$R395),1,0)</f>
        <v>#N/A</v>
      </c>
      <c r="CW395" s="4" t="e">
        <f t="shared" ref="CW395" ca="1" si="6992">MATCH(1,OFFSET(CV395:CV406,$W$2,0,COUNT(CV395:CV406)-$W$2),0)</f>
        <v>#REF!</v>
      </c>
      <c r="CX395" s="4" t="e">
        <f t="shared" ref="CX395" ca="1" si="6993">$W$2+CW395</f>
        <v>#REF!</v>
      </c>
      <c r="CY395" s="692" t="str">
        <f ca="1">IFERROR(VLOOKUP(INDEX(CU395:CU406,CX395),ELM,2,FALSE),"----")</f>
        <v>----</v>
      </c>
      <c r="CZ395" s="691" t="e">
        <f ca="1">IF(LEFT($J395,7)="Clad Wo",MATCH($AC395,SPEIW,-1),MATCH($AC395,SPEI,-1))</f>
        <v>#N/A</v>
      </c>
      <c r="DA395" s="4" t="e">
        <f ca="1">IF(LEFT($J395,7)="Clad Wo",IF(AND(INDEX(SPPWS,CZ395,4)&gt;=$AB395,INDEX(SPPWS,CZ395,5)&gt;=$S395,INDEX(SPPWS,CZ395,6)&gt;=$R395),1,0),IF(AND(INDEX(SPM,CZ395,4)&gt;=$AB395,INDEX(SPM,CZ395,5)&gt;=$S395,INDEX(SPM,CZ395,6)&gt;=$R395),1,0))</f>
        <v>#N/A</v>
      </c>
      <c r="DB395" s="4" t="e">
        <f t="shared" ref="DB395" ca="1" si="6994">MATCH(1,OFFSET(DA395:DA406,$W$2,0,COUNT(DA395:DA406)-$W$2),0)</f>
        <v>#REF!</v>
      </c>
      <c r="DC395" s="4" t="e">
        <f t="shared" ref="DC395" ca="1" si="6995">$W$2+DB395</f>
        <v>#REF!</v>
      </c>
      <c r="DD395" s="693" t="str">
        <f ca="1">IF(LEFT($J395,7)="Clad Wo",IFERROR(VLOOKUP(INDEX(CZ395:CZ406,DC395),SPPWS,2,FALSE),"----"),IFERROR(VLOOKUP(INDEX(CZ395:CZ406,DC395),SPM,2,FALSE),"----"))</f>
        <v>----</v>
      </c>
      <c r="DE395" s="691" t="e">
        <f ca="1">MATCH(AC401,INDIRECT(BX395),-1)</f>
        <v>#REF!</v>
      </c>
      <c r="DF395" s="4" t="e" cm="1">
        <f t="array" aca="1" ref="DF395" ca="1">IF(AND(INDEX(INDIRECT(BY395),DE395,4)&gt;=$AB401,INDEX(INDIRECT(BY395),DE395,5)&gt;=$S395,INDEX(INDIRECT(BY395),DE395,6)&gt;=$R395),1,0)</f>
        <v>#REF!</v>
      </c>
      <c r="DG395" s="4" t="e">
        <f t="shared" ref="DG395" ca="1" si="6996">MATCH(1,OFFSET(DF395:DF406,$W$2,0,COUNT(DF395:DF406)-$W$2),0)</f>
        <v>#REF!</v>
      </c>
      <c r="DH395" s="4" t="e">
        <f t="shared" ref="DH395" ca="1" si="6997">$W$2+DG395</f>
        <v>#REF!</v>
      </c>
      <c r="DI395" s="692" t="str" cm="1">
        <f t="array" aca="1" ref="DI395" ca="1">IFERROR(VLOOKUP(INDEX(DE395:DE406,DH395),INDIRECT(BY395),2,FALSE),"----")</f>
        <v>----</v>
      </c>
      <c r="DJ395" s="691" t="e">
        <f ca="1">MATCH($AC401,SSEI,-1)</f>
        <v>#N/A</v>
      </c>
      <c r="DK395" s="4" t="e">
        <f ca="1">IF(AND(INDEX(SSM,DJ395,4)&gt;=$AB401,INDEX(SSM,DJ395,5)&gt;=$S395,INDEX(SSM,DJ395,6)&gt;=$R395),1,0)</f>
        <v>#N/A</v>
      </c>
      <c r="DL395" s="4" t="e">
        <f t="shared" ref="DL395" ca="1" si="6998">MATCH(1,OFFSET(DK395:DK406,$W$2,0,COUNT(DK395:DK406)-$W$2),0)</f>
        <v>#REF!</v>
      </c>
      <c r="DM395" s="4" t="e">
        <f t="shared" ref="DM395" ca="1" si="6999">$W$2+DL395</f>
        <v>#REF!</v>
      </c>
      <c r="DN395" s="692" t="str">
        <f ca="1">IFERROR(IF(AD402="Nested Steel Stud (wood infill)",VLOOKUP(INDEX(DJ395:DJ406,DM395),SSW,2,FALSE),VLOOKUP(INDEX(DJ395:DJ406,DM395),SSM,2,FALSE)),"----")</f>
        <v>----</v>
      </c>
      <c r="DO395" s="691" t="e">
        <f ca="1">MATCH($AC401,WSEI,-1)</f>
        <v>#N/A</v>
      </c>
      <c r="DP395" s="4" t="e">
        <f ca="1">IF(AND(INDEX(WSM,DO395,4)&gt;=$AB401,INDEX(WSM,DO395,5)&gt;=$S395,INDEX(WSM,DO395,6)&gt;=$R395),1,0)</f>
        <v>#N/A</v>
      </c>
      <c r="DQ395" s="4" t="e">
        <f t="shared" ref="DQ395" ca="1" si="7000">MATCH(1,OFFSET(DP395:DP406,$W$2,0,COUNT(DP395:DP406)-$W$2),0)</f>
        <v>#REF!</v>
      </c>
      <c r="DR395" s="4" t="e">
        <f t="shared" ref="DR395" ca="1" si="7001">$W$2+DQ395</f>
        <v>#REF!</v>
      </c>
      <c r="DS395" s="692" t="str">
        <f ca="1">IFERROR(VLOOKUP(INDEX(DO395:DO406,DR395),WSM,2,FALSE),"----")</f>
        <v>----</v>
      </c>
      <c r="DT395" s="691" t="e">
        <f ca="1">MATCH($AC401,STEI,-1)</f>
        <v>#N/A</v>
      </c>
      <c r="DU395" s="4" t="e">
        <f ca="1">IF(AND(INDEX(STM,DT395,4)&gt;=$AB401,INDEX(STM,DT395,5)&gt;=$S395,INDEX(STM,DT395,6)&gt;=$R395),1,0)</f>
        <v>#N/A</v>
      </c>
      <c r="DV395" s="4" t="e">
        <f t="shared" ref="DV395" ca="1" si="7002">MATCH(1,OFFSET(DU395:DU406,$W$2,0,COUNT(DU395:DU406)-$W$2),0)</f>
        <v>#REF!</v>
      </c>
      <c r="DW395" s="4" t="e">
        <f t="shared" ref="DW395" ca="1" si="7003">$W$2+DV395</f>
        <v>#REF!</v>
      </c>
      <c r="DX395" s="692" t="str">
        <f ca="1">IFERROR(VLOOKUP(INDEX(DT395:DT406,DW395),STM,2,FALSE),"----")</f>
        <v>----</v>
      </c>
      <c r="DY395" s="691" t="e">
        <f ca="1">MATCH($AC401,ELEI,-1)</f>
        <v>#N/A</v>
      </c>
      <c r="DZ395" s="4" t="e">
        <f ca="1">IF(AND(INDEX(ELM,DY395,4)&gt;=$AB401,INDEX(ELM,DY395,5)&gt;=$S395,INDEX(ELM,DY395,6)&gt;=$R395),1,0)</f>
        <v>#N/A</v>
      </c>
      <c r="EA395" s="4" t="e">
        <f t="shared" ref="EA395" ca="1" si="7004">MATCH(1,OFFSET(DZ395:DZ406,$W$2,0,COUNT(DZ395:DZ406)-$W$2),0)</f>
        <v>#REF!</v>
      </c>
      <c r="EB395" s="4" t="e">
        <f t="shared" ref="EB395" ca="1" si="7005">EA395+$W$2</f>
        <v>#REF!</v>
      </c>
      <c r="EC395" s="692" t="str">
        <f ca="1">IFERROR(VLOOKUP(INDEX(DY395:DY406,EB395),ELM,2,FALSE),"----")</f>
        <v>----</v>
      </c>
      <c r="ED395" s="691" t="e">
        <f ca="1">IF(LEFT($J395,7)="Clad Wo",MATCH($AC401,SPEIW,-1),MATCH($AC401,SPEI,-1))</f>
        <v>#N/A</v>
      </c>
      <c r="EE395" s="4" t="e">
        <f ca="1">IF(LEFT($J395,7)="Clad Wo",IF(AND(INDEX(SPPWS,ED395,4)&gt;=$AB401,INDEX(SPPWS,ED395,5)&gt;=$S395,INDEX(SPPWS,ED395,6)&gt;=$R395),1,0),IF(AND(INDEX(SPM,ED395,4)&gt;=$AB401,INDEX(SPM,ED395,5)&gt;=$S395,INDEX(SPM,ED395,6)&gt;=$R395),1,0))</f>
        <v>#N/A</v>
      </c>
      <c r="EF395" s="4" t="e">
        <f t="shared" ref="EF395" ca="1" si="7006">MATCH(1,OFFSET(EE395:EE406,$W$2,0,COUNT(EE395:EE406)-$W$2),0)</f>
        <v>#REF!</v>
      </c>
      <c r="EG395" s="4" t="e">
        <f t="shared" ref="EG395" ca="1" si="7007">$W$2+EF395</f>
        <v>#REF!</v>
      </c>
      <c r="EH395" s="692" t="str">
        <f ca="1">IF(LEFT($J395,7)="Clad Wo",IFERROR(VLOOKUP(INDEX(ED395:ED406,EG395),SPPWS,2,FALSE),"----"),IFERROR(VLOOKUP(INDEX(ED395:ED406,EG395),SPM,2,FALSE),"----"))</f>
        <v>----</v>
      </c>
    </row>
    <row r="396" spans="1:138" ht="15" customHeight="1" x14ac:dyDescent="0.25">
      <c r="A396" s="1085"/>
      <c r="B396" s="925"/>
      <c r="C396" s="926"/>
      <c r="D396" s="927"/>
      <c r="E396" s="995"/>
      <c r="F396" s="996"/>
      <c r="G396" s="997"/>
      <c r="H396" s="1062"/>
      <c r="I396" s="990"/>
      <c r="J396" s="908"/>
      <c r="K396" s="909"/>
      <c r="L396" s="1002"/>
      <c r="M396" s="923"/>
      <c r="N396" s="1042"/>
      <c r="O396" s="1018"/>
      <c r="P396" s="987"/>
      <c r="Q396" s="1015"/>
      <c r="R396" s="1012"/>
      <c r="S396" s="1006"/>
      <c r="T396" s="1007"/>
      <c r="U396" s="878"/>
      <c r="V396" s="881"/>
      <c r="W396" s="884"/>
      <c r="X396" s="884"/>
      <c r="Y396" s="887"/>
      <c r="Z396" s="887"/>
      <c r="AA396" s="887"/>
      <c r="AB396" s="1081"/>
      <c r="AC396" s="1078"/>
      <c r="AD396" s="1102" t="s">
        <v>38</v>
      </c>
      <c r="AE396" s="1103"/>
      <c r="AF396" s="1052"/>
      <c r="AG396" s="1053"/>
      <c r="AH396" s="1053"/>
      <c r="AI396" s="1066"/>
      <c r="AJ396" s="1067"/>
      <c r="AK396" s="156" t="str">
        <f t="shared" ca="1" si="6208"/>
        <v/>
      </c>
      <c r="AL396" s="1039"/>
      <c r="AM396" s="343" t="str">
        <f ca="1">IFERROR(Q395/12*ROUND(VLOOKUP(AF396,OFFSET(SSM,0,1),6,FALSE),2),"")</f>
        <v/>
      </c>
      <c r="AN396" t="str">
        <f t="shared" ca="1" si="6226"/>
        <v/>
      </c>
      <c r="AP396" s="122" t="str">
        <f t="shared" ref="AP396" si="7008">_xlfn.CONCAT(AR396,AS400)</f>
        <v/>
      </c>
      <c r="AQ396" s="683" t="str">
        <f t="shared" si="6434"/>
        <v/>
      </c>
      <c r="AR396" s="96" t="str">
        <f t="shared" si="6193"/>
        <v/>
      </c>
      <c r="AS396" s="96" t="str">
        <f>IF(COUNTIF(Vista_1,AF395)=1,"Vista_1",IF(COUNTIF(Vista_2,AF395)=1,"Vista_2",""))</f>
        <v/>
      </c>
      <c r="AT396" s="684" t="str">
        <f>AL395</f>
        <v/>
      </c>
      <c r="AU396" s="694" t="e">
        <f t="shared" ref="AU396" ca="1" si="7009">AU395-1</f>
        <v>#REF!</v>
      </c>
      <c r="AV396" s="686" t="str">
        <f ca="1">IFERROR(VLOOKUP(AU396,INDIRECT(AQ395),2,FALSE),"----")</f>
        <v>----</v>
      </c>
      <c r="AW396" s="694" t="e">
        <f t="shared" ref="AW396:AW397" ca="1" si="7010">AW395-1</f>
        <v>#REF!</v>
      </c>
      <c r="AX396" s="686" t="str">
        <f ca="1">IFERROR(VLOOKUP(AW396,INDIRECT(AQ396),2,FALSE),"----")</f>
        <v>----</v>
      </c>
      <c r="AY396" s="694" t="e">
        <f t="shared" ref="AY396:AY397" ca="1" si="7011">AY395-1</f>
        <v>#REF!</v>
      </c>
      <c r="AZ396" s="686" t="str">
        <f ca="1">IFERROR(VLOOKUP(AY396,INDIRECT(AQ397),2,FALSE),"----")</f>
        <v>----</v>
      </c>
      <c r="BA396" s="694" t="e">
        <f t="shared" ref="BA396:BA397" ca="1" si="7012">BA395-1</f>
        <v>#REF!</v>
      </c>
      <c r="BB396" s="686" t="str">
        <f ca="1">IFERROR(VLOOKUP(BA396,INDIRECT(AQ398),2,FALSE),"----")</f>
        <v>----</v>
      </c>
      <c r="BC396" s="694" t="e">
        <f t="shared" ref="BC396:BC397" ca="1" si="7013">BC395-1</f>
        <v>#REF!</v>
      </c>
      <c r="BD396" s="686" t="str">
        <f ca="1">IFERROR(VLOOKUP(BC396,INDIRECT(AQ399),2,FALSE),"----")</f>
        <v>----</v>
      </c>
      <c r="BE396" s="694" t="e">
        <f t="shared" ref="BE396" ca="1" si="7014">BE395-1</f>
        <v>#REF!</v>
      </c>
      <c r="BF396" s="686" t="str">
        <f ca="1">IFERROR(VLOOKUP(BE396,INDIRECT(AQ400),2,FALSE),"----")</f>
        <v>----</v>
      </c>
      <c r="BG396" s="694" t="e">
        <f t="shared" ref="BG396" ca="1" si="7015">BG395-1</f>
        <v>#REF!</v>
      </c>
      <c r="BH396" s="686" t="str">
        <f ca="1">IFERROR(VLOOKUP(BG396,INDIRECT(AQ401),2,FALSE),"----")</f>
        <v>----</v>
      </c>
      <c r="BI396" s="694" t="e">
        <f t="shared" ref="BI396:BI397" ca="1" si="7016">BI395-1</f>
        <v>#REF!</v>
      </c>
      <c r="BJ396" s="686" t="str">
        <f ca="1">IFERROR(VLOOKUP(BI396,INDIRECT(AQ402),2,FALSE),"----")</f>
        <v>----</v>
      </c>
      <c r="BK396" s="694" t="e">
        <f t="shared" ref="BK396:BK397" ca="1" si="7017">BK395-1</f>
        <v>#REF!</v>
      </c>
      <c r="BL396" s="686" t="str">
        <f ca="1">IFERROR(VLOOKUP(BK396,INDIRECT(AQ403),2,FALSE),"----")</f>
        <v>----</v>
      </c>
      <c r="BM396" s="694" t="e">
        <f t="shared" ref="BM396:BM397" ca="1" si="7018">BM395-1</f>
        <v>#REF!</v>
      </c>
      <c r="BN396" s="686" t="str">
        <f ca="1">IFERROR(VLOOKUP(BM396,INDIRECT(AQ404),2,FALSE),"----")</f>
        <v>----</v>
      </c>
      <c r="BO396" s="694" t="e">
        <f t="shared" ref="BO396:BO397" ca="1" si="7019">BO395-1</f>
        <v>#REF!</v>
      </c>
      <c r="BP396" s="686" t="str">
        <f ca="1">IFERROR(VLOOKUP(BO396,INDIRECT(AQ405),2,FALSE),"----")</f>
        <v>----</v>
      </c>
      <c r="BQ396" s="694" t="e">
        <f t="shared" ref="BQ396" ca="1" si="7020">BQ395-1</f>
        <v>#REF!</v>
      </c>
      <c r="BR396" s="686" t="str">
        <f ca="1">IFERROR(VLOOKUP(BQ396,INDIRECT(AQ406),2,FALSE),"----")</f>
        <v>----</v>
      </c>
      <c r="BS396" s="695">
        <f>IF(AI396="",1,IF(COUNTIF(AX395:AX406,AI396)=0,2,1))</f>
        <v>1</v>
      </c>
      <c r="BT396" s="696">
        <f>IF(AF396="",1,IF(AX395=".",2,1))</f>
        <v>1</v>
      </c>
      <c r="BU396" s="706"/>
      <c r="BV396" s="155">
        <f ca="1">IF(COUNTIF(CJ395:CJ406,AF396)=0,IF(AF396&lt;&gt;"",0,1),1)</f>
        <v>1</v>
      </c>
      <c r="BW396" s="157">
        <f ca="1">IFERROR(MATCH(AF396,CJ395:CJ406,0),1)</f>
        <v>1</v>
      </c>
      <c r="BX396" s="769"/>
      <c r="BY396" s="769"/>
      <c r="BZ396" s="1110"/>
      <c r="CA396" s="691" t="e">
        <f t="shared" ref="CA396:CA406" ca="1" si="7021">CA395-1</f>
        <v>#REF!</v>
      </c>
      <c r="CB396" s="4" t="e" cm="1">
        <f t="array" aca="1" ref="CB396" ca="1">IF(AND(INDEX(INDIRECT(BY395),CA396,4)&gt;=$AB395,INDEX(INDIRECT(BY395),CA396,5)&gt;=$S395,INDEX(INDIRECT(BY395),CA396,6)&gt;=$R395),1,0)</f>
        <v>#REF!</v>
      </c>
      <c r="CC396" s="4" t="e">
        <f t="shared" ref="CC396" ca="1" si="7022">MATCH(1,OFFSET(CB395:CB406,CD395,0,COUNT(CB395:CB406)-CD395),0)</f>
        <v>#REF!</v>
      </c>
      <c r="CD396" s="4" t="e">
        <f t="shared" ref="CD396:CD406" ca="1" si="7023">CD395+CC396</f>
        <v>#REF!</v>
      </c>
      <c r="CE396" s="692" t="str" cm="1">
        <f t="array" aca="1" ref="CE396" ca="1">IFERROR(VLOOKUP(INDEX(CA395:CA406,CD396),INDIRECT(BY395),2,FALSE),"----")</f>
        <v>----</v>
      </c>
      <c r="CF396" s="691" t="e">
        <f t="shared" ref="CF396:CF406" ca="1" si="7024">CF395-1</f>
        <v>#N/A</v>
      </c>
      <c r="CG396" s="4" t="e">
        <f ca="1">IF(AND(INDEX(SSM,CF396,4)&gt;=$AB395,INDEX(SSM,CF396,5)&gt;=$S395,INDEX(SSM,CF396,6)&gt;=$R395),1,0)</f>
        <v>#N/A</v>
      </c>
      <c r="CH396" s="4" t="e">
        <f t="shared" ref="CH396" ca="1" si="7025">MATCH(1,OFFSET(CG395:CG406,CI395,0,COUNT(CG395:CG406)-CI395),0)</f>
        <v>#REF!</v>
      </c>
      <c r="CI396" s="4" t="e">
        <f t="shared" ref="CI396:CI406" ca="1" si="7026">CI395+CH396</f>
        <v>#REF!</v>
      </c>
      <c r="CJ396" s="692" t="str">
        <f ca="1">IFERROR(IF(AD396="Nested Steel Stud (wood infill)",VLOOKUP(INDEX(CF395:CF406,CI396),SSW,2,FALSE),VLOOKUP(INDEX(CF395:CF406,CI396),SSM,2,FALSE)),"----")</f>
        <v>----</v>
      </c>
      <c r="CK396" s="691" t="e">
        <f t="shared" ref="CK396:CK406" ca="1" si="7027">CK395-1</f>
        <v>#N/A</v>
      </c>
      <c r="CL396" s="4" t="e">
        <f ca="1">IF(AND(INDEX(WSM,CK396,4)&gt;=$AB395,INDEX(WSM,CK396,5)&gt;=$S395,INDEX(WSM,CK396,6)&gt;=$R395),1,0)</f>
        <v>#N/A</v>
      </c>
      <c r="CM396" s="4" t="e">
        <f t="shared" ref="CM396" ca="1" si="7028">MATCH(1,OFFSET(CL395:CL406,CN395,0,COUNT(CL395:CL406)-CN395),0)</f>
        <v>#REF!</v>
      </c>
      <c r="CN396" s="4" t="e">
        <f t="shared" ref="CN396:CN406" ca="1" si="7029">CM396+CN395</f>
        <v>#REF!</v>
      </c>
      <c r="CO396" s="692" t="str">
        <f ca="1">IFERROR(VLOOKUP(INDEX(CK395:CK406,CN396),WSM,2,FALSE),"----")</f>
        <v>----</v>
      </c>
      <c r="CP396" s="691" t="e">
        <f t="shared" ref="CP396:CP406" ca="1" si="7030">CP395-1</f>
        <v>#N/A</v>
      </c>
      <c r="CQ396" s="4" t="e">
        <f ca="1">IF(AND(INDEX(STM,CP396,4)&gt;=$AB395,INDEX(STM,CP396,5)&gt;=$S395,INDEX(STM,CP396,6)&gt;=$R395),1,0)</f>
        <v>#N/A</v>
      </c>
      <c r="CR396" s="4" t="e">
        <f t="shared" ref="CR396" ca="1" si="7031">MATCH(1,OFFSET(CQ395:CQ406,CS395,0,COUNT(CQ395:CQ406)-CS395),0)</f>
        <v>#REF!</v>
      </c>
      <c r="CS396" s="4" t="e">
        <f t="shared" ref="CS396:CS406" ca="1" si="7032">CR396+CS395</f>
        <v>#REF!</v>
      </c>
      <c r="CT396" s="692" t="str">
        <f ca="1">IFERROR(VLOOKUP(INDEX(CP395:CP406,CS396),STM,2,FALSE),"----")</f>
        <v>----</v>
      </c>
      <c r="CU396" s="691" t="e">
        <f t="shared" ref="CU396:CU406" ca="1" si="7033">CU395-1</f>
        <v>#N/A</v>
      </c>
      <c r="CV396" s="4" t="e">
        <f ca="1">IF(AND(INDEX(ELM,CU396,4)&gt;=$AB395,INDEX(ELM,CU396,5)&gt;=$S395,INDEX(ELM,CU396,6)&gt;=$R395),1,0)</f>
        <v>#N/A</v>
      </c>
      <c r="CW396" s="4" t="e">
        <f t="shared" ref="CW396" ca="1" si="7034">MATCH(1,OFFSET(CV395:CV406,CX395,0,COUNT(CV395:CV406)-CX395),0)</f>
        <v>#REF!</v>
      </c>
      <c r="CX396" s="4" t="e">
        <f t="shared" ref="CX396:CX406" ca="1" si="7035">CW396+CX395</f>
        <v>#REF!</v>
      </c>
      <c r="CY396" s="692" t="str">
        <f ca="1">IFERROR(VLOOKUP(INDEX(CU395:CU406,CX396),ELM,2,FALSE),"----")</f>
        <v>----</v>
      </c>
      <c r="CZ396" s="691" t="e">
        <f t="shared" ref="CZ396:CZ406" ca="1" si="7036">CZ395-1</f>
        <v>#N/A</v>
      </c>
      <c r="DA396" s="4" t="e">
        <f ca="1">IF(LEFT($J395,7)="Clad Wo",IF(AND(INDEX(SPPWS,CZ396,4)&gt;=$AB395,INDEX(SPPWS,CZ396,5)&gt;=$S395,INDEX(SPPWS,CZ396,6)&gt;=$R395),1,0),IF(AND(INDEX(SPM,CZ396,4)&gt;=$AB395,INDEX(SPM,CZ396,5)&gt;=$S395,INDEX(SPM,CZ396,6)&gt;=$R395),1,0))</f>
        <v>#N/A</v>
      </c>
      <c r="DB396" s="4" t="e">
        <f t="shared" ref="DB396" ca="1" si="7037">MATCH(1,OFFSET(DA395:DA406,DC395,0,COUNT(DA395:DA406)-DC395),0)</f>
        <v>#REF!</v>
      </c>
      <c r="DC396" s="4" t="e">
        <f t="shared" ref="DC396:DC406" ca="1" si="7038">DC395+DB396</f>
        <v>#REF!</v>
      </c>
      <c r="DD396" s="693" t="str">
        <f ca="1">IF(LEFT($J395,7)="Clad Wo",IFERROR(VLOOKUP(INDEX(CZ395:CZ406,DC396),SPPWS,2,FALSE),"----"),IFERROR(VLOOKUP(INDEX(CZ395:CZ406,DC396),SPM,2,FALSE),"----"))</f>
        <v>----</v>
      </c>
      <c r="DE396" s="691" t="e">
        <f t="shared" ref="DE396:DE406" ca="1" si="7039">DE395-1</f>
        <v>#REF!</v>
      </c>
      <c r="DF396" s="4" t="e" cm="1">
        <f t="array" aca="1" ref="DF396" ca="1">IF(AND(INDEX(INDIRECT(BY395),DE396,4)&gt;=$AB401,INDEX(INDIRECT(BY395),DE396,5)&gt;=$S395,INDEX(INDIRECT(BY395),DE396,6)&gt;=$R395),1,0)</f>
        <v>#REF!</v>
      </c>
      <c r="DG396" s="4" t="e">
        <f t="shared" ref="DG396" ca="1" si="7040">MATCH(1,OFFSET(DF395:DF406,DH395,0,COUNT(DF395:DF406)-DH395),0)</f>
        <v>#REF!</v>
      </c>
      <c r="DH396" s="4" t="e">
        <f t="shared" ref="DH396:DH406" ca="1" si="7041">DH395+DG396</f>
        <v>#REF!</v>
      </c>
      <c r="DI396" s="692" t="str" cm="1">
        <f t="array" aca="1" ref="DI396" ca="1">IFERROR(VLOOKUP(INDEX(DE395:DE406,DH396),INDIRECT(BY395),2,FALSE),"----")</f>
        <v>----</v>
      </c>
      <c r="DJ396" s="691" t="e">
        <f t="shared" ref="DJ396:DJ406" ca="1" si="7042">DJ395-1</f>
        <v>#N/A</v>
      </c>
      <c r="DK396" s="4" t="e">
        <f ca="1">IF(AND(INDEX(SSM,DJ396,4)&gt;=$AB401,INDEX(SSM,DJ396,5)&gt;=$S395,INDEX(SSM,DJ396,6)&gt;=$R395),1,0)</f>
        <v>#N/A</v>
      </c>
      <c r="DL396" s="4" t="e">
        <f t="shared" ref="DL396" ca="1" si="7043">MATCH(1,OFFSET(DK395:DK406,DM395,0,COUNT(DK395:DK406)-DM395),0)</f>
        <v>#REF!</v>
      </c>
      <c r="DM396" s="4" t="e">
        <f t="shared" ref="DM396:DM406" ca="1" si="7044">DL396+DM395</f>
        <v>#REF!</v>
      </c>
      <c r="DN396" s="692" t="str">
        <f ca="1">IFERROR(IF(AD402="Nested Steel Stud (wood infill)",VLOOKUP(INDEX(DJ395:DJ406,DM396),SSW,2,FALSE),VLOOKUP(INDEX(DJ395:DJ406,DM396),SSM,2,FALSE)),"----")</f>
        <v>----</v>
      </c>
      <c r="DO396" s="691" t="e">
        <f t="shared" ref="DO396:DO406" ca="1" si="7045">DO395-1</f>
        <v>#N/A</v>
      </c>
      <c r="DP396" s="4" t="e">
        <f ca="1">IF(AND(INDEX(WSM,DO396,4)&gt;=$AB401,INDEX(WSM,DO396,5)&gt;=$S395,INDEX(WSM,DO396,6)&gt;=$R395),1,0)</f>
        <v>#N/A</v>
      </c>
      <c r="DQ396" s="4" t="e">
        <f t="shared" ref="DQ396" ca="1" si="7046">MATCH(1,OFFSET(DP395:DP406,DR395,0,COUNT(DP395:DP406)-DR395),0)</f>
        <v>#REF!</v>
      </c>
      <c r="DR396" s="4" t="e">
        <f t="shared" ref="DR396:DR406" ca="1" si="7047">DQ396+DR395</f>
        <v>#REF!</v>
      </c>
      <c r="DS396" s="692" t="str">
        <f ca="1">IFERROR(VLOOKUP(INDEX(DO395:DO406,DR396),WSM,2,FALSE),"----")</f>
        <v>----</v>
      </c>
      <c r="DT396" s="691" t="e">
        <f t="shared" ref="DT396:DT406" ca="1" si="7048">DT395-1</f>
        <v>#N/A</v>
      </c>
      <c r="DU396" s="4" t="e">
        <f ca="1">IF(AND(INDEX(STM,DT396,4)&gt;=$AB401,INDEX(STM,DT396,5)&gt;=$S395,INDEX(STM,DT396,6)&gt;=$R395),1,0)</f>
        <v>#N/A</v>
      </c>
      <c r="DV396" s="4" t="e">
        <f t="shared" ref="DV396" ca="1" si="7049">MATCH(1,OFFSET(DU395:DU406,DW395,0,COUNT(DU395:DU406)-DW395),0)</f>
        <v>#REF!</v>
      </c>
      <c r="DW396" s="4" t="e">
        <f t="shared" ref="DW396:DW406" ca="1" si="7050">DV396+DW395</f>
        <v>#REF!</v>
      </c>
      <c r="DX396" s="692" t="str">
        <f ca="1">IFERROR(VLOOKUP(INDEX(DT395:DT406,DW396),STM,2,FALSE),"----")</f>
        <v>----</v>
      </c>
      <c r="DY396" s="691" t="e">
        <f t="shared" ref="DY396:DY406" ca="1" si="7051">DY395-1</f>
        <v>#N/A</v>
      </c>
      <c r="DZ396" s="4" t="e">
        <f ca="1">IF(AND(INDEX(ELM,DY396,4)&gt;=$AB401,INDEX(ELM,DY396,5)&gt;=$S395,INDEX(ELM,DY396,6)&gt;=$R395),1,0)</f>
        <v>#N/A</v>
      </c>
      <c r="EA396" s="4" t="e">
        <f t="shared" ref="EA396" ca="1" si="7052">MATCH(1,OFFSET(DZ395:DZ406,EB395,0,COUNT(DZ395:DZ406)-EB395),0)</f>
        <v>#REF!</v>
      </c>
      <c r="EB396" s="4" t="e">
        <f t="shared" ref="EB396:EB406" ca="1" si="7053">EA396+EB395</f>
        <v>#REF!</v>
      </c>
      <c r="EC396" s="692" t="str">
        <f ca="1">IFERROR(VLOOKUP(INDEX(DY395:DY406,EB396),ELM,2,FALSE),"----")</f>
        <v>----</v>
      </c>
      <c r="ED396" s="691" t="e">
        <f t="shared" ref="ED396:ED406" ca="1" si="7054">ED395-1</f>
        <v>#N/A</v>
      </c>
      <c r="EE396" s="4" t="e">
        <f ca="1">IF(LEFT($J395,7)="Clad Wo",IF(AND(INDEX(SPPWS,ED396,4)&gt;=$AB401,INDEX(SPPWS,ED396,5)&gt;=$S395,INDEX(SPPWS,ED396,6)&gt;=$R395),1,0),IF(AND(INDEX(SPM,ED396,4)&gt;=$AB401,INDEX(SPM,ED396,5)&gt;=$S395,INDEX(SPM,ED396,6)&gt;=$R395),1,0))</f>
        <v>#N/A</v>
      </c>
      <c r="EF396" s="4" t="e">
        <f t="shared" ref="EF396" ca="1" si="7055">MATCH(1,OFFSET(EE395:EE406,EG395,0,COUNT(EE395:EE406)-EG395),0)</f>
        <v>#REF!</v>
      </c>
      <c r="EG396" s="4" t="e">
        <f t="shared" ref="EG396:EG406" ca="1" si="7056">EG395+EF396</f>
        <v>#REF!</v>
      </c>
      <c r="EH396" s="692" t="str">
        <f ca="1">IF(LEFT($J395,7)="Clad Wo",IFERROR(VLOOKUP(INDEX(ED395:ED406,EG396),SPPWS,2,FALSE),"----"),IFERROR(VLOOKUP(INDEX(ED395:ED406,EG396),SPM,2,FALSE),"----"))</f>
        <v>----</v>
      </c>
    </row>
    <row r="397" spans="1:138" ht="15" customHeight="1" x14ac:dyDescent="0.25">
      <c r="A397" s="1085"/>
      <c r="B397" s="925"/>
      <c r="C397" s="926"/>
      <c r="D397" s="927"/>
      <c r="E397" s="995"/>
      <c r="F397" s="996"/>
      <c r="G397" s="997"/>
      <c r="H397" s="1062"/>
      <c r="I397" s="990"/>
      <c r="J397" s="908"/>
      <c r="K397" s="909"/>
      <c r="L397" s="1002"/>
      <c r="M397" s="923"/>
      <c r="N397" s="1042"/>
      <c r="O397" s="1018"/>
      <c r="P397" s="987"/>
      <c r="Q397" s="1015"/>
      <c r="R397" s="1012"/>
      <c r="S397" s="1006"/>
      <c r="T397" s="1007"/>
      <c r="U397" s="878"/>
      <c r="V397" s="881"/>
      <c r="W397" s="884"/>
      <c r="X397" s="884"/>
      <c r="Y397" s="887"/>
      <c r="Z397" s="887"/>
      <c r="AA397" s="887"/>
      <c r="AB397" s="1081"/>
      <c r="AC397" s="1078"/>
      <c r="AD397" s="1070" t="s">
        <v>333</v>
      </c>
      <c r="AE397" s="1071"/>
      <c r="AF397" s="1052"/>
      <c r="AG397" s="1053"/>
      <c r="AH397" s="1053"/>
      <c r="AI397" s="1066"/>
      <c r="AJ397" s="1067"/>
      <c r="AK397" s="154" t="str">
        <f t="shared" ca="1" si="6208"/>
        <v/>
      </c>
      <c r="AL397" s="1039"/>
      <c r="AM397" s="344" t="str">
        <f ca="1">IFERROR(Q395/12*ROUND(VLOOKUP(AF397,OFFSET(WSM,0,1),6,FALSE),2),"")</f>
        <v/>
      </c>
      <c r="AN397" t="str">
        <f t="shared" ca="1" si="6226"/>
        <v/>
      </c>
      <c r="AP397" s="122" t="str">
        <f t="shared" ref="AP397" si="7057">_xlfn.CONCAT(AR397,AS400)</f>
        <v/>
      </c>
      <c r="AQ397" s="683" t="str">
        <f t="shared" si="6434"/>
        <v/>
      </c>
      <c r="AR397" s="4" t="str">
        <f t="shared" si="6193"/>
        <v/>
      </c>
      <c r="AS397" s="4"/>
      <c r="AT397" s="697" t="str">
        <f>AL395</f>
        <v/>
      </c>
      <c r="AU397" s="694" t="e">
        <f t="shared" ca="1" si="6450"/>
        <v>#REF!</v>
      </c>
      <c r="AV397" s="686" t="str">
        <f ca="1">IFERROR(VLOOKUP(AU397,INDIRECT(AQ395),2,FALSE),"----")</f>
        <v>----</v>
      </c>
      <c r="AW397" s="694" t="e">
        <f t="shared" ca="1" si="7010"/>
        <v>#REF!</v>
      </c>
      <c r="AX397" s="686" t="str">
        <f ca="1">IFERROR(VLOOKUP(AW397,INDIRECT(AQ396),2,FALSE),"----")</f>
        <v>----</v>
      </c>
      <c r="AY397" s="694" t="e">
        <f t="shared" ca="1" si="7011"/>
        <v>#REF!</v>
      </c>
      <c r="AZ397" s="686" t="str">
        <f ca="1">IFERROR(VLOOKUP(AY397,INDIRECT(AQ397),2,FALSE),"----")</f>
        <v>----</v>
      </c>
      <c r="BA397" s="694" t="e">
        <f t="shared" ca="1" si="7012"/>
        <v>#REF!</v>
      </c>
      <c r="BB397" s="686" t="str">
        <f ca="1">IFERROR(VLOOKUP(BA397,INDIRECT(AQ398),2,FALSE),"----")</f>
        <v>----</v>
      </c>
      <c r="BC397" s="694" t="e">
        <f t="shared" ca="1" si="7013"/>
        <v>#REF!</v>
      </c>
      <c r="BD397" s="686" t="str">
        <f ca="1">IFERROR(VLOOKUP(BC397,INDIRECT(AQ399),2,FALSE),"----")</f>
        <v>----</v>
      </c>
      <c r="BE397" s="694" t="e">
        <f t="shared" ca="1" si="6453"/>
        <v>#REF!</v>
      </c>
      <c r="BF397" s="686" t="str">
        <f ca="1">IFERROR(VLOOKUP(BE397,INDIRECT(AQ400),2,FALSE),"----")</f>
        <v>----</v>
      </c>
      <c r="BG397" s="694" t="e">
        <f t="shared" ca="1" si="6454"/>
        <v>#REF!</v>
      </c>
      <c r="BH397" s="686" t="str">
        <f ca="1">IFERROR(VLOOKUP(BG397,INDIRECT(AQ401),2,FALSE),"----")</f>
        <v>----</v>
      </c>
      <c r="BI397" s="694" t="e">
        <f t="shared" ca="1" si="7016"/>
        <v>#REF!</v>
      </c>
      <c r="BJ397" s="686" t="str">
        <f ca="1">IFERROR(VLOOKUP(BI397,INDIRECT(AQ402),2,FALSE),"----")</f>
        <v>----</v>
      </c>
      <c r="BK397" s="694" t="e">
        <f t="shared" ca="1" si="7017"/>
        <v>#REF!</v>
      </c>
      <c r="BL397" s="686" t="str">
        <f ca="1">IFERROR(VLOOKUP(BK397,INDIRECT(AQ403),2,FALSE),"----")</f>
        <v>----</v>
      </c>
      <c r="BM397" s="694" t="e">
        <f t="shared" ca="1" si="7018"/>
        <v>#REF!</v>
      </c>
      <c r="BN397" s="686" t="str">
        <f ca="1">IFERROR(VLOOKUP(BM397,INDIRECT(AQ404),2,FALSE),"----")</f>
        <v>----</v>
      </c>
      <c r="BO397" s="694" t="e">
        <f t="shared" ca="1" si="7019"/>
        <v>#REF!</v>
      </c>
      <c r="BP397" s="686" t="str">
        <f ca="1">IFERROR(VLOOKUP(BO397,INDIRECT(AQ405),2,FALSE),"----")</f>
        <v>----</v>
      </c>
      <c r="BQ397" s="694" t="e">
        <f t="shared" ca="1" si="6459"/>
        <v>#REF!</v>
      </c>
      <c r="BR397" s="686" t="str">
        <f ca="1">IFERROR(VLOOKUP(BQ397,INDIRECT(AQ406),2,FALSE),"----")</f>
        <v>----</v>
      </c>
      <c r="BS397" s="695">
        <f>IF(AI397="",1,IF(COUNTIF(AZ395:AZ406,AI397)=0,2,1))</f>
        <v>1</v>
      </c>
      <c r="BT397" s="696">
        <f>IF(AF397="",1,IF(AZ395=".",2,1))</f>
        <v>1</v>
      </c>
      <c r="BU397" s="706"/>
      <c r="BV397" s="155">
        <f ca="1">IF(COUNTIF(CO395:CO406,AF397)=0,IF(AF397&lt;&gt;"",0,1),1)</f>
        <v>1</v>
      </c>
      <c r="BW397" s="157">
        <f ca="1">IFERROR(MATCH(AF397,CO395:CO406,0),1)</f>
        <v>1</v>
      </c>
      <c r="BX397" s="769"/>
      <c r="BY397" s="769"/>
      <c r="BZ397" s="1110"/>
      <c r="CA397" s="691" t="e">
        <f t="shared" ca="1" si="7021"/>
        <v>#REF!</v>
      </c>
      <c r="CB397" s="4" t="e" cm="1">
        <f t="array" aca="1" ref="CB397" ca="1">IF(AND(INDEX(INDIRECT(BY395),CA397,4)&gt;=$AB395,INDEX(INDIRECT(BY395),CA397,5)&gt;=$S395,INDEX(INDIRECT(BY395),CA397,6)&gt;=$R395),1,0)</f>
        <v>#REF!</v>
      </c>
      <c r="CC397" s="4" t="e">
        <f t="shared" ref="CC397" ca="1" si="7058">MATCH(1,OFFSET(CB395:CB406,CD396,0,COUNT(CB395:CB406)-CD396),0)</f>
        <v>#REF!</v>
      </c>
      <c r="CD397" s="4" t="e">
        <f t="shared" ca="1" si="7023"/>
        <v>#REF!</v>
      </c>
      <c r="CE397" s="692" t="str" cm="1">
        <f t="array" aca="1" ref="CE397" ca="1">IFERROR(VLOOKUP(INDEX(CA395:CA406,CD397),INDIRECT(BY395),2,FALSE),"----")</f>
        <v>----</v>
      </c>
      <c r="CF397" s="691" t="e">
        <f t="shared" ca="1" si="7024"/>
        <v>#N/A</v>
      </c>
      <c r="CG397" s="4" t="e">
        <f ca="1">IF(AND(INDEX(SSM,CF397,4)&gt;=$AB395,INDEX(SSM,CF397,5)&gt;=$S395,INDEX(SSM,CF397,6)&gt;=$R395),1,0)</f>
        <v>#N/A</v>
      </c>
      <c r="CH397" s="4" t="e">
        <f t="shared" ref="CH397" ca="1" si="7059">MATCH(1,OFFSET(CG395:CG406,CI396,0,COUNT(CG395:CG406)-CI396),0)</f>
        <v>#REF!</v>
      </c>
      <c r="CI397" s="4" t="e">
        <f t="shared" ca="1" si="7026"/>
        <v>#REF!</v>
      </c>
      <c r="CJ397" s="692" t="str">
        <f ca="1">IFERROR(IF(AD396="Nested Steel Stud (wood infill)",VLOOKUP(INDEX(CF395:CF406,CI397),SSW,2,FALSE),VLOOKUP(INDEX(CF395:CF406,CI397),SSM,2,FALSE)),"----")</f>
        <v>----</v>
      </c>
      <c r="CK397" s="691" t="e">
        <f t="shared" ca="1" si="7027"/>
        <v>#N/A</v>
      </c>
      <c r="CL397" s="4" t="e">
        <f ca="1">IF(AND(INDEX(WSM,CK397,4)&gt;=$AB395,INDEX(WSM,CK397,5)&gt;=$S395,INDEX(WSM,CK397,6)&gt;=$R395),1,0)</f>
        <v>#N/A</v>
      </c>
      <c r="CM397" s="4" t="e">
        <f t="shared" ref="CM397" ca="1" si="7060">MATCH(1,OFFSET(CL395:CL406,CN396,0,COUNT(CL395:CL406)-CN396),0)</f>
        <v>#REF!</v>
      </c>
      <c r="CN397" s="4" t="e">
        <f t="shared" ca="1" si="7029"/>
        <v>#REF!</v>
      </c>
      <c r="CO397" s="692" t="str">
        <f ca="1">IFERROR(VLOOKUP(INDEX(CK395:CK406,CN397),WSM,2,FALSE),"----")</f>
        <v>----</v>
      </c>
      <c r="CP397" s="691" t="e">
        <f t="shared" ca="1" si="7030"/>
        <v>#N/A</v>
      </c>
      <c r="CQ397" s="4" t="e">
        <f ca="1">IF(AND(INDEX(STM,CP397,4)&gt;=$AB395,INDEX(STM,CP397,5)&gt;=$S395,INDEX(STM,CP397,6)&gt;=$R395),1,0)</f>
        <v>#N/A</v>
      </c>
      <c r="CR397" s="4" t="e">
        <f t="shared" ref="CR397" ca="1" si="7061">MATCH(1,OFFSET(CQ395:CQ406,CS396,0,COUNT(CQ395:CQ406)-CS396),0)</f>
        <v>#REF!</v>
      </c>
      <c r="CS397" s="4" t="e">
        <f t="shared" ca="1" si="7032"/>
        <v>#REF!</v>
      </c>
      <c r="CT397" s="692" t="str">
        <f ca="1">IFERROR(VLOOKUP(INDEX(CP395:CP406,CS397),STM,2,FALSE),"----")</f>
        <v>----</v>
      </c>
      <c r="CU397" s="691" t="e">
        <f t="shared" ca="1" si="7033"/>
        <v>#N/A</v>
      </c>
      <c r="CV397" s="4" t="e">
        <f ca="1">IF(AND(INDEX(ELM,CU397,4)&gt;=$AB395,INDEX(ELM,CU397,5)&gt;=$S395,INDEX(ELM,CU397,6)&gt;=$R395),1,0)</f>
        <v>#N/A</v>
      </c>
      <c r="CW397" s="4" t="e">
        <f t="shared" ref="CW397" ca="1" si="7062">MATCH(1,OFFSET(CV395:CV406,CX396,0,COUNT(CV395:CV406)-CX396),0)</f>
        <v>#REF!</v>
      </c>
      <c r="CX397" s="4" t="e">
        <f t="shared" ca="1" si="7035"/>
        <v>#REF!</v>
      </c>
      <c r="CY397" s="692" t="str">
        <f ca="1">IFERROR(VLOOKUP(INDEX(CU395:CU406,CX397),ELM,2,FALSE),"----")</f>
        <v>----</v>
      </c>
      <c r="CZ397" s="691" t="e">
        <f t="shared" ca="1" si="7036"/>
        <v>#N/A</v>
      </c>
      <c r="DA397" s="4" t="e">
        <f ca="1">IF(LEFT($J395,7)="Clad Wo",IF(AND(INDEX(SPPWS,CZ397,4)&gt;=$AB395,INDEX(SPPWS,CZ397,5)&gt;=$S395,INDEX(SPPWS,CZ397,6)&gt;=$R395),1,0),IF(AND(INDEX(SPM,CZ397,4)&gt;=$AB395,INDEX(SPM,CZ397,5)&gt;=$S395,INDEX(SPM,CZ397,6)&gt;=$R395),1,0))</f>
        <v>#N/A</v>
      </c>
      <c r="DB397" s="4" t="e">
        <f t="shared" ref="DB397" ca="1" si="7063">MATCH(1,OFFSET(DA395:DA406,DC396,0,COUNT(DA395:DA406)-DC396),0)</f>
        <v>#REF!</v>
      </c>
      <c r="DC397" s="4" t="e">
        <f t="shared" ca="1" si="7038"/>
        <v>#REF!</v>
      </c>
      <c r="DD397" s="693" t="str">
        <f ca="1">IF(LEFT($J395,7)="Clad Wo",IFERROR(VLOOKUP(INDEX(CZ395:CZ406,DC397),SPPWS,2,FALSE),"----"),IFERROR(VLOOKUP(INDEX(CZ395:CZ406,DC397),SPM,2,FALSE),"----"))</f>
        <v>----</v>
      </c>
      <c r="DE397" s="691" t="e">
        <f t="shared" ca="1" si="7039"/>
        <v>#REF!</v>
      </c>
      <c r="DF397" s="4" t="e" cm="1">
        <f t="array" aca="1" ref="DF397" ca="1">IF(AND(INDEX(INDIRECT(BY395),DE397,4)&gt;=$AB401,INDEX(INDIRECT(BY395),DE397,5)&gt;=$S395,INDEX(INDIRECT(BY395),DE397,6)&gt;=$R395),1,0)</f>
        <v>#REF!</v>
      </c>
      <c r="DG397" s="4" t="e">
        <f t="shared" ref="DG397" ca="1" si="7064">MATCH(1,OFFSET(DF395:DF406,DH396,0,COUNT(DF395:DF406)-DH396),0)</f>
        <v>#REF!</v>
      </c>
      <c r="DH397" s="4" t="e">
        <f t="shared" ca="1" si="7041"/>
        <v>#REF!</v>
      </c>
      <c r="DI397" s="692" t="str" cm="1">
        <f t="array" aca="1" ref="DI397" ca="1">IFERROR(VLOOKUP(INDEX(DE395:DE406,DH397),INDIRECT(BY395),2,FALSE),"----")</f>
        <v>----</v>
      </c>
      <c r="DJ397" s="691" t="e">
        <f t="shared" ca="1" si="7042"/>
        <v>#N/A</v>
      </c>
      <c r="DK397" s="4" t="e">
        <f ca="1">IF(AND(INDEX(SSM,DJ397,4)&gt;=$AB401,INDEX(SSM,DJ397,5)&gt;=$S395,INDEX(SSM,DJ397,6)&gt;=$R395),1,0)</f>
        <v>#N/A</v>
      </c>
      <c r="DL397" s="4" t="e">
        <f t="shared" ref="DL397" ca="1" si="7065">MATCH(1,OFFSET(DK395:DK406,DM396,0,COUNT(DK395:DK406)-DM396),0)</f>
        <v>#REF!</v>
      </c>
      <c r="DM397" s="4" t="e">
        <f t="shared" ca="1" si="7044"/>
        <v>#REF!</v>
      </c>
      <c r="DN397" s="692" t="str">
        <f ca="1">IFERROR(IF(AD402="Nested Steel Stud (wood infill)",VLOOKUP(INDEX(DJ395:DJ406,DM397),SSW,2,FALSE),VLOOKUP(INDEX(DJ395:DJ406,DM397),SSM,2,FALSE)),"----")</f>
        <v>----</v>
      </c>
      <c r="DO397" s="691" t="e">
        <f t="shared" ca="1" si="7045"/>
        <v>#N/A</v>
      </c>
      <c r="DP397" s="4" t="e">
        <f ca="1">IF(AND(INDEX(WSM,DO397,4)&gt;=$AB401,INDEX(WSM,DO397,5)&gt;=$S395,INDEX(WSM,DO397,6)&gt;=$R395),1,0)</f>
        <v>#N/A</v>
      </c>
      <c r="DQ397" s="4" t="e">
        <f t="shared" ref="DQ397" ca="1" si="7066">MATCH(1,OFFSET(DP395:DP406,DR396,0,COUNT(DP395:DP406)-DR396),0)</f>
        <v>#REF!</v>
      </c>
      <c r="DR397" s="4" t="e">
        <f t="shared" ca="1" si="7047"/>
        <v>#REF!</v>
      </c>
      <c r="DS397" s="692" t="str">
        <f ca="1">IFERROR(VLOOKUP(INDEX(DO395:DO406,DR397),WSM,2,FALSE),"----")</f>
        <v>----</v>
      </c>
      <c r="DT397" s="691" t="e">
        <f t="shared" ca="1" si="7048"/>
        <v>#N/A</v>
      </c>
      <c r="DU397" s="4" t="e">
        <f ca="1">IF(AND(INDEX(STM,DT397,4)&gt;=$AB401,INDEX(STM,DT397,5)&gt;=$S395,INDEX(STM,DT397,6)&gt;=$R395),1,0)</f>
        <v>#N/A</v>
      </c>
      <c r="DV397" s="4" t="e">
        <f t="shared" ref="DV397" ca="1" si="7067">MATCH(1,OFFSET(DU395:DU406,DW396,0,COUNT(DU395:DU406)-DW396),0)</f>
        <v>#REF!</v>
      </c>
      <c r="DW397" s="4" t="e">
        <f t="shared" ca="1" si="7050"/>
        <v>#REF!</v>
      </c>
      <c r="DX397" s="692" t="str">
        <f ca="1">IFERROR(VLOOKUP(INDEX(DT395:DT406,DW397),STM,2,FALSE),"----")</f>
        <v>----</v>
      </c>
      <c r="DY397" s="691" t="e">
        <f t="shared" ca="1" si="7051"/>
        <v>#N/A</v>
      </c>
      <c r="DZ397" s="4" t="e">
        <f ca="1">IF(AND(INDEX(ELM,DY397,4)&gt;=$AB401,INDEX(ELM,DY397,5)&gt;=$S395,INDEX(ELM,DY397,6)&gt;=$R395),1,0)</f>
        <v>#N/A</v>
      </c>
      <c r="EA397" s="4" t="e">
        <f t="shared" ref="EA397" ca="1" si="7068">MATCH(1,OFFSET(DZ395:DZ406,EB396,0,COUNT(DZ395:DZ406)-EB396),0)</f>
        <v>#REF!</v>
      </c>
      <c r="EB397" s="4" t="e">
        <f t="shared" ca="1" si="7053"/>
        <v>#REF!</v>
      </c>
      <c r="EC397" s="692" t="str">
        <f ca="1">IFERROR(VLOOKUP(INDEX(DY395:DY406,EB397),ELM,2,FALSE),"----")</f>
        <v>----</v>
      </c>
      <c r="ED397" s="691" t="e">
        <f t="shared" ca="1" si="7054"/>
        <v>#N/A</v>
      </c>
      <c r="EE397" s="4" t="e">
        <f ca="1">IF(LEFT($J395,7)="Clad Wo",IF(AND(INDEX(SPPWS,ED397,4)&gt;=$AB401,INDEX(SPPWS,ED397,5)&gt;=$S395,INDEX(SPPWS,ED397,6)&gt;=$R395),1,0),IF(AND(INDEX(SPM,ED397,4)&gt;=$AB401,INDEX(SPM,ED397,5)&gt;=$S395,INDEX(SPM,ED397,6)&gt;=$R395),1,0))</f>
        <v>#N/A</v>
      </c>
      <c r="EF397" s="4" t="e">
        <f t="shared" ref="EF397" ca="1" si="7069">MATCH(1,OFFSET(EE395:EE406,EG396,0,COUNT(EE395:EE406)-EG396),0)</f>
        <v>#REF!</v>
      </c>
      <c r="EG397" s="4" t="e">
        <f t="shared" ca="1" si="7056"/>
        <v>#REF!</v>
      </c>
      <c r="EH397" s="692" t="str">
        <f ca="1">IF(LEFT($J395,7)="Clad Wo",IFERROR(VLOOKUP(INDEX(ED395:ED406,EG397),SPPWS,2,FALSE),"----"),IFERROR(VLOOKUP(INDEX(ED395:ED406,EG397),SPM,2,FALSE),"----"))</f>
        <v>----</v>
      </c>
    </row>
    <row r="398" spans="1:138" ht="15" customHeight="1" x14ac:dyDescent="0.25">
      <c r="A398" s="1085"/>
      <c r="B398" s="925"/>
      <c r="C398" s="926"/>
      <c r="D398" s="927"/>
      <c r="E398" s="995"/>
      <c r="F398" s="996"/>
      <c r="G398" s="997"/>
      <c r="H398" s="1062"/>
      <c r="I398" s="990"/>
      <c r="J398" s="908"/>
      <c r="K398" s="909"/>
      <c r="L398" s="1002"/>
      <c r="M398" s="923"/>
      <c r="N398" s="1042"/>
      <c r="O398" s="1018"/>
      <c r="P398" s="987"/>
      <c r="Q398" s="1015"/>
      <c r="R398" s="1012"/>
      <c r="S398" s="1006"/>
      <c r="T398" s="1007"/>
      <c r="U398" s="878"/>
      <c r="V398" s="881"/>
      <c r="W398" s="884"/>
      <c r="X398" s="884"/>
      <c r="Y398" s="887"/>
      <c r="Z398" s="887"/>
      <c r="AA398" s="887"/>
      <c r="AB398" s="1081"/>
      <c r="AC398" s="1078"/>
      <c r="AD398" s="1070" t="s">
        <v>37</v>
      </c>
      <c r="AE398" s="1071"/>
      <c r="AF398" s="1052"/>
      <c r="AG398" s="1053"/>
      <c r="AH398" s="1053"/>
      <c r="AI398" s="1066"/>
      <c r="AJ398" s="1067"/>
      <c r="AK398" s="156" t="str">
        <f t="shared" ca="1" si="6208"/>
        <v/>
      </c>
      <c r="AL398" s="1039"/>
      <c r="AM398" s="343" t="str">
        <f ca="1">IFERROR(Q395/12*ROUND(VLOOKUP(AF398,OFFSET(STM,0,1),6,FALSE),2),"")</f>
        <v/>
      </c>
      <c r="AN398" t="str">
        <f t="shared" ca="1" si="6226"/>
        <v/>
      </c>
      <c r="AP398" s="122" t="str">
        <f t="shared" ref="AP398" si="7070">_xlfn.CONCAT(AR398,AS400)</f>
        <v/>
      </c>
      <c r="AQ398" s="683" t="str">
        <f t="shared" si="6434"/>
        <v/>
      </c>
      <c r="AR398" s="4" t="str">
        <f t="shared" si="6193"/>
        <v/>
      </c>
      <c r="AS398" s="4"/>
      <c r="AT398" s="697" t="str">
        <f>AL395</f>
        <v/>
      </c>
      <c r="AU398" s="694" t="e">
        <f t="shared" ca="1" si="6450"/>
        <v>#REF!</v>
      </c>
      <c r="AV398" s="686" t="str">
        <f ca="1">IFERROR(VLOOKUP(AU398,INDIRECT(AQ395),2,FALSE),"----")</f>
        <v>----</v>
      </c>
      <c r="AW398" s="694" t="e">
        <f t="shared" ca="1" si="6451"/>
        <v>#REF!</v>
      </c>
      <c r="AX398" s="686" t="str">
        <f ca="1">IFERROR(VLOOKUP(AW398,INDIRECT(AQ396),2,FALSE),"----")</f>
        <v>----</v>
      </c>
      <c r="AY398" s="694" t="e">
        <f t="shared" ref="AY398" ca="1" si="7071">AY397-1</f>
        <v>#REF!</v>
      </c>
      <c r="AZ398" s="686" t="str">
        <f ca="1">IFERROR(VLOOKUP(AY398,INDIRECT(AQ397),2,FALSE),"----")</f>
        <v>----</v>
      </c>
      <c r="BA398" s="694" t="e">
        <f t="shared" ref="BA398" ca="1" si="7072">BA397-1</f>
        <v>#REF!</v>
      </c>
      <c r="BB398" s="686" t="str">
        <f ca="1">IFERROR(VLOOKUP(BA398,INDIRECT(AQ398),2,FALSE),"----")</f>
        <v>----</v>
      </c>
      <c r="BC398" s="694" t="e">
        <f t="shared" ca="1" si="6452"/>
        <v>#REF!</v>
      </c>
      <c r="BD398" s="686" t="str">
        <f ca="1">IFERROR(VLOOKUP(BC398,INDIRECT(AQ399),2,FALSE),"----")</f>
        <v>----</v>
      </c>
      <c r="BE398" s="694" t="e">
        <f t="shared" ca="1" si="6453"/>
        <v>#REF!</v>
      </c>
      <c r="BF398" s="686" t="str">
        <f ca="1">IFERROR(VLOOKUP(BE398,INDIRECT(AQ400),2,FALSE),"----")</f>
        <v>----</v>
      </c>
      <c r="BG398" s="694" t="e">
        <f t="shared" ca="1" si="6454"/>
        <v>#REF!</v>
      </c>
      <c r="BH398" s="686" t="str">
        <f ca="1">IFERROR(VLOOKUP(BG398,INDIRECT(AQ401),2,FALSE),"----")</f>
        <v>----</v>
      </c>
      <c r="BI398" s="694" t="e">
        <f t="shared" ca="1" si="6455"/>
        <v>#REF!</v>
      </c>
      <c r="BJ398" s="686" t="str">
        <f ca="1">IFERROR(VLOOKUP(BI398,INDIRECT(AQ402),2,FALSE),"----")</f>
        <v>----</v>
      </c>
      <c r="BK398" s="694" t="e">
        <f t="shared" ca="1" si="6456"/>
        <v>#REF!</v>
      </c>
      <c r="BL398" s="686" t="str">
        <f ca="1">IFERROR(VLOOKUP(BK398,INDIRECT(AQ403),2,FALSE),"----")</f>
        <v>----</v>
      </c>
      <c r="BM398" s="694" t="e">
        <f t="shared" ca="1" si="6457"/>
        <v>#REF!</v>
      </c>
      <c r="BN398" s="686" t="str">
        <f ca="1">IFERROR(VLOOKUP(BM398,INDIRECT(AQ404),2,FALSE),"----")</f>
        <v>----</v>
      </c>
      <c r="BO398" s="694" t="e">
        <f t="shared" ca="1" si="6458"/>
        <v>#REF!</v>
      </c>
      <c r="BP398" s="686" t="str">
        <f ca="1">IFERROR(VLOOKUP(BO398,INDIRECT(AQ405),2,FALSE),"----")</f>
        <v>----</v>
      </c>
      <c r="BQ398" s="694" t="e">
        <f t="shared" ca="1" si="6459"/>
        <v>#REF!</v>
      </c>
      <c r="BR398" s="686" t="str">
        <f ca="1">IFERROR(VLOOKUP(BQ398,INDIRECT(AQ406),2,FALSE),"----")</f>
        <v>----</v>
      </c>
      <c r="BS398" s="695">
        <f>IF(AI398="",1,IF(COUNTIF(BB395:BB406,AI398)=0,2,1))</f>
        <v>1</v>
      </c>
      <c r="BT398" s="696">
        <f>IF(AF398="",1,IF(BB395=".",2,1))</f>
        <v>1</v>
      </c>
      <c r="BU398" s="706"/>
      <c r="BV398" s="155">
        <f ca="1">IF(COUNTIF(CT395:CT406,AF398)=0,IF(AF398&lt;&gt;"",0,1),1)</f>
        <v>1</v>
      </c>
      <c r="BW398" s="157">
        <f ca="1">IFERROR(MATCH(AF398,CT395:CT406,0),1)</f>
        <v>1</v>
      </c>
      <c r="BX398" s="769"/>
      <c r="BY398" s="769"/>
      <c r="BZ398" s="1110"/>
      <c r="CA398" s="691" t="e">
        <f t="shared" ca="1" si="7021"/>
        <v>#REF!</v>
      </c>
      <c r="CB398" s="4" t="e" cm="1">
        <f t="array" aca="1" ref="CB398" ca="1">IF(AND(INDEX(INDIRECT(BY395),CA398,4)&gt;=$AB395,INDEX(INDIRECT(BY395),CA398,5)&gt;=$S395,INDEX(INDIRECT(BY395),CA398,6)&gt;=$R395),1,0)</f>
        <v>#REF!</v>
      </c>
      <c r="CC398" s="4" t="e">
        <f t="shared" ref="CC398" ca="1" si="7073">MATCH(1,OFFSET(CB395:CB406,CD397,0,COUNT(CB395:CB406)-CD397),0)</f>
        <v>#REF!</v>
      </c>
      <c r="CD398" s="4" t="e">
        <f t="shared" ca="1" si="7023"/>
        <v>#REF!</v>
      </c>
      <c r="CE398" s="692" t="str" cm="1">
        <f t="array" aca="1" ref="CE398" ca="1">IFERROR(VLOOKUP(INDEX(CA395:CA406,CD398),INDIRECT(BY395),2,FALSE),"----")</f>
        <v>----</v>
      </c>
      <c r="CF398" s="691" t="e">
        <f t="shared" ca="1" si="7024"/>
        <v>#N/A</v>
      </c>
      <c r="CG398" s="4" t="e">
        <f ca="1">IF(AND(INDEX(SSM,CF398,4)&gt;=$AB395,INDEX(SSM,CF398,5)&gt;=$S395,INDEX(SSM,CF398,6)&gt;=$R395),1,0)</f>
        <v>#N/A</v>
      </c>
      <c r="CH398" s="4" t="e">
        <f t="shared" ref="CH398" ca="1" si="7074">MATCH(1,OFFSET(CG395:CG406,CI397,0,COUNT(CG395:CG406)-CI397),0)</f>
        <v>#REF!</v>
      </c>
      <c r="CI398" s="4" t="e">
        <f t="shared" ca="1" si="7026"/>
        <v>#REF!</v>
      </c>
      <c r="CJ398" s="692" t="str">
        <f ca="1">IFERROR(IF(AD396="Nested Steel Stud (wood infill)",VLOOKUP(INDEX(CF395:CF406,CI398),SSW,2,FALSE),VLOOKUP(INDEX(CF395:CF406,CI398),SSM,2,FALSE)),"----")</f>
        <v>----</v>
      </c>
      <c r="CK398" s="691" t="e">
        <f t="shared" ca="1" si="7027"/>
        <v>#N/A</v>
      </c>
      <c r="CL398" s="4" t="e">
        <f ca="1">IF(AND(INDEX(WSM,CK398,4)&gt;=$AB395,INDEX(WSM,CK398,5)&gt;=$S395,INDEX(WSM,CK398,6)&gt;=$R395),1,0)</f>
        <v>#N/A</v>
      </c>
      <c r="CM398" s="4" t="e">
        <f t="shared" ref="CM398" ca="1" si="7075">MATCH(1,OFFSET(CL395:CL406,CN397,0,COUNT(CL395:CL406)-CN397),0)</f>
        <v>#REF!</v>
      </c>
      <c r="CN398" s="4" t="e">
        <f t="shared" ca="1" si="7029"/>
        <v>#REF!</v>
      </c>
      <c r="CO398" s="692" t="str">
        <f ca="1">IFERROR(VLOOKUP(INDEX(CK395:CK406,CN398),WSM,2,FALSE),"----")</f>
        <v>----</v>
      </c>
      <c r="CP398" s="691" t="e">
        <f t="shared" ca="1" si="7030"/>
        <v>#N/A</v>
      </c>
      <c r="CQ398" s="4" t="e">
        <f ca="1">IF(AND(INDEX(STM,CP398,4)&gt;=$AB395,INDEX(STM,CP398,5)&gt;=$S395,INDEX(STM,CP398,6)&gt;=$R395),1,0)</f>
        <v>#N/A</v>
      </c>
      <c r="CR398" s="4" t="e">
        <f t="shared" ref="CR398" ca="1" si="7076">MATCH(1,OFFSET(CQ395:CQ406,CS397,0,COUNT(CQ395:CQ406)-CS397),0)</f>
        <v>#REF!</v>
      </c>
      <c r="CS398" s="4" t="e">
        <f t="shared" ca="1" si="7032"/>
        <v>#REF!</v>
      </c>
      <c r="CT398" s="692" t="str">
        <f ca="1">IFERROR(VLOOKUP(INDEX(CP395:CP406,CS398),STM,2,FALSE),"----")</f>
        <v>----</v>
      </c>
      <c r="CU398" s="691" t="e">
        <f t="shared" ca="1" si="7033"/>
        <v>#N/A</v>
      </c>
      <c r="CV398" s="4" t="e">
        <f ca="1">IF(AND(INDEX(ELM,CU398,4)&gt;=$AB395,INDEX(ELM,CU398,5)&gt;=$S395,INDEX(ELM,CU398,6)&gt;=$R395),1,0)</f>
        <v>#N/A</v>
      </c>
      <c r="CW398" s="4" t="e">
        <f t="shared" ref="CW398" ca="1" si="7077">MATCH(1,OFFSET(CV395:CV406,CX397,0,COUNT(CV395:CV406)-CX397),0)</f>
        <v>#REF!</v>
      </c>
      <c r="CX398" s="4" t="e">
        <f t="shared" ca="1" si="7035"/>
        <v>#REF!</v>
      </c>
      <c r="CY398" s="692" t="str">
        <f ca="1">IFERROR(VLOOKUP(INDEX(CU395:CU406,CX398),ELM,2,FALSE),"----")</f>
        <v>----</v>
      </c>
      <c r="CZ398" s="691" t="e">
        <f t="shared" ca="1" si="7036"/>
        <v>#N/A</v>
      </c>
      <c r="DA398" s="4" t="e">
        <f ca="1">IF(LEFT($J395,7)="Clad Wo",IF(AND(INDEX(SPPWS,CZ398,4)&gt;=$AB395,INDEX(SPPWS,CZ398,5)&gt;=$S395,INDEX(SPPWS,CZ398,6)&gt;=$R395),1,0),IF(AND(INDEX(SPM,CZ398,4)&gt;=$AB395,INDEX(SPM,CZ398,5)&gt;=$S395,INDEX(SPM,CZ398,6)&gt;=$R395),1,0))</f>
        <v>#N/A</v>
      </c>
      <c r="DB398" s="4" t="e">
        <f t="shared" ref="DB398" ca="1" si="7078">MATCH(1,OFFSET(DA395:DA406,DC397,0,COUNT(DA395:DA406)-DC397),0)</f>
        <v>#REF!</v>
      </c>
      <c r="DC398" s="4" t="e">
        <f t="shared" ca="1" si="7038"/>
        <v>#REF!</v>
      </c>
      <c r="DD398" s="693" t="str">
        <f ca="1">IF(LEFT($J395,7)="Clad Wo",IFERROR(VLOOKUP(INDEX(CZ395:CZ406,DC398),SPPWS,2,FALSE),"----"),IFERROR(VLOOKUP(INDEX(CZ395:CZ406,DC398),SPM,2,FALSE),"----"))</f>
        <v>----</v>
      </c>
      <c r="DE398" s="691" t="e">
        <f t="shared" ca="1" si="7039"/>
        <v>#REF!</v>
      </c>
      <c r="DF398" s="4" t="e" cm="1">
        <f t="array" aca="1" ref="DF398" ca="1">IF(AND(INDEX(INDIRECT(BY395),DE398,4)&gt;=$AB401,INDEX(INDIRECT(BY395),DE398,5)&gt;=$S395,INDEX(INDIRECT(BY395),DE398,6)&gt;=$R395),1,0)</f>
        <v>#REF!</v>
      </c>
      <c r="DG398" s="4" t="e">
        <f t="shared" ref="DG398" ca="1" si="7079">MATCH(1,OFFSET(DF395:DF406,DH397,0,COUNT(DF395:DF406)-DH397),0)</f>
        <v>#REF!</v>
      </c>
      <c r="DH398" s="4" t="e">
        <f t="shared" ca="1" si="7041"/>
        <v>#REF!</v>
      </c>
      <c r="DI398" s="692" t="str" cm="1">
        <f t="array" aca="1" ref="DI398" ca="1">IFERROR(VLOOKUP(INDEX(DE395:DE406,DH398),INDIRECT(BY395),2,FALSE),"----")</f>
        <v>----</v>
      </c>
      <c r="DJ398" s="691" t="e">
        <f t="shared" ca="1" si="7042"/>
        <v>#N/A</v>
      </c>
      <c r="DK398" s="4" t="e">
        <f ca="1">IF(AND(INDEX(SSM,DJ398,4)&gt;=$AB401,INDEX(SSM,DJ398,5)&gt;=$S395,INDEX(SSM,DJ398,6)&gt;=$R395),1,0)</f>
        <v>#N/A</v>
      </c>
      <c r="DL398" s="4" t="e">
        <f t="shared" ref="DL398" ca="1" si="7080">MATCH(1,OFFSET(DK395:DK406,DM397,0,COUNT(DK395:DK406)-DM397),0)</f>
        <v>#REF!</v>
      </c>
      <c r="DM398" s="4" t="e">
        <f t="shared" ca="1" si="7044"/>
        <v>#REF!</v>
      </c>
      <c r="DN398" s="692" t="str">
        <f ca="1">IFERROR(IF(AD402="Nested Steel Stud (wood infill)",VLOOKUP(INDEX(DJ395:DJ406,DM398),SSW,2,FALSE),VLOOKUP(INDEX(DJ395:DJ406,DM398),SSM,2,FALSE)),"----")</f>
        <v>----</v>
      </c>
      <c r="DO398" s="691" t="e">
        <f t="shared" ca="1" si="7045"/>
        <v>#N/A</v>
      </c>
      <c r="DP398" s="4" t="e">
        <f ca="1">IF(AND(INDEX(WSM,DO398,4)&gt;=$AB401,INDEX(WSM,DO398,5)&gt;=$S395,INDEX(WSM,DO398,6)&gt;=$R395),1,0)</f>
        <v>#N/A</v>
      </c>
      <c r="DQ398" s="4" t="e">
        <f t="shared" ref="DQ398" ca="1" si="7081">MATCH(1,OFFSET(DP395:DP406,DR397,0,COUNT(DP395:DP406)-DR397),0)</f>
        <v>#REF!</v>
      </c>
      <c r="DR398" s="4" t="e">
        <f t="shared" ca="1" si="7047"/>
        <v>#REF!</v>
      </c>
      <c r="DS398" s="692" t="str">
        <f ca="1">IFERROR(VLOOKUP(INDEX(DO395:DO406,DR398),WSM,2,FALSE),"----")</f>
        <v>----</v>
      </c>
      <c r="DT398" s="691" t="e">
        <f t="shared" ca="1" si="7048"/>
        <v>#N/A</v>
      </c>
      <c r="DU398" s="4" t="e">
        <f ca="1">IF(AND(INDEX(STM,DT398,4)&gt;=$AB401,INDEX(STM,DT398,5)&gt;=$S395,INDEX(STM,DT398,6)&gt;=$R395),1,0)</f>
        <v>#N/A</v>
      </c>
      <c r="DV398" s="4" t="e">
        <f t="shared" ref="DV398" ca="1" si="7082">MATCH(1,OFFSET(DU395:DU406,DW397,0,COUNT(DU395:DU406)-DW397),0)</f>
        <v>#REF!</v>
      </c>
      <c r="DW398" s="4" t="e">
        <f t="shared" ca="1" si="7050"/>
        <v>#REF!</v>
      </c>
      <c r="DX398" s="692" t="str">
        <f ca="1">IFERROR(VLOOKUP(INDEX(DT395:DT406,DW398),STM,2,FALSE),"----")</f>
        <v>----</v>
      </c>
      <c r="DY398" s="691" t="e">
        <f t="shared" ca="1" si="7051"/>
        <v>#N/A</v>
      </c>
      <c r="DZ398" s="4" t="e">
        <f ca="1">IF(AND(INDEX(ELM,DY398,4)&gt;=$AB401,INDEX(ELM,DY398,5)&gt;=$S395,INDEX(ELM,DY398,6)&gt;=$R395),1,0)</f>
        <v>#N/A</v>
      </c>
      <c r="EA398" s="4" t="e">
        <f t="shared" ref="EA398" ca="1" si="7083">MATCH(1,OFFSET(DZ395:DZ406,EB397,0,COUNT(DZ395:DZ406)-EB397),0)</f>
        <v>#REF!</v>
      </c>
      <c r="EB398" s="4" t="e">
        <f t="shared" ca="1" si="7053"/>
        <v>#REF!</v>
      </c>
      <c r="EC398" s="692" t="str">
        <f ca="1">IFERROR(VLOOKUP(INDEX(DY395:DY406,EB398),ELM,2,FALSE),"----")</f>
        <v>----</v>
      </c>
      <c r="ED398" s="691" t="e">
        <f t="shared" ca="1" si="7054"/>
        <v>#N/A</v>
      </c>
      <c r="EE398" s="4" t="e">
        <f ca="1">IF(LEFT($J395,7)="Clad Wo",IF(AND(INDEX(SPPWS,ED398,4)&gt;=$AB401,INDEX(SPPWS,ED398,5)&gt;=$S395,INDEX(SPPWS,ED398,6)&gt;=$R395),1,0),IF(AND(INDEX(SPM,ED398,4)&gt;=$AB401,INDEX(SPM,ED398,5)&gt;=$S395,INDEX(SPM,ED398,6)&gt;=$R395),1,0))</f>
        <v>#N/A</v>
      </c>
      <c r="EF398" s="4" t="e">
        <f t="shared" ref="EF398" ca="1" si="7084">MATCH(1,OFFSET(EE395:EE406,EG397,0,COUNT(EE395:EE406)-EG397),0)</f>
        <v>#REF!</v>
      </c>
      <c r="EG398" s="4" t="e">
        <f t="shared" ca="1" si="7056"/>
        <v>#REF!</v>
      </c>
      <c r="EH398" s="692" t="str">
        <f ca="1">IF(LEFT($J395,7)="Clad Wo",IFERROR(VLOOKUP(INDEX(ED395:ED406,EG398),SPPWS,2,FALSE),"----"),IFERROR(VLOOKUP(INDEX(ED395:ED406,EG398),SPM,2,FALSE),"----"))</f>
        <v>----</v>
      </c>
    </row>
    <row r="399" spans="1:138" ht="15" customHeight="1" x14ac:dyDescent="0.25">
      <c r="A399" s="1085"/>
      <c r="B399" s="925"/>
      <c r="C399" s="926"/>
      <c r="D399" s="927"/>
      <c r="E399" s="995"/>
      <c r="F399" s="996"/>
      <c r="G399" s="997"/>
      <c r="H399" s="1062"/>
      <c r="I399" s="990"/>
      <c r="J399" s="910"/>
      <c r="K399" s="911"/>
      <c r="L399" s="1002"/>
      <c r="M399" s="923"/>
      <c r="N399" s="1042"/>
      <c r="O399" s="1018"/>
      <c r="P399" s="987"/>
      <c r="Q399" s="1015"/>
      <c r="R399" s="1012"/>
      <c r="S399" s="1006"/>
      <c r="T399" s="1007"/>
      <c r="U399" s="878"/>
      <c r="V399" s="881"/>
      <c r="W399" s="884"/>
      <c r="X399" s="884"/>
      <c r="Y399" s="887"/>
      <c r="Z399" s="887"/>
      <c r="AA399" s="887"/>
      <c r="AB399" s="1081"/>
      <c r="AC399" s="1078"/>
      <c r="AD399" s="1070" t="s">
        <v>39</v>
      </c>
      <c r="AE399" s="1071"/>
      <c r="AF399" s="1052"/>
      <c r="AG399" s="1053"/>
      <c r="AH399" s="1053"/>
      <c r="AI399" s="1068"/>
      <c r="AJ399" s="1069"/>
      <c r="AK399" s="154" t="str">
        <f t="shared" ca="1" si="6208"/>
        <v/>
      </c>
      <c r="AL399" s="1039"/>
      <c r="AM399" s="344" t="str">
        <f ca="1">IFERROR(Q395/12*ROUND(VLOOKUP(AF399,OFFSET(ELM,0,1),6,FALSE),2),"")</f>
        <v/>
      </c>
      <c r="AN399" t="str">
        <f t="shared" ca="1" si="6226"/>
        <v/>
      </c>
      <c r="AP399" s="122" t="str">
        <f t="shared" ref="AP399" si="7085">_xlfn.CONCAT(AR399,AS400)</f>
        <v/>
      </c>
      <c r="AQ399" s="683" t="str">
        <f t="shared" si="6434"/>
        <v/>
      </c>
      <c r="AR399" s="4" t="str">
        <f t="shared" si="6193"/>
        <v/>
      </c>
      <c r="AS399" s="4"/>
      <c r="AT399" s="697" t="str">
        <f>AL395</f>
        <v/>
      </c>
      <c r="AU399" s="694" t="e">
        <f t="shared" ca="1" si="6450"/>
        <v>#REF!</v>
      </c>
      <c r="AV399" s="698" t="str">
        <f ca="1">IFERROR(VLOOKUP(AU399,INDIRECT(AQ395),2,FALSE),"----")</f>
        <v>----</v>
      </c>
      <c r="AW399" s="694" t="e">
        <f t="shared" ca="1" si="6451"/>
        <v>#REF!</v>
      </c>
      <c r="AX399" s="698" t="str">
        <f ca="1">IFERROR(VLOOKUP(AW399,INDIRECT(AQ396),2,FALSE),"----")</f>
        <v>----</v>
      </c>
      <c r="AY399" s="694" t="e">
        <f t="shared" ref="AY399" ca="1" si="7086">AY398-1</f>
        <v>#REF!</v>
      </c>
      <c r="AZ399" s="698" t="str">
        <f ca="1">IFERROR(VLOOKUP(AY399,INDIRECT(AQ397),2,FALSE),"----")</f>
        <v>----</v>
      </c>
      <c r="BA399" s="694" t="e">
        <f t="shared" ref="BA399" ca="1" si="7087">BA398-1</f>
        <v>#REF!</v>
      </c>
      <c r="BB399" s="698" t="str">
        <f ca="1">IFERROR(VLOOKUP(BA399,INDIRECT(AQ398),2,FALSE),"----")</f>
        <v>----</v>
      </c>
      <c r="BC399" s="694" t="e">
        <f t="shared" ca="1" si="6452"/>
        <v>#REF!</v>
      </c>
      <c r="BD399" s="698" t="str">
        <f ca="1">IFERROR(VLOOKUP(BC399,INDIRECT(AQ399),2,FALSE),"----")</f>
        <v>----</v>
      </c>
      <c r="BE399" s="694" t="e">
        <f t="shared" ca="1" si="6453"/>
        <v>#REF!</v>
      </c>
      <c r="BF399" s="698" t="str">
        <f ca="1">IFERROR(VLOOKUP(BE399,INDIRECT(AQ400),2,FALSE),"----")</f>
        <v>----</v>
      </c>
      <c r="BG399" s="694" t="e">
        <f t="shared" ca="1" si="6454"/>
        <v>#REF!</v>
      </c>
      <c r="BH399" s="686" t="str">
        <f ca="1">IFERROR(VLOOKUP(BG399,INDIRECT(AQ401),2,FALSE),"----")</f>
        <v>----</v>
      </c>
      <c r="BI399" s="694" t="e">
        <f t="shared" ca="1" si="6455"/>
        <v>#REF!</v>
      </c>
      <c r="BJ399" s="686" t="str">
        <f ca="1">IFERROR(VLOOKUP(BI399,INDIRECT(AQ402),2,FALSE),"----")</f>
        <v>----</v>
      </c>
      <c r="BK399" s="694" t="e">
        <f t="shared" ca="1" si="6456"/>
        <v>#REF!</v>
      </c>
      <c r="BL399" s="686" t="str">
        <f ca="1">IFERROR(VLOOKUP(BK399,INDIRECT(AQ403),2,FALSE),"----")</f>
        <v>----</v>
      </c>
      <c r="BM399" s="694" t="e">
        <f t="shared" ca="1" si="6457"/>
        <v>#REF!</v>
      </c>
      <c r="BN399" s="686" t="str">
        <f ca="1">IFERROR(VLOOKUP(BM399,INDIRECT(AQ404),2,FALSE),"----")</f>
        <v>----</v>
      </c>
      <c r="BO399" s="694" t="e">
        <f t="shared" ca="1" si="6458"/>
        <v>#REF!</v>
      </c>
      <c r="BP399" s="686" t="str">
        <f ca="1">IFERROR(VLOOKUP(BO399,INDIRECT(AQ405),2,FALSE),"----")</f>
        <v>----</v>
      </c>
      <c r="BQ399" s="694" t="e">
        <f t="shared" ca="1" si="6459"/>
        <v>#REF!</v>
      </c>
      <c r="BR399" s="686" t="str">
        <f ca="1">IFERROR(VLOOKUP(BQ399,INDIRECT(AQ406),2,FALSE),"----")</f>
        <v>----</v>
      </c>
      <c r="BS399" s="695">
        <f>IF(AI399="",1,IF(COUNTIF(BD395:BD406,AI399)=0,2,1))</f>
        <v>1</v>
      </c>
      <c r="BT399" s="696">
        <f>IF(AF399="",1,IF(BD395=".",2,1))</f>
        <v>1</v>
      </c>
      <c r="BU399" s="706"/>
      <c r="BV399" s="155">
        <f ca="1">IF(COUNTIF(CY395:CY406,AF399)=0,IF(AF399&lt;&gt;"",0,1),1)</f>
        <v>1</v>
      </c>
      <c r="BW399" s="157">
        <f ca="1">IFERROR(MATCH(AF399,CY395:CY406,0),1)</f>
        <v>1</v>
      </c>
      <c r="BX399" s="769"/>
      <c r="BY399" s="769"/>
      <c r="BZ399" s="1110"/>
      <c r="CA399" s="691" t="e">
        <f t="shared" ca="1" si="7021"/>
        <v>#REF!</v>
      </c>
      <c r="CB399" s="4" t="e" cm="1">
        <f t="array" aca="1" ref="CB399" ca="1">IF(AND(INDEX(INDIRECT(BY395),CA399,4)&gt;=$AB395,INDEX(INDIRECT(BY395),CA399,5)&gt;=$S395,INDEX(INDIRECT(BY395),CA399,6)&gt;=$R395),1,0)</f>
        <v>#REF!</v>
      </c>
      <c r="CC399" s="4" t="e">
        <f t="shared" ref="CC399" ca="1" si="7088">MATCH(1,OFFSET(CB395:CB406,CD398,0,COUNT(CB395:CB406)-CD398),0)</f>
        <v>#REF!</v>
      </c>
      <c r="CD399" s="4" t="e">
        <f t="shared" ca="1" si="7023"/>
        <v>#REF!</v>
      </c>
      <c r="CE399" s="692" t="str" cm="1">
        <f t="array" aca="1" ref="CE399" ca="1">IFERROR(VLOOKUP(INDEX(CA395:CA406,CD399),INDIRECT(BY395),2,FALSE),"----")</f>
        <v>----</v>
      </c>
      <c r="CF399" s="691" t="e">
        <f t="shared" ca="1" si="7024"/>
        <v>#N/A</v>
      </c>
      <c r="CG399" s="4" t="e">
        <f ca="1">IF(AND(INDEX(SSM,CF399,4)&gt;=$AB395,INDEX(SSM,CF399,5)&gt;=$S395,INDEX(SSM,CF399,6)&gt;=$R395),1,0)</f>
        <v>#N/A</v>
      </c>
      <c r="CH399" s="4" t="e">
        <f t="shared" ref="CH399" ca="1" si="7089">MATCH(1,OFFSET(CG395:CG406,CI398,0,COUNT(CG395:CG406)-CI398),0)</f>
        <v>#REF!</v>
      </c>
      <c r="CI399" s="4" t="e">
        <f t="shared" ca="1" si="7026"/>
        <v>#REF!</v>
      </c>
      <c r="CJ399" s="692" t="str">
        <f ca="1">IFERROR(IF(AD396="Nested Steel Stud (wood infill)",VLOOKUP(INDEX(CF395:CF406,CI399),SSW,2,FALSE),VLOOKUP(INDEX(CF395:CF406,CI399),SSM,2,FALSE)),"----")</f>
        <v>----</v>
      </c>
      <c r="CK399" s="691" t="e">
        <f t="shared" ca="1" si="7027"/>
        <v>#N/A</v>
      </c>
      <c r="CL399" s="4" t="e">
        <f ca="1">IF(AND(INDEX(WSM,CK399,4)&gt;=$AB395,INDEX(WSM,CK399,5)&gt;=$S395,INDEX(WSM,CK399,6)&gt;=$R395),1,0)</f>
        <v>#N/A</v>
      </c>
      <c r="CM399" s="4" t="e">
        <f t="shared" ref="CM399" ca="1" si="7090">MATCH(1,OFFSET(CL395:CL406,CN398,0,COUNT(CL395:CL406)-CN398),0)</f>
        <v>#REF!</v>
      </c>
      <c r="CN399" s="4" t="e">
        <f t="shared" ca="1" si="7029"/>
        <v>#REF!</v>
      </c>
      <c r="CO399" s="692" t="str">
        <f ca="1">IFERROR(VLOOKUP(INDEX(CK395:CK406,CN399),WSM,2,FALSE),"----")</f>
        <v>----</v>
      </c>
      <c r="CP399" s="691" t="e">
        <f t="shared" ca="1" si="7030"/>
        <v>#N/A</v>
      </c>
      <c r="CQ399" s="4" t="e">
        <f ca="1">IF(AND(INDEX(STM,CP399,4)&gt;=$AB395,INDEX(STM,CP399,5)&gt;=$S395,INDEX(STM,CP399,6)&gt;=$R395),1,0)</f>
        <v>#N/A</v>
      </c>
      <c r="CR399" s="4" t="e">
        <f t="shared" ref="CR399" ca="1" si="7091">MATCH(1,OFFSET(CQ395:CQ406,CS398,0,COUNT(CQ395:CQ406)-CS398),0)</f>
        <v>#REF!</v>
      </c>
      <c r="CS399" s="4" t="e">
        <f t="shared" ca="1" si="7032"/>
        <v>#REF!</v>
      </c>
      <c r="CT399" s="692" t="str">
        <f ca="1">IFERROR(VLOOKUP(INDEX(CP395:CP406,CS399),STM,2,FALSE),"----")</f>
        <v>----</v>
      </c>
      <c r="CU399" s="691" t="e">
        <f t="shared" ca="1" si="7033"/>
        <v>#N/A</v>
      </c>
      <c r="CV399" s="4" t="e">
        <f ca="1">IF(AND(INDEX(ELM,CU399,4)&gt;=$AB395,INDEX(ELM,CU399,5)&gt;=$S395,INDEX(ELM,CU399,6)&gt;=$R395),1,0)</f>
        <v>#N/A</v>
      </c>
      <c r="CW399" s="4" t="e">
        <f t="shared" ref="CW399" ca="1" si="7092">MATCH(1,OFFSET(CV395:CV406,CX398,0,COUNT(CV395:CV406)-CX398),0)</f>
        <v>#REF!</v>
      </c>
      <c r="CX399" s="4" t="e">
        <f t="shared" ca="1" si="7035"/>
        <v>#REF!</v>
      </c>
      <c r="CY399" s="692" t="str">
        <f ca="1">IFERROR(VLOOKUP(INDEX(CU395:CU406,CX399),ELM,2,FALSE),"----")</f>
        <v>----</v>
      </c>
      <c r="CZ399" s="691" t="e">
        <f t="shared" ca="1" si="7036"/>
        <v>#N/A</v>
      </c>
      <c r="DA399" s="4" t="e">
        <f ca="1">IF(LEFT($J395,7)="Clad Wo",IF(AND(INDEX(SPPWS,CZ399,4)&gt;=$AB395,INDEX(SPPWS,CZ399,5)&gt;=$S395,INDEX(SPPWS,CZ399,6)&gt;=$R395),1,0),IF(AND(INDEX(SPM,CZ399,4)&gt;=$AB395,INDEX(SPM,CZ399,5)&gt;=$S395,INDEX(SPM,CZ399,6)&gt;=$R395),1,0))</f>
        <v>#N/A</v>
      </c>
      <c r="DB399" s="4" t="e">
        <f t="shared" ref="DB399" ca="1" si="7093">MATCH(1,OFFSET(DA395:DA406,DC398,0,COUNT(DA395:DA406)-DC398),0)</f>
        <v>#REF!</v>
      </c>
      <c r="DC399" s="4" t="e">
        <f t="shared" ca="1" si="7038"/>
        <v>#REF!</v>
      </c>
      <c r="DD399" s="693" t="str">
        <f ca="1">IF(LEFT($J395,7)="Clad Wo",IFERROR(VLOOKUP(INDEX(CZ395:CZ406,DC399),SPPWS,2,FALSE),"----"),IFERROR(VLOOKUP(INDEX(CZ395:CZ406,DC399),SPM,2,FALSE),"----"))</f>
        <v>----</v>
      </c>
      <c r="DE399" s="691" t="e">
        <f t="shared" ca="1" si="7039"/>
        <v>#REF!</v>
      </c>
      <c r="DF399" s="4" t="e" cm="1">
        <f t="array" aca="1" ref="DF399" ca="1">IF(AND(INDEX(INDIRECT(BY395),DE399,4)&gt;=$AB401,INDEX(INDIRECT(BY395),DE399,5)&gt;=$S395,INDEX(INDIRECT(BY395),DE399,6)&gt;=$R395),1,0)</f>
        <v>#REF!</v>
      </c>
      <c r="DG399" s="4" t="e">
        <f t="shared" ref="DG399" ca="1" si="7094">MATCH(1,OFFSET(DF395:DF406,DH398,0,COUNT(DF395:DF406)-DH398),0)</f>
        <v>#REF!</v>
      </c>
      <c r="DH399" s="4" t="e">
        <f t="shared" ca="1" si="7041"/>
        <v>#REF!</v>
      </c>
      <c r="DI399" s="692" t="str" cm="1">
        <f t="array" aca="1" ref="DI399" ca="1">IFERROR(VLOOKUP(INDEX(DE395:DE406,DH399),INDIRECT(BY395),2,FALSE),"----")</f>
        <v>----</v>
      </c>
      <c r="DJ399" s="691" t="e">
        <f t="shared" ca="1" si="7042"/>
        <v>#N/A</v>
      </c>
      <c r="DK399" s="4" t="e">
        <f ca="1">IF(AND(INDEX(SSM,DJ399,4)&gt;=$AB401,INDEX(SSM,DJ399,5)&gt;=$S395,INDEX(SSM,DJ399,6)&gt;=$R395),1,0)</f>
        <v>#N/A</v>
      </c>
      <c r="DL399" s="4" t="e">
        <f t="shared" ref="DL399" ca="1" si="7095">MATCH(1,OFFSET(DK395:DK406,DM398,0,COUNT(DK395:DK406)-DM398),0)</f>
        <v>#REF!</v>
      </c>
      <c r="DM399" s="4" t="e">
        <f t="shared" ca="1" si="7044"/>
        <v>#REF!</v>
      </c>
      <c r="DN399" s="692" t="str">
        <f ca="1">IFERROR(IF(AD402="Nested Steel Stud (wood infill)",VLOOKUP(INDEX(DJ395:DJ406,DM399),SSW,2,FALSE),VLOOKUP(INDEX(DJ395:DJ406,DM399),SSM,2,FALSE)),"----")</f>
        <v>----</v>
      </c>
      <c r="DO399" s="691" t="e">
        <f t="shared" ca="1" si="7045"/>
        <v>#N/A</v>
      </c>
      <c r="DP399" s="4" t="e">
        <f ca="1">IF(AND(INDEX(WSM,DO399,4)&gt;=$AB401,INDEX(WSM,DO399,5)&gt;=$S395,INDEX(WSM,DO399,6)&gt;=$R395),1,0)</f>
        <v>#N/A</v>
      </c>
      <c r="DQ399" s="4" t="e">
        <f t="shared" ref="DQ399" ca="1" si="7096">MATCH(1,OFFSET(DP395:DP406,DR398,0,COUNT(DP395:DP406)-DR398),0)</f>
        <v>#REF!</v>
      </c>
      <c r="DR399" s="4" t="e">
        <f t="shared" ca="1" si="7047"/>
        <v>#REF!</v>
      </c>
      <c r="DS399" s="692" t="str">
        <f ca="1">IFERROR(VLOOKUP(INDEX(DO395:DO406,DR399),WSM,2,FALSE),"----")</f>
        <v>----</v>
      </c>
      <c r="DT399" s="691" t="e">
        <f t="shared" ca="1" si="7048"/>
        <v>#N/A</v>
      </c>
      <c r="DU399" s="4" t="e">
        <f ca="1">IF(AND(INDEX(STM,DT399,4)&gt;=$AB401,INDEX(STM,DT399,5)&gt;=$S395,INDEX(STM,DT399,6)&gt;=$R395),1,0)</f>
        <v>#N/A</v>
      </c>
      <c r="DV399" s="4" t="e">
        <f t="shared" ref="DV399" ca="1" si="7097">MATCH(1,OFFSET(DU395:DU406,DW398,0,COUNT(DU395:DU406)-DW398),0)</f>
        <v>#REF!</v>
      </c>
      <c r="DW399" s="4" t="e">
        <f t="shared" ca="1" si="7050"/>
        <v>#REF!</v>
      </c>
      <c r="DX399" s="692" t="str">
        <f ca="1">IFERROR(VLOOKUP(INDEX(DT395:DT406,DW399),STM,2,FALSE),"----")</f>
        <v>----</v>
      </c>
      <c r="DY399" s="691" t="e">
        <f t="shared" ca="1" si="7051"/>
        <v>#N/A</v>
      </c>
      <c r="DZ399" s="4" t="e">
        <f ca="1">IF(AND(INDEX(ELM,DY399,4)&gt;=$AB401,INDEX(ELM,DY399,5)&gt;=$S395,INDEX(ELM,DY399,6)&gt;=$R395),1,0)</f>
        <v>#N/A</v>
      </c>
      <c r="EA399" s="4" t="e">
        <f t="shared" ref="EA399" ca="1" si="7098">MATCH(1,OFFSET(DZ395:DZ406,EB398,0,COUNT(DZ395:DZ406)-EB398),0)</f>
        <v>#REF!</v>
      </c>
      <c r="EB399" s="4" t="e">
        <f t="shared" ca="1" si="7053"/>
        <v>#REF!</v>
      </c>
      <c r="EC399" s="692" t="str">
        <f ca="1">IFERROR(VLOOKUP(INDEX(DY395:DY406,EB399),ELM,2,FALSE),"----")</f>
        <v>----</v>
      </c>
      <c r="ED399" s="691" t="e">
        <f t="shared" ca="1" si="7054"/>
        <v>#N/A</v>
      </c>
      <c r="EE399" s="4" t="e">
        <f ca="1">IF(LEFT($J395,7)="Clad Wo",IF(AND(INDEX(SPPWS,ED399,4)&gt;=$AB401,INDEX(SPPWS,ED399,5)&gt;=$S395,INDEX(SPPWS,ED399,6)&gt;=$R395),1,0),IF(AND(INDEX(SPM,ED399,4)&gt;=$AB401,INDEX(SPM,ED399,5)&gt;=$S395,INDEX(SPM,ED399,6)&gt;=$R395),1,0))</f>
        <v>#N/A</v>
      </c>
      <c r="EF399" s="4" t="e">
        <f t="shared" ref="EF399" ca="1" si="7099">MATCH(1,OFFSET(EE395:EE406,EG398,0,COUNT(EE395:EE406)-EG398),0)</f>
        <v>#REF!</v>
      </c>
      <c r="EG399" s="4" t="e">
        <f t="shared" ca="1" si="7056"/>
        <v>#REF!</v>
      </c>
      <c r="EH399" s="692" t="str">
        <f ca="1">IF(LEFT($J395,7)="Clad Wo",IFERROR(VLOOKUP(INDEX(ED395:ED406,EG399),SPPWS,2,FALSE),"----"),IFERROR(VLOOKUP(INDEX(ED395:ED406,EG399),SPM,2,FALSE),"----"))</f>
        <v>----</v>
      </c>
    </row>
    <row r="400" spans="1:138" ht="15" customHeight="1" thickBot="1" x14ac:dyDescent="0.3">
      <c r="A400" s="1085"/>
      <c r="B400" s="934"/>
      <c r="C400" s="935"/>
      <c r="D400" s="936"/>
      <c r="E400" s="995"/>
      <c r="F400" s="996"/>
      <c r="G400" s="997"/>
      <c r="H400" s="1062"/>
      <c r="I400" s="990"/>
      <c r="J400" s="908"/>
      <c r="K400" s="909"/>
      <c r="L400" s="1010"/>
      <c r="M400" s="924"/>
      <c r="N400" s="1044"/>
      <c r="O400" s="1018"/>
      <c r="P400" s="987"/>
      <c r="Q400" s="1015"/>
      <c r="R400" s="1012"/>
      <c r="S400" s="1006"/>
      <c r="T400" s="1007"/>
      <c r="U400" s="878"/>
      <c r="V400" s="881"/>
      <c r="W400" s="889"/>
      <c r="X400" s="884"/>
      <c r="Y400" s="890"/>
      <c r="Z400" s="890"/>
      <c r="AA400" s="887"/>
      <c r="AB400" s="1084"/>
      <c r="AC400" s="1079"/>
      <c r="AD400" s="1072" t="str">
        <f t="shared" ref="AD400" si="7100">IF(LEFT(J395,7)="Clad Wo","Pella Wood Spr / Steel Pte","Steel Plate")</f>
        <v>Steel Plate</v>
      </c>
      <c r="AE400" s="1073"/>
      <c r="AF400" s="1054"/>
      <c r="AG400" s="1055"/>
      <c r="AH400" s="1055"/>
      <c r="AI400" s="1092"/>
      <c r="AJ400" s="1093"/>
      <c r="AK400" s="159" t="str">
        <f t="shared" ca="1" si="6208"/>
        <v/>
      </c>
      <c r="AL400" s="1040"/>
      <c r="AM400" s="345" t="str">
        <f ca="1">IFERROR(Q395/12*ROUND(VLOOKUP(AF400,OFFSET(SPM,0,1),6,FALSE),2),"")</f>
        <v/>
      </c>
      <c r="AN400" t="str">
        <f t="shared" ca="1" si="6226"/>
        <v/>
      </c>
      <c r="AP400" s="699" t="str">
        <f t="shared" ref="AP400" si="7101">_xlfn.CONCAT(AR400,AS400)</f>
        <v/>
      </c>
      <c r="AQ400" s="700" t="str">
        <f t="shared" si="6434"/>
        <v/>
      </c>
      <c r="AR400" s="160" t="str">
        <f t="shared" si="6193"/>
        <v/>
      </c>
      <c r="AS400" s="160" t="str">
        <f>IFERROR(VLOOKUP(J403, WallType,2,FALSE),"")</f>
        <v/>
      </c>
      <c r="AT400" s="701" t="str">
        <f>AL395</f>
        <v/>
      </c>
      <c r="AU400" s="694" t="e">
        <f t="shared" ca="1" si="6450"/>
        <v>#REF!</v>
      </c>
      <c r="AV400" s="698" t="str">
        <f ca="1">IFERROR(VLOOKUP(AU400,INDIRECT(AQ395),2,FALSE),"----")</f>
        <v>----</v>
      </c>
      <c r="AW400" s="702" t="e">
        <f t="shared" ca="1" si="6451"/>
        <v>#REF!</v>
      </c>
      <c r="AX400" s="698" t="str">
        <f ca="1">IFERROR(VLOOKUP(AW400,INDIRECT(AQ396),2,FALSE),"----")</f>
        <v>----</v>
      </c>
      <c r="AY400" s="702" t="e">
        <f t="shared" ref="AY400" ca="1" si="7102">AY399-1</f>
        <v>#REF!</v>
      </c>
      <c r="AZ400" s="698" t="str">
        <f ca="1">IFERROR(VLOOKUP(AY400,INDIRECT(AQ397),2,FALSE),"----")</f>
        <v>----</v>
      </c>
      <c r="BA400" s="702" t="e">
        <f t="shared" ref="BA400" ca="1" si="7103">BA399-1</f>
        <v>#REF!</v>
      </c>
      <c r="BB400" s="698" t="str">
        <f ca="1">IFERROR(VLOOKUP(BA400,INDIRECT(AQ398),2,FALSE),"----")</f>
        <v>----</v>
      </c>
      <c r="BC400" s="702" t="e">
        <f t="shared" ca="1" si="6452"/>
        <v>#REF!</v>
      </c>
      <c r="BD400" s="698" t="str">
        <f ca="1">IFERROR(VLOOKUP(BC400,INDIRECT(AQ399),2,FALSE),"----")</f>
        <v>----</v>
      </c>
      <c r="BE400" s="702" t="e">
        <f t="shared" ca="1" si="6453"/>
        <v>#REF!</v>
      </c>
      <c r="BF400" s="698" t="str">
        <f ca="1">IFERROR(VLOOKUP(BE400,INDIRECT(AQ400),2,FALSE),"----")</f>
        <v>----</v>
      </c>
      <c r="BG400" s="702" t="e">
        <f t="shared" ca="1" si="6454"/>
        <v>#REF!</v>
      </c>
      <c r="BH400" s="686" t="str">
        <f ca="1">IFERROR(VLOOKUP(BG400,INDIRECT(AQ401),2,FALSE),"----")</f>
        <v>----</v>
      </c>
      <c r="BI400" s="702" t="e">
        <f t="shared" ca="1" si="6455"/>
        <v>#REF!</v>
      </c>
      <c r="BJ400" s="686" t="str">
        <f ca="1">IFERROR(VLOOKUP(BI400,INDIRECT(AQ402),2,FALSE),"----")</f>
        <v>----</v>
      </c>
      <c r="BK400" s="702" t="e">
        <f t="shared" ca="1" si="6456"/>
        <v>#REF!</v>
      </c>
      <c r="BL400" s="686" t="str">
        <f ca="1">IFERROR(VLOOKUP(BK400,INDIRECT(AQ403),2,FALSE),"----")</f>
        <v>----</v>
      </c>
      <c r="BM400" s="702" t="e">
        <f t="shared" ca="1" si="6457"/>
        <v>#REF!</v>
      </c>
      <c r="BN400" s="686" t="str">
        <f ca="1">IFERROR(VLOOKUP(BM400,INDIRECT(AQ404),2,FALSE),"----")</f>
        <v>----</v>
      </c>
      <c r="BO400" s="702" t="e">
        <f t="shared" ca="1" si="6458"/>
        <v>#REF!</v>
      </c>
      <c r="BP400" s="686" t="str">
        <f ca="1">IFERROR(VLOOKUP(BO400,INDIRECT(AQ405),2,FALSE),"----")</f>
        <v>----</v>
      </c>
      <c r="BQ400" s="702" t="e">
        <f t="shared" ca="1" si="6459"/>
        <v>#REF!</v>
      </c>
      <c r="BR400" s="686" t="str">
        <f ca="1">IFERROR(VLOOKUP(BQ400,INDIRECT(AQ406),2,FALSE),"----")</f>
        <v>----</v>
      </c>
      <c r="BS400" s="703">
        <f>IF(AI400="",1,IF(COUNTIF(BF395:BF406,AI400)=0,2,1))</f>
        <v>1</v>
      </c>
      <c r="BT400" s="704">
        <f>IF(AF400="",1,IF(BF395=".",2,1))</f>
        <v>1</v>
      </c>
      <c r="BV400" s="155">
        <f ca="1">IF(COUNTIF(DD395:DD406,AF400)=0,IF(AF400&lt;&gt;"",0,1),1)</f>
        <v>1</v>
      </c>
      <c r="BW400" s="157">
        <f ca="1">IFERROR(MATCH(AF400,DD395:DD406,0),1)</f>
        <v>1</v>
      </c>
      <c r="BX400" s="875" t="s">
        <v>1594</v>
      </c>
      <c r="BY400" s="876"/>
      <c r="BZ400" s="1110"/>
      <c r="CA400" s="691" t="e">
        <f t="shared" ca="1" si="7021"/>
        <v>#REF!</v>
      </c>
      <c r="CB400" s="4" t="e" cm="1">
        <f t="array" aca="1" ref="CB400" ca="1">IF(AND(INDEX(INDIRECT(BY395),CA400,4)&gt;=$AB395,INDEX(INDIRECT(BY395),CA400,5)&gt;=$S395,INDEX(INDIRECT(BY395),CA400,6)&gt;=$R395),1,0)</f>
        <v>#REF!</v>
      </c>
      <c r="CC400" s="4" t="e">
        <f t="shared" ref="CC400" ca="1" si="7104">MATCH(1,OFFSET(CB395:CB406,CD399,0,COUNT(CB395:CB406)-CD399),0)</f>
        <v>#REF!</v>
      </c>
      <c r="CD400" s="4" t="e">
        <f t="shared" ca="1" si="7023"/>
        <v>#REF!</v>
      </c>
      <c r="CE400" s="692" t="str" cm="1">
        <f t="array" aca="1" ref="CE400" ca="1">IFERROR(VLOOKUP(INDEX(CA395:CA406,CD400),INDIRECT(BY395),2,FALSE),"----")</f>
        <v>----</v>
      </c>
      <c r="CF400" s="691" t="e">
        <f t="shared" ca="1" si="7024"/>
        <v>#N/A</v>
      </c>
      <c r="CG400" s="4" t="e">
        <f ca="1">IF(AND(INDEX(SSM,CF400,4)&gt;=$AB395,INDEX(SSM,CF400,5)&gt;=$S395,INDEX(SSM,CF400,6)&gt;=$R395),1,0)</f>
        <v>#N/A</v>
      </c>
      <c r="CH400" s="4" t="e">
        <f t="shared" ref="CH400" ca="1" si="7105">MATCH(1,OFFSET(CG395:CG406,CI399,0,COUNT(CG395:CG406)-CI399),0)</f>
        <v>#REF!</v>
      </c>
      <c r="CI400" s="4" t="e">
        <f t="shared" ca="1" si="7026"/>
        <v>#REF!</v>
      </c>
      <c r="CJ400" s="692" t="str">
        <f ca="1">IFERROR(IF(AD396="Nested Steel Stud (wood infill)",VLOOKUP(INDEX(CF395:CF406,CI400),SSW,2,FALSE),VLOOKUP(INDEX(CF395:CF406,CI400),SSM,2,FALSE)),"----")</f>
        <v>----</v>
      </c>
      <c r="CK400" s="691" t="e">
        <f t="shared" ca="1" si="7027"/>
        <v>#N/A</v>
      </c>
      <c r="CL400" s="4" t="e">
        <f ca="1">IF(AND(INDEX(WSM,CK400,4)&gt;=$AB395,INDEX(WSM,CK400,5)&gt;=$S395,INDEX(WSM,CK400,6)&gt;=$R395),1,0)</f>
        <v>#N/A</v>
      </c>
      <c r="CM400" s="4" t="e">
        <f t="shared" ref="CM400" ca="1" si="7106">MATCH(1,OFFSET(CL395:CL406,CN399,0,COUNT(CL395:CL406)-CN399),0)</f>
        <v>#REF!</v>
      </c>
      <c r="CN400" s="4" t="e">
        <f t="shared" ca="1" si="7029"/>
        <v>#REF!</v>
      </c>
      <c r="CO400" s="692" t="str">
        <f ca="1">IFERROR(VLOOKUP(INDEX(CK395:CK406,CN400),WSM,2,FALSE),"----")</f>
        <v>----</v>
      </c>
      <c r="CP400" s="691" t="e">
        <f t="shared" ca="1" si="7030"/>
        <v>#N/A</v>
      </c>
      <c r="CQ400" s="4" t="e">
        <f ca="1">IF(AND(INDEX(STM,CP400,4)&gt;=$AB395,INDEX(STM,CP400,5)&gt;=$S395,INDEX(STM,CP400,6)&gt;=$R395),1,0)</f>
        <v>#N/A</v>
      </c>
      <c r="CR400" s="4" t="e">
        <f t="shared" ref="CR400" ca="1" si="7107">MATCH(1,OFFSET(CQ395:CQ406,CS399,0,COUNT(CQ395:CQ406)-CS399),0)</f>
        <v>#REF!</v>
      </c>
      <c r="CS400" s="4" t="e">
        <f t="shared" ca="1" si="7032"/>
        <v>#REF!</v>
      </c>
      <c r="CT400" s="692" t="str">
        <f ca="1">IFERROR(VLOOKUP(INDEX(CP395:CP406,CS400),STM,2,FALSE),"----")</f>
        <v>----</v>
      </c>
      <c r="CU400" s="691" t="e">
        <f t="shared" ca="1" si="7033"/>
        <v>#N/A</v>
      </c>
      <c r="CV400" s="4" t="e">
        <f ca="1">IF(AND(INDEX(ELM,CU400,4)&gt;=$AB395,INDEX(ELM,CU400,5)&gt;=$S395,INDEX(ELM,CU400,6)&gt;=$R395),1,0)</f>
        <v>#N/A</v>
      </c>
      <c r="CW400" s="4" t="e">
        <f t="shared" ref="CW400" ca="1" si="7108">MATCH(1,OFFSET(CV395:CV406,CX399,0,COUNT(CV395:CV406)-CX399),0)</f>
        <v>#REF!</v>
      </c>
      <c r="CX400" s="4" t="e">
        <f t="shared" ca="1" si="7035"/>
        <v>#REF!</v>
      </c>
      <c r="CY400" s="692" t="str">
        <f ca="1">IFERROR(VLOOKUP(INDEX(CU395:CU406,CX400),ELM,2,FALSE),"----")</f>
        <v>----</v>
      </c>
      <c r="CZ400" s="691" t="e">
        <f t="shared" ca="1" si="7036"/>
        <v>#N/A</v>
      </c>
      <c r="DA400" s="4" t="e">
        <f ca="1">IF(LEFT($J395,7)="Clad Wo",IF(AND(INDEX(SPPWS,CZ400,4)&gt;=$AB395,INDEX(SPPWS,CZ400,5)&gt;=$S395,INDEX(SPPWS,CZ400,6)&gt;=$R395),1,0),IF(AND(INDEX(SPM,CZ400,4)&gt;=$AB395,INDEX(SPM,CZ400,5)&gt;=$S395,INDEX(SPM,CZ400,6)&gt;=$R395),1,0))</f>
        <v>#N/A</v>
      </c>
      <c r="DB400" s="4" t="e">
        <f t="shared" ref="DB400" ca="1" si="7109">MATCH(1,OFFSET(DA395:DA406,DC399,0,COUNT(DA395:DA406)-DC399),0)</f>
        <v>#REF!</v>
      </c>
      <c r="DC400" s="4" t="e">
        <f t="shared" ca="1" si="7038"/>
        <v>#REF!</v>
      </c>
      <c r="DD400" s="693" t="str">
        <f ca="1">IF(LEFT($J395,7)="Clad Wo",IFERROR(VLOOKUP(INDEX(CZ395:CZ406,DC400),SPPWS,2,FALSE),"----"),IFERROR(VLOOKUP(INDEX(CZ395:CZ406,DC400),SPM,2,FALSE),"----"))</f>
        <v>----</v>
      </c>
      <c r="DE400" s="691" t="e">
        <f t="shared" ca="1" si="7039"/>
        <v>#REF!</v>
      </c>
      <c r="DF400" s="4" t="e" cm="1">
        <f t="array" aca="1" ref="DF400" ca="1">IF(AND(INDEX(INDIRECT(BY395),DE400,4)&gt;=$AB401,INDEX(INDIRECT(BY395),DE400,5)&gt;=$S395,INDEX(INDIRECT(BY395),DE400,6)&gt;=$R395),1,0)</f>
        <v>#REF!</v>
      </c>
      <c r="DG400" s="4" t="e">
        <f t="shared" ref="DG400" ca="1" si="7110">MATCH(1,OFFSET(DF395:DF406,DH399,0,COUNT(DF395:DF406)-DH399),0)</f>
        <v>#REF!</v>
      </c>
      <c r="DH400" s="4" t="e">
        <f t="shared" ca="1" si="7041"/>
        <v>#REF!</v>
      </c>
      <c r="DI400" s="692" t="str" cm="1">
        <f t="array" aca="1" ref="DI400" ca="1">IFERROR(VLOOKUP(INDEX(DE395:DE406,DH400),INDIRECT(BY395),2,FALSE),"----")</f>
        <v>----</v>
      </c>
      <c r="DJ400" s="691" t="e">
        <f t="shared" ca="1" si="7042"/>
        <v>#N/A</v>
      </c>
      <c r="DK400" s="4" t="e">
        <f ca="1">IF(AND(INDEX(SSM,DJ400,4)&gt;=$AB401,INDEX(SSM,DJ400,5)&gt;=$S395,INDEX(SSM,DJ400,6)&gt;=$R395),1,0)</f>
        <v>#N/A</v>
      </c>
      <c r="DL400" s="4" t="e">
        <f t="shared" ref="DL400" ca="1" si="7111">MATCH(1,OFFSET(DK395:DK406,DM399,0,COUNT(DK395:DK406)-DM399),0)</f>
        <v>#REF!</v>
      </c>
      <c r="DM400" s="4" t="e">
        <f t="shared" ca="1" si="7044"/>
        <v>#REF!</v>
      </c>
      <c r="DN400" s="692" t="str">
        <f ca="1">IFERROR(IF(AD402="Nested Steel Stud (wood infill)",VLOOKUP(INDEX(DJ395:DJ406,DM400),SSW,2,FALSE),VLOOKUP(INDEX(DJ395:DJ406,DM400),SSM,2,FALSE)),"----")</f>
        <v>----</v>
      </c>
      <c r="DO400" s="691" t="e">
        <f t="shared" ca="1" si="7045"/>
        <v>#N/A</v>
      </c>
      <c r="DP400" s="4" t="e">
        <f ca="1">IF(AND(INDEX(WSM,DO400,4)&gt;=$AB401,INDEX(WSM,DO400,5)&gt;=$S395,INDEX(WSM,DO400,6)&gt;=$R395),1,0)</f>
        <v>#N/A</v>
      </c>
      <c r="DQ400" s="4" t="e">
        <f t="shared" ref="DQ400" ca="1" si="7112">MATCH(1,OFFSET(DP395:DP406,DR399,0,COUNT(DP395:DP406)-DR399),0)</f>
        <v>#REF!</v>
      </c>
      <c r="DR400" s="4" t="e">
        <f t="shared" ca="1" si="7047"/>
        <v>#REF!</v>
      </c>
      <c r="DS400" s="692" t="str">
        <f ca="1">IFERROR(VLOOKUP(INDEX(DO395:DO406,DR400),WSM,2,FALSE),"----")</f>
        <v>----</v>
      </c>
      <c r="DT400" s="691" t="e">
        <f t="shared" ca="1" si="7048"/>
        <v>#N/A</v>
      </c>
      <c r="DU400" s="4" t="e">
        <f ca="1">IF(AND(INDEX(STM,DT400,4)&gt;=$AB401,INDEX(STM,DT400,5)&gt;=$S395,INDEX(STM,DT400,6)&gt;=$R395),1,0)</f>
        <v>#N/A</v>
      </c>
      <c r="DV400" s="4" t="e">
        <f t="shared" ref="DV400" ca="1" si="7113">MATCH(1,OFFSET(DU395:DU406,DW399,0,COUNT(DU395:DU406)-DW399),0)</f>
        <v>#REF!</v>
      </c>
      <c r="DW400" s="4" t="e">
        <f t="shared" ca="1" si="7050"/>
        <v>#REF!</v>
      </c>
      <c r="DX400" s="692" t="str">
        <f ca="1">IFERROR(VLOOKUP(INDEX(DT395:DT406,DW400),STM,2,FALSE),"----")</f>
        <v>----</v>
      </c>
      <c r="DY400" s="691" t="e">
        <f t="shared" ca="1" si="7051"/>
        <v>#N/A</v>
      </c>
      <c r="DZ400" s="4" t="e">
        <f ca="1">IF(AND(INDEX(ELM,DY400,4)&gt;=$AB401,INDEX(ELM,DY400,5)&gt;=$S395,INDEX(ELM,DY400,6)&gt;=$R395),1,0)</f>
        <v>#N/A</v>
      </c>
      <c r="EA400" s="4" t="e">
        <f t="shared" ref="EA400" ca="1" si="7114">MATCH(1,OFFSET(DZ395:DZ406,EB399,0,COUNT(DZ395:DZ406)-EB399),0)</f>
        <v>#REF!</v>
      </c>
      <c r="EB400" s="4" t="e">
        <f t="shared" ca="1" si="7053"/>
        <v>#REF!</v>
      </c>
      <c r="EC400" s="692" t="str">
        <f ca="1">IFERROR(VLOOKUP(INDEX(DY395:DY406,EB400),ELM,2,FALSE),"----")</f>
        <v>----</v>
      </c>
      <c r="ED400" s="691" t="e">
        <f t="shared" ca="1" si="7054"/>
        <v>#N/A</v>
      </c>
      <c r="EE400" s="4" t="e">
        <f ca="1">IF(LEFT($J395,7)="Clad Wo",IF(AND(INDEX(SPPWS,ED400,4)&gt;=$AB401,INDEX(SPPWS,ED400,5)&gt;=$S395,INDEX(SPPWS,ED400,6)&gt;=$R395),1,0),IF(AND(INDEX(SPM,ED400,4)&gt;=$AB401,INDEX(SPM,ED400,5)&gt;=$S395,INDEX(SPM,ED400,6)&gt;=$R395),1,0))</f>
        <v>#N/A</v>
      </c>
      <c r="EF400" s="4" t="e">
        <f t="shared" ref="EF400" ca="1" si="7115">MATCH(1,OFFSET(EE395:EE406,EG399,0,COUNT(EE395:EE406)-EG399),0)</f>
        <v>#REF!</v>
      </c>
      <c r="EG400" s="4" t="e">
        <f t="shared" ca="1" si="7056"/>
        <v>#REF!</v>
      </c>
      <c r="EH400" s="692" t="str">
        <f ca="1">IF(LEFT($J395,7)="Clad Wo",IFERROR(VLOOKUP(INDEX(ED395:ED406,EG400),SPPWS,2,FALSE),"----"),IFERROR(VLOOKUP(INDEX(ED395:ED406,EG400),SPM,2,FALSE),"----"))</f>
        <v>----</v>
      </c>
    </row>
    <row r="401" spans="1:138" ht="15" customHeight="1" x14ac:dyDescent="0.25">
      <c r="A401" s="1085"/>
      <c r="B401" s="925" t="s">
        <v>409</v>
      </c>
      <c r="C401" s="926"/>
      <c r="D401" s="927"/>
      <c r="E401" s="995"/>
      <c r="F401" s="996"/>
      <c r="G401" s="997"/>
      <c r="H401" s="1062"/>
      <c r="I401" s="990"/>
      <c r="J401" s="908"/>
      <c r="K401" s="909"/>
      <c r="L401" s="1001">
        <f>L395+1</f>
        <v>5</v>
      </c>
      <c r="M401" s="1064" t="str">
        <f t="shared" ref="M401" si="7116">IFERROR(IF($AE$17="",IF($AG$19="Wind Loading",MIN($V$31,IF(E$11="ASCE 7-05",$U$26,$V$7)*$V$9*(IF($E$12&lt;60,0.156*LN(MAX(MIN(500,O395),10)) -1.7618,IF($E$11="ASCE 7-22", 0.2026*LN(MAX(MIN(500,O395),20))-2.2638,0.2503*LN(MAX(MIN(500,O395),20)) -2.5526))-$V$8)),$V$7*IF(E$12&lt;60,$V$13*($V$15*(0.156*LN(MAX(MIN(500,O395),10)) -1.7618)-$V$16),$V$13*$V$15*((0.2026*LN(MAX(MIN(500,O395),20))-2.2638)-$V$16))),-ABS($AE$17)),"")</f>
        <v/>
      </c>
      <c r="N401" s="1041" t="str">
        <f t="shared" ref="N401" si="7117">IFERROR(IF($AE$19="",IF($AG$19="Wind Loading",MAX($U$31,IF(E$11="ASCE 7-05",$U$26,$V$7)*$V$9*((IF($E$12&lt;60,-0.077*LN(MAX(MIN(500,O395),10))+1.1737,IF($E$11="ASCE 7-22",-0.077*LN(MAX(MIN(500,O395),20))+1.0798,-0.093*LN(MAX(MIN(500,O395),20))+1.1776)))+$V$8)),$V$7*IF(E$12&lt;60,$V$13*($V$15*(-0.077*LN(MAX(MIN(500,O395),10))+1.1737)-$V$17),$V$13*$V$15*((-0.077*LN(MAX(MIN(500,O395),20))+1.0798)-$V$17))),ABS($AE$19)),"")</f>
        <v/>
      </c>
      <c r="O401" s="1018"/>
      <c r="P401" s="987"/>
      <c r="Q401" s="1015"/>
      <c r="R401" s="1012">
        <f>P401*Q401/8</f>
        <v>0</v>
      </c>
      <c r="S401" s="1006"/>
      <c r="T401" s="1007"/>
      <c r="U401" s="878"/>
      <c r="V401" s="881"/>
      <c r="W401" s="883" t="e">
        <f t="shared" ref="W401" si="7118">MAX(-M401,N401)*O395</f>
        <v>#VALUE!</v>
      </c>
      <c r="X401" s="884"/>
      <c r="Y401" s="886">
        <f>IFERROR(IF(AG$14="Trapezoidal",BY404,BX404)+IF($E$17="4",(400*E395^3)/(48*X395),0),0)</f>
        <v>0</v>
      </c>
      <c r="Z401" s="886" t="e">
        <f t="shared" ref="Z401" si="7119">+($V395*MAX(-$M401,$N401)*$E395^2)/(144*8)+IF($E$17=4,(400*$E395)/4,0)</f>
        <v>#VALUE!</v>
      </c>
      <c r="AA401" s="887"/>
      <c r="AB401" s="1080" t="str">
        <f t="shared" ref="AB401" ca="1" si="7120">IFERROR(Z401-AA395,"")</f>
        <v/>
      </c>
      <c r="AC401" s="1086" t="str">
        <f t="shared" ref="AC401" ca="1" si="7121">IFERROR(Y401-U395,"")</f>
        <v/>
      </c>
      <c r="AD401" s="1074" t="str">
        <f t="shared" ref="AD401" si="7122">AD395</f>
        <v/>
      </c>
      <c r="AE401" s="1075"/>
      <c r="AF401" s="1056"/>
      <c r="AG401" s="1057"/>
      <c r="AH401" s="1057"/>
      <c r="AI401" s="1088"/>
      <c r="AJ401" s="1089"/>
      <c r="AK401" s="162" t="str">
        <f t="shared" ca="1" si="6208"/>
        <v/>
      </c>
      <c r="AL401" s="1058" t="str">
        <f t="shared" ref="AL401" si="7123">IFERROR(ROUND(SQRT(P395^2+(W401/2+IF($E$17=4,200,0))^2),0),"")</f>
        <v/>
      </c>
      <c r="AM401" s="342" t="s">
        <v>669</v>
      </c>
      <c r="AN401" t="str">
        <f t="shared" ca="1" si="6226"/>
        <v/>
      </c>
      <c r="AP401" s="122" t="str">
        <f t="shared" ref="AP401" si="7124">_xlfn.CONCAT(AR401,AS406)</f>
        <v/>
      </c>
      <c r="AQ401" s="683" t="str">
        <f t="shared" si="6434"/>
        <v/>
      </c>
      <c r="AR401" s="96" t="str">
        <f t="shared" si="6193"/>
        <v/>
      </c>
      <c r="AS401" s="96" t="str">
        <f>IF(COUNTIF(imp_1,AF401)=1,"imp_1",IF(COUNTIF(imp_2,AF401)=1,"imp_2",IF(COUNTIF(imp_3,AF401)=1,"imp_3",IF(COUNTIF(impdoor,AF401)=1,"impdoor",""))))</f>
        <v/>
      </c>
      <c r="AT401" s="684" t="str">
        <f>AL401</f>
        <v/>
      </c>
      <c r="AU401" s="685" t="e">
        <f t="shared" ca="1" si="6450"/>
        <v>#REF!</v>
      </c>
      <c r="AV401" s="686" t="str">
        <f ca="1">IFERROR(VLOOKUP(AU401,INDIRECT(AQ395),2,FALSE),"----")</f>
        <v>----</v>
      </c>
      <c r="AW401" s="685" t="e">
        <f t="shared" ca="1" si="6451"/>
        <v>#REF!</v>
      </c>
      <c r="AX401" s="686" t="str">
        <f ca="1">IFERROR(VLOOKUP(AW401,INDIRECT(AQ396),2,FALSE),"----")</f>
        <v>----</v>
      </c>
      <c r="AY401" s="685" t="e">
        <f t="shared" ca="1" si="6866"/>
        <v>#REF!</v>
      </c>
      <c r="AZ401" s="686" t="str">
        <f ca="1">IFERROR(VLOOKUP(AY401,INDIRECT(AQ397),2,FALSE),"----")</f>
        <v>----</v>
      </c>
      <c r="BA401" s="685" t="e">
        <f t="shared" ca="1" si="6867"/>
        <v>#REF!</v>
      </c>
      <c r="BB401" s="686" t="str">
        <f ca="1">IFERROR(VLOOKUP(BA401,INDIRECT(AQ398),2,FALSE),"----")</f>
        <v>----</v>
      </c>
      <c r="BC401" s="685" t="e">
        <f t="shared" ca="1" si="6452"/>
        <v>#REF!</v>
      </c>
      <c r="BD401" s="686" t="str">
        <f ca="1">IFERROR(VLOOKUP(BC401,INDIRECT(AQ399),2,FALSE),"----")</f>
        <v>----</v>
      </c>
      <c r="BE401" s="685" t="e">
        <f t="shared" ca="1" si="6453"/>
        <v>#REF!</v>
      </c>
      <c r="BF401" s="686" t="str">
        <f ca="1">IFERROR(VLOOKUP(BE401,INDIRECT(AQ400),2,FALSE),"----")</f>
        <v>----</v>
      </c>
      <c r="BG401" s="702" t="e">
        <f t="shared" ca="1" si="6454"/>
        <v>#REF!</v>
      </c>
      <c r="BH401" s="686" t="str">
        <f ca="1">IFERROR(VLOOKUP(BG401,INDIRECT(AQ401),2,FALSE),"----")</f>
        <v>----</v>
      </c>
      <c r="BI401" s="702" t="e">
        <f t="shared" ca="1" si="6455"/>
        <v>#REF!</v>
      </c>
      <c r="BJ401" s="686" t="str">
        <f ca="1">IFERROR(VLOOKUP(BI401,INDIRECT(AQ402),2,FALSE),"----")</f>
        <v>----</v>
      </c>
      <c r="BK401" s="702" t="e">
        <f t="shared" ca="1" si="6456"/>
        <v>#REF!</v>
      </c>
      <c r="BL401" s="686" t="str">
        <f ca="1">IFERROR(VLOOKUP(BK401,INDIRECT(AQ403),2,FALSE),"----")</f>
        <v>----</v>
      </c>
      <c r="BM401" s="702" t="e">
        <f t="shared" ca="1" si="6457"/>
        <v>#REF!</v>
      </c>
      <c r="BN401" s="686" t="str">
        <f ca="1">IFERROR(VLOOKUP(BM401,INDIRECT(AQ404),2,FALSE),"----")</f>
        <v>----</v>
      </c>
      <c r="BO401" s="702" t="e">
        <f t="shared" ca="1" si="6458"/>
        <v>#REF!</v>
      </c>
      <c r="BP401" s="686" t="str">
        <f ca="1">IFERROR(VLOOKUP(BO401,INDIRECT(AQ405),2,FALSE),"----")</f>
        <v>----</v>
      </c>
      <c r="BQ401" s="702" t="e">
        <f t="shared" ca="1" si="6459"/>
        <v>#REF!</v>
      </c>
      <c r="BR401" s="686" t="str">
        <f ca="1">IFERROR(VLOOKUP(BQ401,INDIRECT(AQ406),2,FALSE),"----")</f>
        <v>----</v>
      </c>
      <c r="BS401" s="695">
        <f>IF(AI401="",1,IF(COUNTIF(BH395:BH406,AI401)=0,2,1))</f>
        <v>1</v>
      </c>
      <c r="BT401" s="696">
        <f>IF(AP401="1",1,IF(AF401="",1,IF(BH395=".",2,1)))</f>
        <v>1</v>
      </c>
      <c r="BU401" s="706"/>
      <c r="BV401" s="155">
        <f ca="1">IF(COUNTIF(DI395:DI406,AF401)=0,IF(AF401&lt;&gt;"",0,1),1)</f>
        <v>1</v>
      </c>
      <c r="BW401" s="157">
        <f ca="1">IFERROR(MATCH(AF401,DI395:DI406,0),1)</f>
        <v>1</v>
      </c>
      <c r="BX401" s="769" t="s">
        <v>1593</v>
      </c>
      <c r="BY401" s="769" t="s">
        <v>1629</v>
      </c>
      <c r="BZ401" s="1110"/>
      <c r="CA401" s="691" t="e">
        <f t="shared" ca="1" si="7021"/>
        <v>#REF!</v>
      </c>
      <c r="CB401" s="4" t="e" cm="1">
        <f t="array" aca="1" ref="CB401" ca="1">IF(AND(INDEX(INDIRECT(BY395),CA401,4)&gt;=$AB395,INDEX(INDIRECT(BY395),CA401,5)&gt;=$S395,INDEX(INDIRECT(BY395),CA401,6)&gt;=$R395),1,0)</f>
        <v>#REF!</v>
      </c>
      <c r="CC401" s="4" t="e">
        <f t="shared" ref="CC401" ca="1" si="7125">MATCH(1,OFFSET(CB395:CB406,CD400,0,COUNT(CB395:CB406)-CD400),0)</f>
        <v>#REF!</v>
      </c>
      <c r="CD401" s="4" t="e">
        <f t="shared" ca="1" si="7023"/>
        <v>#REF!</v>
      </c>
      <c r="CE401" s="692" t="str" cm="1">
        <f t="array" aca="1" ref="CE401" ca="1">IFERROR(VLOOKUP(INDEX(CA395:CA406,CD401),INDIRECT(BY395),2,FALSE),"----")</f>
        <v>----</v>
      </c>
      <c r="CF401" s="691" t="e">
        <f t="shared" ca="1" si="7024"/>
        <v>#N/A</v>
      </c>
      <c r="CG401" s="4" t="e">
        <f ca="1">IF(AND(INDEX(SSM,CF401,4)&gt;=$AB395,INDEX(SSM,CF401,5)&gt;=$S395,INDEX(SSM,CF401,6)&gt;=$R395),1,0)</f>
        <v>#N/A</v>
      </c>
      <c r="CH401" s="4" t="e">
        <f t="shared" ref="CH401" ca="1" si="7126">MATCH(1,OFFSET(CG395:CG406,CI400,0,COUNT(CG395:CG406)-CI400),0)</f>
        <v>#REF!</v>
      </c>
      <c r="CI401" s="4" t="e">
        <f t="shared" ca="1" si="7026"/>
        <v>#REF!</v>
      </c>
      <c r="CJ401" s="692" t="str">
        <f ca="1">IFERROR(IF(AD396="Nested Steel Stud (wood infill)",VLOOKUP(INDEX(CF395:CF406,CI401),SSW,2,FALSE),VLOOKUP(INDEX(CF395:CF406,CI401),SSM,2,FALSE)),"----")</f>
        <v>----</v>
      </c>
      <c r="CK401" s="691" t="e">
        <f t="shared" ca="1" si="7027"/>
        <v>#N/A</v>
      </c>
      <c r="CL401" s="4" t="e">
        <f ca="1">IF(AND(INDEX(WSM,CK401,4)&gt;=$AB395,INDEX(WSM,CK401,5)&gt;=$S395,INDEX(WSM,CK401,6)&gt;=$R395),1,0)</f>
        <v>#N/A</v>
      </c>
      <c r="CM401" s="4" t="e">
        <f t="shared" ref="CM401" ca="1" si="7127">MATCH(1,OFFSET(CL395:CL406,CN400,0,COUNT(CL395:CL406)-CN400),0)</f>
        <v>#REF!</v>
      </c>
      <c r="CN401" s="4" t="e">
        <f t="shared" ca="1" si="7029"/>
        <v>#REF!</v>
      </c>
      <c r="CO401" s="692" t="str">
        <f ca="1">IFERROR(VLOOKUP(INDEX(CK395:CK406,CN401),WSM,2,FALSE),"----")</f>
        <v>----</v>
      </c>
      <c r="CP401" s="691" t="e">
        <f t="shared" ca="1" si="7030"/>
        <v>#N/A</v>
      </c>
      <c r="CQ401" s="4" t="e">
        <f ca="1">IF(AND(INDEX(STM,CP401,4)&gt;=$AB395,INDEX(STM,CP401,5)&gt;=$S395,INDEX(STM,CP401,6)&gt;=$R395),1,0)</f>
        <v>#N/A</v>
      </c>
      <c r="CR401" s="4" t="e">
        <f t="shared" ref="CR401" ca="1" si="7128">MATCH(1,OFFSET(CQ395:CQ406,CS400,0,COUNT(CQ395:CQ406)-CS400),0)</f>
        <v>#REF!</v>
      </c>
      <c r="CS401" s="4" t="e">
        <f t="shared" ca="1" si="7032"/>
        <v>#REF!</v>
      </c>
      <c r="CT401" s="692" t="str">
        <f ca="1">IFERROR(VLOOKUP(INDEX(CP395:CP406,CS401),STM,2,FALSE),"----")</f>
        <v>----</v>
      </c>
      <c r="CU401" s="691" t="e">
        <f t="shared" ca="1" si="7033"/>
        <v>#N/A</v>
      </c>
      <c r="CV401" s="4" t="e">
        <f ca="1">IF(AND(INDEX(ELM,CU401,4)&gt;=$AB395,INDEX(ELM,CU401,5)&gt;=$S395,INDEX(ELM,CU401,6)&gt;=$R395),1,0)</f>
        <v>#N/A</v>
      </c>
      <c r="CW401" s="4" t="e">
        <f t="shared" ref="CW401" ca="1" si="7129">MATCH(1,OFFSET(CV395:CV406,CX400,0,COUNT(CV395:CV406)-CX400),0)</f>
        <v>#REF!</v>
      </c>
      <c r="CX401" s="4" t="e">
        <f t="shared" ca="1" si="7035"/>
        <v>#REF!</v>
      </c>
      <c r="CY401" s="692" t="str">
        <f ca="1">IFERROR(VLOOKUP(INDEX(CU395:CU406,CX401),ELM,2,FALSE),"----")</f>
        <v>----</v>
      </c>
      <c r="CZ401" s="691" t="e">
        <f t="shared" ca="1" si="7036"/>
        <v>#N/A</v>
      </c>
      <c r="DA401" s="4" t="e">
        <f ca="1">IF(LEFT($J395,7)="Clad Wo",IF(AND(INDEX(SPPWS,CZ401,4)&gt;=$AB395,INDEX(SPPWS,CZ401,5)&gt;=$S395,INDEX(SPPWS,CZ401,6)&gt;=$R395),1,0),IF(AND(INDEX(SPM,CZ401,4)&gt;=$AB395,INDEX(SPM,CZ401,5)&gt;=$S395,INDEX(SPM,CZ401,6)&gt;=$R395),1,0))</f>
        <v>#N/A</v>
      </c>
      <c r="DB401" s="4" t="e">
        <f t="shared" ref="DB401" ca="1" si="7130">MATCH(1,OFFSET(DA395:DA406,DC400,0,COUNT(DA395:DA406)-DC400),0)</f>
        <v>#REF!</v>
      </c>
      <c r="DC401" s="4" t="e">
        <f t="shared" ca="1" si="7038"/>
        <v>#REF!</v>
      </c>
      <c r="DD401" s="693" t="str">
        <f ca="1">IF(LEFT($J395,7)="Clad Wo",IFERROR(VLOOKUP(INDEX(CZ395:CZ406,DC401),SPPWS,2,FALSE),"----"),IFERROR(VLOOKUP(INDEX(CZ395:CZ406,DC401),SPM,2,FALSE),"----"))</f>
        <v>----</v>
      </c>
      <c r="DE401" s="691" t="e">
        <f t="shared" ca="1" si="7039"/>
        <v>#REF!</v>
      </c>
      <c r="DF401" s="4" t="e" cm="1">
        <f t="array" aca="1" ref="DF401" ca="1">IF(AND(INDEX(INDIRECT(BY395),DE401,4)&gt;=$AB401,INDEX(INDIRECT(BY395),DE401,5)&gt;=$S395,INDEX(INDIRECT(BY395),DE401,6)&gt;=$R395),1,0)</f>
        <v>#REF!</v>
      </c>
      <c r="DG401" s="4" t="e">
        <f t="shared" ref="DG401" ca="1" si="7131">MATCH(1,OFFSET(DF395:DF406,DH400,0,COUNT(DF395:DF406)-DH400),0)</f>
        <v>#REF!</v>
      </c>
      <c r="DH401" s="4" t="e">
        <f t="shared" ca="1" si="7041"/>
        <v>#REF!</v>
      </c>
      <c r="DI401" s="692" t="str" cm="1">
        <f t="array" aca="1" ref="DI401" ca="1">IFERROR(VLOOKUP(INDEX(DE395:DE406,DH401),INDIRECT(BY395),2,FALSE),"----")</f>
        <v>----</v>
      </c>
      <c r="DJ401" s="691" t="e">
        <f t="shared" ca="1" si="7042"/>
        <v>#N/A</v>
      </c>
      <c r="DK401" s="4" t="e">
        <f ca="1">IF(AND(INDEX(SSM,DJ401,4)&gt;=$AB401,INDEX(SSM,DJ401,5)&gt;=$S395,INDEX(SSM,DJ401,6)&gt;=$R395),1,0)</f>
        <v>#N/A</v>
      </c>
      <c r="DL401" s="4" t="e">
        <f t="shared" ref="DL401" ca="1" si="7132">MATCH(1,OFFSET(DK395:DK406,DM400,0,COUNT(DK395:DK406)-DM400),0)</f>
        <v>#REF!</v>
      </c>
      <c r="DM401" s="4" t="e">
        <f t="shared" ca="1" si="7044"/>
        <v>#REF!</v>
      </c>
      <c r="DN401" s="692" t="str">
        <f ca="1">IFERROR(IF(AD402="Nested Steel Stud (wood infill)",VLOOKUP(INDEX(DJ395:DJ406,DM401),SSW,2,FALSE),VLOOKUP(INDEX(DJ395:DJ406,DM401),SSM,2,FALSE)),"----")</f>
        <v>----</v>
      </c>
      <c r="DO401" s="691" t="e">
        <f t="shared" ca="1" si="7045"/>
        <v>#N/A</v>
      </c>
      <c r="DP401" s="4" t="e">
        <f ca="1">IF(AND(INDEX(WSM,DO401,4)&gt;=$AB401,INDEX(WSM,DO401,5)&gt;=$S395,INDEX(WSM,DO401,6)&gt;=$R395),1,0)</f>
        <v>#N/A</v>
      </c>
      <c r="DQ401" s="4" t="e">
        <f t="shared" ref="DQ401" ca="1" si="7133">MATCH(1,OFFSET(DP395:DP406,DR400,0,COUNT(DP395:DP406)-DR400),0)</f>
        <v>#REF!</v>
      </c>
      <c r="DR401" s="4" t="e">
        <f t="shared" ca="1" si="7047"/>
        <v>#REF!</v>
      </c>
      <c r="DS401" s="692" t="str">
        <f ca="1">IFERROR(VLOOKUP(INDEX(DO395:DO406,DR401),WSM,2,FALSE),"----")</f>
        <v>----</v>
      </c>
      <c r="DT401" s="691" t="e">
        <f t="shared" ca="1" si="7048"/>
        <v>#N/A</v>
      </c>
      <c r="DU401" s="4" t="e">
        <f ca="1">IF(AND(INDEX(STM,DT401,4)&gt;=$AB401,INDEX(STM,DT401,5)&gt;=$S395,INDEX(STM,DT401,6)&gt;=$R395),1,0)</f>
        <v>#N/A</v>
      </c>
      <c r="DV401" s="4" t="e">
        <f t="shared" ref="DV401" ca="1" si="7134">MATCH(1,OFFSET(DU395:DU406,DW400,0,COUNT(DU395:DU406)-DW400),0)</f>
        <v>#REF!</v>
      </c>
      <c r="DW401" s="4" t="e">
        <f t="shared" ca="1" si="7050"/>
        <v>#REF!</v>
      </c>
      <c r="DX401" s="692" t="str">
        <f ca="1">IFERROR(VLOOKUP(INDEX(DT395:DT406,DW401),STM,2,FALSE),"----")</f>
        <v>----</v>
      </c>
      <c r="DY401" s="691" t="e">
        <f t="shared" ca="1" si="7051"/>
        <v>#N/A</v>
      </c>
      <c r="DZ401" s="4" t="e">
        <f ca="1">IF(AND(INDEX(ELM,DY401,4)&gt;=$AB401,INDEX(ELM,DY401,5)&gt;=$S395,INDEX(ELM,DY401,6)&gt;=$R395),1,0)</f>
        <v>#N/A</v>
      </c>
      <c r="EA401" s="4" t="e">
        <f t="shared" ref="EA401" ca="1" si="7135">MATCH(1,OFFSET(DZ395:DZ406,EB400,0,COUNT(DZ395:DZ406)-EB400),0)</f>
        <v>#REF!</v>
      </c>
      <c r="EB401" s="4" t="e">
        <f t="shared" ca="1" si="7053"/>
        <v>#REF!</v>
      </c>
      <c r="EC401" s="692" t="str">
        <f ca="1">IFERROR(VLOOKUP(INDEX(DY395:DY406,EB401),ELM,2,FALSE),"----")</f>
        <v>----</v>
      </c>
      <c r="ED401" s="691" t="e">
        <f t="shared" ca="1" si="7054"/>
        <v>#N/A</v>
      </c>
      <c r="EE401" s="4" t="e">
        <f ca="1">IF(LEFT($J395,7)="Clad Wo",IF(AND(INDEX(SPPWS,ED401,4)&gt;=$AB401,INDEX(SPPWS,ED401,5)&gt;=$S395,INDEX(SPPWS,ED401,6)&gt;=$R395),1,0),IF(AND(INDEX(SPM,ED401,4)&gt;=$AB401,INDEX(SPM,ED401,5)&gt;=$S395,INDEX(SPM,ED401,6)&gt;=$R395),1,0))</f>
        <v>#N/A</v>
      </c>
      <c r="EF401" s="4" t="e">
        <f t="shared" ref="EF401" ca="1" si="7136">MATCH(1,OFFSET(EE395:EE406,EG400,0,COUNT(EE395:EE406)-EG400),0)</f>
        <v>#REF!</v>
      </c>
      <c r="EG401" s="4" t="e">
        <f t="shared" ca="1" si="7056"/>
        <v>#REF!</v>
      </c>
      <c r="EH401" s="692" t="str">
        <f ca="1">IF(LEFT($J395,7)="Clad Wo",IFERROR(VLOOKUP(INDEX(ED395:ED406,EG401),SPPWS,2,FALSE),"----"),IFERROR(VLOOKUP(INDEX(ED395:ED406,EG401),SPM,2,FALSE),"----"))</f>
        <v>----</v>
      </c>
    </row>
    <row r="402" spans="1:138" ht="15" customHeight="1" x14ac:dyDescent="0.25">
      <c r="A402" s="1085"/>
      <c r="B402" s="925"/>
      <c r="C402" s="926"/>
      <c r="D402" s="927"/>
      <c r="E402" s="995"/>
      <c r="F402" s="996"/>
      <c r="G402" s="997"/>
      <c r="H402" s="1062"/>
      <c r="I402" s="990"/>
      <c r="J402" s="912"/>
      <c r="K402" s="913"/>
      <c r="L402" s="1002"/>
      <c r="M402" s="923"/>
      <c r="N402" s="1042"/>
      <c r="O402" s="1018"/>
      <c r="P402" s="987"/>
      <c r="Q402" s="1015"/>
      <c r="R402" s="1012"/>
      <c r="S402" s="1006"/>
      <c r="T402" s="1007"/>
      <c r="U402" s="878"/>
      <c r="V402" s="881"/>
      <c r="W402" s="884"/>
      <c r="X402" s="884"/>
      <c r="Y402" s="887"/>
      <c r="Z402" s="887"/>
      <c r="AA402" s="887"/>
      <c r="AB402" s="1081"/>
      <c r="AC402" s="1078"/>
      <c r="AD402" s="1070" t="str">
        <f t="shared" ref="AD402" si="7137">IF(ISBLANK(AD396)=TRUE,"",AD396)</f>
        <v>Nested Steel Stud</v>
      </c>
      <c r="AE402" s="1071"/>
      <c r="AF402" s="1052"/>
      <c r="AG402" s="1053"/>
      <c r="AH402" s="1053"/>
      <c r="AI402" s="1066"/>
      <c r="AJ402" s="1067"/>
      <c r="AK402" s="156" t="str">
        <f t="shared" ca="1" si="6208"/>
        <v/>
      </c>
      <c r="AL402" s="1059"/>
      <c r="AM402" s="343" t="str">
        <f ca="1">IFERROR(Q395/12*ROUND(VLOOKUP(AF402,OFFSET(SSM,0,1),6,FALSE),2),"")</f>
        <v/>
      </c>
      <c r="AN402" t="str">
        <f t="shared" ca="1" si="6226"/>
        <v/>
      </c>
      <c r="AP402" s="122" t="str">
        <f t="shared" ref="AP402" si="7138">_xlfn.CONCAT(AR402,AS406)</f>
        <v/>
      </c>
      <c r="AQ402" s="683" t="str">
        <f t="shared" si="6434"/>
        <v/>
      </c>
      <c r="AR402" s="96" t="str">
        <f t="shared" si="6193"/>
        <v/>
      </c>
      <c r="AS402" s="96" t="str">
        <f>IF(COUNTIF(Vista_1,AF401)=1,"Vista_1",IF(COUNTIF(Vista_2,AF401)=1,"Vista_2",""))</f>
        <v/>
      </c>
      <c r="AT402" s="684" t="str">
        <f>AL401</f>
        <v/>
      </c>
      <c r="AU402" s="694" t="e">
        <f t="shared" ca="1" si="6450"/>
        <v>#REF!</v>
      </c>
      <c r="AV402" s="686" t="str">
        <f ca="1">IFERROR(VLOOKUP(AU402,INDIRECT(AQ395),2,FALSE),"----")</f>
        <v>----</v>
      </c>
      <c r="AW402" s="694" t="e">
        <f t="shared" ca="1" si="6451"/>
        <v>#REF!</v>
      </c>
      <c r="AX402" s="686" t="str">
        <f ca="1">IFERROR(VLOOKUP(AW402,INDIRECT(AQ396),2,FALSE),"----")</f>
        <v>----</v>
      </c>
      <c r="AY402" s="694" t="e">
        <f t="shared" ca="1" si="6866"/>
        <v>#REF!</v>
      </c>
      <c r="AZ402" s="686" t="str">
        <f ca="1">IFERROR(VLOOKUP(AY402,INDIRECT(AQ397),2,FALSE),"----")</f>
        <v>----</v>
      </c>
      <c r="BA402" s="694" t="e">
        <f t="shared" ca="1" si="6867"/>
        <v>#REF!</v>
      </c>
      <c r="BB402" s="686" t="str">
        <f ca="1">IFERROR(VLOOKUP(BA402,INDIRECT(AQ398),2,FALSE),"----")</f>
        <v>----</v>
      </c>
      <c r="BC402" s="694" t="e">
        <f t="shared" ca="1" si="6452"/>
        <v>#REF!</v>
      </c>
      <c r="BD402" s="686" t="str">
        <f ca="1">IFERROR(VLOOKUP(BC402,INDIRECT(AQ399),2,FALSE),"----")</f>
        <v>----</v>
      </c>
      <c r="BE402" s="694" t="e">
        <f t="shared" ca="1" si="6453"/>
        <v>#REF!</v>
      </c>
      <c r="BF402" s="686" t="str">
        <f ca="1">IFERROR(VLOOKUP(BE402,INDIRECT(AQ400),2,FALSE),"----")</f>
        <v>----</v>
      </c>
      <c r="BG402" s="702" t="e">
        <f t="shared" ca="1" si="6454"/>
        <v>#REF!</v>
      </c>
      <c r="BH402" s="686" t="str">
        <f ca="1">IFERROR(VLOOKUP(BG402,INDIRECT(AQ401),2,FALSE),"----")</f>
        <v>----</v>
      </c>
      <c r="BI402" s="702" t="e">
        <f t="shared" ca="1" si="6455"/>
        <v>#REF!</v>
      </c>
      <c r="BJ402" s="686" t="str">
        <f ca="1">IFERROR(VLOOKUP(BI402,INDIRECT(AQ402),2,FALSE),"----")</f>
        <v>----</v>
      </c>
      <c r="BK402" s="702" t="e">
        <f t="shared" ca="1" si="6456"/>
        <v>#REF!</v>
      </c>
      <c r="BL402" s="686" t="str">
        <f ca="1">IFERROR(VLOOKUP(BK402,INDIRECT(AQ403),2,FALSE),"----")</f>
        <v>----</v>
      </c>
      <c r="BM402" s="702" t="e">
        <f t="shared" ca="1" si="6457"/>
        <v>#REF!</v>
      </c>
      <c r="BN402" s="686" t="str">
        <f ca="1">IFERROR(VLOOKUP(BM402,INDIRECT(AQ404),2,FALSE),"----")</f>
        <v>----</v>
      </c>
      <c r="BO402" s="702" t="e">
        <f t="shared" ca="1" si="6458"/>
        <v>#REF!</v>
      </c>
      <c r="BP402" s="686" t="str">
        <f ca="1">IFERROR(VLOOKUP(BO402,INDIRECT(AQ405),2,FALSE),"----")</f>
        <v>----</v>
      </c>
      <c r="BQ402" s="702" t="e">
        <f t="shared" ca="1" si="6459"/>
        <v>#REF!</v>
      </c>
      <c r="BR402" s="686" t="str">
        <f ca="1">IFERROR(VLOOKUP(BQ402,INDIRECT(AQ406),2,FALSE),"----")</f>
        <v>----</v>
      </c>
      <c r="BS402" s="695">
        <f>IF(AI402="",1,IF(COUNTIF(BJ395:BJ406,AI402)=0,2,1))</f>
        <v>1</v>
      </c>
      <c r="BT402" s="696">
        <f>IF(AF402="",1,IF(BJ395=".",2,1))</f>
        <v>1</v>
      </c>
      <c r="BU402" s="706"/>
      <c r="BV402" s="155">
        <f ca="1">IF(COUNTIF(DN395:DN406,AF402)=0,IF(AF402&lt;&gt;"",0,1),1)</f>
        <v>1</v>
      </c>
      <c r="BW402" s="157">
        <f ca="1">IFERROR(MATCH(AF402,DN395:DN406,0),1)</f>
        <v>1</v>
      </c>
      <c r="BX402" s="769">
        <f t="shared" ref="BX402" si="7139">E395*(H395+I395)/144/2</f>
        <v>0</v>
      </c>
      <c r="BY402" s="769">
        <f>SUM(IF(H395&gt;E395,E395^2/4,(H395*E395/2)-(H395^2/4))/144,IF(I395&gt;E395,E395^2/4,(I395*E395/2)-(I395^2/4))/144)</f>
        <v>0</v>
      </c>
      <c r="BZ402" s="1110"/>
      <c r="CA402" s="691" t="e">
        <f t="shared" ca="1" si="7021"/>
        <v>#REF!</v>
      </c>
      <c r="CB402" s="4" t="e" cm="1">
        <f t="array" aca="1" ref="CB402" ca="1">IF(AND(INDEX(INDIRECT(BY395),CA402,4)&gt;=$AB395,INDEX(INDIRECT(BY395),CA402,5)&gt;=$S395,INDEX(INDIRECT(BY395),CA402,6)&gt;=$R395),1,0)</f>
        <v>#REF!</v>
      </c>
      <c r="CC402" s="4" t="e">
        <f t="shared" ref="CC402" ca="1" si="7140">MATCH(1,OFFSET(CB395:CB406,CD401,0,COUNT(CB395:CB406)-CD401),0)</f>
        <v>#REF!</v>
      </c>
      <c r="CD402" s="4" t="e">
        <f t="shared" ca="1" si="7023"/>
        <v>#REF!</v>
      </c>
      <c r="CE402" s="692" t="str" cm="1">
        <f t="array" aca="1" ref="CE402" ca="1">IFERROR(VLOOKUP(INDEX(CA395:CA406,CD402),INDIRECT(BY395),2,FALSE),"----")</f>
        <v>----</v>
      </c>
      <c r="CF402" s="691" t="e">
        <f t="shared" ca="1" si="7024"/>
        <v>#N/A</v>
      </c>
      <c r="CG402" s="4" t="e">
        <f ca="1">IF(AND(INDEX(SSM,CF402,4)&gt;=$AB395,INDEX(SSM,CF402,5)&gt;=$S395,INDEX(SSM,CF402,6)&gt;=$R395),1,0)</f>
        <v>#N/A</v>
      </c>
      <c r="CH402" s="4" t="e">
        <f t="shared" ref="CH402" ca="1" si="7141">MATCH(1,OFFSET(CG395:CG406,CI401,0,COUNT(CG395:CG406)-CI401),0)</f>
        <v>#REF!</v>
      </c>
      <c r="CI402" s="4" t="e">
        <f t="shared" ca="1" si="7026"/>
        <v>#REF!</v>
      </c>
      <c r="CJ402" s="692" t="str">
        <f ca="1">IFERROR(IF(AD396="Nested Steel Stud (wood infill)",VLOOKUP(INDEX(CF395:CF406,CI402),SSW,2,FALSE),VLOOKUP(INDEX(CF395:CF406,CI402),SSM,2,FALSE)),"----")</f>
        <v>----</v>
      </c>
      <c r="CK402" s="691" t="e">
        <f t="shared" ca="1" si="7027"/>
        <v>#N/A</v>
      </c>
      <c r="CL402" s="4" t="e">
        <f ca="1">IF(AND(INDEX(WSM,CK402,4)&gt;=$AB395,INDEX(WSM,CK402,5)&gt;=$S395,INDEX(WSM,CK402,6)&gt;=$R395),1,0)</f>
        <v>#N/A</v>
      </c>
      <c r="CM402" s="4" t="e">
        <f t="shared" ref="CM402" ca="1" si="7142">MATCH(1,OFFSET(CL395:CL406,CN401,0,COUNT(CL395:CL406)-CN401),0)</f>
        <v>#REF!</v>
      </c>
      <c r="CN402" s="4" t="e">
        <f t="shared" ca="1" si="7029"/>
        <v>#REF!</v>
      </c>
      <c r="CO402" s="692" t="str">
        <f ca="1">IFERROR(VLOOKUP(INDEX(CK395:CK406,CN402),WSM,2,FALSE),"----")</f>
        <v>----</v>
      </c>
      <c r="CP402" s="691" t="e">
        <f t="shared" ca="1" si="7030"/>
        <v>#N/A</v>
      </c>
      <c r="CQ402" s="4" t="e">
        <f ca="1">IF(AND(INDEX(STM,CP402,4)&gt;=$AB395,INDEX(STM,CP402,5)&gt;=$S395,INDEX(STM,CP402,6)&gt;=$R395),1,0)</f>
        <v>#N/A</v>
      </c>
      <c r="CR402" s="4" t="e">
        <f t="shared" ref="CR402" ca="1" si="7143">MATCH(1,OFFSET(CQ395:CQ406,CS401,0,COUNT(CQ395:CQ406)-CS401),0)</f>
        <v>#REF!</v>
      </c>
      <c r="CS402" s="4" t="e">
        <f t="shared" ca="1" si="7032"/>
        <v>#REF!</v>
      </c>
      <c r="CT402" s="692" t="str">
        <f ca="1">IFERROR(VLOOKUP(INDEX(CP395:CP406,CS402),STM,2,FALSE),"----")</f>
        <v>----</v>
      </c>
      <c r="CU402" s="691" t="e">
        <f t="shared" ca="1" si="7033"/>
        <v>#N/A</v>
      </c>
      <c r="CV402" s="4" t="e">
        <f ca="1">IF(AND(INDEX(ELM,CU402,4)&gt;=$AB395,INDEX(ELM,CU402,5)&gt;=$S395,INDEX(ELM,CU402,6)&gt;=$R395),1,0)</f>
        <v>#N/A</v>
      </c>
      <c r="CW402" s="4" t="e">
        <f t="shared" ref="CW402" ca="1" si="7144">MATCH(1,OFFSET(CV395:CV406,CX401,0,COUNT(CV395:CV406)-CX401),0)</f>
        <v>#REF!</v>
      </c>
      <c r="CX402" s="4" t="e">
        <f t="shared" ca="1" si="7035"/>
        <v>#REF!</v>
      </c>
      <c r="CY402" s="692" t="str">
        <f ca="1">IFERROR(VLOOKUP(INDEX(CU395:CU406,CX402),ELM,2,FALSE),"----")</f>
        <v>----</v>
      </c>
      <c r="CZ402" s="691" t="e">
        <f t="shared" ca="1" si="7036"/>
        <v>#N/A</v>
      </c>
      <c r="DA402" s="4" t="e">
        <f ca="1">IF(LEFT($J395,7)="Clad Wo",IF(AND(INDEX(SPPWS,CZ402,4)&gt;=$AB395,INDEX(SPPWS,CZ402,5)&gt;=$S395,INDEX(SPPWS,CZ402,6)&gt;=$R395),1,0),IF(AND(INDEX(SPM,CZ402,4)&gt;=$AB395,INDEX(SPM,CZ402,5)&gt;=$S395,INDEX(SPM,CZ402,6)&gt;=$R395),1,0))</f>
        <v>#N/A</v>
      </c>
      <c r="DB402" s="4" t="e">
        <f t="shared" ref="DB402" ca="1" si="7145">MATCH(1,OFFSET(DA395:DA406,DC401,0,COUNT(DA395:DA406)-DC401),0)</f>
        <v>#REF!</v>
      </c>
      <c r="DC402" s="4" t="e">
        <f t="shared" ca="1" si="7038"/>
        <v>#REF!</v>
      </c>
      <c r="DD402" s="693" t="str">
        <f ca="1">IF(LEFT($J395,7)="Clad Wo",IFERROR(VLOOKUP(INDEX(CZ395:CZ406,DC402),SPPWS,2,FALSE),"----"),IFERROR(VLOOKUP(INDEX(CZ395:CZ406,DC402),SPM,2,FALSE),"----"))</f>
        <v>----</v>
      </c>
      <c r="DE402" s="691" t="e">
        <f t="shared" ca="1" si="7039"/>
        <v>#REF!</v>
      </c>
      <c r="DF402" s="4" t="e" cm="1">
        <f t="array" aca="1" ref="DF402" ca="1">IF(AND(INDEX(INDIRECT(BY395),DE402,4)&gt;=$AB401,INDEX(INDIRECT(BY395),DE402,5)&gt;=$S395,INDEX(INDIRECT(BY395),DE402,6)&gt;=$R395),1,0)</f>
        <v>#REF!</v>
      </c>
      <c r="DG402" s="4" t="e">
        <f t="shared" ref="DG402" ca="1" si="7146">MATCH(1,OFFSET(DF395:DF406,DH401,0,COUNT(DF395:DF406)-DH401),0)</f>
        <v>#REF!</v>
      </c>
      <c r="DH402" s="4" t="e">
        <f t="shared" ca="1" si="7041"/>
        <v>#REF!</v>
      </c>
      <c r="DI402" s="692" t="str" cm="1">
        <f t="array" aca="1" ref="DI402" ca="1">IFERROR(VLOOKUP(INDEX(DE395:DE406,DH402),INDIRECT(BY395),2,FALSE),"----")</f>
        <v>----</v>
      </c>
      <c r="DJ402" s="691" t="e">
        <f t="shared" ca="1" si="7042"/>
        <v>#N/A</v>
      </c>
      <c r="DK402" s="4" t="e">
        <f ca="1">IF(AND(INDEX(SSM,DJ402,4)&gt;=$AB401,INDEX(SSM,DJ402,5)&gt;=$S395,INDEX(SSM,DJ402,6)&gt;=$R395),1,0)</f>
        <v>#N/A</v>
      </c>
      <c r="DL402" s="4" t="e">
        <f t="shared" ref="DL402" ca="1" si="7147">MATCH(1,OFFSET(DK395:DK406,DM401,0,COUNT(DK395:DK406)-DM401),0)</f>
        <v>#REF!</v>
      </c>
      <c r="DM402" s="4" t="e">
        <f t="shared" ca="1" si="7044"/>
        <v>#REF!</v>
      </c>
      <c r="DN402" s="692" t="str">
        <f ca="1">IFERROR(IF(AD402="Nested Steel Stud (wood infill)",VLOOKUP(INDEX(DJ395:DJ406,DM402),SSW,2,FALSE),VLOOKUP(INDEX(DJ395:DJ406,DM402),SSM,2,FALSE)),"----")</f>
        <v>----</v>
      </c>
      <c r="DO402" s="691" t="e">
        <f t="shared" ca="1" si="7045"/>
        <v>#N/A</v>
      </c>
      <c r="DP402" s="4" t="e">
        <f ca="1">IF(AND(INDEX(WSM,DO402,4)&gt;=$AB401,INDEX(WSM,DO402,5)&gt;=$S395,INDEX(WSM,DO402,6)&gt;=$R395),1,0)</f>
        <v>#N/A</v>
      </c>
      <c r="DQ402" s="4" t="e">
        <f t="shared" ref="DQ402" ca="1" si="7148">MATCH(1,OFFSET(DP395:DP406,DR401,0,COUNT(DP395:DP406)-DR401),0)</f>
        <v>#REF!</v>
      </c>
      <c r="DR402" s="4" t="e">
        <f t="shared" ca="1" si="7047"/>
        <v>#REF!</v>
      </c>
      <c r="DS402" s="692" t="str">
        <f ca="1">IFERROR(VLOOKUP(INDEX(DO395:DO406,DR402),WSM,2,FALSE),"----")</f>
        <v>----</v>
      </c>
      <c r="DT402" s="691" t="e">
        <f t="shared" ca="1" si="7048"/>
        <v>#N/A</v>
      </c>
      <c r="DU402" s="4" t="e">
        <f ca="1">IF(AND(INDEX(STM,DT402,4)&gt;=$AB401,INDEX(STM,DT402,5)&gt;=$S395,INDEX(STM,DT402,6)&gt;=$R395),1,0)</f>
        <v>#N/A</v>
      </c>
      <c r="DV402" s="4" t="e">
        <f t="shared" ref="DV402" ca="1" si="7149">MATCH(1,OFFSET(DU395:DU406,DW401,0,COUNT(DU395:DU406)-DW401),0)</f>
        <v>#REF!</v>
      </c>
      <c r="DW402" s="4" t="e">
        <f t="shared" ca="1" si="7050"/>
        <v>#REF!</v>
      </c>
      <c r="DX402" s="692" t="str">
        <f ca="1">IFERROR(VLOOKUP(INDEX(DT395:DT406,DW402),STM,2,FALSE),"----")</f>
        <v>----</v>
      </c>
      <c r="DY402" s="691" t="e">
        <f t="shared" ca="1" si="7051"/>
        <v>#N/A</v>
      </c>
      <c r="DZ402" s="4" t="e">
        <f ca="1">IF(AND(INDEX(ELM,DY402,4)&gt;=$AB401,INDEX(ELM,DY402,5)&gt;=$S395,INDEX(ELM,DY402,6)&gt;=$R395),1,0)</f>
        <v>#N/A</v>
      </c>
      <c r="EA402" s="4" t="e">
        <f t="shared" ref="EA402" ca="1" si="7150">MATCH(1,OFFSET(DZ395:DZ406,EB401,0,COUNT(DZ395:DZ406)-EB401),0)</f>
        <v>#REF!</v>
      </c>
      <c r="EB402" s="4" t="e">
        <f t="shared" ca="1" si="7053"/>
        <v>#REF!</v>
      </c>
      <c r="EC402" s="692" t="str">
        <f ca="1">IFERROR(VLOOKUP(INDEX(DY395:DY406,EB402),ELM,2,FALSE),"----")</f>
        <v>----</v>
      </c>
      <c r="ED402" s="691" t="e">
        <f t="shared" ca="1" si="7054"/>
        <v>#N/A</v>
      </c>
      <c r="EE402" s="4" t="e">
        <f ca="1">IF(LEFT($J395,7)="Clad Wo",IF(AND(INDEX(SPPWS,ED402,4)&gt;=$AB401,INDEX(SPPWS,ED402,5)&gt;=$S395,INDEX(SPPWS,ED402,6)&gt;=$R395),1,0),IF(AND(INDEX(SPM,ED402,4)&gt;=$AB401,INDEX(SPM,ED402,5)&gt;=$S395,INDEX(SPM,ED402,6)&gt;=$R395),1,0))</f>
        <v>#N/A</v>
      </c>
      <c r="EF402" s="4" t="e">
        <f t="shared" ref="EF402" ca="1" si="7151">MATCH(1,OFFSET(EE395:EE406,EG401,0,COUNT(EE395:EE406)-EG401),0)</f>
        <v>#REF!</v>
      </c>
      <c r="EG402" s="4" t="e">
        <f t="shared" ca="1" si="7056"/>
        <v>#REF!</v>
      </c>
      <c r="EH402" s="692" t="str">
        <f ca="1">IF(LEFT($J395,7)="Clad Wo",IFERROR(VLOOKUP(INDEX(ED395:ED406,EG402),SPPWS,2,FALSE),"----"),IFERROR(VLOOKUP(INDEX(ED395:ED406,EG402),SPM,2,FALSE),"----"))</f>
        <v>----</v>
      </c>
    </row>
    <row r="403" spans="1:138" ht="15" customHeight="1" x14ac:dyDescent="0.25">
      <c r="A403" s="1085"/>
      <c r="B403" s="925"/>
      <c r="C403" s="926"/>
      <c r="D403" s="927"/>
      <c r="E403" s="995"/>
      <c r="F403" s="996"/>
      <c r="G403" s="997"/>
      <c r="H403" s="1062"/>
      <c r="I403" s="990"/>
      <c r="J403" s="902"/>
      <c r="K403" s="903"/>
      <c r="L403" s="1002"/>
      <c r="M403" s="923"/>
      <c r="N403" s="1042"/>
      <c r="O403" s="1018"/>
      <c r="P403" s="987"/>
      <c r="Q403" s="1015"/>
      <c r="R403" s="1012"/>
      <c r="S403" s="1006"/>
      <c r="T403" s="1007"/>
      <c r="U403" s="878"/>
      <c r="V403" s="881"/>
      <c r="W403" s="884"/>
      <c r="X403" s="884"/>
      <c r="Y403" s="887"/>
      <c r="Z403" s="887"/>
      <c r="AA403" s="887"/>
      <c r="AB403" s="1081"/>
      <c r="AC403" s="1078"/>
      <c r="AD403" s="1070" t="str">
        <f t="shared" si="5955"/>
        <v>Wood Stud Framing</v>
      </c>
      <c r="AE403" s="1071"/>
      <c r="AF403" s="1052"/>
      <c r="AG403" s="1053"/>
      <c r="AH403" s="1053"/>
      <c r="AI403" s="1066"/>
      <c r="AJ403" s="1067"/>
      <c r="AK403" s="156" t="str">
        <f t="shared" ca="1" si="6208"/>
        <v/>
      </c>
      <c r="AL403" s="1059"/>
      <c r="AM403" s="344" t="str">
        <f ca="1">IFERROR(Q395/12*ROUND(VLOOKUP(AF403,OFFSET(WSM,0,1),6,FALSE),2),"")</f>
        <v/>
      </c>
      <c r="AN403" t="str">
        <f t="shared" ca="1" si="6226"/>
        <v/>
      </c>
      <c r="AP403" s="122" t="str">
        <f t="shared" ref="AP403" si="7152">_xlfn.CONCAT(AR403,AS406)</f>
        <v/>
      </c>
      <c r="AQ403" s="683" t="str">
        <f t="shared" si="6434"/>
        <v/>
      </c>
      <c r="AR403" s="4" t="str">
        <f t="shared" si="6193"/>
        <v/>
      </c>
      <c r="AS403" s="4"/>
      <c r="AT403" s="697" t="str">
        <f>AL401</f>
        <v/>
      </c>
      <c r="AU403" s="694" t="e">
        <f t="shared" ca="1" si="6450"/>
        <v>#REF!</v>
      </c>
      <c r="AV403" s="686" t="str">
        <f ca="1">IFERROR(VLOOKUP(AU403,INDIRECT(AQ395),2,FALSE),"----")</f>
        <v>----</v>
      </c>
      <c r="AW403" s="694" t="e">
        <f t="shared" ca="1" si="6451"/>
        <v>#REF!</v>
      </c>
      <c r="AX403" s="686" t="str">
        <f ca="1">IFERROR(VLOOKUP(AW403,INDIRECT(AQ396),2,FALSE),"----")</f>
        <v>----</v>
      </c>
      <c r="AY403" s="694" t="e">
        <f t="shared" ca="1" si="6866"/>
        <v>#REF!</v>
      </c>
      <c r="AZ403" s="686" t="str">
        <f ca="1">IFERROR(VLOOKUP(AY403,INDIRECT(AQ397),2,FALSE),"----")</f>
        <v>----</v>
      </c>
      <c r="BA403" s="694" t="e">
        <f t="shared" ca="1" si="6867"/>
        <v>#REF!</v>
      </c>
      <c r="BB403" s="686" t="str">
        <f ca="1">IFERROR(VLOOKUP(BA403,INDIRECT(AQ398),2,FALSE),"----")</f>
        <v>----</v>
      </c>
      <c r="BC403" s="694" t="e">
        <f t="shared" ca="1" si="6452"/>
        <v>#REF!</v>
      </c>
      <c r="BD403" s="686" t="str">
        <f ca="1">IFERROR(VLOOKUP(BC403,INDIRECT(AQ399),2,FALSE),"----")</f>
        <v>----</v>
      </c>
      <c r="BE403" s="694" t="e">
        <f t="shared" ca="1" si="6453"/>
        <v>#REF!</v>
      </c>
      <c r="BF403" s="686" t="str">
        <f ca="1">IFERROR(VLOOKUP(BE403,INDIRECT(AQ400),2,FALSE),"----")</f>
        <v>----</v>
      </c>
      <c r="BG403" s="702" t="e">
        <f t="shared" ca="1" si="6454"/>
        <v>#REF!</v>
      </c>
      <c r="BH403" s="686" t="str">
        <f ca="1">IFERROR(VLOOKUP(BG403,INDIRECT(AQ401),2,FALSE),"----")</f>
        <v>----</v>
      </c>
      <c r="BI403" s="702" t="e">
        <f t="shared" ca="1" si="6455"/>
        <v>#REF!</v>
      </c>
      <c r="BJ403" s="686" t="str">
        <f ca="1">IFERROR(VLOOKUP(BI403,INDIRECT(AQ402),2,FALSE),"----")</f>
        <v>----</v>
      </c>
      <c r="BK403" s="702" t="e">
        <f t="shared" ca="1" si="6456"/>
        <v>#REF!</v>
      </c>
      <c r="BL403" s="686" t="str">
        <f ca="1">IFERROR(VLOOKUP(BK403,INDIRECT(AQ403),2,FALSE),"----")</f>
        <v>----</v>
      </c>
      <c r="BM403" s="702" t="e">
        <f t="shared" ca="1" si="6457"/>
        <v>#REF!</v>
      </c>
      <c r="BN403" s="686" t="str">
        <f ca="1">IFERROR(VLOOKUP(BM403,INDIRECT(AQ404),2,FALSE),"----")</f>
        <v>----</v>
      </c>
      <c r="BO403" s="702" t="e">
        <f t="shared" ca="1" si="6458"/>
        <v>#REF!</v>
      </c>
      <c r="BP403" s="686" t="str">
        <f ca="1">IFERROR(VLOOKUP(BO403,INDIRECT(AQ405),2,FALSE),"----")</f>
        <v>----</v>
      </c>
      <c r="BQ403" s="702" t="e">
        <f t="shared" ca="1" si="6459"/>
        <v>#REF!</v>
      </c>
      <c r="BR403" s="686" t="str">
        <f ca="1">IFERROR(VLOOKUP(BQ403,INDIRECT(AQ406),2,FALSE),"----")</f>
        <v>----</v>
      </c>
      <c r="BS403" s="695">
        <f>IF(AI403="",1,IF(COUNTIF(BL395:BL406,AI403)=0,2,1))</f>
        <v>1</v>
      </c>
      <c r="BT403" s="696">
        <f>IF(AF403="",1,IF(BL395=".",2,1))</f>
        <v>1</v>
      </c>
      <c r="BU403" s="706"/>
      <c r="BV403" s="155">
        <f ca="1">IF(COUNTIF(DS395:DS406,AF403)=0,IF(AF403&lt;&gt;"",0,1),1)</f>
        <v>1</v>
      </c>
      <c r="BW403" s="157">
        <f ca="1">IFERROR(MATCH(AF403,DS395:DS406,0),1)</f>
        <v>1</v>
      </c>
      <c r="BX403" s="769" t="e">
        <f t="shared" ref="BX403" si="7153">5*E395^3*W395/(384*X395)</f>
        <v>#VALUE!</v>
      </c>
      <c r="BY403" s="769" t="e">
        <f t="shared" ref="BY403" si="7154">W395*E395^3/(60*X395)</f>
        <v>#VALUE!</v>
      </c>
      <c r="BZ403" s="1110"/>
      <c r="CA403" s="691" t="e">
        <f t="shared" ca="1" si="7021"/>
        <v>#REF!</v>
      </c>
      <c r="CB403" s="4" t="e" cm="1">
        <f t="array" aca="1" ref="CB403" ca="1">IF(AND(INDEX(INDIRECT(BY395),CA403,4)&gt;=$AB395,INDEX(INDIRECT(BY395),CA403,5)&gt;=$S395,INDEX(INDIRECT(BY395),CA403,6)&gt;=$R395),1,0)</f>
        <v>#REF!</v>
      </c>
      <c r="CC403" s="4" t="e">
        <f t="shared" ref="CC403" ca="1" si="7155">MATCH(1,OFFSET(CB395:CB406,CD402,0,COUNT(CB395:CB406)-CD402),0)</f>
        <v>#REF!</v>
      </c>
      <c r="CD403" s="4" t="e">
        <f t="shared" ca="1" si="7023"/>
        <v>#REF!</v>
      </c>
      <c r="CE403" s="692" t="str" cm="1">
        <f t="array" aca="1" ref="CE403" ca="1">IFERROR(VLOOKUP(INDEX(CA395:CA406,CD403),INDIRECT(BY395),2,FALSE),"----")</f>
        <v>----</v>
      </c>
      <c r="CF403" s="691" t="e">
        <f t="shared" ca="1" si="7024"/>
        <v>#N/A</v>
      </c>
      <c r="CG403" s="4" t="e">
        <f ca="1">IF(AND(INDEX(SSM,CF403,4)&gt;=$AB395,INDEX(SSM,CF403,5)&gt;=$S395,INDEX(SSM,CF403,6)&gt;=$R395),1,0)</f>
        <v>#N/A</v>
      </c>
      <c r="CH403" s="4" t="e">
        <f t="shared" ref="CH403" ca="1" si="7156">MATCH(1,OFFSET(CG395:CG406,CI402,0,COUNT(CG395:CG406)-CI402),0)</f>
        <v>#REF!</v>
      </c>
      <c r="CI403" s="4" t="e">
        <f t="shared" ca="1" si="7026"/>
        <v>#REF!</v>
      </c>
      <c r="CJ403" s="692" t="str">
        <f ca="1">IFERROR(IF(AD396="Nested Steel Stud (wood infill)",VLOOKUP(INDEX(CF395:CF406,CI403),SSW,2,FALSE),VLOOKUP(INDEX(CF395:CF406,CI403),SSM,2,FALSE)),"----")</f>
        <v>----</v>
      </c>
      <c r="CK403" s="691" t="e">
        <f t="shared" ca="1" si="7027"/>
        <v>#N/A</v>
      </c>
      <c r="CL403" s="4" t="e">
        <f ca="1">IF(AND(INDEX(WSM,CK403,4)&gt;=$AB395,INDEX(WSM,CK403,5)&gt;=$S395,INDEX(WSM,CK403,6)&gt;=$R395),1,0)</f>
        <v>#N/A</v>
      </c>
      <c r="CM403" s="4" t="e">
        <f t="shared" ref="CM403" ca="1" si="7157">MATCH(1,OFFSET(CL395:CL406,CN402,0,COUNT(CL395:CL406)-CN402),0)</f>
        <v>#REF!</v>
      </c>
      <c r="CN403" s="4" t="e">
        <f t="shared" ca="1" si="7029"/>
        <v>#REF!</v>
      </c>
      <c r="CO403" s="692" t="str">
        <f ca="1">IFERROR(VLOOKUP(INDEX(CK395:CK406,CN403),WSM,2,FALSE),"----")</f>
        <v>----</v>
      </c>
      <c r="CP403" s="691" t="e">
        <f t="shared" ca="1" si="7030"/>
        <v>#N/A</v>
      </c>
      <c r="CQ403" s="4" t="e">
        <f ca="1">IF(AND(INDEX(STM,CP403,4)&gt;=$AB395,INDEX(STM,CP403,5)&gt;=$S395,INDEX(STM,CP403,6)&gt;=$R395),1,0)</f>
        <v>#N/A</v>
      </c>
      <c r="CR403" s="4" t="e">
        <f t="shared" ref="CR403" ca="1" si="7158">MATCH(1,OFFSET(CQ395:CQ406,CS402,0,COUNT(CQ395:CQ406)-CS402),0)</f>
        <v>#REF!</v>
      </c>
      <c r="CS403" s="4" t="e">
        <f t="shared" ca="1" si="7032"/>
        <v>#REF!</v>
      </c>
      <c r="CT403" s="692" t="str">
        <f ca="1">IFERROR(VLOOKUP(INDEX(CP395:CP406,CS403),STM,2,FALSE),"----")</f>
        <v>----</v>
      </c>
      <c r="CU403" s="691" t="e">
        <f t="shared" ca="1" si="7033"/>
        <v>#N/A</v>
      </c>
      <c r="CV403" s="4" t="e">
        <f ca="1">IF(AND(INDEX(ELM,CU403,4)&gt;=$AB395,INDEX(ELM,CU403,5)&gt;=$S395,INDEX(ELM,CU403,6)&gt;=$R395),1,0)</f>
        <v>#N/A</v>
      </c>
      <c r="CW403" s="4" t="e">
        <f t="shared" ref="CW403" ca="1" si="7159">MATCH(1,OFFSET(CV395:CV406,CX402,0,COUNT(CV395:CV406)-CX402),0)</f>
        <v>#REF!</v>
      </c>
      <c r="CX403" s="4" t="e">
        <f t="shared" ca="1" si="7035"/>
        <v>#REF!</v>
      </c>
      <c r="CY403" s="692" t="str">
        <f ca="1">IFERROR(VLOOKUP(INDEX(CU395:CU406,CX403),ELM,2,FALSE),"----")</f>
        <v>----</v>
      </c>
      <c r="CZ403" s="691" t="e">
        <f t="shared" ca="1" si="7036"/>
        <v>#N/A</v>
      </c>
      <c r="DA403" s="4" t="e">
        <f ca="1">IF(LEFT($J395,7)="Clad Wo",IF(AND(INDEX(SPPWS,CZ403,4)&gt;=$AB395,INDEX(SPPWS,CZ403,5)&gt;=$S395,INDEX(SPPWS,CZ403,6)&gt;=$R395),1,0),IF(AND(INDEX(SPM,CZ403,4)&gt;=$AB395,INDEX(SPM,CZ403,5)&gt;=$S395,INDEX(SPM,CZ403,6)&gt;=$R395),1,0))</f>
        <v>#N/A</v>
      </c>
      <c r="DB403" s="4" t="e">
        <f t="shared" ref="DB403" ca="1" si="7160">MATCH(1,OFFSET(DA395:DA406,DC402,0,COUNT(DA395:DA406)-DC402),0)</f>
        <v>#REF!</v>
      </c>
      <c r="DC403" s="4" t="e">
        <f t="shared" ca="1" si="7038"/>
        <v>#REF!</v>
      </c>
      <c r="DD403" s="693" t="str">
        <f ca="1">IF(LEFT($J395,7)="Clad Wo",IFERROR(VLOOKUP(INDEX(CZ395:CZ406,DC403),SPPWS,2,FALSE),"----"),IFERROR(VLOOKUP(INDEX(CZ395:CZ406,DC403),SPM,2,FALSE),"----"))</f>
        <v>----</v>
      </c>
      <c r="DE403" s="691" t="e">
        <f t="shared" ca="1" si="7039"/>
        <v>#REF!</v>
      </c>
      <c r="DF403" s="4" t="e" cm="1">
        <f t="array" aca="1" ref="DF403" ca="1">IF(AND(INDEX(INDIRECT(BY395),DE403,4)&gt;=$AB401,INDEX(INDIRECT(BY395),DE403,5)&gt;=$S395,INDEX(INDIRECT(BY395),DE403,6)&gt;=$R395),1,0)</f>
        <v>#REF!</v>
      </c>
      <c r="DG403" s="4" t="e">
        <f t="shared" ref="DG403" ca="1" si="7161">MATCH(1,OFFSET(DF395:DF406,DH402,0,COUNT(DF395:DF406)-DH402),0)</f>
        <v>#REF!</v>
      </c>
      <c r="DH403" s="4" t="e">
        <f t="shared" ca="1" si="7041"/>
        <v>#REF!</v>
      </c>
      <c r="DI403" s="692" t="str" cm="1">
        <f t="array" aca="1" ref="DI403" ca="1">IFERROR(VLOOKUP(INDEX(DE395:DE406,DH403),INDIRECT(BY395),2,FALSE),"----")</f>
        <v>----</v>
      </c>
      <c r="DJ403" s="691" t="e">
        <f t="shared" ca="1" si="7042"/>
        <v>#N/A</v>
      </c>
      <c r="DK403" s="4" t="e">
        <f ca="1">IF(AND(INDEX(SSM,DJ403,4)&gt;=$AB401,INDEX(SSM,DJ403,5)&gt;=$S395,INDEX(SSM,DJ403,6)&gt;=$R395),1,0)</f>
        <v>#N/A</v>
      </c>
      <c r="DL403" s="4" t="e">
        <f t="shared" ref="DL403" ca="1" si="7162">MATCH(1,OFFSET(DK395:DK406,DM402,0,COUNT(DK395:DK406)-DM402),0)</f>
        <v>#REF!</v>
      </c>
      <c r="DM403" s="4" t="e">
        <f t="shared" ca="1" si="7044"/>
        <v>#REF!</v>
      </c>
      <c r="DN403" s="692" t="str">
        <f ca="1">IFERROR(IF(AD402="Nested Steel Stud (wood infill)",VLOOKUP(INDEX(DJ395:DJ406,DM403),SSW,2,FALSE),VLOOKUP(INDEX(DJ395:DJ406,DM403),SSM,2,FALSE)),"----")</f>
        <v>----</v>
      </c>
      <c r="DO403" s="691" t="e">
        <f t="shared" ca="1" si="7045"/>
        <v>#N/A</v>
      </c>
      <c r="DP403" s="4" t="e">
        <f ca="1">IF(AND(INDEX(WSM,DO403,4)&gt;=$AB401,INDEX(WSM,DO403,5)&gt;=$S395,INDEX(WSM,DO403,6)&gt;=$R395),1,0)</f>
        <v>#N/A</v>
      </c>
      <c r="DQ403" s="4" t="e">
        <f t="shared" ref="DQ403" ca="1" si="7163">MATCH(1,OFFSET(DP395:DP406,DR402,0,COUNT(DP395:DP406)-DR402),0)</f>
        <v>#REF!</v>
      </c>
      <c r="DR403" s="4" t="e">
        <f t="shared" ca="1" si="7047"/>
        <v>#REF!</v>
      </c>
      <c r="DS403" s="692" t="str">
        <f ca="1">IFERROR(VLOOKUP(INDEX(DO395:DO406,DR403),WSM,2,FALSE),"----")</f>
        <v>----</v>
      </c>
      <c r="DT403" s="691" t="e">
        <f t="shared" ca="1" si="7048"/>
        <v>#N/A</v>
      </c>
      <c r="DU403" s="4" t="e">
        <f ca="1">IF(AND(INDEX(STM,DT403,4)&gt;=$AB401,INDEX(STM,DT403,5)&gt;=$S395,INDEX(STM,DT403,6)&gt;=$R395),1,0)</f>
        <v>#N/A</v>
      </c>
      <c r="DV403" s="4" t="e">
        <f t="shared" ref="DV403" ca="1" si="7164">MATCH(1,OFFSET(DU395:DU406,DW402,0,COUNT(DU395:DU406)-DW402),0)</f>
        <v>#REF!</v>
      </c>
      <c r="DW403" s="4" t="e">
        <f t="shared" ca="1" si="7050"/>
        <v>#REF!</v>
      </c>
      <c r="DX403" s="692" t="str">
        <f ca="1">IFERROR(VLOOKUP(INDEX(DT395:DT406,DW403),STM,2,FALSE),"----")</f>
        <v>----</v>
      </c>
      <c r="DY403" s="691" t="e">
        <f t="shared" ca="1" si="7051"/>
        <v>#N/A</v>
      </c>
      <c r="DZ403" s="4" t="e">
        <f ca="1">IF(AND(INDEX(ELM,DY403,4)&gt;=$AB401,INDEX(ELM,DY403,5)&gt;=$S395,INDEX(ELM,DY403,6)&gt;=$R395),1,0)</f>
        <v>#N/A</v>
      </c>
      <c r="EA403" s="4" t="e">
        <f t="shared" ref="EA403" ca="1" si="7165">MATCH(1,OFFSET(DZ395:DZ406,EB402,0,COUNT(DZ395:DZ406)-EB402),0)</f>
        <v>#REF!</v>
      </c>
      <c r="EB403" s="4" t="e">
        <f t="shared" ca="1" si="7053"/>
        <v>#REF!</v>
      </c>
      <c r="EC403" s="692" t="str">
        <f ca="1">IFERROR(VLOOKUP(INDEX(DY395:DY406,EB403),ELM,2,FALSE),"----")</f>
        <v>----</v>
      </c>
      <c r="ED403" s="691" t="e">
        <f t="shared" ca="1" si="7054"/>
        <v>#N/A</v>
      </c>
      <c r="EE403" s="4" t="e">
        <f ca="1">IF(LEFT($J395,7)="Clad Wo",IF(AND(INDEX(SPPWS,ED403,4)&gt;=$AB401,INDEX(SPPWS,ED403,5)&gt;=$S395,INDEX(SPPWS,ED403,6)&gt;=$R395),1,0),IF(AND(INDEX(SPM,ED403,4)&gt;=$AB401,INDEX(SPM,ED403,5)&gt;=$S395,INDEX(SPM,ED403,6)&gt;=$R395),1,0))</f>
        <v>#N/A</v>
      </c>
      <c r="EF403" s="4" t="e">
        <f t="shared" ref="EF403" ca="1" si="7166">MATCH(1,OFFSET(EE395:EE406,EG402,0,COUNT(EE395:EE406)-EG402),0)</f>
        <v>#REF!</v>
      </c>
      <c r="EG403" s="4" t="e">
        <f t="shared" ca="1" si="7056"/>
        <v>#REF!</v>
      </c>
      <c r="EH403" s="692" t="str">
        <f ca="1">IF(LEFT($J395,7)="Clad Wo",IFERROR(VLOOKUP(INDEX(ED395:ED406,EG403),SPPWS,2,FALSE),"----"),IFERROR(VLOOKUP(INDEX(ED395:ED406,EG403),SPM,2,FALSE),"----"))</f>
        <v>----</v>
      </c>
    </row>
    <row r="404" spans="1:138" ht="15" customHeight="1" x14ac:dyDescent="0.25">
      <c r="A404" s="1085"/>
      <c r="B404" s="925"/>
      <c r="C404" s="926"/>
      <c r="D404" s="927"/>
      <c r="E404" s="995"/>
      <c r="F404" s="996"/>
      <c r="G404" s="997"/>
      <c r="H404" s="1062"/>
      <c r="I404" s="990"/>
      <c r="J404" s="902"/>
      <c r="K404" s="903"/>
      <c r="L404" s="1002"/>
      <c r="M404" s="923"/>
      <c r="N404" s="1042"/>
      <c r="O404" s="1018"/>
      <c r="P404" s="987"/>
      <c r="Q404" s="1015"/>
      <c r="R404" s="1012"/>
      <c r="S404" s="1006"/>
      <c r="T404" s="1007"/>
      <c r="U404" s="878"/>
      <c r="V404" s="881"/>
      <c r="W404" s="884"/>
      <c r="X404" s="884"/>
      <c r="Y404" s="887"/>
      <c r="Z404" s="887"/>
      <c r="AA404" s="887"/>
      <c r="AB404" s="1081"/>
      <c r="AC404" s="1078"/>
      <c r="AD404" s="1070" t="str">
        <f t="shared" si="5955"/>
        <v>Steel Tube</v>
      </c>
      <c r="AE404" s="1071"/>
      <c r="AF404" s="1052"/>
      <c r="AG404" s="1053"/>
      <c r="AH404" s="1053"/>
      <c r="AI404" s="1066"/>
      <c r="AJ404" s="1067"/>
      <c r="AK404" s="156" t="str">
        <f t="shared" ca="1" si="6208"/>
        <v/>
      </c>
      <c r="AL404" s="1059"/>
      <c r="AM404" s="343" t="str">
        <f ca="1">IFERROR(Q395/12*ROUND(VLOOKUP(AF404,OFFSET(STM,0,1),6,FALSE),2),"")</f>
        <v/>
      </c>
      <c r="AN404" t="str">
        <f t="shared" ca="1" si="6226"/>
        <v/>
      </c>
      <c r="AP404" s="122" t="str">
        <f t="shared" ref="AP404" si="7167">_xlfn.CONCAT(AR404,AS406)</f>
        <v/>
      </c>
      <c r="AQ404" s="683" t="str">
        <f t="shared" si="6434"/>
        <v/>
      </c>
      <c r="AR404" s="4" t="str">
        <f t="shared" si="6193"/>
        <v/>
      </c>
      <c r="AS404" s="4"/>
      <c r="AT404" s="697" t="str">
        <f>AL401</f>
        <v/>
      </c>
      <c r="AU404" s="694" t="e">
        <f t="shared" ca="1" si="6450"/>
        <v>#REF!</v>
      </c>
      <c r="AV404" s="686" t="str">
        <f ca="1">IFERROR(VLOOKUP(AU404,INDIRECT(AQ395),2,FALSE),"----")</f>
        <v>----</v>
      </c>
      <c r="AW404" s="694" t="e">
        <f t="shared" ca="1" si="6451"/>
        <v>#REF!</v>
      </c>
      <c r="AX404" s="686" t="str">
        <f ca="1">IFERROR(VLOOKUP(AW404,INDIRECT(AQ396),2,FALSE),"----")</f>
        <v>----</v>
      </c>
      <c r="AY404" s="694" t="e">
        <f t="shared" ca="1" si="6210"/>
        <v>#REF!</v>
      </c>
      <c r="AZ404" s="686" t="str">
        <f ca="1">IFERROR(VLOOKUP(AY404,INDIRECT(AQ397),2,FALSE),"----")</f>
        <v>----</v>
      </c>
      <c r="BA404" s="694" t="e">
        <f t="shared" ca="1" si="6211"/>
        <v>#REF!</v>
      </c>
      <c r="BB404" s="686" t="str">
        <f ca="1">IFERROR(VLOOKUP(BA404,INDIRECT(AQ398),2,FALSE),"----")</f>
        <v>----</v>
      </c>
      <c r="BC404" s="694" t="e">
        <f t="shared" ca="1" si="6452"/>
        <v>#REF!</v>
      </c>
      <c r="BD404" s="686" t="str">
        <f ca="1">IFERROR(VLOOKUP(BC404,INDIRECT(AQ399),2,FALSE),"----")</f>
        <v>----</v>
      </c>
      <c r="BE404" s="694" t="e">
        <f t="shared" ca="1" si="6453"/>
        <v>#REF!</v>
      </c>
      <c r="BF404" s="686" t="str">
        <f ca="1">IFERROR(VLOOKUP(BE404,INDIRECT(AQ400),2,FALSE),"----")</f>
        <v>----</v>
      </c>
      <c r="BG404" s="702" t="e">
        <f t="shared" ca="1" si="6454"/>
        <v>#REF!</v>
      </c>
      <c r="BH404" s="686" t="str">
        <f ca="1">IFERROR(VLOOKUP(BG404,INDIRECT(AQ401),2,FALSE),"----")</f>
        <v>----</v>
      </c>
      <c r="BI404" s="702" t="e">
        <f t="shared" ca="1" si="6455"/>
        <v>#REF!</v>
      </c>
      <c r="BJ404" s="686" t="str">
        <f ca="1">IFERROR(VLOOKUP(BI404,INDIRECT(AQ402),2,FALSE),"----")</f>
        <v>----</v>
      </c>
      <c r="BK404" s="702" t="e">
        <f t="shared" ca="1" si="6456"/>
        <v>#REF!</v>
      </c>
      <c r="BL404" s="686" t="str">
        <f ca="1">IFERROR(VLOOKUP(BK404,INDIRECT(AQ403),2,FALSE),"----")</f>
        <v>----</v>
      </c>
      <c r="BM404" s="702" t="e">
        <f t="shared" ca="1" si="6457"/>
        <v>#REF!</v>
      </c>
      <c r="BN404" s="686" t="str">
        <f ca="1">IFERROR(VLOOKUP(BM404,INDIRECT(AQ404),2,FALSE),"----")</f>
        <v>----</v>
      </c>
      <c r="BO404" s="702" t="e">
        <f t="shared" ca="1" si="6458"/>
        <v>#REF!</v>
      </c>
      <c r="BP404" s="686" t="str">
        <f ca="1">IFERROR(VLOOKUP(BO404,INDIRECT(AQ405),2,FALSE),"----")</f>
        <v>----</v>
      </c>
      <c r="BQ404" s="702" t="e">
        <f t="shared" ca="1" si="6459"/>
        <v>#REF!</v>
      </c>
      <c r="BR404" s="686" t="str">
        <f ca="1">IFERROR(VLOOKUP(BQ404,INDIRECT(AQ406),2,FALSE),"----")</f>
        <v>----</v>
      </c>
      <c r="BS404" s="695">
        <f>IF(AI404="",1,IF(COUNTIF(BN395:BN406,AI404)=0,2,1))</f>
        <v>1</v>
      </c>
      <c r="BT404" s="696">
        <f>IF(AF404="",1,IF(BN395=".",2,1))</f>
        <v>1</v>
      </c>
      <c r="BU404" s="706"/>
      <c r="BV404" s="155">
        <f ca="1">IF(COUNTIF(DX395:DX406,AF404)=0,IF(AF404&lt;&gt;"",0,1),1)</f>
        <v>1</v>
      </c>
      <c r="BW404" s="157">
        <f ca="1">IFERROR(MATCH(AF404,DX395:DX406,0),1)</f>
        <v>1</v>
      </c>
      <c r="BX404" s="769" t="e">
        <f t="shared" ref="BX404" si="7168">5*E395^3*W401/(384*X395)</f>
        <v>#VALUE!</v>
      </c>
      <c r="BY404" s="769" t="e">
        <f t="shared" ref="BY404" si="7169">E395^3*W401/(60*X395)</f>
        <v>#VALUE!</v>
      </c>
      <c r="BZ404" s="1110"/>
      <c r="CA404" s="691" t="e">
        <f t="shared" ca="1" si="7021"/>
        <v>#REF!</v>
      </c>
      <c r="CB404" s="4" t="e" cm="1">
        <f t="array" aca="1" ref="CB404" ca="1">IF(AND(INDEX(INDIRECT(BY395),CA404,4)&gt;=$AB395,INDEX(INDIRECT(BY395),CA404,5)&gt;=$S395,INDEX(INDIRECT(BY395),CA404,6)&gt;=$R395),1,0)</f>
        <v>#REF!</v>
      </c>
      <c r="CC404" s="4" t="e">
        <f t="shared" ref="CC404" ca="1" si="7170">MATCH(1,OFFSET(CB395:CB406,CD403,0,COUNT(CB395:CB406)-CD403),0)</f>
        <v>#REF!</v>
      </c>
      <c r="CD404" s="4" t="e">
        <f t="shared" ca="1" si="7023"/>
        <v>#REF!</v>
      </c>
      <c r="CE404" s="692" t="str" cm="1">
        <f t="array" aca="1" ref="CE404" ca="1">IFERROR(VLOOKUP(INDEX(CA395:CA406,CD404),INDIRECT(BY395),2,FALSE),"----")</f>
        <v>----</v>
      </c>
      <c r="CF404" s="691" t="e">
        <f t="shared" ca="1" si="7024"/>
        <v>#N/A</v>
      </c>
      <c r="CG404" s="4" t="e">
        <f ca="1">IF(AND(INDEX(SSM,CF404,4)&gt;=$AB395,INDEX(SSM,CF404,5)&gt;=$S395,INDEX(SSM,CF404,6)&gt;=$R395),1,0)</f>
        <v>#N/A</v>
      </c>
      <c r="CH404" s="4" t="e">
        <f t="shared" ref="CH404" ca="1" si="7171">MATCH(1,OFFSET(CG395:CG406,CI403,0,COUNT(CG395:CG406)-CI403),0)</f>
        <v>#REF!</v>
      </c>
      <c r="CI404" s="4" t="e">
        <f t="shared" ca="1" si="7026"/>
        <v>#REF!</v>
      </c>
      <c r="CJ404" s="692" t="str">
        <f ca="1">IFERROR(IF(AD396="Nested Steel Stud (wood infill)",VLOOKUP(INDEX(CF395:CF406,CI404),SSW,2,FALSE),VLOOKUP(INDEX(CF395:CF406,CI404),SSM,2,FALSE)),"----")</f>
        <v>----</v>
      </c>
      <c r="CK404" s="691" t="e">
        <f t="shared" ca="1" si="7027"/>
        <v>#N/A</v>
      </c>
      <c r="CL404" s="4" t="e">
        <f ca="1">IF(AND(INDEX(WSM,CK404,4)&gt;=$AB395,INDEX(WSM,CK404,5)&gt;=$S395,INDEX(WSM,CK404,6)&gt;=$R395),1,0)</f>
        <v>#N/A</v>
      </c>
      <c r="CM404" s="4" t="e">
        <f t="shared" ref="CM404" ca="1" si="7172">MATCH(1,OFFSET(CL395:CL406,CN403,0,COUNT(CL395:CL406)-CN403),0)</f>
        <v>#REF!</v>
      </c>
      <c r="CN404" s="4" t="e">
        <f t="shared" ca="1" si="7029"/>
        <v>#REF!</v>
      </c>
      <c r="CO404" s="692" t="str">
        <f ca="1">IFERROR(VLOOKUP(INDEX(CK395:CK406,CN404),WSM,2,FALSE),"----")</f>
        <v>----</v>
      </c>
      <c r="CP404" s="691" t="e">
        <f t="shared" ca="1" si="7030"/>
        <v>#N/A</v>
      </c>
      <c r="CQ404" s="4" t="e">
        <f ca="1">IF(AND(INDEX(STM,CP404,4)&gt;=$AB395,INDEX(STM,CP404,5)&gt;=$S395,INDEX(STM,CP404,6)&gt;=$R395),1,0)</f>
        <v>#N/A</v>
      </c>
      <c r="CR404" s="4" t="e">
        <f t="shared" ref="CR404" ca="1" si="7173">MATCH(1,OFFSET(CQ395:CQ406,CS403,0,COUNT(CQ395:CQ406)-CS403),0)</f>
        <v>#REF!</v>
      </c>
      <c r="CS404" s="4" t="e">
        <f t="shared" ca="1" si="7032"/>
        <v>#REF!</v>
      </c>
      <c r="CT404" s="692" t="str">
        <f ca="1">IFERROR(VLOOKUP(INDEX(CP395:CP406,CS404),STM,2,FALSE),"----")</f>
        <v>----</v>
      </c>
      <c r="CU404" s="691" t="e">
        <f t="shared" ca="1" si="7033"/>
        <v>#N/A</v>
      </c>
      <c r="CV404" s="4" t="e">
        <f ca="1">IF(AND(INDEX(ELM,CU404,4)&gt;=$AB395,INDEX(ELM,CU404,5)&gt;=$S395,INDEX(ELM,CU404,6)&gt;=$R395),1,0)</f>
        <v>#N/A</v>
      </c>
      <c r="CW404" s="4" t="e">
        <f t="shared" ref="CW404" ca="1" si="7174">MATCH(1,OFFSET(CV395:CV406,CX403,0,COUNT(CV395:CV406)-CX403),0)</f>
        <v>#REF!</v>
      </c>
      <c r="CX404" s="4" t="e">
        <f t="shared" ca="1" si="7035"/>
        <v>#REF!</v>
      </c>
      <c r="CY404" s="692" t="str">
        <f ca="1">IFERROR(VLOOKUP(INDEX(CU395:CU406,CX404),ELM,2,FALSE),"----")</f>
        <v>----</v>
      </c>
      <c r="CZ404" s="691" t="e">
        <f t="shared" ca="1" si="7036"/>
        <v>#N/A</v>
      </c>
      <c r="DA404" s="4" t="e">
        <f ca="1">IF(LEFT($J395,7)="Clad Wo",IF(AND(INDEX(SPPWS,CZ404,4)&gt;=$AB395,INDEX(SPPWS,CZ404,5)&gt;=$S395,INDEX(SPPWS,CZ404,6)&gt;=$R395),1,0),IF(AND(INDEX(SPM,CZ404,4)&gt;=$AB395,INDEX(SPM,CZ404,5)&gt;=$S395,INDEX(SPM,CZ404,6)&gt;=$R395),1,0))</f>
        <v>#N/A</v>
      </c>
      <c r="DB404" s="4" t="e">
        <f t="shared" ref="DB404" ca="1" si="7175">MATCH(1,OFFSET(DA395:DA406,DC403,0,COUNT(DA395:DA406)-DC403),0)</f>
        <v>#REF!</v>
      </c>
      <c r="DC404" s="4" t="e">
        <f t="shared" ca="1" si="7038"/>
        <v>#REF!</v>
      </c>
      <c r="DD404" s="693" t="str">
        <f ca="1">IF(LEFT($J395,7)="Clad Wo",IFERROR(VLOOKUP(INDEX(CZ395:CZ406,DC404),SPPWS,2,FALSE),"----"),IFERROR(VLOOKUP(INDEX(CZ395:CZ406,DC404),SPM,2,FALSE),"----"))</f>
        <v>----</v>
      </c>
      <c r="DE404" s="691" t="e">
        <f t="shared" ca="1" si="7039"/>
        <v>#REF!</v>
      </c>
      <c r="DF404" s="4" t="e" cm="1">
        <f t="array" aca="1" ref="DF404" ca="1">IF(AND(INDEX(INDIRECT(BY395),DE404,4)&gt;=$AB401,INDEX(INDIRECT(BY395),DE404,5)&gt;=$S395,INDEX(INDIRECT(BY395),DE404,6)&gt;=$R395),1,0)</f>
        <v>#REF!</v>
      </c>
      <c r="DG404" s="4" t="e">
        <f t="shared" ref="DG404" ca="1" si="7176">MATCH(1,OFFSET(DF395:DF406,DH403,0,COUNT(DF395:DF406)-DH403),0)</f>
        <v>#REF!</v>
      </c>
      <c r="DH404" s="4" t="e">
        <f t="shared" ca="1" si="7041"/>
        <v>#REF!</v>
      </c>
      <c r="DI404" s="692" t="str" cm="1">
        <f t="array" aca="1" ref="DI404" ca="1">IFERROR(VLOOKUP(INDEX(DE395:DE406,DH404),INDIRECT(BY395),2,FALSE),"----")</f>
        <v>----</v>
      </c>
      <c r="DJ404" s="691" t="e">
        <f t="shared" ca="1" si="7042"/>
        <v>#N/A</v>
      </c>
      <c r="DK404" s="4" t="e">
        <f ca="1">IF(AND(INDEX(SSM,DJ404,4)&gt;=$AB401,INDEX(SSM,DJ404,5)&gt;=$S395,INDEX(SSM,DJ404,6)&gt;=$R395),1,0)</f>
        <v>#N/A</v>
      </c>
      <c r="DL404" s="4" t="e">
        <f t="shared" ref="DL404" ca="1" si="7177">MATCH(1,OFFSET(DK395:DK406,DM403,0,COUNT(DK395:DK406)-DM403),0)</f>
        <v>#REF!</v>
      </c>
      <c r="DM404" s="4" t="e">
        <f t="shared" ca="1" si="7044"/>
        <v>#REF!</v>
      </c>
      <c r="DN404" s="692" t="str">
        <f ca="1">IFERROR(IF(AD402="Nested Steel Stud (wood infill)",VLOOKUP(INDEX(DJ395:DJ406,DM404),SSW,2,FALSE),VLOOKUP(INDEX(DJ395:DJ406,DM404),SSM,2,FALSE)),"----")</f>
        <v>----</v>
      </c>
      <c r="DO404" s="691" t="e">
        <f t="shared" ca="1" si="7045"/>
        <v>#N/A</v>
      </c>
      <c r="DP404" s="4" t="e">
        <f ca="1">IF(AND(INDEX(WSM,DO404,4)&gt;=$AB401,INDEX(WSM,DO404,5)&gt;=$S395,INDEX(WSM,DO404,6)&gt;=$R395),1,0)</f>
        <v>#N/A</v>
      </c>
      <c r="DQ404" s="4" t="e">
        <f t="shared" ref="DQ404" ca="1" si="7178">MATCH(1,OFFSET(DP395:DP406,DR403,0,COUNT(DP395:DP406)-DR403),0)</f>
        <v>#REF!</v>
      </c>
      <c r="DR404" s="4" t="e">
        <f t="shared" ca="1" si="7047"/>
        <v>#REF!</v>
      </c>
      <c r="DS404" s="692" t="str">
        <f ca="1">IFERROR(VLOOKUP(INDEX(DO395:DO406,DR404),WSM,2,FALSE),"----")</f>
        <v>----</v>
      </c>
      <c r="DT404" s="691" t="e">
        <f t="shared" ca="1" si="7048"/>
        <v>#N/A</v>
      </c>
      <c r="DU404" s="4" t="e">
        <f ca="1">IF(AND(INDEX(STM,DT404,4)&gt;=$AB401,INDEX(STM,DT404,5)&gt;=$S395,INDEX(STM,DT404,6)&gt;=$R395),1,0)</f>
        <v>#N/A</v>
      </c>
      <c r="DV404" s="4" t="e">
        <f t="shared" ref="DV404" ca="1" si="7179">MATCH(1,OFFSET(DU395:DU406,DW403,0,COUNT(DU395:DU406)-DW403),0)</f>
        <v>#REF!</v>
      </c>
      <c r="DW404" s="4" t="e">
        <f t="shared" ca="1" si="7050"/>
        <v>#REF!</v>
      </c>
      <c r="DX404" s="692" t="str">
        <f ca="1">IFERROR(VLOOKUP(INDEX(DT395:DT406,DW404),STM,2,FALSE),"----")</f>
        <v>----</v>
      </c>
      <c r="DY404" s="691" t="e">
        <f t="shared" ca="1" si="7051"/>
        <v>#N/A</v>
      </c>
      <c r="DZ404" s="4" t="e">
        <f ca="1">IF(AND(INDEX(ELM,DY404,4)&gt;=$AB401,INDEX(ELM,DY404,5)&gt;=$S395,INDEX(ELM,DY404,6)&gt;=$R395),1,0)</f>
        <v>#N/A</v>
      </c>
      <c r="EA404" s="4" t="e">
        <f t="shared" ref="EA404" ca="1" si="7180">MATCH(1,OFFSET(DZ395:DZ406,EB403,0,COUNT(DZ395:DZ406)-EB403),0)</f>
        <v>#REF!</v>
      </c>
      <c r="EB404" s="4" t="e">
        <f t="shared" ca="1" si="7053"/>
        <v>#REF!</v>
      </c>
      <c r="EC404" s="692" t="str">
        <f ca="1">IFERROR(VLOOKUP(INDEX(DY395:DY406,EB404),ELM,2,FALSE),"----")</f>
        <v>----</v>
      </c>
      <c r="ED404" s="691" t="e">
        <f t="shared" ca="1" si="7054"/>
        <v>#N/A</v>
      </c>
      <c r="EE404" s="4" t="e">
        <f ca="1">IF(LEFT($J395,7)="Clad Wo",IF(AND(INDEX(SPPWS,ED404,4)&gt;=$AB401,INDEX(SPPWS,ED404,5)&gt;=$S395,INDEX(SPPWS,ED404,6)&gt;=$R395),1,0),IF(AND(INDEX(SPM,ED404,4)&gt;=$AB401,INDEX(SPM,ED404,5)&gt;=$S395,INDEX(SPM,ED404,6)&gt;=$R395),1,0))</f>
        <v>#N/A</v>
      </c>
      <c r="EF404" s="4" t="e">
        <f t="shared" ref="EF404" ca="1" si="7181">MATCH(1,OFFSET(EE395:EE406,EG403,0,COUNT(EE395:EE406)-EG403),0)</f>
        <v>#REF!</v>
      </c>
      <c r="EG404" s="4" t="e">
        <f t="shared" ca="1" si="7056"/>
        <v>#REF!</v>
      </c>
      <c r="EH404" s="692" t="str">
        <f ca="1">IF(LEFT($J395,7)="Clad Wo",IFERROR(VLOOKUP(INDEX(ED395:ED406,EG404),SPPWS,2,FALSE),"----"),IFERROR(VLOOKUP(INDEX(ED395:ED406,EG404),SPM,2,FALSE),"----"))</f>
        <v>----</v>
      </c>
    </row>
    <row r="405" spans="1:138" ht="15" customHeight="1" x14ac:dyDescent="0.25">
      <c r="A405" s="1085"/>
      <c r="B405" s="925"/>
      <c r="C405" s="926"/>
      <c r="D405" s="927"/>
      <c r="E405" s="995"/>
      <c r="F405" s="996"/>
      <c r="G405" s="997"/>
      <c r="H405" s="1062"/>
      <c r="I405" s="990"/>
      <c r="J405" s="902"/>
      <c r="K405" s="903"/>
      <c r="L405" s="1002"/>
      <c r="M405" s="923"/>
      <c r="N405" s="1042"/>
      <c r="O405" s="1018"/>
      <c r="P405" s="987"/>
      <c r="Q405" s="1015"/>
      <c r="R405" s="1012"/>
      <c r="S405" s="1006"/>
      <c r="T405" s="1007"/>
      <c r="U405" s="878"/>
      <c r="V405" s="881"/>
      <c r="W405" s="884"/>
      <c r="X405" s="884"/>
      <c r="Y405" s="887"/>
      <c r="Z405" s="887"/>
      <c r="AA405" s="887"/>
      <c r="AB405" s="1081"/>
      <c r="AC405" s="1078"/>
      <c r="AD405" s="1070" t="str">
        <f t="shared" si="5955"/>
        <v>Engineered Lumber</v>
      </c>
      <c r="AE405" s="1071"/>
      <c r="AF405" s="1052"/>
      <c r="AG405" s="1053"/>
      <c r="AH405" s="1053"/>
      <c r="AI405" s="1068"/>
      <c r="AJ405" s="1069"/>
      <c r="AK405" s="154" t="str">
        <f t="shared" ca="1" si="6208"/>
        <v/>
      </c>
      <c r="AL405" s="1059"/>
      <c r="AM405" s="344" t="str">
        <f ca="1">IFERROR(Q395/12*ROUND(VLOOKUP(AF405,OFFSET(ELM,0,1),6,FALSE),2),"")</f>
        <v/>
      </c>
      <c r="AN405" t="str">
        <f t="shared" ca="1" si="6226"/>
        <v/>
      </c>
      <c r="AP405" s="122" t="str">
        <f t="shared" ref="AP405" si="7182">_xlfn.CONCAT(AR405,AS406)</f>
        <v/>
      </c>
      <c r="AQ405" s="683" t="str">
        <f t="shared" si="6434"/>
        <v/>
      </c>
      <c r="AR405" s="4" t="str">
        <f t="shared" si="6193"/>
        <v/>
      </c>
      <c r="AS405" s="4"/>
      <c r="AT405" s="697" t="str">
        <f>AL401</f>
        <v/>
      </c>
      <c r="AU405" s="694" t="e">
        <f t="shared" ca="1" si="6450"/>
        <v>#REF!</v>
      </c>
      <c r="AV405" s="698" t="str">
        <f ca="1">IFERROR(VLOOKUP(AU405,INDIRECT(AQ395),2,FALSE),"----")</f>
        <v>----</v>
      </c>
      <c r="AW405" s="694" t="e">
        <f t="shared" ca="1" si="6451"/>
        <v>#REF!</v>
      </c>
      <c r="AX405" s="698" t="str">
        <f ca="1">IFERROR(VLOOKUP(AW405,INDIRECT(AQ396),2,FALSE),"----")</f>
        <v>----</v>
      </c>
      <c r="AY405" s="694" t="e">
        <f t="shared" ca="1" si="6210"/>
        <v>#REF!</v>
      </c>
      <c r="AZ405" s="698" t="str">
        <f ca="1">IFERROR(VLOOKUP(AY405,INDIRECT(AQ397),2,FALSE),"----")</f>
        <v>----</v>
      </c>
      <c r="BA405" s="694" t="e">
        <f t="shared" ca="1" si="6211"/>
        <v>#REF!</v>
      </c>
      <c r="BB405" s="698" t="str">
        <f ca="1">IFERROR(VLOOKUP(BA405,INDIRECT(AQ398),2,FALSE),"----")</f>
        <v>----</v>
      </c>
      <c r="BC405" s="694" t="e">
        <f t="shared" ca="1" si="6452"/>
        <v>#REF!</v>
      </c>
      <c r="BD405" s="698" t="str">
        <f ca="1">IFERROR(VLOOKUP(BC405,INDIRECT(AQ399),2,FALSE),"----")</f>
        <v>----</v>
      </c>
      <c r="BE405" s="694" t="e">
        <f t="shared" ca="1" si="6453"/>
        <v>#REF!</v>
      </c>
      <c r="BF405" s="698" t="str">
        <f ca="1">IFERROR(VLOOKUP(BE405,INDIRECT(AQ400),2,FALSE),"----")</f>
        <v>----</v>
      </c>
      <c r="BG405" s="702" t="e">
        <f t="shared" ca="1" si="6454"/>
        <v>#REF!</v>
      </c>
      <c r="BH405" s="686" t="str">
        <f ca="1">IFERROR(VLOOKUP(BG405,INDIRECT(AQ401),2,FALSE),"----")</f>
        <v>----</v>
      </c>
      <c r="BI405" s="702" t="e">
        <f t="shared" ca="1" si="6455"/>
        <v>#REF!</v>
      </c>
      <c r="BJ405" s="686" t="str">
        <f ca="1">IFERROR(VLOOKUP(BI405,INDIRECT(AQ402),2,FALSE),"----")</f>
        <v>----</v>
      </c>
      <c r="BK405" s="702" t="e">
        <f t="shared" ca="1" si="6456"/>
        <v>#REF!</v>
      </c>
      <c r="BL405" s="686" t="str">
        <f ca="1">IFERROR(VLOOKUP(BK405,INDIRECT(AQ403),2,FALSE),"----")</f>
        <v>----</v>
      </c>
      <c r="BM405" s="702" t="e">
        <f t="shared" ca="1" si="6457"/>
        <v>#REF!</v>
      </c>
      <c r="BN405" s="686" t="str">
        <f ca="1">IFERROR(VLOOKUP(BM405,INDIRECT(AQ404),2,FALSE),"----")</f>
        <v>----</v>
      </c>
      <c r="BO405" s="702" t="e">
        <f t="shared" ca="1" si="6458"/>
        <v>#REF!</v>
      </c>
      <c r="BP405" s="686" t="str">
        <f ca="1">IFERROR(VLOOKUP(BO405,INDIRECT(AQ405),2,FALSE),"----")</f>
        <v>----</v>
      </c>
      <c r="BQ405" s="702" t="e">
        <f t="shared" ca="1" si="6459"/>
        <v>#REF!</v>
      </c>
      <c r="BR405" s="686" t="str">
        <f ca="1">IFERROR(VLOOKUP(BQ405,INDIRECT(AQ406),2,FALSE),"----")</f>
        <v>----</v>
      </c>
      <c r="BS405" s="695">
        <f>IF(AI405="",1,IF(COUNTIF(BP395:BP406,AI405)=0,2,1))</f>
        <v>1</v>
      </c>
      <c r="BT405" s="696">
        <f>IF(AF405="",1,IF(BP395=".",2,1))</f>
        <v>1</v>
      </c>
      <c r="BU405" s="706"/>
      <c r="BV405" s="155">
        <f ca="1">IF(COUNTIF(EC395:EC406,AF405)=0,IF(AF405&lt;&gt;"",0,1),1)</f>
        <v>1</v>
      </c>
      <c r="BW405" s="157">
        <f ca="1">IFERROR(MATCH(AF405,EC395:EC406,0),1)</f>
        <v>1</v>
      </c>
      <c r="BX405" s="769"/>
      <c r="BY405" s="769"/>
      <c r="BZ405" s="1110"/>
      <c r="CA405" s="691" t="e">
        <f t="shared" ca="1" si="7021"/>
        <v>#REF!</v>
      </c>
      <c r="CB405" s="4" t="e" cm="1">
        <f t="array" aca="1" ref="CB405" ca="1">IF(AND(INDEX(INDIRECT(BY395),CA405,4)&gt;=$AB395,INDEX(INDIRECT(BY395),CA405,5)&gt;=$S395,INDEX(INDIRECT(BY395),CA405,6)&gt;=$R395),1,0)</f>
        <v>#REF!</v>
      </c>
      <c r="CC405" s="4" t="e">
        <f t="shared" ref="CC405" ca="1" si="7183">MATCH(1,OFFSET(CB395:CB406,CD404,0,COUNT(CB395:CB406)-CD404),0)</f>
        <v>#REF!</v>
      </c>
      <c r="CD405" s="4" t="e">
        <f t="shared" ca="1" si="7023"/>
        <v>#REF!</v>
      </c>
      <c r="CE405" s="692" t="str" cm="1">
        <f t="array" aca="1" ref="CE405" ca="1">IFERROR(VLOOKUP(INDEX(CA395:CA406,CD405),INDIRECT(BY395),2,FALSE),"----")</f>
        <v>----</v>
      </c>
      <c r="CF405" s="691" t="e">
        <f t="shared" ca="1" si="7024"/>
        <v>#N/A</v>
      </c>
      <c r="CG405" s="4" t="e">
        <f ca="1">IF(AND(INDEX(SSM,CF405,4)&gt;=$AB395,INDEX(SSM,CF405,5)&gt;=$S395,INDEX(SSM,CF405,6)&gt;=$R395),1,0)</f>
        <v>#N/A</v>
      </c>
      <c r="CH405" s="4" t="e">
        <f t="shared" ref="CH405" ca="1" si="7184">MATCH(1,OFFSET(CG395:CG406,CI404,0,COUNT(CG395:CG406)-CI404),0)</f>
        <v>#REF!</v>
      </c>
      <c r="CI405" s="4" t="e">
        <f t="shared" ca="1" si="7026"/>
        <v>#REF!</v>
      </c>
      <c r="CJ405" s="692" t="str">
        <f ca="1">IFERROR(IF(AD396="Nested Steel Stud (wood infill)",VLOOKUP(INDEX(CF395:CF406,CI405),SSW,2,FALSE),VLOOKUP(INDEX(CF395:CF406,CI405),SSM,2,FALSE)),"----")</f>
        <v>----</v>
      </c>
      <c r="CK405" s="691" t="e">
        <f t="shared" ca="1" si="7027"/>
        <v>#N/A</v>
      </c>
      <c r="CL405" s="4" t="e">
        <f ca="1">IF(AND(INDEX(WSM,CK405,4)&gt;=$AB395,INDEX(WSM,CK405,5)&gt;=$S395,INDEX(WSM,CK405,6)&gt;=$R395),1,0)</f>
        <v>#N/A</v>
      </c>
      <c r="CM405" s="4" t="e">
        <f t="shared" ref="CM405" ca="1" si="7185">MATCH(1,OFFSET(CL395:CL406,CN404,0,COUNT(CL395:CL406)-CN404),0)</f>
        <v>#REF!</v>
      </c>
      <c r="CN405" s="4" t="e">
        <f t="shared" ca="1" si="7029"/>
        <v>#REF!</v>
      </c>
      <c r="CO405" s="692" t="str">
        <f ca="1">IFERROR(VLOOKUP(INDEX(CK395:CK406,CN405),WSM,2,FALSE),"----")</f>
        <v>----</v>
      </c>
      <c r="CP405" s="691" t="e">
        <f t="shared" ca="1" si="7030"/>
        <v>#N/A</v>
      </c>
      <c r="CQ405" s="4" t="e">
        <f ca="1">IF(AND(INDEX(STM,CP405,4)&gt;=$AB395,INDEX(STM,CP405,5)&gt;=$S395,INDEX(STM,CP405,6)&gt;=$R395),1,0)</f>
        <v>#N/A</v>
      </c>
      <c r="CR405" s="4" t="e">
        <f t="shared" ref="CR405" ca="1" si="7186">MATCH(1,OFFSET(CQ395:CQ406,CS404,0,COUNT(CQ395:CQ406)-CS404),0)</f>
        <v>#REF!</v>
      </c>
      <c r="CS405" s="4" t="e">
        <f t="shared" ca="1" si="7032"/>
        <v>#REF!</v>
      </c>
      <c r="CT405" s="692" t="str">
        <f ca="1">IFERROR(VLOOKUP(INDEX(CP395:CP406,CS405),STM,2,FALSE),"----")</f>
        <v>----</v>
      </c>
      <c r="CU405" s="691" t="e">
        <f t="shared" ca="1" si="7033"/>
        <v>#N/A</v>
      </c>
      <c r="CV405" s="4" t="e">
        <f ca="1">IF(AND(INDEX(ELM,CU405,4)&gt;=$AB395,INDEX(ELM,CU405,5)&gt;=$S395,INDEX(ELM,CU405,6)&gt;=$R395),1,0)</f>
        <v>#N/A</v>
      </c>
      <c r="CW405" s="4" t="e">
        <f t="shared" ref="CW405" ca="1" si="7187">MATCH(1,OFFSET(CV395:CV406,CX404,0,COUNT(CV395:CV406)-CX404),0)</f>
        <v>#REF!</v>
      </c>
      <c r="CX405" s="4" t="e">
        <f t="shared" ca="1" si="7035"/>
        <v>#REF!</v>
      </c>
      <c r="CY405" s="692" t="str">
        <f ca="1">IFERROR(VLOOKUP(INDEX(CU395:CU406,CX405),ELM,2,FALSE),"----")</f>
        <v>----</v>
      </c>
      <c r="CZ405" s="691" t="e">
        <f t="shared" ca="1" si="7036"/>
        <v>#N/A</v>
      </c>
      <c r="DA405" s="4" t="e">
        <f ca="1">IF(LEFT($J395,7)="Clad Wo",IF(AND(INDEX(SPPWS,CZ405,4)&gt;=$AB395,INDEX(SPPWS,CZ405,5)&gt;=$S395,INDEX(SPPWS,CZ405,6)&gt;=$R395),1,0),IF(AND(INDEX(SPM,CZ405,4)&gt;=$AB395,INDEX(SPM,CZ405,5)&gt;=$S395,INDEX(SPM,CZ405,6)&gt;=$R395),1,0))</f>
        <v>#N/A</v>
      </c>
      <c r="DB405" s="4" t="e">
        <f t="shared" ref="DB405" ca="1" si="7188">MATCH(1,OFFSET(DA395:DA406,DC404,0,COUNT(DA395:DA406)-DC404),0)</f>
        <v>#REF!</v>
      </c>
      <c r="DC405" s="4" t="e">
        <f t="shared" ca="1" si="7038"/>
        <v>#REF!</v>
      </c>
      <c r="DD405" s="693" t="str">
        <f ca="1">IF(LEFT($J395,7)="Clad Wo",IFERROR(VLOOKUP(INDEX(CZ395:CZ406,DC405),SPPWS,2,FALSE),"----"),IFERROR(VLOOKUP(INDEX(CZ395:CZ406,DC405),SPM,2,FALSE),"----"))</f>
        <v>----</v>
      </c>
      <c r="DE405" s="691" t="e">
        <f t="shared" ca="1" si="7039"/>
        <v>#REF!</v>
      </c>
      <c r="DF405" s="4" t="e" cm="1">
        <f t="array" aca="1" ref="DF405" ca="1">IF(AND(INDEX(INDIRECT(BY395),DE405,4)&gt;=$AB401,INDEX(INDIRECT(BY395),DE405,5)&gt;=$S395,INDEX(INDIRECT(BY395),DE405,6)&gt;=$R395),1,0)</f>
        <v>#REF!</v>
      </c>
      <c r="DG405" s="4" t="e">
        <f t="shared" ref="DG405" ca="1" si="7189">MATCH(1,OFFSET(DF395:DF406,DH404,0,COUNT(DF395:DF406)-DH404),0)</f>
        <v>#REF!</v>
      </c>
      <c r="DH405" s="4" t="e">
        <f t="shared" ca="1" si="7041"/>
        <v>#REF!</v>
      </c>
      <c r="DI405" s="692" t="str" cm="1">
        <f t="array" aca="1" ref="DI405" ca="1">IFERROR(VLOOKUP(INDEX(DE395:DE406,DH405),INDIRECT(BY395),2,FALSE),"----")</f>
        <v>----</v>
      </c>
      <c r="DJ405" s="691" t="e">
        <f t="shared" ca="1" si="7042"/>
        <v>#N/A</v>
      </c>
      <c r="DK405" s="4" t="e">
        <f ca="1">IF(AND(INDEX(SSM,DJ405,4)&gt;=$AB401,INDEX(SSM,DJ405,5)&gt;=$S395,INDEX(SSM,DJ405,6)&gt;=$R395),1,0)</f>
        <v>#N/A</v>
      </c>
      <c r="DL405" s="4" t="e">
        <f t="shared" ref="DL405" ca="1" si="7190">MATCH(1,OFFSET(DK395:DK406,DM404,0,COUNT(DK395:DK406)-DM404),0)</f>
        <v>#REF!</v>
      </c>
      <c r="DM405" s="4" t="e">
        <f t="shared" ca="1" si="7044"/>
        <v>#REF!</v>
      </c>
      <c r="DN405" s="692" t="str">
        <f ca="1">IFERROR(IF(AD402="Nested Steel Stud (wood infill)",VLOOKUP(INDEX(DJ395:DJ406,DM405),SSW,2,FALSE),VLOOKUP(INDEX(DJ395:DJ406,DM405),SSM,2,FALSE)),"----")</f>
        <v>----</v>
      </c>
      <c r="DO405" s="691" t="e">
        <f t="shared" ca="1" si="7045"/>
        <v>#N/A</v>
      </c>
      <c r="DP405" s="4" t="e">
        <f ca="1">IF(AND(INDEX(WSM,DO405,4)&gt;=$AB401,INDEX(WSM,DO405,5)&gt;=$S395,INDEX(WSM,DO405,6)&gt;=$R395),1,0)</f>
        <v>#N/A</v>
      </c>
      <c r="DQ405" s="4" t="e">
        <f t="shared" ref="DQ405" ca="1" si="7191">MATCH(1,OFFSET(DP395:DP406,DR404,0,COUNT(DP395:DP406)-DR404),0)</f>
        <v>#REF!</v>
      </c>
      <c r="DR405" s="4" t="e">
        <f t="shared" ca="1" si="7047"/>
        <v>#REF!</v>
      </c>
      <c r="DS405" s="692" t="str">
        <f ca="1">IFERROR(VLOOKUP(INDEX(DO395:DO406,DR405),WSM,2,FALSE),"----")</f>
        <v>----</v>
      </c>
      <c r="DT405" s="691" t="e">
        <f t="shared" ca="1" si="7048"/>
        <v>#N/A</v>
      </c>
      <c r="DU405" s="4" t="e">
        <f ca="1">IF(AND(INDEX(STM,DT405,4)&gt;=$AB401,INDEX(STM,DT405,5)&gt;=$S395,INDEX(STM,DT405,6)&gt;=$R395),1,0)</f>
        <v>#N/A</v>
      </c>
      <c r="DV405" s="4" t="e">
        <f t="shared" ref="DV405" ca="1" si="7192">MATCH(1,OFFSET(DU395:DU406,DW404,0,COUNT(DU395:DU406)-DW404),0)</f>
        <v>#REF!</v>
      </c>
      <c r="DW405" s="4" t="e">
        <f t="shared" ca="1" si="7050"/>
        <v>#REF!</v>
      </c>
      <c r="DX405" s="692" t="str">
        <f ca="1">IFERROR(VLOOKUP(INDEX(DT395:DT406,DW405),STM,2,FALSE),"----")</f>
        <v>----</v>
      </c>
      <c r="DY405" s="691" t="e">
        <f t="shared" ca="1" si="7051"/>
        <v>#N/A</v>
      </c>
      <c r="DZ405" s="4" t="e">
        <f ca="1">IF(AND(INDEX(ELM,DY405,4)&gt;=$AB401,INDEX(ELM,DY405,5)&gt;=$S395,INDEX(ELM,DY405,6)&gt;=$R395),1,0)</f>
        <v>#N/A</v>
      </c>
      <c r="EA405" s="4" t="e">
        <f t="shared" ref="EA405" ca="1" si="7193">MATCH(1,OFFSET(DZ395:DZ406,EB404,0,COUNT(DZ395:DZ406)-EB404),0)</f>
        <v>#REF!</v>
      </c>
      <c r="EB405" s="4" t="e">
        <f t="shared" ca="1" si="7053"/>
        <v>#REF!</v>
      </c>
      <c r="EC405" s="692" t="str">
        <f ca="1">IFERROR(VLOOKUP(INDEX(DY395:DY406,EB405),ELM,2,FALSE),"----")</f>
        <v>----</v>
      </c>
      <c r="ED405" s="691" t="e">
        <f t="shared" ca="1" si="7054"/>
        <v>#N/A</v>
      </c>
      <c r="EE405" s="4" t="e">
        <f ca="1">IF(LEFT($J395,7)="Clad Wo",IF(AND(INDEX(SPPWS,ED405,4)&gt;=$AB401,INDEX(SPPWS,ED405,5)&gt;=$S395,INDEX(SPPWS,ED405,6)&gt;=$R395),1,0),IF(AND(INDEX(SPM,ED405,4)&gt;=$AB401,INDEX(SPM,ED405,5)&gt;=$S395,INDEX(SPM,ED405,6)&gt;=$R395),1,0))</f>
        <v>#N/A</v>
      </c>
      <c r="EF405" s="4" t="e">
        <f t="shared" ref="EF405" ca="1" si="7194">MATCH(1,OFFSET(EE395:EE406,EG404,0,COUNT(EE395:EE406)-EG404),0)</f>
        <v>#REF!</v>
      </c>
      <c r="EG405" s="4" t="e">
        <f t="shared" ca="1" si="7056"/>
        <v>#REF!</v>
      </c>
      <c r="EH405" s="692" t="str">
        <f ca="1">IF(LEFT($J395,7)="Clad Wo",IFERROR(VLOOKUP(INDEX(ED395:ED406,EG405),SPPWS,2,FALSE),"----"),IFERROR(VLOOKUP(INDEX(ED395:ED406,EG405),SPM,2,FALSE),"----"))</f>
        <v>----</v>
      </c>
    </row>
    <row r="406" spans="1:138" ht="15" customHeight="1" thickBot="1" x14ac:dyDescent="0.3">
      <c r="A406" s="1085"/>
      <c r="B406" s="928"/>
      <c r="C406" s="929"/>
      <c r="D406" s="930"/>
      <c r="E406" s="998"/>
      <c r="F406" s="999"/>
      <c r="G406" s="1000"/>
      <c r="H406" s="1063"/>
      <c r="I406" s="991"/>
      <c r="J406" s="904"/>
      <c r="K406" s="905"/>
      <c r="L406" s="1003"/>
      <c r="M406" s="1065"/>
      <c r="N406" s="1043"/>
      <c r="O406" s="1019"/>
      <c r="P406" s="988"/>
      <c r="Q406" s="1016"/>
      <c r="R406" s="1013"/>
      <c r="S406" s="1008"/>
      <c r="T406" s="1009"/>
      <c r="U406" s="879"/>
      <c r="V406" s="882"/>
      <c r="W406" s="885"/>
      <c r="X406" s="885"/>
      <c r="Y406" s="888"/>
      <c r="Z406" s="888"/>
      <c r="AA406" s="888"/>
      <c r="AB406" s="1082"/>
      <c r="AC406" s="1087"/>
      <c r="AD406" s="1098" t="str">
        <f t="shared" ref="AD406" si="7195">IF(LEFT(J395,7)="Clad Wo","Pella Wood Spr / Steel Pte","Steel Plate")</f>
        <v>Steel Plate</v>
      </c>
      <c r="AE406" s="1099"/>
      <c r="AF406" s="1096"/>
      <c r="AG406" s="1097"/>
      <c r="AH406" s="1097"/>
      <c r="AI406" s="1094"/>
      <c r="AJ406" s="1095"/>
      <c r="AK406" s="163" t="str">
        <f t="shared" ca="1" si="6208"/>
        <v/>
      </c>
      <c r="AL406" s="1060"/>
      <c r="AM406" s="345" t="str">
        <f ca="1">IFERROR(Q395/12*ROUND(VLOOKUP(AF406,OFFSET(SPM,0,1),6,FALSE),2),"")</f>
        <v/>
      </c>
      <c r="AN406" t="str">
        <f t="shared" ca="1" si="6226"/>
        <v/>
      </c>
      <c r="AP406" s="699" t="str">
        <f t="shared" ref="AP406" si="7196">_xlfn.CONCAT(AR406,AS406)</f>
        <v/>
      </c>
      <c r="AQ406" s="700" t="str">
        <f t="shared" si="6434"/>
        <v/>
      </c>
      <c r="AR406" s="160" t="str">
        <f t="shared" si="6193"/>
        <v/>
      </c>
      <c r="AS406" s="160" t="str">
        <f>IFERROR(VLOOKUP(J403, WallType,2,FALSE),"")</f>
        <v/>
      </c>
      <c r="AT406" s="707" t="str">
        <f>AL401</f>
        <v/>
      </c>
      <c r="AU406" s="708" t="e">
        <f t="shared" ca="1" si="6450"/>
        <v>#REF!</v>
      </c>
      <c r="AV406" s="709" t="str">
        <f ca="1">IFERROR(VLOOKUP(AU406,INDIRECT(AQ395),2,FALSE),"----")</f>
        <v>----</v>
      </c>
      <c r="AW406" s="710" t="e">
        <f t="shared" ca="1" si="6451"/>
        <v>#REF!</v>
      </c>
      <c r="AX406" s="709" t="str">
        <f ca="1">IFERROR(VLOOKUP(AW406,INDIRECT(AQ396),2,FALSE),"----")</f>
        <v>----</v>
      </c>
      <c r="AY406" s="710" t="e">
        <f t="shared" ca="1" si="6210"/>
        <v>#REF!</v>
      </c>
      <c r="AZ406" s="709" t="str">
        <f ca="1">IFERROR(VLOOKUP(AY406,INDIRECT(AQ397),2,FALSE),"----")</f>
        <v>----</v>
      </c>
      <c r="BA406" s="710" t="e">
        <f t="shared" ca="1" si="6211"/>
        <v>#REF!</v>
      </c>
      <c r="BB406" s="709" t="str">
        <f ca="1">IFERROR(VLOOKUP(BA406,INDIRECT(AQ398),2,FALSE),"----")</f>
        <v>----</v>
      </c>
      <c r="BC406" s="710" t="e">
        <f t="shared" ca="1" si="6452"/>
        <v>#REF!</v>
      </c>
      <c r="BD406" s="709" t="str">
        <f ca="1">IFERROR(VLOOKUP(BC406,INDIRECT(AQ399),2,FALSE),"----")</f>
        <v>----</v>
      </c>
      <c r="BE406" s="710" t="e">
        <f t="shared" ca="1" si="6453"/>
        <v>#REF!</v>
      </c>
      <c r="BF406" s="709" t="str">
        <f ca="1">IFERROR(VLOOKUP(BE406,INDIRECT(AQ400),2,FALSE),"----")</f>
        <v>----</v>
      </c>
      <c r="BG406" s="710" t="e">
        <f t="shared" ca="1" si="6454"/>
        <v>#REF!</v>
      </c>
      <c r="BH406" s="711" t="str">
        <f ca="1">IFERROR(VLOOKUP(BG406,INDIRECT(AQ401),2,FALSE),"----")</f>
        <v>----</v>
      </c>
      <c r="BI406" s="710" t="e">
        <f t="shared" ca="1" si="6455"/>
        <v>#REF!</v>
      </c>
      <c r="BJ406" s="711" t="str">
        <f ca="1">IFERROR(VLOOKUP(BI406,INDIRECT(AQ402),2,FALSE),"----")</f>
        <v>----</v>
      </c>
      <c r="BK406" s="710" t="e">
        <f t="shared" ca="1" si="6456"/>
        <v>#REF!</v>
      </c>
      <c r="BL406" s="711" t="str">
        <f ca="1">IFERROR(VLOOKUP(BK406,INDIRECT(AQ403),2,FALSE),"----")</f>
        <v>----</v>
      </c>
      <c r="BM406" s="710" t="e">
        <f t="shared" ca="1" si="6457"/>
        <v>#REF!</v>
      </c>
      <c r="BN406" s="711" t="str">
        <f ca="1">IFERROR(VLOOKUP(BM406,INDIRECT(AQ404),2,FALSE),"----")</f>
        <v>----</v>
      </c>
      <c r="BO406" s="710" t="e">
        <f t="shared" ca="1" si="6458"/>
        <v>#REF!</v>
      </c>
      <c r="BP406" s="711" t="str">
        <f ca="1">IFERROR(VLOOKUP(BO406,INDIRECT(AQ405),2,FALSE),"----")</f>
        <v>----</v>
      </c>
      <c r="BQ406" s="710" t="e">
        <f t="shared" ca="1" si="6459"/>
        <v>#REF!</v>
      </c>
      <c r="BR406" s="712" t="str">
        <f ca="1">IFERROR(VLOOKUP(BQ406,INDIRECT(AQ406),2,FALSE),"----")</f>
        <v>----</v>
      </c>
      <c r="BS406" s="695">
        <f>IF(AI406="",1,IF(COUNTIF(BR395:BR406,AI406)=0,2,1))</f>
        <v>1</v>
      </c>
      <c r="BT406" s="713">
        <f>IF(AF406="",1,IF(BR395=".",2,1))</f>
        <v>1</v>
      </c>
      <c r="BV406" s="155">
        <f ca="1">IF(COUNTIF(EH395:EH406,AF406)=0,IF(AF406&lt;&gt;"",0,1),1)</f>
        <v>1</v>
      </c>
      <c r="BW406" s="157">
        <f ca="1">IFERROR(MATCH(AF406,EH395:EH406,0),1)</f>
        <v>1</v>
      </c>
      <c r="BX406" s="718"/>
      <c r="BY406" s="777"/>
      <c r="BZ406" s="1110"/>
      <c r="CA406" s="714" t="e">
        <f t="shared" ca="1" si="7021"/>
        <v>#REF!</v>
      </c>
      <c r="CB406" s="715" t="e" cm="1">
        <f t="array" aca="1" ref="CB406" ca="1">IF(AND(INDEX(INDIRECT(BY395),CA406,4)&gt;=$AB395,INDEX(INDIRECT(BY395),CA406,5)&gt;=$S395,INDEX(INDIRECT(BY395),CA406,6)&gt;=$R395),1,0)</f>
        <v>#REF!</v>
      </c>
      <c r="CC406" s="715" t="e">
        <f t="shared" ref="CC406" ca="1" si="7197">MATCH(1,OFFSET(CB395:CB406,CD405,0,COUNT(CB395:CB406)-CD405),0)</f>
        <v>#REF!</v>
      </c>
      <c r="CD406" s="715" t="e">
        <f t="shared" ca="1" si="7023"/>
        <v>#REF!</v>
      </c>
      <c r="CE406" s="716" t="str" cm="1">
        <f t="array" aca="1" ref="CE406" ca="1">IFERROR(VLOOKUP(INDEX(CA395:CA406,CD406),INDIRECT(BY395),2,FALSE),"----")</f>
        <v>----</v>
      </c>
      <c r="CF406" s="714" t="e">
        <f t="shared" ca="1" si="7024"/>
        <v>#N/A</v>
      </c>
      <c r="CG406" s="715" t="e">
        <f ca="1">IF(AND(INDEX(SSM,CF406,4)&gt;=$AB395,INDEX(SSM,CF406,5)&gt;=$S395,INDEX(SSM,CF406,6)&gt;=$R395),1,0)</f>
        <v>#N/A</v>
      </c>
      <c r="CH406" s="715" t="e">
        <f t="shared" ref="CH406" ca="1" si="7198">MATCH(1,OFFSET(CG395:CG406,CI405,0,COUNT(CG395:CG406)-CI405),0)</f>
        <v>#REF!</v>
      </c>
      <c r="CI406" s="715" t="e">
        <f t="shared" ca="1" si="7026"/>
        <v>#REF!</v>
      </c>
      <c r="CJ406" s="716" t="str">
        <f ca="1">IFERROR(IF(AD396="Nested Steel Stud (wood infill)",VLOOKUP(INDEX(CF395:CF406,CI406),SSW,2,FALSE),VLOOKUP(INDEX(CF395:CF406,CI406),SSM,2,FALSE)),"----")</f>
        <v>----</v>
      </c>
      <c r="CK406" s="714" t="e">
        <f t="shared" ca="1" si="7027"/>
        <v>#N/A</v>
      </c>
      <c r="CL406" s="715" t="e">
        <f ca="1">IF(AND(INDEX(WSM,CK406,4)&gt;=$AB395,INDEX(WSM,CK406,5)&gt;=$S395,INDEX(WSM,CK406,6)&gt;=$R395),1,0)</f>
        <v>#N/A</v>
      </c>
      <c r="CM406" s="715" t="e">
        <f t="shared" ref="CM406" ca="1" si="7199">MATCH(1,OFFSET(CL395:CL406,CN405,0,COUNT(CL395:CL406)-CN405),0)</f>
        <v>#REF!</v>
      </c>
      <c r="CN406" s="715" t="e">
        <f t="shared" ca="1" si="7029"/>
        <v>#REF!</v>
      </c>
      <c r="CO406" s="716" t="str">
        <f ca="1">IFERROR(VLOOKUP(INDEX(CK395:CK406,CN406),WSM,2,FALSE),"----")</f>
        <v>----</v>
      </c>
      <c r="CP406" s="714" t="e">
        <f t="shared" ca="1" si="7030"/>
        <v>#N/A</v>
      </c>
      <c r="CQ406" s="715" t="e">
        <f ca="1">IF(AND(INDEX(STM,CP406,4)&gt;=$AB395,INDEX(STM,CP406,5)&gt;=$S395,INDEX(STM,CP406,6)&gt;=$R395),1,0)</f>
        <v>#N/A</v>
      </c>
      <c r="CR406" s="715" t="e">
        <f t="shared" ref="CR406" ca="1" si="7200">MATCH(1,OFFSET(CQ395:CQ406,CS405,0,COUNT(CQ395:CQ406)-CS405),0)</f>
        <v>#REF!</v>
      </c>
      <c r="CS406" s="715" t="e">
        <f t="shared" ca="1" si="7032"/>
        <v>#REF!</v>
      </c>
      <c r="CT406" s="716" t="str">
        <f ca="1">IFERROR(VLOOKUP(INDEX(CP395:CP406,CS406),STM,2,FALSE),"----")</f>
        <v>----</v>
      </c>
      <c r="CU406" s="714" t="e">
        <f t="shared" ca="1" si="7033"/>
        <v>#N/A</v>
      </c>
      <c r="CV406" s="715" t="e">
        <f ca="1">IF(AND(INDEX(ELM,CU406,4)&gt;=$AB395,INDEX(ELM,CU406,5)&gt;=$S395,INDEX(ELM,CU406,6)&gt;=$R395),1,0)</f>
        <v>#N/A</v>
      </c>
      <c r="CW406" s="715" t="e">
        <f t="shared" ref="CW406" ca="1" si="7201">MATCH(1,OFFSET(CV395:CV406,CX405,0,COUNT(CV395:CV406)-CX405),0)</f>
        <v>#REF!</v>
      </c>
      <c r="CX406" s="715" t="e">
        <f t="shared" ca="1" si="7035"/>
        <v>#REF!</v>
      </c>
      <c r="CY406" s="716" t="str">
        <f ca="1">IFERROR(VLOOKUP(INDEX(CU395:CU406,CX406),ELM,2,FALSE),"----")</f>
        <v>----</v>
      </c>
      <c r="CZ406" s="714" t="e">
        <f t="shared" ca="1" si="7036"/>
        <v>#N/A</v>
      </c>
      <c r="DA406" s="715" t="e">
        <f ca="1">IF(LEFT($J395,7)="Clad Wo",IF(AND(INDEX(SPPWS,CZ406,4)&gt;=$AB395,INDEX(SPPWS,CZ406,5)&gt;=$S395,INDEX(SPPWS,CZ406,6)&gt;=$R395),1,0),IF(AND(INDEX(SPM,CZ406,4)&gt;=$AB395,INDEX(SPM,CZ406,5)&gt;=$S395,INDEX(SPM,CZ406,6)&gt;=$R395),1,0))</f>
        <v>#N/A</v>
      </c>
      <c r="DB406" s="715" t="e">
        <f t="shared" ref="DB406" ca="1" si="7202">MATCH(1,OFFSET(DA395:DA406,DC405,0,COUNT(DA395:DA406)-DC405),0)</f>
        <v>#REF!</v>
      </c>
      <c r="DC406" s="715" t="e">
        <f t="shared" ca="1" si="7038"/>
        <v>#REF!</v>
      </c>
      <c r="DD406" s="717" t="str">
        <f ca="1">IF(LEFT($J395,7)="Clad Wo",IFERROR(VLOOKUP(INDEX(CZ395:CZ406,DC406),SPPWS,2,FALSE),"----"),IFERROR(VLOOKUP(INDEX(CZ395:CZ406,DC406),SPM,2,FALSE),"----"))</f>
        <v>----</v>
      </c>
      <c r="DE406" s="714" t="e">
        <f t="shared" ca="1" si="7039"/>
        <v>#REF!</v>
      </c>
      <c r="DF406" s="715" t="e" cm="1">
        <f t="array" aca="1" ref="DF406" ca="1">IF(AND(INDEX(INDIRECT(BY395),DE406,4)&gt;=$AB401,INDEX(INDIRECT(BY395),DE406,5)&gt;=$S395,INDEX(INDIRECT(BY395),DE406,6)&gt;=$R395),1,0)</f>
        <v>#REF!</v>
      </c>
      <c r="DG406" s="715" t="e">
        <f t="shared" ref="DG406" ca="1" si="7203">MATCH(1,OFFSET(DF395:DF406,DH405,0,COUNT(DF395:DF406)-DH405),0)</f>
        <v>#REF!</v>
      </c>
      <c r="DH406" s="715" t="e">
        <f t="shared" ca="1" si="7041"/>
        <v>#REF!</v>
      </c>
      <c r="DI406" s="716" t="str" cm="1">
        <f t="array" aca="1" ref="DI406" ca="1">IFERROR(VLOOKUP(INDEX(DE395:DE406,DH406),INDIRECT(BY395),2,FALSE),"----")</f>
        <v>----</v>
      </c>
      <c r="DJ406" s="714" t="e">
        <f t="shared" ca="1" si="7042"/>
        <v>#N/A</v>
      </c>
      <c r="DK406" s="715" t="e">
        <f ca="1">IF(AND(INDEX(SSM,DJ406,4)&gt;=$AB401,INDEX(SSM,DJ406,5)&gt;=$S395,INDEX(SSM,DJ406,6)&gt;=$R395),1,0)</f>
        <v>#N/A</v>
      </c>
      <c r="DL406" s="715" t="e">
        <f t="shared" ref="DL406" ca="1" si="7204">MATCH(1,OFFSET(DK395:DK406,DM405,0,COUNT(DK395:DK406)-DM405),0)</f>
        <v>#REF!</v>
      </c>
      <c r="DM406" s="715" t="e">
        <f t="shared" ca="1" si="7044"/>
        <v>#REF!</v>
      </c>
      <c r="DN406" s="716" t="str">
        <f ca="1">IFERROR(IF(AD402="Nested Steel Stud (wood infill)",VLOOKUP(INDEX(DJ395:DJ406,DM406),SSW,2,FALSE),VLOOKUP(INDEX(DJ395:DJ406,DM406),SSM,2,FALSE)),"----")</f>
        <v>----</v>
      </c>
      <c r="DO406" s="714" t="e">
        <f t="shared" ca="1" si="7045"/>
        <v>#N/A</v>
      </c>
      <c r="DP406" s="715" t="e">
        <f ca="1">IF(AND(INDEX(WSM,DO406,4)&gt;=$AB401,INDEX(WSM,DO406,5)&gt;=$S395,INDEX(WSM,DO406,6)&gt;=$R395),1,0)</f>
        <v>#N/A</v>
      </c>
      <c r="DQ406" s="715" t="e">
        <f t="shared" ref="DQ406" ca="1" si="7205">MATCH(1,OFFSET(DP395:DP406,DR405,0,COUNT(DP395:DP406)-DR405),0)</f>
        <v>#REF!</v>
      </c>
      <c r="DR406" s="715" t="e">
        <f t="shared" ca="1" si="7047"/>
        <v>#REF!</v>
      </c>
      <c r="DS406" s="716" t="str">
        <f ca="1">IFERROR(VLOOKUP(INDEX(DO395:DO406,DR406),WSM,2,FALSE),"----")</f>
        <v>----</v>
      </c>
      <c r="DT406" s="714" t="e">
        <f t="shared" ca="1" si="7048"/>
        <v>#N/A</v>
      </c>
      <c r="DU406" s="715" t="e">
        <f ca="1">IF(AND(INDEX(STM,DT406,4)&gt;=$AB401,INDEX(STM,DT406,5)&gt;=$S395,INDEX(STM,DT406,6)&gt;=$R395),1,0)</f>
        <v>#N/A</v>
      </c>
      <c r="DV406" s="715" t="e">
        <f t="shared" ref="DV406" ca="1" si="7206">MATCH(1,OFFSET(DU395:DU406,DW405,0,COUNT(DU395:DU406)-DW405),0)</f>
        <v>#REF!</v>
      </c>
      <c r="DW406" s="715" t="e">
        <f t="shared" ca="1" si="7050"/>
        <v>#REF!</v>
      </c>
      <c r="DX406" s="716" t="str">
        <f ca="1">IFERROR(VLOOKUP(INDEX(DT395:DT406,DW406),STM,2,FALSE),"----")</f>
        <v>----</v>
      </c>
      <c r="DY406" s="714" t="e">
        <f t="shared" ca="1" si="7051"/>
        <v>#N/A</v>
      </c>
      <c r="DZ406" s="715" t="e">
        <f ca="1">IF(AND(INDEX(ELM,DY406,4)&gt;=$AB401,INDEX(ELM,DY406,5)&gt;=$S395,INDEX(ELM,DY406,6)&gt;=$R395),1,0)</f>
        <v>#N/A</v>
      </c>
      <c r="EA406" s="715" t="e">
        <f t="shared" ref="EA406" ca="1" si="7207">MATCH(1,OFFSET(DZ395:DZ406,EB405,0,COUNT(DZ395:DZ406)-EB405),0)</f>
        <v>#REF!</v>
      </c>
      <c r="EB406" s="715" t="e">
        <f t="shared" ca="1" si="7053"/>
        <v>#REF!</v>
      </c>
      <c r="EC406" s="716" t="str">
        <f ca="1">IFERROR(VLOOKUP(INDEX(DY395:DY406,EB406),ELM,2,FALSE),"----")</f>
        <v>----</v>
      </c>
      <c r="ED406" s="714" t="e">
        <f t="shared" ca="1" si="7054"/>
        <v>#N/A</v>
      </c>
      <c r="EE406" s="715" t="e">
        <f ca="1">IF(LEFT($J395,7)="Clad Wo",IF(AND(INDEX(SPPWS,ED406,4)&gt;=$AB401,INDEX(SPPWS,ED406,5)&gt;=$S395,INDEX(SPPWS,ED406,6)&gt;=$R395),1,0),IF(AND(INDEX(SPM,ED406,4)&gt;=$AB401,INDEX(SPM,ED406,5)&gt;=$S395,INDEX(SPM,ED406,6)&gt;=$R395),1,0))</f>
        <v>#N/A</v>
      </c>
      <c r="EF406" s="715" t="e">
        <f t="shared" ref="EF406" ca="1" si="7208">MATCH(1,OFFSET(EE395:EE406,EG405,0,COUNT(EE395:EE406)-EG405),0)</f>
        <v>#REF!</v>
      </c>
      <c r="EG406" s="715" t="e">
        <f t="shared" ca="1" si="7056"/>
        <v>#REF!</v>
      </c>
      <c r="EH406" s="716" t="str">
        <f ca="1">IF(LEFT($J395,7)="Clad Wo",IFERROR(VLOOKUP(INDEX(ED395:ED406,EG406),SPPWS,2,FALSE),"----"),IFERROR(VLOOKUP(INDEX(ED395:ED406,EG406),SPM,2,FALSE),"----"))</f>
        <v>----</v>
      </c>
    </row>
    <row r="407" spans="1:138" ht="15" customHeight="1" thickTop="1" x14ac:dyDescent="0.25">
      <c r="A407" s="1085"/>
      <c r="B407" s="931" t="s">
        <v>92</v>
      </c>
      <c r="C407" s="932"/>
      <c r="D407" s="933"/>
      <c r="E407" s="992"/>
      <c r="F407" s="993"/>
      <c r="G407" s="994"/>
      <c r="H407" s="1061"/>
      <c r="I407" s="989"/>
      <c r="J407" s="906"/>
      <c r="K407" s="907"/>
      <c r="L407" s="1001">
        <f>$W$3</f>
        <v>4</v>
      </c>
      <c r="M407" s="923" t="str">
        <f t="shared" ref="M407" si="7209">IFERROR(IF($AE$13="",IF($AG$19="Wind Loading",MIN($V$31,IF(E$11="ASCE 7-05",$U$26,$V$7)*$V$9*(IF($E$12&lt;60,0.0771*LN(MAX(MIN(500,O407),10)) -1.2737,IF($E$11="ASCE 7-22",0.0524*LN(MAX(MIN(500,O407),50))-1.0278,0.0614*LN(MAX(MIN(500,O407),20)) -1.0829))-$V$8)),$V$7*IF(E$12&lt;60,$V$13*($V$15*0.0771*LN(MAX(MIN(500,O407),10))-1.2737-$V$16),$V$13*$V$15*((0.0524*LN(MAX(MIN(500,O407),20))-1.0278)-$V$16))),-ABS($AE$13)),"")</f>
        <v/>
      </c>
      <c r="N407" s="1042" t="str">
        <f t="shared" ref="N407" si="7210">IFERROR(IF($AE$15="",IF($AG$19="Wind Loading",MAX($U$31,IF(E$11="ASCE 7-05",$U$26,$V$7)*$V$9*((IF($E$12&lt;60,-0.077*LN(MAX(MIN(500,O407),10))+1.1737,IF($E$11="ASCE 7-22",-0.077*LN(MAX(MIN(500,O407),20))+1.0798,-0.093*LN(MAX(MIN(500,O407),20))+1.1776)))+$V$8)),$V$7*IF(E$12&lt;60,$V$13*($V$15*(-0.077*LN(MAX(MIN(500,O407),10))+1.1737)-$V$17),$V$13*$V$15*((-0.077*LN(MAX(MIN(500,O407),20))+1.0798)-$V$17))),ABS($AE$15)),"")</f>
        <v/>
      </c>
      <c r="O407" s="1017" t="str">
        <f>IF(BX414=0,"",IF(AG$14="Trapezoidal",BY414,BX414))</f>
        <v/>
      </c>
      <c r="P407" s="986"/>
      <c r="Q407" s="1014"/>
      <c r="R407" s="1011">
        <f>P407*Q407/8</f>
        <v>0</v>
      </c>
      <c r="S407" s="1004">
        <f t="shared" ref="S407" si="7211">IF(5*(P407*Q407^3/(384*0.125))=0,0,5*(P407*Q407^3/(384*0.125)))</f>
        <v>0</v>
      </c>
      <c r="T407" s="1005"/>
      <c r="U407" s="877" t="e">
        <f ca="1">VLOOKUP(J411,INDIRECT(VLOOKUP(J407,FrameStrength,2,FALSE)),3,FALSE)</f>
        <v>#N/A</v>
      </c>
      <c r="V407" s="880">
        <f t="shared" ref="V407" si="7212">(H407+I407)/2</f>
        <v>0</v>
      </c>
      <c r="W407" s="883" t="e">
        <f t="shared" ref="W407" si="7213">MAX(-M407,N407)*O407</f>
        <v>#VALUE!</v>
      </c>
      <c r="X407" s="883">
        <f t="shared" ref="X407" si="7214">IF(E407&gt;162,(E407/240+0.25),IF(AND(E407&lt;162,E407/175&lt;0.75),E407/175,0.75))</f>
        <v>0</v>
      </c>
      <c r="Y407" s="886">
        <f>IFERROR(IF(AG$14="Trapezoidal",BY415,BX415)+IF($E$17="4",(400*E407^3)/(48*X407),0),0)</f>
        <v>0</v>
      </c>
      <c r="Z407" s="886" t="e">
        <f t="shared" ref="Z407" si="7215">+($V407*MAX(-$M407,$N407)*$E407^2)/(144*8)+IF($E$17=4,(400*$E407)/4,0)</f>
        <v>#VALUE!</v>
      </c>
      <c r="AA407" s="886" t="e">
        <f ca="1">VLOOKUP(J411,INDIRECT(VLOOKUP(J407,FrameStrength,2,FALSE)),2,FALSE)</f>
        <v>#N/A</v>
      </c>
      <c r="AB407" s="1083" t="str">
        <f t="shared" ref="AB407" ca="1" si="7216">IFERROR(Z407-AA407,"")</f>
        <v/>
      </c>
      <c r="AC407" s="1077" t="str">
        <f t="shared" ref="AC407" ca="1" si="7217">IFERROR(Y407-U407,"")</f>
        <v/>
      </c>
      <c r="AD407" s="1100" t="str">
        <f>IFERROR(IF(LEFT(J411,2)="As",VLOOKUP(J411,EIMM,4,FALSE),VLOOKUP(J407,EIMM,4,FALSE)),IF(AND(ISNUMBER(SEARCH("Impervia",J407)),ISNUMBER(SEARCH("door",J411))),'New Lookup Cells'!AF$10,IF(ISNUMBER(SEARCH("Impervia",J407)),'New Lookup Cells'!AF$7,IF(AND(ISNUMBER(SEARCH("250",J407)),ISNUMBER(SEARCH("door",J411))),'New Lookup Cells'!AF$14,IF(ISNUMBER(SEARCH("250",J407)),'New Lookup Cells'!AF$13,"")))))</f>
        <v/>
      </c>
      <c r="AE407" s="1101"/>
      <c r="AF407" s="1050"/>
      <c r="AG407" s="1051"/>
      <c r="AH407" s="1051"/>
      <c r="AI407" s="1088"/>
      <c r="AJ407" s="1089"/>
      <c r="AK407" s="154" t="str">
        <f t="shared" ca="1" si="6208"/>
        <v/>
      </c>
      <c r="AL407" s="1038" t="str">
        <f t="shared" ref="AL407" si="7218">IFERROR(ROUND(SQRT(P407^2+(W407/2+IF($E$17=4,200,0))^2),0),"")</f>
        <v/>
      </c>
      <c r="AM407" s="342" t="s">
        <v>669</v>
      </c>
      <c r="AN407" t="str">
        <f t="shared" ca="1" si="6226"/>
        <v/>
      </c>
      <c r="AP407" s="122" t="str">
        <f t="shared" ref="AP407" si="7219">_xlfn.CONCAT(AR407,AS412)</f>
        <v/>
      </c>
      <c r="AQ407" s="683" t="str">
        <f t="shared" si="6434"/>
        <v/>
      </c>
      <c r="AR407" s="96" t="str">
        <f t="shared" si="6193"/>
        <v/>
      </c>
      <c r="AS407" s="96" t="str">
        <f>IF(COUNTIF(imp_1,AF407)=1,"imp_1",IF(COUNTIF(imp_2,AF407)=1,"imp_2",IF(COUNTIF(imp_3,AF407)=1,"imp_3",IF(COUNTIF(impdoor,AF407)=1,"impdoor",""))))</f>
        <v/>
      </c>
      <c r="AT407" s="684" t="str">
        <f>AL407</f>
        <v/>
      </c>
      <c r="AU407" s="685" t="e">
        <f ca="1">MATCH(AL407,INDIRECT(AP407),-1)</f>
        <v>#REF!</v>
      </c>
      <c r="AV407" s="686" t="str">
        <f ca="1">IFERROR(VLOOKUP(AU407,INDIRECT(AQ407),2,FALSE),"----")</f>
        <v>----</v>
      </c>
      <c r="AW407" s="685" t="e">
        <f ca="1">MATCH(AL407,INDIRECT(AP408),-1)</f>
        <v>#REF!</v>
      </c>
      <c r="AX407" s="686" t="str">
        <f ca="1">IFERROR(VLOOKUP(AW407,INDIRECT(AQ408),2,FALSE),"----")</f>
        <v>----</v>
      </c>
      <c r="AY407" s="685" t="e">
        <f ca="1">MATCH(AL407,INDIRECT(AP409),-1)</f>
        <v>#REF!</v>
      </c>
      <c r="AZ407" s="686" t="str">
        <f ca="1">IFERROR(VLOOKUP(AY407,INDIRECT(AQ409),2,FALSE),"----")</f>
        <v>----</v>
      </c>
      <c r="BA407" s="685" t="e">
        <f ca="1">MATCH(AL407,INDIRECT(AP410),-1)</f>
        <v>#REF!</v>
      </c>
      <c r="BB407" s="686" t="str">
        <f ca="1">IFERROR(VLOOKUP(BA407,INDIRECT(AQ410),2,FALSE),"----")</f>
        <v>----</v>
      </c>
      <c r="BC407" s="685" t="e">
        <f ca="1">MATCH(AL407,INDIRECT(AP411),-1)</f>
        <v>#REF!</v>
      </c>
      <c r="BD407" s="686" t="str">
        <f ca="1">IFERROR(VLOOKUP(BC407,INDIRECT(AQ411),2,FALSE),"----")</f>
        <v>----</v>
      </c>
      <c r="BE407" s="685" t="e">
        <f ca="1">MATCH(AL407,INDIRECT(AP412),-1)</f>
        <v>#REF!</v>
      </c>
      <c r="BF407" s="686" t="str">
        <f ca="1">IFERROR(VLOOKUP(BE407,INDIRECT(AQ412),2,FALSE),"----")</f>
        <v>----</v>
      </c>
      <c r="BG407" s="685" t="e">
        <f ca="1">MATCH(AL413,INDIRECT(AP413),-1)</f>
        <v>#REF!</v>
      </c>
      <c r="BH407" s="686" t="str">
        <f ca="1">IFERROR(VLOOKUP(BG407,INDIRECT(AQ413),2,FALSE),"----")</f>
        <v>----</v>
      </c>
      <c r="BI407" s="685" t="e">
        <f ca="1">MATCH(AL413,INDIRECT(AP414),-1)</f>
        <v>#REF!</v>
      </c>
      <c r="BJ407" s="686" t="str">
        <f ca="1">IFERROR(VLOOKUP(BI407,INDIRECT(AQ414),2,FALSE),"----")</f>
        <v>----</v>
      </c>
      <c r="BK407" s="685" t="e">
        <f ca="1">MATCH(AL413,INDIRECT(AP415),-1)</f>
        <v>#REF!</v>
      </c>
      <c r="BL407" s="686" t="str">
        <f ca="1">IFERROR(VLOOKUP(BK407,INDIRECT(AQ415),2,FALSE),"----")</f>
        <v>----</v>
      </c>
      <c r="BM407" s="685" t="e">
        <f ca="1">MATCH(AL413,INDIRECT(AP416),-1)</f>
        <v>#REF!</v>
      </c>
      <c r="BN407" s="686" t="str">
        <f ca="1">IFERROR(VLOOKUP(BM407,INDIRECT(AQ416),2,FALSE),"----")</f>
        <v>----</v>
      </c>
      <c r="BO407" s="685" t="e">
        <f ca="1">MATCH(AL413,INDIRECT(AP417),-1)</f>
        <v>#REF!</v>
      </c>
      <c r="BP407" s="686" t="str">
        <f ca="1">IFERROR(VLOOKUP(BO407,INDIRECT(AQ417),2,FALSE),"----")</f>
        <v>----</v>
      </c>
      <c r="BQ407" s="685" t="e">
        <f ca="1">MATCH(AL413,INDIRECT(AP418),-1)</f>
        <v>#REF!</v>
      </c>
      <c r="BR407" s="686" t="str">
        <f ca="1">IFERROR(VLOOKUP(BQ407,INDIRECT(AQ418),2,FALSE),"----")</f>
        <v>----</v>
      </c>
      <c r="BS407" s="687">
        <f>IF(AI407="",1,IF(COUNTIF(AV407:AV418,AI407)=0,2,1))</f>
        <v>1</v>
      </c>
      <c r="BT407" s="688">
        <f>IF(AP407="1",1,IF(AF407="",1,IF(AV407=".",2,1)))</f>
        <v>1</v>
      </c>
      <c r="BU407" s="706"/>
      <c r="BV407" s="155">
        <f ca="1">IF(COUNTIF(CE407:CE418,AF407)=0,IF(AF407&lt;&gt;"",0,1),1)</f>
        <v>1</v>
      </c>
      <c r="BW407" s="157">
        <f ca="1">IFERROR(MATCH(AF407,CE407:CE418,0),1)</f>
        <v>1</v>
      </c>
      <c r="BX407" s="769" t="str">
        <f>IFERROR(IF(LEFT(J411,2)="As",VLOOKUP(J411,EIMM,2,FALSE),IF(AND(ISNUMBER(SEARCH("Impervia",J407)),ISNUMBER(SEARCH("door",J411))),VLOOKUP("Impervia Door",EIMM,2,FALSE),IF(AND(ISNUMBER(SEARCH("250",J407)),ISNUMBER(SEARCH("door",J411))),VLOOKUP("250 Series Door",EIMM,2,FALSE),VLOOKUP(J407,EIMM,2,FALSE)))),"")</f>
        <v/>
      </c>
      <c r="BY407" s="769" t="str">
        <f ca="1">IFERROR(VLOOKUP(BX407,OFFSET(EIMM,0,1),2,FALSE),"")</f>
        <v/>
      </c>
      <c r="BZ407" s="1110" t="e">
        <f ca="1">IF((COUNTIF(INDIRECT(SUBSTITUTE(J407," ","_")),J411))=0,IF(J411="",1,0),1)</f>
        <v>#REF!</v>
      </c>
      <c r="CA407" s="691" t="e">
        <f ca="1">MATCH(AC407,INDIRECT(BX407),-1)</f>
        <v>#REF!</v>
      </c>
      <c r="CB407" s="4" t="e" cm="1">
        <f t="array" aca="1" ref="CB407" ca="1">IF(AND(INDEX(INDIRECT(BY407),CA407,4)&gt;=$AB407,INDEX(INDIRECT(BY407),CA407,5)&gt;=$S407,INDEX(INDIRECT(BY407),CA407,6)&gt;=$R407),1,0)</f>
        <v>#REF!</v>
      </c>
      <c r="CC407" s="4" t="e">
        <f t="shared" ref="CC407" ca="1" si="7220">MATCH(1,OFFSET(CB407:CB418,$W$2,0,COUNT(CB407:CB418)-$W$2),0)</f>
        <v>#REF!</v>
      </c>
      <c r="CD407" s="4" t="e">
        <f t="shared" ref="CD407" ca="1" si="7221">$W$2+CC407</f>
        <v>#REF!</v>
      </c>
      <c r="CE407" s="692" t="str" cm="1">
        <f t="array" aca="1" ref="CE407" ca="1">IFERROR(VLOOKUP(INDEX(CA407:CA418,CD407),INDIRECT(BY407),2,FALSE),"----")</f>
        <v>----</v>
      </c>
      <c r="CF407" s="691" t="e">
        <f ca="1">MATCH($AC407,SSEI,-1)</f>
        <v>#N/A</v>
      </c>
      <c r="CG407" s="4" t="e">
        <f ca="1">IF(AND(INDEX(SSM,CF407,4)&gt;=$AB407,INDEX(SSM,CF407,5)&gt;=$S407,INDEX(SSM,CF407,6)&gt;=$R407),1,0)</f>
        <v>#N/A</v>
      </c>
      <c r="CH407" s="4" t="e">
        <f t="shared" ref="CH407" ca="1" si="7222">MATCH(1,OFFSET(CG407:CG418,$W$2,0,COUNT(CG407:CG418)-$W$2),0)</f>
        <v>#REF!</v>
      </c>
      <c r="CI407" s="4" t="e">
        <f t="shared" ref="CI407" ca="1" si="7223">$W$2+CH407</f>
        <v>#REF!</v>
      </c>
      <c r="CJ407" s="692" t="str">
        <f ca="1">IFERROR(IF(AD408="Nested Steel Stud (wood infill)",VLOOKUP(INDEX(CF407:CF418,CI407),SSW,2,FALSE),VLOOKUP(INDEX(CF407:CF418,CI407),SSM,2,FALSE)),"----")</f>
        <v>----</v>
      </c>
      <c r="CK407" s="691" t="e">
        <f ca="1">MATCH($AC407,WSEI,-1)</f>
        <v>#N/A</v>
      </c>
      <c r="CL407" s="4" t="e">
        <f ca="1">IF(AND(INDEX(WSM,CK407,4)&gt;=$AB407,INDEX(WSM,CK407,5)&gt;=$S407,INDEX(WSM,CK407,6)&gt;=$R407),1,0)</f>
        <v>#N/A</v>
      </c>
      <c r="CM407" s="4" t="e">
        <f t="shared" ref="CM407" ca="1" si="7224">MATCH(1,OFFSET(CL407:CL418,$W$2,0,COUNT(CL407:CL418)-$W$2),0)</f>
        <v>#REF!</v>
      </c>
      <c r="CN407" s="4" t="e">
        <f t="shared" ref="CN407" ca="1" si="7225">$W$2+CM407</f>
        <v>#REF!</v>
      </c>
      <c r="CO407" s="692" t="str">
        <f ca="1">IFERROR(VLOOKUP(INDEX(CK407:CK418,CN407),WSM,2,FALSE),"----")</f>
        <v>----</v>
      </c>
      <c r="CP407" s="691" t="e">
        <f ca="1">MATCH($AC407,STEI,-1)</f>
        <v>#N/A</v>
      </c>
      <c r="CQ407" s="4" t="e">
        <f ca="1">IF(AND(INDEX(STM,CP407,4)&gt;=$AB407,INDEX(STM,CP407,5)&gt;=$S407,INDEX(STM,CP407,6)&gt;=$R407),1,0)</f>
        <v>#N/A</v>
      </c>
      <c r="CR407" s="4" t="e">
        <f t="shared" ref="CR407" ca="1" si="7226">MATCH(1,OFFSET(CQ407:CQ418,$W$2,0,COUNT(CQ407:CQ418)-$W$2),0)</f>
        <v>#REF!</v>
      </c>
      <c r="CS407" s="4" t="e">
        <f t="shared" ref="CS407" ca="1" si="7227">$W$2+CR407</f>
        <v>#REF!</v>
      </c>
      <c r="CT407" s="692" t="str">
        <f ca="1">IFERROR(VLOOKUP(INDEX(CP407:CP418,CS407),STM,2,FALSE),"----")</f>
        <v>----</v>
      </c>
      <c r="CU407" s="691" t="e">
        <f ca="1">MATCH($AC407,ELEI,-1)</f>
        <v>#N/A</v>
      </c>
      <c r="CV407" s="4" t="e">
        <f ca="1">IF(AND(INDEX(ELM,CU407,4)&gt;=$AB407,INDEX(ELM,CU407,5)&gt;=$S407,INDEX(ELM,CU407,6)&gt;=$R407),1,0)</f>
        <v>#N/A</v>
      </c>
      <c r="CW407" s="4" t="e">
        <f t="shared" ref="CW407" ca="1" si="7228">MATCH(1,OFFSET(CV407:CV418,$W$2,0,COUNT(CV407:CV418)-$W$2),0)</f>
        <v>#REF!</v>
      </c>
      <c r="CX407" s="4" t="e">
        <f t="shared" ref="CX407" ca="1" si="7229">$W$2+CW407</f>
        <v>#REF!</v>
      </c>
      <c r="CY407" s="692" t="str">
        <f ca="1">IFERROR(VLOOKUP(INDEX(CU407:CU418,CX407),ELM,2,FALSE),"----")</f>
        <v>----</v>
      </c>
      <c r="CZ407" s="691" t="e">
        <f ca="1">IF(LEFT($J407,7)="Clad Wo",MATCH($AC407,SPEIW,-1),MATCH($AC407,SPEI,-1))</f>
        <v>#N/A</v>
      </c>
      <c r="DA407" s="4" t="e">
        <f ca="1">IF(LEFT($J407,7)="Clad Wo",IF(AND(INDEX(SPPWS,CZ407,4)&gt;=$AB407,INDEX(SPPWS,CZ407,5)&gt;=$S407,INDEX(SPPWS,CZ407,6)&gt;=$R407),1,0),IF(AND(INDEX(SPM,CZ407,4)&gt;=$AB407,INDEX(SPM,CZ407,5)&gt;=$S407,INDEX(SPM,CZ407,6)&gt;=$R407),1,0))</f>
        <v>#N/A</v>
      </c>
      <c r="DB407" s="4" t="e">
        <f t="shared" ref="DB407" ca="1" si="7230">MATCH(1,OFFSET(DA407:DA418,$W$2,0,COUNT(DA407:DA418)-$W$2),0)</f>
        <v>#REF!</v>
      </c>
      <c r="DC407" s="4" t="e">
        <f t="shared" ref="DC407" ca="1" si="7231">$W$2+DB407</f>
        <v>#REF!</v>
      </c>
      <c r="DD407" s="693" t="str">
        <f ca="1">IF(LEFT($J407,7)="Clad Wo",IFERROR(VLOOKUP(INDEX(CZ407:CZ418,DC407),SPPWS,2,FALSE),"----"),IFERROR(VLOOKUP(INDEX(CZ407:CZ418,DC407),SPM,2,FALSE),"----"))</f>
        <v>----</v>
      </c>
      <c r="DE407" s="691" t="e">
        <f ca="1">MATCH(AC413,INDIRECT(BX407),-1)</f>
        <v>#REF!</v>
      </c>
      <c r="DF407" s="4" t="e" cm="1">
        <f t="array" aca="1" ref="DF407" ca="1">IF(AND(INDEX(INDIRECT(BY407),DE407,4)&gt;=$AB413,INDEX(INDIRECT(BY407),DE407,5)&gt;=$S407,INDEX(INDIRECT(BY407),DE407,6)&gt;=$R407),1,0)</f>
        <v>#REF!</v>
      </c>
      <c r="DG407" s="4" t="e">
        <f t="shared" ref="DG407" ca="1" si="7232">MATCH(1,OFFSET(DF407:DF418,$W$2,0,COUNT(DF407:DF418)-$W$2),0)</f>
        <v>#REF!</v>
      </c>
      <c r="DH407" s="4" t="e">
        <f t="shared" ref="DH407" ca="1" si="7233">$W$2+DG407</f>
        <v>#REF!</v>
      </c>
      <c r="DI407" s="692" t="str" cm="1">
        <f t="array" aca="1" ref="DI407" ca="1">IFERROR(VLOOKUP(INDEX(DE407:DE418,DH407),INDIRECT(BY407),2,FALSE),"----")</f>
        <v>----</v>
      </c>
      <c r="DJ407" s="691" t="e">
        <f ca="1">MATCH($AC413,SSEI,-1)</f>
        <v>#N/A</v>
      </c>
      <c r="DK407" s="4" t="e">
        <f ca="1">IF(AND(INDEX(SSM,DJ407,4)&gt;=$AB413,INDEX(SSM,DJ407,5)&gt;=$S407,INDEX(SSM,DJ407,6)&gt;=$R407),1,0)</f>
        <v>#N/A</v>
      </c>
      <c r="DL407" s="4" t="e">
        <f t="shared" ref="DL407" ca="1" si="7234">MATCH(1,OFFSET(DK407:DK418,$W$2,0,COUNT(DK407:DK418)-$W$2),0)</f>
        <v>#REF!</v>
      </c>
      <c r="DM407" s="4" t="e">
        <f t="shared" ref="DM407" ca="1" si="7235">$W$2+DL407</f>
        <v>#REF!</v>
      </c>
      <c r="DN407" s="692" t="str">
        <f ca="1">IFERROR(IF(AD414="Nested Steel Stud (wood infill)",VLOOKUP(INDEX(DJ407:DJ418,DM407),SSW,2,FALSE),VLOOKUP(INDEX(DJ407:DJ418,DM407),SSM,2,FALSE)),"----")</f>
        <v>----</v>
      </c>
      <c r="DO407" s="691" t="e">
        <f ca="1">MATCH($AC413,WSEI,-1)</f>
        <v>#N/A</v>
      </c>
      <c r="DP407" s="4" t="e">
        <f ca="1">IF(AND(INDEX(WSM,DO407,4)&gt;=$AB413,INDEX(WSM,DO407,5)&gt;=$S407,INDEX(WSM,DO407,6)&gt;=$R407),1,0)</f>
        <v>#N/A</v>
      </c>
      <c r="DQ407" s="4" t="e">
        <f t="shared" ref="DQ407" ca="1" si="7236">MATCH(1,OFFSET(DP407:DP418,$W$2,0,COUNT(DP407:DP418)-$W$2),0)</f>
        <v>#REF!</v>
      </c>
      <c r="DR407" s="4" t="e">
        <f t="shared" ref="DR407" ca="1" si="7237">$W$2+DQ407</f>
        <v>#REF!</v>
      </c>
      <c r="DS407" s="692" t="str">
        <f ca="1">IFERROR(VLOOKUP(INDEX(DO407:DO418,DR407),WSM,2,FALSE),"----")</f>
        <v>----</v>
      </c>
      <c r="DT407" s="691" t="e">
        <f ca="1">MATCH($AC413,STEI,-1)</f>
        <v>#N/A</v>
      </c>
      <c r="DU407" s="4" t="e">
        <f ca="1">IF(AND(INDEX(STM,DT407,4)&gt;=$AB413,INDEX(STM,DT407,5)&gt;=$S407,INDEX(STM,DT407,6)&gt;=$R407),1,0)</f>
        <v>#N/A</v>
      </c>
      <c r="DV407" s="4" t="e">
        <f t="shared" ref="DV407" ca="1" si="7238">MATCH(1,OFFSET(DU407:DU418,$W$2,0,COUNT(DU407:DU418)-$W$2),0)</f>
        <v>#REF!</v>
      </c>
      <c r="DW407" s="4" t="e">
        <f t="shared" ref="DW407" ca="1" si="7239">$W$2+DV407</f>
        <v>#REF!</v>
      </c>
      <c r="DX407" s="692" t="str">
        <f ca="1">IFERROR(VLOOKUP(INDEX(DT407:DT418,DW407),STM,2,FALSE),"----")</f>
        <v>----</v>
      </c>
      <c r="DY407" s="691" t="e">
        <f ca="1">MATCH($AC413,ELEI,-1)</f>
        <v>#N/A</v>
      </c>
      <c r="DZ407" s="4" t="e">
        <f ca="1">IF(AND(INDEX(ELM,DY407,4)&gt;=$AB413,INDEX(ELM,DY407,5)&gt;=$S407,INDEX(ELM,DY407,6)&gt;=$R407),1,0)</f>
        <v>#N/A</v>
      </c>
      <c r="EA407" s="4" t="e">
        <f t="shared" ref="EA407" ca="1" si="7240">MATCH(1,OFFSET(DZ407:DZ418,$W$2,0,COUNT(DZ407:DZ418)-$W$2),0)</f>
        <v>#REF!</v>
      </c>
      <c r="EB407" s="4" t="e">
        <f t="shared" ref="EB407" ca="1" si="7241">EA407+$W$2</f>
        <v>#REF!</v>
      </c>
      <c r="EC407" s="692" t="str">
        <f ca="1">IFERROR(VLOOKUP(INDEX(DY407:DY418,EB407),ELM,2,FALSE),"----")</f>
        <v>----</v>
      </c>
      <c r="ED407" s="691" t="e">
        <f ca="1">IF(LEFT($J407,7)="Clad Wo",MATCH($AC413,SPEIW,-1),MATCH($AC413,SPEI,-1))</f>
        <v>#N/A</v>
      </c>
      <c r="EE407" s="4" t="e">
        <f ca="1">IF(LEFT($J407,7)="Clad Wo",IF(AND(INDEX(SPPWS,ED407,4)&gt;=$AB413,INDEX(SPPWS,ED407,5)&gt;=$S407,INDEX(SPPWS,ED407,6)&gt;=$R407),1,0),IF(AND(INDEX(SPM,ED407,4)&gt;=$AB413,INDEX(SPM,ED407,5)&gt;=$S407,INDEX(SPM,ED407,6)&gt;=$R407),1,0))</f>
        <v>#N/A</v>
      </c>
      <c r="EF407" s="4" t="e">
        <f t="shared" ref="EF407" ca="1" si="7242">MATCH(1,OFFSET(EE407:EE418,$W$2,0,COUNT(EE407:EE418)-$W$2),0)</f>
        <v>#REF!</v>
      </c>
      <c r="EG407" s="4" t="e">
        <f t="shared" ref="EG407" ca="1" si="7243">$W$2+EF407</f>
        <v>#REF!</v>
      </c>
      <c r="EH407" s="692" t="str">
        <f ca="1">IF(LEFT($J407,7)="Clad Wo",IFERROR(VLOOKUP(INDEX(ED407:ED418,EG407),SPPWS,2,FALSE),"----"),IFERROR(VLOOKUP(INDEX(ED407:ED418,EG407),SPM,2,FALSE),"----"))</f>
        <v>----</v>
      </c>
    </row>
    <row r="408" spans="1:138" ht="15" customHeight="1" x14ac:dyDescent="0.25">
      <c r="A408" s="1085"/>
      <c r="B408" s="925"/>
      <c r="C408" s="926"/>
      <c r="D408" s="927"/>
      <c r="E408" s="995"/>
      <c r="F408" s="996"/>
      <c r="G408" s="997"/>
      <c r="H408" s="1062"/>
      <c r="I408" s="990"/>
      <c r="J408" s="908"/>
      <c r="K408" s="909"/>
      <c r="L408" s="1002"/>
      <c r="M408" s="923"/>
      <c r="N408" s="1042"/>
      <c r="O408" s="1018"/>
      <c r="P408" s="987"/>
      <c r="Q408" s="1015"/>
      <c r="R408" s="1012"/>
      <c r="S408" s="1006"/>
      <c r="T408" s="1007"/>
      <c r="U408" s="878"/>
      <c r="V408" s="881"/>
      <c r="W408" s="884"/>
      <c r="X408" s="884"/>
      <c r="Y408" s="887"/>
      <c r="Z408" s="887"/>
      <c r="AA408" s="887"/>
      <c r="AB408" s="1081"/>
      <c r="AC408" s="1078"/>
      <c r="AD408" s="1102" t="s">
        <v>38</v>
      </c>
      <c r="AE408" s="1103"/>
      <c r="AF408" s="1052"/>
      <c r="AG408" s="1053"/>
      <c r="AH408" s="1053"/>
      <c r="AI408" s="1066"/>
      <c r="AJ408" s="1067"/>
      <c r="AK408" s="156" t="str">
        <f t="shared" ca="1" si="6208"/>
        <v/>
      </c>
      <c r="AL408" s="1039"/>
      <c r="AM408" s="343" t="str">
        <f ca="1">IFERROR(Q407/12*ROUND(VLOOKUP(AF408,OFFSET(SSM,0,1),6,FALSE),2),"")</f>
        <v/>
      </c>
      <c r="AN408" t="str">
        <f t="shared" ca="1" si="6226"/>
        <v/>
      </c>
      <c r="AP408" s="122" t="str">
        <f t="shared" ref="AP408" si="7244">_xlfn.CONCAT(AR408,AS412)</f>
        <v/>
      </c>
      <c r="AQ408" s="683" t="str">
        <f t="shared" si="6434"/>
        <v/>
      </c>
      <c r="AR408" s="96" t="str">
        <f t="shared" si="6193"/>
        <v/>
      </c>
      <c r="AS408" s="96" t="str">
        <f>IF(COUNTIF(Vista_1,AF407)=1,"Vista_1",IF(COUNTIF(Vista_2,AF407)=1,"Vista_2",""))</f>
        <v/>
      </c>
      <c r="AT408" s="684" t="str">
        <f>AL407</f>
        <v/>
      </c>
      <c r="AU408" s="694" t="e">
        <f t="shared" ref="AU408" ca="1" si="7245">AU407-1</f>
        <v>#REF!</v>
      </c>
      <c r="AV408" s="686" t="str">
        <f ca="1">IFERROR(VLOOKUP(AU408,INDIRECT(AQ407),2,FALSE),"----")</f>
        <v>----</v>
      </c>
      <c r="AW408" s="694" t="e">
        <f t="shared" ref="AW408:AW409" ca="1" si="7246">AW407-1</f>
        <v>#REF!</v>
      </c>
      <c r="AX408" s="686" t="str">
        <f ca="1">IFERROR(VLOOKUP(AW408,INDIRECT(AQ408),2,FALSE),"----")</f>
        <v>----</v>
      </c>
      <c r="AY408" s="694" t="e">
        <f t="shared" ref="AY408:AY409" ca="1" si="7247">AY407-1</f>
        <v>#REF!</v>
      </c>
      <c r="AZ408" s="686" t="str">
        <f ca="1">IFERROR(VLOOKUP(AY408,INDIRECT(AQ409),2,FALSE),"----")</f>
        <v>----</v>
      </c>
      <c r="BA408" s="694" t="e">
        <f t="shared" ref="BA408:BA409" ca="1" si="7248">BA407-1</f>
        <v>#REF!</v>
      </c>
      <c r="BB408" s="686" t="str">
        <f ca="1">IFERROR(VLOOKUP(BA408,INDIRECT(AQ410),2,FALSE),"----")</f>
        <v>----</v>
      </c>
      <c r="BC408" s="694" t="e">
        <f t="shared" ref="BC408:BC409" ca="1" si="7249">BC407-1</f>
        <v>#REF!</v>
      </c>
      <c r="BD408" s="686" t="str">
        <f ca="1">IFERROR(VLOOKUP(BC408,INDIRECT(AQ411),2,FALSE),"----")</f>
        <v>----</v>
      </c>
      <c r="BE408" s="694" t="e">
        <f t="shared" ref="BE408" ca="1" si="7250">BE407-1</f>
        <v>#REF!</v>
      </c>
      <c r="BF408" s="686" t="str">
        <f ca="1">IFERROR(VLOOKUP(BE408,INDIRECT(AQ412),2,FALSE),"----")</f>
        <v>----</v>
      </c>
      <c r="BG408" s="694" t="e">
        <f t="shared" ref="BG408" ca="1" si="7251">BG407-1</f>
        <v>#REF!</v>
      </c>
      <c r="BH408" s="686" t="str">
        <f ca="1">IFERROR(VLOOKUP(BG408,INDIRECT(AQ413),2,FALSE),"----")</f>
        <v>----</v>
      </c>
      <c r="BI408" s="694" t="e">
        <f t="shared" ref="BI408:BI409" ca="1" si="7252">BI407-1</f>
        <v>#REF!</v>
      </c>
      <c r="BJ408" s="686" t="str">
        <f ca="1">IFERROR(VLOOKUP(BI408,INDIRECT(AQ414),2,FALSE),"----")</f>
        <v>----</v>
      </c>
      <c r="BK408" s="694" t="e">
        <f t="shared" ref="BK408:BK409" ca="1" si="7253">BK407-1</f>
        <v>#REF!</v>
      </c>
      <c r="BL408" s="686" t="str">
        <f ca="1">IFERROR(VLOOKUP(BK408,INDIRECT(AQ415),2,FALSE),"----")</f>
        <v>----</v>
      </c>
      <c r="BM408" s="694" t="e">
        <f t="shared" ref="BM408:BM409" ca="1" si="7254">BM407-1</f>
        <v>#REF!</v>
      </c>
      <c r="BN408" s="686" t="str">
        <f ca="1">IFERROR(VLOOKUP(BM408,INDIRECT(AQ416),2,FALSE),"----")</f>
        <v>----</v>
      </c>
      <c r="BO408" s="694" t="e">
        <f t="shared" ref="BO408:BO409" ca="1" si="7255">BO407-1</f>
        <v>#REF!</v>
      </c>
      <c r="BP408" s="686" t="str">
        <f ca="1">IFERROR(VLOOKUP(BO408,INDIRECT(AQ417),2,FALSE),"----")</f>
        <v>----</v>
      </c>
      <c r="BQ408" s="694" t="e">
        <f t="shared" ref="BQ408" ca="1" si="7256">BQ407-1</f>
        <v>#REF!</v>
      </c>
      <c r="BR408" s="686" t="str">
        <f ca="1">IFERROR(VLOOKUP(BQ408,INDIRECT(AQ418),2,FALSE),"----")</f>
        <v>----</v>
      </c>
      <c r="BS408" s="695">
        <f>IF(AI408="",1,IF(COUNTIF(AX407:AX418,AI408)=0,2,1))</f>
        <v>1</v>
      </c>
      <c r="BT408" s="696">
        <f>IF(AF408="",1,IF(AX407=".",2,1))</f>
        <v>1</v>
      </c>
      <c r="BU408" s="706"/>
      <c r="BV408" s="155">
        <f ca="1">IF(COUNTIF(CJ407:CJ418,AF408)=0,IF(AF408&lt;&gt;"",0,1),1)</f>
        <v>1</v>
      </c>
      <c r="BW408" s="157">
        <f ca="1">IFERROR(MATCH(AF408,CJ407:CJ418,0),1)</f>
        <v>1</v>
      </c>
      <c r="BX408" s="769"/>
      <c r="BY408" s="769"/>
      <c r="BZ408" s="1110"/>
      <c r="CA408" s="691" t="e">
        <f t="shared" ref="CA408:CA418" ca="1" si="7257">CA407-1</f>
        <v>#REF!</v>
      </c>
      <c r="CB408" s="4" t="e" cm="1">
        <f t="array" aca="1" ref="CB408" ca="1">IF(AND(INDEX(INDIRECT(BY407),CA408,4)&gt;=$AB407,INDEX(INDIRECT(BY407),CA408,5)&gt;=$S407,INDEX(INDIRECT(BY407),CA408,6)&gt;=$R407),1,0)</f>
        <v>#REF!</v>
      </c>
      <c r="CC408" s="4" t="e">
        <f t="shared" ref="CC408" ca="1" si="7258">MATCH(1,OFFSET(CB407:CB418,CD407,0,COUNT(CB407:CB418)-CD407),0)</f>
        <v>#REF!</v>
      </c>
      <c r="CD408" s="4" t="e">
        <f t="shared" ref="CD408:CD418" ca="1" si="7259">CD407+CC408</f>
        <v>#REF!</v>
      </c>
      <c r="CE408" s="692" t="str" cm="1">
        <f t="array" aca="1" ref="CE408" ca="1">IFERROR(VLOOKUP(INDEX(CA407:CA418,CD408),INDIRECT(BY407),2,FALSE),"----")</f>
        <v>----</v>
      </c>
      <c r="CF408" s="691" t="e">
        <f t="shared" ref="CF408:CF418" ca="1" si="7260">CF407-1</f>
        <v>#N/A</v>
      </c>
      <c r="CG408" s="4" t="e">
        <f ca="1">IF(AND(INDEX(SSM,CF408,4)&gt;=$AB407,INDEX(SSM,CF408,5)&gt;=$S407,INDEX(SSM,CF408,6)&gt;=$R407),1,0)</f>
        <v>#N/A</v>
      </c>
      <c r="CH408" s="4" t="e">
        <f t="shared" ref="CH408" ca="1" si="7261">MATCH(1,OFFSET(CG407:CG418,CI407,0,COUNT(CG407:CG418)-CI407),0)</f>
        <v>#REF!</v>
      </c>
      <c r="CI408" s="4" t="e">
        <f t="shared" ref="CI408:CI418" ca="1" si="7262">CI407+CH408</f>
        <v>#REF!</v>
      </c>
      <c r="CJ408" s="692" t="str">
        <f ca="1">IFERROR(IF(AD408="Nested Steel Stud (wood infill)",VLOOKUP(INDEX(CF407:CF418,CI408),SSW,2,FALSE),VLOOKUP(INDEX(CF407:CF418,CI408),SSM,2,FALSE)),"----")</f>
        <v>----</v>
      </c>
      <c r="CK408" s="691" t="e">
        <f t="shared" ref="CK408:CK418" ca="1" si="7263">CK407-1</f>
        <v>#N/A</v>
      </c>
      <c r="CL408" s="4" t="e">
        <f ca="1">IF(AND(INDEX(WSM,CK408,4)&gt;=$AB407,INDEX(WSM,CK408,5)&gt;=$S407,INDEX(WSM,CK408,6)&gt;=$R407),1,0)</f>
        <v>#N/A</v>
      </c>
      <c r="CM408" s="4" t="e">
        <f t="shared" ref="CM408" ca="1" si="7264">MATCH(1,OFFSET(CL407:CL418,CN407,0,COUNT(CL407:CL418)-CN407),0)</f>
        <v>#REF!</v>
      </c>
      <c r="CN408" s="4" t="e">
        <f t="shared" ref="CN408:CN418" ca="1" si="7265">CM408+CN407</f>
        <v>#REF!</v>
      </c>
      <c r="CO408" s="692" t="str">
        <f ca="1">IFERROR(VLOOKUP(INDEX(CK407:CK418,CN408),WSM,2,FALSE),"----")</f>
        <v>----</v>
      </c>
      <c r="CP408" s="691" t="e">
        <f t="shared" ref="CP408:CP418" ca="1" si="7266">CP407-1</f>
        <v>#N/A</v>
      </c>
      <c r="CQ408" s="4" t="e">
        <f ca="1">IF(AND(INDEX(STM,CP408,4)&gt;=$AB407,INDEX(STM,CP408,5)&gt;=$S407,INDEX(STM,CP408,6)&gt;=$R407),1,0)</f>
        <v>#N/A</v>
      </c>
      <c r="CR408" s="4" t="e">
        <f t="shared" ref="CR408" ca="1" si="7267">MATCH(1,OFFSET(CQ407:CQ418,CS407,0,COUNT(CQ407:CQ418)-CS407),0)</f>
        <v>#REF!</v>
      </c>
      <c r="CS408" s="4" t="e">
        <f t="shared" ref="CS408:CS418" ca="1" si="7268">CR408+CS407</f>
        <v>#REF!</v>
      </c>
      <c r="CT408" s="692" t="str">
        <f ca="1">IFERROR(VLOOKUP(INDEX(CP407:CP418,CS408),STM,2,FALSE),"----")</f>
        <v>----</v>
      </c>
      <c r="CU408" s="691" t="e">
        <f t="shared" ref="CU408:CU418" ca="1" si="7269">CU407-1</f>
        <v>#N/A</v>
      </c>
      <c r="CV408" s="4" t="e">
        <f ca="1">IF(AND(INDEX(ELM,CU408,4)&gt;=$AB407,INDEX(ELM,CU408,5)&gt;=$S407,INDEX(ELM,CU408,6)&gt;=$R407),1,0)</f>
        <v>#N/A</v>
      </c>
      <c r="CW408" s="4" t="e">
        <f t="shared" ref="CW408" ca="1" si="7270">MATCH(1,OFFSET(CV407:CV418,CX407,0,COUNT(CV407:CV418)-CX407),0)</f>
        <v>#REF!</v>
      </c>
      <c r="CX408" s="4" t="e">
        <f t="shared" ref="CX408:CX418" ca="1" si="7271">CW408+CX407</f>
        <v>#REF!</v>
      </c>
      <c r="CY408" s="692" t="str">
        <f ca="1">IFERROR(VLOOKUP(INDEX(CU407:CU418,CX408),ELM,2,FALSE),"----")</f>
        <v>----</v>
      </c>
      <c r="CZ408" s="691" t="e">
        <f t="shared" ref="CZ408:CZ418" ca="1" si="7272">CZ407-1</f>
        <v>#N/A</v>
      </c>
      <c r="DA408" s="4" t="e">
        <f ca="1">IF(LEFT($J407,7)="Clad Wo",IF(AND(INDEX(SPPWS,CZ408,4)&gt;=$AB407,INDEX(SPPWS,CZ408,5)&gt;=$S407,INDEX(SPPWS,CZ408,6)&gt;=$R407),1,0),IF(AND(INDEX(SPM,CZ408,4)&gt;=$AB407,INDEX(SPM,CZ408,5)&gt;=$S407,INDEX(SPM,CZ408,6)&gt;=$R407),1,0))</f>
        <v>#N/A</v>
      </c>
      <c r="DB408" s="4" t="e">
        <f t="shared" ref="DB408" ca="1" si="7273">MATCH(1,OFFSET(DA407:DA418,DC407,0,COUNT(DA407:DA418)-DC407),0)</f>
        <v>#REF!</v>
      </c>
      <c r="DC408" s="4" t="e">
        <f t="shared" ref="DC408:DC418" ca="1" si="7274">DC407+DB408</f>
        <v>#REF!</v>
      </c>
      <c r="DD408" s="693" t="str">
        <f ca="1">IF(LEFT($J407,7)="Clad Wo",IFERROR(VLOOKUP(INDEX(CZ407:CZ418,DC408),SPPWS,2,FALSE),"----"),IFERROR(VLOOKUP(INDEX(CZ407:CZ418,DC408),SPM,2,FALSE),"----"))</f>
        <v>----</v>
      </c>
      <c r="DE408" s="691" t="e">
        <f t="shared" ref="DE408:DE418" ca="1" si="7275">DE407-1</f>
        <v>#REF!</v>
      </c>
      <c r="DF408" s="4" t="e" cm="1">
        <f t="array" aca="1" ref="DF408" ca="1">IF(AND(INDEX(INDIRECT(BY407),DE408,4)&gt;=$AB413,INDEX(INDIRECT(BY407),DE408,5)&gt;=$S407,INDEX(INDIRECT(BY407),DE408,6)&gt;=$R407),1,0)</f>
        <v>#REF!</v>
      </c>
      <c r="DG408" s="4" t="e">
        <f t="shared" ref="DG408" ca="1" si="7276">MATCH(1,OFFSET(DF407:DF418,DH407,0,COUNT(DF407:DF418)-DH407),0)</f>
        <v>#REF!</v>
      </c>
      <c r="DH408" s="4" t="e">
        <f t="shared" ref="DH408:DH418" ca="1" si="7277">DH407+DG408</f>
        <v>#REF!</v>
      </c>
      <c r="DI408" s="692" t="str" cm="1">
        <f t="array" aca="1" ref="DI408" ca="1">IFERROR(VLOOKUP(INDEX(DE407:DE418,DH408),INDIRECT(BY407),2,FALSE),"----")</f>
        <v>----</v>
      </c>
      <c r="DJ408" s="691" t="e">
        <f t="shared" ref="DJ408:DJ418" ca="1" si="7278">DJ407-1</f>
        <v>#N/A</v>
      </c>
      <c r="DK408" s="4" t="e">
        <f ca="1">IF(AND(INDEX(SSM,DJ408,4)&gt;=$AB413,INDEX(SSM,DJ408,5)&gt;=$S407,INDEX(SSM,DJ408,6)&gt;=$R407),1,0)</f>
        <v>#N/A</v>
      </c>
      <c r="DL408" s="4" t="e">
        <f t="shared" ref="DL408" ca="1" si="7279">MATCH(1,OFFSET(DK407:DK418,DM407,0,COUNT(DK407:DK418)-DM407),0)</f>
        <v>#REF!</v>
      </c>
      <c r="DM408" s="4" t="e">
        <f t="shared" ref="DM408:DM418" ca="1" si="7280">DL408+DM407</f>
        <v>#REF!</v>
      </c>
      <c r="DN408" s="692" t="str">
        <f ca="1">IFERROR(IF(AD414="Nested Steel Stud (wood infill)",VLOOKUP(INDEX(DJ407:DJ418,DM408),SSW,2,FALSE),VLOOKUP(INDEX(DJ407:DJ418,DM408),SSM,2,FALSE)),"----")</f>
        <v>----</v>
      </c>
      <c r="DO408" s="691" t="e">
        <f t="shared" ref="DO408:DO418" ca="1" si="7281">DO407-1</f>
        <v>#N/A</v>
      </c>
      <c r="DP408" s="4" t="e">
        <f ca="1">IF(AND(INDEX(WSM,DO408,4)&gt;=$AB413,INDEX(WSM,DO408,5)&gt;=$S407,INDEX(WSM,DO408,6)&gt;=$R407),1,0)</f>
        <v>#N/A</v>
      </c>
      <c r="DQ408" s="4" t="e">
        <f t="shared" ref="DQ408" ca="1" si="7282">MATCH(1,OFFSET(DP407:DP418,DR407,0,COUNT(DP407:DP418)-DR407),0)</f>
        <v>#REF!</v>
      </c>
      <c r="DR408" s="4" t="e">
        <f t="shared" ref="DR408:DR418" ca="1" si="7283">DQ408+DR407</f>
        <v>#REF!</v>
      </c>
      <c r="DS408" s="692" t="str">
        <f ca="1">IFERROR(VLOOKUP(INDEX(DO407:DO418,DR408),WSM,2,FALSE),"----")</f>
        <v>----</v>
      </c>
      <c r="DT408" s="691" t="e">
        <f t="shared" ref="DT408:DT418" ca="1" si="7284">DT407-1</f>
        <v>#N/A</v>
      </c>
      <c r="DU408" s="4" t="e">
        <f ca="1">IF(AND(INDEX(STM,DT408,4)&gt;=$AB413,INDEX(STM,DT408,5)&gt;=$S407,INDEX(STM,DT408,6)&gt;=$R407),1,0)</f>
        <v>#N/A</v>
      </c>
      <c r="DV408" s="4" t="e">
        <f t="shared" ref="DV408" ca="1" si="7285">MATCH(1,OFFSET(DU407:DU418,DW407,0,COUNT(DU407:DU418)-DW407),0)</f>
        <v>#REF!</v>
      </c>
      <c r="DW408" s="4" t="e">
        <f t="shared" ref="DW408:DW418" ca="1" si="7286">DV408+DW407</f>
        <v>#REF!</v>
      </c>
      <c r="DX408" s="692" t="str">
        <f ca="1">IFERROR(VLOOKUP(INDEX(DT407:DT418,DW408),STM,2,FALSE),"----")</f>
        <v>----</v>
      </c>
      <c r="DY408" s="691" t="e">
        <f t="shared" ref="DY408:DY418" ca="1" si="7287">DY407-1</f>
        <v>#N/A</v>
      </c>
      <c r="DZ408" s="4" t="e">
        <f ca="1">IF(AND(INDEX(ELM,DY408,4)&gt;=$AB413,INDEX(ELM,DY408,5)&gt;=$S407,INDEX(ELM,DY408,6)&gt;=$R407),1,0)</f>
        <v>#N/A</v>
      </c>
      <c r="EA408" s="4" t="e">
        <f t="shared" ref="EA408" ca="1" si="7288">MATCH(1,OFFSET(DZ407:DZ418,EB407,0,COUNT(DZ407:DZ418)-EB407),0)</f>
        <v>#REF!</v>
      </c>
      <c r="EB408" s="4" t="e">
        <f t="shared" ref="EB408:EB418" ca="1" si="7289">EA408+EB407</f>
        <v>#REF!</v>
      </c>
      <c r="EC408" s="692" t="str">
        <f ca="1">IFERROR(VLOOKUP(INDEX(DY407:DY418,EB408),ELM,2,FALSE),"----")</f>
        <v>----</v>
      </c>
      <c r="ED408" s="691" t="e">
        <f t="shared" ref="ED408:ED418" ca="1" si="7290">ED407-1</f>
        <v>#N/A</v>
      </c>
      <c r="EE408" s="4" t="e">
        <f ca="1">IF(LEFT($J407,7)="Clad Wo",IF(AND(INDEX(SPPWS,ED408,4)&gt;=$AB413,INDEX(SPPWS,ED408,5)&gt;=$S407,INDEX(SPPWS,ED408,6)&gt;=$R407),1,0),IF(AND(INDEX(SPM,ED408,4)&gt;=$AB413,INDEX(SPM,ED408,5)&gt;=$S407,INDEX(SPM,ED408,6)&gt;=$R407),1,0))</f>
        <v>#N/A</v>
      </c>
      <c r="EF408" s="4" t="e">
        <f t="shared" ref="EF408" ca="1" si="7291">MATCH(1,OFFSET(EE407:EE418,EG407,0,COUNT(EE407:EE418)-EG407),0)</f>
        <v>#REF!</v>
      </c>
      <c r="EG408" s="4" t="e">
        <f t="shared" ref="EG408:EG418" ca="1" si="7292">EG407+EF408</f>
        <v>#REF!</v>
      </c>
      <c r="EH408" s="692" t="str">
        <f ca="1">IF(LEFT($J407,7)="Clad Wo",IFERROR(VLOOKUP(INDEX(ED407:ED418,EG408),SPPWS,2,FALSE),"----"),IFERROR(VLOOKUP(INDEX(ED407:ED418,EG408),SPM,2,FALSE),"----"))</f>
        <v>----</v>
      </c>
    </row>
    <row r="409" spans="1:138" ht="15" customHeight="1" x14ac:dyDescent="0.25">
      <c r="A409" s="1085"/>
      <c r="B409" s="925"/>
      <c r="C409" s="926"/>
      <c r="D409" s="927"/>
      <c r="E409" s="995"/>
      <c r="F409" s="996"/>
      <c r="G409" s="997"/>
      <c r="H409" s="1062"/>
      <c r="I409" s="990"/>
      <c r="J409" s="908"/>
      <c r="K409" s="909"/>
      <c r="L409" s="1002"/>
      <c r="M409" s="923"/>
      <c r="N409" s="1042"/>
      <c r="O409" s="1018"/>
      <c r="P409" s="987"/>
      <c r="Q409" s="1015"/>
      <c r="R409" s="1012"/>
      <c r="S409" s="1006"/>
      <c r="T409" s="1007"/>
      <c r="U409" s="878"/>
      <c r="V409" s="881"/>
      <c r="W409" s="884"/>
      <c r="X409" s="884"/>
      <c r="Y409" s="887"/>
      <c r="Z409" s="887"/>
      <c r="AA409" s="887"/>
      <c r="AB409" s="1081"/>
      <c r="AC409" s="1078"/>
      <c r="AD409" s="1070" t="s">
        <v>333</v>
      </c>
      <c r="AE409" s="1071"/>
      <c r="AF409" s="1052"/>
      <c r="AG409" s="1053"/>
      <c r="AH409" s="1053"/>
      <c r="AI409" s="1066"/>
      <c r="AJ409" s="1067"/>
      <c r="AK409" s="154" t="str">
        <f t="shared" ca="1" si="6208"/>
        <v/>
      </c>
      <c r="AL409" s="1039"/>
      <c r="AM409" s="344" t="str">
        <f ca="1">IFERROR(Q407/12*ROUND(VLOOKUP(AF409,OFFSET(WSM,0,1),6,FALSE),2),"")</f>
        <v/>
      </c>
      <c r="AN409" t="str">
        <f t="shared" ca="1" si="6226"/>
        <v/>
      </c>
      <c r="AP409" s="122" t="str">
        <f t="shared" ref="AP409" si="7293">_xlfn.CONCAT(AR409,AS412)</f>
        <v/>
      </c>
      <c r="AQ409" s="683" t="str">
        <f t="shared" si="6434"/>
        <v/>
      </c>
      <c r="AR409" s="4" t="str">
        <f t="shared" si="6193"/>
        <v/>
      </c>
      <c r="AS409" s="4"/>
      <c r="AT409" s="697" t="str">
        <f>AL407</f>
        <v/>
      </c>
      <c r="AU409" s="694" t="e">
        <f t="shared" ca="1" si="6450"/>
        <v>#REF!</v>
      </c>
      <c r="AV409" s="686" t="str">
        <f ca="1">IFERROR(VLOOKUP(AU409,INDIRECT(AQ407),2,FALSE),"----")</f>
        <v>----</v>
      </c>
      <c r="AW409" s="694" t="e">
        <f t="shared" ca="1" si="7246"/>
        <v>#REF!</v>
      </c>
      <c r="AX409" s="686" t="str">
        <f ca="1">IFERROR(VLOOKUP(AW409,INDIRECT(AQ408),2,FALSE),"----")</f>
        <v>----</v>
      </c>
      <c r="AY409" s="694" t="e">
        <f t="shared" ca="1" si="7247"/>
        <v>#REF!</v>
      </c>
      <c r="AZ409" s="686" t="str">
        <f ca="1">IFERROR(VLOOKUP(AY409,INDIRECT(AQ409),2,FALSE),"----")</f>
        <v>----</v>
      </c>
      <c r="BA409" s="694" t="e">
        <f t="shared" ca="1" si="7248"/>
        <v>#REF!</v>
      </c>
      <c r="BB409" s="686" t="str">
        <f ca="1">IFERROR(VLOOKUP(BA409,INDIRECT(AQ410),2,FALSE),"----")</f>
        <v>----</v>
      </c>
      <c r="BC409" s="694" t="e">
        <f t="shared" ca="1" si="7249"/>
        <v>#REF!</v>
      </c>
      <c r="BD409" s="686" t="str">
        <f ca="1">IFERROR(VLOOKUP(BC409,INDIRECT(AQ411),2,FALSE),"----")</f>
        <v>----</v>
      </c>
      <c r="BE409" s="694" t="e">
        <f t="shared" ca="1" si="6453"/>
        <v>#REF!</v>
      </c>
      <c r="BF409" s="686" t="str">
        <f ca="1">IFERROR(VLOOKUP(BE409,INDIRECT(AQ412),2,FALSE),"----")</f>
        <v>----</v>
      </c>
      <c r="BG409" s="694" t="e">
        <f t="shared" ca="1" si="6454"/>
        <v>#REF!</v>
      </c>
      <c r="BH409" s="686" t="str">
        <f ca="1">IFERROR(VLOOKUP(BG409,INDIRECT(AQ413),2,FALSE),"----")</f>
        <v>----</v>
      </c>
      <c r="BI409" s="694" t="e">
        <f t="shared" ca="1" si="7252"/>
        <v>#REF!</v>
      </c>
      <c r="BJ409" s="686" t="str">
        <f ca="1">IFERROR(VLOOKUP(BI409,INDIRECT(AQ414),2,FALSE),"----")</f>
        <v>----</v>
      </c>
      <c r="BK409" s="694" t="e">
        <f t="shared" ca="1" si="7253"/>
        <v>#REF!</v>
      </c>
      <c r="BL409" s="686" t="str">
        <f ca="1">IFERROR(VLOOKUP(BK409,INDIRECT(AQ415),2,FALSE),"----")</f>
        <v>----</v>
      </c>
      <c r="BM409" s="694" t="e">
        <f t="shared" ca="1" si="7254"/>
        <v>#REF!</v>
      </c>
      <c r="BN409" s="686" t="str">
        <f ca="1">IFERROR(VLOOKUP(BM409,INDIRECT(AQ416),2,FALSE),"----")</f>
        <v>----</v>
      </c>
      <c r="BO409" s="694" t="e">
        <f t="shared" ca="1" si="7255"/>
        <v>#REF!</v>
      </c>
      <c r="BP409" s="686" t="str">
        <f ca="1">IFERROR(VLOOKUP(BO409,INDIRECT(AQ417),2,FALSE),"----")</f>
        <v>----</v>
      </c>
      <c r="BQ409" s="694" t="e">
        <f t="shared" ca="1" si="6459"/>
        <v>#REF!</v>
      </c>
      <c r="BR409" s="686" t="str">
        <f ca="1">IFERROR(VLOOKUP(BQ409,INDIRECT(AQ418),2,FALSE),"----")</f>
        <v>----</v>
      </c>
      <c r="BS409" s="695">
        <f>IF(AI409="",1,IF(COUNTIF(AZ407:AZ418,AI409)=0,2,1))</f>
        <v>1</v>
      </c>
      <c r="BT409" s="696">
        <f>IF(AF409="",1,IF(AZ407=".",2,1))</f>
        <v>1</v>
      </c>
      <c r="BU409" s="706"/>
      <c r="BV409" s="155">
        <f ca="1">IF(COUNTIF(CO407:CO418,AF409)=0,IF(AF409&lt;&gt;"",0,1),1)</f>
        <v>1</v>
      </c>
      <c r="BW409" s="157">
        <f ca="1">IFERROR(MATCH(AF409,CO407:CO418,0),1)</f>
        <v>1</v>
      </c>
      <c r="BX409" s="769"/>
      <c r="BY409" s="769"/>
      <c r="BZ409" s="1110"/>
      <c r="CA409" s="691" t="e">
        <f t="shared" ca="1" si="7257"/>
        <v>#REF!</v>
      </c>
      <c r="CB409" s="4" t="e" cm="1">
        <f t="array" aca="1" ref="CB409" ca="1">IF(AND(INDEX(INDIRECT(BY407),CA409,4)&gt;=$AB407,INDEX(INDIRECT(BY407),CA409,5)&gt;=$S407,INDEX(INDIRECT(BY407),CA409,6)&gt;=$R407),1,0)</f>
        <v>#REF!</v>
      </c>
      <c r="CC409" s="4" t="e">
        <f t="shared" ref="CC409" ca="1" si="7294">MATCH(1,OFFSET(CB407:CB418,CD408,0,COUNT(CB407:CB418)-CD408),0)</f>
        <v>#REF!</v>
      </c>
      <c r="CD409" s="4" t="e">
        <f t="shared" ca="1" si="7259"/>
        <v>#REF!</v>
      </c>
      <c r="CE409" s="692" t="str" cm="1">
        <f t="array" aca="1" ref="CE409" ca="1">IFERROR(VLOOKUP(INDEX(CA407:CA418,CD409),INDIRECT(BY407),2,FALSE),"----")</f>
        <v>----</v>
      </c>
      <c r="CF409" s="691" t="e">
        <f t="shared" ca="1" si="7260"/>
        <v>#N/A</v>
      </c>
      <c r="CG409" s="4" t="e">
        <f ca="1">IF(AND(INDEX(SSM,CF409,4)&gt;=$AB407,INDEX(SSM,CF409,5)&gt;=$S407,INDEX(SSM,CF409,6)&gt;=$R407),1,0)</f>
        <v>#N/A</v>
      </c>
      <c r="CH409" s="4" t="e">
        <f t="shared" ref="CH409" ca="1" si="7295">MATCH(1,OFFSET(CG407:CG418,CI408,0,COUNT(CG407:CG418)-CI408),0)</f>
        <v>#REF!</v>
      </c>
      <c r="CI409" s="4" t="e">
        <f t="shared" ca="1" si="7262"/>
        <v>#REF!</v>
      </c>
      <c r="CJ409" s="692" t="str">
        <f ca="1">IFERROR(IF(AD408="Nested Steel Stud (wood infill)",VLOOKUP(INDEX(CF407:CF418,CI409),SSW,2,FALSE),VLOOKUP(INDEX(CF407:CF418,CI409),SSM,2,FALSE)),"----")</f>
        <v>----</v>
      </c>
      <c r="CK409" s="691" t="e">
        <f t="shared" ca="1" si="7263"/>
        <v>#N/A</v>
      </c>
      <c r="CL409" s="4" t="e">
        <f ca="1">IF(AND(INDEX(WSM,CK409,4)&gt;=$AB407,INDEX(WSM,CK409,5)&gt;=$S407,INDEX(WSM,CK409,6)&gt;=$R407),1,0)</f>
        <v>#N/A</v>
      </c>
      <c r="CM409" s="4" t="e">
        <f t="shared" ref="CM409" ca="1" si="7296">MATCH(1,OFFSET(CL407:CL418,CN408,0,COUNT(CL407:CL418)-CN408),0)</f>
        <v>#REF!</v>
      </c>
      <c r="CN409" s="4" t="e">
        <f t="shared" ca="1" si="7265"/>
        <v>#REF!</v>
      </c>
      <c r="CO409" s="692" t="str">
        <f ca="1">IFERROR(VLOOKUP(INDEX(CK407:CK418,CN409),WSM,2,FALSE),"----")</f>
        <v>----</v>
      </c>
      <c r="CP409" s="691" t="e">
        <f t="shared" ca="1" si="7266"/>
        <v>#N/A</v>
      </c>
      <c r="CQ409" s="4" t="e">
        <f ca="1">IF(AND(INDEX(STM,CP409,4)&gt;=$AB407,INDEX(STM,CP409,5)&gt;=$S407,INDEX(STM,CP409,6)&gt;=$R407),1,0)</f>
        <v>#N/A</v>
      </c>
      <c r="CR409" s="4" t="e">
        <f t="shared" ref="CR409" ca="1" si="7297">MATCH(1,OFFSET(CQ407:CQ418,CS408,0,COUNT(CQ407:CQ418)-CS408),0)</f>
        <v>#REF!</v>
      </c>
      <c r="CS409" s="4" t="e">
        <f t="shared" ca="1" si="7268"/>
        <v>#REF!</v>
      </c>
      <c r="CT409" s="692" t="str">
        <f ca="1">IFERROR(VLOOKUP(INDEX(CP407:CP418,CS409),STM,2,FALSE),"----")</f>
        <v>----</v>
      </c>
      <c r="CU409" s="691" t="e">
        <f t="shared" ca="1" si="7269"/>
        <v>#N/A</v>
      </c>
      <c r="CV409" s="4" t="e">
        <f ca="1">IF(AND(INDEX(ELM,CU409,4)&gt;=$AB407,INDEX(ELM,CU409,5)&gt;=$S407,INDEX(ELM,CU409,6)&gt;=$R407),1,0)</f>
        <v>#N/A</v>
      </c>
      <c r="CW409" s="4" t="e">
        <f t="shared" ref="CW409" ca="1" si="7298">MATCH(1,OFFSET(CV407:CV418,CX408,0,COUNT(CV407:CV418)-CX408),0)</f>
        <v>#REF!</v>
      </c>
      <c r="CX409" s="4" t="e">
        <f t="shared" ca="1" si="7271"/>
        <v>#REF!</v>
      </c>
      <c r="CY409" s="692" t="str">
        <f ca="1">IFERROR(VLOOKUP(INDEX(CU407:CU418,CX409),ELM,2,FALSE),"----")</f>
        <v>----</v>
      </c>
      <c r="CZ409" s="691" t="e">
        <f t="shared" ca="1" si="7272"/>
        <v>#N/A</v>
      </c>
      <c r="DA409" s="4" t="e">
        <f ca="1">IF(LEFT($J407,7)="Clad Wo",IF(AND(INDEX(SPPWS,CZ409,4)&gt;=$AB407,INDEX(SPPWS,CZ409,5)&gt;=$S407,INDEX(SPPWS,CZ409,6)&gt;=$R407),1,0),IF(AND(INDEX(SPM,CZ409,4)&gt;=$AB407,INDEX(SPM,CZ409,5)&gt;=$S407,INDEX(SPM,CZ409,6)&gt;=$R407),1,0))</f>
        <v>#N/A</v>
      </c>
      <c r="DB409" s="4" t="e">
        <f t="shared" ref="DB409" ca="1" si="7299">MATCH(1,OFFSET(DA407:DA418,DC408,0,COUNT(DA407:DA418)-DC408),0)</f>
        <v>#REF!</v>
      </c>
      <c r="DC409" s="4" t="e">
        <f t="shared" ca="1" si="7274"/>
        <v>#REF!</v>
      </c>
      <c r="DD409" s="693" t="str">
        <f ca="1">IF(LEFT($J407,7)="Clad Wo",IFERROR(VLOOKUP(INDEX(CZ407:CZ418,DC409),SPPWS,2,FALSE),"----"),IFERROR(VLOOKUP(INDEX(CZ407:CZ418,DC409),SPM,2,FALSE),"----"))</f>
        <v>----</v>
      </c>
      <c r="DE409" s="691" t="e">
        <f t="shared" ca="1" si="7275"/>
        <v>#REF!</v>
      </c>
      <c r="DF409" s="4" t="e" cm="1">
        <f t="array" aca="1" ref="DF409" ca="1">IF(AND(INDEX(INDIRECT(BY407),DE409,4)&gt;=$AB413,INDEX(INDIRECT(BY407),DE409,5)&gt;=$S407,INDEX(INDIRECT(BY407),DE409,6)&gt;=$R407),1,0)</f>
        <v>#REF!</v>
      </c>
      <c r="DG409" s="4" t="e">
        <f t="shared" ref="DG409" ca="1" si="7300">MATCH(1,OFFSET(DF407:DF418,DH408,0,COUNT(DF407:DF418)-DH408),0)</f>
        <v>#REF!</v>
      </c>
      <c r="DH409" s="4" t="e">
        <f t="shared" ca="1" si="7277"/>
        <v>#REF!</v>
      </c>
      <c r="DI409" s="692" t="str" cm="1">
        <f t="array" aca="1" ref="DI409" ca="1">IFERROR(VLOOKUP(INDEX(DE407:DE418,DH409),INDIRECT(BY407),2,FALSE),"----")</f>
        <v>----</v>
      </c>
      <c r="DJ409" s="691" t="e">
        <f t="shared" ca="1" si="7278"/>
        <v>#N/A</v>
      </c>
      <c r="DK409" s="4" t="e">
        <f ca="1">IF(AND(INDEX(SSM,DJ409,4)&gt;=$AB413,INDEX(SSM,DJ409,5)&gt;=$S407,INDEX(SSM,DJ409,6)&gt;=$R407),1,0)</f>
        <v>#N/A</v>
      </c>
      <c r="DL409" s="4" t="e">
        <f t="shared" ref="DL409" ca="1" si="7301">MATCH(1,OFFSET(DK407:DK418,DM408,0,COUNT(DK407:DK418)-DM408),0)</f>
        <v>#REF!</v>
      </c>
      <c r="DM409" s="4" t="e">
        <f t="shared" ca="1" si="7280"/>
        <v>#REF!</v>
      </c>
      <c r="DN409" s="692" t="str">
        <f ca="1">IFERROR(IF(AD414="Nested Steel Stud (wood infill)",VLOOKUP(INDEX(DJ407:DJ418,DM409),SSW,2,FALSE),VLOOKUP(INDEX(DJ407:DJ418,DM409),SSM,2,FALSE)),"----")</f>
        <v>----</v>
      </c>
      <c r="DO409" s="691" t="e">
        <f t="shared" ca="1" si="7281"/>
        <v>#N/A</v>
      </c>
      <c r="DP409" s="4" t="e">
        <f ca="1">IF(AND(INDEX(WSM,DO409,4)&gt;=$AB413,INDEX(WSM,DO409,5)&gt;=$S407,INDEX(WSM,DO409,6)&gt;=$R407),1,0)</f>
        <v>#N/A</v>
      </c>
      <c r="DQ409" s="4" t="e">
        <f t="shared" ref="DQ409" ca="1" si="7302">MATCH(1,OFFSET(DP407:DP418,DR408,0,COUNT(DP407:DP418)-DR408),0)</f>
        <v>#REF!</v>
      </c>
      <c r="DR409" s="4" t="e">
        <f t="shared" ca="1" si="7283"/>
        <v>#REF!</v>
      </c>
      <c r="DS409" s="692" t="str">
        <f ca="1">IFERROR(VLOOKUP(INDEX(DO407:DO418,DR409),WSM,2,FALSE),"----")</f>
        <v>----</v>
      </c>
      <c r="DT409" s="691" t="e">
        <f t="shared" ca="1" si="7284"/>
        <v>#N/A</v>
      </c>
      <c r="DU409" s="4" t="e">
        <f ca="1">IF(AND(INDEX(STM,DT409,4)&gt;=$AB413,INDEX(STM,DT409,5)&gt;=$S407,INDEX(STM,DT409,6)&gt;=$R407),1,0)</f>
        <v>#N/A</v>
      </c>
      <c r="DV409" s="4" t="e">
        <f t="shared" ref="DV409" ca="1" si="7303">MATCH(1,OFFSET(DU407:DU418,DW408,0,COUNT(DU407:DU418)-DW408),0)</f>
        <v>#REF!</v>
      </c>
      <c r="DW409" s="4" t="e">
        <f t="shared" ca="1" si="7286"/>
        <v>#REF!</v>
      </c>
      <c r="DX409" s="692" t="str">
        <f ca="1">IFERROR(VLOOKUP(INDEX(DT407:DT418,DW409),STM,2,FALSE),"----")</f>
        <v>----</v>
      </c>
      <c r="DY409" s="691" t="e">
        <f t="shared" ca="1" si="7287"/>
        <v>#N/A</v>
      </c>
      <c r="DZ409" s="4" t="e">
        <f ca="1">IF(AND(INDEX(ELM,DY409,4)&gt;=$AB413,INDEX(ELM,DY409,5)&gt;=$S407,INDEX(ELM,DY409,6)&gt;=$R407),1,0)</f>
        <v>#N/A</v>
      </c>
      <c r="EA409" s="4" t="e">
        <f t="shared" ref="EA409" ca="1" si="7304">MATCH(1,OFFSET(DZ407:DZ418,EB408,0,COUNT(DZ407:DZ418)-EB408),0)</f>
        <v>#REF!</v>
      </c>
      <c r="EB409" s="4" t="e">
        <f t="shared" ca="1" si="7289"/>
        <v>#REF!</v>
      </c>
      <c r="EC409" s="692" t="str">
        <f ca="1">IFERROR(VLOOKUP(INDEX(DY407:DY418,EB409),ELM,2,FALSE),"----")</f>
        <v>----</v>
      </c>
      <c r="ED409" s="691" t="e">
        <f t="shared" ca="1" si="7290"/>
        <v>#N/A</v>
      </c>
      <c r="EE409" s="4" t="e">
        <f ca="1">IF(LEFT($J407,7)="Clad Wo",IF(AND(INDEX(SPPWS,ED409,4)&gt;=$AB413,INDEX(SPPWS,ED409,5)&gt;=$S407,INDEX(SPPWS,ED409,6)&gt;=$R407),1,0),IF(AND(INDEX(SPM,ED409,4)&gt;=$AB413,INDEX(SPM,ED409,5)&gt;=$S407,INDEX(SPM,ED409,6)&gt;=$R407),1,0))</f>
        <v>#N/A</v>
      </c>
      <c r="EF409" s="4" t="e">
        <f t="shared" ref="EF409" ca="1" si="7305">MATCH(1,OFFSET(EE407:EE418,EG408,0,COUNT(EE407:EE418)-EG408),0)</f>
        <v>#REF!</v>
      </c>
      <c r="EG409" s="4" t="e">
        <f t="shared" ca="1" si="7292"/>
        <v>#REF!</v>
      </c>
      <c r="EH409" s="692" t="str">
        <f ca="1">IF(LEFT($J407,7)="Clad Wo",IFERROR(VLOOKUP(INDEX(ED407:ED418,EG409),SPPWS,2,FALSE),"----"),IFERROR(VLOOKUP(INDEX(ED407:ED418,EG409),SPM,2,FALSE),"----"))</f>
        <v>----</v>
      </c>
    </row>
    <row r="410" spans="1:138" ht="15" customHeight="1" x14ac:dyDescent="0.25">
      <c r="A410" s="1085"/>
      <c r="B410" s="925"/>
      <c r="C410" s="926"/>
      <c r="D410" s="927"/>
      <c r="E410" s="995"/>
      <c r="F410" s="996"/>
      <c r="G410" s="997"/>
      <c r="H410" s="1062"/>
      <c r="I410" s="990"/>
      <c r="J410" s="908"/>
      <c r="K410" s="909"/>
      <c r="L410" s="1002"/>
      <c r="M410" s="923"/>
      <c r="N410" s="1042"/>
      <c r="O410" s="1018"/>
      <c r="P410" s="987"/>
      <c r="Q410" s="1015"/>
      <c r="R410" s="1012"/>
      <c r="S410" s="1006"/>
      <c r="T410" s="1007"/>
      <c r="U410" s="878"/>
      <c r="V410" s="881"/>
      <c r="W410" s="884"/>
      <c r="X410" s="884"/>
      <c r="Y410" s="887"/>
      <c r="Z410" s="887"/>
      <c r="AA410" s="887"/>
      <c r="AB410" s="1081"/>
      <c r="AC410" s="1078"/>
      <c r="AD410" s="1070" t="s">
        <v>37</v>
      </c>
      <c r="AE410" s="1071"/>
      <c r="AF410" s="1052"/>
      <c r="AG410" s="1053"/>
      <c r="AH410" s="1053"/>
      <c r="AI410" s="1066"/>
      <c r="AJ410" s="1067"/>
      <c r="AK410" s="156" t="str">
        <f t="shared" ca="1" si="6208"/>
        <v/>
      </c>
      <c r="AL410" s="1039"/>
      <c r="AM410" s="343" t="str">
        <f ca="1">IFERROR(Q407/12*ROUND(VLOOKUP(AF410,OFFSET(STM,0,1),6,FALSE),2),"")</f>
        <v/>
      </c>
      <c r="AN410" t="str">
        <f t="shared" ca="1" si="6226"/>
        <v/>
      </c>
      <c r="AP410" s="122" t="str">
        <f t="shared" ref="AP410" si="7306">_xlfn.CONCAT(AR410,AS412)</f>
        <v/>
      </c>
      <c r="AQ410" s="683" t="str">
        <f t="shared" si="6434"/>
        <v/>
      </c>
      <c r="AR410" s="4" t="str">
        <f t="shared" si="6193"/>
        <v/>
      </c>
      <c r="AS410" s="4"/>
      <c r="AT410" s="697" t="str">
        <f>AL407</f>
        <v/>
      </c>
      <c r="AU410" s="694" t="e">
        <f t="shared" ca="1" si="6450"/>
        <v>#REF!</v>
      </c>
      <c r="AV410" s="686" t="str">
        <f ca="1">IFERROR(VLOOKUP(AU410,INDIRECT(AQ407),2,FALSE),"----")</f>
        <v>----</v>
      </c>
      <c r="AW410" s="694" t="e">
        <f t="shared" ca="1" si="6451"/>
        <v>#REF!</v>
      </c>
      <c r="AX410" s="686" t="str">
        <f ca="1">IFERROR(VLOOKUP(AW410,INDIRECT(AQ408),2,FALSE),"----")</f>
        <v>----</v>
      </c>
      <c r="AY410" s="694" t="e">
        <f t="shared" ref="AY410" ca="1" si="7307">AY409-1</f>
        <v>#REF!</v>
      </c>
      <c r="AZ410" s="686" t="str">
        <f ca="1">IFERROR(VLOOKUP(AY410,INDIRECT(AQ409),2,FALSE),"----")</f>
        <v>----</v>
      </c>
      <c r="BA410" s="694" t="e">
        <f t="shared" ref="BA410" ca="1" si="7308">BA409-1</f>
        <v>#REF!</v>
      </c>
      <c r="BB410" s="686" t="str">
        <f ca="1">IFERROR(VLOOKUP(BA410,INDIRECT(AQ410),2,FALSE),"----")</f>
        <v>----</v>
      </c>
      <c r="BC410" s="694" t="e">
        <f t="shared" ca="1" si="6452"/>
        <v>#REF!</v>
      </c>
      <c r="BD410" s="686" t="str">
        <f ca="1">IFERROR(VLOOKUP(BC410,INDIRECT(AQ411),2,FALSE),"----")</f>
        <v>----</v>
      </c>
      <c r="BE410" s="694" t="e">
        <f t="shared" ca="1" si="6453"/>
        <v>#REF!</v>
      </c>
      <c r="BF410" s="686" t="str">
        <f ca="1">IFERROR(VLOOKUP(BE410,INDIRECT(AQ412),2,FALSE),"----")</f>
        <v>----</v>
      </c>
      <c r="BG410" s="694" t="e">
        <f t="shared" ca="1" si="6454"/>
        <v>#REF!</v>
      </c>
      <c r="BH410" s="686" t="str">
        <f ca="1">IFERROR(VLOOKUP(BG410,INDIRECT(AQ413),2,FALSE),"----")</f>
        <v>----</v>
      </c>
      <c r="BI410" s="694" t="e">
        <f t="shared" ca="1" si="6455"/>
        <v>#REF!</v>
      </c>
      <c r="BJ410" s="686" t="str">
        <f ca="1">IFERROR(VLOOKUP(BI410,INDIRECT(AQ414),2,FALSE),"----")</f>
        <v>----</v>
      </c>
      <c r="BK410" s="694" t="e">
        <f t="shared" ca="1" si="6456"/>
        <v>#REF!</v>
      </c>
      <c r="BL410" s="686" t="str">
        <f ca="1">IFERROR(VLOOKUP(BK410,INDIRECT(AQ415),2,FALSE),"----")</f>
        <v>----</v>
      </c>
      <c r="BM410" s="694" t="e">
        <f t="shared" ca="1" si="6457"/>
        <v>#REF!</v>
      </c>
      <c r="BN410" s="686" t="str">
        <f ca="1">IFERROR(VLOOKUP(BM410,INDIRECT(AQ416),2,FALSE),"----")</f>
        <v>----</v>
      </c>
      <c r="BO410" s="694" t="e">
        <f t="shared" ca="1" si="6458"/>
        <v>#REF!</v>
      </c>
      <c r="BP410" s="686" t="str">
        <f ca="1">IFERROR(VLOOKUP(BO410,INDIRECT(AQ417),2,FALSE),"----")</f>
        <v>----</v>
      </c>
      <c r="BQ410" s="694" t="e">
        <f t="shared" ca="1" si="6459"/>
        <v>#REF!</v>
      </c>
      <c r="BR410" s="686" t="str">
        <f ca="1">IFERROR(VLOOKUP(BQ410,INDIRECT(AQ418),2,FALSE),"----")</f>
        <v>----</v>
      </c>
      <c r="BS410" s="695">
        <f>IF(AI410="",1,IF(COUNTIF(BB407:BB418,AI410)=0,2,1))</f>
        <v>1</v>
      </c>
      <c r="BT410" s="696">
        <f>IF(AF410="",1,IF(BB407=".",2,1))</f>
        <v>1</v>
      </c>
      <c r="BU410" s="706"/>
      <c r="BV410" s="155">
        <f ca="1">IF(COUNTIF(CT407:CT418,AF410)=0,IF(AF410&lt;&gt;"",0,1),1)</f>
        <v>1</v>
      </c>
      <c r="BW410" s="157">
        <f ca="1">IFERROR(MATCH(AF410,CT407:CT418,0),1)</f>
        <v>1</v>
      </c>
      <c r="BX410" s="769"/>
      <c r="BY410" s="769"/>
      <c r="BZ410" s="1110"/>
      <c r="CA410" s="691" t="e">
        <f t="shared" ca="1" si="7257"/>
        <v>#REF!</v>
      </c>
      <c r="CB410" s="4" t="e" cm="1">
        <f t="array" aca="1" ref="CB410" ca="1">IF(AND(INDEX(INDIRECT(BY407),CA410,4)&gt;=$AB407,INDEX(INDIRECT(BY407),CA410,5)&gt;=$S407,INDEX(INDIRECT(BY407),CA410,6)&gt;=$R407),1,0)</f>
        <v>#REF!</v>
      </c>
      <c r="CC410" s="4" t="e">
        <f t="shared" ref="CC410" ca="1" si="7309">MATCH(1,OFFSET(CB407:CB418,CD409,0,COUNT(CB407:CB418)-CD409),0)</f>
        <v>#REF!</v>
      </c>
      <c r="CD410" s="4" t="e">
        <f t="shared" ca="1" si="7259"/>
        <v>#REF!</v>
      </c>
      <c r="CE410" s="692" t="str" cm="1">
        <f t="array" aca="1" ref="CE410" ca="1">IFERROR(VLOOKUP(INDEX(CA407:CA418,CD410),INDIRECT(BY407),2,FALSE),"----")</f>
        <v>----</v>
      </c>
      <c r="CF410" s="691" t="e">
        <f t="shared" ca="1" si="7260"/>
        <v>#N/A</v>
      </c>
      <c r="CG410" s="4" t="e">
        <f ca="1">IF(AND(INDEX(SSM,CF410,4)&gt;=$AB407,INDEX(SSM,CF410,5)&gt;=$S407,INDEX(SSM,CF410,6)&gt;=$R407),1,0)</f>
        <v>#N/A</v>
      </c>
      <c r="CH410" s="4" t="e">
        <f t="shared" ref="CH410" ca="1" si="7310">MATCH(1,OFFSET(CG407:CG418,CI409,0,COUNT(CG407:CG418)-CI409),0)</f>
        <v>#REF!</v>
      </c>
      <c r="CI410" s="4" t="e">
        <f t="shared" ca="1" si="7262"/>
        <v>#REF!</v>
      </c>
      <c r="CJ410" s="692" t="str">
        <f ca="1">IFERROR(IF(AD408="Nested Steel Stud (wood infill)",VLOOKUP(INDEX(CF407:CF418,CI410),SSW,2,FALSE),VLOOKUP(INDEX(CF407:CF418,CI410),SSM,2,FALSE)),"----")</f>
        <v>----</v>
      </c>
      <c r="CK410" s="691" t="e">
        <f t="shared" ca="1" si="7263"/>
        <v>#N/A</v>
      </c>
      <c r="CL410" s="4" t="e">
        <f ca="1">IF(AND(INDEX(WSM,CK410,4)&gt;=$AB407,INDEX(WSM,CK410,5)&gt;=$S407,INDEX(WSM,CK410,6)&gt;=$R407),1,0)</f>
        <v>#N/A</v>
      </c>
      <c r="CM410" s="4" t="e">
        <f t="shared" ref="CM410" ca="1" si="7311">MATCH(1,OFFSET(CL407:CL418,CN409,0,COUNT(CL407:CL418)-CN409),0)</f>
        <v>#REF!</v>
      </c>
      <c r="CN410" s="4" t="e">
        <f t="shared" ca="1" si="7265"/>
        <v>#REF!</v>
      </c>
      <c r="CO410" s="692" t="str">
        <f ca="1">IFERROR(VLOOKUP(INDEX(CK407:CK418,CN410),WSM,2,FALSE),"----")</f>
        <v>----</v>
      </c>
      <c r="CP410" s="691" t="e">
        <f t="shared" ca="1" si="7266"/>
        <v>#N/A</v>
      </c>
      <c r="CQ410" s="4" t="e">
        <f ca="1">IF(AND(INDEX(STM,CP410,4)&gt;=$AB407,INDEX(STM,CP410,5)&gt;=$S407,INDEX(STM,CP410,6)&gt;=$R407),1,0)</f>
        <v>#N/A</v>
      </c>
      <c r="CR410" s="4" t="e">
        <f t="shared" ref="CR410" ca="1" si="7312">MATCH(1,OFFSET(CQ407:CQ418,CS409,0,COUNT(CQ407:CQ418)-CS409),0)</f>
        <v>#REF!</v>
      </c>
      <c r="CS410" s="4" t="e">
        <f t="shared" ca="1" si="7268"/>
        <v>#REF!</v>
      </c>
      <c r="CT410" s="692" t="str">
        <f ca="1">IFERROR(VLOOKUP(INDEX(CP407:CP418,CS410),STM,2,FALSE),"----")</f>
        <v>----</v>
      </c>
      <c r="CU410" s="691" t="e">
        <f t="shared" ca="1" si="7269"/>
        <v>#N/A</v>
      </c>
      <c r="CV410" s="4" t="e">
        <f ca="1">IF(AND(INDEX(ELM,CU410,4)&gt;=$AB407,INDEX(ELM,CU410,5)&gt;=$S407,INDEX(ELM,CU410,6)&gt;=$R407),1,0)</f>
        <v>#N/A</v>
      </c>
      <c r="CW410" s="4" t="e">
        <f t="shared" ref="CW410" ca="1" si="7313">MATCH(1,OFFSET(CV407:CV418,CX409,0,COUNT(CV407:CV418)-CX409),0)</f>
        <v>#REF!</v>
      </c>
      <c r="CX410" s="4" t="e">
        <f t="shared" ca="1" si="7271"/>
        <v>#REF!</v>
      </c>
      <c r="CY410" s="692" t="str">
        <f ca="1">IFERROR(VLOOKUP(INDEX(CU407:CU418,CX410),ELM,2,FALSE),"----")</f>
        <v>----</v>
      </c>
      <c r="CZ410" s="691" t="e">
        <f t="shared" ca="1" si="7272"/>
        <v>#N/A</v>
      </c>
      <c r="DA410" s="4" t="e">
        <f ca="1">IF(LEFT($J407,7)="Clad Wo",IF(AND(INDEX(SPPWS,CZ410,4)&gt;=$AB407,INDEX(SPPWS,CZ410,5)&gt;=$S407,INDEX(SPPWS,CZ410,6)&gt;=$R407),1,0),IF(AND(INDEX(SPM,CZ410,4)&gt;=$AB407,INDEX(SPM,CZ410,5)&gt;=$S407,INDEX(SPM,CZ410,6)&gt;=$R407),1,0))</f>
        <v>#N/A</v>
      </c>
      <c r="DB410" s="4" t="e">
        <f t="shared" ref="DB410" ca="1" si="7314">MATCH(1,OFFSET(DA407:DA418,DC409,0,COUNT(DA407:DA418)-DC409),0)</f>
        <v>#REF!</v>
      </c>
      <c r="DC410" s="4" t="e">
        <f t="shared" ca="1" si="7274"/>
        <v>#REF!</v>
      </c>
      <c r="DD410" s="693" t="str">
        <f ca="1">IF(LEFT($J407,7)="Clad Wo",IFERROR(VLOOKUP(INDEX(CZ407:CZ418,DC410),SPPWS,2,FALSE),"----"),IFERROR(VLOOKUP(INDEX(CZ407:CZ418,DC410),SPM,2,FALSE),"----"))</f>
        <v>----</v>
      </c>
      <c r="DE410" s="691" t="e">
        <f t="shared" ca="1" si="7275"/>
        <v>#REF!</v>
      </c>
      <c r="DF410" s="4" t="e" cm="1">
        <f t="array" aca="1" ref="DF410" ca="1">IF(AND(INDEX(INDIRECT(BY407),DE410,4)&gt;=$AB413,INDEX(INDIRECT(BY407),DE410,5)&gt;=$S407,INDEX(INDIRECT(BY407),DE410,6)&gt;=$R407),1,0)</f>
        <v>#REF!</v>
      </c>
      <c r="DG410" s="4" t="e">
        <f t="shared" ref="DG410" ca="1" si="7315">MATCH(1,OFFSET(DF407:DF418,DH409,0,COUNT(DF407:DF418)-DH409),0)</f>
        <v>#REF!</v>
      </c>
      <c r="DH410" s="4" t="e">
        <f t="shared" ca="1" si="7277"/>
        <v>#REF!</v>
      </c>
      <c r="DI410" s="692" t="str" cm="1">
        <f t="array" aca="1" ref="DI410" ca="1">IFERROR(VLOOKUP(INDEX(DE407:DE418,DH410),INDIRECT(BY407),2,FALSE),"----")</f>
        <v>----</v>
      </c>
      <c r="DJ410" s="691" t="e">
        <f t="shared" ca="1" si="7278"/>
        <v>#N/A</v>
      </c>
      <c r="DK410" s="4" t="e">
        <f ca="1">IF(AND(INDEX(SSM,DJ410,4)&gt;=$AB413,INDEX(SSM,DJ410,5)&gt;=$S407,INDEX(SSM,DJ410,6)&gt;=$R407),1,0)</f>
        <v>#N/A</v>
      </c>
      <c r="DL410" s="4" t="e">
        <f t="shared" ref="DL410" ca="1" si="7316">MATCH(1,OFFSET(DK407:DK418,DM409,0,COUNT(DK407:DK418)-DM409),0)</f>
        <v>#REF!</v>
      </c>
      <c r="DM410" s="4" t="e">
        <f t="shared" ca="1" si="7280"/>
        <v>#REF!</v>
      </c>
      <c r="DN410" s="692" t="str">
        <f ca="1">IFERROR(IF(AD414="Nested Steel Stud (wood infill)",VLOOKUP(INDEX(DJ407:DJ418,DM410),SSW,2,FALSE),VLOOKUP(INDEX(DJ407:DJ418,DM410),SSM,2,FALSE)),"----")</f>
        <v>----</v>
      </c>
      <c r="DO410" s="691" t="e">
        <f t="shared" ca="1" si="7281"/>
        <v>#N/A</v>
      </c>
      <c r="DP410" s="4" t="e">
        <f ca="1">IF(AND(INDEX(WSM,DO410,4)&gt;=$AB413,INDEX(WSM,DO410,5)&gt;=$S407,INDEX(WSM,DO410,6)&gt;=$R407),1,0)</f>
        <v>#N/A</v>
      </c>
      <c r="DQ410" s="4" t="e">
        <f t="shared" ref="DQ410" ca="1" si="7317">MATCH(1,OFFSET(DP407:DP418,DR409,0,COUNT(DP407:DP418)-DR409),0)</f>
        <v>#REF!</v>
      </c>
      <c r="DR410" s="4" t="e">
        <f t="shared" ca="1" si="7283"/>
        <v>#REF!</v>
      </c>
      <c r="DS410" s="692" t="str">
        <f ca="1">IFERROR(VLOOKUP(INDEX(DO407:DO418,DR410),WSM,2,FALSE),"----")</f>
        <v>----</v>
      </c>
      <c r="DT410" s="691" t="e">
        <f t="shared" ca="1" si="7284"/>
        <v>#N/A</v>
      </c>
      <c r="DU410" s="4" t="e">
        <f ca="1">IF(AND(INDEX(STM,DT410,4)&gt;=$AB413,INDEX(STM,DT410,5)&gt;=$S407,INDEX(STM,DT410,6)&gt;=$R407),1,0)</f>
        <v>#N/A</v>
      </c>
      <c r="DV410" s="4" t="e">
        <f t="shared" ref="DV410" ca="1" si="7318">MATCH(1,OFFSET(DU407:DU418,DW409,0,COUNT(DU407:DU418)-DW409),0)</f>
        <v>#REF!</v>
      </c>
      <c r="DW410" s="4" t="e">
        <f t="shared" ca="1" si="7286"/>
        <v>#REF!</v>
      </c>
      <c r="DX410" s="692" t="str">
        <f ca="1">IFERROR(VLOOKUP(INDEX(DT407:DT418,DW410),STM,2,FALSE),"----")</f>
        <v>----</v>
      </c>
      <c r="DY410" s="691" t="e">
        <f t="shared" ca="1" si="7287"/>
        <v>#N/A</v>
      </c>
      <c r="DZ410" s="4" t="e">
        <f ca="1">IF(AND(INDEX(ELM,DY410,4)&gt;=$AB413,INDEX(ELM,DY410,5)&gt;=$S407,INDEX(ELM,DY410,6)&gt;=$R407),1,0)</f>
        <v>#N/A</v>
      </c>
      <c r="EA410" s="4" t="e">
        <f t="shared" ref="EA410" ca="1" si="7319">MATCH(1,OFFSET(DZ407:DZ418,EB409,0,COUNT(DZ407:DZ418)-EB409),0)</f>
        <v>#REF!</v>
      </c>
      <c r="EB410" s="4" t="e">
        <f t="shared" ca="1" si="7289"/>
        <v>#REF!</v>
      </c>
      <c r="EC410" s="692" t="str">
        <f ca="1">IFERROR(VLOOKUP(INDEX(DY407:DY418,EB410),ELM,2,FALSE),"----")</f>
        <v>----</v>
      </c>
      <c r="ED410" s="691" t="e">
        <f t="shared" ca="1" si="7290"/>
        <v>#N/A</v>
      </c>
      <c r="EE410" s="4" t="e">
        <f ca="1">IF(LEFT($J407,7)="Clad Wo",IF(AND(INDEX(SPPWS,ED410,4)&gt;=$AB413,INDEX(SPPWS,ED410,5)&gt;=$S407,INDEX(SPPWS,ED410,6)&gt;=$R407),1,0),IF(AND(INDEX(SPM,ED410,4)&gt;=$AB413,INDEX(SPM,ED410,5)&gt;=$S407,INDEX(SPM,ED410,6)&gt;=$R407),1,0))</f>
        <v>#N/A</v>
      </c>
      <c r="EF410" s="4" t="e">
        <f t="shared" ref="EF410" ca="1" si="7320">MATCH(1,OFFSET(EE407:EE418,EG409,0,COUNT(EE407:EE418)-EG409),0)</f>
        <v>#REF!</v>
      </c>
      <c r="EG410" s="4" t="e">
        <f t="shared" ca="1" si="7292"/>
        <v>#REF!</v>
      </c>
      <c r="EH410" s="692" t="str">
        <f ca="1">IF(LEFT($J407,7)="Clad Wo",IFERROR(VLOOKUP(INDEX(ED407:ED418,EG410),SPPWS,2,FALSE),"----"),IFERROR(VLOOKUP(INDEX(ED407:ED418,EG410),SPM,2,FALSE),"----"))</f>
        <v>----</v>
      </c>
    </row>
    <row r="411" spans="1:138" ht="15" customHeight="1" x14ac:dyDescent="0.25">
      <c r="A411" s="1085"/>
      <c r="B411" s="925"/>
      <c r="C411" s="926"/>
      <c r="D411" s="927"/>
      <c r="E411" s="995"/>
      <c r="F411" s="996"/>
      <c r="G411" s="997"/>
      <c r="H411" s="1062"/>
      <c r="I411" s="990"/>
      <c r="J411" s="910"/>
      <c r="K411" s="911"/>
      <c r="L411" s="1002"/>
      <c r="M411" s="923"/>
      <c r="N411" s="1042"/>
      <c r="O411" s="1018"/>
      <c r="P411" s="987"/>
      <c r="Q411" s="1015"/>
      <c r="R411" s="1012"/>
      <c r="S411" s="1006"/>
      <c r="T411" s="1007"/>
      <c r="U411" s="878"/>
      <c r="V411" s="881"/>
      <c r="W411" s="884"/>
      <c r="X411" s="884"/>
      <c r="Y411" s="887"/>
      <c r="Z411" s="887"/>
      <c r="AA411" s="887"/>
      <c r="AB411" s="1081"/>
      <c r="AC411" s="1078"/>
      <c r="AD411" s="1070" t="s">
        <v>39</v>
      </c>
      <c r="AE411" s="1071"/>
      <c r="AF411" s="1052"/>
      <c r="AG411" s="1053"/>
      <c r="AH411" s="1053"/>
      <c r="AI411" s="1068"/>
      <c r="AJ411" s="1069"/>
      <c r="AK411" s="154" t="str">
        <f t="shared" ca="1" si="6208"/>
        <v/>
      </c>
      <c r="AL411" s="1039"/>
      <c r="AM411" s="344" t="str">
        <f ca="1">IFERROR(Q407/12*ROUND(VLOOKUP(AF411,OFFSET(ELM,0,1),6,FALSE),2),"")</f>
        <v/>
      </c>
      <c r="AN411" t="str">
        <f t="shared" ca="1" si="6226"/>
        <v/>
      </c>
      <c r="AP411" s="122" t="str">
        <f t="shared" ref="AP411" si="7321">_xlfn.CONCAT(AR411,AS412)</f>
        <v/>
      </c>
      <c r="AQ411" s="683" t="str">
        <f t="shared" si="6434"/>
        <v/>
      </c>
      <c r="AR411" s="4" t="str">
        <f t="shared" si="6193"/>
        <v/>
      </c>
      <c r="AS411" s="4"/>
      <c r="AT411" s="697" t="str">
        <f>AL407</f>
        <v/>
      </c>
      <c r="AU411" s="694" t="e">
        <f t="shared" ca="1" si="6450"/>
        <v>#REF!</v>
      </c>
      <c r="AV411" s="698" t="str">
        <f ca="1">IFERROR(VLOOKUP(AU411,INDIRECT(AQ407),2,FALSE),"----")</f>
        <v>----</v>
      </c>
      <c r="AW411" s="694" t="e">
        <f t="shared" ca="1" si="6451"/>
        <v>#REF!</v>
      </c>
      <c r="AX411" s="698" t="str">
        <f ca="1">IFERROR(VLOOKUP(AW411,INDIRECT(AQ408),2,FALSE),"----")</f>
        <v>----</v>
      </c>
      <c r="AY411" s="694" t="e">
        <f t="shared" ref="AY411" ca="1" si="7322">AY410-1</f>
        <v>#REF!</v>
      </c>
      <c r="AZ411" s="698" t="str">
        <f ca="1">IFERROR(VLOOKUP(AY411,INDIRECT(AQ409),2,FALSE),"----")</f>
        <v>----</v>
      </c>
      <c r="BA411" s="694" t="e">
        <f t="shared" ref="BA411" ca="1" si="7323">BA410-1</f>
        <v>#REF!</v>
      </c>
      <c r="BB411" s="698" t="str">
        <f ca="1">IFERROR(VLOOKUP(BA411,INDIRECT(AQ410),2,FALSE),"----")</f>
        <v>----</v>
      </c>
      <c r="BC411" s="694" t="e">
        <f t="shared" ca="1" si="6452"/>
        <v>#REF!</v>
      </c>
      <c r="BD411" s="698" t="str">
        <f ca="1">IFERROR(VLOOKUP(BC411,INDIRECT(AQ411),2,FALSE),"----")</f>
        <v>----</v>
      </c>
      <c r="BE411" s="694" t="e">
        <f t="shared" ca="1" si="6453"/>
        <v>#REF!</v>
      </c>
      <c r="BF411" s="698" t="str">
        <f ca="1">IFERROR(VLOOKUP(BE411,INDIRECT(AQ412),2,FALSE),"----")</f>
        <v>----</v>
      </c>
      <c r="BG411" s="694" t="e">
        <f t="shared" ca="1" si="6454"/>
        <v>#REF!</v>
      </c>
      <c r="BH411" s="686" t="str">
        <f ca="1">IFERROR(VLOOKUP(BG411,INDIRECT(AQ413),2,FALSE),"----")</f>
        <v>----</v>
      </c>
      <c r="BI411" s="694" t="e">
        <f t="shared" ca="1" si="6455"/>
        <v>#REF!</v>
      </c>
      <c r="BJ411" s="686" t="str">
        <f ca="1">IFERROR(VLOOKUP(BI411,INDIRECT(AQ414),2,FALSE),"----")</f>
        <v>----</v>
      </c>
      <c r="BK411" s="694" t="e">
        <f t="shared" ca="1" si="6456"/>
        <v>#REF!</v>
      </c>
      <c r="BL411" s="686" t="str">
        <f ca="1">IFERROR(VLOOKUP(BK411,INDIRECT(AQ415),2,FALSE),"----")</f>
        <v>----</v>
      </c>
      <c r="BM411" s="694" t="e">
        <f t="shared" ca="1" si="6457"/>
        <v>#REF!</v>
      </c>
      <c r="BN411" s="686" t="str">
        <f ca="1">IFERROR(VLOOKUP(BM411,INDIRECT(AQ416),2,FALSE),"----")</f>
        <v>----</v>
      </c>
      <c r="BO411" s="694" t="e">
        <f t="shared" ca="1" si="6458"/>
        <v>#REF!</v>
      </c>
      <c r="BP411" s="686" t="str">
        <f ca="1">IFERROR(VLOOKUP(BO411,INDIRECT(AQ417),2,FALSE),"----")</f>
        <v>----</v>
      </c>
      <c r="BQ411" s="694" t="e">
        <f t="shared" ca="1" si="6459"/>
        <v>#REF!</v>
      </c>
      <c r="BR411" s="686" t="str">
        <f ca="1">IFERROR(VLOOKUP(BQ411,INDIRECT(AQ418),2,FALSE),"----")</f>
        <v>----</v>
      </c>
      <c r="BS411" s="695">
        <f>IF(AI411="",1,IF(COUNTIF(BD407:BD418,AI411)=0,2,1))</f>
        <v>1</v>
      </c>
      <c r="BT411" s="696">
        <f>IF(AF411="",1,IF(BD407=".",2,1))</f>
        <v>1</v>
      </c>
      <c r="BU411" s="706"/>
      <c r="BV411" s="155">
        <f ca="1">IF(COUNTIF(CY407:CY418,AF411)=0,IF(AF411&lt;&gt;"",0,1),1)</f>
        <v>1</v>
      </c>
      <c r="BW411" s="157">
        <f ca="1">IFERROR(MATCH(AF411,CY407:CY418,0),1)</f>
        <v>1</v>
      </c>
      <c r="BX411" s="769"/>
      <c r="BY411" s="769"/>
      <c r="BZ411" s="1110"/>
      <c r="CA411" s="691" t="e">
        <f t="shared" ca="1" si="7257"/>
        <v>#REF!</v>
      </c>
      <c r="CB411" s="4" t="e" cm="1">
        <f t="array" aca="1" ref="CB411" ca="1">IF(AND(INDEX(INDIRECT(BY407),CA411,4)&gt;=$AB407,INDEX(INDIRECT(BY407),CA411,5)&gt;=$S407,INDEX(INDIRECT(BY407),CA411,6)&gt;=$R407),1,0)</f>
        <v>#REF!</v>
      </c>
      <c r="CC411" s="4" t="e">
        <f t="shared" ref="CC411" ca="1" si="7324">MATCH(1,OFFSET(CB407:CB418,CD410,0,COUNT(CB407:CB418)-CD410),0)</f>
        <v>#REF!</v>
      </c>
      <c r="CD411" s="4" t="e">
        <f t="shared" ca="1" si="7259"/>
        <v>#REF!</v>
      </c>
      <c r="CE411" s="692" t="str" cm="1">
        <f t="array" aca="1" ref="CE411" ca="1">IFERROR(VLOOKUP(INDEX(CA407:CA418,CD411),INDIRECT(BY407),2,FALSE),"----")</f>
        <v>----</v>
      </c>
      <c r="CF411" s="691" t="e">
        <f t="shared" ca="1" si="7260"/>
        <v>#N/A</v>
      </c>
      <c r="CG411" s="4" t="e">
        <f ca="1">IF(AND(INDEX(SSM,CF411,4)&gt;=$AB407,INDEX(SSM,CF411,5)&gt;=$S407,INDEX(SSM,CF411,6)&gt;=$R407),1,0)</f>
        <v>#N/A</v>
      </c>
      <c r="CH411" s="4" t="e">
        <f t="shared" ref="CH411" ca="1" si="7325">MATCH(1,OFFSET(CG407:CG418,CI410,0,COUNT(CG407:CG418)-CI410),0)</f>
        <v>#REF!</v>
      </c>
      <c r="CI411" s="4" t="e">
        <f t="shared" ca="1" si="7262"/>
        <v>#REF!</v>
      </c>
      <c r="CJ411" s="692" t="str">
        <f ca="1">IFERROR(IF(AD408="Nested Steel Stud (wood infill)",VLOOKUP(INDEX(CF407:CF418,CI411),SSW,2,FALSE),VLOOKUP(INDEX(CF407:CF418,CI411),SSM,2,FALSE)),"----")</f>
        <v>----</v>
      </c>
      <c r="CK411" s="691" t="e">
        <f t="shared" ca="1" si="7263"/>
        <v>#N/A</v>
      </c>
      <c r="CL411" s="4" t="e">
        <f ca="1">IF(AND(INDEX(WSM,CK411,4)&gt;=$AB407,INDEX(WSM,CK411,5)&gt;=$S407,INDEX(WSM,CK411,6)&gt;=$R407),1,0)</f>
        <v>#N/A</v>
      </c>
      <c r="CM411" s="4" t="e">
        <f t="shared" ref="CM411" ca="1" si="7326">MATCH(1,OFFSET(CL407:CL418,CN410,0,COUNT(CL407:CL418)-CN410),0)</f>
        <v>#REF!</v>
      </c>
      <c r="CN411" s="4" t="e">
        <f t="shared" ca="1" si="7265"/>
        <v>#REF!</v>
      </c>
      <c r="CO411" s="692" t="str">
        <f ca="1">IFERROR(VLOOKUP(INDEX(CK407:CK418,CN411),WSM,2,FALSE),"----")</f>
        <v>----</v>
      </c>
      <c r="CP411" s="691" t="e">
        <f t="shared" ca="1" si="7266"/>
        <v>#N/A</v>
      </c>
      <c r="CQ411" s="4" t="e">
        <f ca="1">IF(AND(INDEX(STM,CP411,4)&gt;=$AB407,INDEX(STM,CP411,5)&gt;=$S407,INDEX(STM,CP411,6)&gt;=$R407),1,0)</f>
        <v>#N/A</v>
      </c>
      <c r="CR411" s="4" t="e">
        <f t="shared" ref="CR411" ca="1" si="7327">MATCH(1,OFFSET(CQ407:CQ418,CS410,0,COUNT(CQ407:CQ418)-CS410),0)</f>
        <v>#REF!</v>
      </c>
      <c r="CS411" s="4" t="e">
        <f t="shared" ca="1" si="7268"/>
        <v>#REF!</v>
      </c>
      <c r="CT411" s="692" t="str">
        <f ca="1">IFERROR(VLOOKUP(INDEX(CP407:CP418,CS411),STM,2,FALSE),"----")</f>
        <v>----</v>
      </c>
      <c r="CU411" s="691" t="e">
        <f t="shared" ca="1" si="7269"/>
        <v>#N/A</v>
      </c>
      <c r="CV411" s="4" t="e">
        <f ca="1">IF(AND(INDEX(ELM,CU411,4)&gt;=$AB407,INDEX(ELM,CU411,5)&gt;=$S407,INDEX(ELM,CU411,6)&gt;=$R407),1,0)</f>
        <v>#N/A</v>
      </c>
      <c r="CW411" s="4" t="e">
        <f t="shared" ref="CW411" ca="1" si="7328">MATCH(1,OFFSET(CV407:CV418,CX410,0,COUNT(CV407:CV418)-CX410),0)</f>
        <v>#REF!</v>
      </c>
      <c r="CX411" s="4" t="e">
        <f t="shared" ca="1" si="7271"/>
        <v>#REF!</v>
      </c>
      <c r="CY411" s="692" t="str">
        <f ca="1">IFERROR(VLOOKUP(INDEX(CU407:CU418,CX411),ELM,2,FALSE),"----")</f>
        <v>----</v>
      </c>
      <c r="CZ411" s="691" t="e">
        <f t="shared" ca="1" si="7272"/>
        <v>#N/A</v>
      </c>
      <c r="DA411" s="4" t="e">
        <f ca="1">IF(LEFT($J407,7)="Clad Wo",IF(AND(INDEX(SPPWS,CZ411,4)&gt;=$AB407,INDEX(SPPWS,CZ411,5)&gt;=$S407,INDEX(SPPWS,CZ411,6)&gt;=$R407),1,0),IF(AND(INDEX(SPM,CZ411,4)&gt;=$AB407,INDEX(SPM,CZ411,5)&gt;=$S407,INDEX(SPM,CZ411,6)&gt;=$R407),1,0))</f>
        <v>#N/A</v>
      </c>
      <c r="DB411" s="4" t="e">
        <f t="shared" ref="DB411" ca="1" si="7329">MATCH(1,OFFSET(DA407:DA418,DC410,0,COUNT(DA407:DA418)-DC410),0)</f>
        <v>#REF!</v>
      </c>
      <c r="DC411" s="4" t="e">
        <f t="shared" ca="1" si="7274"/>
        <v>#REF!</v>
      </c>
      <c r="DD411" s="693" t="str">
        <f ca="1">IF(LEFT($J407,7)="Clad Wo",IFERROR(VLOOKUP(INDEX(CZ407:CZ418,DC411),SPPWS,2,FALSE),"----"),IFERROR(VLOOKUP(INDEX(CZ407:CZ418,DC411),SPM,2,FALSE),"----"))</f>
        <v>----</v>
      </c>
      <c r="DE411" s="691" t="e">
        <f t="shared" ca="1" si="7275"/>
        <v>#REF!</v>
      </c>
      <c r="DF411" s="4" t="e" cm="1">
        <f t="array" aca="1" ref="DF411" ca="1">IF(AND(INDEX(INDIRECT(BY407),DE411,4)&gt;=$AB413,INDEX(INDIRECT(BY407),DE411,5)&gt;=$S407,INDEX(INDIRECT(BY407),DE411,6)&gt;=$R407),1,0)</f>
        <v>#REF!</v>
      </c>
      <c r="DG411" s="4" t="e">
        <f t="shared" ref="DG411" ca="1" si="7330">MATCH(1,OFFSET(DF407:DF418,DH410,0,COUNT(DF407:DF418)-DH410),0)</f>
        <v>#REF!</v>
      </c>
      <c r="DH411" s="4" t="e">
        <f t="shared" ca="1" si="7277"/>
        <v>#REF!</v>
      </c>
      <c r="DI411" s="692" t="str" cm="1">
        <f t="array" aca="1" ref="DI411" ca="1">IFERROR(VLOOKUP(INDEX(DE407:DE418,DH411),INDIRECT(BY407),2,FALSE),"----")</f>
        <v>----</v>
      </c>
      <c r="DJ411" s="691" t="e">
        <f t="shared" ca="1" si="7278"/>
        <v>#N/A</v>
      </c>
      <c r="DK411" s="4" t="e">
        <f ca="1">IF(AND(INDEX(SSM,DJ411,4)&gt;=$AB413,INDEX(SSM,DJ411,5)&gt;=$S407,INDEX(SSM,DJ411,6)&gt;=$R407),1,0)</f>
        <v>#N/A</v>
      </c>
      <c r="DL411" s="4" t="e">
        <f t="shared" ref="DL411" ca="1" si="7331">MATCH(1,OFFSET(DK407:DK418,DM410,0,COUNT(DK407:DK418)-DM410),0)</f>
        <v>#REF!</v>
      </c>
      <c r="DM411" s="4" t="e">
        <f t="shared" ca="1" si="7280"/>
        <v>#REF!</v>
      </c>
      <c r="DN411" s="692" t="str">
        <f ca="1">IFERROR(IF(AD414="Nested Steel Stud (wood infill)",VLOOKUP(INDEX(DJ407:DJ418,DM411),SSW,2,FALSE),VLOOKUP(INDEX(DJ407:DJ418,DM411),SSM,2,FALSE)),"----")</f>
        <v>----</v>
      </c>
      <c r="DO411" s="691" t="e">
        <f t="shared" ca="1" si="7281"/>
        <v>#N/A</v>
      </c>
      <c r="DP411" s="4" t="e">
        <f ca="1">IF(AND(INDEX(WSM,DO411,4)&gt;=$AB413,INDEX(WSM,DO411,5)&gt;=$S407,INDEX(WSM,DO411,6)&gt;=$R407),1,0)</f>
        <v>#N/A</v>
      </c>
      <c r="DQ411" s="4" t="e">
        <f t="shared" ref="DQ411" ca="1" si="7332">MATCH(1,OFFSET(DP407:DP418,DR410,0,COUNT(DP407:DP418)-DR410),0)</f>
        <v>#REF!</v>
      </c>
      <c r="DR411" s="4" t="e">
        <f t="shared" ca="1" si="7283"/>
        <v>#REF!</v>
      </c>
      <c r="DS411" s="692" t="str">
        <f ca="1">IFERROR(VLOOKUP(INDEX(DO407:DO418,DR411),WSM,2,FALSE),"----")</f>
        <v>----</v>
      </c>
      <c r="DT411" s="691" t="e">
        <f t="shared" ca="1" si="7284"/>
        <v>#N/A</v>
      </c>
      <c r="DU411" s="4" t="e">
        <f ca="1">IF(AND(INDEX(STM,DT411,4)&gt;=$AB413,INDEX(STM,DT411,5)&gt;=$S407,INDEX(STM,DT411,6)&gt;=$R407),1,0)</f>
        <v>#N/A</v>
      </c>
      <c r="DV411" s="4" t="e">
        <f t="shared" ref="DV411" ca="1" si="7333">MATCH(1,OFFSET(DU407:DU418,DW410,0,COUNT(DU407:DU418)-DW410),0)</f>
        <v>#REF!</v>
      </c>
      <c r="DW411" s="4" t="e">
        <f t="shared" ca="1" si="7286"/>
        <v>#REF!</v>
      </c>
      <c r="DX411" s="692" t="str">
        <f ca="1">IFERROR(VLOOKUP(INDEX(DT407:DT418,DW411),STM,2,FALSE),"----")</f>
        <v>----</v>
      </c>
      <c r="DY411" s="691" t="e">
        <f t="shared" ca="1" si="7287"/>
        <v>#N/A</v>
      </c>
      <c r="DZ411" s="4" t="e">
        <f ca="1">IF(AND(INDEX(ELM,DY411,4)&gt;=$AB413,INDEX(ELM,DY411,5)&gt;=$S407,INDEX(ELM,DY411,6)&gt;=$R407),1,0)</f>
        <v>#N/A</v>
      </c>
      <c r="EA411" s="4" t="e">
        <f t="shared" ref="EA411" ca="1" si="7334">MATCH(1,OFFSET(DZ407:DZ418,EB410,0,COUNT(DZ407:DZ418)-EB410),0)</f>
        <v>#REF!</v>
      </c>
      <c r="EB411" s="4" t="e">
        <f t="shared" ca="1" si="7289"/>
        <v>#REF!</v>
      </c>
      <c r="EC411" s="692" t="str">
        <f ca="1">IFERROR(VLOOKUP(INDEX(DY407:DY418,EB411),ELM,2,FALSE),"----")</f>
        <v>----</v>
      </c>
      <c r="ED411" s="691" t="e">
        <f t="shared" ca="1" si="7290"/>
        <v>#N/A</v>
      </c>
      <c r="EE411" s="4" t="e">
        <f ca="1">IF(LEFT($J407,7)="Clad Wo",IF(AND(INDEX(SPPWS,ED411,4)&gt;=$AB413,INDEX(SPPWS,ED411,5)&gt;=$S407,INDEX(SPPWS,ED411,6)&gt;=$R407),1,0),IF(AND(INDEX(SPM,ED411,4)&gt;=$AB413,INDEX(SPM,ED411,5)&gt;=$S407,INDEX(SPM,ED411,6)&gt;=$R407),1,0))</f>
        <v>#N/A</v>
      </c>
      <c r="EF411" s="4" t="e">
        <f t="shared" ref="EF411" ca="1" si="7335">MATCH(1,OFFSET(EE407:EE418,EG410,0,COUNT(EE407:EE418)-EG410),0)</f>
        <v>#REF!</v>
      </c>
      <c r="EG411" s="4" t="e">
        <f t="shared" ca="1" si="7292"/>
        <v>#REF!</v>
      </c>
      <c r="EH411" s="692" t="str">
        <f ca="1">IF(LEFT($J407,7)="Clad Wo",IFERROR(VLOOKUP(INDEX(ED407:ED418,EG411),SPPWS,2,FALSE),"----"),IFERROR(VLOOKUP(INDEX(ED407:ED418,EG411),SPM,2,FALSE),"----"))</f>
        <v>----</v>
      </c>
    </row>
    <row r="412" spans="1:138" ht="15" customHeight="1" thickBot="1" x14ac:dyDescent="0.3">
      <c r="A412" s="1085"/>
      <c r="B412" s="934"/>
      <c r="C412" s="935"/>
      <c r="D412" s="936"/>
      <c r="E412" s="995"/>
      <c r="F412" s="996"/>
      <c r="G412" s="997"/>
      <c r="H412" s="1062"/>
      <c r="I412" s="990"/>
      <c r="J412" s="908"/>
      <c r="K412" s="909"/>
      <c r="L412" s="1010"/>
      <c r="M412" s="924"/>
      <c r="N412" s="1044"/>
      <c r="O412" s="1018"/>
      <c r="P412" s="987"/>
      <c r="Q412" s="1015"/>
      <c r="R412" s="1012"/>
      <c r="S412" s="1006"/>
      <c r="T412" s="1007"/>
      <c r="U412" s="878"/>
      <c r="V412" s="881"/>
      <c r="W412" s="889"/>
      <c r="X412" s="884"/>
      <c r="Y412" s="890"/>
      <c r="Z412" s="890"/>
      <c r="AA412" s="887"/>
      <c r="AB412" s="1084"/>
      <c r="AC412" s="1079"/>
      <c r="AD412" s="1072" t="str">
        <f t="shared" ref="AD412" si="7336">IF(LEFT(J407,7)="Clad Wo","Pella Wood Spr / Steel Pte","Steel Plate")</f>
        <v>Steel Plate</v>
      </c>
      <c r="AE412" s="1073"/>
      <c r="AF412" s="1054"/>
      <c r="AG412" s="1055"/>
      <c r="AH412" s="1055"/>
      <c r="AI412" s="1092"/>
      <c r="AJ412" s="1093"/>
      <c r="AK412" s="159" t="str">
        <f t="shared" ca="1" si="6208"/>
        <v/>
      </c>
      <c r="AL412" s="1040"/>
      <c r="AM412" s="345" t="str">
        <f ca="1">IFERROR(Q407/12*ROUND(VLOOKUP(AF412,OFFSET(SPM,0,1),6,FALSE),2),"")</f>
        <v/>
      </c>
      <c r="AN412" t="str">
        <f t="shared" ca="1" si="6226"/>
        <v/>
      </c>
      <c r="AP412" s="699" t="str">
        <f t="shared" ref="AP412" si="7337">_xlfn.CONCAT(AR412,AS412)</f>
        <v/>
      </c>
      <c r="AQ412" s="700" t="str">
        <f t="shared" si="6434"/>
        <v/>
      </c>
      <c r="AR412" s="160" t="str">
        <f t="shared" si="6193"/>
        <v/>
      </c>
      <c r="AS412" s="160" t="str">
        <f>IFERROR(VLOOKUP(J415, WallType,2,FALSE),"")</f>
        <v/>
      </c>
      <c r="AT412" s="701" t="str">
        <f>AL407</f>
        <v/>
      </c>
      <c r="AU412" s="694" t="e">
        <f t="shared" ca="1" si="6450"/>
        <v>#REF!</v>
      </c>
      <c r="AV412" s="698" t="str">
        <f ca="1">IFERROR(VLOOKUP(AU412,INDIRECT(AQ407),2,FALSE),"----")</f>
        <v>----</v>
      </c>
      <c r="AW412" s="702" t="e">
        <f t="shared" ca="1" si="6451"/>
        <v>#REF!</v>
      </c>
      <c r="AX412" s="698" t="str">
        <f ca="1">IFERROR(VLOOKUP(AW412,INDIRECT(AQ408),2,FALSE),"----")</f>
        <v>----</v>
      </c>
      <c r="AY412" s="702" t="e">
        <f t="shared" ref="AY412:AY427" ca="1" si="7338">AY411-1</f>
        <v>#REF!</v>
      </c>
      <c r="AZ412" s="698" t="str">
        <f ca="1">IFERROR(VLOOKUP(AY412,INDIRECT(AQ409),2,FALSE),"----")</f>
        <v>----</v>
      </c>
      <c r="BA412" s="702" t="e">
        <f t="shared" ref="BA412:BA427" ca="1" si="7339">BA411-1</f>
        <v>#REF!</v>
      </c>
      <c r="BB412" s="698" t="str">
        <f ca="1">IFERROR(VLOOKUP(BA412,INDIRECT(AQ410),2,FALSE),"----")</f>
        <v>----</v>
      </c>
      <c r="BC412" s="702" t="e">
        <f t="shared" ca="1" si="6452"/>
        <v>#REF!</v>
      </c>
      <c r="BD412" s="698" t="str">
        <f ca="1">IFERROR(VLOOKUP(BC412,INDIRECT(AQ411),2,FALSE),"----")</f>
        <v>----</v>
      </c>
      <c r="BE412" s="702" t="e">
        <f t="shared" ca="1" si="6453"/>
        <v>#REF!</v>
      </c>
      <c r="BF412" s="698" t="str">
        <f ca="1">IFERROR(VLOOKUP(BE412,INDIRECT(AQ412),2,FALSE),"----")</f>
        <v>----</v>
      </c>
      <c r="BG412" s="702" t="e">
        <f t="shared" ca="1" si="6454"/>
        <v>#REF!</v>
      </c>
      <c r="BH412" s="686" t="str">
        <f ca="1">IFERROR(VLOOKUP(BG412,INDIRECT(AQ413),2,FALSE),"----")</f>
        <v>----</v>
      </c>
      <c r="BI412" s="702" t="e">
        <f t="shared" ca="1" si="6455"/>
        <v>#REF!</v>
      </c>
      <c r="BJ412" s="686" t="str">
        <f ca="1">IFERROR(VLOOKUP(BI412,INDIRECT(AQ414),2,FALSE),"----")</f>
        <v>----</v>
      </c>
      <c r="BK412" s="702" t="e">
        <f t="shared" ca="1" si="6456"/>
        <v>#REF!</v>
      </c>
      <c r="BL412" s="686" t="str">
        <f ca="1">IFERROR(VLOOKUP(BK412,INDIRECT(AQ415),2,FALSE),"----")</f>
        <v>----</v>
      </c>
      <c r="BM412" s="702" t="e">
        <f t="shared" ca="1" si="6457"/>
        <v>#REF!</v>
      </c>
      <c r="BN412" s="686" t="str">
        <f ca="1">IFERROR(VLOOKUP(BM412,INDIRECT(AQ416),2,FALSE),"----")</f>
        <v>----</v>
      </c>
      <c r="BO412" s="702" t="e">
        <f t="shared" ca="1" si="6458"/>
        <v>#REF!</v>
      </c>
      <c r="BP412" s="686" t="str">
        <f ca="1">IFERROR(VLOOKUP(BO412,INDIRECT(AQ417),2,FALSE),"----")</f>
        <v>----</v>
      </c>
      <c r="BQ412" s="702" t="e">
        <f t="shared" ca="1" si="6459"/>
        <v>#REF!</v>
      </c>
      <c r="BR412" s="686" t="str">
        <f ca="1">IFERROR(VLOOKUP(BQ412,INDIRECT(AQ418),2,FALSE),"----")</f>
        <v>----</v>
      </c>
      <c r="BS412" s="703">
        <f>IF(AI412="",1,IF(COUNTIF(BF407:BF418,AI412)=0,2,1))</f>
        <v>1</v>
      </c>
      <c r="BT412" s="704">
        <f>IF(AF412="",1,IF(BF407=".",2,1))</f>
        <v>1</v>
      </c>
      <c r="BV412" s="155">
        <f ca="1">IF(COUNTIF(DD407:DD418,AF412)=0,IF(AF412&lt;&gt;"",0,1),1)</f>
        <v>1</v>
      </c>
      <c r="BW412" s="157">
        <f ca="1">IFERROR(MATCH(AF412,DD407:DD418,0),1)</f>
        <v>1</v>
      </c>
      <c r="BX412" s="875" t="s">
        <v>1594</v>
      </c>
      <c r="BY412" s="876"/>
      <c r="BZ412" s="1110"/>
      <c r="CA412" s="691" t="e">
        <f t="shared" ca="1" si="7257"/>
        <v>#REF!</v>
      </c>
      <c r="CB412" s="4" t="e" cm="1">
        <f t="array" aca="1" ref="CB412" ca="1">IF(AND(INDEX(INDIRECT(BY407),CA412,4)&gt;=$AB407,INDEX(INDIRECT(BY407),CA412,5)&gt;=$S407,INDEX(INDIRECT(BY407),CA412,6)&gt;=$R407),1,0)</f>
        <v>#REF!</v>
      </c>
      <c r="CC412" s="4" t="e">
        <f t="shared" ref="CC412" ca="1" si="7340">MATCH(1,OFFSET(CB407:CB418,CD411,0,COUNT(CB407:CB418)-CD411),0)</f>
        <v>#REF!</v>
      </c>
      <c r="CD412" s="4" t="e">
        <f t="shared" ca="1" si="7259"/>
        <v>#REF!</v>
      </c>
      <c r="CE412" s="692" t="str" cm="1">
        <f t="array" aca="1" ref="CE412" ca="1">IFERROR(VLOOKUP(INDEX(CA407:CA418,CD412),INDIRECT(BY407),2,FALSE),"----")</f>
        <v>----</v>
      </c>
      <c r="CF412" s="691" t="e">
        <f t="shared" ca="1" si="7260"/>
        <v>#N/A</v>
      </c>
      <c r="CG412" s="4" t="e">
        <f ca="1">IF(AND(INDEX(SSM,CF412,4)&gt;=$AB407,INDEX(SSM,CF412,5)&gt;=$S407,INDEX(SSM,CF412,6)&gt;=$R407),1,0)</f>
        <v>#N/A</v>
      </c>
      <c r="CH412" s="4" t="e">
        <f t="shared" ref="CH412" ca="1" si="7341">MATCH(1,OFFSET(CG407:CG418,CI411,0,COUNT(CG407:CG418)-CI411),0)</f>
        <v>#REF!</v>
      </c>
      <c r="CI412" s="4" t="e">
        <f t="shared" ca="1" si="7262"/>
        <v>#REF!</v>
      </c>
      <c r="CJ412" s="692" t="str">
        <f ca="1">IFERROR(IF(AD408="Nested Steel Stud (wood infill)",VLOOKUP(INDEX(CF407:CF418,CI412),SSW,2,FALSE),VLOOKUP(INDEX(CF407:CF418,CI412),SSM,2,FALSE)),"----")</f>
        <v>----</v>
      </c>
      <c r="CK412" s="691" t="e">
        <f t="shared" ca="1" si="7263"/>
        <v>#N/A</v>
      </c>
      <c r="CL412" s="4" t="e">
        <f ca="1">IF(AND(INDEX(WSM,CK412,4)&gt;=$AB407,INDEX(WSM,CK412,5)&gt;=$S407,INDEX(WSM,CK412,6)&gt;=$R407),1,0)</f>
        <v>#N/A</v>
      </c>
      <c r="CM412" s="4" t="e">
        <f t="shared" ref="CM412" ca="1" si="7342">MATCH(1,OFFSET(CL407:CL418,CN411,0,COUNT(CL407:CL418)-CN411),0)</f>
        <v>#REF!</v>
      </c>
      <c r="CN412" s="4" t="e">
        <f t="shared" ca="1" si="7265"/>
        <v>#REF!</v>
      </c>
      <c r="CO412" s="692" t="str">
        <f ca="1">IFERROR(VLOOKUP(INDEX(CK407:CK418,CN412),WSM,2,FALSE),"----")</f>
        <v>----</v>
      </c>
      <c r="CP412" s="691" t="e">
        <f t="shared" ca="1" si="7266"/>
        <v>#N/A</v>
      </c>
      <c r="CQ412" s="4" t="e">
        <f ca="1">IF(AND(INDEX(STM,CP412,4)&gt;=$AB407,INDEX(STM,CP412,5)&gt;=$S407,INDEX(STM,CP412,6)&gt;=$R407),1,0)</f>
        <v>#N/A</v>
      </c>
      <c r="CR412" s="4" t="e">
        <f t="shared" ref="CR412" ca="1" si="7343">MATCH(1,OFFSET(CQ407:CQ418,CS411,0,COUNT(CQ407:CQ418)-CS411),0)</f>
        <v>#REF!</v>
      </c>
      <c r="CS412" s="4" t="e">
        <f t="shared" ca="1" si="7268"/>
        <v>#REF!</v>
      </c>
      <c r="CT412" s="692" t="str">
        <f ca="1">IFERROR(VLOOKUP(INDEX(CP407:CP418,CS412),STM,2,FALSE),"----")</f>
        <v>----</v>
      </c>
      <c r="CU412" s="691" t="e">
        <f t="shared" ca="1" si="7269"/>
        <v>#N/A</v>
      </c>
      <c r="CV412" s="4" t="e">
        <f ca="1">IF(AND(INDEX(ELM,CU412,4)&gt;=$AB407,INDEX(ELM,CU412,5)&gt;=$S407,INDEX(ELM,CU412,6)&gt;=$R407),1,0)</f>
        <v>#N/A</v>
      </c>
      <c r="CW412" s="4" t="e">
        <f t="shared" ref="CW412" ca="1" si="7344">MATCH(1,OFFSET(CV407:CV418,CX411,0,COUNT(CV407:CV418)-CX411),0)</f>
        <v>#REF!</v>
      </c>
      <c r="CX412" s="4" t="e">
        <f t="shared" ca="1" si="7271"/>
        <v>#REF!</v>
      </c>
      <c r="CY412" s="692" t="str">
        <f ca="1">IFERROR(VLOOKUP(INDEX(CU407:CU418,CX412),ELM,2,FALSE),"----")</f>
        <v>----</v>
      </c>
      <c r="CZ412" s="691" t="e">
        <f t="shared" ca="1" si="7272"/>
        <v>#N/A</v>
      </c>
      <c r="DA412" s="4" t="e">
        <f ca="1">IF(LEFT($J407,7)="Clad Wo",IF(AND(INDEX(SPPWS,CZ412,4)&gt;=$AB407,INDEX(SPPWS,CZ412,5)&gt;=$S407,INDEX(SPPWS,CZ412,6)&gt;=$R407),1,0),IF(AND(INDEX(SPM,CZ412,4)&gt;=$AB407,INDEX(SPM,CZ412,5)&gt;=$S407,INDEX(SPM,CZ412,6)&gt;=$R407),1,0))</f>
        <v>#N/A</v>
      </c>
      <c r="DB412" s="4" t="e">
        <f t="shared" ref="DB412" ca="1" si="7345">MATCH(1,OFFSET(DA407:DA418,DC411,0,COUNT(DA407:DA418)-DC411),0)</f>
        <v>#REF!</v>
      </c>
      <c r="DC412" s="4" t="e">
        <f t="shared" ca="1" si="7274"/>
        <v>#REF!</v>
      </c>
      <c r="DD412" s="693" t="str">
        <f ca="1">IF(LEFT($J407,7)="Clad Wo",IFERROR(VLOOKUP(INDEX(CZ407:CZ418,DC412),SPPWS,2,FALSE),"----"),IFERROR(VLOOKUP(INDEX(CZ407:CZ418,DC412),SPM,2,FALSE),"----"))</f>
        <v>----</v>
      </c>
      <c r="DE412" s="691" t="e">
        <f t="shared" ca="1" si="7275"/>
        <v>#REF!</v>
      </c>
      <c r="DF412" s="4" t="e" cm="1">
        <f t="array" aca="1" ref="DF412" ca="1">IF(AND(INDEX(INDIRECT(BY407),DE412,4)&gt;=$AB413,INDEX(INDIRECT(BY407),DE412,5)&gt;=$S407,INDEX(INDIRECT(BY407),DE412,6)&gt;=$R407),1,0)</f>
        <v>#REF!</v>
      </c>
      <c r="DG412" s="4" t="e">
        <f t="shared" ref="DG412" ca="1" si="7346">MATCH(1,OFFSET(DF407:DF418,DH411,0,COUNT(DF407:DF418)-DH411),0)</f>
        <v>#REF!</v>
      </c>
      <c r="DH412" s="4" t="e">
        <f t="shared" ca="1" si="7277"/>
        <v>#REF!</v>
      </c>
      <c r="DI412" s="692" t="str" cm="1">
        <f t="array" aca="1" ref="DI412" ca="1">IFERROR(VLOOKUP(INDEX(DE407:DE418,DH412),INDIRECT(BY407),2,FALSE),"----")</f>
        <v>----</v>
      </c>
      <c r="DJ412" s="691" t="e">
        <f t="shared" ca="1" si="7278"/>
        <v>#N/A</v>
      </c>
      <c r="DK412" s="4" t="e">
        <f ca="1">IF(AND(INDEX(SSM,DJ412,4)&gt;=$AB413,INDEX(SSM,DJ412,5)&gt;=$S407,INDEX(SSM,DJ412,6)&gt;=$R407),1,0)</f>
        <v>#N/A</v>
      </c>
      <c r="DL412" s="4" t="e">
        <f t="shared" ref="DL412" ca="1" si="7347">MATCH(1,OFFSET(DK407:DK418,DM411,0,COUNT(DK407:DK418)-DM411),0)</f>
        <v>#REF!</v>
      </c>
      <c r="DM412" s="4" t="e">
        <f t="shared" ca="1" si="7280"/>
        <v>#REF!</v>
      </c>
      <c r="DN412" s="692" t="str">
        <f ca="1">IFERROR(IF(AD414="Nested Steel Stud (wood infill)",VLOOKUP(INDEX(DJ407:DJ418,DM412),SSW,2,FALSE),VLOOKUP(INDEX(DJ407:DJ418,DM412),SSM,2,FALSE)),"----")</f>
        <v>----</v>
      </c>
      <c r="DO412" s="691" t="e">
        <f t="shared" ca="1" si="7281"/>
        <v>#N/A</v>
      </c>
      <c r="DP412" s="4" t="e">
        <f ca="1">IF(AND(INDEX(WSM,DO412,4)&gt;=$AB413,INDEX(WSM,DO412,5)&gt;=$S407,INDEX(WSM,DO412,6)&gt;=$R407),1,0)</f>
        <v>#N/A</v>
      </c>
      <c r="DQ412" s="4" t="e">
        <f t="shared" ref="DQ412" ca="1" si="7348">MATCH(1,OFFSET(DP407:DP418,DR411,0,COUNT(DP407:DP418)-DR411),0)</f>
        <v>#REF!</v>
      </c>
      <c r="DR412" s="4" t="e">
        <f t="shared" ca="1" si="7283"/>
        <v>#REF!</v>
      </c>
      <c r="DS412" s="692" t="str">
        <f ca="1">IFERROR(VLOOKUP(INDEX(DO407:DO418,DR412),WSM,2,FALSE),"----")</f>
        <v>----</v>
      </c>
      <c r="DT412" s="691" t="e">
        <f t="shared" ca="1" si="7284"/>
        <v>#N/A</v>
      </c>
      <c r="DU412" s="4" t="e">
        <f ca="1">IF(AND(INDEX(STM,DT412,4)&gt;=$AB413,INDEX(STM,DT412,5)&gt;=$S407,INDEX(STM,DT412,6)&gt;=$R407),1,0)</f>
        <v>#N/A</v>
      </c>
      <c r="DV412" s="4" t="e">
        <f t="shared" ref="DV412" ca="1" si="7349">MATCH(1,OFFSET(DU407:DU418,DW411,0,COUNT(DU407:DU418)-DW411),0)</f>
        <v>#REF!</v>
      </c>
      <c r="DW412" s="4" t="e">
        <f t="shared" ca="1" si="7286"/>
        <v>#REF!</v>
      </c>
      <c r="DX412" s="692" t="str">
        <f ca="1">IFERROR(VLOOKUP(INDEX(DT407:DT418,DW412),STM,2,FALSE),"----")</f>
        <v>----</v>
      </c>
      <c r="DY412" s="691" t="e">
        <f t="shared" ca="1" si="7287"/>
        <v>#N/A</v>
      </c>
      <c r="DZ412" s="4" t="e">
        <f ca="1">IF(AND(INDEX(ELM,DY412,4)&gt;=$AB413,INDEX(ELM,DY412,5)&gt;=$S407,INDEX(ELM,DY412,6)&gt;=$R407),1,0)</f>
        <v>#N/A</v>
      </c>
      <c r="EA412" s="4" t="e">
        <f t="shared" ref="EA412" ca="1" si="7350">MATCH(1,OFFSET(DZ407:DZ418,EB411,0,COUNT(DZ407:DZ418)-EB411),0)</f>
        <v>#REF!</v>
      </c>
      <c r="EB412" s="4" t="e">
        <f t="shared" ca="1" si="7289"/>
        <v>#REF!</v>
      </c>
      <c r="EC412" s="692" t="str">
        <f ca="1">IFERROR(VLOOKUP(INDEX(DY407:DY418,EB412),ELM,2,FALSE),"----")</f>
        <v>----</v>
      </c>
      <c r="ED412" s="691" t="e">
        <f t="shared" ca="1" si="7290"/>
        <v>#N/A</v>
      </c>
      <c r="EE412" s="4" t="e">
        <f ca="1">IF(LEFT($J407,7)="Clad Wo",IF(AND(INDEX(SPPWS,ED412,4)&gt;=$AB413,INDEX(SPPWS,ED412,5)&gt;=$S407,INDEX(SPPWS,ED412,6)&gt;=$R407),1,0),IF(AND(INDEX(SPM,ED412,4)&gt;=$AB413,INDEX(SPM,ED412,5)&gt;=$S407,INDEX(SPM,ED412,6)&gt;=$R407),1,0))</f>
        <v>#N/A</v>
      </c>
      <c r="EF412" s="4" t="e">
        <f t="shared" ref="EF412" ca="1" si="7351">MATCH(1,OFFSET(EE407:EE418,EG411,0,COUNT(EE407:EE418)-EG411),0)</f>
        <v>#REF!</v>
      </c>
      <c r="EG412" s="4" t="e">
        <f t="shared" ca="1" si="7292"/>
        <v>#REF!</v>
      </c>
      <c r="EH412" s="692" t="str">
        <f ca="1">IF(LEFT($J407,7)="Clad Wo",IFERROR(VLOOKUP(INDEX(ED407:ED418,EG412),SPPWS,2,FALSE),"----"),IFERROR(VLOOKUP(INDEX(ED407:ED418,EG412),SPM,2,FALSE),"----"))</f>
        <v>----</v>
      </c>
    </row>
    <row r="413" spans="1:138" ht="15" customHeight="1" x14ac:dyDescent="0.25">
      <c r="A413" s="1085"/>
      <c r="B413" s="925" t="s">
        <v>409</v>
      </c>
      <c r="C413" s="926"/>
      <c r="D413" s="927"/>
      <c r="E413" s="995"/>
      <c r="F413" s="996"/>
      <c r="G413" s="997"/>
      <c r="H413" s="1062"/>
      <c r="I413" s="990"/>
      <c r="J413" s="908"/>
      <c r="K413" s="909"/>
      <c r="L413" s="1001">
        <f>L407+1</f>
        <v>5</v>
      </c>
      <c r="M413" s="1064" t="str">
        <f t="shared" ref="M413" si="7352">IFERROR(IF($AE$17="",IF($AG$19="Wind Loading",MIN($V$31,IF(E$11="ASCE 7-05",$U$26,$V$7)*$V$9*(IF($E$12&lt;60,0.156*LN(MAX(MIN(500,O407),10)) -1.7618,IF($E$11="ASCE 7-22", 0.2026*LN(MAX(MIN(500,O407),20))-2.2638,0.2503*LN(MAX(MIN(500,O407),20)) -2.5526))-$V$8)),$V$7*IF(E$12&lt;60,$V$13*($V$15*(0.156*LN(MAX(MIN(500,O407),10)) -1.7618)-$V$16),$V$13*$V$15*((0.2026*LN(MAX(MIN(500,O407),20))-2.2638)-$V$16))),-ABS($AE$17)),"")</f>
        <v/>
      </c>
      <c r="N413" s="1041" t="str">
        <f t="shared" ref="N413" si="7353">IFERROR(IF($AE$19="",IF($AG$19="Wind Loading",MAX($U$31,IF(E$11="ASCE 7-05",$U$26,$V$7)*$V$9*((IF($E$12&lt;60,-0.077*LN(MAX(MIN(500,O407),10))+1.1737,IF($E$11="ASCE 7-22",-0.077*LN(MAX(MIN(500,O407),20))+1.0798,-0.093*LN(MAX(MIN(500,O407),20))+1.1776)))+$V$8)),$V$7*IF(E$12&lt;60,$V$13*($V$15*(-0.077*LN(MAX(MIN(500,O407),10))+1.1737)-$V$17),$V$13*$V$15*((-0.077*LN(MAX(MIN(500,O407),20))+1.0798)-$V$17))),ABS($AE$19)),"")</f>
        <v/>
      </c>
      <c r="O413" s="1018"/>
      <c r="P413" s="987"/>
      <c r="Q413" s="1015"/>
      <c r="R413" s="1012">
        <f>P413*Q413/8</f>
        <v>0</v>
      </c>
      <c r="S413" s="1006"/>
      <c r="T413" s="1007"/>
      <c r="U413" s="878"/>
      <c r="V413" s="881"/>
      <c r="W413" s="883" t="e">
        <f t="shared" ref="W413" si="7354">MAX(-M413,N413)*O407</f>
        <v>#VALUE!</v>
      </c>
      <c r="X413" s="884"/>
      <c r="Y413" s="886">
        <f>IFERROR(IF(AG$14="Trapezoidal",BY416,BX416)+IF($E$17="4",(400*E407^3)/(48*X407),0),0)</f>
        <v>0</v>
      </c>
      <c r="Z413" s="886" t="e">
        <f t="shared" ref="Z413" si="7355">+($V407*MAX(-$M413,$N413)*$E407^2)/(144*8)+IF($E$17=4,(400*$E407)/4,0)</f>
        <v>#VALUE!</v>
      </c>
      <c r="AA413" s="887"/>
      <c r="AB413" s="1080" t="str">
        <f t="shared" ref="AB413" ca="1" si="7356">IFERROR(Z413-AA407,"")</f>
        <v/>
      </c>
      <c r="AC413" s="1086" t="str">
        <f t="shared" ref="AC413" ca="1" si="7357">IFERROR(Y413-U407,"")</f>
        <v/>
      </c>
      <c r="AD413" s="1074" t="str">
        <f t="shared" ref="AD413" si="7358">AD407</f>
        <v/>
      </c>
      <c r="AE413" s="1075"/>
      <c r="AF413" s="1056"/>
      <c r="AG413" s="1057"/>
      <c r="AH413" s="1057"/>
      <c r="AI413" s="1088"/>
      <c r="AJ413" s="1089"/>
      <c r="AK413" s="162" t="str">
        <f t="shared" ca="1" si="6208"/>
        <v/>
      </c>
      <c r="AL413" s="1058" t="str">
        <f t="shared" ref="AL413" si="7359">IFERROR(ROUND(SQRT(P407^2+(W413/2+IF($E$17=4,200,0))^2),0),"")</f>
        <v/>
      </c>
      <c r="AM413" s="342" t="s">
        <v>669</v>
      </c>
      <c r="AN413" t="str">
        <f t="shared" ca="1" si="6226"/>
        <v/>
      </c>
      <c r="AP413" s="122" t="str">
        <f t="shared" ref="AP413" si="7360">_xlfn.CONCAT(AR413,AS418)</f>
        <v/>
      </c>
      <c r="AQ413" s="683" t="str">
        <f t="shared" si="6434"/>
        <v/>
      </c>
      <c r="AR413" s="96" t="str">
        <f t="shared" si="6193"/>
        <v/>
      </c>
      <c r="AS413" s="96" t="str">
        <f>IF(COUNTIF(imp_1,AF413)=1,"imp_1",IF(COUNTIF(imp_2,AF413)=1,"imp_2",IF(COUNTIF(imp_3,AF413)=1,"imp_3",IF(COUNTIF(impdoor,AF413)=1,"impdoor",""))))</f>
        <v/>
      </c>
      <c r="AT413" s="684" t="str">
        <f>AL413</f>
        <v/>
      </c>
      <c r="AU413" s="685" t="e">
        <f t="shared" ca="1" si="6450"/>
        <v>#REF!</v>
      </c>
      <c r="AV413" s="686" t="str">
        <f ca="1">IFERROR(VLOOKUP(AU413,INDIRECT(AQ407),2,FALSE),"----")</f>
        <v>----</v>
      </c>
      <c r="AW413" s="685" t="e">
        <f t="shared" ca="1" si="6451"/>
        <v>#REF!</v>
      </c>
      <c r="AX413" s="686" t="str">
        <f ca="1">IFERROR(VLOOKUP(AW413,INDIRECT(AQ408),2,FALSE),"----")</f>
        <v>----</v>
      </c>
      <c r="AY413" s="685" t="e">
        <f t="shared" ca="1" si="7338"/>
        <v>#REF!</v>
      </c>
      <c r="AZ413" s="686" t="str">
        <f ca="1">IFERROR(VLOOKUP(AY413,INDIRECT(AQ409),2,FALSE),"----")</f>
        <v>----</v>
      </c>
      <c r="BA413" s="685" t="e">
        <f t="shared" ca="1" si="7339"/>
        <v>#REF!</v>
      </c>
      <c r="BB413" s="686" t="str">
        <f ca="1">IFERROR(VLOOKUP(BA413,INDIRECT(AQ410),2,FALSE),"----")</f>
        <v>----</v>
      </c>
      <c r="BC413" s="685" t="e">
        <f t="shared" ca="1" si="6452"/>
        <v>#REF!</v>
      </c>
      <c r="BD413" s="686" t="str">
        <f ca="1">IFERROR(VLOOKUP(BC413,INDIRECT(AQ411),2,FALSE),"----")</f>
        <v>----</v>
      </c>
      <c r="BE413" s="685" t="e">
        <f t="shared" ca="1" si="6453"/>
        <v>#REF!</v>
      </c>
      <c r="BF413" s="686" t="str">
        <f ca="1">IFERROR(VLOOKUP(BE413,INDIRECT(AQ412),2,FALSE),"----")</f>
        <v>----</v>
      </c>
      <c r="BG413" s="702" t="e">
        <f t="shared" ca="1" si="6454"/>
        <v>#REF!</v>
      </c>
      <c r="BH413" s="686" t="str">
        <f ca="1">IFERROR(VLOOKUP(BG413,INDIRECT(AQ413),2,FALSE),"----")</f>
        <v>----</v>
      </c>
      <c r="BI413" s="702" t="e">
        <f t="shared" ca="1" si="6455"/>
        <v>#REF!</v>
      </c>
      <c r="BJ413" s="686" t="str">
        <f ca="1">IFERROR(VLOOKUP(BI413,INDIRECT(AQ414),2,FALSE),"----")</f>
        <v>----</v>
      </c>
      <c r="BK413" s="702" t="e">
        <f t="shared" ca="1" si="6456"/>
        <v>#REF!</v>
      </c>
      <c r="BL413" s="686" t="str">
        <f ca="1">IFERROR(VLOOKUP(BK413,INDIRECT(AQ415),2,FALSE),"----")</f>
        <v>----</v>
      </c>
      <c r="BM413" s="702" t="e">
        <f t="shared" ca="1" si="6457"/>
        <v>#REF!</v>
      </c>
      <c r="BN413" s="686" t="str">
        <f ca="1">IFERROR(VLOOKUP(BM413,INDIRECT(AQ416),2,FALSE),"----")</f>
        <v>----</v>
      </c>
      <c r="BO413" s="702" t="e">
        <f t="shared" ca="1" si="6458"/>
        <v>#REF!</v>
      </c>
      <c r="BP413" s="686" t="str">
        <f ca="1">IFERROR(VLOOKUP(BO413,INDIRECT(AQ417),2,FALSE),"----")</f>
        <v>----</v>
      </c>
      <c r="BQ413" s="702" t="e">
        <f t="shared" ca="1" si="6459"/>
        <v>#REF!</v>
      </c>
      <c r="BR413" s="686" t="str">
        <f ca="1">IFERROR(VLOOKUP(BQ413,INDIRECT(AQ418),2,FALSE),"----")</f>
        <v>----</v>
      </c>
      <c r="BS413" s="695">
        <f>IF(AI413="",1,IF(COUNTIF(BH407:BH418,AI413)=0,2,1))</f>
        <v>1</v>
      </c>
      <c r="BT413" s="696">
        <f>IF(AP413="1",1,IF(AF413="",1,IF(BH407=".",2,1)))</f>
        <v>1</v>
      </c>
      <c r="BU413" s="706"/>
      <c r="BV413" s="155">
        <f ca="1">IF(COUNTIF(DI407:DI418,AF413)=0,IF(AF413&lt;&gt;"",0,1),1)</f>
        <v>1</v>
      </c>
      <c r="BW413" s="157">
        <f ca="1">IFERROR(MATCH(AF413,DI407:DI418,0),1)</f>
        <v>1</v>
      </c>
      <c r="BX413" s="769" t="s">
        <v>1593</v>
      </c>
      <c r="BY413" s="769" t="s">
        <v>1629</v>
      </c>
      <c r="BZ413" s="1110"/>
      <c r="CA413" s="691" t="e">
        <f t="shared" ca="1" si="7257"/>
        <v>#REF!</v>
      </c>
      <c r="CB413" s="4" t="e" cm="1">
        <f t="array" aca="1" ref="CB413" ca="1">IF(AND(INDEX(INDIRECT(BY407),CA413,4)&gt;=$AB407,INDEX(INDIRECT(BY407),CA413,5)&gt;=$S407,INDEX(INDIRECT(BY407),CA413,6)&gt;=$R407),1,0)</f>
        <v>#REF!</v>
      </c>
      <c r="CC413" s="4" t="e">
        <f t="shared" ref="CC413" ca="1" si="7361">MATCH(1,OFFSET(CB407:CB418,CD412,0,COUNT(CB407:CB418)-CD412),0)</f>
        <v>#REF!</v>
      </c>
      <c r="CD413" s="4" t="e">
        <f t="shared" ca="1" si="7259"/>
        <v>#REF!</v>
      </c>
      <c r="CE413" s="692" t="str" cm="1">
        <f t="array" aca="1" ref="CE413" ca="1">IFERROR(VLOOKUP(INDEX(CA407:CA418,CD413),INDIRECT(BY407),2,FALSE),"----")</f>
        <v>----</v>
      </c>
      <c r="CF413" s="691" t="e">
        <f t="shared" ca="1" si="7260"/>
        <v>#N/A</v>
      </c>
      <c r="CG413" s="4" t="e">
        <f ca="1">IF(AND(INDEX(SSM,CF413,4)&gt;=$AB407,INDEX(SSM,CF413,5)&gt;=$S407,INDEX(SSM,CF413,6)&gt;=$R407),1,0)</f>
        <v>#N/A</v>
      </c>
      <c r="CH413" s="4" t="e">
        <f t="shared" ref="CH413" ca="1" si="7362">MATCH(1,OFFSET(CG407:CG418,CI412,0,COUNT(CG407:CG418)-CI412),0)</f>
        <v>#REF!</v>
      </c>
      <c r="CI413" s="4" t="e">
        <f t="shared" ca="1" si="7262"/>
        <v>#REF!</v>
      </c>
      <c r="CJ413" s="692" t="str">
        <f ca="1">IFERROR(IF(AD408="Nested Steel Stud (wood infill)",VLOOKUP(INDEX(CF407:CF418,CI413),SSW,2,FALSE),VLOOKUP(INDEX(CF407:CF418,CI413),SSM,2,FALSE)),"----")</f>
        <v>----</v>
      </c>
      <c r="CK413" s="691" t="e">
        <f t="shared" ca="1" si="7263"/>
        <v>#N/A</v>
      </c>
      <c r="CL413" s="4" t="e">
        <f ca="1">IF(AND(INDEX(WSM,CK413,4)&gt;=$AB407,INDEX(WSM,CK413,5)&gt;=$S407,INDEX(WSM,CK413,6)&gt;=$R407),1,0)</f>
        <v>#N/A</v>
      </c>
      <c r="CM413" s="4" t="e">
        <f t="shared" ref="CM413" ca="1" si="7363">MATCH(1,OFFSET(CL407:CL418,CN412,0,COUNT(CL407:CL418)-CN412),0)</f>
        <v>#REF!</v>
      </c>
      <c r="CN413" s="4" t="e">
        <f t="shared" ca="1" si="7265"/>
        <v>#REF!</v>
      </c>
      <c r="CO413" s="692" t="str">
        <f ca="1">IFERROR(VLOOKUP(INDEX(CK407:CK418,CN413),WSM,2,FALSE),"----")</f>
        <v>----</v>
      </c>
      <c r="CP413" s="691" t="e">
        <f t="shared" ca="1" si="7266"/>
        <v>#N/A</v>
      </c>
      <c r="CQ413" s="4" t="e">
        <f ca="1">IF(AND(INDEX(STM,CP413,4)&gt;=$AB407,INDEX(STM,CP413,5)&gt;=$S407,INDEX(STM,CP413,6)&gt;=$R407),1,0)</f>
        <v>#N/A</v>
      </c>
      <c r="CR413" s="4" t="e">
        <f t="shared" ref="CR413" ca="1" si="7364">MATCH(1,OFFSET(CQ407:CQ418,CS412,0,COUNT(CQ407:CQ418)-CS412),0)</f>
        <v>#REF!</v>
      </c>
      <c r="CS413" s="4" t="e">
        <f t="shared" ca="1" si="7268"/>
        <v>#REF!</v>
      </c>
      <c r="CT413" s="692" t="str">
        <f ca="1">IFERROR(VLOOKUP(INDEX(CP407:CP418,CS413),STM,2,FALSE),"----")</f>
        <v>----</v>
      </c>
      <c r="CU413" s="691" t="e">
        <f t="shared" ca="1" si="7269"/>
        <v>#N/A</v>
      </c>
      <c r="CV413" s="4" t="e">
        <f ca="1">IF(AND(INDEX(ELM,CU413,4)&gt;=$AB407,INDEX(ELM,CU413,5)&gt;=$S407,INDEX(ELM,CU413,6)&gt;=$R407),1,0)</f>
        <v>#N/A</v>
      </c>
      <c r="CW413" s="4" t="e">
        <f t="shared" ref="CW413" ca="1" si="7365">MATCH(1,OFFSET(CV407:CV418,CX412,0,COUNT(CV407:CV418)-CX412),0)</f>
        <v>#REF!</v>
      </c>
      <c r="CX413" s="4" t="e">
        <f t="shared" ca="1" si="7271"/>
        <v>#REF!</v>
      </c>
      <c r="CY413" s="692" t="str">
        <f ca="1">IFERROR(VLOOKUP(INDEX(CU407:CU418,CX413),ELM,2,FALSE),"----")</f>
        <v>----</v>
      </c>
      <c r="CZ413" s="691" t="e">
        <f t="shared" ca="1" si="7272"/>
        <v>#N/A</v>
      </c>
      <c r="DA413" s="4" t="e">
        <f ca="1">IF(LEFT($J407,7)="Clad Wo",IF(AND(INDEX(SPPWS,CZ413,4)&gt;=$AB407,INDEX(SPPWS,CZ413,5)&gt;=$S407,INDEX(SPPWS,CZ413,6)&gt;=$R407),1,0),IF(AND(INDEX(SPM,CZ413,4)&gt;=$AB407,INDEX(SPM,CZ413,5)&gt;=$S407,INDEX(SPM,CZ413,6)&gt;=$R407),1,0))</f>
        <v>#N/A</v>
      </c>
      <c r="DB413" s="4" t="e">
        <f t="shared" ref="DB413" ca="1" si="7366">MATCH(1,OFFSET(DA407:DA418,DC412,0,COUNT(DA407:DA418)-DC412),0)</f>
        <v>#REF!</v>
      </c>
      <c r="DC413" s="4" t="e">
        <f t="shared" ca="1" si="7274"/>
        <v>#REF!</v>
      </c>
      <c r="DD413" s="693" t="str">
        <f ca="1">IF(LEFT($J407,7)="Clad Wo",IFERROR(VLOOKUP(INDEX(CZ407:CZ418,DC413),SPPWS,2,FALSE),"----"),IFERROR(VLOOKUP(INDEX(CZ407:CZ418,DC413),SPM,2,FALSE),"----"))</f>
        <v>----</v>
      </c>
      <c r="DE413" s="691" t="e">
        <f t="shared" ca="1" si="7275"/>
        <v>#REF!</v>
      </c>
      <c r="DF413" s="4" t="e" cm="1">
        <f t="array" aca="1" ref="DF413" ca="1">IF(AND(INDEX(INDIRECT(BY407),DE413,4)&gt;=$AB413,INDEX(INDIRECT(BY407),DE413,5)&gt;=$S407,INDEX(INDIRECT(BY407),DE413,6)&gt;=$R407),1,0)</f>
        <v>#REF!</v>
      </c>
      <c r="DG413" s="4" t="e">
        <f t="shared" ref="DG413" ca="1" si="7367">MATCH(1,OFFSET(DF407:DF418,DH412,0,COUNT(DF407:DF418)-DH412),0)</f>
        <v>#REF!</v>
      </c>
      <c r="DH413" s="4" t="e">
        <f t="shared" ca="1" si="7277"/>
        <v>#REF!</v>
      </c>
      <c r="DI413" s="692" t="str" cm="1">
        <f t="array" aca="1" ref="DI413" ca="1">IFERROR(VLOOKUP(INDEX(DE407:DE418,DH413),INDIRECT(BY407),2,FALSE),"----")</f>
        <v>----</v>
      </c>
      <c r="DJ413" s="691" t="e">
        <f t="shared" ca="1" si="7278"/>
        <v>#N/A</v>
      </c>
      <c r="DK413" s="4" t="e">
        <f ca="1">IF(AND(INDEX(SSM,DJ413,4)&gt;=$AB413,INDEX(SSM,DJ413,5)&gt;=$S407,INDEX(SSM,DJ413,6)&gt;=$R407),1,0)</f>
        <v>#N/A</v>
      </c>
      <c r="DL413" s="4" t="e">
        <f t="shared" ref="DL413" ca="1" si="7368">MATCH(1,OFFSET(DK407:DK418,DM412,0,COUNT(DK407:DK418)-DM412),0)</f>
        <v>#REF!</v>
      </c>
      <c r="DM413" s="4" t="e">
        <f t="shared" ca="1" si="7280"/>
        <v>#REF!</v>
      </c>
      <c r="DN413" s="692" t="str">
        <f ca="1">IFERROR(IF(AD414="Nested Steel Stud (wood infill)",VLOOKUP(INDEX(DJ407:DJ418,DM413),SSW,2,FALSE),VLOOKUP(INDEX(DJ407:DJ418,DM413),SSM,2,FALSE)),"----")</f>
        <v>----</v>
      </c>
      <c r="DO413" s="691" t="e">
        <f t="shared" ca="1" si="7281"/>
        <v>#N/A</v>
      </c>
      <c r="DP413" s="4" t="e">
        <f ca="1">IF(AND(INDEX(WSM,DO413,4)&gt;=$AB413,INDEX(WSM,DO413,5)&gt;=$S407,INDEX(WSM,DO413,6)&gt;=$R407),1,0)</f>
        <v>#N/A</v>
      </c>
      <c r="DQ413" s="4" t="e">
        <f t="shared" ref="DQ413" ca="1" si="7369">MATCH(1,OFFSET(DP407:DP418,DR412,0,COUNT(DP407:DP418)-DR412),0)</f>
        <v>#REF!</v>
      </c>
      <c r="DR413" s="4" t="e">
        <f t="shared" ca="1" si="7283"/>
        <v>#REF!</v>
      </c>
      <c r="DS413" s="692" t="str">
        <f ca="1">IFERROR(VLOOKUP(INDEX(DO407:DO418,DR413),WSM,2,FALSE),"----")</f>
        <v>----</v>
      </c>
      <c r="DT413" s="691" t="e">
        <f t="shared" ca="1" si="7284"/>
        <v>#N/A</v>
      </c>
      <c r="DU413" s="4" t="e">
        <f ca="1">IF(AND(INDEX(STM,DT413,4)&gt;=$AB413,INDEX(STM,DT413,5)&gt;=$S407,INDEX(STM,DT413,6)&gt;=$R407),1,0)</f>
        <v>#N/A</v>
      </c>
      <c r="DV413" s="4" t="e">
        <f t="shared" ref="DV413" ca="1" si="7370">MATCH(1,OFFSET(DU407:DU418,DW412,0,COUNT(DU407:DU418)-DW412),0)</f>
        <v>#REF!</v>
      </c>
      <c r="DW413" s="4" t="e">
        <f t="shared" ca="1" si="7286"/>
        <v>#REF!</v>
      </c>
      <c r="DX413" s="692" t="str">
        <f ca="1">IFERROR(VLOOKUP(INDEX(DT407:DT418,DW413),STM,2,FALSE),"----")</f>
        <v>----</v>
      </c>
      <c r="DY413" s="691" t="e">
        <f t="shared" ca="1" si="7287"/>
        <v>#N/A</v>
      </c>
      <c r="DZ413" s="4" t="e">
        <f ca="1">IF(AND(INDEX(ELM,DY413,4)&gt;=$AB413,INDEX(ELM,DY413,5)&gt;=$S407,INDEX(ELM,DY413,6)&gt;=$R407),1,0)</f>
        <v>#N/A</v>
      </c>
      <c r="EA413" s="4" t="e">
        <f t="shared" ref="EA413" ca="1" si="7371">MATCH(1,OFFSET(DZ407:DZ418,EB412,0,COUNT(DZ407:DZ418)-EB412),0)</f>
        <v>#REF!</v>
      </c>
      <c r="EB413" s="4" t="e">
        <f t="shared" ca="1" si="7289"/>
        <v>#REF!</v>
      </c>
      <c r="EC413" s="692" t="str">
        <f ca="1">IFERROR(VLOOKUP(INDEX(DY407:DY418,EB413),ELM,2,FALSE),"----")</f>
        <v>----</v>
      </c>
      <c r="ED413" s="691" t="e">
        <f t="shared" ca="1" si="7290"/>
        <v>#N/A</v>
      </c>
      <c r="EE413" s="4" t="e">
        <f ca="1">IF(LEFT($J407,7)="Clad Wo",IF(AND(INDEX(SPPWS,ED413,4)&gt;=$AB413,INDEX(SPPWS,ED413,5)&gt;=$S407,INDEX(SPPWS,ED413,6)&gt;=$R407),1,0),IF(AND(INDEX(SPM,ED413,4)&gt;=$AB413,INDEX(SPM,ED413,5)&gt;=$S407,INDEX(SPM,ED413,6)&gt;=$R407),1,0))</f>
        <v>#N/A</v>
      </c>
      <c r="EF413" s="4" t="e">
        <f t="shared" ref="EF413" ca="1" si="7372">MATCH(1,OFFSET(EE407:EE418,EG412,0,COUNT(EE407:EE418)-EG412),0)</f>
        <v>#REF!</v>
      </c>
      <c r="EG413" s="4" t="e">
        <f t="shared" ca="1" si="7292"/>
        <v>#REF!</v>
      </c>
      <c r="EH413" s="692" t="str">
        <f ca="1">IF(LEFT($J407,7)="Clad Wo",IFERROR(VLOOKUP(INDEX(ED407:ED418,EG413),SPPWS,2,FALSE),"----"),IFERROR(VLOOKUP(INDEX(ED407:ED418,EG413),SPM,2,FALSE),"----"))</f>
        <v>----</v>
      </c>
    </row>
    <row r="414" spans="1:138" ht="15" customHeight="1" x14ac:dyDescent="0.25">
      <c r="A414" s="1085"/>
      <c r="B414" s="925"/>
      <c r="C414" s="926"/>
      <c r="D414" s="927"/>
      <c r="E414" s="995"/>
      <c r="F414" s="996"/>
      <c r="G414" s="997"/>
      <c r="H414" s="1062"/>
      <c r="I414" s="990"/>
      <c r="J414" s="912"/>
      <c r="K414" s="913"/>
      <c r="L414" s="1002"/>
      <c r="M414" s="923"/>
      <c r="N414" s="1042"/>
      <c r="O414" s="1018"/>
      <c r="P414" s="987"/>
      <c r="Q414" s="1015"/>
      <c r="R414" s="1012"/>
      <c r="S414" s="1006"/>
      <c r="T414" s="1007"/>
      <c r="U414" s="878"/>
      <c r="V414" s="881"/>
      <c r="W414" s="884"/>
      <c r="X414" s="884"/>
      <c r="Y414" s="887"/>
      <c r="Z414" s="887"/>
      <c r="AA414" s="887"/>
      <c r="AB414" s="1081"/>
      <c r="AC414" s="1078"/>
      <c r="AD414" s="1070" t="str">
        <f t="shared" ref="AD414" si="7373">IF(ISBLANK(AD408)=TRUE,"",AD408)</f>
        <v>Nested Steel Stud</v>
      </c>
      <c r="AE414" s="1071"/>
      <c r="AF414" s="1052"/>
      <c r="AG414" s="1053"/>
      <c r="AH414" s="1053"/>
      <c r="AI414" s="1066"/>
      <c r="AJ414" s="1067"/>
      <c r="AK414" s="156" t="str">
        <f t="shared" ca="1" si="6208"/>
        <v/>
      </c>
      <c r="AL414" s="1059"/>
      <c r="AM414" s="343" t="str">
        <f ca="1">IFERROR(Q407/12*ROUND(VLOOKUP(AF414,OFFSET(SSM,0,1),6,FALSE),2),"")</f>
        <v/>
      </c>
      <c r="AN414" t="str">
        <f t="shared" ca="1" si="6226"/>
        <v/>
      </c>
      <c r="AP414" s="122" t="str">
        <f t="shared" ref="AP414" si="7374">_xlfn.CONCAT(AR414,AS418)</f>
        <v/>
      </c>
      <c r="AQ414" s="683" t="str">
        <f t="shared" si="6434"/>
        <v/>
      </c>
      <c r="AR414" s="96" t="str">
        <f t="shared" si="6193"/>
        <v/>
      </c>
      <c r="AS414" s="96" t="str">
        <f>IF(COUNTIF(Vista_1,AF413)=1,"Vista_1",IF(COUNTIF(Vista_2,AF413)=1,"Vista_2",""))</f>
        <v/>
      </c>
      <c r="AT414" s="684" t="str">
        <f>AL413</f>
        <v/>
      </c>
      <c r="AU414" s="694" t="e">
        <f t="shared" ca="1" si="6450"/>
        <v>#REF!</v>
      </c>
      <c r="AV414" s="686" t="str">
        <f ca="1">IFERROR(VLOOKUP(AU414,INDIRECT(AQ407),2,FALSE),"----")</f>
        <v>----</v>
      </c>
      <c r="AW414" s="694" t="e">
        <f t="shared" ca="1" si="6451"/>
        <v>#REF!</v>
      </c>
      <c r="AX414" s="686" t="str">
        <f ca="1">IFERROR(VLOOKUP(AW414,INDIRECT(AQ408),2,FALSE),"----")</f>
        <v>----</v>
      </c>
      <c r="AY414" s="694" t="e">
        <f t="shared" ca="1" si="7338"/>
        <v>#REF!</v>
      </c>
      <c r="AZ414" s="686" t="str">
        <f ca="1">IFERROR(VLOOKUP(AY414,INDIRECT(AQ409),2,FALSE),"----")</f>
        <v>----</v>
      </c>
      <c r="BA414" s="694" t="e">
        <f t="shared" ca="1" si="7339"/>
        <v>#REF!</v>
      </c>
      <c r="BB414" s="686" t="str">
        <f ca="1">IFERROR(VLOOKUP(BA414,INDIRECT(AQ410),2,FALSE),"----")</f>
        <v>----</v>
      </c>
      <c r="BC414" s="694" t="e">
        <f t="shared" ca="1" si="6452"/>
        <v>#REF!</v>
      </c>
      <c r="BD414" s="686" t="str">
        <f ca="1">IFERROR(VLOOKUP(BC414,INDIRECT(AQ411),2,FALSE),"----")</f>
        <v>----</v>
      </c>
      <c r="BE414" s="694" t="e">
        <f t="shared" ca="1" si="6453"/>
        <v>#REF!</v>
      </c>
      <c r="BF414" s="686" t="str">
        <f ca="1">IFERROR(VLOOKUP(BE414,INDIRECT(AQ412),2,FALSE),"----")</f>
        <v>----</v>
      </c>
      <c r="BG414" s="702" t="e">
        <f t="shared" ca="1" si="6454"/>
        <v>#REF!</v>
      </c>
      <c r="BH414" s="686" t="str">
        <f ca="1">IFERROR(VLOOKUP(BG414,INDIRECT(AQ413),2,FALSE),"----")</f>
        <v>----</v>
      </c>
      <c r="BI414" s="702" t="e">
        <f t="shared" ca="1" si="6455"/>
        <v>#REF!</v>
      </c>
      <c r="BJ414" s="686" t="str">
        <f ca="1">IFERROR(VLOOKUP(BI414,INDIRECT(AQ414),2,FALSE),"----")</f>
        <v>----</v>
      </c>
      <c r="BK414" s="702" t="e">
        <f t="shared" ca="1" si="6456"/>
        <v>#REF!</v>
      </c>
      <c r="BL414" s="686" t="str">
        <f ca="1">IFERROR(VLOOKUP(BK414,INDIRECT(AQ415),2,FALSE),"----")</f>
        <v>----</v>
      </c>
      <c r="BM414" s="702" t="e">
        <f t="shared" ca="1" si="6457"/>
        <v>#REF!</v>
      </c>
      <c r="BN414" s="686" t="str">
        <f ca="1">IFERROR(VLOOKUP(BM414,INDIRECT(AQ416),2,FALSE),"----")</f>
        <v>----</v>
      </c>
      <c r="BO414" s="702" t="e">
        <f t="shared" ca="1" si="6458"/>
        <v>#REF!</v>
      </c>
      <c r="BP414" s="686" t="str">
        <f ca="1">IFERROR(VLOOKUP(BO414,INDIRECT(AQ417),2,FALSE),"----")</f>
        <v>----</v>
      </c>
      <c r="BQ414" s="702" t="e">
        <f t="shared" ca="1" si="6459"/>
        <v>#REF!</v>
      </c>
      <c r="BR414" s="686" t="str">
        <f ca="1">IFERROR(VLOOKUP(BQ414,INDIRECT(AQ418),2,FALSE),"----")</f>
        <v>----</v>
      </c>
      <c r="BS414" s="695">
        <f>IF(AI414="",1,IF(COUNTIF(BJ407:BJ418,AI414)=0,2,1))</f>
        <v>1</v>
      </c>
      <c r="BT414" s="696">
        <f>IF(AF414="",1,IF(BJ407=".",2,1))</f>
        <v>1</v>
      </c>
      <c r="BU414" s="706"/>
      <c r="BV414" s="155">
        <f ca="1">IF(COUNTIF(DN407:DN418,AF414)=0,IF(AF414&lt;&gt;"",0,1),1)</f>
        <v>1</v>
      </c>
      <c r="BW414" s="157">
        <f ca="1">IFERROR(MATCH(AF414,DN407:DN418,0),1)</f>
        <v>1</v>
      </c>
      <c r="BX414" s="769">
        <f t="shared" ref="BX414" si="7375">E407*(H407+I407)/144/2</f>
        <v>0</v>
      </c>
      <c r="BY414" s="769">
        <f>SUM(IF(H407&gt;E407,E407^2/4,(H407*E407/2)-(H407^2/4))/144,IF(I407&gt;E407,E407^2/4,(I407*E407/2)-(I407^2/4))/144)</f>
        <v>0</v>
      </c>
      <c r="BZ414" s="1110"/>
      <c r="CA414" s="691" t="e">
        <f t="shared" ca="1" si="7257"/>
        <v>#REF!</v>
      </c>
      <c r="CB414" s="4" t="e" cm="1">
        <f t="array" aca="1" ref="CB414" ca="1">IF(AND(INDEX(INDIRECT(BY407),CA414,4)&gt;=$AB407,INDEX(INDIRECT(BY407),CA414,5)&gt;=$S407,INDEX(INDIRECT(BY407),CA414,6)&gt;=$R407),1,0)</f>
        <v>#REF!</v>
      </c>
      <c r="CC414" s="4" t="e">
        <f t="shared" ref="CC414" ca="1" si="7376">MATCH(1,OFFSET(CB407:CB418,CD413,0,COUNT(CB407:CB418)-CD413),0)</f>
        <v>#REF!</v>
      </c>
      <c r="CD414" s="4" t="e">
        <f t="shared" ca="1" si="7259"/>
        <v>#REF!</v>
      </c>
      <c r="CE414" s="692" t="str" cm="1">
        <f t="array" aca="1" ref="CE414" ca="1">IFERROR(VLOOKUP(INDEX(CA407:CA418,CD414),INDIRECT(BY407),2,FALSE),"----")</f>
        <v>----</v>
      </c>
      <c r="CF414" s="691" t="e">
        <f t="shared" ca="1" si="7260"/>
        <v>#N/A</v>
      </c>
      <c r="CG414" s="4" t="e">
        <f ca="1">IF(AND(INDEX(SSM,CF414,4)&gt;=$AB407,INDEX(SSM,CF414,5)&gt;=$S407,INDEX(SSM,CF414,6)&gt;=$R407),1,0)</f>
        <v>#N/A</v>
      </c>
      <c r="CH414" s="4" t="e">
        <f t="shared" ref="CH414" ca="1" si="7377">MATCH(1,OFFSET(CG407:CG418,CI413,0,COUNT(CG407:CG418)-CI413),0)</f>
        <v>#REF!</v>
      </c>
      <c r="CI414" s="4" t="e">
        <f t="shared" ca="1" si="7262"/>
        <v>#REF!</v>
      </c>
      <c r="CJ414" s="692" t="str">
        <f ca="1">IFERROR(IF(AD408="Nested Steel Stud (wood infill)",VLOOKUP(INDEX(CF407:CF418,CI414),SSW,2,FALSE),VLOOKUP(INDEX(CF407:CF418,CI414),SSM,2,FALSE)),"----")</f>
        <v>----</v>
      </c>
      <c r="CK414" s="691" t="e">
        <f t="shared" ca="1" si="7263"/>
        <v>#N/A</v>
      </c>
      <c r="CL414" s="4" t="e">
        <f ca="1">IF(AND(INDEX(WSM,CK414,4)&gt;=$AB407,INDEX(WSM,CK414,5)&gt;=$S407,INDEX(WSM,CK414,6)&gt;=$R407),1,0)</f>
        <v>#N/A</v>
      </c>
      <c r="CM414" s="4" t="e">
        <f t="shared" ref="CM414" ca="1" si="7378">MATCH(1,OFFSET(CL407:CL418,CN413,0,COUNT(CL407:CL418)-CN413),0)</f>
        <v>#REF!</v>
      </c>
      <c r="CN414" s="4" t="e">
        <f t="shared" ca="1" si="7265"/>
        <v>#REF!</v>
      </c>
      <c r="CO414" s="692" t="str">
        <f ca="1">IFERROR(VLOOKUP(INDEX(CK407:CK418,CN414),WSM,2,FALSE),"----")</f>
        <v>----</v>
      </c>
      <c r="CP414" s="691" t="e">
        <f t="shared" ca="1" si="7266"/>
        <v>#N/A</v>
      </c>
      <c r="CQ414" s="4" t="e">
        <f ca="1">IF(AND(INDEX(STM,CP414,4)&gt;=$AB407,INDEX(STM,CP414,5)&gt;=$S407,INDEX(STM,CP414,6)&gt;=$R407),1,0)</f>
        <v>#N/A</v>
      </c>
      <c r="CR414" s="4" t="e">
        <f t="shared" ref="CR414" ca="1" si="7379">MATCH(1,OFFSET(CQ407:CQ418,CS413,0,COUNT(CQ407:CQ418)-CS413),0)</f>
        <v>#REF!</v>
      </c>
      <c r="CS414" s="4" t="e">
        <f t="shared" ca="1" si="7268"/>
        <v>#REF!</v>
      </c>
      <c r="CT414" s="692" t="str">
        <f ca="1">IFERROR(VLOOKUP(INDEX(CP407:CP418,CS414),STM,2,FALSE),"----")</f>
        <v>----</v>
      </c>
      <c r="CU414" s="691" t="e">
        <f t="shared" ca="1" si="7269"/>
        <v>#N/A</v>
      </c>
      <c r="CV414" s="4" t="e">
        <f ca="1">IF(AND(INDEX(ELM,CU414,4)&gt;=$AB407,INDEX(ELM,CU414,5)&gt;=$S407,INDEX(ELM,CU414,6)&gt;=$R407),1,0)</f>
        <v>#N/A</v>
      </c>
      <c r="CW414" s="4" t="e">
        <f t="shared" ref="CW414" ca="1" si="7380">MATCH(1,OFFSET(CV407:CV418,CX413,0,COUNT(CV407:CV418)-CX413),0)</f>
        <v>#REF!</v>
      </c>
      <c r="CX414" s="4" t="e">
        <f t="shared" ca="1" si="7271"/>
        <v>#REF!</v>
      </c>
      <c r="CY414" s="692" t="str">
        <f ca="1">IFERROR(VLOOKUP(INDEX(CU407:CU418,CX414),ELM,2,FALSE),"----")</f>
        <v>----</v>
      </c>
      <c r="CZ414" s="691" t="e">
        <f t="shared" ca="1" si="7272"/>
        <v>#N/A</v>
      </c>
      <c r="DA414" s="4" t="e">
        <f ca="1">IF(LEFT($J407,7)="Clad Wo",IF(AND(INDEX(SPPWS,CZ414,4)&gt;=$AB407,INDEX(SPPWS,CZ414,5)&gt;=$S407,INDEX(SPPWS,CZ414,6)&gt;=$R407),1,0),IF(AND(INDEX(SPM,CZ414,4)&gt;=$AB407,INDEX(SPM,CZ414,5)&gt;=$S407,INDEX(SPM,CZ414,6)&gt;=$R407),1,0))</f>
        <v>#N/A</v>
      </c>
      <c r="DB414" s="4" t="e">
        <f t="shared" ref="DB414" ca="1" si="7381">MATCH(1,OFFSET(DA407:DA418,DC413,0,COUNT(DA407:DA418)-DC413),0)</f>
        <v>#REF!</v>
      </c>
      <c r="DC414" s="4" t="e">
        <f t="shared" ca="1" si="7274"/>
        <v>#REF!</v>
      </c>
      <c r="DD414" s="693" t="str">
        <f ca="1">IF(LEFT($J407,7)="Clad Wo",IFERROR(VLOOKUP(INDEX(CZ407:CZ418,DC414),SPPWS,2,FALSE),"----"),IFERROR(VLOOKUP(INDEX(CZ407:CZ418,DC414),SPM,2,FALSE),"----"))</f>
        <v>----</v>
      </c>
      <c r="DE414" s="691" t="e">
        <f t="shared" ca="1" si="7275"/>
        <v>#REF!</v>
      </c>
      <c r="DF414" s="4" t="e" cm="1">
        <f t="array" aca="1" ref="DF414" ca="1">IF(AND(INDEX(INDIRECT(BY407),DE414,4)&gt;=$AB413,INDEX(INDIRECT(BY407),DE414,5)&gt;=$S407,INDEX(INDIRECT(BY407),DE414,6)&gt;=$R407),1,0)</f>
        <v>#REF!</v>
      </c>
      <c r="DG414" s="4" t="e">
        <f t="shared" ref="DG414" ca="1" si="7382">MATCH(1,OFFSET(DF407:DF418,DH413,0,COUNT(DF407:DF418)-DH413),0)</f>
        <v>#REF!</v>
      </c>
      <c r="DH414" s="4" t="e">
        <f t="shared" ca="1" si="7277"/>
        <v>#REF!</v>
      </c>
      <c r="DI414" s="692" t="str" cm="1">
        <f t="array" aca="1" ref="DI414" ca="1">IFERROR(VLOOKUP(INDEX(DE407:DE418,DH414),INDIRECT(BY407),2,FALSE),"----")</f>
        <v>----</v>
      </c>
      <c r="DJ414" s="691" t="e">
        <f t="shared" ca="1" si="7278"/>
        <v>#N/A</v>
      </c>
      <c r="DK414" s="4" t="e">
        <f ca="1">IF(AND(INDEX(SSM,DJ414,4)&gt;=$AB413,INDEX(SSM,DJ414,5)&gt;=$S407,INDEX(SSM,DJ414,6)&gt;=$R407),1,0)</f>
        <v>#N/A</v>
      </c>
      <c r="DL414" s="4" t="e">
        <f t="shared" ref="DL414" ca="1" si="7383">MATCH(1,OFFSET(DK407:DK418,DM413,0,COUNT(DK407:DK418)-DM413),0)</f>
        <v>#REF!</v>
      </c>
      <c r="DM414" s="4" t="e">
        <f t="shared" ca="1" si="7280"/>
        <v>#REF!</v>
      </c>
      <c r="DN414" s="692" t="str">
        <f ca="1">IFERROR(IF(AD414="Nested Steel Stud (wood infill)",VLOOKUP(INDEX(DJ407:DJ418,DM414),SSW,2,FALSE),VLOOKUP(INDEX(DJ407:DJ418,DM414),SSM,2,FALSE)),"----")</f>
        <v>----</v>
      </c>
      <c r="DO414" s="691" t="e">
        <f t="shared" ca="1" si="7281"/>
        <v>#N/A</v>
      </c>
      <c r="DP414" s="4" t="e">
        <f ca="1">IF(AND(INDEX(WSM,DO414,4)&gt;=$AB413,INDEX(WSM,DO414,5)&gt;=$S407,INDEX(WSM,DO414,6)&gt;=$R407),1,0)</f>
        <v>#N/A</v>
      </c>
      <c r="DQ414" s="4" t="e">
        <f t="shared" ref="DQ414" ca="1" si="7384">MATCH(1,OFFSET(DP407:DP418,DR413,0,COUNT(DP407:DP418)-DR413),0)</f>
        <v>#REF!</v>
      </c>
      <c r="DR414" s="4" t="e">
        <f t="shared" ca="1" si="7283"/>
        <v>#REF!</v>
      </c>
      <c r="DS414" s="692" t="str">
        <f ca="1">IFERROR(VLOOKUP(INDEX(DO407:DO418,DR414),WSM,2,FALSE),"----")</f>
        <v>----</v>
      </c>
      <c r="DT414" s="691" t="e">
        <f t="shared" ca="1" si="7284"/>
        <v>#N/A</v>
      </c>
      <c r="DU414" s="4" t="e">
        <f ca="1">IF(AND(INDEX(STM,DT414,4)&gt;=$AB413,INDEX(STM,DT414,5)&gt;=$S407,INDEX(STM,DT414,6)&gt;=$R407),1,0)</f>
        <v>#N/A</v>
      </c>
      <c r="DV414" s="4" t="e">
        <f t="shared" ref="DV414" ca="1" si="7385">MATCH(1,OFFSET(DU407:DU418,DW413,0,COUNT(DU407:DU418)-DW413),0)</f>
        <v>#REF!</v>
      </c>
      <c r="DW414" s="4" t="e">
        <f t="shared" ca="1" si="7286"/>
        <v>#REF!</v>
      </c>
      <c r="DX414" s="692" t="str">
        <f ca="1">IFERROR(VLOOKUP(INDEX(DT407:DT418,DW414),STM,2,FALSE),"----")</f>
        <v>----</v>
      </c>
      <c r="DY414" s="691" t="e">
        <f t="shared" ca="1" si="7287"/>
        <v>#N/A</v>
      </c>
      <c r="DZ414" s="4" t="e">
        <f ca="1">IF(AND(INDEX(ELM,DY414,4)&gt;=$AB413,INDEX(ELM,DY414,5)&gt;=$S407,INDEX(ELM,DY414,6)&gt;=$R407),1,0)</f>
        <v>#N/A</v>
      </c>
      <c r="EA414" s="4" t="e">
        <f t="shared" ref="EA414" ca="1" si="7386">MATCH(1,OFFSET(DZ407:DZ418,EB413,0,COUNT(DZ407:DZ418)-EB413),0)</f>
        <v>#REF!</v>
      </c>
      <c r="EB414" s="4" t="e">
        <f t="shared" ca="1" si="7289"/>
        <v>#REF!</v>
      </c>
      <c r="EC414" s="692" t="str">
        <f ca="1">IFERROR(VLOOKUP(INDEX(DY407:DY418,EB414),ELM,2,FALSE),"----")</f>
        <v>----</v>
      </c>
      <c r="ED414" s="691" t="e">
        <f t="shared" ca="1" si="7290"/>
        <v>#N/A</v>
      </c>
      <c r="EE414" s="4" t="e">
        <f ca="1">IF(LEFT($J407,7)="Clad Wo",IF(AND(INDEX(SPPWS,ED414,4)&gt;=$AB413,INDEX(SPPWS,ED414,5)&gt;=$S407,INDEX(SPPWS,ED414,6)&gt;=$R407),1,0),IF(AND(INDEX(SPM,ED414,4)&gt;=$AB413,INDEX(SPM,ED414,5)&gt;=$S407,INDEX(SPM,ED414,6)&gt;=$R407),1,0))</f>
        <v>#N/A</v>
      </c>
      <c r="EF414" s="4" t="e">
        <f t="shared" ref="EF414" ca="1" si="7387">MATCH(1,OFFSET(EE407:EE418,EG413,0,COUNT(EE407:EE418)-EG413),0)</f>
        <v>#REF!</v>
      </c>
      <c r="EG414" s="4" t="e">
        <f t="shared" ca="1" si="7292"/>
        <v>#REF!</v>
      </c>
      <c r="EH414" s="692" t="str">
        <f ca="1">IF(LEFT($J407,7)="Clad Wo",IFERROR(VLOOKUP(INDEX(ED407:ED418,EG414),SPPWS,2,FALSE),"----"),IFERROR(VLOOKUP(INDEX(ED407:ED418,EG414),SPM,2,FALSE),"----"))</f>
        <v>----</v>
      </c>
    </row>
    <row r="415" spans="1:138" ht="15" customHeight="1" x14ac:dyDescent="0.25">
      <c r="A415" s="1085"/>
      <c r="B415" s="925"/>
      <c r="C415" s="926"/>
      <c r="D415" s="927"/>
      <c r="E415" s="995"/>
      <c r="F415" s="996"/>
      <c r="G415" s="997"/>
      <c r="H415" s="1062"/>
      <c r="I415" s="990"/>
      <c r="J415" s="902"/>
      <c r="K415" s="903"/>
      <c r="L415" s="1002"/>
      <c r="M415" s="923"/>
      <c r="N415" s="1042"/>
      <c r="O415" s="1018"/>
      <c r="P415" s="987"/>
      <c r="Q415" s="1015"/>
      <c r="R415" s="1012"/>
      <c r="S415" s="1006"/>
      <c r="T415" s="1007"/>
      <c r="U415" s="878"/>
      <c r="V415" s="881"/>
      <c r="W415" s="884"/>
      <c r="X415" s="884"/>
      <c r="Y415" s="887"/>
      <c r="Z415" s="887"/>
      <c r="AA415" s="887"/>
      <c r="AB415" s="1081"/>
      <c r="AC415" s="1078"/>
      <c r="AD415" s="1070" t="str">
        <f t="shared" ref="AD415:AD477" si="7388">AD409</f>
        <v>Wood Stud Framing</v>
      </c>
      <c r="AE415" s="1071"/>
      <c r="AF415" s="1052"/>
      <c r="AG415" s="1053"/>
      <c r="AH415" s="1053"/>
      <c r="AI415" s="1066"/>
      <c r="AJ415" s="1067"/>
      <c r="AK415" s="156" t="str">
        <f t="shared" ca="1" si="6208"/>
        <v/>
      </c>
      <c r="AL415" s="1059"/>
      <c r="AM415" s="344" t="str">
        <f ca="1">IFERROR(Q407/12*ROUND(VLOOKUP(AF415,OFFSET(WSM,0,1),6,FALSE),2),"")</f>
        <v/>
      </c>
      <c r="AN415" t="str">
        <f t="shared" ca="1" si="6226"/>
        <v/>
      </c>
      <c r="AP415" s="122" t="str">
        <f t="shared" ref="AP415" si="7389">_xlfn.CONCAT(AR415,AS418)</f>
        <v/>
      </c>
      <c r="AQ415" s="683" t="str">
        <f t="shared" si="6434"/>
        <v/>
      </c>
      <c r="AR415" s="4" t="str">
        <f t="shared" si="6193"/>
        <v/>
      </c>
      <c r="AS415" s="4"/>
      <c r="AT415" s="697" t="str">
        <f>AL413</f>
        <v/>
      </c>
      <c r="AU415" s="694" t="e">
        <f t="shared" ca="1" si="6450"/>
        <v>#REF!</v>
      </c>
      <c r="AV415" s="686" t="str">
        <f ca="1">IFERROR(VLOOKUP(AU415,INDIRECT(AQ407),2,FALSE),"----")</f>
        <v>----</v>
      </c>
      <c r="AW415" s="694" t="e">
        <f t="shared" ca="1" si="6451"/>
        <v>#REF!</v>
      </c>
      <c r="AX415" s="686" t="str">
        <f ca="1">IFERROR(VLOOKUP(AW415,INDIRECT(AQ408),2,FALSE),"----")</f>
        <v>----</v>
      </c>
      <c r="AY415" s="694" t="e">
        <f t="shared" ca="1" si="7338"/>
        <v>#REF!</v>
      </c>
      <c r="AZ415" s="686" t="str">
        <f ca="1">IFERROR(VLOOKUP(AY415,INDIRECT(AQ409),2,FALSE),"----")</f>
        <v>----</v>
      </c>
      <c r="BA415" s="694" t="e">
        <f t="shared" ca="1" si="7339"/>
        <v>#REF!</v>
      </c>
      <c r="BB415" s="686" t="str">
        <f ca="1">IFERROR(VLOOKUP(BA415,INDIRECT(AQ410),2,FALSE),"----")</f>
        <v>----</v>
      </c>
      <c r="BC415" s="694" t="e">
        <f t="shared" ca="1" si="6452"/>
        <v>#REF!</v>
      </c>
      <c r="BD415" s="686" t="str">
        <f ca="1">IFERROR(VLOOKUP(BC415,INDIRECT(AQ411),2,FALSE),"----")</f>
        <v>----</v>
      </c>
      <c r="BE415" s="694" t="e">
        <f t="shared" ca="1" si="6453"/>
        <v>#REF!</v>
      </c>
      <c r="BF415" s="686" t="str">
        <f ca="1">IFERROR(VLOOKUP(BE415,INDIRECT(AQ412),2,FALSE),"----")</f>
        <v>----</v>
      </c>
      <c r="BG415" s="702" t="e">
        <f t="shared" ca="1" si="6454"/>
        <v>#REF!</v>
      </c>
      <c r="BH415" s="686" t="str">
        <f ca="1">IFERROR(VLOOKUP(BG415,INDIRECT(AQ413),2,FALSE),"----")</f>
        <v>----</v>
      </c>
      <c r="BI415" s="702" t="e">
        <f t="shared" ca="1" si="6455"/>
        <v>#REF!</v>
      </c>
      <c r="BJ415" s="686" t="str">
        <f ca="1">IFERROR(VLOOKUP(BI415,INDIRECT(AQ414),2,FALSE),"----")</f>
        <v>----</v>
      </c>
      <c r="BK415" s="702" t="e">
        <f t="shared" ca="1" si="6456"/>
        <v>#REF!</v>
      </c>
      <c r="BL415" s="686" t="str">
        <f ca="1">IFERROR(VLOOKUP(BK415,INDIRECT(AQ415),2,FALSE),"----")</f>
        <v>----</v>
      </c>
      <c r="BM415" s="702" t="e">
        <f t="shared" ca="1" si="6457"/>
        <v>#REF!</v>
      </c>
      <c r="BN415" s="686" t="str">
        <f ca="1">IFERROR(VLOOKUP(BM415,INDIRECT(AQ416),2,FALSE),"----")</f>
        <v>----</v>
      </c>
      <c r="BO415" s="702" t="e">
        <f t="shared" ca="1" si="6458"/>
        <v>#REF!</v>
      </c>
      <c r="BP415" s="686" t="str">
        <f ca="1">IFERROR(VLOOKUP(BO415,INDIRECT(AQ417),2,FALSE),"----")</f>
        <v>----</v>
      </c>
      <c r="BQ415" s="702" t="e">
        <f t="shared" ca="1" si="6459"/>
        <v>#REF!</v>
      </c>
      <c r="BR415" s="686" t="str">
        <f ca="1">IFERROR(VLOOKUP(BQ415,INDIRECT(AQ418),2,FALSE),"----")</f>
        <v>----</v>
      </c>
      <c r="BS415" s="695">
        <f>IF(AI415="",1,IF(COUNTIF(BL407:BL418,AI415)=0,2,1))</f>
        <v>1</v>
      </c>
      <c r="BT415" s="696">
        <f>IF(AF415="",1,IF(BL407=".",2,1))</f>
        <v>1</v>
      </c>
      <c r="BU415" s="706"/>
      <c r="BV415" s="155">
        <f ca="1">IF(COUNTIF(DS407:DS418,AF415)=0,IF(AF415&lt;&gt;"",0,1),1)</f>
        <v>1</v>
      </c>
      <c r="BW415" s="157">
        <f ca="1">IFERROR(MATCH(AF415,DS407:DS418,0),1)</f>
        <v>1</v>
      </c>
      <c r="BX415" s="769" t="e">
        <f t="shared" ref="BX415" si="7390">5*E407^3*W407/(384*X407)</f>
        <v>#VALUE!</v>
      </c>
      <c r="BY415" s="769" t="e">
        <f t="shared" ref="BY415" si="7391">W407*E407^3/(60*X407)</f>
        <v>#VALUE!</v>
      </c>
      <c r="BZ415" s="1110"/>
      <c r="CA415" s="691" t="e">
        <f t="shared" ca="1" si="7257"/>
        <v>#REF!</v>
      </c>
      <c r="CB415" s="4" t="e" cm="1">
        <f t="array" aca="1" ref="CB415" ca="1">IF(AND(INDEX(INDIRECT(BY407),CA415,4)&gt;=$AB407,INDEX(INDIRECT(BY407),CA415,5)&gt;=$S407,INDEX(INDIRECT(BY407),CA415,6)&gt;=$R407),1,0)</f>
        <v>#REF!</v>
      </c>
      <c r="CC415" s="4" t="e">
        <f t="shared" ref="CC415" ca="1" si="7392">MATCH(1,OFFSET(CB407:CB418,CD414,0,COUNT(CB407:CB418)-CD414),0)</f>
        <v>#REF!</v>
      </c>
      <c r="CD415" s="4" t="e">
        <f t="shared" ca="1" si="7259"/>
        <v>#REF!</v>
      </c>
      <c r="CE415" s="692" t="str" cm="1">
        <f t="array" aca="1" ref="CE415" ca="1">IFERROR(VLOOKUP(INDEX(CA407:CA418,CD415),INDIRECT(BY407),2,FALSE),"----")</f>
        <v>----</v>
      </c>
      <c r="CF415" s="691" t="e">
        <f t="shared" ca="1" si="7260"/>
        <v>#N/A</v>
      </c>
      <c r="CG415" s="4" t="e">
        <f ca="1">IF(AND(INDEX(SSM,CF415,4)&gt;=$AB407,INDEX(SSM,CF415,5)&gt;=$S407,INDEX(SSM,CF415,6)&gt;=$R407),1,0)</f>
        <v>#N/A</v>
      </c>
      <c r="CH415" s="4" t="e">
        <f t="shared" ref="CH415" ca="1" si="7393">MATCH(1,OFFSET(CG407:CG418,CI414,0,COUNT(CG407:CG418)-CI414),0)</f>
        <v>#REF!</v>
      </c>
      <c r="CI415" s="4" t="e">
        <f t="shared" ca="1" si="7262"/>
        <v>#REF!</v>
      </c>
      <c r="CJ415" s="692" t="str">
        <f ca="1">IFERROR(IF(AD408="Nested Steel Stud (wood infill)",VLOOKUP(INDEX(CF407:CF418,CI415),SSW,2,FALSE),VLOOKUP(INDEX(CF407:CF418,CI415),SSM,2,FALSE)),"----")</f>
        <v>----</v>
      </c>
      <c r="CK415" s="691" t="e">
        <f t="shared" ca="1" si="7263"/>
        <v>#N/A</v>
      </c>
      <c r="CL415" s="4" t="e">
        <f ca="1">IF(AND(INDEX(WSM,CK415,4)&gt;=$AB407,INDEX(WSM,CK415,5)&gt;=$S407,INDEX(WSM,CK415,6)&gt;=$R407),1,0)</f>
        <v>#N/A</v>
      </c>
      <c r="CM415" s="4" t="e">
        <f t="shared" ref="CM415" ca="1" si="7394">MATCH(1,OFFSET(CL407:CL418,CN414,0,COUNT(CL407:CL418)-CN414),0)</f>
        <v>#REF!</v>
      </c>
      <c r="CN415" s="4" t="e">
        <f t="shared" ca="1" si="7265"/>
        <v>#REF!</v>
      </c>
      <c r="CO415" s="692" t="str">
        <f ca="1">IFERROR(VLOOKUP(INDEX(CK407:CK418,CN415),WSM,2,FALSE),"----")</f>
        <v>----</v>
      </c>
      <c r="CP415" s="691" t="e">
        <f t="shared" ca="1" si="7266"/>
        <v>#N/A</v>
      </c>
      <c r="CQ415" s="4" t="e">
        <f ca="1">IF(AND(INDEX(STM,CP415,4)&gt;=$AB407,INDEX(STM,CP415,5)&gt;=$S407,INDEX(STM,CP415,6)&gt;=$R407),1,0)</f>
        <v>#N/A</v>
      </c>
      <c r="CR415" s="4" t="e">
        <f t="shared" ref="CR415" ca="1" si="7395">MATCH(1,OFFSET(CQ407:CQ418,CS414,0,COUNT(CQ407:CQ418)-CS414),0)</f>
        <v>#REF!</v>
      </c>
      <c r="CS415" s="4" t="e">
        <f t="shared" ca="1" si="7268"/>
        <v>#REF!</v>
      </c>
      <c r="CT415" s="692" t="str">
        <f ca="1">IFERROR(VLOOKUP(INDEX(CP407:CP418,CS415),STM,2,FALSE),"----")</f>
        <v>----</v>
      </c>
      <c r="CU415" s="691" t="e">
        <f t="shared" ca="1" si="7269"/>
        <v>#N/A</v>
      </c>
      <c r="CV415" s="4" t="e">
        <f ca="1">IF(AND(INDEX(ELM,CU415,4)&gt;=$AB407,INDEX(ELM,CU415,5)&gt;=$S407,INDEX(ELM,CU415,6)&gt;=$R407),1,0)</f>
        <v>#N/A</v>
      </c>
      <c r="CW415" s="4" t="e">
        <f t="shared" ref="CW415" ca="1" si="7396">MATCH(1,OFFSET(CV407:CV418,CX414,0,COUNT(CV407:CV418)-CX414),0)</f>
        <v>#REF!</v>
      </c>
      <c r="CX415" s="4" t="e">
        <f t="shared" ca="1" si="7271"/>
        <v>#REF!</v>
      </c>
      <c r="CY415" s="692" t="str">
        <f ca="1">IFERROR(VLOOKUP(INDEX(CU407:CU418,CX415),ELM,2,FALSE),"----")</f>
        <v>----</v>
      </c>
      <c r="CZ415" s="691" t="e">
        <f t="shared" ca="1" si="7272"/>
        <v>#N/A</v>
      </c>
      <c r="DA415" s="4" t="e">
        <f ca="1">IF(LEFT($J407,7)="Clad Wo",IF(AND(INDEX(SPPWS,CZ415,4)&gt;=$AB407,INDEX(SPPWS,CZ415,5)&gt;=$S407,INDEX(SPPWS,CZ415,6)&gt;=$R407),1,0),IF(AND(INDEX(SPM,CZ415,4)&gt;=$AB407,INDEX(SPM,CZ415,5)&gt;=$S407,INDEX(SPM,CZ415,6)&gt;=$R407),1,0))</f>
        <v>#N/A</v>
      </c>
      <c r="DB415" s="4" t="e">
        <f t="shared" ref="DB415" ca="1" si="7397">MATCH(1,OFFSET(DA407:DA418,DC414,0,COUNT(DA407:DA418)-DC414),0)</f>
        <v>#REF!</v>
      </c>
      <c r="DC415" s="4" t="e">
        <f t="shared" ca="1" si="7274"/>
        <v>#REF!</v>
      </c>
      <c r="DD415" s="693" t="str">
        <f ca="1">IF(LEFT($J407,7)="Clad Wo",IFERROR(VLOOKUP(INDEX(CZ407:CZ418,DC415),SPPWS,2,FALSE),"----"),IFERROR(VLOOKUP(INDEX(CZ407:CZ418,DC415),SPM,2,FALSE),"----"))</f>
        <v>----</v>
      </c>
      <c r="DE415" s="691" t="e">
        <f t="shared" ca="1" si="7275"/>
        <v>#REF!</v>
      </c>
      <c r="DF415" s="4" t="e" cm="1">
        <f t="array" aca="1" ref="DF415" ca="1">IF(AND(INDEX(INDIRECT(BY407),DE415,4)&gt;=$AB413,INDEX(INDIRECT(BY407),DE415,5)&gt;=$S407,INDEX(INDIRECT(BY407),DE415,6)&gt;=$R407),1,0)</f>
        <v>#REF!</v>
      </c>
      <c r="DG415" s="4" t="e">
        <f t="shared" ref="DG415" ca="1" si="7398">MATCH(1,OFFSET(DF407:DF418,DH414,0,COUNT(DF407:DF418)-DH414),0)</f>
        <v>#REF!</v>
      </c>
      <c r="DH415" s="4" t="e">
        <f t="shared" ca="1" si="7277"/>
        <v>#REF!</v>
      </c>
      <c r="DI415" s="692" t="str" cm="1">
        <f t="array" aca="1" ref="DI415" ca="1">IFERROR(VLOOKUP(INDEX(DE407:DE418,DH415),INDIRECT(BY407),2,FALSE),"----")</f>
        <v>----</v>
      </c>
      <c r="DJ415" s="691" t="e">
        <f t="shared" ca="1" si="7278"/>
        <v>#N/A</v>
      </c>
      <c r="DK415" s="4" t="e">
        <f ca="1">IF(AND(INDEX(SSM,DJ415,4)&gt;=$AB413,INDEX(SSM,DJ415,5)&gt;=$S407,INDEX(SSM,DJ415,6)&gt;=$R407),1,0)</f>
        <v>#N/A</v>
      </c>
      <c r="DL415" s="4" t="e">
        <f t="shared" ref="DL415" ca="1" si="7399">MATCH(1,OFFSET(DK407:DK418,DM414,0,COUNT(DK407:DK418)-DM414),0)</f>
        <v>#REF!</v>
      </c>
      <c r="DM415" s="4" t="e">
        <f t="shared" ca="1" si="7280"/>
        <v>#REF!</v>
      </c>
      <c r="DN415" s="692" t="str">
        <f ca="1">IFERROR(IF(AD414="Nested Steel Stud (wood infill)",VLOOKUP(INDEX(DJ407:DJ418,DM415),SSW,2,FALSE),VLOOKUP(INDEX(DJ407:DJ418,DM415),SSM,2,FALSE)),"----")</f>
        <v>----</v>
      </c>
      <c r="DO415" s="691" t="e">
        <f t="shared" ca="1" si="7281"/>
        <v>#N/A</v>
      </c>
      <c r="DP415" s="4" t="e">
        <f ca="1">IF(AND(INDEX(WSM,DO415,4)&gt;=$AB413,INDEX(WSM,DO415,5)&gt;=$S407,INDEX(WSM,DO415,6)&gt;=$R407),1,0)</f>
        <v>#N/A</v>
      </c>
      <c r="DQ415" s="4" t="e">
        <f t="shared" ref="DQ415" ca="1" si="7400">MATCH(1,OFFSET(DP407:DP418,DR414,0,COUNT(DP407:DP418)-DR414),0)</f>
        <v>#REF!</v>
      </c>
      <c r="DR415" s="4" t="e">
        <f t="shared" ca="1" si="7283"/>
        <v>#REF!</v>
      </c>
      <c r="DS415" s="692" t="str">
        <f ca="1">IFERROR(VLOOKUP(INDEX(DO407:DO418,DR415),WSM,2,FALSE),"----")</f>
        <v>----</v>
      </c>
      <c r="DT415" s="691" t="e">
        <f t="shared" ca="1" si="7284"/>
        <v>#N/A</v>
      </c>
      <c r="DU415" s="4" t="e">
        <f ca="1">IF(AND(INDEX(STM,DT415,4)&gt;=$AB413,INDEX(STM,DT415,5)&gt;=$S407,INDEX(STM,DT415,6)&gt;=$R407),1,0)</f>
        <v>#N/A</v>
      </c>
      <c r="DV415" s="4" t="e">
        <f t="shared" ref="DV415" ca="1" si="7401">MATCH(1,OFFSET(DU407:DU418,DW414,0,COUNT(DU407:DU418)-DW414),0)</f>
        <v>#REF!</v>
      </c>
      <c r="DW415" s="4" t="e">
        <f t="shared" ca="1" si="7286"/>
        <v>#REF!</v>
      </c>
      <c r="DX415" s="692" t="str">
        <f ca="1">IFERROR(VLOOKUP(INDEX(DT407:DT418,DW415),STM,2,FALSE),"----")</f>
        <v>----</v>
      </c>
      <c r="DY415" s="691" t="e">
        <f t="shared" ca="1" si="7287"/>
        <v>#N/A</v>
      </c>
      <c r="DZ415" s="4" t="e">
        <f ca="1">IF(AND(INDEX(ELM,DY415,4)&gt;=$AB413,INDEX(ELM,DY415,5)&gt;=$S407,INDEX(ELM,DY415,6)&gt;=$R407),1,0)</f>
        <v>#N/A</v>
      </c>
      <c r="EA415" s="4" t="e">
        <f t="shared" ref="EA415" ca="1" si="7402">MATCH(1,OFFSET(DZ407:DZ418,EB414,0,COUNT(DZ407:DZ418)-EB414),0)</f>
        <v>#REF!</v>
      </c>
      <c r="EB415" s="4" t="e">
        <f t="shared" ca="1" si="7289"/>
        <v>#REF!</v>
      </c>
      <c r="EC415" s="692" t="str">
        <f ca="1">IFERROR(VLOOKUP(INDEX(DY407:DY418,EB415),ELM,2,FALSE),"----")</f>
        <v>----</v>
      </c>
      <c r="ED415" s="691" t="e">
        <f t="shared" ca="1" si="7290"/>
        <v>#N/A</v>
      </c>
      <c r="EE415" s="4" t="e">
        <f ca="1">IF(LEFT($J407,7)="Clad Wo",IF(AND(INDEX(SPPWS,ED415,4)&gt;=$AB413,INDEX(SPPWS,ED415,5)&gt;=$S407,INDEX(SPPWS,ED415,6)&gt;=$R407),1,0),IF(AND(INDEX(SPM,ED415,4)&gt;=$AB413,INDEX(SPM,ED415,5)&gt;=$S407,INDEX(SPM,ED415,6)&gt;=$R407),1,0))</f>
        <v>#N/A</v>
      </c>
      <c r="EF415" s="4" t="e">
        <f t="shared" ref="EF415" ca="1" si="7403">MATCH(1,OFFSET(EE407:EE418,EG414,0,COUNT(EE407:EE418)-EG414),0)</f>
        <v>#REF!</v>
      </c>
      <c r="EG415" s="4" t="e">
        <f t="shared" ca="1" si="7292"/>
        <v>#REF!</v>
      </c>
      <c r="EH415" s="692" t="str">
        <f ca="1">IF(LEFT($J407,7)="Clad Wo",IFERROR(VLOOKUP(INDEX(ED407:ED418,EG415),SPPWS,2,FALSE),"----"),IFERROR(VLOOKUP(INDEX(ED407:ED418,EG415),SPM,2,FALSE),"----"))</f>
        <v>----</v>
      </c>
    </row>
    <row r="416" spans="1:138" ht="15" customHeight="1" x14ac:dyDescent="0.25">
      <c r="A416" s="1085"/>
      <c r="B416" s="925"/>
      <c r="C416" s="926"/>
      <c r="D416" s="927"/>
      <c r="E416" s="995"/>
      <c r="F416" s="996"/>
      <c r="G416" s="997"/>
      <c r="H416" s="1062"/>
      <c r="I416" s="990"/>
      <c r="J416" s="902"/>
      <c r="K416" s="903"/>
      <c r="L416" s="1002"/>
      <c r="M416" s="923"/>
      <c r="N416" s="1042"/>
      <c r="O416" s="1018"/>
      <c r="P416" s="987"/>
      <c r="Q416" s="1015"/>
      <c r="R416" s="1012"/>
      <c r="S416" s="1006"/>
      <c r="T416" s="1007"/>
      <c r="U416" s="878"/>
      <c r="V416" s="881"/>
      <c r="W416" s="884"/>
      <c r="X416" s="884"/>
      <c r="Y416" s="887"/>
      <c r="Z416" s="887"/>
      <c r="AA416" s="887"/>
      <c r="AB416" s="1081"/>
      <c r="AC416" s="1078"/>
      <c r="AD416" s="1070" t="str">
        <f t="shared" si="7388"/>
        <v>Steel Tube</v>
      </c>
      <c r="AE416" s="1071"/>
      <c r="AF416" s="1052"/>
      <c r="AG416" s="1053"/>
      <c r="AH416" s="1053"/>
      <c r="AI416" s="1066"/>
      <c r="AJ416" s="1067"/>
      <c r="AK416" s="156" t="str">
        <f t="shared" ca="1" si="6208"/>
        <v/>
      </c>
      <c r="AL416" s="1059"/>
      <c r="AM416" s="343" t="str">
        <f ca="1">IFERROR(Q407/12*ROUND(VLOOKUP(AF416,OFFSET(STM,0,1),6,FALSE),2),"")</f>
        <v/>
      </c>
      <c r="AN416" t="str">
        <f t="shared" ca="1" si="6226"/>
        <v/>
      </c>
      <c r="AP416" s="122" t="str">
        <f t="shared" ref="AP416" si="7404">_xlfn.CONCAT(AR416,AS418)</f>
        <v/>
      </c>
      <c r="AQ416" s="683" t="str">
        <f t="shared" si="6434"/>
        <v/>
      </c>
      <c r="AR416" s="4" t="str">
        <f t="shared" si="6193"/>
        <v/>
      </c>
      <c r="AS416" s="4"/>
      <c r="AT416" s="697" t="str">
        <f>AL413</f>
        <v/>
      </c>
      <c r="AU416" s="694" t="e">
        <f t="shared" ca="1" si="6450"/>
        <v>#REF!</v>
      </c>
      <c r="AV416" s="686" t="str">
        <f ca="1">IFERROR(VLOOKUP(AU416,INDIRECT(AQ407),2,FALSE),"----")</f>
        <v>----</v>
      </c>
      <c r="AW416" s="694" t="e">
        <f t="shared" ca="1" si="6451"/>
        <v>#REF!</v>
      </c>
      <c r="AX416" s="686" t="str">
        <f ca="1">IFERROR(VLOOKUP(AW416,INDIRECT(AQ408),2,FALSE),"----")</f>
        <v>----</v>
      </c>
      <c r="AY416" s="694" t="e">
        <f t="shared" ca="1" si="6210"/>
        <v>#REF!</v>
      </c>
      <c r="AZ416" s="686" t="str">
        <f ca="1">IFERROR(VLOOKUP(AY416,INDIRECT(AQ409),2,FALSE),"----")</f>
        <v>----</v>
      </c>
      <c r="BA416" s="694" t="e">
        <f t="shared" ca="1" si="6211"/>
        <v>#REF!</v>
      </c>
      <c r="BB416" s="686" t="str">
        <f ca="1">IFERROR(VLOOKUP(BA416,INDIRECT(AQ410),2,FALSE),"----")</f>
        <v>----</v>
      </c>
      <c r="BC416" s="694" t="e">
        <f t="shared" ca="1" si="6452"/>
        <v>#REF!</v>
      </c>
      <c r="BD416" s="686" t="str">
        <f ca="1">IFERROR(VLOOKUP(BC416,INDIRECT(AQ411),2,FALSE),"----")</f>
        <v>----</v>
      </c>
      <c r="BE416" s="694" t="e">
        <f t="shared" ca="1" si="6453"/>
        <v>#REF!</v>
      </c>
      <c r="BF416" s="686" t="str">
        <f ca="1">IFERROR(VLOOKUP(BE416,INDIRECT(AQ412),2,FALSE),"----")</f>
        <v>----</v>
      </c>
      <c r="BG416" s="702" t="e">
        <f t="shared" ca="1" si="6454"/>
        <v>#REF!</v>
      </c>
      <c r="BH416" s="686" t="str">
        <f ca="1">IFERROR(VLOOKUP(BG416,INDIRECT(AQ413),2,FALSE),"----")</f>
        <v>----</v>
      </c>
      <c r="BI416" s="702" t="e">
        <f t="shared" ca="1" si="6455"/>
        <v>#REF!</v>
      </c>
      <c r="BJ416" s="686" t="str">
        <f ca="1">IFERROR(VLOOKUP(BI416,INDIRECT(AQ414),2,FALSE),"----")</f>
        <v>----</v>
      </c>
      <c r="BK416" s="702" t="e">
        <f t="shared" ca="1" si="6456"/>
        <v>#REF!</v>
      </c>
      <c r="BL416" s="686" t="str">
        <f ca="1">IFERROR(VLOOKUP(BK416,INDIRECT(AQ415),2,FALSE),"----")</f>
        <v>----</v>
      </c>
      <c r="BM416" s="702" t="e">
        <f t="shared" ca="1" si="6457"/>
        <v>#REF!</v>
      </c>
      <c r="BN416" s="686" t="str">
        <f ca="1">IFERROR(VLOOKUP(BM416,INDIRECT(AQ416),2,FALSE),"----")</f>
        <v>----</v>
      </c>
      <c r="BO416" s="702" t="e">
        <f t="shared" ca="1" si="6458"/>
        <v>#REF!</v>
      </c>
      <c r="BP416" s="686" t="str">
        <f ca="1">IFERROR(VLOOKUP(BO416,INDIRECT(AQ417),2,FALSE),"----")</f>
        <v>----</v>
      </c>
      <c r="BQ416" s="702" t="e">
        <f t="shared" ca="1" si="6459"/>
        <v>#REF!</v>
      </c>
      <c r="BR416" s="686" t="str">
        <f ca="1">IFERROR(VLOOKUP(BQ416,INDIRECT(AQ418),2,FALSE),"----")</f>
        <v>----</v>
      </c>
      <c r="BS416" s="695">
        <f>IF(AI416="",1,IF(COUNTIF(BN407:BN418,AI416)=0,2,1))</f>
        <v>1</v>
      </c>
      <c r="BT416" s="696">
        <f>IF(AF416="",1,IF(BN407=".",2,1))</f>
        <v>1</v>
      </c>
      <c r="BU416" s="706"/>
      <c r="BV416" s="155">
        <f ca="1">IF(COUNTIF(DX407:DX418,AF416)=0,IF(AF416&lt;&gt;"",0,1),1)</f>
        <v>1</v>
      </c>
      <c r="BW416" s="157">
        <f ca="1">IFERROR(MATCH(AF416,DX407:DX418,0),1)</f>
        <v>1</v>
      </c>
      <c r="BX416" s="769" t="e">
        <f t="shared" ref="BX416" si="7405">5*E407^3*W413/(384*X407)</f>
        <v>#VALUE!</v>
      </c>
      <c r="BY416" s="769" t="e">
        <f t="shared" ref="BY416" si="7406">E407^3*W413/(60*X407)</f>
        <v>#VALUE!</v>
      </c>
      <c r="BZ416" s="1110"/>
      <c r="CA416" s="691" t="e">
        <f t="shared" ca="1" si="7257"/>
        <v>#REF!</v>
      </c>
      <c r="CB416" s="4" t="e" cm="1">
        <f t="array" aca="1" ref="CB416" ca="1">IF(AND(INDEX(INDIRECT(BY407),CA416,4)&gt;=$AB407,INDEX(INDIRECT(BY407),CA416,5)&gt;=$S407,INDEX(INDIRECT(BY407),CA416,6)&gt;=$R407),1,0)</f>
        <v>#REF!</v>
      </c>
      <c r="CC416" s="4" t="e">
        <f t="shared" ref="CC416" ca="1" si="7407">MATCH(1,OFFSET(CB407:CB418,CD415,0,COUNT(CB407:CB418)-CD415),0)</f>
        <v>#REF!</v>
      </c>
      <c r="CD416" s="4" t="e">
        <f t="shared" ca="1" si="7259"/>
        <v>#REF!</v>
      </c>
      <c r="CE416" s="692" t="str" cm="1">
        <f t="array" aca="1" ref="CE416" ca="1">IFERROR(VLOOKUP(INDEX(CA407:CA418,CD416),INDIRECT(BY407),2,FALSE),"----")</f>
        <v>----</v>
      </c>
      <c r="CF416" s="691" t="e">
        <f t="shared" ca="1" si="7260"/>
        <v>#N/A</v>
      </c>
      <c r="CG416" s="4" t="e">
        <f ca="1">IF(AND(INDEX(SSM,CF416,4)&gt;=$AB407,INDEX(SSM,CF416,5)&gt;=$S407,INDEX(SSM,CF416,6)&gt;=$R407),1,0)</f>
        <v>#N/A</v>
      </c>
      <c r="CH416" s="4" t="e">
        <f t="shared" ref="CH416" ca="1" si="7408">MATCH(1,OFFSET(CG407:CG418,CI415,0,COUNT(CG407:CG418)-CI415),0)</f>
        <v>#REF!</v>
      </c>
      <c r="CI416" s="4" t="e">
        <f t="shared" ca="1" si="7262"/>
        <v>#REF!</v>
      </c>
      <c r="CJ416" s="692" t="str">
        <f ca="1">IFERROR(IF(AD408="Nested Steel Stud (wood infill)",VLOOKUP(INDEX(CF407:CF418,CI416),SSW,2,FALSE),VLOOKUP(INDEX(CF407:CF418,CI416),SSM,2,FALSE)),"----")</f>
        <v>----</v>
      </c>
      <c r="CK416" s="691" t="e">
        <f t="shared" ca="1" si="7263"/>
        <v>#N/A</v>
      </c>
      <c r="CL416" s="4" t="e">
        <f ca="1">IF(AND(INDEX(WSM,CK416,4)&gt;=$AB407,INDEX(WSM,CK416,5)&gt;=$S407,INDEX(WSM,CK416,6)&gt;=$R407),1,0)</f>
        <v>#N/A</v>
      </c>
      <c r="CM416" s="4" t="e">
        <f t="shared" ref="CM416" ca="1" si="7409">MATCH(1,OFFSET(CL407:CL418,CN415,0,COUNT(CL407:CL418)-CN415),0)</f>
        <v>#REF!</v>
      </c>
      <c r="CN416" s="4" t="e">
        <f t="shared" ca="1" si="7265"/>
        <v>#REF!</v>
      </c>
      <c r="CO416" s="692" t="str">
        <f ca="1">IFERROR(VLOOKUP(INDEX(CK407:CK418,CN416),WSM,2,FALSE),"----")</f>
        <v>----</v>
      </c>
      <c r="CP416" s="691" t="e">
        <f t="shared" ca="1" si="7266"/>
        <v>#N/A</v>
      </c>
      <c r="CQ416" s="4" t="e">
        <f ca="1">IF(AND(INDEX(STM,CP416,4)&gt;=$AB407,INDEX(STM,CP416,5)&gt;=$S407,INDEX(STM,CP416,6)&gt;=$R407),1,0)</f>
        <v>#N/A</v>
      </c>
      <c r="CR416" s="4" t="e">
        <f t="shared" ref="CR416" ca="1" si="7410">MATCH(1,OFFSET(CQ407:CQ418,CS415,0,COUNT(CQ407:CQ418)-CS415),0)</f>
        <v>#REF!</v>
      </c>
      <c r="CS416" s="4" t="e">
        <f t="shared" ca="1" si="7268"/>
        <v>#REF!</v>
      </c>
      <c r="CT416" s="692" t="str">
        <f ca="1">IFERROR(VLOOKUP(INDEX(CP407:CP418,CS416),STM,2,FALSE),"----")</f>
        <v>----</v>
      </c>
      <c r="CU416" s="691" t="e">
        <f t="shared" ca="1" si="7269"/>
        <v>#N/A</v>
      </c>
      <c r="CV416" s="4" t="e">
        <f ca="1">IF(AND(INDEX(ELM,CU416,4)&gt;=$AB407,INDEX(ELM,CU416,5)&gt;=$S407,INDEX(ELM,CU416,6)&gt;=$R407),1,0)</f>
        <v>#N/A</v>
      </c>
      <c r="CW416" s="4" t="e">
        <f t="shared" ref="CW416" ca="1" si="7411">MATCH(1,OFFSET(CV407:CV418,CX415,0,COUNT(CV407:CV418)-CX415),0)</f>
        <v>#REF!</v>
      </c>
      <c r="CX416" s="4" t="e">
        <f t="shared" ca="1" si="7271"/>
        <v>#REF!</v>
      </c>
      <c r="CY416" s="692" t="str">
        <f ca="1">IFERROR(VLOOKUP(INDEX(CU407:CU418,CX416),ELM,2,FALSE),"----")</f>
        <v>----</v>
      </c>
      <c r="CZ416" s="691" t="e">
        <f t="shared" ca="1" si="7272"/>
        <v>#N/A</v>
      </c>
      <c r="DA416" s="4" t="e">
        <f ca="1">IF(LEFT($J407,7)="Clad Wo",IF(AND(INDEX(SPPWS,CZ416,4)&gt;=$AB407,INDEX(SPPWS,CZ416,5)&gt;=$S407,INDEX(SPPWS,CZ416,6)&gt;=$R407),1,0),IF(AND(INDEX(SPM,CZ416,4)&gt;=$AB407,INDEX(SPM,CZ416,5)&gt;=$S407,INDEX(SPM,CZ416,6)&gt;=$R407),1,0))</f>
        <v>#N/A</v>
      </c>
      <c r="DB416" s="4" t="e">
        <f t="shared" ref="DB416" ca="1" si="7412">MATCH(1,OFFSET(DA407:DA418,DC415,0,COUNT(DA407:DA418)-DC415),0)</f>
        <v>#REF!</v>
      </c>
      <c r="DC416" s="4" t="e">
        <f t="shared" ca="1" si="7274"/>
        <v>#REF!</v>
      </c>
      <c r="DD416" s="693" t="str">
        <f ca="1">IF(LEFT($J407,7)="Clad Wo",IFERROR(VLOOKUP(INDEX(CZ407:CZ418,DC416),SPPWS,2,FALSE),"----"),IFERROR(VLOOKUP(INDEX(CZ407:CZ418,DC416),SPM,2,FALSE),"----"))</f>
        <v>----</v>
      </c>
      <c r="DE416" s="691" t="e">
        <f t="shared" ca="1" si="7275"/>
        <v>#REF!</v>
      </c>
      <c r="DF416" s="4" t="e" cm="1">
        <f t="array" aca="1" ref="DF416" ca="1">IF(AND(INDEX(INDIRECT(BY407),DE416,4)&gt;=$AB413,INDEX(INDIRECT(BY407),DE416,5)&gt;=$S407,INDEX(INDIRECT(BY407),DE416,6)&gt;=$R407),1,0)</f>
        <v>#REF!</v>
      </c>
      <c r="DG416" s="4" t="e">
        <f t="shared" ref="DG416" ca="1" si="7413">MATCH(1,OFFSET(DF407:DF418,DH415,0,COUNT(DF407:DF418)-DH415),0)</f>
        <v>#REF!</v>
      </c>
      <c r="DH416" s="4" t="e">
        <f t="shared" ca="1" si="7277"/>
        <v>#REF!</v>
      </c>
      <c r="DI416" s="692" t="str" cm="1">
        <f t="array" aca="1" ref="DI416" ca="1">IFERROR(VLOOKUP(INDEX(DE407:DE418,DH416),INDIRECT(BY407),2,FALSE),"----")</f>
        <v>----</v>
      </c>
      <c r="DJ416" s="691" t="e">
        <f t="shared" ca="1" si="7278"/>
        <v>#N/A</v>
      </c>
      <c r="DK416" s="4" t="e">
        <f ca="1">IF(AND(INDEX(SSM,DJ416,4)&gt;=$AB413,INDEX(SSM,DJ416,5)&gt;=$S407,INDEX(SSM,DJ416,6)&gt;=$R407),1,0)</f>
        <v>#N/A</v>
      </c>
      <c r="DL416" s="4" t="e">
        <f t="shared" ref="DL416" ca="1" si="7414">MATCH(1,OFFSET(DK407:DK418,DM415,0,COUNT(DK407:DK418)-DM415),0)</f>
        <v>#REF!</v>
      </c>
      <c r="DM416" s="4" t="e">
        <f t="shared" ca="1" si="7280"/>
        <v>#REF!</v>
      </c>
      <c r="DN416" s="692" t="str">
        <f ca="1">IFERROR(IF(AD414="Nested Steel Stud (wood infill)",VLOOKUP(INDEX(DJ407:DJ418,DM416),SSW,2,FALSE),VLOOKUP(INDEX(DJ407:DJ418,DM416),SSM,2,FALSE)),"----")</f>
        <v>----</v>
      </c>
      <c r="DO416" s="691" t="e">
        <f t="shared" ca="1" si="7281"/>
        <v>#N/A</v>
      </c>
      <c r="DP416" s="4" t="e">
        <f ca="1">IF(AND(INDEX(WSM,DO416,4)&gt;=$AB413,INDEX(WSM,DO416,5)&gt;=$S407,INDEX(WSM,DO416,6)&gt;=$R407),1,0)</f>
        <v>#N/A</v>
      </c>
      <c r="DQ416" s="4" t="e">
        <f t="shared" ref="DQ416" ca="1" si="7415">MATCH(1,OFFSET(DP407:DP418,DR415,0,COUNT(DP407:DP418)-DR415),0)</f>
        <v>#REF!</v>
      </c>
      <c r="DR416" s="4" t="e">
        <f t="shared" ca="1" si="7283"/>
        <v>#REF!</v>
      </c>
      <c r="DS416" s="692" t="str">
        <f ca="1">IFERROR(VLOOKUP(INDEX(DO407:DO418,DR416),WSM,2,FALSE),"----")</f>
        <v>----</v>
      </c>
      <c r="DT416" s="691" t="e">
        <f t="shared" ca="1" si="7284"/>
        <v>#N/A</v>
      </c>
      <c r="DU416" s="4" t="e">
        <f ca="1">IF(AND(INDEX(STM,DT416,4)&gt;=$AB413,INDEX(STM,DT416,5)&gt;=$S407,INDEX(STM,DT416,6)&gt;=$R407),1,0)</f>
        <v>#N/A</v>
      </c>
      <c r="DV416" s="4" t="e">
        <f t="shared" ref="DV416" ca="1" si="7416">MATCH(1,OFFSET(DU407:DU418,DW415,0,COUNT(DU407:DU418)-DW415),0)</f>
        <v>#REF!</v>
      </c>
      <c r="DW416" s="4" t="e">
        <f t="shared" ca="1" si="7286"/>
        <v>#REF!</v>
      </c>
      <c r="DX416" s="692" t="str">
        <f ca="1">IFERROR(VLOOKUP(INDEX(DT407:DT418,DW416),STM,2,FALSE),"----")</f>
        <v>----</v>
      </c>
      <c r="DY416" s="691" t="e">
        <f t="shared" ca="1" si="7287"/>
        <v>#N/A</v>
      </c>
      <c r="DZ416" s="4" t="e">
        <f ca="1">IF(AND(INDEX(ELM,DY416,4)&gt;=$AB413,INDEX(ELM,DY416,5)&gt;=$S407,INDEX(ELM,DY416,6)&gt;=$R407),1,0)</f>
        <v>#N/A</v>
      </c>
      <c r="EA416" s="4" t="e">
        <f t="shared" ref="EA416" ca="1" si="7417">MATCH(1,OFFSET(DZ407:DZ418,EB415,0,COUNT(DZ407:DZ418)-EB415),0)</f>
        <v>#REF!</v>
      </c>
      <c r="EB416" s="4" t="e">
        <f t="shared" ca="1" si="7289"/>
        <v>#REF!</v>
      </c>
      <c r="EC416" s="692" t="str">
        <f ca="1">IFERROR(VLOOKUP(INDEX(DY407:DY418,EB416),ELM,2,FALSE),"----")</f>
        <v>----</v>
      </c>
      <c r="ED416" s="691" t="e">
        <f t="shared" ca="1" si="7290"/>
        <v>#N/A</v>
      </c>
      <c r="EE416" s="4" t="e">
        <f ca="1">IF(LEFT($J407,7)="Clad Wo",IF(AND(INDEX(SPPWS,ED416,4)&gt;=$AB413,INDEX(SPPWS,ED416,5)&gt;=$S407,INDEX(SPPWS,ED416,6)&gt;=$R407),1,0),IF(AND(INDEX(SPM,ED416,4)&gt;=$AB413,INDEX(SPM,ED416,5)&gt;=$S407,INDEX(SPM,ED416,6)&gt;=$R407),1,0))</f>
        <v>#N/A</v>
      </c>
      <c r="EF416" s="4" t="e">
        <f t="shared" ref="EF416" ca="1" si="7418">MATCH(1,OFFSET(EE407:EE418,EG415,0,COUNT(EE407:EE418)-EG415),0)</f>
        <v>#REF!</v>
      </c>
      <c r="EG416" s="4" t="e">
        <f t="shared" ca="1" si="7292"/>
        <v>#REF!</v>
      </c>
      <c r="EH416" s="692" t="str">
        <f ca="1">IF(LEFT($J407,7)="Clad Wo",IFERROR(VLOOKUP(INDEX(ED407:ED418,EG416),SPPWS,2,FALSE),"----"),IFERROR(VLOOKUP(INDEX(ED407:ED418,EG416),SPM,2,FALSE),"----"))</f>
        <v>----</v>
      </c>
    </row>
    <row r="417" spans="1:138" ht="15" customHeight="1" x14ac:dyDescent="0.25">
      <c r="A417" s="1085"/>
      <c r="B417" s="925"/>
      <c r="C417" s="926"/>
      <c r="D417" s="927"/>
      <c r="E417" s="995"/>
      <c r="F417" s="996"/>
      <c r="G417" s="997"/>
      <c r="H417" s="1062"/>
      <c r="I417" s="990"/>
      <c r="J417" s="902"/>
      <c r="K417" s="903"/>
      <c r="L417" s="1002"/>
      <c r="M417" s="923"/>
      <c r="N417" s="1042"/>
      <c r="O417" s="1018"/>
      <c r="P417" s="987"/>
      <c r="Q417" s="1015"/>
      <c r="R417" s="1012"/>
      <c r="S417" s="1006"/>
      <c r="T417" s="1007"/>
      <c r="U417" s="878"/>
      <c r="V417" s="881"/>
      <c r="W417" s="884"/>
      <c r="X417" s="884"/>
      <c r="Y417" s="887"/>
      <c r="Z417" s="887"/>
      <c r="AA417" s="887"/>
      <c r="AB417" s="1081"/>
      <c r="AC417" s="1078"/>
      <c r="AD417" s="1070" t="str">
        <f t="shared" si="7388"/>
        <v>Engineered Lumber</v>
      </c>
      <c r="AE417" s="1071"/>
      <c r="AF417" s="1052"/>
      <c r="AG417" s="1053"/>
      <c r="AH417" s="1053"/>
      <c r="AI417" s="1068"/>
      <c r="AJ417" s="1069"/>
      <c r="AK417" s="154" t="str">
        <f t="shared" ca="1" si="6208"/>
        <v/>
      </c>
      <c r="AL417" s="1059"/>
      <c r="AM417" s="344" t="str">
        <f ca="1">IFERROR(Q407/12*ROUND(VLOOKUP(AF417,OFFSET(ELM,0,1),6,FALSE),2),"")</f>
        <v/>
      </c>
      <c r="AN417" t="str">
        <f t="shared" ca="1" si="6226"/>
        <v/>
      </c>
      <c r="AP417" s="122" t="str">
        <f t="shared" ref="AP417" si="7419">_xlfn.CONCAT(AR417,AS418)</f>
        <v/>
      </c>
      <c r="AQ417" s="683" t="str">
        <f t="shared" si="6434"/>
        <v/>
      </c>
      <c r="AR417" s="4" t="str">
        <f t="shared" si="6193"/>
        <v/>
      </c>
      <c r="AS417" s="4"/>
      <c r="AT417" s="697" t="str">
        <f>AL413</f>
        <v/>
      </c>
      <c r="AU417" s="694" t="e">
        <f t="shared" ca="1" si="6450"/>
        <v>#REF!</v>
      </c>
      <c r="AV417" s="698" t="str">
        <f ca="1">IFERROR(VLOOKUP(AU417,INDIRECT(AQ407),2,FALSE),"----")</f>
        <v>----</v>
      </c>
      <c r="AW417" s="694" t="e">
        <f t="shared" ca="1" si="6451"/>
        <v>#REF!</v>
      </c>
      <c r="AX417" s="698" t="str">
        <f ca="1">IFERROR(VLOOKUP(AW417,INDIRECT(AQ408),2,FALSE),"----")</f>
        <v>----</v>
      </c>
      <c r="AY417" s="694" t="e">
        <f t="shared" ca="1" si="6210"/>
        <v>#REF!</v>
      </c>
      <c r="AZ417" s="698" t="str">
        <f ca="1">IFERROR(VLOOKUP(AY417,INDIRECT(AQ409),2,FALSE),"----")</f>
        <v>----</v>
      </c>
      <c r="BA417" s="694" t="e">
        <f t="shared" ca="1" si="6211"/>
        <v>#REF!</v>
      </c>
      <c r="BB417" s="698" t="str">
        <f ca="1">IFERROR(VLOOKUP(BA417,INDIRECT(AQ410),2,FALSE),"----")</f>
        <v>----</v>
      </c>
      <c r="BC417" s="694" t="e">
        <f t="shared" ca="1" si="6452"/>
        <v>#REF!</v>
      </c>
      <c r="BD417" s="698" t="str">
        <f ca="1">IFERROR(VLOOKUP(BC417,INDIRECT(AQ411),2,FALSE),"----")</f>
        <v>----</v>
      </c>
      <c r="BE417" s="694" t="e">
        <f t="shared" ca="1" si="6453"/>
        <v>#REF!</v>
      </c>
      <c r="BF417" s="698" t="str">
        <f ca="1">IFERROR(VLOOKUP(BE417,INDIRECT(AQ412),2,FALSE),"----")</f>
        <v>----</v>
      </c>
      <c r="BG417" s="702" t="e">
        <f t="shared" ca="1" si="6454"/>
        <v>#REF!</v>
      </c>
      <c r="BH417" s="686" t="str">
        <f ca="1">IFERROR(VLOOKUP(BG417,INDIRECT(AQ413),2,FALSE),"----")</f>
        <v>----</v>
      </c>
      <c r="BI417" s="702" t="e">
        <f t="shared" ca="1" si="6455"/>
        <v>#REF!</v>
      </c>
      <c r="BJ417" s="686" t="str">
        <f ca="1">IFERROR(VLOOKUP(BI417,INDIRECT(AQ414),2,FALSE),"----")</f>
        <v>----</v>
      </c>
      <c r="BK417" s="702" t="e">
        <f t="shared" ca="1" si="6456"/>
        <v>#REF!</v>
      </c>
      <c r="BL417" s="686" t="str">
        <f ca="1">IFERROR(VLOOKUP(BK417,INDIRECT(AQ415),2,FALSE),"----")</f>
        <v>----</v>
      </c>
      <c r="BM417" s="702" t="e">
        <f t="shared" ca="1" si="6457"/>
        <v>#REF!</v>
      </c>
      <c r="BN417" s="686" t="str">
        <f ca="1">IFERROR(VLOOKUP(BM417,INDIRECT(AQ416),2,FALSE),"----")</f>
        <v>----</v>
      </c>
      <c r="BO417" s="702" t="e">
        <f t="shared" ca="1" si="6458"/>
        <v>#REF!</v>
      </c>
      <c r="BP417" s="686" t="str">
        <f ca="1">IFERROR(VLOOKUP(BO417,INDIRECT(AQ417),2,FALSE),"----")</f>
        <v>----</v>
      </c>
      <c r="BQ417" s="702" t="e">
        <f t="shared" ca="1" si="6459"/>
        <v>#REF!</v>
      </c>
      <c r="BR417" s="686" t="str">
        <f ca="1">IFERROR(VLOOKUP(BQ417,INDIRECT(AQ418),2,FALSE),"----")</f>
        <v>----</v>
      </c>
      <c r="BS417" s="695">
        <f>IF(AI417="",1,IF(COUNTIF(BP407:BP418,AI417)=0,2,1))</f>
        <v>1</v>
      </c>
      <c r="BT417" s="696">
        <f>IF(AF417="",1,IF(BP407=".",2,1))</f>
        <v>1</v>
      </c>
      <c r="BU417" s="706"/>
      <c r="BV417" s="155">
        <f ca="1">IF(COUNTIF(EC407:EC418,AF417)=0,IF(AF417&lt;&gt;"",0,1),1)</f>
        <v>1</v>
      </c>
      <c r="BW417" s="157">
        <f ca="1">IFERROR(MATCH(AF417,EC407:EC418,0),1)</f>
        <v>1</v>
      </c>
      <c r="BX417" s="769"/>
      <c r="BY417" s="769"/>
      <c r="BZ417" s="1110"/>
      <c r="CA417" s="691" t="e">
        <f t="shared" ca="1" si="7257"/>
        <v>#REF!</v>
      </c>
      <c r="CB417" s="4" t="e" cm="1">
        <f t="array" aca="1" ref="CB417" ca="1">IF(AND(INDEX(INDIRECT(BY407),CA417,4)&gt;=$AB407,INDEX(INDIRECT(BY407),CA417,5)&gt;=$S407,INDEX(INDIRECT(BY407),CA417,6)&gt;=$R407),1,0)</f>
        <v>#REF!</v>
      </c>
      <c r="CC417" s="4" t="e">
        <f t="shared" ref="CC417" ca="1" si="7420">MATCH(1,OFFSET(CB407:CB418,CD416,0,COUNT(CB407:CB418)-CD416),0)</f>
        <v>#REF!</v>
      </c>
      <c r="CD417" s="4" t="e">
        <f t="shared" ca="1" si="7259"/>
        <v>#REF!</v>
      </c>
      <c r="CE417" s="692" t="str" cm="1">
        <f t="array" aca="1" ref="CE417" ca="1">IFERROR(VLOOKUP(INDEX(CA407:CA418,CD417),INDIRECT(BY407),2,FALSE),"----")</f>
        <v>----</v>
      </c>
      <c r="CF417" s="691" t="e">
        <f t="shared" ca="1" si="7260"/>
        <v>#N/A</v>
      </c>
      <c r="CG417" s="4" t="e">
        <f ca="1">IF(AND(INDEX(SSM,CF417,4)&gt;=$AB407,INDEX(SSM,CF417,5)&gt;=$S407,INDEX(SSM,CF417,6)&gt;=$R407),1,0)</f>
        <v>#N/A</v>
      </c>
      <c r="CH417" s="4" t="e">
        <f t="shared" ref="CH417" ca="1" si="7421">MATCH(1,OFFSET(CG407:CG418,CI416,0,COUNT(CG407:CG418)-CI416),0)</f>
        <v>#REF!</v>
      </c>
      <c r="CI417" s="4" t="e">
        <f t="shared" ca="1" si="7262"/>
        <v>#REF!</v>
      </c>
      <c r="CJ417" s="692" t="str">
        <f ca="1">IFERROR(IF(AD408="Nested Steel Stud (wood infill)",VLOOKUP(INDEX(CF407:CF418,CI417),SSW,2,FALSE),VLOOKUP(INDEX(CF407:CF418,CI417),SSM,2,FALSE)),"----")</f>
        <v>----</v>
      </c>
      <c r="CK417" s="691" t="e">
        <f t="shared" ca="1" si="7263"/>
        <v>#N/A</v>
      </c>
      <c r="CL417" s="4" t="e">
        <f ca="1">IF(AND(INDEX(WSM,CK417,4)&gt;=$AB407,INDEX(WSM,CK417,5)&gt;=$S407,INDEX(WSM,CK417,6)&gt;=$R407),1,0)</f>
        <v>#N/A</v>
      </c>
      <c r="CM417" s="4" t="e">
        <f t="shared" ref="CM417" ca="1" si="7422">MATCH(1,OFFSET(CL407:CL418,CN416,0,COUNT(CL407:CL418)-CN416),0)</f>
        <v>#REF!</v>
      </c>
      <c r="CN417" s="4" t="e">
        <f t="shared" ca="1" si="7265"/>
        <v>#REF!</v>
      </c>
      <c r="CO417" s="692" t="str">
        <f ca="1">IFERROR(VLOOKUP(INDEX(CK407:CK418,CN417),WSM,2,FALSE),"----")</f>
        <v>----</v>
      </c>
      <c r="CP417" s="691" t="e">
        <f t="shared" ca="1" si="7266"/>
        <v>#N/A</v>
      </c>
      <c r="CQ417" s="4" t="e">
        <f ca="1">IF(AND(INDEX(STM,CP417,4)&gt;=$AB407,INDEX(STM,CP417,5)&gt;=$S407,INDEX(STM,CP417,6)&gt;=$R407),1,0)</f>
        <v>#N/A</v>
      </c>
      <c r="CR417" s="4" t="e">
        <f t="shared" ref="CR417" ca="1" si="7423">MATCH(1,OFFSET(CQ407:CQ418,CS416,0,COUNT(CQ407:CQ418)-CS416),0)</f>
        <v>#REF!</v>
      </c>
      <c r="CS417" s="4" t="e">
        <f t="shared" ca="1" si="7268"/>
        <v>#REF!</v>
      </c>
      <c r="CT417" s="692" t="str">
        <f ca="1">IFERROR(VLOOKUP(INDEX(CP407:CP418,CS417),STM,2,FALSE),"----")</f>
        <v>----</v>
      </c>
      <c r="CU417" s="691" t="e">
        <f t="shared" ca="1" si="7269"/>
        <v>#N/A</v>
      </c>
      <c r="CV417" s="4" t="e">
        <f ca="1">IF(AND(INDEX(ELM,CU417,4)&gt;=$AB407,INDEX(ELM,CU417,5)&gt;=$S407,INDEX(ELM,CU417,6)&gt;=$R407),1,0)</f>
        <v>#N/A</v>
      </c>
      <c r="CW417" s="4" t="e">
        <f t="shared" ref="CW417" ca="1" si="7424">MATCH(1,OFFSET(CV407:CV418,CX416,0,COUNT(CV407:CV418)-CX416),0)</f>
        <v>#REF!</v>
      </c>
      <c r="CX417" s="4" t="e">
        <f t="shared" ca="1" si="7271"/>
        <v>#REF!</v>
      </c>
      <c r="CY417" s="692" t="str">
        <f ca="1">IFERROR(VLOOKUP(INDEX(CU407:CU418,CX417),ELM,2,FALSE),"----")</f>
        <v>----</v>
      </c>
      <c r="CZ417" s="691" t="e">
        <f t="shared" ca="1" si="7272"/>
        <v>#N/A</v>
      </c>
      <c r="DA417" s="4" t="e">
        <f ca="1">IF(LEFT($J407,7)="Clad Wo",IF(AND(INDEX(SPPWS,CZ417,4)&gt;=$AB407,INDEX(SPPWS,CZ417,5)&gt;=$S407,INDEX(SPPWS,CZ417,6)&gt;=$R407),1,0),IF(AND(INDEX(SPM,CZ417,4)&gt;=$AB407,INDEX(SPM,CZ417,5)&gt;=$S407,INDEX(SPM,CZ417,6)&gt;=$R407),1,0))</f>
        <v>#N/A</v>
      </c>
      <c r="DB417" s="4" t="e">
        <f t="shared" ref="DB417" ca="1" si="7425">MATCH(1,OFFSET(DA407:DA418,DC416,0,COUNT(DA407:DA418)-DC416),0)</f>
        <v>#REF!</v>
      </c>
      <c r="DC417" s="4" t="e">
        <f t="shared" ca="1" si="7274"/>
        <v>#REF!</v>
      </c>
      <c r="DD417" s="693" t="str">
        <f ca="1">IF(LEFT($J407,7)="Clad Wo",IFERROR(VLOOKUP(INDEX(CZ407:CZ418,DC417),SPPWS,2,FALSE),"----"),IFERROR(VLOOKUP(INDEX(CZ407:CZ418,DC417),SPM,2,FALSE),"----"))</f>
        <v>----</v>
      </c>
      <c r="DE417" s="691" t="e">
        <f t="shared" ca="1" si="7275"/>
        <v>#REF!</v>
      </c>
      <c r="DF417" s="4" t="e" cm="1">
        <f t="array" aca="1" ref="DF417" ca="1">IF(AND(INDEX(INDIRECT(BY407),DE417,4)&gt;=$AB413,INDEX(INDIRECT(BY407),DE417,5)&gt;=$S407,INDEX(INDIRECT(BY407),DE417,6)&gt;=$R407),1,0)</f>
        <v>#REF!</v>
      </c>
      <c r="DG417" s="4" t="e">
        <f t="shared" ref="DG417" ca="1" si="7426">MATCH(1,OFFSET(DF407:DF418,DH416,0,COUNT(DF407:DF418)-DH416),0)</f>
        <v>#REF!</v>
      </c>
      <c r="DH417" s="4" t="e">
        <f t="shared" ca="1" si="7277"/>
        <v>#REF!</v>
      </c>
      <c r="DI417" s="692" t="str" cm="1">
        <f t="array" aca="1" ref="DI417" ca="1">IFERROR(VLOOKUP(INDEX(DE407:DE418,DH417),INDIRECT(BY407),2,FALSE),"----")</f>
        <v>----</v>
      </c>
      <c r="DJ417" s="691" t="e">
        <f t="shared" ca="1" si="7278"/>
        <v>#N/A</v>
      </c>
      <c r="DK417" s="4" t="e">
        <f ca="1">IF(AND(INDEX(SSM,DJ417,4)&gt;=$AB413,INDEX(SSM,DJ417,5)&gt;=$S407,INDEX(SSM,DJ417,6)&gt;=$R407),1,0)</f>
        <v>#N/A</v>
      </c>
      <c r="DL417" s="4" t="e">
        <f t="shared" ref="DL417" ca="1" si="7427">MATCH(1,OFFSET(DK407:DK418,DM416,0,COUNT(DK407:DK418)-DM416),0)</f>
        <v>#REF!</v>
      </c>
      <c r="DM417" s="4" t="e">
        <f t="shared" ca="1" si="7280"/>
        <v>#REF!</v>
      </c>
      <c r="DN417" s="692" t="str">
        <f ca="1">IFERROR(IF(AD414="Nested Steel Stud (wood infill)",VLOOKUP(INDEX(DJ407:DJ418,DM417),SSW,2,FALSE),VLOOKUP(INDEX(DJ407:DJ418,DM417),SSM,2,FALSE)),"----")</f>
        <v>----</v>
      </c>
      <c r="DO417" s="691" t="e">
        <f t="shared" ca="1" si="7281"/>
        <v>#N/A</v>
      </c>
      <c r="DP417" s="4" t="e">
        <f ca="1">IF(AND(INDEX(WSM,DO417,4)&gt;=$AB413,INDEX(WSM,DO417,5)&gt;=$S407,INDEX(WSM,DO417,6)&gt;=$R407),1,0)</f>
        <v>#N/A</v>
      </c>
      <c r="DQ417" s="4" t="e">
        <f t="shared" ref="DQ417" ca="1" si="7428">MATCH(1,OFFSET(DP407:DP418,DR416,0,COUNT(DP407:DP418)-DR416),0)</f>
        <v>#REF!</v>
      </c>
      <c r="DR417" s="4" t="e">
        <f t="shared" ca="1" si="7283"/>
        <v>#REF!</v>
      </c>
      <c r="DS417" s="692" t="str">
        <f ca="1">IFERROR(VLOOKUP(INDEX(DO407:DO418,DR417),WSM,2,FALSE),"----")</f>
        <v>----</v>
      </c>
      <c r="DT417" s="691" t="e">
        <f t="shared" ca="1" si="7284"/>
        <v>#N/A</v>
      </c>
      <c r="DU417" s="4" t="e">
        <f ca="1">IF(AND(INDEX(STM,DT417,4)&gt;=$AB413,INDEX(STM,DT417,5)&gt;=$S407,INDEX(STM,DT417,6)&gt;=$R407),1,0)</f>
        <v>#N/A</v>
      </c>
      <c r="DV417" s="4" t="e">
        <f t="shared" ref="DV417" ca="1" si="7429">MATCH(1,OFFSET(DU407:DU418,DW416,0,COUNT(DU407:DU418)-DW416),0)</f>
        <v>#REF!</v>
      </c>
      <c r="DW417" s="4" t="e">
        <f t="shared" ca="1" si="7286"/>
        <v>#REF!</v>
      </c>
      <c r="DX417" s="692" t="str">
        <f ca="1">IFERROR(VLOOKUP(INDEX(DT407:DT418,DW417),STM,2,FALSE),"----")</f>
        <v>----</v>
      </c>
      <c r="DY417" s="691" t="e">
        <f t="shared" ca="1" si="7287"/>
        <v>#N/A</v>
      </c>
      <c r="DZ417" s="4" t="e">
        <f ca="1">IF(AND(INDEX(ELM,DY417,4)&gt;=$AB413,INDEX(ELM,DY417,5)&gt;=$S407,INDEX(ELM,DY417,6)&gt;=$R407),1,0)</f>
        <v>#N/A</v>
      </c>
      <c r="EA417" s="4" t="e">
        <f t="shared" ref="EA417" ca="1" si="7430">MATCH(1,OFFSET(DZ407:DZ418,EB416,0,COUNT(DZ407:DZ418)-EB416),0)</f>
        <v>#REF!</v>
      </c>
      <c r="EB417" s="4" t="e">
        <f t="shared" ca="1" si="7289"/>
        <v>#REF!</v>
      </c>
      <c r="EC417" s="692" t="str">
        <f ca="1">IFERROR(VLOOKUP(INDEX(DY407:DY418,EB417),ELM,2,FALSE),"----")</f>
        <v>----</v>
      </c>
      <c r="ED417" s="691" t="e">
        <f t="shared" ca="1" si="7290"/>
        <v>#N/A</v>
      </c>
      <c r="EE417" s="4" t="e">
        <f ca="1">IF(LEFT($J407,7)="Clad Wo",IF(AND(INDEX(SPPWS,ED417,4)&gt;=$AB413,INDEX(SPPWS,ED417,5)&gt;=$S407,INDEX(SPPWS,ED417,6)&gt;=$R407),1,0),IF(AND(INDEX(SPM,ED417,4)&gt;=$AB413,INDEX(SPM,ED417,5)&gt;=$S407,INDEX(SPM,ED417,6)&gt;=$R407),1,0))</f>
        <v>#N/A</v>
      </c>
      <c r="EF417" s="4" t="e">
        <f t="shared" ref="EF417" ca="1" si="7431">MATCH(1,OFFSET(EE407:EE418,EG416,0,COUNT(EE407:EE418)-EG416),0)</f>
        <v>#REF!</v>
      </c>
      <c r="EG417" s="4" t="e">
        <f t="shared" ca="1" si="7292"/>
        <v>#REF!</v>
      </c>
      <c r="EH417" s="692" t="str">
        <f ca="1">IF(LEFT($J407,7)="Clad Wo",IFERROR(VLOOKUP(INDEX(ED407:ED418,EG417),SPPWS,2,FALSE),"----"),IFERROR(VLOOKUP(INDEX(ED407:ED418,EG417),SPM,2,FALSE),"----"))</f>
        <v>----</v>
      </c>
    </row>
    <row r="418" spans="1:138" ht="15" customHeight="1" thickBot="1" x14ac:dyDescent="0.3">
      <c r="A418" s="1085"/>
      <c r="B418" s="928"/>
      <c r="C418" s="929"/>
      <c r="D418" s="930"/>
      <c r="E418" s="998"/>
      <c r="F418" s="999"/>
      <c r="G418" s="1000"/>
      <c r="H418" s="1063"/>
      <c r="I418" s="991"/>
      <c r="J418" s="904"/>
      <c r="K418" s="905"/>
      <c r="L418" s="1003"/>
      <c r="M418" s="1065"/>
      <c r="N418" s="1043"/>
      <c r="O418" s="1019"/>
      <c r="P418" s="988"/>
      <c r="Q418" s="1016"/>
      <c r="R418" s="1013"/>
      <c r="S418" s="1008"/>
      <c r="T418" s="1009"/>
      <c r="U418" s="879"/>
      <c r="V418" s="882"/>
      <c r="W418" s="885"/>
      <c r="X418" s="885"/>
      <c r="Y418" s="888"/>
      <c r="Z418" s="888"/>
      <c r="AA418" s="888"/>
      <c r="AB418" s="1082"/>
      <c r="AC418" s="1087"/>
      <c r="AD418" s="1098" t="str">
        <f t="shared" ref="AD418" si="7432">IF(LEFT(J407,7)="Clad Wo","Pella Wood Spr / Steel Pte","Steel Plate")</f>
        <v>Steel Plate</v>
      </c>
      <c r="AE418" s="1099"/>
      <c r="AF418" s="1096"/>
      <c r="AG418" s="1097"/>
      <c r="AH418" s="1097"/>
      <c r="AI418" s="1094"/>
      <c r="AJ418" s="1095"/>
      <c r="AK418" s="163" t="str">
        <f t="shared" ca="1" si="6208"/>
        <v/>
      </c>
      <c r="AL418" s="1060"/>
      <c r="AM418" s="345" t="str">
        <f ca="1">IFERROR(Q407/12*ROUND(VLOOKUP(AF418,OFFSET(SPM,0,1),6,FALSE),2),"")</f>
        <v/>
      </c>
      <c r="AN418" t="str">
        <f t="shared" ca="1" si="6226"/>
        <v/>
      </c>
      <c r="AP418" s="699" t="str">
        <f t="shared" ref="AP418" si="7433">_xlfn.CONCAT(AR418,AS418)</f>
        <v/>
      </c>
      <c r="AQ418" s="700" t="str">
        <f t="shared" si="6434"/>
        <v/>
      </c>
      <c r="AR418" s="160" t="str">
        <f t="shared" si="6193"/>
        <v/>
      </c>
      <c r="AS418" s="160" t="str">
        <f>IFERROR(VLOOKUP(J415, WallType,2,FALSE),"")</f>
        <v/>
      </c>
      <c r="AT418" s="707" t="str">
        <f>AL413</f>
        <v/>
      </c>
      <c r="AU418" s="708" t="e">
        <f t="shared" ca="1" si="6450"/>
        <v>#REF!</v>
      </c>
      <c r="AV418" s="709" t="str">
        <f ca="1">IFERROR(VLOOKUP(AU418,INDIRECT(AQ407),2,FALSE),"----")</f>
        <v>----</v>
      </c>
      <c r="AW418" s="710" t="e">
        <f t="shared" ca="1" si="6451"/>
        <v>#REF!</v>
      </c>
      <c r="AX418" s="709" t="str">
        <f ca="1">IFERROR(VLOOKUP(AW418,INDIRECT(AQ408),2,FALSE),"----")</f>
        <v>----</v>
      </c>
      <c r="AY418" s="710" t="e">
        <f t="shared" ca="1" si="6210"/>
        <v>#REF!</v>
      </c>
      <c r="AZ418" s="709" t="str">
        <f ca="1">IFERROR(VLOOKUP(AY418,INDIRECT(AQ409),2,FALSE),"----")</f>
        <v>----</v>
      </c>
      <c r="BA418" s="710" t="e">
        <f t="shared" ca="1" si="6211"/>
        <v>#REF!</v>
      </c>
      <c r="BB418" s="709" t="str">
        <f ca="1">IFERROR(VLOOKUP(BA418,INDIRECT(AQ410),2,FALSE),"----")</f>
        <v>----</v>
      </c>
      <c r="BC418" s="710" t="e">
        <f t="shared" ca="1" si="6452"/>
        <v>#REF!</v>
      </c>
      <c r="BD418" s="709" t="str">
        <f ca="1">IFERROR(VLOOKUP(BC418,INDIRECT(AQ411),2,FALSE),"----")</f>
        <v>----</v>
      </c>
      <c r="BE418" s="710" t="e">
        <f t="shared" ca="1" si="6453"/>
        <v>#REF!</v>
      </c>
      <c r="BF418" s="709" t="str">
        <f ca="1">IFERROR(VLOOKUP(BE418,INDIRECT(AQ412),2,FALSE),"----")</f>
        <v>----</v>
      </c>
      <c r="BG418" s="710" t="e">
        <f t="shared" ca="1" si="6454"/>
        <v>#REF!</v>
      </c>
      <c r="BH418" s="711" t="str">
        <f ca="1">IFERROR(VLOOKUP(BG418,INDIRECT(AQ413),2,FALSE),"----")</f>
        <v>----</v>
      </c>
      <c r="BI418" s="710" t="e">
        <f t="shared" ca="1" si="6455"/>
        <v>#REF!</v>
      </c>
      <c r="BJ418" s="711" t="str">
        <f ca="1">IFERROR(VLOOKUP(BI418,INDIRECT(AQ414),2,FALSE),"----")</f>
        <v>----</v>
      </c>
      <c r="BK418" s="710" t="e">
        <f t="shared" ca="1" si="6456"/>
        <v>#REF!</v>
      </c>
      <c r="BL418" s="711" t="str">
        <f ca="1">IFERROR(VLOOKUP(BK418,INDIRECT(AQ415),2,FALSE),"----")</f>
        <v>----</v>
      </c>
      <c r="BM418" s="710" t="e">
        <f t="shared" ca="1" si="6457"/>
        <v>#REF!</v>
      </c>
      <c r="BN418" s="711" t="str">
        <f ca="1">IFERROR(VLOOKUP(BM418,INDIRECT(AQ416),2,FALSE),"----")</f>
        <v>----</v>
      </c>
      <c r="BO418" s="710" t="e">
        <f t="shared" ca="1" si="6458"/>
        <v>#REF!</v>
      </c>
      <c r="BP418" s="711" t="str">
        <f ca="1">IFERROR(VLOOKUP(BO418,INDIRECT(AQ417),2,FALSE),"----")</f>
        <v>----</v>
      </c>
      <c r="BQ418" s="710" t="e">
        <f t="shared" ca="1" si="6459"/>
        <v>#REF!</v>
      </c>
      <c r="BR418" s="712" t="str">
        <f ca="1">IFERROR(VLOOKUP(BQ418,INDIRECT(AQ418),2,FALSE),"----")</f>
        <v>----</v>
      </c>
      <c r="BS418" s="695">
        <f>IF(AI418="",1,IF(COUNTIF(BR407:BR418,AI418)=0,2,1))</f>
        <v>1</v>
      </c>
      <c r="BT418" s="713">
        <f>IF(AF418="",1,IF(BR407=".",2,1))</f>
        <v>1</v>
      </c>
      <c r="BV418" s="155">
        <f ca="1">IF(COUNTIF(EH407:EH418,AF418)=0,IF(AF418&lt;&gt;"",0,1),1)</f>
        <v>1</v>
      </c>
      <c r="BW418" s="157">
        <f ca="1">IFERROR(MATCH(AF418,EH407:EH418,0),1)</f>
        <v>1</v>
      </c>
      <c r="BX418" s="718"/>
      <c r="BY418" s="777"/>
      <c r="BZ418" s="1110"/>
      <c r="CA418" s="714" t="e">
        <f t="shared" ca="1" si="7257"/>
        <v>#REF!</v>
      </c>
      <c r="CB418" s="715" t="e" cm="1">
        <f t="array" aca="1" ref="CB418" ca="1">IF(AND(INDEX(INDIRECT(BY407),CA418,4)&gt;=$AB407,INDEX(INDIRECT(BY407),CA418,5)&gt;=$S407,INDEX(INDIRECT(BY407),CA418,6)&gt;=$R407),1,0)</f>
        <v>#REF!</v>
      </c>
      <c r="CC418" s="715" t="e">
        <f t="shared" ref="CC418" ca="1" si="7434">MATCH(1,OFFSET(CB407:CB418,CD417,0,COUNT(CB407:CB418)-CD417),0)</f>
        <v>#REF!</v>
      </c>
      <c r="CD418" s="715" t="e">
        <f t="shared" ca="1" si="7259"/>
        <v>#REF!</v>
      </c>
      <c r="CE418" s="716" t="str" cm="1">
        <f t="array" aca="1" ref="CE418" ca="1">IFERROR(VLOOKUP(INDEX(CA407:CA418,CD418),INDIRECT(BY407),2,FALSE),"----")</f>
        <v>----</v>
      </c>
      <c r="CF418" s="714" t="e">
        <f t="shared" ca="1" si="7260"/>
        <v>#N/A</v>
      </c>
      <c r="CG418" s="715" t="e">
        <f ca="1">IF(AND(INDEX(SSM,CF418,4)&gt;=$AB407,INDEX(SSM,CF418,5)&gt;=$S407,INDEX(SSM,CF418,6)&gt;=$R407),1,0)</f>
        <v>#N/A</v>
      </c>
      <c r="CH418" s="715" t="e">
        <f t="shared" ref="CH418" ca="1" si="7435">MATCH(1,OFFSET(CG407:CG418,CI417,0,COUNT(CG407:CG418)-CI417),0)</f>
        <v>#REF!</v>
      </c>
      <c r="CI418" s="715" t="e">
        <f t="shared" ca="1" si="7262"/>
        <v>#REF!</v>
      </c>
      <c r="CJ418" s="716" t="str">
        <f ca="1">IFERROR(IF(AD408="Nested Steel Stud (wood infill)",VLOOKUP(INDEX(CF407:CF418,CI418),SSW,2,FALSE),VLOOKUP(INDEX(CF407:CF418,CI418),SSM,2,FALSE)),"----")</f>
        <v>----</v>
      </c>
      <c r="CK418" s="714" t="e">
        <f t="shared" ca="1" si="7263"/>
        <v>#N/A</v>
      </c>
      <c r="CL418" s="715" t="e">
        <f ca="1">IF(AND(INDEX(WSM,CK418,4)&gt;=$AB407,INDEX(WSM,CK418,5)&gt;=$S407,INDEX(WSM,CK418,6)&gt;=$R407),1,0)</f>
        <v>#N/A</v>
      </c>
      <c r="CM418" s="715" t="e">
        <f t="shared" ref="CM418" ca="1" si="7436">MATCH(1,OFFSET(CL407:CL418,CN417,0,COUNT(CL407:CL418)-CN417),0)</f>
        <v>#REF!</v>
      </c>
      <c r="CN418" s="715" t="e">
        <f t="shared" ca="1" si="7265"/>
        <v>#REF!</v>
      </c>
      <c r="CO418" s="716" t="str">
        <f ca="1">IFERROR(VLOOKUP(INDEX(CK407:CK418,CN418),WSM,2,FALSE),"----")</f>
        <v>----</v>
      </c>
      <c r="CP418" s="714" t="e">
        <f t="shared" ca="1" si="7266"/>
        <v>#N/A</v>
      </c>
      <c r="CQ418" s="715" t="e">
        <f ca="1">IF(AND(INDEX(STM,CP418,4)&gt;=$AB407,INDEX(STM,CP418,5)&gt;=$S407,INDEX(STM,CP418,6)&gt;=$R407),1,0)</f>
        <v>#N/A</v>
      </c>
      <c r="CR418" s="715" t="e">
        <f t="shared" ref="CR418" ca="1" si="7437">MATCH(1,OFFSET(CQ407:CQ418,CS417,0,COUNT(CQ407:CQ418)-CS417),0)</f>
        <v>#REF!</v>
      </c>
      <c r="CS418" s="715" t="e">
        <f t="shared" ca="1" si="7268"/>
        <v>#REF!</v>
      </c>
      <c r="CT418" s="716" t="str">
        <f ca="1">IFERROR(VLOOKUP(INDEX(CP407:CP418,CS418),STM,2,FALSE),"----")</f>
        <v>----</v>
      </c>
      <c r="CU418" s="714" t="e">
        <f t="shared" ca="1" si="7269"/>
        <v>#N/A</v>
      </c>
      <c r="CV418" s="715" t="e">
        <f ca="1">IF(AND(INDEX(ELM,CU418,4)&gt;=$AB407,INDEX(ELM,CU418,5)&gt;=$S407,INDEX(ELM,CU418,6)&gt;=$R407),1,0)</f>
        <v>#N/A</v>
      </c>
      <c r="CW418" s="715" t="e">
        <f t="shared" ref="CW418" ca="1" si="7438">MATCH(1,OFFSET(CV407:CV418,CX417,0,COUNT(CV407:CV418)-CX417),0)</f>
        <v>#REF!</v>
      </c>
      <c r="CX418" s="715" t="e">
        <f t="shared" ca="1" si="7271"/>
        <v>#REF!</v>
      </c>
      <c r="CY418" s="716" t="str">
        <f ca="1">IFERROR(VLOOKUP(INDEX(CU407:CU418,CX418),ELM,2,FALSE),"----")</f>
        <v>----</v>
      </c>
      <c r="CZ418" s="714" t="e">
        <f t="shared" ca="1" si="7272"/>
        <v>#N/A</v>
      </c>
      <c r="DA418" s="715" t="e">
        <f ca="1">IF(LEFT($J407,7)="Clad Wo",IF(AND(INDEX(SPPWS,CZ418,4)&gt;=$AB407,INDEX(SPPWS,CZ418,5)&gt;=$S407,INDEX(SPPWS,CZ418,6)&gt;=$R407),1,0),IF(AND(INDEX(SPM,CZ418,4)&gt;=$AB407,INDEX(SPM,CZ418,5)&gt;=$S407,INDEX(SPM,CZ418,6)&gt;=$R407),1,0))</f>
        <v>#N/A</v>
      </c>
      <c r="DB418" s="715" t="e">
        <f t="shared" ref="DB418" ca="1" si="7439">MATCH(1,OFFSET(DA407:DA418,DC417,0,COUNT(DA407:DA418)-DC417),0)</f>
        <v>#REF!</v>
      </c>
      <c r="DC418" s="715" t="e">
        <f t="shared" ca="1" si="7274"/>
        <v>#REF!</v>
      </c>
      <c r="DD418" s="717" t="str">
        <f ca="1">IF(LEFT($J407,7)="Clad Wo",IFERROR(VLOOKUP(INDEX(CZ407:CZ418,DC418),SPPWS,2,FALSE),"----"),IFERROR(VLOOKUP(INDEX(CZ407:CZ418,DC418),SPM,2,FALSE),"----"))</f>
        <v>----</v>
      </c>
      <c r="DE418" s="714" t="e">
        <f t="shared" ca="1" si="7275"/>
        <v>#REF!</v>
      </c>
      <c r="DF418" s="715" t="e" cm="1">
        <f t="array" aca="1" ref="DF418" ca="1">IF(AND(INDEX(INDIRECT(BY407),DE418,4)&gt;=$AB413,INDEX(INDIRECT(BY407),DE418,5)&gt;=$S407,INDEX(INDIRECT(BY407),DE418,6)&gt;=$R407),1,0)</f>
        <v>#REF!</v>
      </c>
      <c r="DG418" s="715" t="e">
        <f t="shared" ref="DG418" ca="1" si="7440">MATCH(1,OFFSET(DF407:DF418,DH417,0,COUNT(DF407:DF418)-DH417),0)</f>
        <v>#REF!</v>
      </c>
      <c r="DH418" s="715" t="e">
        <f t="shared" ca="1" si="7277"/>
        <v>#REF!</v>
      </c>
      <c r="DI418" s="716" t="str" cm="1">
        <f t="array" aca="1" ref="DI418" ca="1">IFERROR(VLOOKUP(INDEX(DE407:DE418,DH418),INDIRECT(BY407),2,FALSE),"----")</f>
        <v>----</v>
      </c>
      <c r="DJ418" s="714" t="e">
        <f t="shared" ca="1" si="7278"/>
        <v>#N/A</v>
      </c>
      <c r="DK418" s="715" t="e">
        <f ca="1">IF(AND(INDEX(SSM,DJ418,4)&gt;=$AB413,INDEX(SSM,DJ418,5)&gt;=$S407,INDEX(SSM,DJ418,6)&gt;=$R407),1,0)</f>
        <v>#N/A</v>
      </c>
      <c r="DL418" s="715" t="e">
        <f t="shared" ref="DL418" ca="1" si="7441">MATCH(1,OFFSET(DK407:DK418,DM417,0,COUNT(DK407:DK418)-DM417),0)</f>
        <v>#REF!</v>
      </c>
      <c r="DM418" s="715" t="e">
        <f t="shared" ca="1" si="7280"/>
        <v>#REF!</v>
      </c>
      <c r="DN418" s="716" t="str">
        <f ca="1">IFERROR(IF(AD414="Nested Steel Stud (wood infill)",VLOOKUP(INDEX(DJ407:DJ418,DM418),SSW,2,FALSE),VLOOKUP(INDEX(DJ407:DJ418,DM418),SSM,2,FALSE)),"----")</f>
        <v>----</v>
      </c>
      <c r="DO418" s="714" t="e">
        <f t="shared" ca="1" si="7281"/>
        <v>#N/A</v>
      </c>
      <c r="DP418" s="715" t="e">
        <f ca="1">IF(AND(INDEX(WSM,DO418,4)&gt;=$AB413,INDEX(WSM,DO418,5)&gt;=$S407,INDEX(WSM,DO418,6)&gt;=$R407),1,0)</f>
        <v>#N/A</v>
      </c>
      <c r="DQ418" s="715" t="e">
        <f t="shared" ref="DQ418" ca="1" si="7442">MATCH(1,OFFSET(DP407:DP418,DR417,0,COUNT(DP407:DP418)-DR417),0)</f>
        <v>#REF!</v>
      </c>
      <c r="DR418" s="715" t="e">
        <f t="shared" ca="1" si="7283"/>
        <v>#REF!</v>
      </c>
      <c r="DS418" s="716" t="str">
        <f ca="1">IFERROR(VLOOKUP(INDEX(DO407:DO418,DR418),WSM,2,FALSE),"----")</f>
        <v>----</v>
      </c>
      <c r="DT418" s="714" t="e">
        <f t="shared" ca="1" si="7284"/>
        <v>#N/A</v>
      </c>
      <c r="DU418" s="715" t="e">
        <f ca="1">IF(AND(INDEX(STM,DT418,4)&gt;=$AB413,INDEX(STM,DT418,5)&gt;=$S407,INDEX(STM,DT418,6)&gt;=$R407),1,0)</f>
        <v>#N/A</v>
      </c>
      <c r="DV418" s="715" t="e">
        <f t="shared" ref="DV418" ca="1" si="7443">MATCH(1,OFFSET(DU407:DU418,DW417,0,COUNT(DU407:DU418)-DW417),0)</f>
        <v>#REF!</v>
      </c>
      <c r="DW418" s="715" t="e">
        <f t="shared" ca="1" si="7286"/>
        <v>#REF!</v>
      </c>
      <c r="DX418" s="716" t="str">
        <f ca="1">IFERROR(VLOOKUP(INDEX(DT407:DT418,DW418),STM,2,FALSE),"----")</f>
        <v>----</v>
      </c>
      <c r="DY418" s="714" t="e">
        <f t="shared" ca="1" si="7287"/>
        <v>#N/A</v>
      </c>
      <c r="DZ418" s="715" t="e">
        <f ca="1">IF(AND(INDEX(ELM,DY418,4)&gt;=$AB413,INDEX(ELM,DY418,5)&gt;=$S407,INDEX(ELM,DY418,6)&gt;=$R407),1,0)</f>
        <v>#N/A</v>
      </c>
      <c r="EA418" s="715" t="e">
        <f t="shared" ref="EA418" ca="1" si="7444">MATCH(1,OFFSET(DZ407:DZ418,EB417,0,COUNT(DZ407:DZ418)-EB417),0)</f>
        <v>#REF!</v>
      </c>
      <c r="EB418" s="715" t="e">
        <f t="shared" ca="1" si="7289"/>
        <v>#REF!</v>
      </c>
      <c r="EC418" s="716" t="str">
        <f ca="1">IFERROR(VLOOKUP(INDEX(DY407:DY418,EB418),ELM,2,FALSE),"----")</f>
        <v>----</v>
      </c>
      <c r="ED418" s="714" t="e">
        <f t="shared" ca="1" si="7290"/>
        <v>#N/A</v>
      </c>
      <c r="EE418" s="715" t="e">
        <f ca="1">IF(LEFT($J407,7)="Clad Wo",IF(AND(INDEX(SPPWS,ED418,4)&gt;=$AB413,INDEX(SPPWS,ED418,5)&gt;=$S407,INDEX(SPPWS,ED418,6)&gt;=$R407),1,0),IF(AND(INDEX(SPM,ED418,4)&gt;=$AB413,INDEX(SPM,ED418,5)&gt;=$S407,INDEX(SPM,ED418,6)&gt;=$R407),1,0))</f>
        <v>#N/A</v>
      </c>
      <c r="EF418" s="715" t="e">
        <f t="shared" ref="EF418" ca="1" si="7445">MATCH(1,OFFSET(EE407:EE418,EG417,0,COUNT(EE407:EE418)-EG417),0)</f>
        <v>#REF!</v>
      </c>
      <c r="EG418" s="715" t="e">
        <f t="shared" ca="1" si="7292"/>
        <v>#REF!</v>
      </c>
      <c r="EH418" s="716" t="str">
        <f ca="1">IF(LEFT($J407,7)="Clad Wo",IFERROR(VLOOKUP(INDEX(ED407:ED418,EG418),SPPWS,2,FALSE),"----"),IFERROR(VLOOKUP(INDEX(ED407:ED418,EG418),SPM,2,FALSE),"----"))</f>
        <v>----</v>
      </c>
    </row>
    <row r="419" spans="1:138" ht="15" customHeight="1" thickTop="1" x14ac:dyDescent="0.25">
      <c r="A419" s="1085"/>
      <c r="B419" s="931" t="s">
        <v>92</v>
      </c>
      <c r="C419" s="932"/>
      <c r="D419" s="933"/>
      <c r="E419" s="992"/>
      <c r="F419" s="993"/>
      <c r="G419" s="994"/>
      <c r="H419" s="1061"/>
      <c r="I419" s="989"/>
      <c r="J419" s="906"/>
      <c r="K419" s="907"/>
      <c r="L419" s="1001">
        <f>$W$3</f>
        <v>4</v>
      </c>
      <c r="M419" s="923" t="str">
        <f t="shared" ref="M419" si="7446">IFERROR(IF($AE$13="",IF($AG$19="Wind Loading",MIN($V$31,IF(E$11="ASCE 7-05",$U$26,$V$7)*$V$9*(IF($E$12&lt;60,0.0771*LN(MAX(MIN(500,O419),10)) -1.2737,IF($E$11="ASCE 7-22",0.0524*LN(MAX(MIN(500,O419),50))-1.0278,0.0614*LN(MAX(MIN(500,O419),20)) -1.0829))-$V$8)),$V$7*IF(E$12&lt;60,$V$13*($V$15*0.0771*LN(MAX(MIN(500,O419),10))-1.2737-$V$16),$V$13*$V$15*((0.0524*LN(MAX(MIN(500,O419),20))-1.0278)-$V$16))),-ABS($AE$13)),"")</f>
        <v/>
      </c>
      <c r="N419" s="1042" t="str">
        <f t="shared" ref="N419" si="7447">IFERROR(IF($AE$15="",IF($AG$19="Wind Loading",MAX($U$31,IF(E$11="ASCE 7-05",$U$26,$V$7)*$V$9*((IF($E$12&lt;60,-0.077*LN(MAX(MIN(500,O419),10))+1.1737,IF($E$11="ASCE 7-22",-0.077*LN(MAX(MIN(500,O419),20))+1.0798,-0.093*LN(MAX(MIN(500,O419),20))+1.1776)))+$V$8)),$V$7*IF(E$12&lt;60,$V$13*($V$15*(-0.077*LN(MAX(MIN(500,O419),10))+1.1737)-$V$17),$V$13*$V$15*((-0.077*LN(MAX(MIN(500,O419),20))+1.0798)-$V$17))),ABS($AE$15)),"")</f>
        <v/>
      </c>
      <c r="O419" s="1017" t="str">
        <f>IF(BX426=0,"",IF(AG$14="Trapezoidal",BY426,BX426))</f>
        <v/>
      </c>
      <c r="P419" s="986"/>
      <c r="Q419" s="1014"/>
      <c r="R419" s="1011">
        <f>P419*Q419/8</f>
        <v>0</v>
      </c>
      <c r="S419" s="1004">
        <f t="shared" ref="S419" si="7448">IF(5*(P419*Q419^3/(384*0.125))=0,0,5*(P419*Q419^3/(384*0.125)))</f>
        <v>0</v>
      </c>
      <c r="T419" s="1005"/>
      <c r="U419" s="877" t="e">
        <f ca="1">VLOOKUP(J423,INDIRECT(VLOOKUP(J419,FrameStrength,2,FALSE)),3,FALSE)</f>
        <v>#N/A</v>
      </c>
      <c r="V419" s="880">
        <f t="shared" ref="V419" si="7449">(H419+I419)/2</f>
        <v>0</v>
      </c>
      <c r="W419" s="883" t="e">
        <f t="shared" ref="W419" si="7450">MAX(-M419,N419)*O419</f>
        <v>#VALUE!</v>
      </c>
      <c r="X419" s="883">
        <f t="shared" ref="X419" si="7451">IF(E419&gt;162,(E419/240+0.25),IF(AND(E419&lt;162,E419/175&lt;0.75),E419/175,0.75))</f>
        <v>0</v>
      </c>
      <c r="Y419" s="886">
        <f>IFERROR(IF(AG$14="Trapezoidal",BY427,BX427)+IF($E$17="4",(400*E419^3)/(48*X419),0),0)</f>
        <v>0</v>
      </c>
      <c r="Z419" s="886" t="e">
        <f t="shared" ref="Z419" si="7452">+($V419*MAX(-$M419,$N419)*$E419^2)/(144*8)+IF($E$17=4,(400*$E419)/4,0)</f>
        <v>#VALUE!</v>
      </c>
      <c r="AA419" s="886" t="e">
        <f ca="1">VLOOKUP(J423,INDIRECT(VLOOKUP(J419,FrameStrength,2,FALSE)),2,FALSE)</f>
        <v>#N/A</v>
      </c>
      <c r="AB419" s="1083" t="str">
        <f t="shared" ref="AB419" ca="1" si="7453">IFERROR(Z419-AA419,"")</f>
        <v/>
      </c>
      <c r="AC419" s="1077" t="str">
        <f t="shared" ref="AC419" ca="1" si="7454">IFERROR(Y419-U419,"")</f>
        <v/>
      </c>
      <c r="AD419" s="1100" t="str">
        <f>IFERROR(IF(LEFT(J423,2)="As",VLOOKUP(J423,EIMM,4,FALSE),VLOOKUP(J419,EIMM,4,FALSE)),IF(AND(ISNUMBER(SEARCH("Impervia",J419)),ISNUMBER(SEARCH("door",J423))),'New Lookup Cells'!AF$10,IF(ISNUMBER(SEARCH("Impervia",J419)),'New Lookup Cells'!AF$7,IF(AND(ISNUMBER(SEARCH("250",J419)),ISNUMBER(SEARCH("door",J423))),'New Lookup Cells'!AF$14,IF(ISNUMBER(SEARCH("250",J419)),'New Lookup Cells'!AF$13,"")))))</f>
        <v/>
      </c>
      <c r="AE419" s="1101"/>
      <c r="AF419" s="1050"/>
      <c r="AG419" s="1051"/>
      <c r="AH419" s="1051"/>
      <c r="AI419" s="1088"/>
      <c r="AJ419" s="1089"/>
      <c r="AK419" s="154" t="str">
        <f t="shared" ca="1" si="6208"/>
        <v/>
      </c>
      <c r="AL419" s="1038" t="str">
        <f t="shared" ref="AL419" si="7455">IFERROR(ROUND(SQRT(P419^2+(W419/2+IF($E$17=4,200,0))^2),0),"")</f>
        <v/>
      </c>
      <c r="AM419" s="342" t="s">
        <v>669</v>
      </c>
      <c r="AN419" t="str">
        <f t="shared" ca="1" si="6226"/>
        <v/>
      </c>
      <c r="AP419" s="122" t="str">
        <f t="shared" ref="AP419" si="7456">_xlfn.CONCAT(AR419,AS424)</f>
        <v/>
      </c>
      <c r="AQ419" s="683" t="str">
        <f t="shared" si="6434"/>
        <v/>
      </c>
      <c r="AR419" s="96" t="str">
        <f t="shared" ref="AR419:AR482" si="7457">IFERROR(VLOOKUP(AF419,MullList,2,FALSE),"")</f>
        <v/>
      </c>
      <c r="AS419" s="96" t="str">
        <f>IF(COUNTIF(imp_1,AF419)=1,"imp_1",IF(COUNTIF(imp_2,AF419)=1,"imp_2",IF(COUNTIF(imp_3,AF419)=1,"imp_3",IF(COUNTIF(impdoor,AF419)=1,"impdoor",""))))</f>
        <v/>
      </c>
      <c r="AT419" s="684" t="str">
        <f>AL419</f>
        <v/>
      </c>
      <c r="AU419" s="685" t="e">
        <f ca="1">MATCH(AL419,INDIRECT(AP419),-1)</f>
        <v>#REF!</v>
      </c>
      <c r="AV419" s="686" t="str">
        <f ca="1">IFERROR(VLOOKUP(AU419,INDIRECT(AQ419),2,FALSE),"----")</f>
        <v>----</v>
      </c>
      <c r="AW419" s="685" t="e">
        <f ca="1">MATCH(AL419,INDIRECT(AP420),-1)</f>
        <v>#REF!</v>
      </c>
      <c r="AX419" s="686" t="str">
        <f ca="1">IFERROR(VLOOKUP(AW419,INDIRECT(AQ420),2,FALSE),"----")</f>
        <v>----</v>
      </c>
      <c r="AY419" s="685" t="e">
        <f ca="1">MATCH(AL419,INDIRECT(AP421),-1)</f>
        <v>#REF!</v>
      </c>
      <c r="AZ419" s="686" t="str">
        <f ca="1">IFERROR(VLOOKUP(AY419,INDIRECT(AQ421),2,FALSE),"----")</f>
        <v>----</v>
      </c>
      <c r="BA419" s="685" t="e">
        <f ca="1">MATCH(AL419,INDIRECT(AP422),-1)</f>
        <v>#REF!</v>
      </c>
      <c r="BB419" s="686" t="str">
        <f ca="1">IFERROR(VLOOKUP(BA419,INDIRECT(AQ422),2,FALSE),"----")</f>
        <v>----</v>
      </c>
      <c r="BC419" s="685" t="e">
        <f ca="1">MATCH(AL419,INDIRECT(AP423),-1)</f>
        <v>#REF!</v>
      </c>
      <c r="BD419" s="686" t="str">
        <f ca="1">IFERROR(VLOOKUP(BC419,INDIRECT(AQ423),2,FALSE),"----")</f>
        <v>----</v>
      </c>
      <c r="BE419" s="685" t="e">
        <f ca="1">MATCH(AL419,INDIRECT(AP424),-1)</f>
        <v>#REF!</v>
      </c>
      <c r="BF419" s="686" t="str">
        <f ca="1">IFERROR(VLOOKUP(BE419,INDIRECT(AQ424),2,FALSE),"----")</f>
        <v>----</v>
      </c>
      <c r="BG419" s="685" t="e">
        <f ca="1">MATCH(AL425,INDIRECT(AP425),-1)</f>
        <v>#REF!</v>
      </c>
      <c r="BH419" s="686" t="str">
        <f ca="1">IFERROR(VLOOKUP(BG419,INDIRECT(AQ425),2,FALSE),"----")</f>
        <v>----</v>
      </c>
      <c r="BI419" s="685" t="e">
        <f ca="1">MATCH(AL425,INDIRECT(AP426),-1)</f>
        <v>#REF!</v>
      </c>
      <c r="BJ419" s="686" t="str">
        <f ca="1">IFERROR(VLOOKUP(BI419,INDIRECT(AQ426),2,FALSE),"----")</f>
        <v>----</v>
      </c>
      <c r="BK419" s="685" t="e">
        <f ca="1">MATCH(AL425,INDIRECT(AP427),-1)</f>
        <v>#REF!</v>
      </c>
      <c r="BL419" s="686" t="str">
        <f ca="1">IFERROR(VLOOKUP(BK419,INDIRECT(AQ427),2,FALSE),"----")</f>
        <v>----</v>
      </c>
      <c r="BM419" s="685" t="e">
        <f ca="1">MATCH(AL425,INDIRECT(AP428),-1)</f>
        <v>#REF!</v>
      </c>
      <c r="BN419" s="686" t="str">
        <f ca="1">IFERROR(VLOOKUP(BM419,INDIRECT(AQ428),2,FALSE),"----")</f>
        <v>----</v>
      </c>
      <c r="BO419" s="685" t="e">
        <f ca="1">MATCH(AL425,INDIRECT(AP429),-1)</f>
        <v>#REF!</v>
      </c>
      <c r="BP419" s="686" t="str">
        <f ca="1">IFERROR(VLOOKUP(BO419,INDIRECT(AQ429),2,FALSE),"----")</f>
        <v>----</v>
      </c>
      <c r="BQ419" s="685" t="e">
        <f ca="1">MATCH(AL425,INDIRECT(AP430),-1)</f>
        <v>#REF!</v>
      </c>
      <c r="BR419" s="686" t="str">
        <f ca="1">IFERROR(VLOOKUP(BQ419,INDIRECT(AQ430),2,FALSE),"----")</f>
        <v>----</v>
      </c>
      <c r="BS419" s="687">
        <f>IF(AI419="",1,IF(COUNTIF(AV419:AV430,AI419)=0,2,1))</f>
        <v>1</v>
      </c>
      <c r="BT419" s="688">
        <f>IF(AP419="1",1,IF(AF419="",1,IF(AV419=".",2,1)))</f>
        <v>1</v>
      </c>
      <c r="BU419" s="706"/>
      <c r="BV419" s="155">
        <f ca="1">IF(COUNTIF(CE419:CE430,AF419)=0,IF(AF419&lt;&gt;"",0,1),1)</f>
        <v>1</v>
      </c>
      <c r="BW419" s="157">
        <f ca="1">IFERROR(MATCH(AF419,CE419:CE430,0),1)</f>
        <v>1</v>
      </c>
      <c r="BX419" s="769" t="str">
        <f>IFERROR(IF(LEFT(J423,2)="As",VLOOKUP(J423,EIMM,2,FALSE),IF(AND(ISNUMBER(SEARCH("Impervia",J419)),ISNUMBER(SEARCH("door",J423))),VLOOKUP("Impervia Door",EIMM,2,FALSE),IF(AND(ISNUMBER(SEARCH("250",J419)),ISNUMBER(SEARCH("door",J423))),VLOOKUP("250 Series Door",EIMM,2,FALSE),VLOOKUP(J419,EIMM,2,FALSE)))),"")</f>
        <v/>
      </c>
      <c r="BY419" s="769" t="str">
        <f ca="1">IFERROR(VLOOKUP(BX419,OFFSET(EIMM,0,1),2,FALSE),"")</f>
        <v/>
      </c>
      <c r="BZ419" s="1110" t="e">
        <f ca="1">IF((COUNTIF(INDIRECT(SUBSTITUTE(J419," ","_")),J423))=0,IF(J423="",1,0),1)</f>
        <v>#REF!</v>
      </c>
      <c r="CA419" s="691" t="e">
        <f ca="1">MATCH(AC419,INDIRECT(BX419),-1)</f>
        <v>#REF!</v>
      </c>
      <c r="CB419" s="4" t="e" cm="1">
        <f t="array" aca="1" ref="CB419" ca="1">IF(AND(INDEX(INDIRECT(BY419),CA419,4)&gt;=$AB419,INDEX(INDIRECT(BY419),CA419,5)&gt;=$S419,INDEX(INDIRECT(BY419),CA419,6)&gt;=$R419),1,0)</f>
        <v>#REF!</v>
      </c>
      <c r="CC419" s="4" t="e">
        <f t="shared" ref="CC419" ca="1" si="7458">MATCH(1,OFFSET(CB419:CB430,$W$2,0,COUNT(CB419:CB430)-$W$2),0)</f>
        <v>#REF!</v>
      </c>
      <c r="CD419" s="4" t="e">
        <f t="shared" ref="CD419" ca="1" si="7459">$W$2+CC419</f>
        <v>#REF!</v>
      </c>
      <c r="CE419" s="692" t="str" cm="1">
        <f t="array" aca="1" ref="CE419" ca="1">IFERROR(VLOOKUP(INDEX(CA419:CA430,CD419),INDIRECT(BY419),2,FALSE),"----")</f>
        <v>----</v>
      </c>
      <c r="CF419" s="691" t="e">
        <f ca="1">MATCH($AC419,SSEI,-1)</f>
        <v>#N/A</v>
      </c>
      <c r="CG419" s="4" t="e">
        <f ca="1">IF(AND(INDEX(SSM,CF419,4)&gt;=$AB419,INDEX(SSM,CF419,5)&gt;=$S419,INDEX(SSM,CF419,6)&gt;=$R419),1,0)</f>
        <v>#N/A</v>
      </c>
      <c r="CH419" s="4" t="e">
        <f t="shared" ref="CH419" ca="1" si="7460">MATCH(1,OFFSET(CG419:CG430,$W$2,0,COUNT(CG419:CG430)-$W$2),0)</f>
        <v>#REF!</v>
      </c>
      <c r="CI419" s="4" t="e">
        <f t="shared" ref="CI419" ca="1" si="7461">$W$2+CH419</f>
        <v>#REF!</v>
      </c>
      <c r="CJ419" s="692" t="str">
        <f ca="1">IFERROR(IF(AD420="Nested Steel Stud (wood infill)",VLOOKUP(INDEX(CF419:CF430,CI419),SSW,2,FALSE),VLOOKUP(INDEX(CF419:CF430,CI419),SSM,2,FALSE)),"----")</f>
        <v>----</v>
      </c>
      <c r="CK419" s="691" t="e">
        <f ca="1">MATCH($AC419,WSEI,-1)</f>
        <v>#N/A</v>
      </c>
      <c r="CL419" s="4" t="e">
        <f ca="1">IF(AND(INDEX(WSM,CK419,4)&gt;=$AB419,INDEX(WSM,CK419,5)&gt;=$S419,INDEX(WSM,CK419,6)&gt;=$R419),1,0)</f>
        <v>#N/A</v>
      </c>
      <c r="CM419" s="4" t="e">
        <f t="shared" ref="CM419" ca="1" si="7462">MATCH(1,OFFSET(CL419:CL430,$W$2,0,COUNT(CL419:CL430)-$W$2),0)</f>
        <v>#REF!</v>
      </c>
      <c r="CN419" s="4" t="e">
        <f t="shared" ref="CN419" ca="1" si="7463">$W$2+CM419</f>
        <v>#REF!</v>
      </c>
      <c r="CO419" s="692" t="str">
        <f ca="1">IFERROR(VLOOKUP(INDEX(CK419:CK430,CN419),WSM,2,FALSE),"----")</f>
        <v>----</v>
      </c>
      <c r="CP419" s="691" t="e">
        <f ca="1">MATCH($AC419,STEI,-1)</f>
        <v>#N/A</v>
      </c>
      <c r="CQ419" s="4" t="e">
        <f ca="1">IF(AND(INDEX(STM,CP419,4)&gt;=$AB419,INDEX(STM,CP419,5)&gt;=$S419,INDEX(STM,CP419,6)&gt;=$R419),1,0)</f>
        <v>#N/A</v>
      </c>
      <c r="CR419" s="4" t="e">
        <f t="shared" ref="CR419" ca="1" si="7464">MATCH(1,OFFSET(CQ419:CQ430,$W$2,0,COUNT(CQ419:CQ430)-$W$2),0)</f>
        <v>#REF!</v>
      </c>
      <c r="CS419" s="4" t="e">
        <f t="shared" ref="CS419" ca="1" si="7465">$W$2+CR419</f>
        <v>#REF!</v>
      </c>
      <c r="CT419" s="692" t="str">
        <f ca="1">IFERROR(VLOOKUP(INDEX(CP419:CP430,CS419),STM,2,FALSE),"----")</f>
        <v>----</v>
      </c>
      <c r="CU419" s="691" t="e">
        <f ca="1">MATCH($AC419,ELEI,-1)</f>
        <v>#N/A</v>
      </c>
      <c r="CV419" s="4" t="e">
        <f ca="1">IF(AND(INDEX(ELM,CU419,4)&gt;=$AB419,INDEX(ELM,CU419,5)&gt;=$S419,INDEX(ELM,CU419,6)&gt;=$R419),1,0)</f>
        <v>#N/A</v>
      </c>
      <c r="CW419" s="4" t="e">
        <f t="shared" ref="CW419" ca="1" si="7466">MATCH(1,OFFSET(CV419:CV430,$W$2,0,COUNT(CV419:CV430)-$W$2),0)</f>
        <v>#REF!</v>
      </c>
      <c r="CX419" s="4" t="e">
        <f t="shared" ref="CX419" ca="1" si="7467">$W$2+CW419</f>
        <v>#REF!</v>
      </c>
      <c r="CY419" s="692" t="str">
        <f ca="1">IFERROR(VLOOKUP(INDEX(CU419:CU430,CX419),ELM,2,FALSE),"----")</f>
        <v>----</v>
      </c>
      <c r="CZ419" s="691" t="e">
        <f ca="1">IF(LEFT($J419,7)="Clad Wo",MATCH($AC419,SPEIW,-1),MATCH($AC419,SPEI,-1))</f>
        <v>#N/A</v>
      </c>
      <c r="DA419" s="4" t="e">
        <f ca="1">IF(LEFT($J419,7)="Clad Wo",IF(AND(INDEX(SPPWS,CZ419,4)&gt;=$AB419,INDEX(SPPWS,CZ419,5)&gt;=$S419,INDEX(SPPWS,CZ419,6)&gt;=$R419),1,0),IF(AND(INDEX(SPM,CZ419,4)&gt;=$AB419,INDEX(SPM,CZ419,5)&gt;=$S419,INDEX(SPM,CZ419,6)&gt;=$R419),1,0))</f>
        <v>#N/A</v>
      </c>
      <c r="DB419" s="4" t="e">
        <f t="shared" ref="DB419" ca="1" si="7468">MATCH(1,OFFSET(DA419:DA430,$W$2,0,COUNT(DA419:DA430)-$W$2),0)</f>
        <v>#REF!</v>
      </c>
      <c r="DC419" s="4" t="e">
        <f t="shared" ref="DC419" ca="1" si="7469">$W$2+DB419</f>
        <v>#REF!</v>
      </c>
      <c r="DD419" s="693" t="str">
        <f ca="1">IF(LEFT($J419,7)="Clad Wo",IFERROR(VLOOKUP(INDEX(CZ419:CZ430,DC419),SPPWS,2,FALSE),"----"),IFERROR(VLOOKUP(INDEX(CZ419:CZ430,DC419),SPM,2,FALSE),"----"))</f>
        <v>----</v>
      </c>
      <c r="DE419" s="691" t="e">
        <f ca="1">MATCH(AC425,INDIRECT(BX419),-1)</f>
        <v>#REF!</v>
      </c>
      <c r="DF419" s="4" t="e" cm="1">
        <f t="array" aca="1" ref="DF419" ca="1">IF(AND(INDEX(INDIRECT(BY419),DE419,4)&gt;=$AB425,INDEX(INDIRECT(BY419),DE419,5)&gt;=$S419,INDEX(INDIRECT(BY419),DE419,6)&gt;=$R419),1,0)</f>
        <v>#REF!</v>
      </c>
      <c r="DG419" s="4" t="e">
        <f t="shared" ref="DG419" ca="1" si="7470">MATCH(1,OFFSET(DF419:DF430,$W$2,0,COUNT(DF419:DF430)-$W$2),0)</f>
        <v>#REF!</v>
      </c>
      <c r="DH419" s="4" t="e">
        <f t="shared" ref="DH419" ca="1" si="7471">$W$2+DG419</f>
        <v>#REF!</v>
      </c>
      <c r="DI419" s="692" t="str" cm="1">
        <f t="array" aca="1" ref="DI419" ca="1">IFERROR(VLOOKUP(INDEX(DE419:DE430,DH419),INDIRECT(BY419),2,FALSE),"----")</f>
        <v>----</v>
      </c>
      <c r="DJ419" s="691" t="e">
        <f ca="1">MATCH($AC425,SSEI,-1)</f>
        <v>#N/A</v>
      </c>
      <c r="DK419" s="4" t="e">
        <f ca="1">IF(AND(INDEX(SSM,DJ419,4)&gt;=$AB425,INDEX(SSM,DJ419,5)&gt;=$S419,INDEX(SSM,DJ419,6)&gt;=$R419),1,0)</f>
        <v>#N/A</v>
      </c>
      <c r="DL419" s="4" t="e">
        <f t="shared" ref="DL419" ca="1" si="7472">MATCH(1,OFFSET(DK419:DK430,$W$2,0,COUNT(DK419:DK430)-$W$2),0)</f>
        <v>#REF!</v>
      </c>
      <c r="DM419" s="4" t="e">
        <f t="shared" ref="DM419" ca="1" si="7473">$W$2+DL419</f>
        <v>#REF!</v>
      </c>
      <c r="DN419" s="692" t="str">
        <f ca="1">IFERROR(IF(AD426="Nested Steel Stud (wood infill)",VLOOKUP(INDEX(DJ419:DJ430,DM419),SSW,2,FALSE),VLOOKUP(INDEX(DJ419:DJ430,DM419),SSM,2,FALSE)),"----")</f>
        <v>----</v>
      </c>
      <c r="DO419" s="691" t="e">
        <f ca="1">MATCH($AC425,WSEI,-1)</f>
        <v>#N/A</v>
      </c>
      <c r="DP419" s="4" t="e">
        <f ca="1">IF(AND(INDEX(WSM,DO419,4)&gt;=$AB425,INDEX(WSM,DO419,5)&gt;=$S419,INDEX(WSM,DO419,6)&gt;=$R419),1,0)</f>
        <v>#N/A</v>
      </c>
      <c r="DQ419" s="4" t="e">
        <f t="shared" ref="DQ419" ca="1" si="7474">MATCH(1,OFFSET(DP419:DP430,$W$2,0,COUNT(DP419:DP430)-$W$2),0)</f>
        <v>#REF!</v>
      </c>
      <c r="DR419" s="4" t="e">
        <f t="shared" ref="DR419" ca="1" si="7475">$W$2+DQ419</f>
        <v>#REF!</v>
      </c>
      <c r="DS419" s="692" t="str">
        <f ca="1">IFERROR(VLOOKUP(INDEX(DO419:DO430,DR419),WSM,2,FALSE),"----")</f>
        <v>----</v>
      </c>
      <c r="DT419" s="691" t="e">
        <f ca="1">MATCH($AC425,STEI,-1)</f>
        <v>#N/A</v>
      </c>
      <c r="DU419" s="4" t="e">
        <f ca="1">IF(AND(INDEX(STM,DT419,4)&gt;=$AB425,INDEX(STM,DT419,5)&gt;=$S419,INDEX(STM,DT419,6)&gt;=$R419),1,0)</f>
        <v>#N/A</v>
      </c>
      <c r="DV419" s="4" t="e">
        <f t="shared" ref="DV419" ca="1" si="7476">MATCH(1,OFFSET(DU419:DU430,$W$2,0,COUNT(DU419:DU430)-$W$2),0)</f>
        <v>#REF!</v>
      </c>
      <c r="DW419" s="4" t="e">
        <f t="shared" ref="DW419" ca="1" si="7477">$W$2+DV419</f>
        <v>#REF!</v>
      </c>
      <c r="DX419" s="692" t="str">
        <f ca="1">IFERROR(VLOOKUP(INDEX(DT419:DT430,DW419),STM,2,FALSE),"----")</f>
        <v>----</v>
      </c>
      <c r="DY419" s="691" t="e">
        <f ca="1">MATCH($AC425,ELEI,-1)</f>
        <v>#N/A</v>
      </c>
      <c r="DZ419" s="4" t="e">
        <f ca="1">IF(AND(INDEX(ELM,DY419,4)&gt;=$AB425,INDEX(ELM,DY419,5)&gt;=$S419,INDEX(ELM,DY419,6)&gt;=$R419),1,0)</f>
        <v>#N/A</v>
      </c>
      <c r="EA419" s="4" t="e">
        <f t="shared" ref="EA419" ca="1" si="7478">MATCH(1,OFFSET(DZ419:DZ430,$W$2,0,COUNT(DZ419:DZ430)-$W$2),0)</f>
        <v>#REF!</v>
      </c>
      <c r="EB419" s="4" t="e">
        <f t="shared" ref="EB419" ca="1" si="7479">EA419+$W$2</f>
        <v>#REF!</v>
      </c>
      <c r="EC419" s="692" t="str">
        <f ca="1">IFERROR(VLOOKUP(INDEX(DY419:DY430,EB419),ELM,2,FALSE),"----")</f>
        <v>----</v>
      </c>
      <c r="ED419" s="691" t="e">
        <f ca="1">IF(LEFT($J419,7)="Clad Wo",MATCH($AC425,SPEIW,-1),MATCH($AC425,SPEI,-1))</f>
        <v>#N/A</v>
      </c>
      <c r="EE419" s="4" t="e">
        <f ca="1">IF(LEFT($J419,7)="Clad Wo",IF(AND(INDEX(SPPWS,ED419,4)&gt;=$AB425,INDEX(SPPWS,ED419,5)&gt;=$S419,INDEX(SPPWS,ED419,6)&gt;=$R419),1,0),IF(AND(INDEX(SPM,ED419,4)&gt;=$AB425,INDEX(SPM,ED419,5)&gt;=$S419,INDEX(SPM,ED419,6)&gt;=$R419),1,0))</f>
        <v>#N/A</v>
      </c>
      <c r="EF419" s="4" t="e">
        <f t="shared" ref="EF419" ca="1" si="7480">MATCH(1,OFFSET(EE419:EE430,$W$2,0,COUNT(EE419:EE430)-$W$2),0)</f>
        <v>#REF!</v>
      </c>
      <c r="EG419" s="4" t="e">
        <f t="shared" ref="EG419" ca="1" si="7481">$W$2+EF419</f>
        <v>#REF!</v>
      </c>
      <c r="EH419" s="692" t="str">
        <f ca="1">IF(LEFT($J419,7)="Clad Wo",IFERROR(VLOOKUP(INDEX(ED419:ED430,EG419),SPPWS,2,FALSE),"----"),IFERROR(VLOOKUP(INDEX(ED419:ED430,EG419),SPM,2,FALSE),"----"))</f>
        <v>----</v>
      </c>
    </row>
    <row r="420" spans="1:138" ht="15" customHeight="1" x14ac:dyDescent="0.25">
      <c r="A420" s="1085"/>
      <c r="B420" s="925"/>
      <c r="C420" s="926"/>
      <c r="D420" s="927"/>
      <c r="E420" s="995"/>
      <c r="F420" s="996"/>
      <c r="G420" s="997"/>
      <c r="H420" s="1062"/>
      <c r="I420" s="990"/>
      <c r="J420" s="908"/>
      <c r="K420" s="909"/>
      <c r="L420" s="1002"/>
      <c r="M420" s="923"/>
      <c r="N420" s="1042"/>
      <c r="O420" s="1018"/>
      <c r="P420" s="987"/>
      <c r="Q420" s="1015"/>
      <c r="R420" s="1012"/>
      <c r="S420" s="1006"/>
      <c r="T420" s="1007"/>
      <c r="U420" s="878"/>
      <c r="V420" s="881"/>
      <c r="W420" s="884"/>
      <c r="X420" s="884"/>
      <c r="Y420" s="887"/>
      <c r="Z420" s="887"/>
      <c r="AA420" s="887"/>
      <c r="AB420" s="1081"/>
      <c r="AC420" s="1078"/>
      <c r="AD420" s="1102" t="s">
        <v>38</v>
      </c>
      <c r="AE420" s="1103"/>
      <c r="AF420" s="1052"/>
      <c r="AG420" s="1053"/>
      <c r="AH420" s="1053"/>
      <c r="AI420" s="1066"/>
      <c r="AJ420" s="1067"/>
      <c r="AK420" s="156" t="str">
        <f t="shared" ref="AK420:AK483" ca="1" si="7482">IFERROR(VLOOKUP(AI420,OFFSET(INDIRECT(AQ420),0,1),2,FALSE),"")</f>
        <v/>
      </c>
      <c r="AL420" s="1039"/>
      <c r="AM420" s="343" t="str">
        <f ca="1">IFERROR(Q419/12*ROUND(VLOOKUP(AF420,OFFSET(SSM,0,1),6,FALSE),2),"")</f>
        <v/>
      </c>
      <c r="AN420" t="str">
        <f t="shared" ca="1" si="6226"/>
        <v/>
      </c>
      <c r="AP420" s="122" t="str">
        <f t="shared" ref="AP420" si="7483">_xlfn.CONCAT(AR420,AS424)</f>
        <v/>
      </c>
      <c r="AQ420" s="683" t="str">
        <f t="shared" si="6434"/>
        <v/>
      </c>
      <c r="AR420" s="96" t="str">
        <f t="shared" si="7457"/>
        <v/>
      </c>
      <c r="AS420" s="96" t="str">
        <f>IF(COUNTIF(Vista_1,AF419)=1,"Vista_1",IF(COUNTIF(Vista_2,AF419)=1,"Vista_2",""))</f>
        <v/>
      </c>
      <c r="AT420" s="684" t="str">
        <f>AL419</f>
        <v/>
      </c>
      <c r="AU420" s="694" t="e">
        <f t="shared" ref="AU420" ca="1" si="7484">AU419-1</f>
        <v>#REF!</v>
      </c>
      <c r="AV420" s="686" t="str">
        <f ca="1">IFERROR(VLOOKUP(AU420,INDIRECT(AQ419),2,FALSE),"----")</f>
        <v>----</v>
      </c>
      <c r="AW420" s="694" t="e">
        <f t="shared" ref="AW420:AW421" ca="1" si="7485">AW419-1</f>
        <v>#REF!</v>
      </c>
      <c r="AX420" s="686" t="str">
        <f ca="1">IFERROR(VLOOKUP(AW420,INDIRECT(AQ420),2,FALSE),"----")</f>
        <v>----</v>
      </c>
      <c r="AY420" s="694" t="e">
        <f t="shared" ref="AY420:AY421" ca="1" si="7486">AY419-1</f>
        <v>#REF!</v>
      </c>
      <c r="AZ420" s="686" t="str">
        <f ca="1">IFERROR(VLOOKUP(AY420,INDIRECT(AQ421),2,FALSE),"----")</f>
        <v>----</v>
      </c>
      <c r="BA420" s="694" t="e">
        <f t="shared" ref="BA420:BA421" ca="1" si="7487">BA419-1</f>
        <v>#REF!</v>
      </c>
      <c r="BB420" s="686" t="str">
        <f ca="1">IFERROR(VLOOKUP(BA420,INDIRECT(AQ422),2,FALSE),"----")</f>
        <v>----</v>
      </c>
      <c r="BC420" s="694" t="e">
        <f t="shared" ref="BC420:BC421" ca="1" si="7488">BC419-1</f>
        <v>#REF!</v>
      </c>
      <c r="BD420" s="686" t="str">
        <f ca="1">IFERROR(VLOOKUP(BC420,INDIRECT(AQ423),2,FALSE),"----")</f>
        <v>----</v>
      </c>
      <c r="BE420" s="694" t="e">
        <f t="shared" ref="BE420" ca="1" si="7489">BE419-1</f>
        <v>#REF!</v>
      </c>
      <c r="BF420" s="686" t="str">
        <f ca="1">IFERROR(VLOOKUP(BE420,INDIRECT(AQ424),2,FALSE),"----")</f>
        <v>----</v>
      </c>
      <c r="BG420" s="694" t="e">
        <f t="shared" ref="BG420" ca="1" si="7490">BG419-1</f>
        <v>#REF!</v>
      </c>
      <c r="BH420" s="686" t="str">
        <f ca="1">IFERROR(VLOOKUP(BG420,INDIRECT(AQ425),2,FALSE),"----")</f>
        <v>----</v>
      </c>
      <c r="BI420" s="694" t="e">
        <f t="shared" ref="BI420:BI421" ca="1" si="7491">BI419-1</f>
        <v>#REF!</v>
      </c>
      <c r="BJ420" s="686" t="str">
        <f ca="1">IFERROR(VLOOKUP(BI420,INDIRECT(AQ426),2,FALSE),"----")</f>
        <v>----</v>
      </c>
      <c r="BK420" s="694" t="e">
        <f t="shared" ref="BK420:BK421" ca="1" si="7492">BK419-1</f>
        <v>#REF!</v>
      </c>
      <c r="BL420" s="686" t="str">
        <f ca="1">IFERROR(VLOOKUP(BK420,INDIRECT(AQ427),2,FALSE),"----")</f>
        <v>----</v>
      </c>
      <c r="BM420" s="694" t="e">
        <f t="shared" ref="BM420:BM421" ca="1" si="7493">BM419-1</f>
        <v>#REF!</v>
      </c>
      <c r="BN420" s="686" t="str">
        <f ca="1">IFERROR(VLOOKUP(BM420,INDIRECT(AQ428),2,FALSE),"----")</f>
        <v>----</v>
      </c>
      <c r="BO420" s="694" t="e">
        <f t="shared" ref="BO420:BO421" ca="1" si="7494">BO419-1</f>
        <v>#REF!</v>
      </c>
      <c r="BP420" s="686" t="str">
        <f ca="1">IFERROR(VLOOKUP(BO420,INDIRECT(AQ429),2,FALSE),"----")</f>
        <v>----</v>
      </c>
      <c r="BQ420" s="694" t="e">
        <f t="shared" ref="BQ420" ca="1" si="7495">BQ419-1</f>
        <v>#REF!</v>
      </c>
      <c r="BR420" s="686" t="str">
        <f ca="1">IFERROR(VLOOKUP(BQ420,INDIRECT(AQ430),2,FALSE),"----")</f>
        <v>----</v>
      </c>
      <c r="BS420" s="695">
        <f>IF(AI420="",1,IF(COUNTIF(AX419:AX430,AI420)=0,2,1))</f>
        <v>1</v>
      </c>
      <c r="BT420" s="696">
        <f>IF(AF420="",1,IF(AX419=".",2,1))</f>
        <v>1</v>
      </c>
      <c r="BU420" s="706"/>
      <c r="BV420" s="155">
        <f ca="1">IF(COUNTIF(CJ419:CJ430,AF420)=0,IF(AF420&lt;&gt;"",0,1),1)</f>
        <v>1</v>
      </c>
      <c r="BW420" s="157">
        <f ca="1">IFERROR(MATCH(AF420,CJ419:CJ430,0),1)</f>
        <v>1</v>
      </c>
      <c r="BX420" s="769"/>
      <c r="BY420" s="769"/>
      <c r="BZ420" s="1110"/>
      <c r="CA420" s="691" t="e">
        <f t="shared" ref="CA420:CA430" ca="1" si="7496">CA419-1</f>
        <v>#REF!</v>
      </c>
      <c r="CB420" s="4" t="e" cm="1">
        <f t="array" aca="1" ref="CB420" ca="1">IF(AND(INDEX(INDIRECT(BY419),CA420,4)&gt;=$AB419,INDEX(INDIRECT(BY419),CA420,5)&gt;=$S419,INDEX(INDIRECT(BY419),CA420,6)&gt;=$R419),1,0)</f>
        <v>#REF!</v>
      </c>
      <c r="CC420" s="4" t="e">
        <f t="shared" ref="CC420" ca="1" si="7497">MATCH(1,OFFSET(CB419:CB430,CD419,0,COUNT(CB419:CB430)-CD419),0)</f>
        <v>#REF!</v>
      </c>
      <c r="CD420" s="4" t="e">
        <f t="shared" ref="CD420:CD430" ca="1" si="7498">CD419+CC420</f>
        <v>#REF!</v>
      </c>
      <c r="CE420" s="692" t="str" cm="1">
        <f t="array" aca="1" ref="CE420" ca="1">IFERROR(VLOOKUP(INDEX(CA419:CA430,CD420),INDIRECT(BY419),2,FALSE),"----")</f>
        <v>----</v>
      </c>
      <c r="CF420" s="691" t="e">
        <f t="shared" ref="CF420:CF430" ca="1" si="7499">CF419-1</f>
        <v>#N/A</v>
      </c>
      <c r="CG420" s="4" t="e">
        <f ca="1">IF(AND(INDEX(SSM,CF420,4)&gt;=$AB419,INDEX(SSM,CF420,5)&gt;=$S419,INDEX(SSM,CF420,6)&gt;=$R419),1,0)</f>
        <v>#N/A</v>
      </c>
      <c r="CH420" s="4" t="e">
        <f t="shared" ref="CH420" ca="1" si="7500">MATCH(1,OFFSET(CG419:CG430,CI419,0,COUNT(CG419:CG430)-CI419),0)</f>
        <v>#REF!</v>
      </c>
      <c r="CI420" s="4" t="e">
        <f t="shared" ref="CI420:CI430" ca="1" si="7501">CI419+CH420</f>
        <v>#REF!</v>
      </c>
      <c r="CJ420" s="692" t="str">
        <f ca="1">IFERROR(IF(AD420="Nested Steel Stud (wood infill)",VLOOKUP(INDEX(CF419:CF430,CI420),SSW,2,FALSE),VLOOKUP(INDEX(CF419:CF430,CI420),SSM,2,FALSE)),"----")</f>
        <v>----</v>
      </c>
      <c r="CK420" s="691" t="e">
        <f t="shared" ref="CK420:CK430" ca="1" si="7502">CK419-1</f>
        <v>#N/A</v>
      </c>
      <c r="CL420" s="4" t="e">
        <f ca="1">IF(AND(INDEX(WSM,CK420,4)&gt;=$AB419,INDEX(WSM,CK420,5)&gt;=$S419,INDEX(WSM,CK420,6)&gt;=$R419),1,0)</f>
        <v>#N/A</v>
      </c>
      <c r="CM420" s="4" t="e">
        <f t="shared" ref="CM420" ca="1" si="7503">MATCH(1,OFFSET(CL419:CL430,CN419,0,COUNT(CL419:CL430)-CN419),0)</f>
        <v>#REF!</v>
      </c>
      <c r="CN420" s="4" t="e">
        <f t="shared" ref="CN420:CN430" ca="1" si="7504">CM420+CN419</f>
        <v>#REF!</v>
      </c>
      <c r="CO420" s="692" t="str">
        <f ca="1">IFERROR(VLOOKUP(INDEX(CK419:CK430,CN420),WSM,2,FALSE),"----")</f>
        <v>----</v>
      </c>
      <c r="CP420" s="691" t="e">
        <f t="shared" ref="CP420:CP430" ca="1" si="7505">CP419-1</f>
        <v>#N/A</v>
      </c>
      <c r="CQ420" s="4" t="e">
        <f ca="1">IF(AND(INDEX(STM,CP420,4)&gt;=$AB419,INDEX(STM,CP420,5)&gt;=$S419,INDEX(STM,CP420,6)&gt;=$R419),1,0)</f>
        <v>#N/A</v>
      </c>
      <c r="CR420" s="4" t="e">
        <f t="shared" ref="CR420" ca="1" si="7506">MATCH(1,OFFSET(CQ419:CQ430,CS419,0,COUNT(CQ419:CQ430)-CS419),0)</f>
        <v>#REF!</v>
      </c>
      <c r="CS420" s="4" t="e">
        <f t="shared" ref="CS420:CS430" ca="1" si="7507">CR420+CS419</f>
        <v>#REF!</v>
      </c>
      <c r="CT420" s="692" t="str">
        <f ca="1">IFERROR(VLOOKUP(INDEX(CP419:CP430,CS420),STM,2,FALSE),"----")</f>
        <v>----</v>
      </c>
      <c r="CU420" s="691" t="e">
        <f t="shared" ref="CU420:CU430" ca="1" si="7508">CU419-1</f>
        <v>#N/A</v>
      </c>
      <c r="CV420" s="4" t="e">
        <f ca="1">IF(AND(INDEX(ELM,CU420,4)&gt;=$AB419,INDEX(ELM,CU420,5)&gt;=$S419,INDEX(ELM,CU420,6)&gt;=$R419),1,0)</f>
        <v>#N/A</v>
      </c>
      <c r="CW420" s="4" t="e">
        <f t="shared" ref="CW420" ca="1" si="7509">MATCH(1,OFFSET(CV419:CV430,CX419,0,COUNT(CV419:CV430)-CX419),0)</f>
        <v>#REF!</v>
      </c>
      <c r="CX420" s="4" t="e">
        <f t="shared" ref="CX420:CX430" ca="1" si="7510">CW420+CX419</f>
        <v>#REF!</v>
      </c>
      <c r="CY420" s="692" t="str">
        <f ca="1">IFERROR(VLOOKUP(INDEX(CU419:CU430,CX420),ELM,2,FALSE),"----")</f>
        <v>----</v>
      </c>
      <c r="CZ420" s="691" t="e">
        <f t="shared" ref="CZ420:CZ430" ca="1" si="7511">CZ419-1</f>
        <v>#N/A</v>
      </c>
      <c r="DA420" s="4" t="e">
        <f ca="1">IF(LEFT($J419,7)="Clad Wo",IF(AND(INDEX(SPPWS,CZ420,4)&gt;=$AB419,INDEX(SPPWS,CZ420,5)&gt;=$S419,INDEX(SPPWS,CZ420,6)&gt;=$R419),1,0),IF(AND(INDEX(SPM,CZ420,4)&gt;=$AB419,INDEX(SPM,CZ420,5)&gt;=$S419,INDEX(SPM,CZ420,6)&gt;=$R419),1,0))</f>
        <v>#N/A</v>
      </c>
      <c r="DB420" s="4" t="e">
        <f t="shared" ref="DB420" ca="1" si="7512">MATCH(1,OFFSET(DA419:DA430,DC419,0,COUNT(DA419:DA430)-DC419),0)</f>
        <v>#REF!</v>
      </c>
      <c r="DC420" s="4" t="e">
        <f t="shared" ref="DC420:DC430" ca="1" si="7513">DC419+DB420</f>
        <v>#REF!</v>
      </c>
      <c r="DD420" s="693" t="str">
        <f ca="1">IF(LEFT($J419,7)="Clad Wo",IFERROR(VLOOKUP(INDEX(CZ419:CZ430,DC420),SPPWS,2,FALSE),"----"),IFERROR(VLOOKUP(INDEX(CZ419:CZ430,DC420),SPM,2,FALSE),"----"))</f>
        <v>----</v>
      </c>
      <c r="DE420" s="691" t="e">
        <f t="shared" ref="DE420:DE430" ca="1" si="7514">DE419-1</f>
        <v>#REF!</v>
      </c>
      <c r="DF420" s="4" t="e" cm="1">
        <f t="array" aca="1" ref="DF420" ca="1">IF(AND(INDEX(INDIRECT(BY419),DE420,4)&gt;=$AB425,INDEX(INDIRECT(BY419),DE420,5)&gt;=$S419,INDEX(INDIRECT(BY419),DE420,6)&gt;=$R419),1,0)</f>
        <v>#REF!</v>
      </c>
      <c r="DG420" s="4" t="e">
        <f t="shared" ref="DG420" ca="1" si="7515">MATCH(1,OFFSET(DF419:DF430,DH419,0,COUNT(DF419:DF430)-DH419),0)</f>
        <v>#REF!</v>
      </c>
      <c r="DH420" s="4" t="e">
        <f t="shared" ref="DH420:DH430" ca="1" si="7516">DH419+DG420</f>
        <v>#REF!</v>
      </c>
      <c r="DI420" s="692" t="str" cm="1">
        <f t="array" aca="1" ref="DI420" ca="1">IFERROR(VLOOKUP(INDEX(DE419:DE430,DH420),INDIRECT(BY419),2,FALSE),"----")</f>
        <v>----</v>
      </c>
      <c r="DJ420" s="691" t="e">
        <f t="shared" ref="DJ420:DJ430" ca="1" si="7517">DJ419-1</f>
        <v>#N/A</v>
      </c>
      <c r="DK420" s="4" t="e">
        <f ca="1">IF(AND(INDEX(SSM,DJ420,4)&gt;=$AB425,INDEX(SSM,DJ420,5)&gt;=$S419,INDEX(SSM,DJ420,6)&gt;=$R419),1,0)</f>
        <v>#N/A</v>
      </c>
      <c r="DL420" s="4" t="e">
        <f t="shared" ref="DL420" ca="1" si="7518">MATCH(1,OFFSET(DK419:DK430,DM419,0,COUNT(DK419:DK430)-DM419),0)</f>
        <v>#REF!</v>
      </c>
      <c r="DM420" s="4" t="e">
        <f t="shared" ref="DM420:DM430" ca="1" si="7519">DL420+DM419</f>
        <v>#REF!</v>
      </c>
      <c r="DN420" s="692" t="str">
        <f ca="1">IFERROR(IF(AD426="Nested Steel Stud (wood infill)",VLOOKUP(INDEX(DJ419:DJ430,DM420),SSW,2,FALSE),VLOOKUP(INDEX(DJ419:DJ430,DM420),SSM,2,FALSE)),"----")</f>
        <v>----</v>
      </c>
      <c r="DO420" s="691" t="e">
        <f t="shared" ref="DO420:DO430" ca="1" si="7520">DO419-1</f>
        <v>#N/A</v>
      </c>
      <c r="DP420" s="4" t="e">
        <f ca="1">IF(AND(INDEX(WSM,DO420,4)&gt;=$AB425,INDEX(WSM,DO420,5)&gt;=$S419,INDEX(WSM,DO420,6)&gt;=$R419),1,0)</f>
        <v>#N/A</v>
      </c>
      <c r="DQ420" s="4" t="e">
        <f t="shared" ref="DQ420" ca="1" si="7521">MATCH(1,OFFSET(DP419:DP430,DR419,0,COUNT(DP419:DP430)-DR419),0)</f>
        <v>#REF!</v>
      </c>
      <c r="DR420" s="4" t="e">
        <f t="shared" ref="DR420:DR430" ca="1" si="7522">DQ420+DR419</f>
        <v>#REF!</v>
      </c>
      <c r="DS420" s="692" t="str">
        <f ca="1">IFERROR(VLOOKUP(INDEX(DO419:DO430,DR420),WSM,2,FALSE),"----")</f>
        <v>----</v>
      </c>
      <c r="DT420" s="691" t="e">
        <f t="shared" ref="DT420:DT430" ca="1" si="7523">DT419-1</f>
        <v>#N/A</v>
      </c>
      <c r="DU420" s="4" t="e">
        <f ca="1">IF(AND(INDEX(STM,DT420,4)&gt;=$AB425,INDEX(STM,DT420,5)&gt;=$S419,INDEX(STM,DT420,6)&gt;=$R419),1,0)</f>
        <v>#N/A</v>
      </c>
      <c r="DV420" s="4" t="e">
        <f t="shared" ref="DV420" ca="1" si="7524">MATCH(1,OFFSET(DU419:DU430,DW419,0,COUNT(DU419:DU430)-DW419),0)</f>
        <v>#REF!</v>
      </c>
      <c r="DW420" s="4" t="e">
        <f t="shared" ref="DW420:DW430" ca="1" si="7525">DV420+DW419</f>
        <v>#REF!</v>
      </c>
      <c r="DX420" s="692" t="str">
        <f ca="1">IFERROR(VLOOKUP(INDEX(DT419:DT430,DW420),STM,2,FALSE),"----")</f>
        <v>----</v>
      </c>
      <c r="DY420" s="691" t="e">
        <f t="shared" ref="DY420:DY430" ca="1" si="7526">DY419-1</f>
        <v>#N/A</v>
      </c>
      <c r="DZ420" s="4" t="e">
        <f ca="1">IF(AND(INDEX(ELM,DY420,4)&gt;=$AB425,INDEX(ELM,DY420,5)&gt;=$S419,INDEX(ELM,DY420,6)&gt;=$R419),1,0)</f>
        <v>#N/A</v>
      </c>
      <c r="EA420" s="4" t="e">
        <f t="shared" ref="EA420" ca="1" si="7527">MATCH(1,OFFSET(DZ419:DZ430,EB419,0,COUNT(DZ419:DZ430)-EB419),0)</f>
        <v>#REF!</v>
      </c>
      <c r="EB420" s="4" t="e">
        <f t="shared" ref="EB420:EB430" ca="1" si="7528">EA420+EB419</f>
        <v>#REF!</v>
      </c>
      <c r="EC420" s="692" t="str">
        <f ca="1">IFERROR(VLOOKUP(INDEX(DY419:DY430,EB420),ELM,2,FALSE),"----")</f>
        <v>----</v>
      </c>
      <c r="ED420" s="691" t="e">
        <f t="shared" ref="ED420:ED430" ca="1" si="7529">ED419-1</f>
        <v>#N/A</v>
      </c>
      <c r="EE420" s="4" t="e">
        <f ca="1">IF(LEFT($J419,7)="Clad Wo",IF(AND(INDEX(SPPWS,ED420,4)&gt;=$AB425,INDEX(SPPWS,ED420,5)&gt;=$S419,INDEX(SPPWS,ED420,6)&gt;=$R419),1,0),IF(AND(INDEX(SPM,ED420,4)&gt;=$AB425,INDEX(SPM,ED420,5)&gt;=$S419,INDEX(SPM,ED420,6)&gt;=$R419),1,0))</f>
        <v>#N/A</v>
      </c>
      <c r="EF420" s="4" t="e">
        <f t="shared" ref="EF420" ca="1" si="7530">MATCH(1,OFFSET(EE419:EE430,EG419,0,COUNT(EE419:EE430)-EG419),0)</f>
        <v>#REF!</v>
      </c>
      <c r="EG420" s="4" t="e">
        <f t="shared" ref="EG420:EG430" ca="1" si="7531">EG419+EF420</f>
        <v>#REF!</v>
      </c>
      <c r="EH420" s="692" t="str">
        <f ca="1">IF(LEFT($J419,7)="Clad Wo",IFERROR(VLOOKUP(INDEX(ED419:ED430,EG420),SPPWS,2,FALSE),"----"),IFERROR(VLOOKUP(INDEX(ED419:ED430,EG420),SPM,2,FALSE),"----"))</f>
        <v>----</v>
      </c>
    </row>
    <row r="421" spans="1:138" ht="15" customHeight="1" x14ac:dyDescent="0.25">
      <c r="A421" s="1085"/>
      <c r="B421" s="925"/>
      <c r="C421" s="926"/>
      <c r="D421" s="927"/>
      <c r="E421" s="995"/>
      <c r="F421" s="996"/>
      <c r="G421" s="997"/>
      <c r="H421" s="1062"/>
      <c r="I421" s="990"/>
      <c r="J421" s="908"/>
      <c r="K421" s="909"/>
      <c r="L421" s="1002"/>
      <c r="M421" s="923"/>
      <c r="N421" s="1042"/>
      <c r="O421" s="1018"/>
      <c r="P421" s="987"/>
      <c r="Q421" s="1015"/>
      <c r="R421" s="1012"/>
      <c r="S421" s="1006"/>
      <c r="T421" s="1007"/>
      <c r="U421" s="878"/>
      <c r="V421" s="881"/>
      <c r="W421" s="884"/>
      <c r="X421" s="884"/>
      <c r="Y421" s="887"/>
      <c r="Z421" s="887"/>
      <c r="AA421" s="887"/>
      <c r="AB421" s="1081"/>
      <c r="AC421" s="1078"/>
      <c r="AD421" s="1070" t="s">
        <v>333</v>
      </c>
      <c r="AE421" s="1071"/>
      <c r="AF421" s="1052"/>
      <c r="AG421" s="1053"/>
      <c r="AH421" s="1053"/>
      <c r="AI421" s="1066"/>
      <c r="AJ421" s="1067"/>
      <c r="AK421" s="154" t="str">
        <f t="shared" ca="1" si="7482"/>
        <v/>
      </c>
      <c r="AL421" s="1039"/>
      <c r="AM421" s="344" t="str">
        <f ca="1">IFERROR(Q419/12*ROUND(VLOOKUP(AF421,OFFSET(WSM,0,1),6,FALSE),2),"")</f>
        <v/>
      </c>
      <c r="AN421" t="str">
        <f t="shared" ref="AN421:AN484" ca="1" si="7532">IF(BW421&gt;1,"Lighter Reinforcement Options Available","")</f>
        <v/>
      </c>
      <c r="AP421" s="122" t="str">
        <f t="shared" ref="AP421" si="7533">_xlfn.CONCAT(AR421,AS424)</f>
        <v/>
      </c>
      <c r="AQ421" s="683" t="str">
        <f t="shared" si="6434"/>
        <v/>
      </c>
      <c r="AR421" s="4" t="str">
        <f t="shared" si="7457"/>
        <v/>
      </c>
      <c r="AS421" s="4"/>
      <c r="AT421" s="697" t="str">
        <f>AL419</f>
        <v/>
      </c>
      <c r="AU421" s="694" t="e">
        <f t="shared" ca="1" si="6450"/>
        <v>#REF!</v>
      </c>
      <c r="AV421" s="686" t="str">
        <f ca="1">IFERROR(VLOOKUP(AU421,INDIRECT(AQ419),2,FALSE),"----")</f>
        <v>----</v>
      </c>
      <c r="AW421" s="694" t="e">
        <f t="shared" ca="1" si="7485"/>
        <v>#REF!</v>
      </c>
      <c r="AX421" s="686" t="str">
        <f ca="1">IFERROR(VLOOKUP(AW421,INDIRECT(AQ420),2,FALSE),"----")</f>
        <v>----</v>
      </c>
      <c r="AY421" s="694" t="e">
        <f t="shared" ca="1" si="7486"/>
        <v>#REF!</v>
      </c>
      <c r="AZ421" s="686" t="str">
        <f ca="1">IFERROR(VLOOKUP(AY421,INDIRECT(AQ421),2,FALSE),"----")</f>
        <v>----</v>
      </c>
      <c r="BA421" s="694" t="e">
        <f t="shared" ca="1" si="7487"/>
        <v>#REF!</v>
      </c>
      <c r="BB421" s="686" t="str">
        <f ca="1">IFERROR(VLOOKUP(BA421,INDIRECT(AQ422),2,FALSE),"----")</f>
        <v>----</v>
      </c>
      <c r="BC421" s="694" t="e">
        <f t="shared" ca="1" si="7488"/>
        <v>#REF!</v>
      </c>
      <c r="BD421" s="686" t="str">
        <f ca="1">IFERROR(VLOOKUP(BC421,INDIRECT(AQ423),2,FALSE),"----")</f>
        <v>----</v>
      </c>
      <c r="BE421" s="694" t="e">
        <f t="shared" ca="1" si="6453"/>
        <v>#REF!</v>
      </c>
      <c r="BF421" s="686" t="str">
        <f ca="1">IFERROR(VLOOKUP(BE421,INDIRECT(AQ424),2,FALSE),"----")</f>
        <v>----</v>
      </c>
      <c r="BG421" s="694" t="e">
        <f t="shared" ca="1" si="6454"/>
        <v>#REF!</v>
      </c>
      <c r="BH421" s="686" t="str">
        <f ca="1">IFERROR(VLOOKUP(BG421,INDIRECT(AQ425),2,FALSE),"----")</f>
        <v>----</v>
      </c>
      <c r="BI421" s="694" t="e">
        <f t="shared" ca="1" si="7491"/>
        <v>#REF!</v>
      </c>
      <c r="BJ421" s="686" t="str">
        <f ca="1">IFERROR(VLOOKUP(BI421,INDIRECT(AQ426),2,FALSE),"----")</f>
        <v>----</v>
      </c>
      <c r="BK421" s="694" t="e">
        <f t="shared" ca="1" si="7492"/>
        <v>#REF!</v>
      </c>
      <c r="BL421" s="686" t="str">
        <f ca="1">IFERROR(VLOOKUP(BK421,INDIRECT(AQ427),2,FALSE),"----")</f>
        <v>----</v>
      </c>
      <c r="BM421" s="694" t="e">
        <f t="shared" ca="1" si="7493"/>
        <v>#REF!</v>
      </c>
      <c r="BN421" s="686" t="str">
        <f ca="1">IFERROR(VLOOKUP(BM421,INDIRECT(AQ428),2,FALSE),"----")</f>
        <v>----</v>
      </c>
      <c r="BO421" s="694" t="e">
        <f t="shared" ca="1" si="7494"/>
        <v>#REF!</v>
      </c>
      <c r="BP421" s="686" t="str">
        <f ca="1">IFERROR(VLOOKUP(BO421,INDIRECT(AQ429),2,FALSE),"----")</f>
        <v>----</v>
      </c>
      <c r="BQ421" s="694" t="e">
        <f t="shared" ca="1" si="6459"/>
        <v>#REF!</v>
      </c>
      <c r="BR421" s="686" t="str">
        <f ca="1">IFERROR(VLOOKUP(BQ421,INDIRECT(AQ430),2,FALSE),"----")</f>
        <v>----</v>
      </c>
      <c r="BS421" s="695">
        <f>IF(AI421="",1,IF(COUNTIF(AZ419:AZ430,AI421)=0,2,1))</f>
        <v>1</v>
      </c>
      <c r="BT421" s="696">
        <f>IF(AF421="",1,IF(AZ419=".",2,1))</f>
        <v>1</v>
      </c>
      <c r="BU421" s="706"/>
      <c r="BV421" s="155">
        <f ca="1">IF(COUNTIF(CO419:CO430,AF421)=0,IF(AF421&lt;&gt;"",0,1),1)</f>
        <v>1</v>
      </c>
      <c r="BW421" s="157">
        <f ca="1">IFERROR(MATCH(AF421,CO419:CO430,0),1)</f>
        <v>1</v>
      </c>
      <c r="BX421" s="769"/>
      <c r="BY421" s="769"/>
      <c r="BZ421" s="1110"/>
      <c r="CA421" s="691" t="e">
        <f t="shared" ca="1" si="7496"/>
        <v>#REF!</v>
      </c>
      <c r="CB421" s="4" t="e" cm="1">
        <f t="array" aca="1" ref="CB421" ca="1">IF(AND(INDEX(INDIRECT(BY419),CA421,4)&gt;=$AB419,INDEX(INDIRECT(BY419),CA421,5)&gt;=$S419,INDEX(INDIRECT(BY419),CA421,6)&gt;=$R419),1,0)</f>
        <v>#REF!</v>
      </c>
      <c r="CC421" s="4" t="e">
        <f t="shared" ref="CC421" ca="1" si="7534">MATCH(1,OFFSET(CB419:CB430,CD420,0,COUNT(CB419:CB430)-CD420),0)</f>
        <v>#REF!</v>
      </c>
      <c r="CD421" s="4" t="e">
        <f t="shared" ca="1" si="7498"/>
        <v>#REF!</v>
      </c>
      <c r="CE421" s="692" t="str" cm="1">
        <f t="array" aca="1" ref="CE421" ca="1">IFERROR(VLOOKUP(INDEX(CA419:CA430,CD421),INDIRECT(BY419),2,FALSE),"----")</f>
        <v>----</v>
      </c>
      <c r="CF421" s="691" t="e">
        <f t="shared" ca="1" si="7499"/>
        <v>#N/A</v>
      </c>
      <c r="CG421" s="4" t="e">
        <f ca="1">IF(AND(INDEX(SSM,CF421,4)&gt;=$AB419,INDEX(SSM,CF421,5)&gt;=$S419,INDEX(SSM,CF421,6)&gt;=$R419),1,0)</f>
        <v>#N/A</v>
      </c>
      <c r="CH421" s="4" t="e">
        <f t="shared" ref="CH421" ca="1" si="7535">MATCH(1,OFFSET(CG419:CG430,CI420,0,COUNT(CG419:CG430)-CI420),0)</f>
        <v>#REF!</v>
      </c>
      <c r="CI421" s="4" t="e">
        <f t="shared" ca="1" si="7501"/>
        <v>#REF!</v>
      </c>
      <c r="CJ421" s="692" t="str">
        <f ca="1">IFERROR(IF(AD420="Nested Steel Stud (wood infill)",VLOOKUP(INDEX(CF419:CF430,CI421),SSW,2,FALSE),VLOOKUP(INDEX(CF419:CF430,CI421),SSM,2,FALSE)),"----")</f>
        <v>----</v>
      </c>
      <c r="CK421" s="691" t="e">
        <f t="shared" ca="1" si="7502"/>
        <v>#N/A</v>
      </c>
      <c r="CL421" s="4" t="e">
        <f ca="1">IF(AND(INDEX(WSM,CK421,4)&gt;=$AB419,INDEX(WSM,CK421,5)&gt;=$S419,INDEX(WSM,CK421,6)&gt;=$R419),1,0)</f>
        <v>#N/A</v>
      </c>
      <c r="CM421" s="4" t="e">
        <f t="shared" ref="CM421" ca="1" si="7536">MATCH(1,OFFSET(CL419:CL430,CN420,0,COUNT(CL419:CL430)-CN420),0)</f>
        <v>#REF!</v>
      </c>
      <c r="CN421" s="4" t="e">
        <f t="shared" ca="1" si="7504"/>
        <v>#REF!</v>
      </c>
      <c r="CO421" s="692" t="str">
        <f ca="1">IFERROR(VLOOKUP(INDEX(CK419:CK430,CN421),WSM,2,FALSE),"----")</f>
        <v>----</v>
      </c>
      <c r="CP421" s="691" t="e">
        <f t="shared" ca="1" si="7505"/>
        <v>#N/A</v>
      </c>
      <c r="CQ421" s="4" t="e">
        <f ca="1">IF(AND(INDEX(STM,CP421,4)&gt;=$AB419,INDEX(STM,CP421,5)&gt;=$S419,INDEX(STM,CP421,6)&gt;=$R419),1,0)</f>
        <v>#N/A</v>
      </c>
      <c r="CR421" s="4" t="e">
        <f t="shared" ref="CR421" ca="1" si="7537">MATCH(1,OFFSET(CQ419:CQ430,CS420,0,COUNT(CQ419:CQ430)-CS420),0)</f>
        <v>#REF!</v>
      </c>
      <c r="CS421" s="4" t="e">
        <f t="shared" ca="1" si="7507"/>
        <v>#REF!</v>
      </c>
      <c r="CT421" s="692" t="str">
        <f ca="1">IFERROR(VLOOKUP(INDEX(CP419:CP430,CS421),STM,2,FALSE),"----")</f>
        <v>----</v>
      </c>
      <c r="CU421" s="691" t="e">
        <f t="shared" ca="1" si="7508"/>
        <v>#N/A</v>
      </c>
      <c r="CV421" s="4" t="e">
        <f ca="1">IF(AND(INDEX(ELM,CU421,4)&gt;=$AB419,INDEX(ELM,CU421,5)&gt;=$S419,INDEX(ELM,CU421,6)&gt;=$R419),1,0)</f>
        <v>#N/A</v>
      </c>
      <c r="CW421" s="4" t="e">
        <f t="shared" ref="CW421" ca="1" si="7538">MATCH(1,OFFSET(CV419:CV430,CX420,0,COUNT(CV419:CV430)-CX420),0)</f>
        <v>#REF!</v>
      </c>
      <c r="CX421" s="4" t="e">
        <f t="shared" ca="1" si="7510"/>
        <v>#REF!</v>
      </c>
      <c r="CY421" s="692" t="str">
        <f ca="1">IFERROR(VLOOKUP(INDEX(CU419:CU430,CX421),ELM,2,FALSE),"----")</f>
        <v>----</v>
      </c>
      <c r="CZ421" s="691" t="e">
        <f t="shared" ca="1" si="7511"/>
        <v>#N/A</v>
      </c>
      <c r="DA421" s="4" t="e">
        <f ca="1">IF(LEFT($J419,7)="Clad Wo",IF(AND(INDEX(SPPWS,CZ421,4)&gt;=$AB419,INDEX(SPPWS,CZ421,5)&gt;=$S419,INDEX(SPPWS,CZ421,6)&gt;=$R419),1,0),IF(AND(INDEX(SPM,CZ421,4)&gt;=$AB419,INDEX(SPM,CZ421,5)&gt;=$S419,INDEX(SPM,CZ421,6)&gt;=$R419),1,0))</f>
        <v>#N/A</v>
      </c>
      <c r="DB421" s="4" t="e">
        <f t="shared" ref="DB421" ca="1" si="7539">MATCH(1,OFFSET(DA419:DA430,DC420,0,COUNT(DA419:DA430)-DC420),0)</f>
        <v>#REF!</v>
      </c>
      <c r="DC421" s="4" t="e">
        <f t="shared" ca="1" si="7513"/>
        <v>#REF!</v>
      </c>
      <c r="DD421" s="693" t="str">
        <f ca="1">IF(LEFT($J419,7)="Clad Wo",IFERROR(VLOOKUP(INDEX(CZ419:CZ430,DC421),SPPWS,2,FALSE),"----"),IFERROR(VLOOKUP(INDEX(CZ419:CZ430,DC421),SPM,2,FALSE),"----"))</f>
        <v>----</v>
      </c>
      <c r="DE421" s="691" t="e">
        <f t="shared" ca="1" si="7514"/>
        <v>#REF!</v>
      </c>
      <c r="DF421" s="4" t="e" cm="1">
        <f t="array" aca="1" ref="DF421" ca="1">IF(AND(INDEX(INDIRECT(BY419),DE421,4)&gt;=$AB425,INDEX(INDIRECT(BY419),DE421,5)&gt;=$S419,INDEX(INDIRECT(BY419),DE421,6)&gt;=$R419),1,0)</f>
        <v>#REF!</v>
      </c>
      <c r="DG421" s="4" t="e">
        <f t="shared" ref="DG421" ca="1" si="7540">MATCH(1,OFFSET(DF419:DF430,DH420,0,COUNT(DF419:DF430)-DH420),0)</f>
        <v>#REF!</v>
      </c>
      <c r="DH421" s="4" t="e">
        <f t="shared" ca="1" si="7516"/>
        <v>#REF!</v>
      </c>
      <c r="DI421" s="692" t="str" cm="1">
        <f t="array" aca="1" ref="DI421" ca="1">IFERROR(VLOOKUP(INDEX(DE419:DE430,DH421),INDIRECT(BY419),2,FALSE),"----")</f>
        <v>----</v>
      </c>
      <c r="DJ421" s="691" t="e">
        <f t="shared" ca="1" si="7517"/>
        <v>#N/A</v>
      </c>
      <c r="DK421" s="4" t="e">
        <f ca="1">IF(AND(INDEX(SSM,DJ421,4)&gt;=$AB425,INDEX(SSM,DJ421,5)&gt;=$S419,INDEX(SSM,DJ421,6)&gt;=$R419),1,0)</f>
        <v>#N/A</v>
      </c>
      <c r="DL421" s="4" t="e">
        <f t="shared" ref="DL421" ca="1" si="7541">MATCH(1,OFFSET(DK419:DK430,DM420,0,COUNT(DK419:DK430)-DM420),0)</f>
        <v>#REF!</v>
      </c>
      <c r="DM421" s="4" t="e">
        <f t="shared" ca="1" si="7519"/>
        <v>#REF!</v>
      </c>
      <c r="DN421" s="692" t="str">
        <f ca="1">IFERROR(IF(AD426="Nested Steel Stud (wood infill)",VLOOKUP(INDEX(DJ419:DJ430,DM421),SSW,2,FALSE),VLOOKUP(INDEX(DJ419:DJ430,DM421),SSM,2,FALSE)),"----")</f>
        <v>----</v>
      </c>
      <c r="DO421" s="691" t="e">
        <f t="shared" ca="1" si="7520"/>
        <v>#N/A</v>
      </c>
      <c r="DP421" s="4" t="e">
        <f ca="1">IF(AND(INDEX(WSM,DO421,4)&gt;=$AB425,INDEX(WSM,DO421,5)&gt;=$S419,INDEX(WSM,DO421,6)&gt;=$R419),1,0)</f>
        <v>#N/A</v>
      </c>
      <c r="DQ421" s="4" t="e">
        <f t="shared" ref="DQ421" ca="1" si="7542">MATCH(1,OFFSET(DP419:DP430,DR420,0,COUNT(DP419:DP430)-DR420),0)</f>
        <v>#REF!</v>
      </c>
      <c r="DR421" s="4" t="e">
        <f t="shared" ca="1" si="7522"/>
        <v>#REF!</v>
      </c>
      <c r="DS421" s="692" t="str">
        <f ca="1">IFERROR(VLOOKUP(INDEX(DO419:DO430,DR421),WSM,2,FALSE),"----")</f>
        <v>----</v>
      </c>
      <c r="DT421" s="691" t="e">
        <f t="shared" ca="1" si="7523"/>
        <v>#N/A</v>
      </c>
      <c r="DU421" s="4" t="e">
        <f ca="1">IF(AND(INDEX(STM,DT421,4)&gt;=$AB425,INDEX(STM,DT421,5)&gt;=$S419,INDEX(STM,DT421,6)&gt;=$R419),1,0)</f>
        <v>#N/A</v>
      </c>
      <c r="DV421" s="4" t="e">
        <f t="shared" ref="DV421" ca="1" si="7543">MATCH(1,OFFSET(DU419:DU430,DW420,0,COUNT(DU419:DU430)-DW420),0)</f>
        <v>#REF!</v>
      </c>
      <c r="DW421" s="4" t="e">
        <f t="shared" ca="1" si="7525"/>
        <v>#REF!</v>
      </c>
      <c r="DX421" s="692" t="str">
        <f ca="1">IFERROR(VLOOKUP(INDEX(DT419:DT430,DW421),STM,2,FALSE),"----")</f>
        <v>----</v>
      </c>
      <c r="DY421" s="691" t="e">
        <f t="shared" ca="1" si="7526"/>
        <v>#N/A</v>
      </c>
      <c r="DZ421" s="4" t="e">
        <f ca="1">IF(AND(INDEX(ELM,DY421,4)&gt;=$AB425,INDEX(ELM,DY421,5)&gt;=$S419,INDEX(ELM,DY421,6)&gt;=$R419),1,0)</f>
        <v>#N/A</v>
      </c>
      <c r="EA421" s="4" t="e">
        <f t="shared" ref="EA421" ca="1" si="7544">MATCH(1,OFFSET(DZ419:DZ430,EB420,0,COUNT(DZ419:DZ430)-EB420),0)</f>
        <v>#REF!</v>
      </c>
      <c r="EB421" s="4" t="e">
        <f t="shared" ca="1" si="7528"/>
        <v>#REF!</v>
      </c>
      <c r="EC421" s="692" t="str">
        <f ca="1">IFERROR(VLOOKUP(INDEX(DY419:DY430,EB421),ELM,2,FALSE),"----")</f>
        <v>----</v>
      </c>
      <c r="ED421" s="691" t="e">
        <f t="shared" ca="1" si="7529"/>
        <v>#N/A</v>
      </c>
      <c r="EE421" s="4" t="e">
        <f ca="1">IF(LEFT($J419,7)="Clad Wo",IF(AND(INDEX(SPPWS,ED421,4)&gt;=$AB425,INDEX(SPPWS,ED421,5)&gt;=$S419,INDEX(SPPWS,ED421,6)&gt;=$R419),1,0),IF(AND(INDEX(SPM,ED421,4)&gt;=$AB425,INDEX(SPM,ED421,5)&gt;=$S419,INDEX(SPM,ED421,6)&gt;=$R419),1,0))</f>
        <v>#N/A</v>
      </c>
      <c r="EF421" s="4" t="e">
        <f t="shared" ref="EF421" ca="1" si="7545">MATCH(1,OFFSET(EE419:EE430,EG420,0,COUNT(EE419:EE430)-EG420),0)</f>
        <v>#REF!</v>
      </c>
      <c r="EG421" s="4" t="e">
        <f t="shared" ca="1" si="7531"/>
        <v>#REF!</v>
      </c>
      <c r="EH421" s="692" t="str">
        <f ca="1">IF(LEFT($J419,7)="Clad Wo",IFERROR(VLOOKUP(INDEX(ED419:ED430,EG421),SPPWS,2,FALSE),"----"),IFERROR(VLOOKUP(INDEX(ED419:ED430,EG421),SPM,2,FALSE),"----"))</f>
        <v>----</v>
      </c>
    </row>
    <row r="422" spans="1:138" ht="15" customHeight="1" x14ac:dyDescent="0.25">
      <c r="A422" s="1085"/>
      <c r="B422" s="925"/>
      <c r="C422" s="926"/>
      <c r="D422" s="927"/>
      <c r="E422" s="995"/>
      <c r="F422" s="996"/>
      <c r="G422" s="997"/>
      <c r="H422" s="1062"/>
      <c r="I422" s="990"/>
      <c r="J422" s="908"/>
      <c r="K422" s="909"/>
      <c r="L422" s="1002"/>
      <c r="M422" s="923"/>
      <c r="N422" s="1042"/>
      <c r="O422" s="1018"/>
      <c r="P422" s="987"/>
      <c r="Q422" s="1015"/>
      <c r="R422" s="1012"/>
      <c r="S422" s="1006"/>
      <c r="T422" s="1007"/>
      <c r="U422" s="878"/>
      <c r="V422" s="881"/>
      <c r="W422" s="884"/>
      <c r="X422" s="884"/>
      <c r="Y422" s="887"/>
      <c r="Z422" s="887"/>
      <c r="AA422" s="887"/>
      <c r="AB422" s="1081"/>
      <c r="AC422" s="1078"/>
      <c r="AD422" s="1070" t="s">
        <v>37</v>
      </c>
      <c r="AE422" s="1071"/>
      <c r="AF422" s="1052"/>
      <c r="AG422" s="1053"/>
      <c r="AH422" s="1053"/>
      <c r="AI422" s="1066"/>
      <c r="AJ422" s="1067"/>
      <c r="AK422" s="156" t="str">
        <f t="shared" ca="1" si="7482"/>
        <v/>
      </c>
      <c r="AL422" s="1039"/>
      <c r="AM422" s="343" t="str">
        <f ca="1">IFERROR(Q419/12*ROUND(VLOOKUP(AF422,OFFSET(STM,0,1),6,FALSE),2),"")</f>
        <v/>
      </c>
      <c r="AN422" t="str">
        <f t="shared" ca="1" si="7532"/>
        <v/>
      </c>
      <c r="AP422" s="122" t="str">
        <f t="shared" ref="AP422" si="7546">_xlfn.CONCAT(AR422,AS424)</f>
        <v/>
      </c>
      <c r="AQ422" s="683" t="str">
        <f t="shared" si="6434"/>
        <v/>
      </c>
      <c r="AR422" s="4" t="str">
        <f t="shared" si="7457"/>
        <v/>
      </c>
      <c r="AS422" s="4"/>
      <c r="AT422" s="697" t="str">
        <f>AL419</f>
        <v/>
      </c>
      <c r="AU422" s="694" t="e">
        <f t="shared" ca="1" si="6450"/>
        <v>#REF!</v>
      </c>
      <c r="AV422" s="686" t="str">
        <f ca="1">IFERROR(VLOOKUP(AU422,INDIRECT(AQ419),2,FALSE),"----")</f>
        <v>----</v>
      </c>
      <c r="AW422" s="694" t="e">
        <f t="shared" ca="1" si="6451"/>
        <v>#REF!</v>
      </c>
      <c r="AX422" s="686" t="str">
        <f ca="1">IFERROR(VLOOKUP(AW422,INDIRECT(AQ420),2,FALSE),"----")</f>
        <v>----</v>
      </c>
      <c r="AY422" s="694" t="e">
        <f t="shared" ref="AY422" ca="1" si="7547">AY421-1</f>
        <v>#REF!</v>
      </c>
      <c r="AZ422" s="686" t="str">
        <f ca="1">IFERROR(VLOOKUP(AY422,INDIRECT(AQ421),2,FALSE),"----")</f>
        <v>----</v>
      </c>
      <c r="BA422" s="694" t="e">
        <f t="shared" ref="BA422" ca="1" si="7548">BA421-1</f>
        <v>#REF!</v>
      </c>
      <c r="BB422" s="686" t="str">
        <f ca="1">IFERROR(VLOOKUP(BA422,INDIRECT(AQ422),2,FALSE),"----")</f>
        <v>----</v>
      </c>
      <c r="BC422" s="694" t="e">
        <f t="shared" ca="1" si="6452"/>
        <v>#REF!</v>
      </c>
      <c r="BD422" s="686" t="str">
        <f ca="1">IFERROR(VLOOKUP(BC422,INDIRECT(AQ423),2,FALSE),"----")</f>
        <v>----</v>
      </c>
      <c r="BE422" s="694" t="e">
        <f t="shared" ca="1" si="6453"/>
        <v>#REF!</v>
      </c>
      <c r="BF422" s="686" t="str">
        <f ca="1">IFERROR(VLOOKUP(BE422,INDIRECT(AQ424),2,FALSE),"----")</f>
        <v>----</v>
      </c>
      <c r="BG422" s="694" t="e">
        <f t="shared" ca="1" si="6454"/>
        <v>#REF!</v>
      </c>
      <c r="BH422" s="686" t="str">
        <f ca="1">IFERROR(VLOOKUP(BG422,INDIRECT(AQ425),2,FALSE),"----")</f>
        <v>----</v>
      </c>
      <c r="BI422" s="694" t="e">
        <f t="shared" ca="1" si="6455"/>
        <v>#REF!</v>
      </c>
      <c r="BJ422" s="686" t="str">
        <f ca="1">IFERROR(VLOOKUP(BI422,INDIRECT(AQ426),2,FALSE),"----")</f>
        <v>----</v>
      </c>
      <c r="BK422" s="694" t="e">
        <f t="shared" ca="1" si="6456"/>
        <v>#REF!</v>
      </c>
      <c r="BL422" s="686" t="str">
        <f ca="1">IFERROR(VLOOKUP(BK422,INDIRECT(AQ427),2,FALSE),"----")</f>
        <v>----</v>
      </c>
      <c r="BM422" s="694" t="e">
        <f t="shared" ca="1" si="6457"/>
        <v>#REF!</v>
      </c>
      <c r="BN422" s="686" t="str">
        <f ca="1">IFERROR(VLOOKUP(BM422,INDIRECT(AQ428),2,FALSE),"----")</f>
        <v>----</v>
      </c>
      <c r="BO422" s="694" t="e">
        <f t="shared" ca="1" si="6458"/>
        <v>#REF!</v>
      </c>
      <c r="BP422" s="686" t="str">
        <f ca="1">IFERROR(VLOOKUP(BO422,INDIRECT(AQ429),2,FALSE),"----")</f>
        <v>----</v>
      </c>
      <c r="BQ422" s="694" t="e">
        <f t="shared" ca="1" si="6459"/>
        <v>#REF!</v>
      </c>
      <c r="BR422" s="686" t="str">
        <f ca="1">IFERROR(VLOOKUP(BQ422,INDIRECT(AQ430),2,FALSE),"----")</f>
        <v>----</v>
      </c>
      <c r="BS422" s="695">
        <f>IF(AI422="",1,IF(COUNTIF(BB419:BB430,AI422)=0,2,1))</f>
        <v>1</v>
      </c>
      <c r="BT422" s="696">
        <f>IF(AF422="",1,IF(BB419=".",2,1))</f>
        <v>1</v>
      </c>
      <c r="BU422" s="706"/>
      <c r="BV422" s="155">
        <f ca="1">IF(COUNTIF(CT419:CT430,AF422)=0,IF(AF422&lt;&gt;"",0,1),1)</f>
        <v>1</v>
      </c>
      <c r="BW422" s="157">
        <f ca="1">IFERROR(MATCH(AF422,CT419:CT430,0),1)</f>
        <v>1</v>
      </c>
      <c r="BX422" s="769"/>
      <c r="BY422" s="769"/>
      <c r="BZ422" s="1110"/>
      <c r="CA422" s="691" t="e">
        <f t="shared" ca="1" si="7496"/>
        <v>#REF!</v>
      </c>
      <c r="CB422" s="4" t="e" cm="1">
        <f t="array" aca="1" ref="CB422" ca="1">IF(AND(INDEX(INDIRECT(BY419),CA422,4)&gt;=$AB419,INDEX(INDIRECT(BY419),CA422,5)&gt;=$S419,INDEX(INDIRECT(BY419),CA422,6)&gt;=$R419),1,0)</f>
        <v>#REF!</v>
      </c>
      <c r="CC422" s="4" t="e">
        <f t="shared" ref="CC422" ca="1" si="7549">MATCH(1,OFFSET(CB419:CB430,CD421,0,COUNT(CB419:CB430)-CD421),0)</f>
        <v>#REF!</v>
      </c>
      <c r="CD422" s="4" t="e">
        <f t="shared" ca="1" si="7498"/>
        <v>#REF!</v>
      </c>
      <c r="CE422" s="692" t="str" cm="1">
        <f t="array" aca="1" ref="CE422" ca="1">IFERROR(VLOOKUP(INDEX(CA419:CA430,CD422),INDIRECT(BY419),2,FALSE),"----")</f>
        <v>----</v>
      </c>
      <c r="CF422" s="691" t="e">
        <f t="shared" ca="1" si="7499"/>
        <v>#N/A</v>
      </c>
      <c r="CG422" s="4" t="e">
        <f ca="1">IF(AND(INDEX(SSM,CF422,4)&gt;=$AB419,INDEX(SSM,CF422,5)&gt;=$S419,INDEX(SSM,CF422,6)&gt;=$R419),1,0)</f>
        <v>#N/A</v>
      </c>
      <c r="CH422" s="4" t="e">
        <f t="shared" ref="CH422" ca="1" si="7550">MATCH(1,OFFSET(CG419:CG430,CI421,0,COUNT(CG419:CG430)-CI421),0)</f>
        <v>#REF!</v>
      </c>
      <c r="CI422" s="4" t="e">
        <f t="shared" ca="1" si="7501"/>
        <v>#REF!</v>
      </c>
      <c r="CJ422" s="692" t="str">
        <f ca="1">IFERROR(IF(AD420="Nested Steel Stud (wood infill)",VLOOKUP(INDEX(CF419:CF430,CI422),SSW,2,FALSE),VLOOKUP(INDEX(CF419:CF430,CI422),SSM,2,FALSE)),"----")</f>
        <v>----</v>
      </c>
      <c r="CK422" s="691" t="e">
        <f t="shared" ca="1" si="7502"/>
        <v>#N/A</v>
      </c>
      <c r="CL422" s="4" t="e">
        <f ca="1">IF(AND(INDEX(WSM,CK422,4)&gt;=$AB419,INDEX(WSM,CK422,5)&gt;=$S419,INDEX(WSM,CK422,6)&gt;=$R419),1,0)</f>
        <v>#N/A</v>
      </c>
      <c r="CM422" s="4" t="e">
        <f t="shared" ref="CM422" ca="1" si="7551">MATCH(1,OFFSET(CL419:CL430,CN421,0,COUNT(CL419:CL430)-CN421),0)</f>
        <v>#REF!</v>
      </c>
      <c r="CN422" s="4" t="e">
        <f t="shared" ca="1" si="7504"/>
        <v>#REF!</v>
      </c>
      <c r="CO422" s="692" t="str">
        <f ca="1">IFERROR(VLOOKUP(INDEX(CK419:CK430,CN422),WSM,2,FALSE),"----")</f>
        <v>----</v>
      </c>
      <c r="CP422" s="691" t="e">
        <f t="shared" ca="1" si="7505"/>
        <v>#N/A</v>
      </c>
      <c r="CQ422" s="4" t="e">
        <f ca="1">IF(AND(INDEX(STM,CP422,4)&gt;=$AB419,INDEX(STM,CP422,5)&gt;=$S419,INDEX(STM,CP422,6)&gt;=$R419),1,0)</f>
        <v>#N/A</v>
      </c>
      <c r="CR422" s="4" t="e">
        <f t="shared" ref="CR422" ca="1" si="7552">MATCH(1,OFFSET(CQ419:CQ430,CS421,0,COUNT(CQ419:CQ430)-CS421),0)</f>
        <v>#REF!</v>
      </c>
      <c r="CS422" s="4" t="e">
        <f t="shared" ca="1" si="7507"/>
        <v>#REF!</v>
      </c>
      <c r="CT422" s="692" t="str">
        <f ca="1">IFERROR(VLOOKUP(INDEX(CP419:CP430,CS422),STM,2,FALSE),"----")</f>
        <v>----</v>
      </c>
      <c r="CU422" s="691" t="e">
        <f t="shared" ca="1" si="7508"/>
        <v>#N/A</v>
      </c>
      <c r="CV422" s="4" t="e">
        <f ca="1">IF(AND(INDEX(ELM,CU422,4)&gt;=$AB419,INDEX(ELM,CU422,5)&gt;=$S419,INDEX(ELM,CU422,6)&gt;=$R419),1,0)</f>
        <v>#N/A</v>
      </c>
      <c r="CW422" s="4" t="e">
        <f t="shared" ref="CW422" ca="1" si="7553">MATCH(1,OFFSET(CV419:CV430,CX421,0,COUNT(CV419:CV430)-CX421),0)</f>
        <v>#REF!</v>
      </c>
      <c r="CX422" s="4" t="e">
        <f t="shared" ca="1" si="7510"/>
        <v>#REF!</v>
      </c>
      <c r="CY422" s="692" t="str">
        <f ca="1">IFERROR(VLOOKUP(INDEX(CU419:CU430,CX422),ELM,2,FALSE),"----")</f>
        <v>----</v>
      </c>
      <c r="CZ422" s="691" t="e">
        <f t="shared" ca="1" si="7511"/>
        <v>#N/A</v>
      </c>
      <c r="DA422" s="4" t="e">
        <f ca="1">IF(LEFT($J419,7)="Clad Wo",IF(AND(INDEX(SPPWS,CZ422,4)&gt;=$AB419,INDEX(SPPWS,CZ422,5)&gt;=$S419,INDEX(SPPWS,CZ422,6)&gt;=$R419),1,0),IF(AND(INDEX(SPM,CZ422,4)&gt;=$AB419,INDEX(SPM,CZ422,5)&gt;=$S419,INDEX(SPM,CZ422,6)&gt;=$R419),1,0))</f>
        <v>#N/A</v>
      </c>
      <c r="DB422" s="4" t="e">
        <f t="shared" ref="DB422" ca="1" si="7554">MATCH(1,OFFSET(DA419:DA430,DC421,0,COUNT(DA419:DA430)-DC421),0)</f>
        <v>#REF!</v>
      </c>
      <c r="DC422" s="4" t="e">
        <f t="shared" ca="1" si="7513"/>
        <v>#REF!</v>
      </c>
      <c r="DD422" s="693" t="str">
        <f ca="1">IF(LEFT($J419,7)="Clad Wo",IFERROR(VLOOKUP(INDEX(CZ419:CZ430,DC422),SPPWS,2,FALSE),"----"),IFERROR(VLOOKUP(INDEX(CZ419:CZ430,DC422),SPM,2,FALSE),"----"))</f>
        <v>----</v>
      </c>
      <c r="DE422" s="691" t="e">
        <f t="shared" ca="1" si="7514"/>
        <v>#REF!</v>
      </c>
      <c r="DF422" s="4" t="e" cm="1">
        <f t="array" aca="1" ref="DF422" ca="1">IF(AND(INDEX(INDIRECT(BY419),DE422,4)&gt;=$AB425,INDEX(INDIRECT(BY419),DE422,5)&gt;=$S419,INDEX(INDIRECT(BY419),DE422,6)&gt;=$R419),1,0)</f>
        <v>#REF!</v>
      </c>
      <c r="DG422" s="4" t="e">
        <f t="shared" ref="DG422" ca="1" si="7555">MATCH(1,OFFSET(DF419:DF430,DH421,0,COUNT(DF419:DF430)-DH421),0)</f>
        <v>#REF!</v>
      </c>
      <c r="DH422" s="4" t="e">
        <f t="shared" ca="1" si="7516"/>
        <v>#REF!</v>
      </c>
      <c r="DI422" s="692" t="str" cm="1">
        <f t="array" aca="1" ref="DI422" ca="1">IFERROR(VLOOKUP(INDEX(DE419:DE430,DH422),INDIRECT(BY419),2,FALSE),"----")</f>
        <v>----</v>
      </c>
      <c r="DJ422" s="691" t="e">
        <f t="shared" ca="1" si="7517"/>
        <v>#N/A</v>
      </c>
      <c r="DK422" s="4" t="e">
        <f ca="1">IF(AND(INDEX(SSM,DJ422,4)&gt;=$AB425,INDEX(SSM,DJ422,5)&gt;=$S419,INDEX(SSM,DJ422,6)&gt;=$R419),1,0)</f>
        <v>#N/A</v>
      </c>
      <c r="DL422" s="4" t="e">
        <f t="shared" ref="DL422" ca="1" si="7556">MATCH(1,OFFSET(DK419:DK430,DM421,0,COUNT(DK419:DK430)-DM421),0)</f>
        <v>#REF!</v>
      </c>
      <c r="DM422" s="4" t="e">
        <f t="shared" ca="1" si="7519"/>
        <v>#REF!</v>
      </c>
      <c r="DN422" s="692" t="str">
        <f ca="1">IFERROR(IF(AD426="Nested Steel Stud (wood infill)",VLOOKUP(INDEX(DJ419:DJ430,DM422),SSW,2,FALSE),VLOOKUP(INDEX(DJ419:DJ430,DM422),SSM,2,FALSE)),"----")</f>
        <v>----</v>
      </c>
      <c r="DO422" s="691" t="e">
        <f t="shared" ca="1" si="7520"/>
        <v>#N/A</v>
      </c>
      <c r="DP422" s="4" t="e">
        <f ca="1">IF(AND(INDEX(WSM,DO422,4)&gt;=$AB425,INDEX(WSM,DO422,5)&gt;=$S419,INDEX(WSM,DO422,6)&gt;=$R419),1,0)</f>
        <v>#N/A</v>
      </c>
      <c r="DQ422" s="4" t="e">
        <f t="shared" ref="DQ422" ca="1" si="7557">MATCH(1,OFFSET(DP419:DP430,DR421,0,COUNT(DP419:DP430)-DR421),0)</f>
        <v>#REF!</v>
      </c>
      <c r="DR422" s="4" t="e">
        <f t="shared" ca="1" si="7522"/>
        <v>#REF!</v>
      </c>
      <c r="DS422" s="692" t="str">
        <f ca="1">IFERROR(VLOOKUP(INDEX(DO419:DO430,DR422),WSM,2,FALSE),"----")</f>
        <v>----</v>
      </c>
      <c r="DT422" s="691" t="e">
        <f t="shared" ca="1" si="7523"/>
        <v>#N/A</v>
      </c>
      <c r="DU422" s="4" t="e">
        <f ca="1">IF(AND(INDEX(STM,DT422,4)&gt;=$AB425,INDEX(STM,DT422,5)&gt;=$S419,INDEX(STM,DT422,6)&gt;=$R419),1,0)</f>
        <v>#N/A</v>
      </c>
      <c r="DV422" s="4" t="e">
        <f t="shared" ref="DV422" ca="1" si="7558">MATCH(1,OFFSET(DU419:DU430,DW421,0,COUNT(DU419:DU430)-DW421),0)</f>
        <v>#REF!</v>
      </c>
      <c r="DW422" s="4" t="e">
        <f t="shared" ca="1" si="7525"/>
        <v>#REF!</v>
      </c>
      <c r="DX422" s="692" t="str">
        <f ca="1">IFERROR(VLOOKUP(INDEX(DT419:DT430,DW422),STM,2,FALSE),"----")</f>
        <v>----</v>
      </c>
      <c r="DY422" s="691" t="e">
        <f t="shared" ca="1" si="7526"/>
        <v>#N/A</v>
      </c>
      <c r="DZ422" s="4" t="e">
        <f ca="1">IF(AND(INDEX(ELM,DY422,4)&gt;=$AB425,INDEX(ELM,DY422,5)&gt;=$S419,INDEX(ELM,DY422,6)&gt;=$R419),1,0)</f>
        <v>#N/A</v>
      </c>
      <c r="EA422" s="4" t="e">
        <f t="shared" ref="EA422" ca="1" si="7559">MATCH(1,OFFSET(DZ419:DZ430,EB421,0,COUNT(DZ419:DZ430)-EB421),0)</f>
        <v>#REF!</v>
      </c>
      <c r="EB422" s="4" t="e">
        <f t="shared" ca="1" si="7528"/>
        <v>#REF!</v>
      </c>
      <c r="EC422" s="692" t="str">
        <f ca="1">IFERROR(VLOOKUP(INDEX(DY419:DY430,EB422),ELM,2,FALSE),"----")</f>
        <v>----</v>
      </c>
      <c r="ED422" s="691" t="e">
        <f t="shared" ca="1" si="7529"/>
        <v>#N/A</v>
      </c>
      <c r="EE422" s="4" t="e">
        <f ca="1">IF(LEFT($J419,7)="Clad Wo",IF(AND(INDEX(SPPWS,ED422,4)&gt;=$AB425,INDEX(SPPWS,ED422,5)&gt;=$S419,INDEX(SPPWS,ED422,6)&gt;=$R419),1,0),IF(AND(INDEX(SPM,ED422,4)&gt;=$AB425,INDEX(SPM,ED422,5)&gt;=$S419,INDEX(SPM,ED422,6)&gt;=$R419),1,0))</f>
        <v>#N/A</v>
      </c>
      <c r="EF422" s="4" t="e">
        <f t="shared" ref="EF422" ca="1" si="7560">MATCH(1,OFFSET(EE419:EE430,EG421,0,COUNT(EE419:EE430)-EG421),0)</f>
        <v>#REF!</v>
      </c>
      <c r="EG422" s="4" t="e">
        <f t="shared" ca="1" si="7531"/>
        <v>#REF!</v>
      </c>
      <c r="EH422" s="692" t="str">
        <f ca="1">IF(LEFT($J419,7)="Clad Wo",IFERROR(VLOOKUP(INDEX(ED419:ED430,EG422),SPPWS,2,FALSE),"----"),IFERROR(VLOOKUP(INDEX(ED419:ED430,EG422),SPM,2,FALSE),"----"))</f>
        <v>----</v>
      </c>
    </row>
    <row r="423" spans="1:138" ht="15" customHeight="1" x14ac:dyDescent="0.25">
      <c r="A423" s="1085"/>
      <c r="B423" s="925"/>
      <c r="C423" s="926"/>
      <c r="D423" s="927"/>
      <c r="E423" s="995"/>
      <c r="F423" s="996"/>
      <c r="G423" s="997"/>
      <c r="H423" s="1062"/>
      <c r="I423" s="990"/>
      <c r="J423" s="910"/>
      <c r="K423" s="911"/>
      <c r="L423" s="1002"/>
      <c r="M423" s="923"/>
      <c r="N423" s="1042"/>
      <c r="O423" s="1018"/>
      <c r="P423" s="987"/>
      <c r="Q423" s="1015"/>
      <c r="R423" s="1012"/>
      <c r="S423" s="1006"/>
      <c r="T423" s="1007"/>
      <c r="U423" s="878"/>
      <c r="V423" s="881"/>
      <c r="W423" s="884"/>
      <c r="X423" s="884"/>
      <c r="Y423" s="887"/>
      <c r="Z423" s="887"/>
      <c r="AA423" s="887"/>
      <c r="AB423" s="1081"/>
      <c r="AC423" s="1078"/>
      <c r="AD423" s="1070" t="s">
        <v>39</v>
      </c>
      <c r="AE423" s="1071"/>
      <c r="AF423" s="1052"/>
      <c r="AG423" s="1053"/>
      <c r="AH423" s="1053"/>
      <c r="AI423" s="1068"/>
      <c r="AJ423" s="1069"/>
      <c r="AK423" s="154" t="str">
        <f t="shared" ca="1" si="7482"/>
        <v/>
      </c>
      <c r="AL423" s="1039"/>
      <c r="AM423" s="344" t="str">
        <f ca="1">IFERROR(Q419/12*ROUND(VLOOKUP(AF423,OFFSET(ELM,0,1),6,FALSE),2),"")</f>
        <v/>
      </c>
      <c r="AN423" t="str">
        <f t="shared" ca="1" si="7532"/>
        <v/>
      </c>
      <c r="AP423" s="122" t="str">
        <f t="shared" ref="AP423" si="7561">_xlfn.CONCAT(AR423,AS424)</f>
        <v/>
      </c>
      <c r="AQ423" s="683" t="str">
        <f t="shared" si="6434"/>
        <v/>
      </c>
      <c r="AR423" s="4" t="str">
        <f t="shared" si="7457"/>
        <v/>
      </c>
      <c r="AS423" s="4"/>
      <c r="AT423" s="697" t="str">
        <f>AL419</f>
        <v/>
      </c>
      <c r="AU423" s="694" t="e">
        <f t="shared" ca="1" si="6450"/>
        <v>#REF!</v>
      </c>
      <c r="AV423" s="698" t="str">
        <f ca="1">IFERROR(VLOOKUP(AU423,INDIRECT(AQ419),2,FALSE),"----")</f>
        <v>----</v>
      </c>
      <c r="AW423" s="694" t="e">
        <f t="shared" ca="1" si="6451"/>
        <v>#REF!</v>
      </c>
      <c r="AX423" s="698" t="str">
        <f ca="1">IFERROR(VLOOKUP(AW423,INDIRECT(AQ420),2,FALSE),"----")</f>
        <v>----</v>
      </c>
      <c r="AY423" s="694" t="e">
        <f t="shared" ref="AY423" ca="1" si="7562">AY422-1</f>
        <v>#REF!</v>
      </c>
      <c r="AZ423" s="698" t="str">
        <f ca="1">IFERROR(VLOOKUP(AY423,INDIRECT(AQ421),2,FALSE),"----")</f>
        <v>----</v>
      </c>
      <c r="BA423" s="694" t="e">
        <f t="shared" ref="BA423" ca="1" si="7563">BA422-1</f>
        <v>#REF!</v>
      </c>
      <c r="BB423" s="698" t="str">
        <f ca="1">IFERROR(VLOOKUP(BA423,INDIRECT(AQ422),2,FALSE),"----")</f>
        <v>----</v>
      </c>
      <c r="BC423" s="694" t="e">
        <f t="shared" ca="1" si="6452"/>
        <v>#REF!</v>
      </c>
      <c r="BD423" s="698" t="str">
        <f ca="1">IFERROR(VLOOKUP(BC423,INDIRECT(AQ423),2,FALSE),"----")</f>
        <v>----</v>
      </c>
      <c r="BE423" s="694" t="e">
        <f t="shared" ca="1" si="6453"/>
        <v>#REF!</v>
      </c>
      <c r="BF423" s="698" t="str">
        <f ca="1">IFERROR(VLOOKUP(BE423,INDIRECT(AQ424),2,FALSE),"----")</f>
        <v>----</v>
      </c>
      <c r="BG423" s="694" t="e">
        <f t="shared" ca="1" si="6454"/>
        <v>#REF!</v>
      </c>
      <c r="BH423" s="686" t="str">
        <f ca="1">IFERROR(VLOOKUP(BG423,INDIRECT(AQ425),2,FALSE),"----")</f>
        <v>----</v>
      </c>
      <c r="BI423" s="694" t="e">
        <f t="shared" ca="1" si="6455"/>
        <v>#REF!</v>
      </c>
      <c r="BJ423" s="686" t="str">
        <f ca="1">IFERROR(VLOOKUP(BI423,INDIRECT(AQ426),2,FALSE),"----")</f>
        <v>----</v>
      </c>
      <c r="BK423" s="694" t="e">
        <f t="shared" ca="1" si="6456"/>
        <v>#REF!</v>
      </c>
      <c r="BL423" s="686" t="str">
        <f ca="1">IFERROR(VLOOKUP(BK423,INDIRECT(AQ427),2,FALSE),"----")</f>
        <v>----</v>
      </c>
      <c r="BM423" s="694" t="e">
        <f t="shared" ca="1" si="6457"/>
        <v>#REF!</v>
      </c>
      <c r="BN423" s="686" t="str">
        <f ca="1">IFERROR(VLOOKUP(BM423,INDIRECT(AQ428),2,FALSE),"----")</f>
        <v>----</v>
      </c>
      <c r="BO423" s="694" t="e">
        <f t="shared" ca="1" si="6458"/>
        <v>#REF!</v>
      </c>
      <c r="BP423" s="686" t="str">
        <f ca="1">IFERROR(VLOOKUP(BO423,INDIRECT(AQ429),2,FALSE),"----")</f>
        <v>----</v>
      </c>
      <c r="BQ423" s="694" t="e">
        <f t="shared" ca="1" si="6459"/>
        <v>#REF!</v>
      </c>
      <c r="BR423" s="686" t="str">
        <f ca="1">IFERROR(VLOOKUP(BQ423,INDIRECT(AQ430),2,FALSE),"----")</f>
        <v>----</v>
      </c>
      <c r="BS423" s="695">
        <f>IF(AI423="",1,IF(COUNTIF(BD419:BD430,AI423)=0,2,1))</f>
        <v>1</v>
      </c>
      <c r="BT423" s="696">
        <f>IF(AF423="",1,IF(BD419=".",2,1))</f>
        <v>1</v>
      </c>
      <c r="BU423" s="706"/>
      <c r="BV423" s="155">
        <f ca="1">IF(COUNTIF(CY419:CY430,AF423)=0,IF(AF423&lt;&gt;"",0,1),1)</f>
        <v>1</v>
      </c>
      <c r="BW423" s="157">
        <f ca="1">IFERROR(MATCH(AF423,CY419:CY430,0),1)</f>
        <v>1</v>
      </c>
      <c r="BX423" s="769"/>
      <c r="BY423" s="769"/>
      <c r="BZ423" s="1110"/>
      <c r="CA423" s="691" t="e">
        <f t="shared" ca="1" si="7496"/>
        <v>#REF!</v>
      </c>
      <c r="CB423" s="4" t="e" cm="1">
        <f t="array" aca="1" ref="CB423" ca="1">IF(AND(INDEX(INDIRECT(BY419),CA423,4)&gt;=$AB419,INDEX(INDIRECT(BY419),CA423,5)&gt;=$S419,INDEX(INDIRECT(BY419),CA423,6)&gt;=$R419),1,0)</f>
        <v>#REF!</v>
      </c>
      <c r="CC423" s="4" t="e">
        <f t="shared" ref="CC423" ca="1" si="7564">MATCH(1,OFFSET(CB419:CB430,CD422,0,COUNT(CB419:CB430)-CD422),0)</f>
        <v>#REF!</v>
      </c>
      <c r="CD423" s="4" t="e">
        <f t="shared" ca="1" si="7498"/>
        <v>#REF!</v>
      </c>
      <c r="CE423" s="692" t="str" cm="1">
        <f t="array" aca="1" ref="CE423" ca="1">IFERROR(VLOOKUP(INDEX(CA419:CA430,CD423),INDIRECT(BY419),2,FALSE),"----")</f>
        <v>----</v>
      </c>
      <c r="CF423" s="691" t="e">
        <f t="shared" ca="1" si="7499"/>
        <v>#N/A</v>
      </c>
      <c r="CG423" s="4" t="e">
        <f ca="1">IF(AND(INDEX(SSM,CF423,4)&gt;=$AB419,INDEX(SSM,CF423,5)&gt;=$S419,INDEX(SSM,CF423,6)&gt;=$R419),1,0)</f>
        <v>#N/A</v>
      </c>
      <c r="CH423" s="4" t="e">
        <f t="shared" ref="CH423" ca="1" si="7565">MATCH(1,OFFSET(CG419:CG430,CI422,0,COUNT(CG419:CG430)-CI422),0)</f>
        <v>#REF!</v>
      </c>
      <c r="CI423" s="4" t="e">
        <f t="shared" ca="1" si="7501"/>
        <v>#REF!</v>
      </c>
      <c r="CJ423" s="692" t="str">
        <f ca="1">IFERROR(IF(AD420="Nested Steel Stud (wood infill)",VLOOKUP(INDEX(CF419:CF430,CI423),SSW,2,FALSE),VLOOKUP(INDEX(CF419:CF430,CI423),SSM,2,FALSE)),"----")</f>
        <v>----</v>
      </c>
      <c r="CK423" s="691" t="e">
        <f t="shared" ca="1" si="7502"/>
        <v>#N/A</v>
      </c>
      <c r="CL423" s="4" t="e">
        <f ca="1">IF(AND(INDEX(WSM,CK423,4)&gt;=$AB419,INDEX(WSM,CK423,5)&gt;=$S419,INDEX(WSM,CK423,6)&gt;=$R419),1,0)</f>
        <v>#N/A</v>
      </c>
      <c r="CM423" s="4" t="e">
        <f t="shared" ref="CM423" ca="1" si="7566">MATCH(1,OFFSET(CL419:CL430,CN422,0,COUNT(CL419:CL430)-CN422),0)</f>
        <v>#REF!</v>
      </c>
      <c r="CN423" s="4" t="e">
        <f t="shared" ca="1" si="7504"/>
        <v>#REF!</v>
      </c>
      <c r="CO423" s="692" t="str">
        <f ca="1">IFERROR(VLOOKUP(INDEX(CK419:CK430,CN423),WSM,2,FALSE),"----")</f>
        <v>----</v>
      </c>
      <c r="CP423" s="691" t="e">
        <f t="shared" ca="1" si="7505"/>
        <v>#N/A</v>
      </c>
      <c r="CQ423" s="4" t="e">
        <f ca="1">IF(AND(INDEX(STM,CP423,4)&gt;=$AB419,INDEX(STM,CP423,5)&gt;=$S419,INDEX(STM,CP423,6)&gt;=$R419),1,0)</f>
        <v>#N/A</v>
      </c>
      <c r="CR423" s="4" t="e">
        <f t="shared" ref="CR423" ca="1" si="7567">MATCH(1,OFFSET(CQ419:CQ430,CS422,0,COUNT(CQ419:CQ430)-CS422),0)</f>
        <v>#REF!</v>
      </c>
      <c r="CS423" s="4" t="e">
        <f t="shared" ca="1" si="7507"/>
        <v>#REF!</v>
      </c>
      <c r="CT423" s="692" t="str">
        <f ca="1">IFERROR(VLOOKUP(INDEX(CP419:CP430,CS423),STM,2,FALSE),"----")</f>
        <v>----</v>
      </c>
      <c r="CU423" s="691" t="e">
        <f t="shared" ca="1" si="7508"/>
        <v>#N/A</v>
      </c>
      <c r="CV423" s="4" t="e">
        <f ca="1">IF(AND(INDEX(ELM,CU423,4)&gt;=$AB419,INDEX(ELM,CU423,5)&gt;=$S419,INDEX(ELM,CU423,6)&gt;=$R419),1,0)</f>
        <v>#N/A</v>
      </c>
      <c r="CW423" s="4" t="e">
        <f t="shared" ref="CW423" ca="1" si="7568">MATCH(1,OFFSET(CV419:CV430,CX422,0,COUNT(CV419:CV430)-CX422),0)</f>
        <v>#REF!</v>
      </c>
      <c r="CX423" s="4" t="e">
        <f t="shared" ca="1" si="7510"/>
        <v>#REF!</v>
      </c>
      <c r="CY423" s="692" t="str">
        <f ca="1">IFERROR(VLOOKUP(INDEX(CU419:CU430,CX423),ELM,2,FALSE),"----")</f>
        <v>----</v>
      </c>
      <c r="CZ423" s="691" t="e">
        <f t="shared" ca="1" si="7511"/>
        <v>#N/A</v>
      </c>
      <c r="DA423" s="4" t="e">
        <f ca="1">IF(LEFT($J419,7)="Clad Wo",IF(AND(INDEX(SPPWS,CZ423,4)&gt;=$AB419,INDEX(SPPWS,CZ423,5)&gt;=$S419,INDEX(SPPWS,CZ423,6)&gt;=$R419),1,0),IF(AND(INDEX(SPM,CZ423,4)&gt;=$AB419,INDEX(SPM,CZ423,5)&gt;=$S419,INDEX(SPM,CZ423,6)&gt;=$R419),1,0))</f>
        <v>#N/A</v>
      </c>
      <c r="DB423" s="4" t="e">
        <f t="shared" ref="DB423" ca="1" si="7569">MATCH(1,OFFSET(DA419:DA430,DC422,0,COUNT(DA419:DA430)-DC422),0)</f>
        <v>#REF!</v>
      </c>
      <c r="DC423" s="4" t="e">
        <f t="shared" ca="1" si="7513"/>
        <v>#REF!</v>
      </c>
      <c r="DD423" s="693" t="str">
        <f ca="1">IF(LEFT($J419,7)="Clad Wo",IFERROR(VLOOKUP(INDEX(CZ419:CZ430,DC423),SPPWS,2,FALSE),"----"),IFERROR(VLOOKUP(INDEX(CZ419:CZ430,DC423),SPM,2,FALSE),"----"))</f>
        <v>----</v>
      </c>
      <c r="DE423" s="691" t="e">
        <f t="shared" ca="1" si="7514"/>
        <v>#REF!</v>
      </c>
      <c r="DF423" s="4" t="e" cm="1">
        <f t="array" aca="1" ref="DF423" ca="1">IF(AND(INDEX(INDIRECT(BY419),DE423,4)&gt;=$AB425,INDEX(INDIRECT(BY419),DE423,5)&gt;=$S419,INDEX(INDIRECT(BY419),DE423,6)&gt;=$R419),1,0)</f>
        <v>#REF!</v>
      </c>
      <c r="DG423" s="4" t="e">
        <f t="shared" ref="DG423" ca="1" si="7570">MATCH(1,OFFSET(DF419:DF430,DH422,0,COUNT(DF419:DF430)-DH422),0)</f>
        <v>#REF!</v>
      </c>
      <c r="DH423" s="4" t="e">
        <f t="shared" ca="1" si="7516"/>
        <v>#REF!</v>
      </c>
      <c r="DI423" s="692" t="str" cm="1">
        <f t="array" aca="1" ref="DI423" ca="1">IFERROR(VLOOKUP(INDEX(DE419:DE430,DH423),INDIRECT(BY419),2,FALSE),"----")</f>
        <v>----</v>
      </c>
      <c r="DJ423" s="691" t="e">
        <f t="shared" ca="1" si="7517"/>
        <v>#N/A</v>
      </c>
      <c r="DK423" s="4" t="e">
        <f ca="1">IF(AND(INDEX(SSM,DJ423,4)&gt;=$AB425,INDEX(SSM,DJ423,5)&gt;=$S419,INDEX(SSM,DJ423,6)&gt;=$R419),1,0)</f>
        <v>#N/A</v>
      </c>
      <c r="DL423" s="4" t="e">
        <f t="shared" ref="DL423" ca="1" si="7571">MATCH(1,OFFSET(DK419:DK430,DM422,0,COUNT(DK419:DK430)-DM422),0)</f>
        <v>#REF!</v>
      </c>
      <c r="DM423" s="4" t="e">
        <f t="shared" ca="1" si="7519"/>
        <v>#REF!</v>
      </c>
      <c r="DN423" s="692" t="str">
        <f ca="1">IFERROR(IF(AD426="Nested Steel Stud (wood infill)",VLOOKUP(INDEX(DJ419:DJ430,DM423),SSW,2,FALSE),VLOOKUP(INDEX(DJ419:DJ430,DM423),SSM,2,FALSE)),"----")</f>
        <v>----</v>
      </c>
      <c r="DO423" s="691" t="e">
        <f t="shared" ca="1" si="7520"/>
        <v>#N/A</v>
      </c>
      <c r="DP423" s="4" t="e">
        <f ca="1">IF(AND(INDEX(WSM,DO423,4)&gt;=$AB425,INDEX(WSM,DO423,5)&gt;=$S419,INDEX(WSM,DO423,6)&gt;=$R419),1,0)</f>
        <v>#N/A</v>
      </c>
      <c r="DQ423" s="4" t="e">
        <f t="shared" ref="DQ423" ca="1" si="7572">MATCH(1,OFFSET(DP419:DP430,DR422,0,COUNT(DP419:DP430)-DR422),0)</f>
        <v>#REF!</v>
      </c>
      <c r="DR423" s="4" t="e">
        <f t="shared" ca="1" si="7522"/>
        <v>#REF!</v>
      </c>
      <c r="DS423" s="692" t="str">
        <f ca="1">IFERROR(VLOOKUP(INDEX(DO419:DO430,DR423),WSM,2,FALSE),"----")</f>
        <v>----</v>
      </c>
      <c r="DT423" s="691" t="e">
        <f t="shared" ca="1" si="7523"/>
        <v>#N/A</v>
      </c>
      <c r="DU423" s="4" t="e">
        <f ca="1">IF(AND(INDEX(STM,DT423,4)&gt;=$AB425,INDEX(STM,DT423,5)&gt;=$S419,INDEX(STM,DT423,6)&gt;=$R419),1,0)</f>
        <v>#N/A</v>
      </c>
      <c r="DV423" s="4" t="e">
        <f t="shared" ref="DV423" ca="1" si="7573">MATCH(1,OFFSET(DU419:DU430,DW422,0,COUNT(DU419:DU430)-DW422),0)</f>
        <v>#REF!</v>
      </c>
      <c r="DW423" s="4" t="e">
        <f t="shared" ca="1" si="7525"/>
        <v>#REF!</v>
      </c>
      <c r="DX423" s="692" t="str">
        <f ca="1">IFERROR(VLOOKUP(INDEX(DT419:DT430,DW423),STM,2,FALSE),"----")</f>
        <v>----</v>
      </c>
      <c r="DY423" s="691" t="e">
        <f t="shared" ca="1" si="7526"/>
        <v>#N/A</v>
      </c>
      <c r="DZ423" s="4" t="e">
        <f ca="1">IF(AND(INDEX(ELM,DY423,4)&gt;=$AB425,INDEX(ELM,DY423,5)&gt;=$S419,INDEX(ELM,DY423,6)&gt;=$R419),1,0)</f>
        <v>#N/A</v>
      </c>
      <c r="EA423" s="4" t="e">
        <f t="shared" ref="EA423" ca="1" si="7574">MATCH(1,OFFSET(DZ419:DZ430,EB422,0,COUNT(DZ419:DZ430)-EB422),0)</f>
        <v>#REF!</v>
      </c>
      <c r="EB423" s="4" t="e">
        <f t="shared" ca="1" si="7528"/>
        <v>#REF!</v>
      </c>
      <c r="EC423" s="692" t="str">
        <f ca="1">IFERROR(VLOOKUP(INDEX(DY419:DY430,EB423),ELM,2,FALSE),"----")</f>
        <v>----</v>
      </c>
      <c r="ED423" s="691" t="e">
        <f t="shared" ca="1" si="7529"/>
        <v>#N/A</v>
      </c>
      <c r="EE423" s="4" t="e">
        <f ca="1">IF(LEFT($J419,7)="Clad Wo",IF(AND(INDEX(SPPWS,ED423,4)&gt;=$AB425,INDEX(SPPWS,ED423,5)&gt;=$S419,INDEX(SPPWS,ED423,6)&gt;=$R419),1,0),IF(AND(INDEX(SPM,ED423,4)&gt;=$AB425,INDEX(SPM,ED423,5)&gt;=$S419,INDEX(SPM,ED423,6)&gt;=$R419),1,0))</f>
        <v>#N/A</v>
      </c>
      <c r="EF423" s="4" t="e">
        <f t="shared" ref="EF423" ca="1" si="7575">MATCH(1,OFFSET(EE419:EE430,EG422,0,COUNT(EE419:EE430)-EG422),0)</f>
        <v>#REF!</v>
      </c>
      <c r="EG423" s="4" t="e">
        <f t="shared" ca="1" si="7531"/>
        <v>#REF!</v>
      </c>
      <c r="EH423" s="692" t="str">
        <f ca="1">IF(LEFT($J419,7)="Clad Wo",IFERROR(VLOOKUP(INDEX(ED419:ED430,EG423),SPPWS,2,FALSE),"----"),IFERROR(VLOOKUP(INDEX(ED419:ED430,EG423),SPM,2,FALSE),"----"))</f>
        <v>----</v>
      </c>
    </row>
    <row r="424" spans="1:138" ht="15" customHeight="1" thickBot="1" x14ac:dyDescent="0.3">
      <c r="A424" s="1085"/>
      <c r="B424" s="934"/>
      <c r="C424" s="935"/>
      <c r="D424" s="936"/>
      <c r="E424" s="995"/>
      <c r="F424" s="996"/>
      <c r="G424" s="997"/>
      <c r="H424" s="1062"/>
      <c r="I424" s="990"/>
      <c r="J424" s="908"/>
      <c r="K424" s="909"/>
      <c r="L424" s="1010"/>
      <c r="M424" s="924"/>
      <c r="N424" s="1044"/>
      <c r="O424" s="1018"/>
      <c r="P424" s="987"/>
      <c r="Q424" s="1015"/>
      <c r="R424" s="1012"/>
      <c r="S424" s="1006"/>
      <c r="T424" s="1007"/>
      <c r="U424" s="878"/>
      <c r="V424" s="881"/>
      <c r="W424" s="889"/>
      <c r="X424" s="884"/>
      <c r="Y424" s="890"/>
      <c r="Z424" s="890"/>
      <c r="AA424" s="887"/>
      <c r="AB424" s="1084"/>
      <c r="AC424" s="1079"/>
      <c r="AD424" s="1072" t="str">
        <f t="shared" ref="AD424" si="7576">IF(LEFT(J419,7)="Clad Wo","Pella Wood Spr / Steel Pte","Steel Plate")</f>
        <v>Steel Plate</v>
      </c>
      <c r="AE424" s="1073"/>
      <c r="AF424" s="1054"/>
      <c r="AG424" s="1055"/>
      <c r="AH424" s="1055"/>
      <c r="AI424" s="1092"/>
      <c r="AJ424" s="1093"/>
      <c r="AK424" s="159" t="str">
        <f t="shared" ca="1" si="7482"/>
        <v/>
      </c>
      <c r="AL424" s="1040"/>
      <c r="AM424" s="345" t="str">
        <f ca="1">IFERROR(Q419/12*ROUND(VLOOKUP(AF424,OFFSET(SPM,0,1),6,FALSE),2),"")</f>
        <v/>
      </c>
      <c r="AN424" t="str">
        <f t="shared" ca="1" si="7532"/>
        <v/>
      </c>
      <c r="AP424" s="699" t="str">
        <f t="shared" ref="AP424" si="7577">_xlfn.CONCAT(AR424,AS424)</f>
        <v/>
      </c>
      <c r="AQ424" s="700" t="str">
        <f t="shared" si="6434"/>
        <v/>
      </c>
      <c r="AR424" s="160" t="str">
        <f t="shared" si="7457"/>
        <v/>
      </c>
      <c r="AS424" s="160" t="str">
        <f>IFERROR(VLOOKUP(J427, WallType,2,FALSE),"")</f>
        <v/>
      </c>
      <c r="AT424" s="701" t="str">
        <f>AL419</f>
        <v/>
      </c>
      <c r="AU424" s="694" t="e">
        <f t="shared" ca="1" si="6450"/>
        <v>#REF!</v>
      </c>
      <c r="AV424" s="698" t="str">
        <f ca="1">IFERROR(VLOOKUP(AU424,INDIRECT(AQ419),2,FALSE),"----")</f>
        <v>----</v>
      </c>
      <c r="AW424" s="702" t="e">
        <f t="shared" ca="1" si="6451"/>
        <v>#REF!</v>
      </c>
      <c r="AX424" s="698" t="str">
        <f ca="1">IFERROR(VLOOKUP(AW424,INDIRECT(AQ420),2,FALSE),"----")</f>
        <v>----</v>
      </c>
      <c r="AY424" s="702" t="e">
        <f t="shared" ref="AY424" ca="1" si="7578">AY423-1</f>
        <v>#REF!</v>
      </c>
      <c r="AZ424" s="698" t="str">
        <f ca="1">IFERROR(VLOOKUP(AY424,INDIRECT(AQ421),2,FALSE),"----")</f>
        <v>----</v>
      </c>
      <c r="BA424" s="702" t="e">
        <f t="shared" ref="BA424" ca="1" si="7579">BA423-1</f>
        <v>#REF!</v>
      </c>
      <c r="BB424" s="698" t="str">
        <f ca="1">IFERROR(VLOOKUP(BA424,INDIRECT(AQ422),2,FALSE),"----")</f>
        <v>----</v>
      </c>
      <c r="BC424" s="702" t="e">
        <f t="shared" ca="1" si="6452"/>
        <v>#REF!</v>
      </c>
      <c r="BD424" s="698" t="str">
        <f ca="1">IFERROR(VLOOKUP(BC424,INDIRECT(AQ423),2,FALSE),"----")</f>
        <v>----</v>
      </c>
      <c r="BE424" s="702" t="e">
        <f t="shared" ca="1" si="6453"/>
        <v>#REF!</v>
      </c>
      <c r="BF424" s="698" t="str">
        <f ca="1">IFERROR(VLOOKUP(BE424,INDIRECT(AQ424),2,FALSE),"----")</f>
        <v>----</v>
      </c>
      <c r="BG424" s="702" t="e">
        <f t="shared" ca="1" si="6454"/>
        <v>#REF!</v>
      </c>
      <c r="BH424" s="686" t="str">
        <f ca="1">IFERROR(VLOOKUP(BG424,INDIRECT(AQ425),2,FALSE),"----")</f>
        <v>----</v>
      </c>
      <c r="BI424" s="702" t="e">
        <f t="shared" ca="1" si="6455"/>
        <v>#REF!</v>
      </c>
      <c r="BJ424" s="686" t="str">
        <f ca="1">IFERROR(VLOOKUP(BI424,INDIRECT(AQ426),2,FALSE),"----")</f>
        <v>----</v>
      </c>
      <c r="BK424" s="702" t="e">
        <f t="shared" ca="1" si="6456"/>
        <v>#REF!</v>
      </c>
      <c r="BL424" s="686" t="str">
        <f ca="1">IFERROR(VLOOKUP(BK424,INDIRECT(AQ427),2,FALSE),"----")</f>
        <v>----</v>
      </c>
      <c r="BM424" s="702" t="e">
        <f t="shared" ca="1" si="6457"/>
        <v>#REF!</v>
      </c>
      <c r="BN424" s="686" t="str">
        <f ca="1">IFERROR(VLOOKUP(BM424,INDIRECT(AQ428),2,FALSE),"----")</f>
        <v>----</v>
      </c>
      <c r="BO424" s="702" t="e">
        <f t="shared" ca="1" si="6458"/>
        <v>#REF!</v>
      </c>
      <c r="BP424" s="686" t="str">
        <f ca="1">IFERROR(VLOOKUP(BO424,INDIRECT(AQ429),2,FALSE),"----")</f>
        <v>----</v>
      </c>
      <c r="BQ424" s="702" t="e">
        <f t="shared" ca="1" si="6459"/>
        <v>#REF!</v>
      </c>
      <c r="BR424" s="686" t="str">
        <f ca="1">IFERROR(VLOOKUP(BQ424,INDIRECT(AQ430),2,FALSE),"----")</f>
        <v>----</v>
      </c>
      <c r="BS424" s="703">
        <f>IF(AI424="",1,IF(COUNTIF(BF419:BF430,AI424)=0,2,1))</f>
        <v>1</v>
      </c>
      <c r="BT424" s="704">
        <f>IF(AF424="",1,IF(BF419=".",2,1))</f>
        <v>1</v>
      </c>
      <c r="BV424" s="155">
        <f ca="1">IF(COUNTIF(DD419:DD430,AF424)=0,IF(AF424&lt;&gt;"",0,1),1)</f>
        <v>1</v>
      </c>
      <c r="BW424" s="157">
        <f ca="1">IFERROR(MATCH(AF424,DD419:DD430,0),1)</f>
        <v>1</v>
      </c>
      <c r="BX424" s="875" t="s">
        <v>1594</v>
      </c>
      <c r="BY424" s="876"/>
      <c r="BZ424" s="1110"/>
      <c r="CA424" s="691" t="e">
        <f t="shared" ca="1" si="7496"/>
        <v>#REF!</v>
      </c>
      <c r="CB424" s="4" t="e" cm="1">
        <f t="array" aca="1" ref="CB424" ca="1">IF(AND(INDEX(INDIRECT(BY419),CA424,4)&gt;=$AB419,INDEX(INDIRECT(BY419),CA424,5)&gt;=$S419,INDEX(INDIRECT(BY419),CA424,6)&gt;=$R419),1,0)</f>
        <v>#REF!</v>
      </c>
      <c r="CC424" s="4" t="e">
        <f t="shared" ref="CC424" ca="1" si="7580">MATCH(1,OFFSET(CB419:CB430,CD423,0,COUNT(CB419:CB430)-CD423),0)</f>
        <v>#REF!</v>
      </c>
      <c r="CD424" s="4" t="e">
        <f t="shared" ca="1" si="7498"/>
        <v>#REF!</v>
      </c>
      <c r="CE424" s="692" t="str" cm="1">
        <f t="array" aca="1" ref="CE424" ca="1">IFERROR(VLOOKUP(INDEX(CA419:CA430,CD424),INDIRECT(BY419),2,FALSE),"----")</f>
        <v>----</v>
      </c>
      <c r="CF424" s="691" t="e">
        <f t="shared" ca="1" si="7499"/>
        <v>#N/A</v>
      </c>
      <c r="CG424" s="4" t="e">
        <f ca="1">IF(AND(INDEX(SSM,CF424,4)&gt;=$AB419,INDEX(SSM,CF424,5)&gt;=$S419,INDEX(SSM,CF424,6)&gt;=$R419),1,0)</f>
        <v>#N/A</v>
      </c>
      <c r="CH424" s="4" t="e">
        <f t="shared" ref="CH424" ca="1" si="7581">MATCH(1,OFFSET(CG419:CG430,CI423,0,COUNT(CG419:CG430)-CI423),0)</f>
        <v>#REF!</v>
      </c>
      <c r="CI424" s="4" t="e">
        <f t="shared" ca="1" si="7501"/>
        <v>#REF!</v>
      </c>
      <c r="CJ424" s="692" t="str">
        <f ca="1">IFERROR(IF(AD420="Nested Steel Stud (wood infill)",VLOOKUP(INDEX(CF419:CF430,CI424),SSW,2,FALSE),VLOOKUP(INDEX(CF419:CF430,CI424),SSM,2,FALSE)),"----")</f>
        <v>----</v>
      </c>
      <c r="CK424" s="691" t="e">
        <f t="shared" ca="1" si="7502"/>
        <v>#N/A</v>
      </c>
      <c r="CL424" s="4" t="e">
        <f ca="1">IF(AND(INDEX(WSM,CK424,4)&gt;=$AB419,INDEX(WSM,CK424,5)&gt;=$S419,INDEX(WSM,CK424,6)&gt;=$R419),1,0)</f>
        <v>#N/A</v>
      </c>
      <c r="CM424" s="4" t="e">
        <f t="shared" ref="CM424" ca="1" si="7582">MATCH(1,OFFSET(CL419:CL430,CN423,0,COUNT(CL419:CL430)-CN423),0)</f>
        <v>#REF!</v>
      </c>
      <c r="CN424" s="4" t="e">
        <f t="shared" ca="1" si="7504"/>
        <v>#REF!</v>
      </c>
      <c r="CO424" s="692" t="str">
        <f ca="1">IFERROR(VLOOKUP(INDEX(CK419:CK430,CN424),WSM,2,FALSE),"----")</f>
        <v>----</v>
      </c>
      <c r="CP424" s="691" t="e">
        <f t="shared" ca="1" si="7505"/>
        <v>#N/A</v>
      </c>
      <c r="CQ424" s="4" t="e">
        <f ca="1">IF(AND(INDEX(STM,CP424,4)&gt;=$AB419,INDEX(STM,CP424,5)&gt;=$S419,INDEX(STM,CP424,6)&gt;=$R419),1,0)</f>
        <v>#N/A</v>
      </c>
      <c r="CR424" s="4" t="e">
        <f t="shared" ref="CR424" ca="1" si="7583">MATCH(1,OFFSET(CQ419:CQ430,CS423,0,COUNT(CQ419:CQ430)-CS423),0)</f>
        <v>#REF!</v>
      </c>
      <c r="CS424" s="4" t="e">
        <f t="shared" ca="1" si="7507"/>
        <v>#REF!</v>
      </c>
      <c r="CT424" s="692" t="str">
        <f ca="1">IFERROR(VLOOKUP(INDEX(CP419:CP430,CS424),STM,2,FALSE),"----")</f>
        <v>----</v>
      </c>
      <c r="CU424" s="691" t="e">
        <f t="shared" ca="1" si="7508"/>
        <v>#N/A</v>
      </c>
      <c r="CV424" s="4" t="e">
        <f ca="1">IF(AND(INDEX(ELM,CU424,4)&gt;=$AB419,INDEX(ELM,CU424,5)&gt;=$S419,INDEX(ELM,CU424,6)&gt;=$R419),1,0)</f>
        <v>#N/A</v>
      </c>
      <c r="CW424" s="4" t="e">
        <f t="shared" ref="CW424" ca="1" si="7584">MATCH(1,OFFSET(CV419:CV430,CX423,0,COUNT(CV419:CV430)-CX423),0)</f>
        <v>#REF!</v>
      </c>
      <c r="CX424" s="4" t="e">
        <f t="shared" ca="1" si="7510"/>
        <v>#REF!</v>
      </c>
      <c r="CY424" s="692" t="str">
        <f ca="1">IFERROR(VLOOKUP(INDEX(CU419:CU430,CX424),ELM,2,FALSE),"----")</f>
        <v>----</v>
      </c>
      <c r="CZ424" s="691" t="e">
        <f t="shared" ca="1" si="7511"/>
        <v>#N/A</v>
      </c>
      <c r="DA424" s="4" t="e">
        <f ca="1">IF(LEFT($J419,7)="Clad Wo",IF(AND(INDEX(SPPWS,CZ424,4)&gt;=$AB419,INDEX(SPPWS,CZ424,5)&gt;=$S419,INDEX(SPPWS,CZ424,6)&gt;=$R419),1,0),IF(AND(INDEX(SPM,CZ424,4)&gt;=$AB419,INDEX(SPM,CZ424,5)&gt;=$S419,INDEX(SPM,CZ424,6)&gt;=$R419),1,0))</f>
        <v>#N/A</v>
      </c>
      <c r="DB424" s="4" t="e">
        <f t="shared" ref="DB424" ca="1" si="7585">MATCH(1,OFFSET(DA419:DA430,DC423,0,COUNT(DA419:DA430)-DC423),0)</f>
        <v>#REF!</v>
      </c>
      <c r="DC424" s="4" t="e">
        <f t="shared" ca="1" si="7513"/>
        <v>#REF!</v>
      </c>
      <c r="DD424" s="693" t="str">
        <f ca="1">IF(LEFT($J419,7)="Clad Wo",IFERROR(VLOOKUP(INDEX(CZ419:CZ430,DC424),SPPWS,2,FALSE),"----"),IFERROR(VLOOKUP(INDEX(CZ419:CZ430,DC424),SPM,2,FALSE),"----"))</f>
        <v>----</v>
      </c>
      <c r="DE424" s="691" t="e">
        <f t="shared" ca="1" si="7514"/>
        <v>#REF!</v>
      </c>
      <c r="DF424" s="4" t="e" cm="1">
        <f t="array" aca="1" ref="DF424" ca="1">IF(AND(INDEX(INDIRECT(BY419),DE424,4)&gt;=$AB425,INDEX(INDIRECT(BY419),DE424,5)&gt;=$S419,INDEX(INDIRECT(BY419),DE424,6)&gt;=$R419),1,0)</f>
        <v>#REF!</v>
      </c>
      <c r="DG424" s="4" t="e">
        <f t="shared" ref="DG424" ca="1" si="7586">MATCH(1,OFFSET(DF419:DF430,DH423,0,COUNT(DF419:DF430)-DH423),0)</f>
        <v>#REF!</v>
      </c>
      <c r="DH424" s="4" t="e">
        <f t="shared" ca="1" si="7516"/>
        <v>#REF!</v>
      </c>
      <c r="DI424" s="692" t="str" cm="1">
        <f t="array" aca="1" ref="DI424" ca="1">IFERROR(VLOOKUP(INDEX(DE419:DE430,DH424),INDIRECT(BY419),2,FALSE),"----")</f>
        <v>----</v>
      </c>
      <c r="DJ424" s="691" t="e">
        <f t="shared" ca="1" si="7517"/>
        <v>#N/A</v>
      </c>
      <c r="DK424" s="4" t="e">
        <f ca="1">IF(AND(INDEX(SSM,DJ424,4)&gt;=$AB425,INDEX(SSM,DJ424,5)&gt;=$S419,INDEX(SSM,DJ424,6)&gt;=$R419),1,0)</f>
        <v>#N/A</v>
      </c>
      <c r="DL424" s="4" t="e">
        <f t="shared" ref="DL424" ca="1" si="7587">MATCH(1,OFFSET(DK419:DK430,DM423,0,COUNT(DK419:DK430)-DM423),0)</f>
        <v>#REF!</v>
      </c>
      <c r="DM424" s="4" t="e">
        <f t="shared" ca="1" si="7519"/>
        <v>#REF!</v>
      </c>
      <c r="DN424" s="692" t="str">
        <f ca="1">IFERROR(IF(AD426="Nested Steel Stud (wood infill)",VLOOKUP(INDEX(DJ419:DJ430,DM424),SSW,2,FALSE),VLOOKUP(INDEX(DJ419:DJ430,DM424),SSM,2,FALSE)),"----")</f>
        <v>----</v>
      </c>
      <c r="DO424" s="691" t="e">
        <f t="shared" ca="1" si="7520"/>
        <v>#N/A</v>
      </c>
      <c r="DP424" s="4" t="e">
        <f ca="1">IF(AND(INDEX(WSM,DO424,4)&gt;=$AB425,INDEX(WSM,DO424,5)&gt;=$S419,INDEX(WSM,DO424,6)&gt;=$R419),1,0)</f>
        <v>#N/A</v>
      </c>
      <c r="DQ424" s="4" t="e">
        <f t="shared" ref="DQ424" ca="1" si="7588">MATCH(1,OFFSET(DP419:DP430,DR423,0,COUNT(DP419:DP430)-DR423),0)</f>
        <v>#REF!</v>
      </c>
      <c r="DR424" s="4" t="e">
        <f t="shared" ca="1" si="7522"/>
        <v>#REF!</v>
      </c>
      <c r="DS424" s="692" t="str">
        <f ca="1">IFERROR(VLOOKUP(INDEX(DO419:DO430,DR424),WSM,2,FALSE),"----")</f>
        <v>----</v>
      </c>
      <c r="DT424" s="691" t="e">
        <f t="shared" ca="1" si="7523"/>
        <v>#N/A</v>
      </c>
      <c r="DU424" s="4" t="e">
        <f ca="1">IF(AND(INDEX(STM,DT424,4)&gt;=$AB425,INDEX(STM,DT424,5)&gt;=$S419,INDEX(STM,DT424,6)&gt;=$R419),1,0)</f>
        <v>#N/A</v>
      </c>
      <c r="DV424" s="4" t="e">
        <f t="shared" ref="DV424" ca="1" si="7589">MATCH(1,OFFSET(DU419:DU430,DW423,0,COUNT(DU419:DU430)-DW423),0)</f>
        <v>#REF!</v>
      </c>
      <c r="DW424" s="4" t="e">
        <f t="shared" ca="1" si="7525"/>
        <v>#REF!</v>
      </c>
      <c r="DX424" s="692" t="str">
        <f ca="1">IFERROR(VLOOKUP(INDEX(DT419:DT430,DW424),STM,2,FALSE),"----")</f>
        <v>----</v>
      </c>
      <c r="DY424" s="691" t="e">
        <f t="shared" ca="1" si="7526"/>
        <v>#N/A</v>
      </c>
      <c r="DZ424" s="4" t="e">
        <f ca="1">IF(AND(INDEX(ELM,DY424,4)&gt;=$AB425,INDEX(ELM,DY424,5)&gt;=$S419,INDEX(ELM,DY424,6)&gt;=$R419),1,0)</f>
        <v>#N/A</v>
      </c>
      <c r="EA424" s="4" t="e">
        <f t="shared" ref="EA424" ca="1" si="7590">MATCH(1,OFFSET(DZ419:DZ430,EB423,0,COUNT(DZ419:DZ430)-EB423),0)</f>
        <v>#REF!</v>
      </c>
      <c r="EB424" s="4" t="e">
        <f t="shared" ca="1" si="7528"/>
        <v>#REF!</v>
      </c>
      <c r="EC424" s="692" t="str">
        <f ca="1">IFERROR(VLOOKUP(INDEX(DY419:DY430,EB424),ELM,2,FALSE),"----")</f>
        <v>----</v>
      </c>
      <c r="ED424" s="691" t="e">
        <f t="shared" ca="1" si="7529"/>
        <v>#N/A</v>
      </c>
      <c r="EE424" s="4" t="e">
        <f ca="1">IF(LEFT($J419,7)="Clad Wo",IF(AND(INDEX(SPPWS,ED424,4)&gt;=$AB425,INDEX(SPPWS,ED424,5)&gt;=$S419,INDEX(SPPWS,ED424,6)&gt;=$R419),1,0),IF(AND(INDEX(SPM,ED424,4)&gt;=$AB425,INDEX(SPM,ED424,5)&gt;=$S419,INDEX(SPM,ED424,6)&gt;=$R419),1,0))</f>
        <v>#N/A</v>
      </c>
      <c r="EF424" s="4" t="e">
        <f t="shared" ref="EF424" ca="1" si="7591">MATCH(1,OFFSET(EE419:EE430,EG423,0,COUNT(EE419:EE430)-EG423),0)</f>
        <v>#REF!</v>
      </c>
      <c r="EG424" s="4" t="e">
        <f t="shared" ca="1" si="7531"/>
        <v>#REF!</v>
      </c>
      <c r="EH424" s="692" t="str">
        <f ca="1">IF(LEFT($J419,7)="Clad Wo",IFERROR(VLOOKUP(INDEX(ED419:ED430,EG424),SPPWS,2,FALSE),"----"),IFERROR(VLOOKUP(INDEX(ED419:ED430,EG424),SPM,2,FALSE),"----"))</f>
        <v>----</v>
      </c>
    </row>
    <row r="425" spans="1:138" ht="15" customHeight="1" x14ac:dyDescent="0.25">
      <c r="A425" s="1085"/>
      <c r="B425" s="925" t="s">
        <v>409</v>
      </c>
      <c r="C425" s="926"/>
      <c r="D425" s="927"/>
      <c r="E425" s="995"/>
      <c r="F425" s="996"/>
      <c r="G425" s="997"/>
      <c r="H425" s="1062"/>
      <c r="I425" s="990"/>
      <c r="J425" s="908"/>
      <c r="K425" s="909"/>
      <c r="L425" s="1001">
        <f>L419+1</f>
        <v>5</v>
      </c>
      <c r="M425" s="1064" t="str">
        <f t="shared" ref="M425" si="7592">IFERROR(IF($AE$17="",IF($AG$19="Wind Loading",MIN($V$31,IF(E$11="ASCE 7-05",$U$26,$V$7)*$V$9*(IF($E$12&lt;60,0.156*LN(MAX(MIN(500,O419),10)) -1.7618,IF($E$11="ASCE 7-22", 0.2026*LN(MAX(MIN(500,O419),20))-2.2638,0.2503*LN(MAX(MIN(500,O419),20)) -2.5526))-$V$8)),$V$7*IF(E$12&lt;60,$V$13*($V$15*(0.156*LN(MAX(MIN(500,O419),10)) -1.7618)-$V$16),$V$13*$V$15*((0.2026*LN(MAX(MIN(500,O419),20))-2.2638)-$V$16))),-ABS($AE$17)),"")</f>
        <v/>
      </c>
      <c r="N425" s="1041" t="str">
        <f t="shared" ref="N425" si="7593">IFERROR(IF($AE$19="",IF($AG$19="Wind Loading",MAX($U$31,IF(E$11="ASCE 7-05",$U$26,$V$7)*$V$9*((IF($E$12&lt;60,-0.077*LN(MAX(MIN(500,O419),10))+1.1737,IF($E$11="ASCE 7-22",-0.077*LN(MAX(MIN(500,O419),20))+1.0798,-0.093*LN(MAX(MIN(500,O419),20))+1.1776)))+$V$8)),$V$7*IF(E$12&lt;60,$V$13*($V$15*(-0.077*LN(MAX(MIN(500,O419),10))+1.1737)-$V$17),$V$13*$V$15*((-0.077*LN(MAX(MIN(500,O419),20))+1.0798)-$V$17))),ABS($AE$19)),"")</f>
        <v/>
      </c>
      <c r="O425" s="1018"/>
      <c r="P425" s="987"/>
      <c r="Q425" s="1015"/>
      <c r="R425" s="1012">
        <f>P425*Q425/8</f>
        <v>0</v>
      </c>
      <c r="S425" s="1006"/>
      <c r="T425" s="1007"/>
      <c r="U425" s="878"/>
      <c r="V425" s="881"/>
      <c r="W425" s="883" t="e">
        <f t="shared" ref="W425" si="7594">MAX(-M425,N425)*O419</f>
        <v>#VALUE!</v>
      </c>
      <c r="X425" s="884"/>
      <c r="Y425" s="886">
        <f>IFERROR(IF(AG$14="Trapezoidal",BY428,BX428)+IF($E$17="4",(400*E419^3)/(48*X419),0),0)</f>
        <v>0</v>
      </c>
      <c r="Z425" s="886" t="e">
        <f t="shared" ref="Z425" si="7595">+($V419*MAX(-$M425,$N425)*$E419^2)/(144*8)+IF($E$17=4,(400*$E419)/4,0)</f>
        <v>#VALUE!</v>
      </c>
      <c r="AA425" s="887"/>
      <c r="AB425" s="1080" t="str">
        <f t="shared" ref="AB425" ca="1" si="7596">IFERROR(Z425-AA419,"")</f>
        <v/>
      </c>
      <c r="AC425" s="1086" t="str">
        <f t="shared" ref="AC425" ca="1" si="7597">IFERROR(Y425-U419,"")</f>
        <v/>
      </c>
      <c r="AD425" s="1074" t="str">
        <f t="shared" ref="AD425" si="7598">AD419</f>
        <v/>
      </c>
      <c r="AE425" s="1075"/>
      <c r="AF425" s="1056"/>
      <c r="AG425" s="1057"/>
      <c r="AH425" s="1057"/>
      <c r="AI425" s="1088"/>
      <c r="AJ425" s="1089"/>
      <c r="AK425" s="162" t="str">
        <f t="shared" ca="1" si="7482"/>
        <v/>
      </c>
      <c r="AL425" s="1058" t="str">
        <f t="shared" ref="AL425" si="7599">IFERROR(ROUND(SQRT(P419^2+(W425/2+IF($E$17=4,200,0))^2),0),"")</f>
        <v/>
      </c>
      <c r="AM425" s="342" t="s">
        <v>669</v>
      </c>
      <c r="AN425" t="str">
        <f t="shared" ca="1" si="7532"/>
        <v/>
      </c>
      <c r="AP425" s="122" t="str">
        <f t="shared" ref="AP425" si="7600">_xlfn.CONCAT(AR425,AS430)</f>
        <v/>
      </c>
      <c r="AQ425" s="683" t="str">
        <f t="shared" si="6434"/>
        <v/>
      </c>
      <c r="AR425" s="96" t="str">
        <f t="shared" si="7457"/>
        <v/>
      </c>
      <c r="AS425" s="96" t="str">
        <f>IF(COUNTIF(imp_1,AF425)=1,"imp_1",IF(COUNTIF(imp_2,AF425)=1,"imp_2",IF(COUNTIF(imp_3,AF425)=1,"imp_3",IF(COUNTIF(impdoor,AF425)=1,"impdoor",""))))</f>
        <v/>
      </c>
      <c r="AT425" s="684" t="str">
        <f>AL425</f>
        <v/>
      </c>
      <c r="AU425" s="685" t="e">
        <f t="shared" ca="1" si="6450"/>
        <v>#REF!</v>
      </c>
      <c r="AV425" s="686" t="str">
        <f ca="1">IFERROR(VLOOKUP(AU425,INDIRECT(AQ419),2,FALSE),"----")</f>
        <v>----</v>
      </c>
      <c r="AW425" s="685" t="e">
        <f t="shared" ca="1" si="6451"/>
        <v>#REF!</v>
      </c>
      <c r="AX425" s="686" t="str">
        <f ca="1">IFERROR(VLOOKUP(AW425,INDIRECT(AQ420),2,FALSE),"----")</f>
        <v>----</v>
      </c>
      <c r="AY425" s="685" t="e">
        <f t="shared" ca="1" si="7338"/>
        <v>#REF!</v>
      </c>
      <c r="AZ425" s="686" t="str">
        <f ca="1">IFERROR(VLOOKUP(AY425,INDIRECT(AQ421),2,FALSE),"----")</f>
        <v>----</v>
      </c>
      <c r="BA425" s="685" t="e">
        <f t="shared" ca="1" si="7339"/>
        <v>#REF!</v>
      </c>
      <c r="BB425" s="686" t="str">
        <f ca="1">IFERROR(VLOOKUP(BA425,INDIRECT(AQ422),2,FALSE),"----")</f>
        <v>----</v>
      </c>
      <c r="BC425" s="685" t="e">
        <f t="shared" ca="1" si="6452"/>
        <v>#REF!</v>
      </c>
      <c r="BD425" s="686" t="str">
        <f ca="1">IFERROR(VLOOKUP(BC425,INDIRECT(AQ423),2,FALSE),"----")</f>
        <v>----</v>
      </c>
      <c r="BE425" s="685" t="e">
        <f t="shared" ca="1" si="6453"/>
        <v>#REF!</v>
      </c>
      <c r="BF425" s="686" t="str">
        <f ca="1">IFERROR(VLOOKUP(BE425,INDIRECT(AQ424),2,FALSE),"----")</f>
        <v>----</v>
      </c>
      <c r="BG425" s="702" t="e">
        <f t="shared" ca="1" si="6454"/>
        <v>#REF!</v>
      </c>
      <c r="BH425" s="686" t="str">
        <f ca="1">IFERROR(VLOOKUP(BG425,INDIRECT(AQ425),2,FALSE),"----")</f>
        <v>----</v>
      </c>
      <c r="BI425" s="702" t="e">
        <f t="shared" ca="1" si="6455"/>
        <v>#REF!</v>
      </c>
      <c r="BJ425" s="686" t="str">
        <f ca="1">IFERROR(VLOOKUP(BI425,INDIRECT(AQ426),2,FALSE),"----")</f>
        <v>----</v>
      </c>
      <c r="BK425" s="702" t="e">
        <f t="shared" ca="1" si="6456"/>
        <v>#REF!</v>
      </c>
      <c r="BL425" s="686" t="str">
        <f ca="1">IFERROR(VLOOKUP(BK425,INDIRECT(AQ427),2,FALSE),"----")</f>
        <v>----</v>
      </c>
      <c r="BM425" s="702" t="e">
        <f t="shared" ca="1" si="6457"/>
        <v>#REF!</v>
      </c>
      <c r="BN425" s="686" t="str">
        <f ca="1">IFERROR(VLOOKUP(BM425,INDIRECT(AQ428),2,FALSE),"----")</f>
        <v>----</v>
      </c>
      <c r="BO425" s="702" t="e">
        <f t="shared" ca="1" si="6458"/>
        <v>#REF!</v>
      </c>
      <c r="BP425" s="686" t="str">
        <f ca="1">IFERROR(VLOOKUP(BO425,INDIRECT(AQ429),2,FALSE),"----")</f>
        <v>----</v>
      </c>
      <c r="BQ425" s="702" t="e">
        <f t="shared" ca="1" si="6459"/>
        <v>#REF!</v>
      </c>
      <c r="BR425" s="686" t="str">
        <f ca="1">IFERROR(VLOOKUP(BQ425,INDIRECT(AQ430),2,FALSE),"----")</f>
        <v>----</v>
      </c>
      <c r="BS425" s="695">
        <f>IF(AI425="",1,IF(COUNTIF(BH419:BH430,AI425)=0,2,1))</f>
        <v>1</v>
      </c>
      <c r="BT425" s="696">
        <f>IF(AP425="1",1,IF(AF425="",1,IF(BH419=".",2,1)))</f>
        <v>1</v>
      </c>
      <c r="BU425" s="706"/>
      <c r="BV425" s="155">
        <f ca="1">IF(COUNTIF(DI419:DI430,AF425)=0,IF(AF425&lt;&gt;"",0,1),1)</f>
        <v>1</v>
      </c>
      <c r="BW425" s="157">
        <f ca="1">IFERROR(MATCH(AF425,DI419:DI430,0),1)</f>
        <v>1</v>
      </c>
      <c r="BX425" s="769" t="s">
        <v>1593</v>
      </c>
      <c r="BY425" s="769" t="s">
        <v>1629</v>
      </c>
      <c r="BZ425" s="1110"/>
      <c r="CA425" s="691" t="e">
        <f t="shared" ca="1" si="7496"/>
        <v>#REF!</v>
      </c>
      <c r="CB425" s="4" t="e" cm="1">
        <f t="array" aca="1" ref="CB425" ca="1">IF(AND(INDEX(INDIRECT(BY419),CA425,4)&gt;=$AB419,INDEX(INDIRECT(BY419),CA425,5)&gt;=$S419,INDEX(INDIRECT(BY419),CA425,6)&gt;=$R419),1,0)</f>
        <v>#REF!</v>
      </c>
      <c r="CC425" s="4" t="e">
        <f t="shared" ref="CC425" ca="1" si="7601">MATCH(1,OFFSET(CB419:CB430,CD424,0,COUNT(CB419:CB430)-CD424),0)</f>
        <v>#REF!</v>
      </c>
      <c r="CD425" s="4" t="e">
        <f t="shared" ca="1" si="7498"/>
        <v>#REF!</v>
      </c>
      <c r="CE425" s="692" t="str" cm="1">
        <f t="array" aca="1" ref="CE425" ca="1">IFERROR(VLOOKUP(INDEX(CA419:CA430,CD425),INDIRECT(BY419),2,FALSE),"----")</f>
        <v>----</v>
      </c>
      <c r="CF425" s="691" t="e">
        <f t="shared" ca="1" si="7499"/>
        <v>#N/A</v>
      </c>
      <c r="CG425" s="4" t="e">
        <f ca="1">IF(AND(INDEX(SSM,CF425,4)&gt;=$AB419,INDEX(SSM,CF425,5)&gt;=$S419,INDEX(SSM,CF425,6)&gt;=$R419),1,0)</f>
        <v>#N/A</v>
      </c>
      <c r="CH425" s="4" t="e">
        <f t="shared" ref="CH425" ca="1" si="7602">MATCH(1,OFFSET(CG419:CG430,CI424,0,COUNT(CG419:CG430)-CI424),0)</f>
        <v>#REF!</v>
      </c>
      <c r="CI425" s="4" t="e">
        <f t="shared" ca="1" si="7501"/>
        <v>#REF!</v>
      </c>
      <c r="CJ425" s="692" t="str">
        <f ca="1">IFERROR(IF(AD420="Nested Steel Stud (wood infill)",VLOOKUP(INDEX(CF419:CF430,CI425),SSW,2,FALSE),VLOOKUP(INDEX(CF419:CF430,CI425),SSM,2,FALSE)),"----")</f>
        <v>----</v>
      </c>
      <c r="CK425" s="691" t="e">
        <f t="shared" ca="1" si="7502"/>
        <v>#N/A</v>
      </c>
      <c r="CL425" s="4" t="e">
        <f ca="1">IF(AND(INDEX(WSM,CK425,4)&gt;=$AB419,INDEX(WSM,CK425,5)&gt;=$S419,INDEX(WSM,CK425,6)&gt;=$R419),1,0)</f>
        <v>#N/A</v>
      </c>
      <c r="CM425" s="4" t="e">
        <f t="shared" ref="CM425" ca="1" si="7603">MATCH(1,OFFSET(CL419:CL430,CN424,0,COUNT(CL419:CL430)-CN424),0)</f>
        <v>#REF!</v>
      </c>
      <c r="CN425" s="4" t="e">
        <f t="shared" ca="1" si="7504"/>
        <v>#REF!</v>
      </c>
      <c r="CO425" s="692" t="str">
        <f ca="1">IFERROR(VLOOKUP(INDEX(CK419:CK430,CN425),WSM,2,FALSE),"----")</f>
        <v>----</v>
      </c>
      <c r="CP425" s="691" t="e">
        <f t="shared" ca="1" si="7505"/>
        <v>#N/A</v>
      </c>
      <c r="CQ425" s="4" t="e">
        <f ca="1">IF(AND(INDEX(STM,CP425,4)&gt;=$AB419,INDEX(STM,CP425,5)&gt;=$S419,INDEX(STM,CP425,6)&gt;=$R419),1,0)</f>
        <v>#N/A</v>
      </c>
      <c r="CR425" s="4" t="e">
        <f t="shared" ref="CR425" ca="1" si="7604">MATCH(1,OFFSET(CQ419:CQ430,CS424,0,COUNT(CQ419:CQ430)-CS424),0)</f>
        <v>#REF!</v>
      </c>
      <c r="CS425" s="4" t="e">
        <f t="shared" ca="1" si="7507"/>
        <v>#REF!</v>
      </c>
      <c r="CT425" s="692" t="str">
        <f ca="1">IFERROR(VLOOKUP(INDEX(CP419:CP430,CS425),STM,2,FALSE),"----")</f>
        <v>----</v>
      </c>
      <c r="CU425" s="691" t="e">
        <f t="shared" ca="1" si="7508"/>
        <v>#N/A</v>
      </c>
      <c r="CV425" s="4" t="e">
        <f ca="1">IF(AND(INDEX(ELM,CU425,4)&gt;=$AB419,INDEX(ELM,CU425,5)&gt;=$S419,INDEX(ELM,CU425,6)&gt;=$R419),1,0)</f>
        <v>#N/A</v>
      </c>
      <c r="CW425" s="4" t="e">
        <f t="shared" ref="CW425" ca="1" si="7605">MATCH(1,OFFSET(CV419:CV430,CX424,0,COUNT(CV419:CV430)-CX424),0)</f>
        <v>#REF!</v>
      </c>
      <c r="CX425" s="4" t="e">
        <f t="shared" ca="1" si="7510"/>
        <v>#REF!</v>
      </c>
      <c r="CY425" s="692" t="str">
        <f ca="1">IFERROR(VLOOKUP(INDEX(CU419:CU430,CX425),ELM,2,FALSE),"----")</f>
        <v>----</v>
      </c>
      <c r="CZ425" s="691" t="e">
        <f t="shared" ca="1" si="7511"/>
        <v>#N/A</v>
      </c>
      <c r="DA425" s="4" t="e">
        <f ca="1">IF(LEFT($J419,7)="Clad Wo",IF(AND(INDEX(SPPWS,CZ425,4)&gt;=$AB419,INDEX(SPPWS,CZ425,5)&gt;=$S419,INDEX(SPPWS,CZ425,6)&gt;=$R419),1,0),IF(AND(INDEX(SPM,CZ425,4)&gt;=$AB419,INDEX(SPM,CZ425,5)&gt;=$S419,INDEX(SPM,CZ425,6)&gt;=$R419),1,0))</f>
        <v>#N/A</v>
      </c>
      <c r="DB425" s="4" t="e">
        <f t="shared" ref="DB425" ca="1" si="7606">MATCH(1,OFFSET(DA419:DA430,DC424,0,COUNT(DA419:DA430)-DC424),0)</f>
        <v>#REF!</v>
      </c>
      <c r="DC425" s="4" t="e">
        <f t="shared" ca="1" si="7513"/>
        <v>#REF!</v>
      </c>
      <c r="DD425" s="693" t="str">
        <f ca="1">IF(LEFT($J419,7)="Clad Wo",IFERROR(VLOOKUP(INDEX(CZ419:CZ430,DC425),SPPWS,2,FALSE),"----"),IFERROR(VLOOKUP(INDEX(CZ419:CZ430,DC425),SPM,2,FALSE),"----"))</f>
        <v>----</v>
      </c>
      <c r="DE425" s="691" t="e">
        <f t="shared" ca="1" si="7514"/>
        <v>#REF!</v>
      </c>
      <c r="DF425" s="4" t="e" cm="1">
        <f t="array" aca="1" ref="DF425" ca="1">IF(AND(INDEX(INDIRECT(BY419),DE425,4)&gt;=$AB425,INDEX(INDIRECT(BY419),DE425,5)&gt;=$S419,INDEX(INDIRECT(BY419),DE425,6)&gt;=$R419),1,0)</f>
        <v>#REF!</v>
      </c>
      <c r="DG425" s="4" t="e">
        <f t="shared" ref="DG425" ca="1" si="7607">MATCH(1,OFFSET(DF419:DF430,DH424,0,COUNT(DF419:DF430)-DH424),0)</f>
        <v>#REF!</v>
      </c>
      <c r="DH425" s="4" t="e">
        <f t="shared" ca="1" si="7516"/>
        <v>#REF!</v>
      </c>
      <c r="DI425" s="692" t="str" cm="1">
        <f t="array" aca="1" ref="DI425" ca="1">IFERROR(VLOOKUP(INDEX(DE419:DE430,DH425),INDIRECT(BY419),2,FALSE),"----")</f>
        <v>----</v>
      </c>
      <c r="DJ425" s="691" t="e">
        <f t="shared" ca="1" si="7517"/>
        <v>#N/A</v>
      </c>
      <c r="DK425" s="4" t="e">
        <f ca="1">IF(AND(INDEX(SSM,DJ425,4)&gt;=$AB425,INDEX(SSM,DJ425,5)&gt;=$S419,INDEX(SSM,DJ425,6)&gt;=$R419),1,0)</f>
        <v>#N/A</v>
      </c>
      <c r="DL425" s="4" t="e">
        <f t="shared" ref="DL425" ca="1" si="7608">MATCH(1,OFFSET(DK419:DK430,DM424,0,COUNT(DK419:DK430)-DM424),0)</f>
        <v>#REF!</v>
      </c>
      <c r="DM425" s="4" t="e">
        <f t="shared" ca="1" si="7519"/>
        <v>#REF!</v>
      </c>
      <c r="DN425" s="692" t="str">
        <f ca="1">IFERROR(IF(AD426="Nested Steel Stud (wood infill)",VLOOKUP(INDEX(DJ419:DJ430,DM425),SSW,2,FALSE),VLOOKUP(INDEX(DJ419:DJ430,DM425),SSM,2,FALSE)),"----")</f>
        <v>----</v>
      </c>
      <c r="DO425" s="691" t="e">
        <f t="shared" ca="1" si="7520"/>
        <v>#N/A</v>
      </c>
      <c r="DP425" s="4" t="e">
        <f ca="1">IF(AND(INDEX(WSM,DO425,4)&gt;=$AB425,INDEX(WSM,DO425,5)&gt;=$S419,INDEX(WSM,DO425,6)&gt;=$R419),1,0)</f>
        <v>#N/A</v>
      </c>
      <c r="DQ425" s="4" t="e">
        <f t="shared" ref="DQ425" ca="1" si="7609">MATCH(1,OFFSET(DP419:DP430,DR424,0,COUNT(DP419:DP430)-DR424),0)</f>
        <v>#REF!</v>
      </c>
      <c r="DR425" s="4" t="e">
        <f t="shared" ca="1" si="7522"/>
        <v>#REF!</v>
      </c>
      <c r="DS425" s="692" t="str">
        <f ca="1">IFERROR(VLOOKUP(INDEX(DO419:DO430,DR425),WSM,2,FALSE),"----")</f>
        <v>----</v>
      </c>
      <c r="DT425" s="691" t="e">
        <f t="shared" ca="1" si="7523"/>
        <v>#N/A</v>
      </c>
      <c r="DU425" s="4" t="e">
        <f ca="1">IF(AND(INDEX(STM,DT425,4)&gt;=$AB425,INDEX(STM,DT425,5)&gt;=$S419,INDEX(STM,DT425,6)&gt;=$R419),1,0)</f>
        <v>#N/A</v>
      </c>
      <c r="DV425" s="4" t="e">
        <f t="shared" ref="DV425" ca="1" si="7610">MATCH(1,OFFSET(DU419:DU430,DW424,0,COUNT(DU419:DU430)-DW424),0)</f>
        <v>#REF!</v>
      </c>
      <c r="DW425" s="4" t="e">
        <f t="shared" ca="1" si="7525"/>
        <v>#REF!</v>
      </c>
      <c r="DX425" s="692" t="str">
        <f ca="1">IFERROR(VLOOKUP(INDEX(DT419:DT430,DW425),STM,2,FALSE),"----")</f>
        <v>----</v>
      </c>
      <c r="DY425" s="691" t="e">
        <f t="shared" ca="1" si="7526"/>
        <v>#N/A</v>
      </c>
      <c r="DZ425" s="4" t="e">
        <f ca="1">IF(AND(INDEX(ELM,DY425,4)&gt;=$AB425,INDEX(ELM,DY425,5)&gt;=$S419,INDEX(ELM,DY425,6)&gt;=$R419),1,0)</f>
        <v>#N/A</v>
      </c>
      <c r="EA425" s="4" t="e">
        <f t="shared" ref="EA425" ca="1" si="7611">MATCH(1,OFFSET(DZ419:DZ430,EB424,0,COUNT(DZ419:DZ430)-EB424),0)</f>
        <v>#REF!</v>
      </c>
      <c r="EB425" s="4" t="e">
        <f t="shared" ca="1" si="7528"/>
        <v>#REF!</v>
      </c>
      <c r="EC425" s="692" t="str">
        <f ca="1">IFERROR(VLOOKUP(INDEX(DY419:DY430,EB425),ELM,2,FALSE),"----")</f>
        <v>----</v>
      </c>
      <c r="ED425" s="691" t="e">
        <f t="shared" ca="1" si="7529"/>
        <v>#N/A</v>
      </c>
      <c r="EE425" s="4" t="e">
        <f ca="1">IF(LEFT($J419,7)="Clad Wo",IF(AND(INDEX(SPPWS,ED425,4)&gt;=$AB425,INDEX(SPPWS,ED425,5)&gt;=$S419,INDEX(SPPWS,ED425,6)&gt;=$R419),1,0),IF(AND(INDEX(SPM,ED425,4)&gt;=$AB425,INDEX(SPM,ED425,5)&gt;=$S419,INDEX(SPM,ED425,6)&gt;=$R419),1,0))</f>
        <v>#N/A</v>
      </c>
      <c r="EF425" s="4" t="e">
        <f t="shared" ref="EF425" ca="1" si="7612">MATCH(1,OFFSET(EE419:EE430,EG424,0,COUNT(EE419:EE430)-EG424),0)</f>
        <v>#REF!</v>
      </c>
      <c r="EG425" s="4" t="e">
        <f t="shared" ca="1" si="7531"/>
        <v>#REF!</v>
      </c>
      <c r="EH425" s="692" t="str">
        <f ca="1">IF(LEFT($J419,7)="Clad Wo",IFERROR(VLOOKUP(INDEX(ED419:ED430,EG425),SPPWS,2,FALSE),"----"),IFERROR(VLOOKUP(INDEX(ED419:ED430,EG425),SPM,2,FALSE),"----"))</f>
        <v>----</v>
      </c>
    </row>
    <row r="426" spans="1:138" ht="15" customHeight="1" x14ac:dyDescent="0.25">
      <c r="A426" s="1085"/>
      <c r="B426" s="925"/>
      <c r="C426" s="926"/>
      <c r="D426" s="927"/>
      <c r="E426" s="995"/>
      <c r="F426" s="996"/>
      <c r="G426" s="997"/>
      <c r="H426" s="1062"/>
      <c r="I426" s="990"/>
      <c r="J426" s="912"/>
      <c r="K426" s="913"/>
      <c r="L426" s="1002"/>
      <c r="M426" s="923"/>
      <c r="N426" s="1042"/>
      <c r="O426" s="1018"/>
      <c r="P426" s="987"/>
      <c r="Q426" s="1015"/>
      <c r="R426" s="1012"/>
      <c r="S426" s="1006"/>
      <c r="T426" s="1007"/>
      <c r="U426" s="878"/>
      <c r="V426" s="881"/>
      <c r="W426" s="884"/>
      <c r="X426" s="884"/>
      <c r="Y426" s="887"/>
      <c r="Z426" s="887"/>
      <c r="AA426" s="887"/>
      <c r="AB426" s="1081"/>
      <c r="AC426" s="1078"/>
      <c r="AD426" s="1070" t="str">
        <f t="shared" ref="AD426" si="7613">IF(ISBLANK(AD420)=TRUE,"",AD420)</f>
        <v>Nested Steel Stud</v>
      </c>
      <c r="AE426" s="1071"/>
      <c r="AF426" s="1052"/>
      <c r="AG426" s="1053"/>
      <c r="AH426" s="1053"/>
      <c r="AI426" s="1066"/>
      <c r="AJ426" s="1067"/>
      <c r="AK426" s="156" t="str">
        <f t="shared" ca="1" si="7482"/>
        <v/>
      </c>
      <c r="AL426" s="1059"/>
      <c r="AM426" s="343" t="str">
        <f ca="1">IFERROR(Q419/12*ROUND(VLOOKUP(AF426,OFFSET(SSM,0,1),6,FALSE),2),"")</f>
        <v/>
      </c>
      <c r="AN426" t="str">
        <f t="shared" ca="1" si="7532"/>
        <v/>
      </c>
      <c r="AP426" s="122" t="str">
        <f t="shared" ref="AP426" si="7614">_xlfn.CONCAT(AR426,AS430)</f>
        <v/>
      </c>
      <c r="AQ426" s="683" t="str">
        <f t="shared" si="6434"/>
        <v/>
      </c>
      <c r="AR426" s="96" t="str">
        <f t="shared" si="7457"/>
        <v/>
      </c>
      <c r="AS426" s="96" t="str">
        <f>IF(COUNTIF(Vista_1,AF425)=1,"Vista_1",IF(COUNTIF(Vista_2,AF425)=1,"Vista_2",""))</f>
        <v/>
      </c>
      <c r="AT426" s="684" t="str">
        <f>AL425</f>
        <v/>
      </c>
      <c r="AU426" s="694" t="e">
        <f t="shared" ca="1" si="6450"/>
        <v>#REF!</v>
      </c>
      <c r="AV426" s="686" t="str">
        <f ca="1">IFERROR(VLOOKUP(AU426,INDIRECT(AQ419),2,FALSE),"----")</f>
        <v>----</v>
      </c>
      <c r="AW426" s="694" t="e">
        <f t="shared" ca="1" si="6451"/>
        <v>#REF!</v>
      </c>
      <c r="AX426" s="686" t="str">
        <f ca="1">IFERROR(VLOOKUP(AW426,INDIRECT(AQ420),2,FALSE),"----")</f>
        <v>----</v>
      </c>
      <c r="AY426" s="694" t="e">
        <f t="shared" ca="1" si="7338"/>
        <v>#REF!</v>
      </c>
      <c r="AZ426" s="686" t="str">
        <f ca="1">IFERROR(VLOOKUP(AY426,INDIRECT(AQ421),2,FALSE),"----")</f>
        <v>----</v>
      </c>
      <c r="BA426" s="694" t="e">
        <f t="shared" ca="1" si="7339"/>
        <v>#REF!</v>
      </c>
      <c r="BB426" s="686" t="str">
        <f ca="1">IFERROR(VLOOKUP(BA426,INDIRECT(AQ422),2,FALSE),"----")</f>
        <v>----</v>
      </c>
      <c r="BC426" s="694" t="e">
        <f t="shared" ca="1" si="6452"/>
        <v>#REF!</v>
      </c>
      <c r="BD426" s="686" t="str">
        <f ca="1">IFERROR(VLOOKUP(BC426,INDIRECT(AQ423),2,FALSE),"----")</f>
        <v>----</v>
      </c>
      <c r="BE426" s="694" t="e">
        <f t="shared" ca="1" si="6453"/>
        <v>#REF!</v>
      </c>
      <c r="BF426" s="686" t="str">
        <f ca="1">IFERROR(VLOOKUP(BE426,INDIRECT(AQ424),2,FALSE),"----")</f>
        <v>----</v>
      </c>
      <c r="BG426" s="702" t="e">
        <f t="shared" ca="1" si="6454"/>
        <v>#REF!</v>
      </c>
      <c r="BH426" s="686" t="str">
        <f ca="1">IFERROR(VLOOKUP(BG426,INDIRECT(AQ425),2,FALSE),"----")</f>
        <v>----</v>
      </c>
      <c r="BI426" s="702" t="e">
        <f t="shared" ca="1" si="6455"/>
        <v>#REF!</v>
      </c>
      <c r="BJ426" s="686" t="str">
        <f ca="1">IFERROR(VLOOKUP(BI426,INDIRECT(AQ426),2,FALSE),"----")</f>
        <v>----</v>
      </c>
      <c r="BK426" s="702" t="e">
        <f t="shared" ca="1" si="6456"/>
        <v>#REF!</v>
      </c>
      <c r="BL426" s="686" t="str">
        <f ca="1">IFERROR(VLOOKUP(BK426,INDIRECT(AQ427),2,FALSE),"----")</f>
        <v>----</v>
      </c>
      <c r="BM426" s="702" t="e">
        <f t="shared" ca="1" si="6457"/>
        <v>#REF!</v>
      </c>
      <c r="BN426" s="686" t="str">
        <f ca="1">IFERROR(VLOOKUP(BM426,INDIRECT(AQ428),2,FALSE),"----")</f>
        <v>----</v>
      </c>
      <c r="BO426" s="702" t="e">
        <f t="shared" ca="1" si="6458"/>
        <v>#REF!</v>
      </c>
      <c r="BP426" s="686" t="str">
        <f ca="1">IFERROR(VLOOKUP(BO426,INDIRECT(AQ429),2,FALSE),"----")</f>
        <v>----</v>
      </c>
      <c r="BQ426" s="702" t="e">
        <f t="shared" ca="1" si="6459"/>
        <v>#REF!</v>
      </c>
      <c r="BR426" s="686" t="str">
        <f ca="1">IFERROR(VLOOKUP(BQ426,INDIRECT(AQ430),2,FALSE),"----")</f>
        <v>----</v>
      </c>
      <c r="BS426" s="695">
        <f>IF(AI426="",1,IF(COUNTIF(BJ419:BJ430,AI426)=0,2,1))</f>
        <v>1</v>
      </c>
      <c r="BT426" s="696">
        <f>IF(AF426="",1,IF(BJ419=".",2,1))</f>
        <v>1</v>
      </c>
      <c r="BU426" s="706"/>
      <c r="BV426" s="155">
        <f ca="1">IF(COUNTIF(DN419:DN430,AF426)=0,IF(AF426&lt;&gt;"",0,1),1)</f>
        <v>1</v>
      </c>
      <c r="BW426" s="157">
        <f ca="1">IFERROR(MATCH(AF426,DN419:DN430,0),1)</f>
        <v>1</v>
      </c>
      <c r="BX426" s="769">
        <f t="shared" ref="BX426" si="7615">E419*(H419+I419)/144/2</f>
        <v>0</v>
      </c>
      <c r="BY426" s="769">
        <f>SUM(IF(H419&gt;E419,E419^2/4,(H419*E419/2)-(H419^2/4))/144,IF(I419&gt;E419,E419^2/4,(I419*E419/2)-(I419^2/4))/144)</f>
        <v>0</v>
      </c>
      <c r="BZ426" s="1110"/>
      <c r="CA426" s="691" t="e">
        <f t="shared" ca="1" si="7496"/>
        <v>#REF!</v>
      </c>
      <c r="CB426" s="4" t="e" cm="1">
        <f t="array" aca="1" ref="CB426" ca="1">IF(AND(INDEX(INDIRECT(BY419),CA426,4)&gt;=$AB419,INDEX(INDIRECT(BY419),CA426,5)&gt;=$S419,INDEX(INDIRECT(BY419),CA426,6)&gt;=$R419),1,0)</f>
        <v>#REF!</v>
      </c>
      <c r="CC426" s="4" t="e">
        <f t="shared" ref="CC426" ca="1" si="7616">MATCH(1,OFFSET(CB419:CB430,CD425,0,COUNT(CB419:CB430)-CD425),0)</f>
        <v>#REF!</v>
      </c>
      <c r="CD426" s="4" t="e">
        <f t="shared" ca="1" si="7498"/>
        <v>#REF!</v>
      </c>
      <c r="CE426" s="692" t="str" cm="1">
        <f t="array" aca="1" ref="CE426" ca="1">IFERROR(VLOOKUP(INDEX(CA419:CA430,CD426),INDIRECT(BY419),2,FALSE),"----")</f>
        <v>----</v>
      </c>
      <c r="CF426" s="691" t="e">
        <f t="shared" ca="1" si="7499"/>
        <v>#N/A</v>
      </c>
      <c r="CG426" s="4" t="e">
        <f ca="1">IF(AND(INDEX(SSM,CF426,4)&gt;=$AB419,INDEX(SSM,CF426,5)&gt;=$S419,INDEX(SSM,CF426,6)&gt;=$R419),1,0)</f>
        <v>#N/A</v>
      </c>
      <c r="CH426" s="4" t="e">
        <f t="shared" ref="CH426" ca="1" si="7617">MATCH(1,OFFSET(CG419:CG430,CI425,0,COUNT(CG419:CG430)-CI425),0)</f>
        <v>#REF!</v>
      </c>
      <c r="CI426" s="4" t="e">
        <f t="shared" ca="1" si="7501"/>
        <v>#REF!</v>
      </c>
      <c r="CJ426" s="692" t="str">
        <f ca="1">IFERROR(IF(AD420="Nested Steel Stud (wood infill)",VLOOKUP(INDEX(CF419:CF430,CI426),SSW,2,FALSE),VLOOKUP(INDEX(CF419:CF430,CI426),SSM,2,FALSE)),"----")</f>
        <v>----</v>
      </c>
      <c r="CK426" s="691" t="e">
        <f t="shared" ca="1" si="7502"/>
        <v>#N/A</v>
      </c>
      <c r="CL426" s="4" t="e">
        <f ca="1">IF(AND(INDEX(WSM,CK426,4)&gt;=$AB419,INDEX(WSM,CK426,5)&gt;=$S419,INDEX(WSM,CK426,6)&gt;=$R419),1,0)</f>
        <v>#N/A</v>
      </c>
      <c r="CM426" s="4" t="e">
        <f t="shared" ref="CM426" ca="1" si="7618">MATCH(1,OFFSET(CL419:CL430,CN425,0,COUNT(CL419:CL430)-CN425),0)</f>
        <v>#REF!</v>
      </c>
      <c r="CN426" s="4" t="e">
        <f t="shared" ca="1" si="7504"/>
        <v>#REF!</v>
      </c>
      <c r="CO426" s="692" t="str">
        <f ca="1">IFERROR(VLOOKUP(INDEX(CK419:CK430,CN426),WSM,2,FALSE),"----")</f>
        <v>----</v>
      </c>
      <c r="CP426" s="691" t="e">
        <f t="shared" ca="1" si="7505"/>
        <v>#N/A</v>
      </c>
      <c r="CQ426" s="4" t="e">
        <f ca="1">IF(AND(INDEX(STM,CP426,4)&gt;=$AB419,INDEX(STM,CP426,5)&gt;=$S419,INDEX(STM,CP426,6)&gt;=$R419),1,0)</f>
        <v>#N/A</v>
      </c>
      <c r="CR426" s="4" t="e">
        <f t="shared" ref="CR426" ca="1" si="7619">MATCH(1,OFFSET(CQ419:CQ430,CS425,0,COUNT(CQ419:CQ430)-CS425),0)</f>
        <v>#REF!</v>
      </c>
      <c r="CS426" s="4" t="e">
        <f t="shared" ca="1" si="7507"/>
        <v>#REF!</v>
      </c>
      <c r="CT426" s="692" t="str">
        <f ca="1">IFERROR(VLOOKUP(INDEX(CP419:CP430,CS426),STM,2,FALSE),"----")</f>
        <v>----</v>
      </c>
      <c r="CU426" s="691" t="e">
        <f t="shared" ca="1" si="7508"/>
        <v>#N/A</v>
      </c>
      <c r="CV426" s="4" t="e">
        <f ca="1">IF(AND(INDEX(ELM,CU426,4)&gt;=$AB419,INDEX(ELM,CU426,5)&gt;=$S419,INDEX(ELM,CU426,6)&gt;=$R419),1,0)</f>
        <v>#N/A</v>
      </c>
      <c r="CW426" s="4" t="e">
        <f t="shared" ref="CW426" ca="1" si="7620">MATCH(1,OFFSET(CV419:CV430,CX425,0,COUNT(CV419:CV430)-CX425),0)</f>
        <v>#REF!</v>
      </c>
      <c r="CX426" s="4" t="e">
        <f t="shared" ca="1" si="7510"/>
        <v>#REF!</v>
      </c>
      <c r="CY426" s="692" t="str">
        <f ca="1">IFERROR(VLOOKUP(INDEX(CU419:CU430,CX426),ELM,2,FALSE),"----")</f>
        <v>----</v>
      </c>
      <c r="CZ426" s="691" t="e">
        <f t="shared" ca="1" si="7511"/>
        <v>#N/A</v>
      </c>
      <c r="DA426" s="4" t="e">
        <f ca="1">IF(LEFT($J419,7)="Clad Wo",IF(AND(INDEX(SPPWS,CZ426,4)&gt;=$AB419,INDEX(SPPWS,CZ426,5)&gt;=$S419,INDEX(SPPWS,CZ426,6)&gt;=$R419),1,0),IF(AND(INDEX(SPM,CZ426,4)&gt;=$AB419,INDEX(SPM,CZ426,5)&gt;=$S419,INDEX(SPM,CZ426,6)&gt;=$R419),1,0))</f>
        <v>#N/A</v>
      </c>
      <c r="DB426" s="4" t="e">
        <f t="shared" ref="DB426" ca="1" si="7621">MATCH(1,OFFSET(DA419:DA430,DC425,0,COUNT(DA419:DA430)-DC425),0)</f>
        <v>#REF!</v>
      </c>
      <c r="DC426" s="4" t="e">
        <f t="shared" ca="1" si="7513"/>
        <v>#REF!</v>
      </c>
      <c r="DD426" s="693" t="str">
        <f ca="1">IF(LEFT($J419,7)="Clad Wo",IFERROR(VLOOKUP(INDEX(CZ419:CZ430,DC426),SPPWS,2,FALSE),"----"),IFERROR(VLOOKUP(INDEX(CZ419:CZ430,DC426),SPM,2,FALSE),"----"))</f>
        <v>----</v>
      </c>
      <c r="DE426" s="691" t="e">
        <f t="shared" ca="1" si="7514"/>
        <v>#REF!</v>
      </c>
      <c r="DF426" s="4" t="e" cm="1">
        <f t="array" aca="1" ref="DF426" ca="1">IF(AND(INDEX(INDIRECT(BY419),DE426,4)&gt;=$AB425,INDEX(INDIRECT(BY419),DE426,5)&gt;=$S419,INDEX(INDIRECT(BY419),DE426,6)&gt;=$R419),1,0)</f>
        <v>#REF!</v>
      </c>
      <c r="DG426" s="4" t="e">
        <f t="shared" ref="DG426" ca="1" si="7622">MATCH(1,OFFSET(DF419:DF430,DH425,0,COUNT(DF419:DF430)-DH425),0)</f>
        <v>#REF!</v>
      </c>
      <c r="DH426" s="4" t="e">
        <f t="shared" ca="1" si="7516"/>
        <v>#REF!</v>
      </c>
      <c r="DI426" s="692" t="str" cm="1">
        <f t="array" aca="1" ref="DI426" ca="1">IFERROR(VLOOKUP(INDEX(DE419:DE430,DH426),INDIRECT(BY419),2,FALSE),"----")</f>
        <v>----</v>
      </c>
      <c r="DJ426" s="691" t="e">
        <f t="shared" ca="1" si="7517"/>
        <v>#N/A</v>
      </c>
      <c r="DK426" s="4" t="e">
        <f ca="1">IF(AND(INDEX(SSM,DJ426,4)&gt;=$AB425,INDEX(SSM,DJ426,5)&gt;=$S419,INDEX(SSM,DJ426,6)&gt;=$R419),1,0)</f>
        <v>#N/A</v>
      </c>
      <c r="DL426" s="4" t="e">
        <f t="shared" ref="DL426" ca="1" si="7623">MATCH(1,OFFSET(DK419:DK430,DM425,0,COUNT(DK419:DK430)-DM425),0)</f>
        <v>#REF!</v>
      </c>
      <c r="DM426" s="4" t="e">
        <f t="shared" ca="1" si="7519"/>
        <v>#REF!</v>
      </c>
      <c r="DN426" s="692" t="str">
        <f ca="1">IFERROR(IF(AD426="Nested Steel Stud (wood infill)",VLOOKUP(INDEX(DJ419:DJ430,DM426),SSW,2,FALSE),VLOOKUP(INDEX(DJ419:DJ430,DM426),SSM,2,FALSE)),"----")</f>
        <v>----</v>
      </c>
      <c r="DO426" s="691" t="e">
        <f t="shared" ca="1" si="7520"/>
        <v>#N/A</v>
      </c>
      <c r="DP426" s="4" t="e">
        <f ca="1">IF(AND(INDEX(WSM,DO426,4)&gt;=$AB425,INDEX(WSM,DO426,5)&gt;=$S419,INDEX(WSM,DO426,6)&gt;=$R419),1,0)</f>
        <v>#N/A</v>
      </c>
      <c r="DQ426" s="4" t="e">
        <f t="shared" ref="DQ426" ca="1" si="7624">MATCH(1,OFFSET(DP419:DP430,DR425,0,COUNT(DP419:DP430)-DR425),0)</f>
        <v>#REF!</v>
      </c>
      <c r="DR426" s="4" t="e">
        <f t="shared" ca="1" si="7522"/>
        <v>#REF!</v>
      </c>
      <c r="DS426" s="692" t="str">
        <f ca="1">IFERROR(VLOOKUP(INDEX(DO419:DO430,DR426),WSM,2,FALSE),"----")</f>
        <v>----</v>
      </c>
      <c r="DT426" s="691" t="e">
        <f t="shared" ca="1" si="7523"/>
        <v>#N/A</v>
      </c>
      <c r="DU426" s="4" t="e">
        <f ca="1">IF(AND(INDEX(STM,DT426,4)&gt;=$AB425,INDEX(STM,DT426,5)&gt;=$S419,INDEX(STM,DT426,6)&gt;=$R419),1,0)</f>
        <v>#N/A</v>
      </c>
      <c r="DV426" s="4" t="e">
        <f t="shared" ref="DV426" ca="1" si="7625">MATCH(1,OFFSET(DU419:DU430,DW425,0,COUNT(DU419:DU430)-DW425),0)</f>
        <v>#REF!</v>
      </c>
      <c r="DW426" s="4" t="e">
        <f t="shared" ca="1" si="7525"/>
        <v>#REF!</v>
      </c>
      <c r="DX426" s="692" t="str">
        <f ca="1">IFERROR(VLOOKUP(INDEX(DT419:DT430,DW426),STM,2,FALSE),"----")</f>
        <v>----</v>
      </c>
      <c r="DY426" s="691" t="e">
        <f t="shared" ca="1" si="7526"/>
        <v>#N/A</v>
      </c>
      <c r="DZ426" s="4" t="e">
        <f ca="1">IF(AND(INDEX(ELM,DY426,4)&gt;=$AB425,INDEX(ELM,DY426,5)&gt;=$S419,INDEX(ELM,DY426,6)&gt;=$R419),1,0)</f>
        <v>#N/A</v>
      </c>
      <c r="EA426" s="4" t="e">
        <f t="shared" ref="EA426" ca="1" si="7626">MATCH(1,OFFSET(DZ419:DZ430,EB425,0,COUNT(DZ419:DZ430)-EB425),0)</f>
        <v>#REF!</v>
      </c>
      <c r="EB426" s="4" t="e">
        <f t="shared" ca="1" si="7528"/>
        <v>#REF!</v>
      </c>
      <c r="EC426" s="692" t="str">
        <f ca="1">IFERROR(VLOOKUP(INDEX(DY419:DY430,EB426),ELM,2,FALSE),"----")</f>
        <v>----</v>
      </c>
      <c r="ED426" s="691" t="e">
        <f t="shared" ca="1" si="7529"/>
        <v>#N/A</v>
      </c>
      <c r="EE426" s="4" t="e">
        <f ca="1">IF(LEFT($J419,7)="Clad Wo",IF(AND(INDEX(SPPWS,ED426,4)&gt;=$AB425,INDEX(SPPWS,ED426,5)&gt;=$S419,INDEX(SPPWS,ED426,6)&gt;=$R419),1,0),IF(AND(INDEX(SPM,ED426,4)&gt;=$AB425,INDEX(SPM,ED426,5)&gt;=$S419,INDEX(SPM,ED426,6)&gt;=$R419),1,0))</f>
        <v>#N/A</v>
      </c>
      <c r="EF426" s="4" t="e">
        <f t="shared" ref="EF426" ca="1" si="7627">MATCH(1,OFFSET(EE419:EE430,EG425,0,COUNT(EE419:EE430)-EG425),0)</f>
        <v>#REF!</v>
      </c>
      <c r="EG426" s="4" t="e">
        <f t="shared" ca="1" si="7531"/>
        <v>#REF!</v>
      </c>
      <c r="EH426" s="692" t="str">
        <f ca="1">IF(LEFT($J419,7)="Clad Wo",IFERROR(VLOOKUP(INDEX(ED419:ED430,EG426),SPPWS,2,FALSE),"----"),IFERROR(VLOOKUP(INDEX(ED419:ED430,EG426),SPM,2,FALSE),"----"))</f>
        <v>----</v>
      </c>
    </row>
    <row r="427" spans="1:138" ht="15" customHeight="1" x14ac:dyDescent="0.25">
      <c r="A427" s="1085"/>
      <c r="B427" s="925"/>
      <c r="C427" s="926"/>
      <c r="D427" s="927"/>
      <c r="E427" s="995"/>
      <c r="F427" s="996"/>
      <c r="G427" s="997"/>
      <c r="H427" s="1062"/>
      <c r="I427" s="990"/>
      <c r="J427" s="902"/>
      <c r="K427" s="903"/>
      <c r="L427" s="1002"/>
      <c r="M427" s="923"/>
      <c r="N427" s="1042"/>
      <c r="O427" s="1018"/>
      <c r="P427" s="987"/>
      <c r="Q427" s="1015"/>
      <c r="R427" s="1012"/>
      <c r="S427" s="1006"/>
      <c r="T427" s="1007"/>
      <c r="U427" s="878"/>
      <c r="V427" s="881"/>
      <c r="W427" s="884"/>
      <c r="X427" s="884"/>
      <c r="Y427" s="887"/>
      <c r="Z427" s="887"/>
      <c r="AA427" s="887"/>
      <c r="AB427" s="1081"/>
      <c r="AC427" s="1078"/>
      <c r="AD427" s="1070" t="str">
        <f t="shared" si="7388"/>
        <v>Wood Stud Framing</v>
      </c>
      <c r="AE427" s="1071"/>
      <c r="AF427" s="1052"/>
      <c r="AG427" s="1053"/>
      <c r="AH427" s="1053"/>
      <c r="AI427" s="1066"/>
      <c r="AJ427" s="1067"/>
      <c r="AK427" s="156" t="str">
        <f t="shared" ca="1" si="7482"/>
        <v/>
      </c>
      <c r="AL427" s="1059"/>
      <c r="AM427" s="344" t="str">
        <f ca="1">IFERROR(Q419/12*ROUND(VLOOKUP(AF427,OFFSET(WSM,0,1),6,FALSE),2),"")</f>
        <v/>
      </c>
      <c r="AN427" t="str">
        <f t="shared" ca="1" si="7532"/>
        <v/>
      </c>
      <c r="AP427" s="122" t="str">
        <f t="shared" ref="AP427" si="7628">_xlfn.CONCAT(AR427,AS430)</f>
        <v/>
      </c>
      <c r="AQ427" s="683" t="str">
        <f t="shared" si="6434"/>
        <v/>
      </c>
      <c r="AR427" s="4" t="str">
        <f t="shared" si="7457"/>
        <v/>
      </c>
      <c r="AS427" s="4"/>
      <c r="AT427" s="697" t="str">
        <f>AL425</f>
        <v/>
      </c>
      <c r="AU427" s="694" t="e">
        <f t="shared" ca="1" si="6450"/>
        <v>#REF!</v>
      </c>
      <c r="AV427" s="686" t="str">
        <f ca="1">IFERROR(VLOOKUP(AU427,INDIRECT(AQ419),2,FALSE),"----")</f>
        <v>----</v>
      </c>
      <c r="AW427" s="694" t="e">
        <f t="shared" ca="1" si="6451"/>
        <v>#REF!</v>
      </c>
      <c r="AX427" s="686" t="str">
        <f ca="1">IFERROR(VLOOKUP(AW427,INDIRECT(AQ420),2,FALSE),"----")</f>
        <v>----</v>
      </c>
      <c r="AY427" s="694" t="e">
        <f t="shared" ca="1" si="7338"/>
        <v>#REF!</v>
      </c>
      <c r="AZ427" s="686" t="str">
        <f ca="1">IFERROR(VLOOKUP(AY427,INDIRECT(AQ421),2,FALSE),"----")</f>
        <v>----</v>
      </c>
      <c r="BA427" s="694" t="e">
        <f t="shared" ca="1" si="7339"/>
        <v>#REF!</v>
      </c>
      <c r="BB427" s="686" t="str">
        <f ca="1">IFERROR(VLOOKUP(BA427,INDIRECT(AQ422),2,FALSE),"----")</f>
        <v>----</v>
      </c>
      <c r="BC427" s="694" t="e">
        <f t="shared" ca="1" si="6452"/>
        <v>#REF!</v>
      </c>
      <c r="BD427" s="686" t="str">
        <f ca="1">IFERROR(VLOOKUP(BC427,INDIRECT(AQ423),2,FALSE),"----")</f>
        <v>----</v>
      </c>
      <c r="BE427" s="694" t="e">
        <f t="shared" ca="1" si="6453"/>
        <v>#REF!</v>
      </c>
      <c r="BF427" s="686" t="str">
        <f ca="1">IFERROR(VLOOKUP(BE427,INDIRECT(AQ424),2,FALSE),"----")</f>
        <v>----</v>
      </c>
      <c r="BG427" s="702" t="e">
        <f t="shared" ca="1" si="6454"/>
        <v>#REF!</v>
      </c>
      <c r="BH427" s="686" t="str">
        <f ca="1">IFERROR(VLOOKUP(BG427,INDIRECT(AQ425),2,FALSE),"----")</f>
        <v>----</v>
      </c>
      <c r="BI427" s="702" t="e">
        <f t="shared" ca="1" si="6455"/>
        <v>#REF!</v>
      </c>
      <c r="BJ427" s="686" t="str">
        <f ca="1">IFERROR(VLOOKUP(BI427,INDIRECT(AQ426),2,FALSE),"----")</f>
        <v>----</v>
      </c>
      <c r="BK427" s="702" t="e">
        <f t="shared" ca="1" si="6456"/>
        <v>#REF!</v>
      </c>
      <c r="BL427" s="686" t="str">
        <f ca="1">IFERROR(VLOOKUP(BK427,INDIRECT(AQ427),2,FALSE),"----")</f>
        <v>----</v>
      </c>
      <c r="BM427" s="702" t="e">
        <f t="shared" ca="1" si="6457"/>
        <v>#REF!</v>
      </c>
      <c r="BN427" s="686" t="str">
        <f ca="1">IFERROR(VLOOKUP(BM427,INDIRECT(AQ428),2,FALSE),"----")</f>
        <v>----</v>
      </c>
      <c r="BO427" s="702" t="e">
        <f t="shared" ca="1" si="6458"/>
        <v>#REF!</v>
      </c>
      <c r="BP427" s="686" t="str">
        <f ca="1">IFERROR(VLOOKUP(BO427,INDIRECT(AQ429),2,FALSE),"----")</f>
        <v>----</v>
      </c>
      <c r="BQ427" s="702" t="e">
        <f t="shared" ca="1" si="6459"/>
        <v>#REF!</v>
      </c>
      <c r="BR427" s="686" t="str">
        <f ca="1">IFERROR(VLOOKUP(BQ427,INDIRECT(AQ430),2,FALSE),"----")</f>
        <v>----</v>
      </c>
      <c r="BS427" s="695">
        <f>IF(AI427="",1,IF(COUNTIF(BL419:BL430,AI427)=0,2,1))</f>
        <v>1</v>
      </c>
      <c r="BT427" s="696">
        <f>IF(AF427="",1,IF(BL419=".",2,1))</f>
        <v>1</v>
      </c>
      <c r="BU427" s="706"/>
      <c r="BV427" s="155">
        <f ca="1">IF(COUNTIF(DS419:DS430,AF427)=0,IF(AF427&lt;&gt;"",0,1),1)</f>
        <v>1</v>
      </c>
      <c r="BW427" s="157">
        <f ca="1">IFERROR(MATCH(AF427,DS419:DS430,0),1)</f>
        <v>1</v>
      </c>
      <c r="BX427" s="769" t="e">
        <f t="shared" ref="BX427" si="7629">5*E419^3*W419/(384*X419)</f>
        <v>#VALUE!</v>
      </c>
      <c r="BY427" s="769" t="e">
        <f t="shared" ref="BY427" si="7630">W419*E419^3/(60*X419)</f>
        <v>#VALUE!</v>
      </c>
      <c r="BZ427" s="1110"/>
      <c r="CA427" s="691" t="e">
        <f t="shared" ca="1" si="7496"/>
        <v>#REF!</v>
      </c>
      <c r="CB427" s="4" t="e" cm="1">
        <f t="array" aca="1" ref="CB427" ca="1">IF(AND(INDEX(INDIRECT(BY419),CA427,4)&gt;=$AB419,INDEX(INDIRECT(BY419),CA427,5)&gt;=$S419,INDEX(INDIRECT(BY419),CA427,6)&gt;=$R419),1,0)</f>
        <v>#REF!</v>
      </c>
      <c r="CC427" s="4" t="e">
        <f t="shared" ref="CC427" ca="1" si="7631">MATCH(1,OFFSET(CB419:CB430,CD426,0,COUNT(CB419:CB430)-CD426),0)</f>
        <v>#REF!</v>
      </c>
      <c r="CD427" s="4" t="e">
        <f t="shared" ca="1" si="7498"/>
        <v>#REF!</v>
      </c>
      <c r="CE427" s="692" t="str" cm="1">
        <f t="array" aca="1" ref="CE427" ca="1">IFERROR(VLOOKUP(INDEX(CA419:CA430,CD427),INDIRECT(BY419),2,FALSE),"----")</f>
        <v>----</v>
      </c>
      <c r="CF427" s="691" t="e">
        <f t="shared" ca="1" si="7499"/>
        <v>#N/A</v>
      </c>
      <c r="CG427" s="4" t="e">
        <f ca="1">IF(AND(INDEX(SSM,CF427,4)&gt;=$AB419,INDEX(SSM,CF427,5)&gt;=$S419,INDEX(SSM,CF427,6)&gt;=$R419),1,0)</f>
        <v>#N/A</v>
      </c>
      <c r="CH427" s="4" t="e">
        <f t="shared" ref="CH427" ca="1" si="7632">MATCH(1,OFFSET(CG419:CG430,CI426,0,COUNT(CG419:CG430)-CI426),0)</f>
        <v>#REF!</v>
      </c>
      <c r="CI427" s="4" t="e">
        <f t="shared" ca="1" si="7501"/>
        <v>#REF!</v>
      </c>
      <c r="CJ427" s="692" t="str">
        <f ca="1">IFERROR(IF(AD420="Nested Steel Stud (wood infill)",VLOOKUP(INDEX(CF419:CF430,CI427),SSW,2,FALSE),VLOOKUP(INDEX(CF419:CF430,CI427),SSM,2,FALSE)),"----")</f>
        <v>----</v>
      </c>
      <c r="CK427" s="691" t="e">
        <f t="shared" ca="1" si="7502"/>
        <v>#N/A</v>
      </c>
      <c r="CL427" s="4" t="e">
        <f ca="1">IF(AND(INDEX(WSM,CK427,4)&gt;=$AB419,INDEX(WSM,CK427,5)&gt;=$S419,INDEX(WSM,CK427,6)&gt;=$R419),1,0)</f>
        <v>#N/A</v>
      </c>
      <c r="CM427" s="4" t="e">
        <f t="shared" ref="CM427" ca="1" si="7633">MATCH(1,OFFSET(CL419:CL430,CN426,0,COUNT(CL419:CL430)-CN426),0)</f>
        <v>#REF!</v>
      </c>
      <c r="CN427" s="4" t="e">
        <f t="shared" ca="1" si="7504"/>
        <v>#REF!</v>
      </c>
      <c r="CO427" s="692" t="str">
        <f ca="1">IFERROR(VLOOKUP(INDEX(CK419:CK430,CN427),WSM,2,FALSE),"----")</f>
        <v>----</v>
      </c>
      <c r="CP427" s="691" t="e">
        <f t="shared" ca="1" si="7505"/>
        <v>#N/A</v>
      </c>
      <c r="CQ427" s="4" t="e">
        <f ca="1">IF(AND(INDEX(STM,CP427,4)&gt;=$AB419,INDEX(STM,CP427,5)&gt;=$S419,INDEX(STM,CP427,6)&gt;=$R419),1,0)</f>
        <v>#N/A</v>
      </c>
      <c r="CR427" s="4" t="e">
        <f t="shared" ref="CR427" ca="1" si="7634">MATCH(1,OFFSET(CQ419:CQ430,CS426,0,COUNT(CQ419:CQ430)-CS426),0)</f>
        <v>#REF!</v>
      </c>
      <c r="CS427" s="4" t="e">
        <f t="shared" ca="1" si="7507"/>
        <v>#REF!</v>
      </c>
      <c r="CT427" s="692" t="str">
        <f ca="1">IFERROR(VLOOKUP(INDEX(CP419:CP430,CS427),STM,2,FALSE),"----")</f>
        <v>----</v>
      </c>
      <c r="CU427" s="691" t="e">
        <f t="shared" ca="1" si="7508"/>
        <v>#N/A</v>
      </c>
      <c r="CV427" s="4" t="e">
        <f ca="1">IF(AND(INDEX(ELM,CU427,4)&gt;=$AB419,INDEX(ELM,CU427,5)&gt;=$S419,INDEX(ELM,CU427,6)&gt;=$R419),1,0)</f>
        <v>#N/A</v>
      </c>
      <c r="CW427" s="4" t="e">
        <f t="shared" ref="CW427" ca="1" si="7635">MATCH(1,OFFSET(CV419:CV430,CX426,0,COUNT(CV419:CV430)-CX426),0)</f>
        <v>#REF!</v>
      </c>
      <c r="CX427" s="4" t="e">
        <f t="shared" ca="1" si="7510"/>
        <v>#REF!</v>
      </c>
      <c r="CY427" s="692" t="str">
        <f ca="1">IFERROR(VLOOKUP(INDEX(CU419:CU430,CX427),ELM,2,FALSE),"----")</f>
        <v>----</v>
      </c>
      <c r="CZ427" s="691" t="e">
        <f t="shared" ca="1" si="7511"/>
        <v>#N/A</v>
      </c>
      <c r="DA427" s="4" t="e">
        <f ca="1">IF(LEFT($J419,7)="Clad Wo",IF(AND(INDEX(SPPWS,CZ427,4)&gt;=$AB419,INDEX(SPPWS,CZ427,5)&gt;=$S419,INDEX(SPPWS,CZ427,6)&gt;=$R419),1,0),IF(AND(INDEX(SPM,CZ427,4)&gt;=$AB419,INDEX(SPM,CZ427,5)&gt;=$S419,INDEX(SPM,CZ427,6)&gt;=$R419),1,0))</f>
        <v>#N/A</v>
      </c>
      <c r="DB427" s="4" t="e">
        <f t="shared" ref="DB427" ca="1" si="7636">MATCH(1,OFFSET(DA419:DA430,DC426,0,COUNT(DA419:DA430)-DC426),0)</f>
        <v>#REF!</v>
      </c>
      <c r="DC427" s="4" t="e">
        <f t="shared" ca="1" si="7513"/>
        <v>#REF!</v>
      </c>
      <c r="DD427" s="693" t="str">
        <f ca="1">IF(LEFT($J419,7)="Clad Wo",IFERROR(VLOOKUP(INDEX(CZ419:CZ430,DC427),SPPWS,2,FALSE),"----"),IFERROR(VLOOKUP(INDEX(CZ419:CZ430,DC427),SPM,2,FALSE),"----"))</f>
        <v>----</v>
      </c>
      <c r="DE427" s="691" t="e">
        <f t="shared" ca="1" si="7514"/>
        <v>#REF!</v>
      </c>
      <c r="DF427" s="4" t="e" cm="1">
        <f t="array" aca="1" ref="DF427" ca="1">IF(AND(INDEX(INDIRECT(BY419),DE427,4)&gt;=$AB425,INDEX(INDIRECT(BY419),DE427,5)&gt;=$S419,INDEX(INDIRECT(BY419),DE427,6)&gt;=$R419),1,0)</f>
        <v>#REF!</v>
      </c>
      <c r="DG427" s="4" t="e">
        <f t="shared" ref="DG427" ca="1" si="7637">MATCH(1,OFFSET(DF419:DF430,DH426,0,COUNT(DF419:DF430)-DH426),0)</f>
        <v>#REF!</v>
      </c>
      <c r="DH427" s="4" t="e">
        <f t="shared" ca="1" si="7516"/>
        <v>#REF!</v>
      </c>
      <c r="DI427" s="692" t="str" cm="1">
        <f t="array" aca="1" ref="DI427" ca="1">IFERROR(VLOOKUP(INDEX(DE419:DE430,DH427),INDIRECT(BY419),2,FALSE),"----")</f>
        <v>----</v>
      </c>
      <c r="DJ427" s="691" t="e">
        <f t="shared" ca="1" si="7517"/>
        <v>#N/A</v>
      </c>
      <c r="DK427" s="4" t="e">
        <f ca="1">IF(AND(INDEX(SSM,DJ427,4)&gt;=$AB425,INDEX(SSM,DJ427,5)&gt;=$S419,INDEX(SSM,DJ427,6)&gt;=$R419),1,0)</f>
        <v>#N/A</v>
      </c>
      <c r="DL427" s="4" t="e">
        <f t="shared" ref="DL427" ca="1" si="7638">MATCH(1,OFFSET(DK419:DK430,DM426,0,COUNT(DK419:DK430)-DM426),0)</f>
        <v>#REF!</v>
      </c>
      <c r="DM427" s="4" t="e">
        <f t="shared" ca="1" si="7519"/>
        <v>#REF!</v>
      </c>
      <c r="DN427" s="692" t="str">
        <f ca="1">IFERROR(IF(AD426="Nested Steel Stud (wood infill)",VLOOKUP(INDEX(DJ419:DJ430,DM427),SSW,2,FALSE),VLOOKUP(INDEX(DJ419:DJ430,DM427),SSM,2,FALSE)),"----")</f>
        <v>----</v>
      </c>
      <c r="DO427" s="691" t="e">
        <f t="shared" ca="1" si="7520"/>
        <v>#N/A</v>
      </c>
      <c r="DP427" s="4" t="e">
        <f ca="1">IF(AND(INDEX(WSM,DO427,4)&gt;=$AB425,INDEX(WSM,DO427,5)&gt;=$S419,INDEX(WSM,DO427,6)&gt;=$R419),1,0)</f>
        <v>#N/A</v>
      </c>
      <c r="DQ427" s="4" t="e">
        <f t="shared" ref="DQ427" ca="1" si="7639">MATCH(1,OFFSET(DP419:DP430,DR426,0,COUNT(DP419:DP430)-DR426),0)</f>
        <v>#REF!</v>
      </c>
      <c r="DR427" s="4" t="e">
        <f t="shared" ca="1" si="7522"/>
        <v>#REF!</v>
      </c>
      <c r="DS427" s="692" t="str">
        <f ca="1">IFERROR(VLOOKUP(INDEX(DO419:DO430,DR427),WSM,2,FALSE),"----")</f>
        <v>----</v>
      </c>
      <c r="DT427" s="691" t="e">
        <f t="shared" ca="1" si="7523"/>
        <v>#N/A</v>
      </c>
      <c r="DU427" s="4" t="e">
        <f ca="1">IF(AND(INDEX(STM,DT427,4)&gt;=$AB425,INDEX(STM,DT427,5)&gt;=$S419,INDEX(STM,DT427,6)&gt;=$R419),1,0)</f>
        <v>#N/A</v>
      </c>
      <c r="DV427" s="4" t="e">
        <f t="shared" ref="DV427" ca="1" si="7640">MATCH(1,OFFSET(DU419:DU430,DW426,0,COUNT(DU419:DU430)-DW426),0)</f>
        <v>#REF!</v>
      </c>
      <c r="DW427" s="4" t="e">
        <f t="shared" ca="1" si="7525"/>
        <v>#REF!</v>
      </c>
      <c r="DX427" s="692" t="str">
        <f ca="1">IFERROR(VLOOKUP(INDEX(DT419:DT430,DW427),STM,2,FALSE),"----")</f>
        <v>----</v>
      </c>
      <c r="DY427" s="691" t="e">
        <f t="shared" ca="1" si="7526"/>
        <v>#N/A</v>
      </c>
      <c r="DZ427" s="4" t="e">
        <f ca="1">IF(AND(INDEX(ELM,DY427,4)&gt;=$AB425,INDEX(ELM,DY427,5)&gt;=$S419,INDEX(ELM,DY427,6)&gt;=$R419),1,0)</f>
        <v>#N/A</v>
      </c>
      <c r="EA427" s="4" t="e">
        <f t="shared" ref="EA427" ca="1" si="7641">MATCH(1,OFFSET(DZ419:DZ430,EB426,0,COUNT(DZ419:DZ430)-EB426),0)</f>
        <v>#REF!</v>
      </c>
      <c r="EB427" s="4" t="e">
        <f t="shared" ca="1" si="7528"/>
        <v>#REF!</v>
      </c>
      <c r="EC427" s="692" t="str">
        <f ca="1">IFERROR(VLOOKUP(INDEX(DY419:DY430,EB427),ELM,2,FALSE),"----")</f>
        <v>----</v>
      </c>
      <c r="ED427" s="691" t="e">
        <f t="shared" ca="1" si="7529"/>
        <v>#N/A</v>
      </c>
      <c r="EE427" s="4" t="e">
        <f ca="1">IF(LEFT($J419,7)="Clad Wo",IF(AND(INDEX(SPPWS,ED427,4)&gt;=$AB425,INDEX(SPPWS,ED427,5)&gt;=$S419,INDEX(SPPWS,ED427,6)&gt;=$R419),1,0),IF(AND(INDEX(SPM,ED427,4)&gt;=$AB425,INDEX(SPM,ED427,5)&gt;=$S419,INDEX(SPM,ED427,6)&gt;=$R419),1,0))</f>
        <v>#N/A</v>
      </c>
      <c r="EF427" s="4" t="e">
        <f t="shared" ref="EF427" ca="1" si="7642">MATCH(1,OFFSET(EE419:EE430,EG426,0,COUNT(EE419:EE430)-EG426),0)</f>
        <v>#REF!</v>
      </c>
      <c r="EG427" s="4" t="e">
        <f t="shared" ca="1" si="7531"/>
        <v>#REF!</v>
      </c>
      <c r="EH427" s="692" t="str">
        <f ca="1">IF(LEFT($J419,7)="Clad Wo",IFERROR(VLOOKUP(INDEX(ED419:ED430,EG427),SPPWS,2,FALSE),"----"),IFERROR(VLOOKUP(INDEX(ED419:ED430,EG427),SPM,2,FALSE),"----"))</f>
        <v>----</v>
      </c>
    </row>
    <row r="428" spans="1:138" ht="15" customHeight="1" x14ac:dyDescent="0.25">
      <c r="A428" s="1085"/>
      <c r="B428" s="925"/>
      <c r="C428" s="926"/>
      <c r="D428" s="927"/>
      <c r="E428" s="995"/>
      <c r="F428" s="996"/>
      <c r="G428" s="997"/>
      <c r="H428" s="1062"/>
      <c r="I428" s="990"/>
      <c r="J428" s="902"/>
      <c r="K428" s="903"/>
      <c r="L428" s="1002"/>
      <c r="M428" s="923"/>
      <c r="N428" s="1042"/>
      <c r="O428" s="1018"/>
      <c r="P428" s="987"/>
      <c r="Q428" s="1015"/>
      <c r="R428" s="1012"/>
      <c r="S428" s="1006"/>
      <c r="T428" s="1007"/>
      <c r="U428" s="878"/>
      <c r="V428" s="881"/>
      <c r="W428" s="884"/>
      <c r="X428" s="884"/>
      <c r="Y428" s="887"/>
      <c r="Z428" s="887"/>
      <c r="AA428" s="887"/>
      <c r="AB428" s="1081"/>
      <c r="AC428" s="1078"/>
      <c r="AD428" s="1070" t="str">
        <f t="shared" si="7388"/>
        <v>Steel Tube</v>
      </c>
      <c r="AE428" s="1071"/>
      <c r="AF428" s="1052"/>
      <c r="AG428" s="1053"/>
      <c r="AH428" s="1053"/>
      <c r="AI428" s="1066"/>
      <c r="AJ428" s="1067"/>
      <c r="AK428" s="156" t="str">
        <f t="shared" ca="1" si="7482"/>
        <v/>
      </c>
      <c r="AL428" s="1059"/>
      <c r="AM428" s="343" t="str">
        <f ca="1">IFERROR(Q419/12*ROUND(VLOOKUP(AF428,OFFSET(STM,0,1),6,FALSE),2),"")</f>
        <v/>
      </c>
      <c r="AN428" t="str">
        <f t="shared" ca="1" si="7532"/>
        <v/>
      </c>
      <c r="AP428" s="122" t="str">
        <f t="shared" ref="AP428" si="7643">_xlfn.CONCAT(AR428,AS430)</f>
        <v/>
      </c>
      <c r="AQ428" s="683" t="str">
        <f t="shared" si="6434"/>
        <v/>
      </c>
      <c r="AR428" s="4" t="str">
        <f t="shared" si="7457"/>
        <v/>
      </c>
      <c r="AS428" s="4"/>
      <c r="AT428" s="697" t="str">
        <f>AL425</f>
        <v/>
      </c>
      <c r="AU428" s="694" t="e">
        <f t="shared" ca="1" si="6450"/>
        <v>#REF!</v>
      </c>
      <c r="AV428" s="686" t="str">
        <f ca="1">IFERROR(VLOOKUP(AU428,INDIRECT(AQ419),2,FALSE),"----")</f>
        <v>----</v>
      </c>
      <c r="AW428" s="694" t="e">
        <f t="shared" ca="1" si="6451"/>
        <v>#REF!</v>
      </c>
      <c r="AX428" s="686" t="str">
        <f ca="1">IFERROR(VLOOKUP(AW428,INDIRECT(AQ420),2,FALSE),"----")</f>
        <v>----</v>
      </c>
      <c r="AY428" s="694" t="e">
        <f t="shared" ref="AY428:AY490" ca="1" si="7644">AY427-1</f>
        <v>#REF!</v>
      </c>
      <c r="AZ428" s="686" t="str">
        <f ca="1">IFERROR(VLOOKUP(AY428,INDIRECT(AQ421),2,FALSE),"----")</f>
        <v>----</v>
      </c>
      <c r="BA428" s="694" t="e">
        <f t="shared" ref="BA428:BA490" ca="1" si="7645">BA427-1</f>
        <v>#REF!</v>
      </c>
      <c r="BB428" s="686" t="str">
        <f ca="1">IFERROR(VLOOKUP(BA428,INDIRECT(AQ422),2,FALSE),"----")</f>
        <v>----</v>
      </c>
      <c r="BC428" s="694" t="e">
        <f t="shared" ca="1" si="6452"/>
        <v>#REF!</v>
      </c>
      <c r="BD428" s="686" t="str">
        <f ca="1">IFERROR(VLOOKUP(BC428,INDIRECT(AQ423),2,FALSE),"----")</f>
        <v>----</v>
      </c>
      <c r="BE428" s="694" t="e">
        <f t="shared" ca="1" si="6453"/>
        <v>#REF!</v>
      </c>
      <c r="BF428" s="686" t="str">
        <f ca="1">IFERROR(VLOOKUP(BE428,INDIRECT(AQ424),2,FALSE),"----")</f>
        <v>----</v>
      </c>
      <c r="BG428" s="702" t="e">
        <f t="shared" ca="1" si="6454"/>
        <v>#REF!</v>
      </c>
      <c r="BH428" s="686" t="str">
        <f ca="1">IFERROR(VLOOKUP(BG428,INDIRECT(AQ425),2,FALSE),"----")</f>
        <v>----</v>
      </c>
      <c r="BI428" s="702" t="e">
        <f t="shared" ca="1" si="6455"/>
        <v>#REF!</v>
      </c>
      <c r="BJ428" s="686" t="str">
        <f ca="1">IFERROR(VLOOKUP(BI428,INDIRECT(AQ426),2,FALSE),"----")</f>
        <v>----</v>
      </c>
      <c r="BK428" s="702" t="e">
        <f t="shared" ca="1" si="6456"/>
        <v>#REF!</v>
      </c>
      <c r="BL428" s="686" t="str">
        <f ca="1">IFERROR(VLOOKUP(BK428,INDIRECT(AQ427),2,FALSE),"----")</f>
        <v>----</v>
      </c>
      <c r="BM428" s="702" t="e">
        <f t="shared" ca="1" si="6457"/>
        <v>#REF!</v>
      </c>
      <c r="BN428" s="686" t="str">
        <f ca="1">IFERROR(VLOOKUP(BM428,INDIRECT(AQ428),2,FALSE),"----")</f>
        <v>----</v>
      </c>
      <c r="BO428" s="702" t="e">
        <f t="shared" ca="1" si="6458"/>
        <v>#REF!</v>
      </c>
      <c r="BP428" s="686" t="str">
        <f ca="1">IFERROR(VLOOKUP(BO428,INDIRECT(AQ429),2,FALSE),"----")</f>
        <v>----</v>
      </c>
      <c r="BQ428" s="702" t="e">
        <f t="shared" ca="1" si="6459"/>
        <v>#REF!</v>
      </c>
      <c r="BR428" s="686" t="str">
        <f ca="1">IFERROR(VLOOKUP(BQ428,INDIRECT(AQ430),2,FALSE),"----")</f>
        <v>----</v>
      </c>
      <c r="BS428" s="695">
        <f>IF(AI428="",1,IF(COUNTIF(BN419:BN430,AI428)=0,2,1))</f>
        <v>1</v>
      </c>
      <c r="BT428" s="696">
        <f>IF(AF428="",1,IF(BN419=".",2,1))</f>
        <v>1</v>
      </c>
      <c r="BU428" s="706"/>
      <c r="BV428" s="155">
        <f ca="1">IF(COUNTIF(DX419:DX430,AF428)=0,IF(AF428&lt;&gt;"",0,1),1)</f>
        <v>1</v>
      </c>
      <c r="BW428" s="157">
        <f ca="1">IFERROR(MATCH(AF428,DX419:DX430,0),1)</f>
        <v>1</v>
      </c>
      <c r="BX428" s="769" t="e">
        <f t="shared" ref="BX428" si="7646">5*E419^3*W425/(384*X419)</f>
        <v>#VALUE!</v>
      </c>
      <c r="BY428" s="769" t="e">
        <f t="shared" ref="BY428" si="7647">E419^3*W425/(60*X419)</f>
        <v>#VALUE!</v>
      </c>
      <c r="BZ428" s="1110"/>
      <c r="CA428" s="691" t="e">
        <f t="shared" ca="1" si="7496"/>
        <v>#REF!</v>
      </c>
      <c r="CB428" s="4" t="e" cm="1">
        <f t="array" aca="1" ref="CB428" ca="1">IF(AND(INDEX(INDIRECT(BY419),CA428,4)&gt;=$AB419,INDEX(INDIRECT(BY419),CA428,5)&gt;=$S419,INDEX(INDIRECT(BY419),CA428,6)&gt;=$R419),1,0)</f>
        <v>#REF!</v>
      </c>
      <c r="CC428" s="4" t="e">
        <f t="shared" ref="CC428" ca="1" si="7648">MATCH(1,OFFSET(CB419:CB430,CD427,0,COUNT(CB419:CB430)-CD427),0)</f>
        <v>#REF!</v>
      </c>
      <c r="CD428" s="4" t="e">
        <f t="shared" ca="1" si="7498"/>
        <v>#REF!</v>
      </c>
      <c r="CE428" s="692" t="str" cm="1">
        <f t="array" aca="1" ref="CE428" ca="1">IFERROR(VLOOKUP(INDEX(CA419:CA430,CD428),INDIRECT(BY419),2,FALSE),"----")</f>
        <v>----</v>
      </c>
      <c r="CF428" s="691" t="e">
        <f t="shared" ca="1" si="7499"/>
        <v>#N/A</v>
      </c>
      <c r="CG428" s="4" t="e">
        <f ca="1">IF(AND(INDEX(SSM,CF428,4)&gt;=$AB419,INDEX(SSM,CF428,5)&gt;=$S419,INDEX(SSM,CF428,6)&gt;=$R419),1,0)</f>
        <v>#N/A</v>
      </c>
      <c r="CH428" s="4" t="e">
        <f t="shared" ref="CH428" ca="1" si="7649">MATCH(1,OFFSET(CG419:CG430,CI427,0,COUNT(CG419:CG430)-CI427),0)</f>
        <v>#REF!</v>
      </c>
      <c r="CI428" s="4" t="e">
        <f t="shared" ca="1" si="7501"/>
        <v>#REF!</v>
      </c>
      <c r="CJ428" s="692" t="str">
        <f ca="1">IFERROR(IF(AD420="Nested Steel Stud (wood infill)",VLOOKUP(INDEX(CF419:CF430,CI428),SSW,2,FALSE),VLOOKUP(INDEX(CF419:CF430,CI428),SSM,2,FALSE)),"----")</f>
        <v>----</v>
      </c>
      <c r="CK428" s="691" t="e">
        <f t="shared" ca="1" si="7502"/>
        <v>#N/A</v>
      </c>
      <c r="CL428" s="4" t="e">
        <f ca="1">IF(AND(INDEX(WSM,CK428,4)&gt;=$AB419,INDEX(WSM,CK428,5)&gt;=$S419,INDEX(WSM,CK428,6)&gt;=$R419),1,0)</f>
        <v>#N/A</v>
      </c>
      <c r="CM428" s="4" t="e">
        <f t="shared" ref="CM428" ca="1" si="7650">MATCH(1,OFFSET(CL419:CL430,CN427,0,COUNT(CL419:CL430)-CN427),0)</f>
        <v>#REF!</v>
      </c>
      <c r="CN428" s="4" t="e">
        <f t="shared" ca="1" si="7504"/>
        <v>#REF!</v>
      </c>
      <c r="CO428" s="692" t="str">
        <f ca="1">IFERROR(VLOOKUP(INDEX(CK419:CK430,CN428),WSM,2,FALSE),"----")</f>
        <v>----</v>
      </c>
      <c r="CP428" s="691" t="e">
        <f t="shared" ca="1" si="7505"/>
        <v>#N/A</v>
      </c>
      <c r="CQ428" s="4" t="e">
        <f ca="1">IF(AND(INDEX(STM,CP428,4)&gt;=$AB419,INDEX(STM,CP428,5)&gt;=$S419,INDEX(STM,CP428,6)&gt;=$R419),1,0)</f>
        <v>#N/A</v>
      </c>
      <c r="CR428" s="4" t="e">
        <f t="shared" ref="CR428" ca="1" si="7651">MATCH(1,OFFSET(CQ419:CQ430,CS427,0,COUNT(CQ419:CQ430)-CS427),0)</f>
        <v>#REF!</v>
      </c>
      <c r="CS428" s="4" t="e">
        <f t="shared" ca="1" si="7507"/>
        <v>#REF!</v>
      </c>
      <c r="CT428" s="692" t="str">
        <f ca="1">IFERROR(VLOOKUP(INDEX(CP419:CP430,CS428),STM,2,FALSE),"----")</f>
        <v>----</v>
      </c>
      <c r="CU428" s="691" t="e">
        <f t="shared" ca="1" si="7508"/>
        <v>#N/A</v>
      </c>
      <c r="CV428" s="4" t="e">
        <f ca="1">IF(AND(INDEX(ELM,CU428,4)&gt;=$AB419,INDEX(ELM,CU428,5)&gt;=$S419,INDEX(ELM,CU428,6)&gt;=$R419),1,0)</f>
        <v>#N/A</v>
      </c>
      <c r="CW428" s="4" t="e">
        <f t="shared" ref="CW428" ca="1" si="7652">MATCH(1,OFFSET(CV419:CV430,CX427,0,COUNT(CV419:CV430)-CX427),0)</f>
        <v>#REF!</v>
      </c>
      <c r="CX428" s="4" t="e">
        <f t="shared" ca="1" si="7510"/>
        <v>#REF!</v>
      </c>
      <c r="CY428" s="692" t="str">
        <f ca="1">IFERROR(VLOOKUP(INDEX(CU419:CU430,CX428),ELM,2,FALSE),"----")</f>
        <v>----</v>
      </c>
      <c r="CZ428" s="691" t="e">
        <f t="shared" ca="1" si="7511"/>
        <v>#N/A</v>
      </c>
      <c r="DA428" s="4" t="e">
        <f ca="1">IF(LEFT($J419,7)="Clad Wo",IF(AND(INDEX(SPPWS,CZ428,4)&gt;=$AB419,INDEX(SPPWS,CZ428,5)&gt;=$S419,INDEX(SPPWS,CZ428,6)&gt;=$R419),1,0),IF(AND(INDEX(SPM,CZ428,4)&gt;=$AB419,INDEX(SPM,CZ428,5)&gt;=$S419,INDEX(SPM,CZ428,6)&gt;=$R419),1,0))</f>
        <v>#N/A</v>
      </c>
      <c r="DB428" s="4" t="e">
        <f t="shared" ref="DB428" ca="1" si="7653">MATCH(1,OFFSET(DA419:DA430,DC427,0,COUNT(DA419:DA430)-DC427),0)</f>
        <v>#REF!</v>
      </c>
      <c r="DC428" s="4" t="e">
        <f t="shared" ca="1" si="7513"/>
        <v>#REF!</v>
      </c>
      <c r="DD428" s="693" t="str">
        <f ca="1">IF(LEFT($J419,7)="Clad Wo",IFERROR(VLOOKUP(INDEX(CZ419:CZ430,DC428),SPPWS,2,FALSE),"----"),IFERROR(VLOOKUP(INDEX(CZ419:CZ430,DC428),SPM,2,FALSE),"----"))</f>
        <v>----</v>
      </c>
      <c r="DE428" s="691" t="e">
        <f t="shared" ca="1" si="7514"/>
        <v>#REF!</v>
      </c>
      <c r="DF428" s="4" t="e" cm="1">
        <f t="array" aca="1" ref="DF428" ca="1">IF(AND(INDEX(INDIRECT(BY419),DE428,4)&gt;=$AB425,INDEX(INDIRECT(BY419),DE428,5)&gt;=$S419,INDEX(INDIRECT(BY419),DE428,6)&gt;=$R419),1,0)</f>
        <v>#REF!</v>
      </c>
      <c r="DG428" s="4" t="e">
        <f t="shared" ref="DG428" ca="1" si="7654">MATCH(1,OFFSET(DF419:DF430,DH427,0,COUNT(DF419:DF430)-DH427),0)</f>
        <v>#REF!</v>
      </c>
      <c r="DH428" s="4" t="e">
        <f t="shared" ca="1" si="7516"/>
        <v>#REF!</v>
      </c>
      <c r="DI428" s="692" t="str" cm="1">
        <f t="array" aca="1" ref="DI428" ca="1">IFERROR(VLOOKUP(INDEX(DE419:DE430,DH428),INDIRECT(BY419),2,FALSE),"----")</f>
        <v>----</v>
      </c>
      <c r="DJ428" s="691" t="e">
        <f t="shared" ca="1" si="7517"/>
        <v>#N/A</v>
      </c>
      <c r="DK428" s="4" t="e">
        <f ca="1">IF(AND(INDEX(SSM,DJ428,4)&gt;=$AB425,INDEX(SSM,DJ428,5)&gt;=$S419,INDEX(SSM,DJ428,6)&gt;=$R419),1,0)</f>
        <v>#N/A</v>
      </c>
      <c r="DL428" s="4" t="e">
        <f t="shared" ref="DL428" ca="1" si="7655">MATCH(1,OFFSET(DK419:DK430,DM427,0,COUNT(DK419:DK430)-DM427),0)</f>
        <v>#REF!</v>
      </c>
      <c r="DM428" s="4" t="e">
        <f t="shared" ca="1" si="7519"/>
        <v>#REF!</v>
      </c>
      <c r="DN428" s="692" t="str">
        <f ca="1">IFERROR(IF(AD426="Nested Steel Stud (wood infill)",VLOOKUP(INDEX(DJ419:DJ430,DM428),SSW,2,FALSE),VLOOKUP(INDEX(DJ419:DJ430,DM428),SSM,2,FALSE)),"----")</f>
        <v>----</v>
      </c>
      <c r="DO428" s="691" t="e">
        <f t="shared" ca="1" si="7520"/>
        <v>#N/A</v>
      </c>
      <c r="DP428" s="4" t="e">
        <f ca="1">IF(AND(INDEX(WSM,DO428,4)&gt;=$AB425,INDEX(WSM,DO428,5)&gt;=$S419,INDEX(WSM,DO428,6)&gt;=$R419),1,0)</f>
        <v>#N/A</v>
      </c>
      <c r="DQ428" s="4" t="e">
        <f t="shared" ref="DQ428" ca="1" si="7656">MATCH(1,OFFSET(DP419:DP430,DR427,0,COUNT(DP419:DP430)-DR427),0)</f>
        <v>#REF!</v>
      </c>
      <c r="DR428" s="4" t="e">
        <f t="shared" ca="1" si="7522"/>
        <v>#REF!</v>
      </c>
      <c r="DS428" s="692" t="str">
        <f ca="1">IFERROR(VLOOKUP(INDEX(DO419:DO430,DR428),WSM,2,FALSE),"----")</f>
        <v>----</v>
      </c>
      <c r="DT428" s="691" t="e">
        <f t="shared" ca="1" si="7523"/>
        <v>#N/A</v>
      </c>
      <c r="DU428" s="4" t="e">
        <f ca="1">IF(AND(INDEX(STM,DT428,4)&gt;=$AB425,INDEX(STM,DT428,5)&gt;=$S419,INDEX(STM,DT428,6)&gt;=$R419),1,0)</f>
        <v>#N/A</v>
      </c>
      <c r="DV428" s="4" t="e">
        <f t="shared" ref="DV428" ca="1" si="7657">MATCH(1,OFFSET(DU419:DU430,DW427,0,COUNT(DU419:DU430)-DW427),0)</f>
        <v>#REF!</v>
      </c>
      <c r="DW428" s="4" t="e">
        <f t="shared" ca="1" si="7525"/>
        <v>#REF!</v>
      </c>
      <c r="DX428" s="692" t="str">
        <f ca="1">IFERROR(VLOOKUP(INDEX(DT419:DT430,DW428),STM,2,FALSE),"----")</f>
        <v>----</v>
      </c>
      <c r="DY428" s="691" t="e">
        <f t="shared" ca="1" si="7526"/>
        <v>#N/A</v>
      </c>
      <c r="DZ428" s="4" t="e">
        <f ca="1">IF(AND(INDEX(ELM,DY428,4)&gt;=$AB425,INDEX(ELM,DY428,5)&gt;=$S419,INDEX(ELM,DY428,6)&gt;=$R419),1,0)</f>
        <v>#N/A</v>
      </c>
      <c r="EA428" s="4" t="e">
        <f t="shared" ref="EA428" ca="1" si="7658">MATCH(1,OFFSET(DZ419:DZ430,EB427,0,COUNT(DZ419:DZ430)-EB427),0)</f>
        <v>#REF!</v>
      </c>
      <c r="EB428" s="4" t="e">
        <f t="shared" ca="1" si="7528"/>
        <v>#REF!</v>
      </c>
      <c r="EC428" s="692" t="str">
        <f ca="1">IFERROR(VLOOKUP(INDEX(DY419:DY430,EB428),ELM,2,FALSE),"----")</f>
        <v>----</v>
      </c>
      <c r="ED428" s="691" t="e">
        <f t="shared" ca="1" si="7529"/>
        <v>#N/A</v>
      </c>
      <c r="EE428" s="4" t="e">
        <f ca="1">IF(LEFT($J419,7)="Clad Wo",IF(AND(INDEX(SPPWS,ED428,4)&gt;=$AB425,INDEX(SPPWS,ED428,5)&gt;=$S419,INDEX(SPPWS,ED428,6)&gt;=$R419),1,0),IF(AND(INDEX(SPM,ED428,4)&gt;=$AB425,INDEX(SPM,ED428,5)&gt;=$S419,INDEX(SPM,ED428,6)&gt;=$R419),1,0))</f>
        <v>#N/A</v>
      </c>
      <c r="EF428" s="4" t="e">
        <f t="shared" ref="EF428" ca="1" si="7659">MATCH(1,OFFSET(EE419:EE430,EG427,0,COUNT(EE419:EE430)-EG427),0)</f>
        <v>#REF!</v>
      </c>
      <c r="EG428" s="4" t="e">
        <f t="shared" ca="1" si="7531"/>
        <v>#REF!</v>
      </c>
      <c r="EH428" s="692" t="str">
        <f ca="1">IF(LEFT($J419,7)="Clad Wo",IFERROR(VLOOKUP(INDEX(ED419:ED430,EG428),SPPWS,2,FALSE),"----"),IFERROR(VLOOKUP(INDEX(ED419:ED430,EG428),SPM,2,FALSE),"----"))</f>
        <v>----</v>
      </c>
    </row>
    <row r="429" spans="1:138" ht="15" customHeight="1" x14ac:dyDescent="0.25">
      <c r="A429" s="1085"/>
      <c r="B429" s="925"/>
      <c r="C429" s="926"/>
      <c r="D429" s="927"/>
      <c r="E429" s="995"/>
      <c r="F429" s="996"/>
      <c r="G429" s="997"/>
      <c r="H429" s="1062"/>
      <c r="I429" s="990"/>
      <c r="J429" s="902"/>
      <c r="K429" s="903"/>
      <c r="L429" s="1002"/>
      <c r="M429" s="923"/>
      <c r="N429" s="1042"/>
      <c r="O429" s="1018"/>
      <c r="P429" s="987"/>
      <c r="Q429" s="1015"/>
      <c r="R429" s="1012"/>
      <c r="S429" s="1006"/>
      <c r="T429" s="1007"/>
      <c r="U429" s="878"/>
      <c r="V429" s="881"/>
      <c r="W429" s="884"/>
      <c r="X429" s="884"/>
      <c r="Y429" s="887"/>
      <c r="Z429" s="887"/>
      <c r="AA429" s="887"/>
      <c r="AB429" s="1081"/>
      <c r="AC429" s="1078"/>
      <c r="AD429" s="1070" t="str">
        <f t="shared" si="7388"/>
        <v>Engineered Lumber</v>
      </c>
      <c r="AE429" s="1071"/>
      <c r="AF429" s="1052"/>
      <c r="AG429" s="1053"/>
      <c r="AH429" s="1053"/>
      <c r="AI429" s="1068"/>
      <c r="AJ429" s="1069"/>
      <c r="AK429" s="154" t="str">
        <f t="shared" ca="1" si="7482"/>
        <v/>
      </c>
      <c r="AL429" s="1059"/>
      <c r="AM429" s="344" t="str">
        <f ca="1">IFERROR(Q419/12*ROUND(VLOOKUP(AF429,OFFSET(ELM,0,1),6,FALSE),2),"")</f>
        <v/>
      </c>
      <c r="AN429" t="str">
        <f t="shared" ca="1" si="7532"/>
        <v/>
      </c>
      <c r="AP429" s="122" t="str">
        <f t="shared" ref="AP429" si="7660">_xlfn.CONCAT(AR429,AS430)</f>
        <v/>
      </c>
      <c r="AQ429" s="683" t="str">
        <f t="shared" si="6434"/>
        <v/>
      </c>
      <c r="AR429" s="4" t="str">
        <f t="shared" si="7457"/>
        <v/>
      </c>
      <c r="AS429" s="4"/>
      <c r="AT429" s="697" t="str">
        <f>AL425</f>
        <v/>
      </c>
      <c r="AU429" s="694" t="e">
        <f t="shared" ca="1" si="6450"/>
        <v>#REF!</v>
      </c>
      <c r="AV429" s="698" t="str">
        <f ca="1">IFERROR(VLOOKUP(AU429,INDIRECT(AQ419),2,FALSE),"----")</f>
        <v>----</v>
      </c>
      <c r="AW429" s="694" t="e">
        <f t="shared" ca="1" si="6451"/>
        <v>#REF!</v>
      </c>
      <c r="AX429" s="698" t="str">
        <f ca="1">IFERROR(VLOOKUP(AW429,INDIRECT(AQ420),2,FALSE),"----")</f>
        <v>----</v>
      </c>
      <c r="AY429" s="694" t="e">
        <f t="shared" ca="1" si="7644"/>
        <v>#REF!</v>
      </c>
      <c r="AZ429" s="698" t="str">
        <f ca="1">IFERROR(VLOOKUP(AY429,INDIRECT(AQ421),2,FALSE),"----")</f>
        <v>----</v>
      </c>
      <c r="BA429" s="694" t="e">
        <f t="shared" ca="1" si="7645"/>
        <v>#REF!</v>
      </c>
      <c r="BB429" s="698" t="str">
        <f ca="1">IFERROR(VLOOKUP(BA429,INDIRECT(AQ422),2,FALSE),"----")</f>
        <v>----</v>
      </c>
      <c r="BC429" s="694" t="e">
        <f t="shared" ca="1" si="6452"/>
        <v>#REF!</v>
      </c>
      <c r="BD429" s="698" t="str">
        <f ca="1">IFERROR(VLOOKUP(BC429,INDIRECT(AQ423),2,FALSE),"----")</f>
        <v>----</v>
      </c>
      <c r="BE429" s="694" t="e">
        <f t="shared" ca="1" si="6453"/>
        <v>#REF!</v>
      </c>
      <c r="BF429" s="698" t="str">
        <f ca="1">IFERROR(VLOOKUP(BE429,INDIRECT(AQ424),2,FALSE),"----")</f>
        <v>----</v>
      </c>
      <c r="BG429" s="702" t="e">
        <f t="shared" ca="1" si="6454"/>
        <v>#REF!</v>
      </c>
      <c r="BH429" s="686" t="str">
        <f ca="1">IFERROR(VLOOKUP(BG429,INDIRECT(AQ425),2,FALSE),"----")</f>
        <v>----</v>
      </c>
      <c r="BI429" s="702" t="e">
        <f t="shared" ca="1" si="6455"/>
        <v>#REF!</v>
      </c>
      <c r="BJ429" s="686" t="str">
        <f ca="1">IFERROR(VLOOKUP(BI429,INDIRECT(AQ426),2,FALSE),"----")</f>
        <v>----</v>
      </c>
      <c r="BK429" s="702" t="e">
        <f t="shared" ca="1" si="6456"/>
        <v>#REF!</v>
      </c>
      <c r="BL429" s="686" t="str">
        <f ca="1">IFERROR(VLOOKUP(BK429,INDIRECT(AQ427),2,FALSE),"----")</f>
        <v>----</v>
      </c>
      <c r="BM429" s="702" t="e">
        <f t="shared" ca="1" si="6457"/>
        <v>#REF!</v>
      </c>
      <c r="BN429" s="686" t="str">
        <f ca="1">IFERROR(VLOOKUP(BM429,INDIRECT(AQ428),2,FALSE),"----")</f>
        <v>----</v>
      </c>
      <c r="BO429" s="702" t="e">
        <f t="shared" ca="1" si="6458"/>
        <v>#REF!</v>
      </c>
      <c r="BP429" s="686" t="str">
        <f ca="1">IFERROR(VLOOKUP(BO429,INDIRECT(AQ429),2,FALSE),"----")</f>
        <v>----</v>
      </c>
      <c r="BQ429" s="702" t="e">
        <f t="shared" ca="1" si="6459"/>
        <v>#REF!</v>
      </c>
      <c r="BR429" s="686" t="str">
        <f ca="1">IFERROR(VLOOKUP(BQ429,INDIRECT(AQ430),2,FALSE),"----")</f>
        <v>----</v>
      </c>
      <c r="BS429" s="695">
        <f>IF(AI429="",1,IF(COUNTIF(BP419:BP430,AI429)=0,2,1))</f>
        <v>1</v>
      </c>
      <c r="BT429" s="696">
        <f>IF(AF429="",1,IF(BP419=".",2,1))</f>
        <v>1</v>
      </c>
      <c r="BU429" s="706"/>
      <c r="BV429" s="155">
        <f ca="1">IF(COUNTIF(EC419:EC430,AF429)=0,IF(AF429&lt;&gt;"",0,1),1)</f>
        <v>1</v>
      </c>
      <c r="BW429" s="157">
        <f ca="1">IFERROR(MATCH(AF429,EC419:EC430,0),1)</f>
        <v>1</v>
      </c>
      <c r="BX429" s="769"/>
      <c r="BY429" s="769"/>
      <c r="BZ429" s="1110"/>
      <c r="CA429" s="691" t="e">
        <f t="shared" ca="1" si="7496"/>
        <v>#REF!</v>
      </c>
      <c r="CB429" s="4" t="e" cm="1">
        <f t="array" aca="1" ref="CB429" ca="1">IF(AND(INDEX(INDIRECT(BY419),CA429,4)&gt;=$AB419,INDEX(INDIRECT(BY419),CA429,5)&gt;=$S419,INDEX(INDIRECT(BY419),CA429,6)&gt;=$R419),1,0)</f>
        <v>#REF!</v>
      </c>
      <c r="CC429" s="4" t="e">
        <f t="shared" ref="CC429" ca="1" si="7661">MATCH(1,OFFSET(CB419:CB430,CD428,0,COUNT(CB419:CB430)-CD428),0)</f>
        <v>#REF!</v>
      </c>
      <c r="CD429" s="4" t="e">
        <f t="shared" ca="1" si="7498"/>
        <v>#REF!</v>
      </c>
      <c r="CE429" s="692" t="str" cm="1">
        <f t="array" aca="1" ref="CE429" ca="1">IFERROR(VLOOKUP(INDEX(CA419:CA430,CD429),INDIRECT(BY419),2,FALSE),"----")</f>
        <v>----</v>
      </c>
      <c r="CF429" s="691" t="e">
        <f t="shared" ca="1" si="7499"/>
        <v>#N/A</v>
      </c>
      <c r="CG429" s="4" t="e">
        <f ca="1">IF(AND(INDEX(SSM,CF429,4)&gt;=$AB419,INDEX(SSM,CF429,5)&gt;=$S419,INDEX(SSM,CF429,6)&gt;=$R419),1,0)</f>
        <v>#N/A</v>
      </c>
      <c r="CH429" s="4" t="e">
        <f t="shared" ref="CH429" ca="1" si="7662">MATCH(1,OFFSET(CG419:CG430,CI428,0,COUNT(CG419:CG430)-CI428),0)</f>
        <v>#REF!</v>
      </c>
      <c r="CI429" s="4" t="e">
        <f t="shared" ca="1" si="7501"/>
        <v>#REF!</v>
      </c>
      <c r="CJ429" s="692" t="str">
        <f ca="1">IFERROR(IF(AD420="Nested Steel Stud (wood infill)",VLOOKUP(INDEX(CF419:CF430,CI429),SSW,2,FALSE),VLOOKUP(INDEX(CF419:CF430,CI429),SSM,2,FALSE)),"----")</f>
        <v>----</v>
      </c>
      <c r="CK429" s="691" t="e">
        <f t="shared" ca="1" si="7502"/>
        <v>#N/A</v>
      </c>
      <c r="CL429" s="4" t="e">
        <f ca="1">IF(AND(INDEX(WSM,CK429,4)&gt;=$AB419,INDEX(WSM,CK429,5)&gt;=$S419,INDEX(WSM,CK429,6)&gt;=$R419),1,0)</f>
        <v>#N/A</v>
      </c>
      <c r="CM429" s="4" t="e">
        <f t="shared" ref="CM429" ca="1" si="7663">MATCH(1,OFFSET(CL419:CL430,CN428,0,COUNT(CL419:CL430)-CN428),0)</f>
        <v>#REF!</v>
      </c>
      <c r="CN429" s="4" t="e">
        <f t="shared" ca="1" si="7504"/>
        <v>#REF!</v>
      </c>
      <c r="CO429" s="692" t="str">
        <f ca="1">IFERROR(VLOOKUP(INDEX(CK419:CK430,CN429),WSM,2,FALSE),"----")</f>
        <v>----</v>
      </c>
      <c r="CP429" s="691" t="e">
        <f t="shared" ca="1" si="7505"/>
        <v>#N/A</v>
      </c>
      <c r="CQ429" s="4" t="e">
        <f ca="1">IF(AND(INDEX(STM,CP429,4)&gt;=$AB419,INDEX(STM,CP429,5)&gt;=$S419,INDEX(STM,CP429,6)&gt;=$R419),1,0)</f>
        <v>#N/A</v>
      </c>
      <c r="CR429" s="4" t="e">
        <f t="shared" ref="CR429" ca="1" si="7664">MATCH(1,OFFSET(CQ419:CQ430,CS428,0,COUNT(CQ419:CQ430)-CS428),0)</f>
        <v>#REF!</v>
      </c>
      <c r="CS429" s="4" t="e">
        <f t="shared" ca="1" si="7507"/>
        <v>#REF!</v>
      </c>
      <c r="CT429" s="692" t="str">
        <f ca="1">IFERROR(VLOOKUP(INDEX(CP419:CP430,CS429),STM,2,FALSE),"----")</f>
        <v>----</v>
      </c>
      <c r="CU429" s="691" t="e">
        <f t="shared" ca="1" si="7508"/>
        <v>#N/A</v>
      </c>
      <c r="CV429" s="4" t="e">
        <f ca="1">IF(AND(INDEX(ELM,CU429,4)&gt;=$AB419,INDEX(ELM,CU429,5)&gt;=$S419,INDEX(ELM,CU429,6)&gt;=$R419),1,0)</f>
        <v>#N/A</v>
      </c>
      <c r="CW429" s="4" t="e">
        <f t="shared" ref="CW429" ca="1" si="7665">MATCH(1,OFFSET(CV419:CV430,CX428,0,COUNT(CV419:CV430)-CX428),0)</f>
        <v>#REF!</v>
      </c>
      <c r="CX429" s="4" t="e">
        <f t="shared" ca="1" si="7510"/>
        <v>#REF!</v>
      </c>
      <c r="CY429" s="692" t="str">
        <f ca="1">IFERROR(VLOOKUP(INDEX(CU419:CU430,CX429),ELM,2,FALSE),"----")</f>
        <v>----</v>
      </c>
      <c r="CZ429" s="691" t="e">
        <f t="shared" ca="1" si="7511"/>
        <v>#N/A</v>
      </c>
      <c r="DA429" s="4" t="e">
        <f ca="1">IF(LEFT($J419,7)="Clad Wo",IF(AND(INDEX(SPPWS,CZ429,4)&gt;=$AB419,INDEX(SPPWS,CZ429,5)&gt;=$S419,INDEX(SPPWS,CZ429,6)&gt;=$R419),1,0),IF(AND(INDEX(SPM,CZ429,4)&gt;=$AB419,INDEX(SPM,CZ429,5)&gt;=$S419,INDEX(SPM,CZ429,6)&gt;=$R419),1,0))</f>
        <v>#N/A</v>
      </c>
      <c r="DB429" s="4" t="e">
        <f t="shared" ref="DB429" ca="1" si="7666">MATCH(1,OFFSET(DA419:DA430,DC428,0,COUNT(DA419:DA430)-DC428),0)</f>
        <v>#REF!</v>
      </c>
      <c r="DC429" s="4" t="e">
        <f t="shared" ca="1" si="7513"/>
        <v>#REF!</v>
      </c>
      <c r="DD429" s="693" t="str">
        <f ca="1">IF(LEFT($J419,7)="Clad Wo",IFERROR(VLOOKUP(INDEX(CZ419:CZ430,DC429),SPPWS,2,FALSE),"----"),IFERROR(VLOOKUP(INDEX(CZ419:CZ430,DC429),SPM,2,FALSE),"----"))</f>
        <v>----</v>
      </c>
      <c r="DE429" s="691" t="e">
        <f t="shared" ca="1" si="7514"/>
        <v>#REF!</v>
      </c>
      <c r="DF429" s="4" t="e" cm="1">
        <f t="array" aca="1" ref="DF429" ca="1">IF(AND(INDEX(INDIRECT(BY419),DE429,4)&gt;=$AB425,INDEX(INDIRECT(BY419),DE429,5)&gt;=$S419,INDEX(INDIRECT(BY419),DE429,6)&gt;=$R419),1,0)</f>
        <v>#REF!</v>
      </c>
      <c r="DG429" s="4" t="e">
        <f t="shared" ref="DG429" ca="1" si="7667">MATCH(1,OFFSET(DF419:DF430,DH428,0,COUNT(DF419:DF430)-DH428),0)</f>
        <v>#REF!</v>
      </c>
      <c r="DH429" s="4" t="e">
        <f t="shared" ca="1" si="7516"/>
        <v>#REF!</v>
      </c>
      <c r="DI429" s="692" t="str" cm="1">
        <f t="array" aca="1" ref="DI429" ca="1">IFERROR(VLOOKUP(INDEX(DE419:DE430,DH429),INDIRECT(BY419),2,FALSE),"----")</f>
        <v>----</v>
      </c>
      <c r="DJ429" s="691" t="e">
        <f t="shared" ca="1" si="7517"/>
        <v>#N/A</v>
      </c>
      <c r="DK429" s="4" t="e">
        <f ca="1">IF(AND(INDEX(SSM,DJ429,4)&gt;=$AB425,INDEX(SSM,DJ429,5)&gt;=$S419,INDEX(SSM,DJ429,6)&gt;=$R419),1,0)</f>
        <v>#N/A</v>
      </c>
      <c r="DL429" s="4" t="e">
        <f t="shared" ref="DL429" ca="1" si="7668">MATCH(1,OFFSET(DK419:DK430,DM428,0,COUNT(DK419:DK430)-DM428),0)</f>
        <v>#REF!</v>
      </c>
      <c r="DM429" s="4" t="e">
        <f t="shared" ca="1" si="7519"/>
        <v>#REF!</v>
      </c>
      <c r="DN429" s="692" t="str">
        <f ca="1">IFERROR(IF(AD426="Nested Steel Stud (wood infill)",VLOOKUP(INDEX(DJ419:DJ430,DM429),SSW,2,FALSE),VLOOKUP(INDEX(DJ419:DJ430,DM429),SSM,2,FALSE)),"----")</f>
        <v>----</v>
      </c>
      <c r="DO429" s="691" t="e">
        <f t="shared" ca="1" si="7520"/>
        <v>#N/A</v>
      </c>
      <c r="DP429" s="4" t="e">
        <f ca="1">IF(AND(INDEX(WSM,DO429,4)&gt;=$AB425,INDEX(WSM,DO429,5)&gt;=$S419,INDEX(WSM,DO429,6)&gt;=$R419),1,0)</f>
        <v>#N/A</v>
      </c>
      <c r="DQ429" s="4" t="e">
        <f t="shared" ref="DQ429" ca="1" si="7669">MATCH(1,OFFSET(DP419:DP430,DR428,0,COUNT(DP419:DP430)-DR428),0)</f>
        <v>#REF!</v>
      </c>
      <c r="DR429" s="4" t="e">
        <f t="shared" ca="1" si="7522"/>
        <v>#REF!</v>
      </c>
      <c r="DS429" s="692" t="str">
        <f ca="1">IFERROR(VLOOKUP(INDEX(DO419:DO430,DR429),WSM,2,FALSE),"----")</f>
        <v>----</v>
      </c>
      <c r="DT429" s="691" t="e">
        <f t="shared" ca="1" si="7523"/>
        <v>#N/A</v>
      </c>
      <c r="DU429" s="4" t="e">
        <f ca="1">IF(AND(INDEX(STM,DT429,4)&gt;=$AB425,INDEX(STM,DT429,5)&gt;=$S419,INDEX(STM,DT429,6)&gt;=$R419),1,0)</f>
        <v>#N/A</v>
      </c>
      <c r="DV429" s="4" t="e">
        <f t="shared" ref="DV429" ca="1" si="7670">MATCH(1,OFFSET(DU419:DU430,DW428,0,COUNT(DU419:DU430)-DW428),0)</f>
        <v>#REF!</v>
      </c>
      <c r="DW429" s="4" t="e">
        <f t="shared" ca="1" si="7525"/>
        <v>#REF!</v>
      </c>
      <c r="DX429" s="692" t="str">
        <f ca="1">IFERROR(VLOOKUP(INDEX(DT419:DT430,DW429),STM,2,FALSE),"----")</f>
        <v>----</v>
      </c>
      <c r="DY429" s="691" t="e">
        <f t="shared" ca="1" si="7526"/>
        <v>#N/A</v>
      </c>
      <c r="DZ429" s="4" t="e">
        <f ca="1">IF(AND(INDEX(ELM,DY429,4)&gt;=$AB425,INDEX(ELM,DY429,5)&gt;=$S419,INDEX(ELM,DY429,6)&gt;=$R419),1,0)</f>
        <v>#N/A</v>
      </c>
      <c r="EA429" s="4" t="e">
        <f t="shared" ref="EA429" ca="1" si="7671">MATCH(1,OFFSET(DZ419:DZ430,EB428,0,COUNT(DZ419:DZ430)-EB428),0)</f>
        <v>#REF!</v>
      </c>
      <c r="EB429" s="4" t="e">
        <f t="shared" ca="1" si="7528"/>
        <v>#REF!</v>
      </c>
      <c r="EC429" s="692" t="str">
        <f ca="1">IFERROR(VLOOKUP(INDEX(DY419:DY430,EB429),ELM,2,FALSE),"----")</f>
        <v>----</v>
      </c>
      <c r="ED429" s="691" t="e">
        <f t="shared" ca="1" si="7529"/>
        <v>#N/A</v>
      </c>
      <c r="EE429" s="4" t="e">
        <f ca="1">IF(LEFT($J419,7)="Clad Wo",IF(AND(INDEX(SPPWS,ED429,4)&gt;=$AB425,INDEX(SPPWS,ED429,5)&gt;=$S419,INDEX(SPPWS,ED429,6)&gt;=$R419),1,0),IF(AND(INDEX(SPM,ED429,4)&gt;=$AB425,INDEX(SPM,ED429,5)&gt;=$S419,INDEX(SPM,ED429,6)&gt;=$R419),1,0))</f>
        <v>#N/A</v>
      </c>
      <c r="EF429" s="4" t="e">
        <f t="shared" ref="EF429" ca="1" si="7672">MATCH(1,OFFSET(EE419:EE430,EG428,0,COUNT(EE419:EE430)-EG428),0)</f>
        <v>#REF!</v>
      </c>
      <c r="EG429" s="4" t="e">
        <f t="shared" ca="1" si="7531"/>
        <v>#REF!</v>
      </c>
      <c r="EH429" s="692" t="str">
        <f ca="1">IF(LEFT($J419,7)="Clad Wo",IFERROR(VLOOKUP(INDEX(ED419:ED430,EG429),SPPWS,2,FALSE),"----"),IFERROR(VLOOKUP(INDEX(ED419:ED430,EG429),SPM,2,FALSE),"----"))</f>
        <v>----</v>
      </c>
    </row>
    <row r="430" spans="1:138" ht="15" customHeight="1" thickBot="1" x14ac:dyDescent="0.3">
      <c r="A430" s="1085"/>
      <c r="B430" s="928"/>
      <c r="C430" s="929"/>
      <c r="D430" s="930"/>
      <c r="E430" s="998"/>
      <c r="F430" s="999"/>
      <c r="G430" s="1000"/>
      <c r="H430" s="1063"/>
      <c r="I430" s="991"/>
      <c r="J430" s="904"/>
      <c r="K430" s="905"/>
      <c r="L430" s="1003"/>
      <c r="M430" s="1065"/>
      <c r="N430" s="1043"/>
      <c r="O430" s="1019"/>
      <c r="P430" s="988"/>
      <c r="Q430" s="1016"/>
      <c r="R430" s="1013"/>
      <c r="S430" s="1008"/>
      <c r="T430" s="1009"/>
      <c r="U430" s="879"/>
      <c r="V430" s="882"/>
      <c r="W430" s="885"/>
      <c r="X430" s="885"/>
      <c r="Y430" s="888"/>
      <c r="Z430" s="888"/>
      <c r="AA430" s="888"/>
      <c r="AB430" s="1082"/>
      <c r="AC430" s="1087"/>
      <c r="AD430" s="1098" t="str">
        <f t="shared" ref="AD430" si="7673">IF(LEFT(J419,7)="Clad Wo","Pella Wood Spr / Steel Pte","Steel Plate")</f>
        <v>Steel Plate</v>
      </c>
      <c r="AE430" s="1099"/>
      <c r="AF430" s="1096"/>
      <c r="AG430" s="1097"/>
      <c r="AH430" s="1097"/>
      <c r="AI430" s="1094"/>
      <c r="AJ430" s="1095"/>
      <c r="AK430" s="163" t="str">
        <f t="shared" ca="1" si="7482"/>
        <v/>
      </c>
      <c r="AL430" s="1060"/>
      <c r="AM430" s="345" t="str">
        <f ca="1">IFERROR(Q419/12*ROUND(VLOOKUP(AF430,OFFSET(SPM,0,1),6,FALSE),2),"")</f>
        <v/>
      </c>
      <c r="AN430" t="str">
        <f t="shared" ca="1" si="7532"/>
        <v/>
      </c>
      <c r="AP430" s="699" t="str">
        <f t="shared" ref="AP430" si="7674">_xlfn.CONCAT(AR430,AS430)</f>
        <v/>
      </c>
      <c r="AQ430" s="700" t="str">
        <f t="shared" si="6434"/>
        <v/>
      </c>
      <c r="AR430" s="160" t="str">
        <f t="shared" si="7457"/>
        <v/>
      </c>
      <c r="AS430" s="160" t="str">
        <f>IFERROR(VLOOKUP(J427, WallType,2,FALSE),"")</f>
        <v/>
      </c>
      <c r="AT430" s="707" t="str">
        <f>AL425</f>
        <v/>
      </c>
      <c r="AU430" s="708" t="e">
        <f t="shared" ca="1" si="6450"/>
        <v>#REF!</v>
      </c>
      <c r="AV430" s="709" t="str">
        <f ca="1">IFERROR(VLOOKUP(AU430,INDIRECT(AQ419),2,FALSE),"----")</f>
        <v>----</v>
      </c>
      <c r="AW430" s="710" t="e">
        <f t="shared" ca="1" si="6451"/>
        <v>#REF!</v>
      </c>
      <c r="AX430" s="709" t="str">
        <f ca="1">IFERROR(VLOOKUP(AW430,INDIRECT(AQ420),2,FALSE),"----")</f>
        <v>----</v>
      </c>
      <c r="AY430" s="710" t="e">
        <f t="shared" ca="1" si="7644"/>
        <v>#REF!</v>
      </c>
      <c r="AZ430" s="709" t="str">
        <f ca="1">IFERROR(VLOOKUP(AY430,INDIRECT(AQ421),2,FALSE),"----")</f>
        <v>----</v>
      </c>
      <c r="BA430" s="710" t="e">
        <f t="shared" ca="1" si="7645"/>
        <v>#REF!</v>
      </c>
      <c r="BB430" s="709" t="str">
        <f ca="1">IFERROR(VLOOKUP(BA430,INDIRECT(AQ422),2,FALSE),"----")</f>
        <v>----</v>
      </c>
      <c r="BC430" s="710" t="e">
        <f t="shared" ca="1" si="6452"/>
        <v>#REF!</v>
      </c>
      <c r="BD430" s="709" t="str">
        <f ca="1">IFERROR(VLOOKUP(BC430,INDIRECT(AQ423),2,FALSE),"----")</f>
        <v>----</v>
      </c>
      <c r="BE430" s="710" t="e">
        <f t="shared" ca="1" si="6453"/>
        <v>#REF!</v>
      </c>
      <c r="BF430" s="709" t="str">
        <f ca="1">IFERROR(VLOOKUP(BE430,INDIRECT(AQ424),2,FALSE),"----")</f>
        <v>----</v>
      </c>
      <c r="BG430" s="710" t="e">
        <f t="shared" ca="1" si="6454"/>
        <v>#REF!</v>
      </c>
      <c r="BH430" s="711" t="str">
        <f ca="1">IFERROR(VLOOKUP(BG430,INDIRECT(AQ425),2,FALSE),"----")</f>
        <v>----</v>
      </c>
      <c r="BI430" s="710" t="e">
        <f t="shared" ca="1" si="6455"/>
        <v>#REF!</v>
      </c>
      <c r="BJ430" s="711" t="str">
        <f ca="1">IFERROR(VLOOKUP(BI430,INDIRECT(AQ426),2,FALSE),"----")</f>
        <v>----</v>
      </c>
      <c r="BK430" s="710" t="e">
        <f t="shared" ca="1" si="6456"/>
        <v>#REF!</v>
      </c>
      <c r="BL430" s="711" t="str">
        <f ca="1">IFERROR(VLOOKUP(BK430,INDIRECT(AQ427),2,FALSE),"----")</f>
        <v>----</v>
      </c>
      <c r="BM430" s="710" t="e">
        <f t="shared" ca="1" si="6457"/>
        <v>#REF!</v>
      </c>
      <c r="BN430" s="711" t="str">
        <f ca="1">IFERROR(VLOOKUP(BM430,INDIRECT(AQ428),2,FALSE),"----")</f>
        <v>----</v>
      </c>
      <c r="BO430" s="710" t="e">
        <f t="shared" ca="1" si="6458"/>
        <v>#REF!</v>
      </c>
      <c r="BP430" s="711" t="str">
        <f ca="1">IFERROR(VLOOKUP(BO430,INDIRECT(AQ429),2,FALSE),"----")</f>
        <v>----</v>
      </c>
      <c r="BQ430" s="710" t="e">
        <f t="shared" ca="1" si="6459"/>
        <v>#REF!</v>
      </c>
      <c r="BR430" s="712" t="str">
        <f ca="1">IFERROR(VLOOKUP(BQ430,INDIRECT(AQ430),2,FALSE),"----")</f>
        <v>----</v>
      </c>
      <c r="BS430" s="695">
        <f>IF(AI430="",1,IF(COUNTIF(BR419:BR430,AI430)=0,2,1))</f>
        <v>1</v>
      </c>
      <c r="BT430" s="713">
        <f>IF(AF430="",1,IF(BR419=".",2,1))</f>
        <v>1</v>
      </c>
      <c r="BV430" s="155">
        <f ca="1">IF(COUNTIF(EH419:EH430,AF430)=0,IF(AF430&lt;&gt;"",0,1),1)</f>
        <v>1</v>
      </c>
      <c r="BW430" s="157">
        <f ca="1">IFERROR(MATCH(AF430,EH419:EH430,0),1)</f>
        <v>1</v>
      </c>
      <c r="BX430" s="718"/>
      <c r="BY430" s="777"/>
      <c r="BZ430" s="1110"/>
      <c r="CA430" s="714" t="e">
        <f t="shared" ca="1" si="7496"/>
        <v>#REF!</v>
      </c>
      <c r="CB430" s="715" t="e" cm="1">
        <f t="array" aca="1" ref="CB430" ca="1">IF(AND(INDEX(INDIRECT(BY419),CA430,4)&gt;=$AB419,INDEX(INDIRECT(BY419),CA430,5)&gt;=$S419,INDEX(INDIRECT(BY419),CA430,6)&gt;=$R419),1,0)</f>
        <v>#REF!</v>
      </c>
      <c r="CC430" s="715" t="e">
        <f t="shared" ref="CC430" ca="1" si="7675">MATCH(1,OFFSET(CB419:CB430,CD429,0,COUNT(CB419:CB430)-CD429),0)</f>
        <v>#REF!</v>
      </c>
      <c r="CD430" s="715" t="e">
        <f t="shared" ca="1" si="7498"/>
        <v>#REF!</v>
      </c>
      <c r="CE430" s="716" t="str" cm="1">
        <f t="array" aca="1" ref="CE430" ca="1">IFERROR(VLOOKUP(INDEX(CA419:CA430,CD430),INDIRECT(BY419),2,FALSE),"----")</f>
        <v>----</v>
      </c>
      <c r="CF430" s="714" t="e">
        <f t="shared" ca="1" si="7499"/>
        <v>#N/A</v>
      </c>
      <c r="CG430" s="715" t="e">
        <f ca="1">IF(AND(INDEX(SSM,CF430,4)&gt;=$AB419,INDEX(SSM,CF430,5)&gt;=$S419,INDEX(SSM,CF430,6)&gt;=$R419),1,0)</f>
        <v>#N/A</v>
      </c>
      <c r="CH430" s="715" t="e">
        <f t="shared" ref="CH430" ca="1" si="7676">MATCH(1,OFFSET(CG419:CG430,CI429,0,COUNT(CG419:CG430)-CI429),0)</f>
        <v>#REF!</v>
      </c>
      <c r="CI430" s="715" t="e">
        <f t="shared" ca="1" si="7501"/>
        <v>#REF!</v>
      </c>
      <c r="CJ430" s="716" t="str">
        <f ca="1">IFERROR(IF(AD420="Nested Steel Stud (wood infill)",VLOOKUP(INDEX(CF419:CF430,CI430),SSW,2,FALSE),VLOOKUP(INDEX(CF419:CF430,CI430),SSM,2,FALSE)),"----")</f>
        <v>----</v>
      </c>
      <c r="CK430" s="714" t="e">
        <f t="shared" ca="1" si="7502"/>
        <v>#N/A</v>
      </c>
      <c r="CL430" s="715" t="e">
        <f ca="1">IF(AND(INDEX(WSM,CK430,4)&gt;=$AB419,INDEX(WSM,CK430,5)&gt;=$S419,INDEX(WSM,CK430,6)&gt;=$R419),1,0)</f>
        <v>#N/A</v>
      </c>
      <c r="CM430" s="715" t="e">
        <f t="shared" ref="CM430" ca="1" si="7677">MATCH(1,OFFSET(CL419:CL430,CN429,0,COUNT(CL419:CL430)-CN429),0)</f>
        <v>#REF!</v>
      </c>
      <c r="CN430" s="715" t="e">
        <f t="shared" ca="1" si="7504"/>
        <v>#REF!</v>
      </c>
      <c r="CO430" s="716" t="str">
        <f ca="1">IFERROR(VLOOKUP(INDEX(CK419:CK430,CN430),WSM,2,FALSE),"----")</f>
        <v>----</v>
      </c>
      <c r="CP430" s="714" t="e">
        <f t="shared" ca="1" si="7505"/>
        <v>#N/A</v>
      </c>
      <c r="CQ430" s="715" t="e">
        <f ca="1">IF(AND(INDEX(STM,CP430,4)&gt;=$AB419,INDEX(STM,CP430,5)&gt;=$S419,INDEX(STM,CP430,6)&gt;=$R419),1,0)</f>
        <v>#N/A</v>
      </c>
      <c r="CR430" s="715" t="e">
        <f t="shared" ref="CR430" ca="1" si="7678">MATCH(1,OFFSET(CQ419:CQ430,CS429,0,COUNT(CQ419:CQ430)-CS429),0)</f>
        <v>#REF!</v>
      </c>
      <c r="CS430" s="715" t="e">
        <f t="shared" ca="1" si="7507"/>
        <v>#REF!</v>
      </c>
      <c r="CT430" s="716" t="str">
        <f ca="1">IFERROR(VLOOKUP(INDEX(CP419:CP430,CS430),STM,2,FALSE),"----")</f>
        <v>----</v>
      </c>
      <c r="CU430" s="714" t="e">
        <f t="shared" ca="1" si="7508"/>
        <v>#N/A</v>
      </c>
      <c r="CV430" s="715" t="e">
        <f ca="1">IF(AND(INDEX(ELM,CU430,4)&gt;=$AB419,INDEX(ELM,CU430,5)&gt;=$S419,INDEX(ELM,CU430,6)&gt;=$R419),1,0)</f>
        <v>#N/A</v>
      </c>
      <c r="CW430" s="715" t="e">
        <f t="shared" ref="CW430" ca="1" si="7679">MATCH(1,OFFSET(CV419:CV430,CX429,0,COUNT(CV419:CV430)-CX429),0)</f>
        <v>#REF!</v>
      </c>
      <c r="CX430" s="715" t="e">
        <f t="shared" ca="1" si="7510"/>
        <v>#REF!</v>
      </c>
      <c r="CY430" s="716" t="str">
        <f ca="1">IFERROR(VLOOKUP(INDEX(CU419:CU430,CX430),ELM,2,FALSE),"----")</f>
        <v>----</v>
      </c>
      <c r="CZ430" s="714" t="e">
        <f t="shared" ca="1" si="7511"/>
        <v>#N/A</v>
      </c>
      <c r="DA430" s="715" t="e">
        <f ca="1">IF(LEFT($J419,7)="Clad Wo",IF(AND(INDEX(SPPWS,CZ430,4)&gt;=$AB419,INDEX(SPPWS,CZ430,5)&gt;=$S419,INDEX(SPPWS,CZ430,6)&gt;=$R419),1,0),IF(AND(INDEX(SPM,CZ430,4)&gt;=$AB419,INDEX(SPM,CZ430,5)&gt;=$S419,INDEX(SPM,CZ430,6)&gt;=$R419),1,0))</f>
        <v>#N/A</v>
      </c>
      <c r="DB430" s="715" t="e">
        <f t="shared" ref="DB430" ca="1" si="7680">MATCH(1,OFFSET(DA419:DA430,DC429,0,COUNT(DA419:DA430)-DC429),0)</f>
        <v>#REF!</v>
      </c>
      <c r="DC430" s="715" t="e">
        <f t="shared" ca="1" si="7513"/>
        <v>#REF!</v>
      </c>
      <c r="DD430" s="717" t="str">
        <f ca="1">IF(LEFT($J419,7)="Clad Wo",IFERROR(VLOOKUP(INDEX(CZ419:CZ430,DC430),SPPWS,2,FALSE),"----"),IFERROR(VLOOKUP(INDEX(CZ419:CZ430,DC430),SPM,2,FALSE),"----"))</f>
        <v>----</v>
      </c>
      <c r="DE430" s="714" t="e">
        <f t="shared" ca="1" si="7514"/>
        <v>#REF!</v>
      </c>
      <c r="DF430" s="715" t="e" cm="1">
        <f t="array" aca="1" ref="DF430" ca="1">IF(AND(INDEX(INDIRECT(BY419),DE430,4)&gt;=$AB425,INDEX(INDIRECT(BY419),DE430,5)&gt;=$S419,INDEX(INDIRECT(BY419),DE430,6)&gt;=$R419),1,0)</f>
        <v>#REF!</v>
      </c>
      <c r="DG430" s="715" t="e">
        <f t="shared" ref="DG430" ca="1" si="7681">MATCH(1,OFFSET(DF419:DF430,DH429,0,COUNT(DF419:DF430)-DH429),0)</f>
        <v>#REF!</v>
      </c>
      <c r="DH430" s="715" t="e">
        <f t="shared" ca="1" si="7516"/>
        <v>#REF!</v>
      </c>
      <c r="DI430" s="716" t="str" cm="1">
        <f t="array" aca="1" ref="DI430" ca="1">IFERROR(VLOOKUP(INDEX(DE419:DE430,DH430),INDIRECT(BY419),2,FALSE),"----")</f>
        <v>----</v>
      </c>
      <c r="DJ430" s="714" t="e">
        <f t="shared" ca="1" si="7517"/>
        <v>#N/A</v>
      </c>
      <c r="DK430" s="715" t="e">
        <f ca="1">IF(AND(INDEX(SSM,DJ430,4)&gt;=$AB425,INDEX(SSM,DJ430,5)&gt;=$S419,INDEX(SSM,DJ430,6)&gt;=$R419),1,0)</f>
        <v>#N/A</v>
      </c>
      <c r="DL430" s="715" t="e">
        <f t="shared" ref="DL430" ca="1" si="7682">MATCH(1,OFFSET(DK419:DK430,DM429,0,COUNT(DK419:DK430)-DM429),0)</f>
        <v>#REF!</v>
      </c>
      <c r="DM430" s="715" t="e">
        <f t="shared" ca="1" si="7519"/>
        <v>#REF!</v>
      </c>
      <c r="DN430" s="716" t="str">
        <f ca="1">IFERROR(IF(AD426="Nested Steel Stud (wood infill)",VLOOKUP(INDEX(DJ419:DJ430,DM430),SSW,2,FALSE),VLOOKUP(INDEX(DJ419:DJ430,DM430),SSM,2,FALSE)),"----")</f>
        <v>----</v>
      </c>
      <c r="DO430" s="714" t="e">
        <f t="shared" ca="1" si="7520"/>
        <v>#N/A</v>
      </c>
      <c r="DP430" s="715" t="e">
        <f ca="1">IF(AND(INDEX(WSM,DO430,4)&gt;=$AB425,INDEX(WSM,DO430,5)&gt;=$S419,INDEX(WSM,DO430,6)&gt;=$R419),1,0)</f>
        <v>#N/A</v>
      </c>
      <c r="DQ430" s="715" t="e">
        <f t="shared" ref="DQ430" ca="1" si="7683">MATCH(1,OFFSET(DP419:DP430,DR429,0,COUNT(DP419:DP430)-DR429),0)</f>
        <v>#REF!</v>
      </c>
      <c r="DR430" s="715" t="e">
        <f t="shared" ca="1" si="7522"/>
        <v>#REF!</v>
      </c>
      <c r="DS430" s="716" t="str">
        <f ca="1">IFERROR(VLOOKUP(INDEX(DO419:DO430,DR430),WSM,2,FALSE),"----")</f>
        <v>----</v>
      </c>
      <c r="DT430" s="714" t="e">
        <f t="shared" ca="1" si="7523"/>
        <v>#N/A</v>
      </c>
      <c r="DU430" s="715" t="e">
        <f ca="1">IF(AND(INDEX(STM,DT430,4)&gt;=$AB425,INDEX(STM,DT430,5)&gt;=$S419,INDEX(STM,DT430,6)&gt;=$R419),1,0)</f>
        <v>#N/A</v>
      </c>
      <c r="DV430" s="715" t="e">
        <f t="shared" ref="DV430" ca="1" si="7684">MATCH(1,OFFSET(DU419:DU430,DW429,0,COUNT(DU419:DU430)-DW429),0)</f>
        <v>#REF!</v>
      </c>
      <c r="DW430" s="715" t="e">
        <f t="shared" ca="1" si="7525"/>
        <v>#REF!</v>
      </c>
      <c r="DX430" s="716" t="str">
        <f ca="1">IFERROR(VLOOKUP(INDEX(DT419:DT430,DW430),STM,2,FALSE),"----")</f>
        <v>----</v>
      </c>
      <c r="DY430" s="714" t="e">
        <f t="shared" ca="1" si="7526"/>
        <v>#N/A</v>
      </c>
      <c r="DZ430" s="715" t="e">
        <f ca="1">IF(AND(INDEX(ELM,DY430,4)&gt;=$AB425,INDEX(ELM,DY430,5)&gt;=$S419,INDEX(ELM,DY430,6)&gt;=$R419),1,0)</f>
        <v>#N/A</v>
      </c>
      <c r="EA430" s="715" t="e">
        <f t="shared" ref="EA430" ca="1" si="7685">MATCH(1,OFFSET(DZ419:DZ430,EB429,0,COUNT(DZ419:DZ430)-EB429),0)</f>
        <v>#REF!</v>
      </c>
      <c r="EB430" s="715" t="e">
        <f t="shared" ca="1" si="7528"/>
        <v>#REF!</v>
      </c>
      <c r="EC430" s="716" t="str">
        <f ca="1">IFERROR(VLOOKUP(INDEX(DY419:DY430,EB430),ELM,2,FALSE),"----")</f>
        <v>----</v>
      </c>
      <c r="ED430" s="714" t="e">
        <f t="shared" ca="1" si="7529"/>
        <v>#N/A</v>
      </c>
      <c r="EE430" s="715" t="e">
        <f ca="1">IF(LEFT($J419,7)="Clad Wo",IF(AND(INDEX(SPPWS,ED430,4)&gt;=$AB425,INDEX(SPPWS,ED430,5)&gt;=$S419,INDEX(SPPWS,ED430,6)&gt;=$R419),1,0),IF(AND(INDEX(SPM,ED430,4)&gt;=$AB425,INDEX(SPM,ED430,5)&gt;=$S419,INDEX(SPM,ED430,6)&gt;=$R419),1,0))</f>
        <v>#N/A</v>
      </c>
      <c r="EF430" s="715" t="e">
        <f t="shared" ref="EF430" ca="1" si="7686">MATCH(1,OFFSET(EE419:EE430,EG429,0,COUNT(EE419:EE430)-EG429),0)</f>
        <v>#REF!</v>
      </c>
      <c r="EG430" s="715" t="e">
        <f t="shared" ca="1" si="7531"/>
        <v>#REF!</v>
      </c>
      <c r="EH430" s="716" t="str">
        <f ca="1">IF(LEFT($J419,7)="Clad Wo",IFERROR(VLOOKUP(INDEX(ED419:ED430,EG430),SPPWS,2,FALSE),"----"),IFERROR(VLOOKUP(INDEX(ED419:ED430,EG430),SPM,2,FALSE),"----"))</f>
        <v>----</v>
      </c>
    </row>
    <row r="431" spans="1:138" ht="15" customHeight="1" thickTop="1" x14ac:dyDescent="0.25">
      <c r="A431" s="1085"/>
      <c r="B431" s="931" t="s">
        <v>92</v>
      </c>
      <c r="C431" s="932"/>
      <c r="D431" s="933"/>
      <c r="E431" s="992"/>
      <c r="F431" s="993"/>
      <c r="G431" s="994"/>
      <c r="H431" s="1061"/>
      <c r="I431" s="989"/>
      <c r="J431" s="906"/>
      <c r="K431" s="907"/>
      <c r="L431" s="1001">
        <f>$W$3</f>
        <v>4</v>
      </c>
      <c r="M431" s="923" t="str">
        <f t="shared" ref="M431" si="7687">IFERROR(IF($AE$13="",IF($AG$19="Wind Loading",MIN($V$31,IF(E$11="ASCE 7-05",$U$26,$V$7)*$V$9*(IF($E$12&lt;60,0.0771*LN(MAX(MIN(500,O431),10)) -1.2737,IF($E$11="ASCE 7-22",0.0524*LN(MAX(MIN(500,O431),50))-1.0278,0.0614*LN(MAX(MIN(500,O431),20)) -1.0829))-$V$8)),$V$7*IF(E$12&lt;60,$V$13*($V$15*0.0771*LN(MAX(MIN(500,O431),10))-1.2737-$V$16),$V$13*$V$15*((0.0524*LN(MAX(MIN(500,O431),20))-1.0278)-$V$16))),-ABS($AE$13)),"")</f>
        <v/>
      </c>
      <c r="N431" s="1042" t="str">
        <f t="shared" ref="N431" si="7688">IFERROR(IF($AE$15="",IF($AG$19="Wind Loading",MAX($U$31,IF(E$11="ASCE 7-05",$U$26,$V$7)*$V$9*((IF($E$12&lt;60,-0.077*LN(MAX(MIN(500,O431),10))+1.1737,IF($E$11="ASCE 7-22",-0.077*LN(MAX(MIN(500,O431),20))+1.0798,-0.093*LN(MAX(MIN(500,O431),20))+1.1776)))+$V$8)),$V$7*IF(E$12&lt;60,$V$13*($V$15*(-0.077*LN(MAX(MIN(500,O431),10))+1.1737)-$V$17),$V$13*$V$15*((-0.077*LN(MAX(MIN(500,O431),20))+1.0798)-$V$17))),ABS($AE$15)),"")</f>
        <v/>
      </c>
      <c r="O431" s="1017" t="str">
        <f>IF(BX438=0,"",IF(AG$14="Trapezoidal",BY438,BX438))</f>
        <v/>
      </c>
      <c r="P431" s="986"/>
      <c r="Q431" s="1014"/>
      <c r="R431" s="1011">
        <f>P431*Q431/8</f>
        <v>0</v>
      </c>
      <c r="S431" s="1004">
        <f t="shared" ref="S431" si="7689">IF(5*(P431*Q431^3/(384*0.125))=0,0,5*(P431*Q431^3/(384*0.125)))</f>
        <v>0</v>
      </c>
      <c r="T431" s="1005"/>
      <c r="U431" s="877" t="e">
        <f ca="1">VLOOKUP(J435,INDIRECT(VLOOKUP(J431,FrameStrength,2,FALSE)),3,FALSE)</f>
        <v>#N/A</v>
      </c>
      <c r="V431" s="880">
        <f t="shared" ref="V431" si="7690">(H431+I431)/2</f>
        <v>0</v>
      </c>
      <c r="W431" s="883" t="e">
        <f t="shared" ref="W431" si="7691">MAX(-M431,N431)*O431</f>
        <v>#VALUE!</v>
      </c>
      <c r="X431" s="883">
        <f t="shared" ref="X431" si="7692">IF(E431&gt;162,(E431/240+0.25),IF(AND(E431&lt;162,E431/175&lt;0.75),E431/175,0.75))</f>
        <v>0</v>
      </c>
      <c r="Y431" s="886">
        <f>IFERROR(IF(AG$14="Trapezoidal",BY439,BX439)+IF($E$17="4",(400*E431^3)/(48*X431),0),0)</f>
        <v>0</v>
      </c>
      <c r="Z431" s="886" t="e">
        <f t="shared" ref="Z431" si="7693">+($V431*MAX(-$M431,$N431)*$E431^2)/(144*8)+IF($E$17=4,(400*$E431)/4,0)</f>
        <v>#VALUE!</v>
      </c>
      <c r="AA431" s="886" t="e">
        <f ca="1">VLOOKUP(J435,INDIRECT(VLOOKUP(J431,FrameStrength,2,FALSE)),2,FALSE)</f>
        <v>#N/A</v>
      </c>
      <c r="AB431" s="1083" t="str">
        <f t="shared" ref="AB431" ca="1" si="7694">IFERROR(Z431-AA431,"")</f>
        <v/>
      </c>
      <c r="AC431" s="1077" t="str">
        <f t="shared" ref="AC431" ca="1" si="7695">IFERROR(Y431-U431,"")</f>
        <v/>
      </c>
      <c r="AD431" s="1100" t="str">
        <f>IFERROR(IF(LEFT(J435,2)="As",VLOOKUP(J435,EIMM,4,FALSE),VLOOKUP(J431,EIMM,4,FALSE)),IF(AND(ISNUMBER(SEARCH("Impervia",J431)),ISNUMBER(SEARCH("door",J435))),'New Lookup Cells'!AF$10,IF(ISNUMBER(SEARCH("Impervia",J431)),'New Lookup Cells'!AF$7,IF(AND(ISNUMBER(SEARCH("250",J431)),ISNUMBER(SEARCH("door",J435))),'New Lookup Cells'!AF$14,IF(ISNUMBER(SEARCH("250",J431)),'New Lookup Cells'!AF$13,"")))))</f>
        <v/>
      </c>
      <c r="AE431" s="1101"/>
      <c r="AF431" s="1050"/>
      <c r="AG431" s="1051"/>
      <c r="AH431" s="1051"/>
      <c r="AI431" s="1088"/>
      <c r="AJ431" s="1089"/>
      <c r="AK431" s="154" t="str">
        <f t="shared" ca="1" si="7482"/>
        <v/>
      </c>
      <c r="AL431" s="1038" t="str">
        <f t="shared" ref="AL431" si="7696">IFERROR(ROUND(SQRT(P431^2+(W431/2+IF($E$17=4,200,0))^2),0),"")</f>
        <v/>
      </c>
      <c r="AM431" s="342" t="s">
        <v>669</v>
      </c>
      <c r="AN431" t="str">
        <f t="shared" ca="1" si="7532"/>
        <v/>
      </c>
      <c r="AP431" s="122" t="str">
        <f t="shared" ref="AP431" si="7697">_xlfn.CONCAT(AR431,AS436)</f>
        <v/>
      </c>
      <c r="AQ431" s="683" t="str">
        <f t="shared" ref="AQ431:AQ494" si="7698">IFERROR(LEFT(AP431,LEN(AP431)-1),"")</f>
        <v/>
      </c>
      <c r="AR431" s="96" t="str">
        <f t="shared" si="7457"/>
        <v/>
      </c>
      <c r="AS431" s="96" t="str">
        <f>IF(COUNTIF(imp_1,AF431)=1,"imp_1",IF(COUNTIF(imp_2,AF431)=1,"imp_2",IF(COUNTIF(imp_3,AF431)=1,"imp_3",IF(COUNTIF(impdoor,AF431)=1,"impdoor",""))))</f>
        <v/>
      </c>
      <c r="AT431" s="684" t="str">
        <f>AL431</f>
        <v/>
      </c>
      <c r="AU431" s="685" t="e">
        <f ca="1">MATCH(AL431,INDIRECT(AP431),-1)</f>
        <v>#REF!</v>
      </c>
      <c r="AV431" s="686" t="str">
        <f ca="1">IFERROR(VLOOKUP(AU431,INDIRECT(AQ431),2,FALSE),"----")</f>
        <v>----</v>
      </c>
      <c r="AW431" s="685" t="e">
        <f ca="1">MATCH(AL431,INDIRECT(AP432),-1)</f>
        <v>#REF!</v>
      </c>
      <c r="AX431" s="686" t="str">
        <f ca="1">IFERROR(VLOOKUP(AW431,INDIRECT(AQ432),2,FALSE),"----")</f>
        <v>----</v>
      </c>
      <c r="AY431" s="685" t="e">
        <f ca="1">MATCH(AL431,INDIRECT(AP433),-1)</f>
        <v>#REF!</v>
      </c>
      <c r="AZ431" s="686" t="str">
        <f ca="1">IFERROR(VLOOKUP(AY431,INDIRECT(AQ433),2,FALSE),"----")</f>
        <v>----</v>
      </c>
      <c r="BA431" s="685" t="e">
        <f ca="1">MATCH(AL431,INDIRECT(AP434),-1)</f>
        <v>#REF!</v>
      </c>
      <c r="BB431" s="686" t="str">
        <f ca="1">IFERROR(VLOOKUP(BA431,INDIRECT(AQ434),2,FALSE),"----")</f>
        <v>----</v>
      </c>
      <c r="BC431" s="685" t="e">
        <f ca="1">MATCH(AL431,INDIRECT(AP435),-1)</f>
        <v>#REF!</v>
      </c>
      <c r="BD431" s="686" t="str">
        <f ca="1">IFERROR(VLOOKUP(BC431,INDIRECT(AQ435),2,FALSE),"----")</f>
        <v>----</v>
      </c>
      <c r="BE431" s="685" t="e">
        <f ca="1">MATCH(AL431,INDIRECT(AP436),-1)</f>
        <v>#REF!</v>
      </c>
      <c r="BF431" s="686" t="str">
        <f ca="1">IFERROR(VLOOKUP(BE431,INDIRECT(AQ436),2,FALSE),"----")</f>
        <v>----</v>
      </c>
      <c r="BG431" s="685" t="e">
        <f ca="1">MATCH(AL437,INDIRECT(AP437),-1)</f>
        <v>#REF!</v>
      </c>
      <c r="BH431" s="686" t="str">
        <f ca="1">IFERROR(VLOOKUP(BG431,INDIRECT(AQ437),2,FALSE),"----")</f>
        <v>----</v>
      </c>
      <c r="BI431" s="685" t="e">
        <f ca="1">MATCH(AL437,INDIRECT(AP438),-1)</f>
        <v>#REF!</v>
      </c>
      <c r="BJ431" s="686" t="str">
        <f ca="1">IFERROR(VLOOKUP(BI431,INDIRECT(AQ438),2,FALSE),"----")</f>
        <v>----</v>
      </c>
      <c r="BK431" s="685" t="e">
        <f ca="1">MATCH(AL437,INDIRECT(AP439),-1)</f>
        <v>#REF!</v>
      </c>
      <c r="BL431" s="686" t="str">
        <f ca="1">IFERROR(VLOOKUP(BK431,INDIRECT(AQ439),2,FALSE),"----")</f>
        <v>----</v>
      </c>
      <c r="BM431" s="685" t="e">
        <f ca="1">MATCH(AL437,INDIRECT(AP440),-1)</f>
        <v>#REF!</v>
      </c>
      <c r="BN431" s="686" t="str">
        <f ca="1">IFERROR(VLOOKUP(BM431,INDIRECT(AQ440),2,FALSE),"----")</f>
        <v>----</v>
      </c>
      <c r="BO431" s="685" t="e">
        <f ca="1">MATCH(AL437,INDIRECT(AP441),-1)</f>
        <v>#REF!</v>
      </c>
      <c r="BP431" s="686" t="str">
        <f ca="1">IFERROR(VLOOKUP(BO431,INDIRECT(AQ441),2,FALSE),"----")</f>
        <v>----</v>
      </c>
      <c r="BQ431" s="685" t="e">
        <f ca="1">MATCH(AL437,INDIRECT(AP442),-1)</f>
        <v>#REF!</v>
      </c>
      <c r="BR431" s="686" t="str">
        <f ca="1">IFERROR(VLOOKUP(BQ431,INDIRECT(AQ442),2,FALSE),"----")</f>
        <v>----</v>
      </c>
      <c r="BS431" s="687">
        <f>IF(AI431="",1,IF(COUNTIF(AV431:AV442,AI431)=0,2,1))</f>
        <v>1</v>
      </c>
      <c r="BT431" s="688">
        <f>IF(AP431="1",1,IF(AF431="",1,IF(AV431=".",2,1)))</f>
        <v>1</v>
      </c>
      <c r="BU431" s="706"/>
      <c r="BV431" s="155">
        <f ca="1">IF(COUNTIF(CE431:CE442,AF431)=0,IF(AF431&lt;&gt;"",0,1),1)</f>
        <v>1</v>
      </c>
      <c r="BW431" s="157">
        <f ca="1">IFERROR(MATCH(AF431,CE431:CE442,0),1)</f>
        <v>1</v>
      </c>
      <c r="BX431" s="769" t="str">
        <f>IFERROR(IF(LEFT(J435,2)="As",VLOOKUP(J435,EIMM,2,FALSE),IF(AND(ISNUMBER(SEARCH("Impervia",J431)),ISNUMBER(SEARCH("door",J435))),VLOOKUP("Impervia Door",EIMM,2,FALSE),IF(AND(ISNUMBER(SEARCH("250",J431)),ISNUMBER(SEARCH("door",J435))),VLOOKUP("250 Series Door",EIMM,2,FALSE),VLOOKUP(J431,EIMM,2,FALSE)))),"")</f>
        <v/>
      </c>
      <c r="BY431" s="769" t="str">
        <f ca="1">IFERROR(VLOOKUP(BX431,OFFSET(EIMM,0,1),2,FALSE),"")</f>
        <v/>
      </c>
      <c r="BZ431" s="1110" t="e">
        <f ca="1">IF((COUNTIF(INDIRECT(SUBSTITUTE(J431," ","_")),J435))=0,IF(J435="",1,0),1)</f>
        <v>#REF!</v>
      </c>
      <c r="CA431" s="691" t="e">
        <f ca="1">MATCH(AC431,INDIRECT(BX431),-1)</f>
        <v>#REF!</v>
      </c>
      <c r="CB431" s="4" t="e" cm="1">
        <f t="array" aca="1" ref="CB431" ca="1">IF(AND(INDEX(INDIRECT(BY431),CA431,4)&gt;=$AB431,INDEX(INDIRECT(BY431),CA431,5)&gt;=$S431,INDEX(INDIRECT(BY431),CA431,6)&gt;=$R431),1,0)</f>
        <v>#REF!</v>
      </c>
      <c r="CC431" s="4" t="e">
        <f t="shared" ref="CC431" ca="1" si="7699">MATCH(1,OFFSET(CB431:CB442,$W$2,0,COUNT(CB431:CB442)-$W$2),0)</f>
        <v>#REF!</v>
      </c>
      <c r="CD431" s="4" t="e">
        <f t="shared" ref="CD431" ca="1" si="7700">$W$2+CC431</f>
        <v>#REF!</v>
      </c>
      <c r="CE431" s="692" t="str" cm="1">
        <f t="array" aca="1" ref="CE431" ca="1">IFERROR(VLOOKUP(INDEX(CA431:CA442,CD431),INDIRECT(BY431),2,FALSE),"----")</f>
        <v>----</v>
      </c>
      <c r="CF431" s="691" t="e">
        <f ca="1">MATCH($AC431,SSEI,-1)</f>
        <v>#N/A</v>
      </c>
      <c r="CG431" s="4" t="e">
        <f ca="1">IF(AND(INDEX(SSM,CF431,4)&gt;=$AB431,INDEX(SSM,CF431,5)&gt;=$S431,INDEX(SSM,CF431,6)&gt;=$R431),1,0)</f>
        <v>#N/A</v>
      </c>
      <c r="CH431" s="4" t="e">
        <f t="shared" ref="CH431" ca="1" si="7701">MATCH(1,OFFSET(CG431:CG442,$W$2,0,COUNT(CG431:CG442)-$W$2),0)</f>
        <v>#REF!</v>
      </c>
      <c r="CI431" s="4" t="e">
        <f t="shared" ref="CI431" ca="1" si="7702">$W$2+CH431</f>
        <v>#REF!</v>
      </c>
      <c r="CJ431" s="692" t="str">
        <f ca="1">IFERROR(IF(AD432="Nested Steel Stud (wood infill)",VLOOKUP(INDEX(CF431:CF442,CI431),SSW,2,FALSE),VLOOKUP(INDEX(CF431:CF442,CI431),SSM,2,FALSE)),"----")</f>
        <v>----</v>
      </c>
      <c r="CK431" s="691" t="e">
        <f ca="1">MATCH($AC431,WSEI,-1)</f>
        <v>#N/A</v>
      </c>
      <c r="CL431" s="4" t="e">
        <f ca="1">IF(AND(INDEX(WSM,CK431,4)&gt;=$AB431,INDEX(WSM,CK431,5)&gt;=$S431,INDEX(WSM,CK431,6)&gt;=$R431),1,0)</f>
        <v>#N/A</v>
      </c>
      <c r="CM431" s="4" t="e">
        <f t="shared" ref="CM431" ca="1" si="7703">MATCH(1,OFFSET(CL431:CL442,$W$2,0,COUNT(CL431:CL442)-$W$2),0)</f>
        <v>#REF!</v>
      </c>
      <c r="CN431" s="4" t="e">
        <f t="shared" ref="CN431" ca="1" si="7704">$W$2+CM431</f>
        <v>#REF!</v>
      </c>
      <c r="CO431" s="692" t="str">
        <f ca="1">IFERROR(VLOOKUP(INDEX(CK431:CK442,CN431),WSM,2,FALSE),"----")</f>
        <v>----</v>
      </c>
      <c r="CP431" s="691" t="e">
        <f ca="1">MATCH($AC431,STEI,-1)</f>
        <v>#N/A</v>
      </c>
      <c r="CQ431" s="4" t="e">
        <f ca="1">IF(AND(INDEX(STM,CP431,4)&gt;=$AB431,INDEX(STM,CP431,5)&gt;=$S431,INDEX(STM,CP431,6)&gt;=$R431),1,0)</f>
        <v>#N/A</v>
      </c>
      <c r="CR431" s="4" t="e">
        <f t="shared" ref="CR431" ca="1" si="7705">MATCH(1,OFFSET(CQ431:CQ442,$W$2,0,COUNT(CQ431:CQ442)-$W$2),0)</f>
        <v>#REF!</v>
      </c>
      <c r="CS431" s="4" t="e">
        <f t="shared" ref="CS431" ca="1" si="7706">$W$2+CR431</f>
        <v>#REF!</v>
      </c>
      <c r="CT431" s="692" t="str">
        <f ca="1">IFERROR(VLOOKUP(INDEX(CP431:CP442,CS431),STM,2,FALSE),"----")</f>
        <v>----</v>
      </c>
      <c r="CU431" s="691" t="e">
        <f ca="1">MATCH($AC431,ELEI,-1)</f>
        <v>#N/A</v>
      </c>
      <c r="CV431" s="4" t="e">
        <f ca="1">IF(AND(INDEX(ELM,CU431,4)&gt;=$AB431,INDEX(ELM,CU431,5)&gt;=$S431,INDEX(ELM,CU431,6)&gt;=$R431),1,0)</f>
        <v>#N/A</v>
      </c>
      <c r="CW431" s="4" t="e">
        <f t="shared" ref="CW431" ca="1" si="7707">MATCH(1,OFFSET(CV431:CV442,$W$2,0,COUNT(CV431:CV442)-$W$2),0)</f>
        <v>#REF!</v>
      </c>
      <c r="CX431" s="4" t="e">
        <f t="shared" ref="CX431" ca="1" si="7708">$W$2+CW431</f>
        <v>#REF!</v>
      </c>
      <c r="CY431" s="692" t="str">
        <f ca="1">IFERROR(VLOOKUP(INDEX(CU431:CU442,CX431),ELM,2,FALSE),"----")</f>
        <v>----</v>
      </c>
      <c r="CZ431" s="691" t="e">
        <f ca="1">IF(LEFT($J431,7)="Clad Wo",MATCH($AC431,SPEIW,-1),MATCH($AC431,SPEI,-1))</f>
        <v>#N/A</v>
      </c>
      <c r="DA431" s="4" t="e">
        <f ca="1">IF(LEFT($J431,7)="Clad Wo",IF(AND(INDEX(SPPWS,CZ431,4)&gt;=$AB431,INDEX(SPPWS,CZ431,5)&gt;=$S431,INDEX(SPPWS,CZ431,6)&gt;=$R431),1,0),IF(AND(INDEX(SPM,CZ431,4)&gt;=$AB431,INDEX(SPM,CZ431,5)&gt;=$S431,INDEX(SPM,CZ431,6)&gt;=$R431),1,0))</f>
        <v>#N/A</v>
      </c>
      <c r="DB431" s="4" t="e">
        <f t="shared" ref="DB431" ca="1" si="7709">MATCH(1,OFFSET(DA431:DA442,$W$2,0,COUNT(DA431:DA442)-$W$2),0)</f>
        <v>#REF!</v>
      </c>
      <c r="DC431" s="4" t="e">
        <f t="shared" ref="DC431" ca="1" si="7710">$W$2+DB431</f>
        <v>#REF!</v>
      </c>
      <c r="DD431" s="693" t="str">
        <f ca="1">IF(LEFT($J431,7)="Clad Wo",IFERROR(VLOOKUP(INDEX(CZ431:CZ442,DC431),SPPWS,2,FALSE),"----"),IFERROR(VLOOKUP(INDEX(CZ431:CZ442,DC431),SPM,2,FALSE),"----"))</f>
        <v>----</v>
      </c>
      <c r="DE431" s="691" t="e">
        <f ca="1">MATCH(AC437,INDIRECT(BX431),-1)</f>
        <v>#REF!</v>
      </c>
      <c r="DF431" s="4" t="e" cm="1">
        <f t="array" aca="1" ref="DF431" ca="1">IF(AND(INDEX(INDIRECT(BY431),DE431,4)&gt;=$AB437,INDEX(INDIRECT(BY431),DE431,5)&gt;=$S431,INDEX(INDIRECT(BY431),DE431,6)&gt;=$R431),1,0)</f>
        <v>#REF!</v>
      </c>
      <c r="DG431" s="4" t="e">
        <f t="shared" ref="DG431" ca="1" si="7711">MATCH(1,OFFSET(DF431:DF442,$W$2,0,COUNT(DF431:DF442)-$W$2),0)</f>
        <v>#REF!</v>
      </c>
      <c r="DH431" s="4" t="e">
        <f t="shared" ref="DH431" ca="1" si="7712">$W$2+DG431</f>
        <v>#REF!</v>
      </c>
      <c r="DI431" s="692" t="str" cm="1">
        <f t="array" aca="1" ref="DI431" ca="1">IFERROR(VLOOKUP(INDEX(DE431:DE442,DH431),INDIRECT(BY431),2,FALSE),"----")</f>
        <v>----</v>
      </c>
      <c r="DJ431" s="691" t="e">
        <f ca="1">MATCH($AC437,SSEI,-1)</f>
        <v>#N/A</v>
      </c>
      <c r="DK431" s="4" t="e">
        <f ca="1">IF(AND(INDEX(SSM,DJ431,4)&gt;=$AB437,INDEX(SSM,DJ431,5)&gt;=$S431,INDEX(SSM,DJ431,6)&gt;=$R431),1,0)</f>
        <v>#N/A</v>
      </c>
      <c r="DL431" s="4" t="e">
        <f t="shared" ref="DL431" ca="1" si="7713">MATCH(1,OFFSET(DK431:DK442,$W$2,0,COUNT(DK431:DK442)-$W$2),0)</f>
        <v>#REF!</v>
      </c>
      <c r="DM431" s="4" t="e">
        <f t="shared" ref="DM431" ca="1" si="7714">$W$2+DL431</f>
        <v>#REF!</v>
      </c>
      <c r="DN431" s="692" t="str">
        <f ca="1">IFERROR(IF(AD438="Nested Steel Stud (wood infill)",VLOOKUP(INDEX(DJ431:DJ442,DM431),SSW,2,FALSE),VLOOKUP(INDEX(DJ431:DJ442,DM431),SSM,2,FALSE)),"----")</f>
        <v>----</v>
      </c>
      <c r="DO431" s="691" t="e">
        <f ca="1">MATCH($AC437,WSEI,-1)</f>
        <v>#N/A</v>
      </c>
      <c r="DP431" s="4" t="e">
        <f ca="1">IF(AND(INDEX(WSM,DO431,4)&gt;=$AB437,INDEX(WSM,DO431,5)&gt;=$S431,INDEX(WSM,DO431,6)&gt;=$R431),1,0)</f>
        <v>#N/A</v>
      </c>
      <c r="DQ431" s="4" t="e">
        <f t="shared" ref="DQ431" ca="1" si="7715">MATCH(1,OFFSET(DP431:DP442,$W$2,0,COUNT(DP431:DP442)-$W$2),0)</f>
        <v>#REF!</v>
      </c>
      <c r="DR431" s="4" t="e">
        <f t="shared" ref="DR431" ca="1" si="7716">$W$2+DQ431</f>
        <v>#REF!</v>
      </c>
      <c r="DS431" s="692" t="str">
        <f ca="1">IFERROR(VLOOKUP(INDEX(DO431:DO442,DR431),WSM,2,FALSE),"----")</f>
        <v>----</v>
      </c>
      <c r="DT431" s="691" t="e">
        <f ca="1">MATCH($AC437,STEI,-1)</f>
        <v>#N/A</v>
      </c>
      <c r="DU431" s="4" t="e">
        <f ca="1">IF(AND(INDEX(STM,DT431,4)&gt;=$AB437,INDEX(STM,DT431,5)&gt;=$S431,INDEX(STM,DT431,6)&gt;=$R431),1,0)</f>
        <v>#N/A</v>
      </c>
      <c r="DV431" s="4" t="e">
        <f t="shared" ref="DV431" ca="1" si="7717">MATCH(1,OFFSET(DU431:DU442,$W$2,0,COUNT(DU431:DU442)-$W$2),0)</f>
        <v>#REF!</v>
      </c>
      <c r="DW431" s="4" t="e">
        <f t="shared" ref="DW431" ca="1" si="7718">$W$2+DV431</f>
        <v>#REF!</v>
      </c>
      <c r="DX431" s="692" t="str">
        <f ca="1">IFERROR(VLOOKUP(INDEX(DT431:DT442,DW431),STM,2,FALSE),"----")</f>
        <v>----</v>
      </c>
      <c r="DY431" s="691" t="e">
        <f ca="1">MATCH($AC437,ELEI,-1)</f>
        <v>#N/A</v>
      </c>
      <c r="DZ431" s="4" t="e">
        <f ca="1">IF(AND(INDEX(ELM,DY431,4)&gt;=$AB437,INDEX(ELM,DY431,5)&gt;=$S431,INDEX(ELM,DY431,6)&gt;=$R431),1,0)</f>
        <v>#N/A</v>
      </c>
      <c r="EA431" s="4" t="e">
        <f t="shared" ref="EA431" ca="1" si="7719">MATCH(1,OFFSET(DZ431:DZ442,$W$2,0,COUNT(DZ431:DZ442)-$W$2),0)</f>
        <v>#REF!</v>
      </c>
      <c r="EB431" s="4" t="e">
        <f t="shared" ref="EB431" ca="1" si="7720">EA431+$W$2</f>
        <v>#REF!</v>
      </c>
      <c r="EC431" s="692" t="str">
        <f ca="1">IFERROR(VLOOKUP(INDEX(DY431:DY442,EB431),ELM,2,FALSE),"----")</f>
        <v>----</v>
      </c>
      <c r="ED431" s="691" t="e">
        <f ca="1">IF(LEFT($J431,7)="Clad Wo",MATCH($AC437,SPEIW,-1),MATCH($AC437,SPEI,-1))</f>
        <v>#N/A</v>
      </c>
      <c r="EE431" s="4" t="e">
        <f ca="1">IF(LEFT($J431,7)="Clad Wo",IF(AND(INDEX(SPPWS,ED431,4)&gt;=$AB437,INDEX(SPPWS,ED431,5)&gt;=$S431,INDEX(SPPWS,ED431,6)&gt;=$R431),1,0),IF(AND(INDEX(SPM,ED431,4)&gt;=$AB437,INDEX(SPM,ED431,5)&gt;=$S431,INDEX(SPM,ED431,6)&gt;=$R431),1,0))</f>
        <v>#N/A</v>
      </c>
      <c r="EF431" s="4" t="e">
        <f t="shared" ref="EF431" ca="1" si="7721">MATCH(1,OFFSET(EE431:EE442,$W$2,0,COUNT(EE431:EE442)-$W$2),0)</f>
        <v>#REF!</v>
      </c>
      <c r="EG431" s="4" t="e">
        <f t="shared" ref="EG431" ca="1" si="7722">$W$2+EF431</f>
        <v>#REF!</v>
      </c>
      <c r="EH431" s="692" t="str">
        <f ca="1">IF(LEFT($J431,7)="Clad Wo",IFERROR(VLOOKUP(INDEX(ED431:ED442,EG431),SPPWS,2,FALSE),"----"),IFERROR(VLOOKUP(INDEX(ED431:ED442,EG431),SPM,2,FALSE),"----"))</f>
        <v>----</v>
      </c>
    </row>
    <row r="432" spans="1:138" ht="15" customHeight="1" x14ac:dyDescent="0.25">
      <c r="A432" s="1085"/>
      <c r="B432" s="925"/>
      <c r="C432" s="926"/>
      <c r="D432" s="927"/>
      <c r="E432" s="995"/>
      <c r="F432" s="996"/>
      <c r="G432" s="997"/>
      <c r="H432" s="1062"/>
      <c r="I432" s="990"/>
      <c r="J432" s="908"/>
      <c r="K432" s="909"/>
      <c r="L432" s="1002"/>
      <c r="M432" s="923"/>
      <c r="N432" s="1042"/>
      <c r="O432" s="1018"/>
      <c r="P432" s="987"/>
      <c r="Q432" s="1015"/>
      <c r="R432" s="1012"/>
      <c r="S432" s="1006"/>
      <c r="T432" s="1007"/>
      <c r="U432" s="878"/>
      <c r="V432" s="881"/>
      <c r="W432" s="884"/>
      <c r="X432" s="884"/>
      <c r="Y432" s="887"/>
      <c r="Z432" s="887"/>
      <c r="AA432" s="887"/>
      <c r="AB432" s="1081"/>
      <c r="AC432" s="1078"/>
      <c r="AD432" s="1102" t="s">
        <v>38</v>
      </c>
      <c r="AE432" s="1103"/>
      <c r="AF432" s="1052"/>
      <c r="AG432" s="1053"/>
      <c r="AH432" s="1053"/>
      <c r="AI432" s="1066"/>
      <c r="AJ432" s="1067"/>
      <c r="AK432" s="156" t="str">
        <f t="shared" ca="1" si="7482"/>
        <v/>
      </c>
      <c r="AL432" s="1039"/>
      <c r="AM432" s="343" t="str">
        <f ca="1">IFERROR(Q431/12*ROUND(VLOOKUP(AF432,OFFSET(SSM,0,1),6,FALSE),2),"")</f>
        <v/>
      </c>
      <c r="AN432" t="str">
        <f t="shared" ca="1" si="7532"/>
        <v/>
      </c>
      <c r="AP432" s="122" t="str">
        <f t="shared" ref="AP432" si="7723">_xlfn.CONCAT(AR432,AS436)</f>
        <v/>
      </c>
      <c r="AQ432" s="683" t="str">
        <f t="shared" si="7698"/>
        <v/>
      </c>
      <c r="AR432" s="96" t="str">
        <f t="shared" si="7457"/>
        <v/>
      </c>
      <c r="AS432" s="96" t="str">
        <f>IF(COUNTIF(Vista_1,AF431)=1,"Vista_1",IF(COUNTIF(Vista_2,AF431)=1,"Vista_2",""))</f>
        <v/>
      </c>
      <c r="AT432" s="684" t="str">
        <f>AL431</f>
        <v/>
      </c>
      <c r="AU432" s="694" t="e">
        <f t="shared" ref="AU432:AU495" ca="1" si="7724">AU431-1</f>
        <v>#REF!</v>
      </c>
      <c r="AV432" s="686" t="str">
        <f ca="1">IFERROR(VLOOKUP(AU432,INDIRECT(AQ431),2,FALSE),"----")</f>
        <v>----</v>
      </c>
      <c r="AW432" s="694" t="e">
        <f t="shared" ref="AW432:AW495" ca="1" si="7725">AW431-1</f>
        <v>#REF!</v>
      </c>
      <c r="AX432" s="686" t="str">
        <f ca="1">IFERROR(VLOOKUP(AW432,INDIRECT(AQ432),2,FALSE),"----")</f>
        <v>----</v>
      </c>
      <c r="AY432" s="694" t="e">
        <f t="shared" ref="AY432:AY433" ca="1" si="7726">AY431-1</f>
        <v>#REF!</v>
      </c>
      <c r="AZ432" s="686" t="str">
        <f ca="1">IFERROR(VLOOKUP(AY432,INDIRECT(AQ433),2,FALSE),"----")</f>
        <v>----</v>
      </c>
      <c r="BA432" s="694" t="e">
        <f t="shared" ref="BA432:BA433" ca="1" si="7727">BA431-1</f>
        <v>#REF!</v>
      </c>
      <c r="BB432" s="686" t="str">
        <f ca="1">IFERROR(VLOOKUP(BA432,INDIRECT(AQ434),2,FALSE),"----")</f>
        <v>----</v>
      </c>
      <c r="BC432" s="694" t="e">
        <f t="shared" ref="BC432:BC495" ca="1" si="7728">BC431-1</f>
        <v>#REF!</v>
      </c>
      <c r="BD432" s="686" t="str">
        <f ca="1">IFERROR(VLOOKUP(BC432,INDIRECT(AQ435),2,FALSE),"----")</f>
        <v>----</v>
      </c>
      <c r="BE432" s="694" t="e">
        <f t="shared" ref="BE432:BE495" ca="1" si="7729">BE431-1</f>
        <v>#REF!</v>
      </c>
      <c r="BF432" s="686" t="str">
        <f ca="1">IFERROR(VLOOKUP(BE432,INDIRECT(AQ436),2,FALSE),"----")</f>
        <v>----</v>
      </c>
      <c r="BG432" s="694" t="e">
        <f t="shared" ref="BG432:BG495" ca="1" si="7730">BG431-1</f>
        <v>#REF!</v>
      </c>
      <c r="BH432" s="686" t="str">
        <f ca="1">IFERROR(VLOOKUP(BG432,INDIRECT(AQ437),2,FALSE),"----")</f>
        <v>----</v>
      </c>
      <c r="BI432" s="694" t="e">
        <f t="shared" ref="BI432:BI495" ca="1" si="7731">BI431-1</f>
        <v>#REF!</v>
      </c>
      <c r="BJ432" s="686" t="str">
        <f ca="1">IFERROR(VLOOKUP(BI432,INDIRECT(AQ438),2,FALSE),"----")</f>
        <v>----</v>
      </c>
      <c r="BK432" s="694" t="e">
        <f t="shared" ref="BK432:BK495" ca="1" si="7732">BK431-1</f>
        <v>#REF!</v>
      </c>
      <c r="BL432" s="686" t="str">
        <f ca="1">IFERROR(VLOOKUP(BK432,INDIRECT(AQ439),2,FALSE),"----")</f>
        <v>----</v>
      </c>
      <c r="BM432" s="694" t="e">
        <f t="shared" ref="BM432:BM495" ca="1" si="7733">BM431-1</f>
        <v>#REF!</v>
      </c>
      <c r="BN432" s="686" t="str">
        <f ca="1">IFERROR(VLOOKUP(BM432,INDIRECT(AQ440),2,FALSE),"----")</f>
        <v>----</v>
      </c>
      <c r="BO432" s="694" t="e">
        <f t="shared" ref="BO432:BO495" ca="1" si="7734">BO431-1</f>
        <v>#REF!</v>
      </c>
      <c r="BP432" s="686" t="str">
        <f ca="1">IFERROR(VLOOKUP(BO432,INDIRECT(AQ441),2,FALSE),"----")</f>
        <v>----</v>
      </c>
      <c r="BQ432" s="694" t="e">
        <f t="shared" ref="BQ432:BQ495" ca="1" si="7735">BQ431-1</f>
        <v>#REF!</v>
      </c>
      <c r="BR432" s="686" t="str">
        <f ca="1">IFERROR(VLOOKUP(BQ432,INDIRECT(AQ442),2,FALSE),"----")</f>
        <v>----</v>
      </c>
      <c r="BS432" s="695">
        <f>IF(AI432="",1,IF(COUNTIF(AX431:AX442,AI432)=0,2,1))</f>
        <v>1</v>
      </c>
      <c r="BT432" s="696">
        <f>IF(AF432="",1,IF(AX431=".",2,1))</f>
        <v>1</v>
      </c>
      <c r="BU432" s="706"/>
      <c r="BV432" s="155">
        <f ca="1">IF(COUNTIF(CJ431:CJ442,AF432)=0,IF(AF432&lt;&gt;"",0,1),1)</f>
        <v>1</v>
      </c>
      <c r="BW432" s="157">
        <f ca="1">IFERROR(MATCH(AF432,CJ431:CJ442,0),1)</f>
        <v>1</v>
      </c>
      <c r="BX432" s="769"/>
      <c r="BY432" s="769"/>
      <c r="BZ432" s="1110"/>
      <c r="CA432" s="691" t="e">
        <f t="shared" ref="CA432:CA442" ca="1" si="7736">CA431-1</f>
        <v>#REF!</v>
      </c>
      <c r="CB432" s="4" t="e" cm="1">
        <f t="array" aca="1" ref="CB432" ca="1">IF(AND(INDEX(INDIRECT(BY431),CA432,4)&gt;=$AB431,INDEX(INDIRECT(BY431),CA432,5)&gt;=$S431,INDEX(INDIRECT(BY431),CA432,6)&gt;=$R431),1,0)</f>
        <v>#REF!</v>
      </c>
      <c r="CC432" s="4" t="e">
        <f t="shared" ref="CC432" ca="1" si="7737">MATCH(1,OFFSET(CB431:CB442,CD431,0,COUNT(CB431:CB442)-CD431),0)</f>
        <v>#REF!</v>
      </c>
      <c r="CD432" s="4" t="e">
        <f t="shared" ref="CD432:CD442" ca="1" si="7738">CD431+CC432</f>
        <v>#REF!</v>
      </c>
      <c r="CE432" s="692" t="str" cm="1">
        <f t="array" aca="1" ref="CE432" ca="1">IFERROR(VLOOKUP(INDEX(CA431:CA442,CD432),INDIRECT(BY431),2,FALSE),"----")</f>
        <v>----</v>
      </c>
      <c r="CF432" s="691" t="e">
        <f t="shared" ref="CF432:CF442" ca="1" si="7739">CF431-1</f>
        <v>#N/A</v>
      </c>
      <c r="CG432" s="4" t="e">
        <f ca="1">IF(AND(INDEX(SSM,CF432,4)&gt;=$AB431,INDEX(SSM,CF432,5)&gt;=$S431,INDEX(SSM,CF432,6)&gt;=$R431),1,0)</f>
        <v>#N/A</v>
      </c>
      <c r="CH432" s="4" t="e">
        <f t="shared" ref="CH432" ca="1" si="7740">MATCH(1,OFFSET(CG431:CG442,CI431,0,COUNT(CG431:CG442)-CI431),0)</f>
        <v>#REF!</v>
      </c>
      <c r="CI432" s="4" t="e">
        <f t="shared" ref="CI432:CI442" ca="1" si="7741">CI431+CH432</f>
        <v>#REF!</v>
      </c>
      <c r="CJ432" s="692" t="str">
        <f ca="1">IFERROR(IF(AD432="Nested Steel Stud (wood infill)",VLOOKUP(INDEX(CF431:CF442,CI432),SSW,2,FALSE),VLOOKUP(INDEX(CF431:CF442,CI432),SSM,2,FALSE)),"----")</f>
        <v>----</v>
      </c>
      <c r="CK432" s="691" t="e">
        <f t="shared" ref="CK432:CK442" ca="1" si="7742">CK431-1</f>
        <v>#N/A</v>
      </c>
      <c r="CL432" s="4" t="e">
        <f ca="1">IF(AND(INDEX(WSM,CK432,4)&gt;=$AB431,INDEX(WSM,CK432,5)&gt;=$S431,INDEX(WSM,CK432,6)&gt;=$R431),1,0)</f>
        <v>#N/A</v>
      </c>
      <c r="CM432" s="4" t="e">
        <f t="shared" ref="CM432" ca="1" si="7743">MATCH(1,OFFSET(CL431:CL442,CN431,0,COUNT(CL431:CL442)-CN431),0)</f>
        <v>#REF!</v>
      </c>
      <c r="CN432" s="4" t="e">
        <f t="shared" ref="CN432:CN442" ca="1" si="7744">CM432+CN431</f>
        <v>#REF!</v>
      </c>
      <c r="CO432" s="692" t="str">
        <f ca="1">IFERROR(VLOOKUP(INDEX(CK431:CK442,CN432),WSM,2,FALSE),"----")</f>
        <v>----</v>
      </c>
      <c r="CP432" s="691" t="e">
        <f t="shared" ref="CP432:CP442" ca="1" si="7745">CP431-1</f>
        <v>#N/A</v>
      </c>
      <c r="CQ432" s="4" t="e">
        <f ca="1">IF(AND(INDEX(STM,CP432,4)&gt;=$AB431,INDEX(STM,CP432,5)&gt;=$S431,INDEX(STM,CP432,6)&gt;=$R431),1,0)</f>
        <v>#N/A</v>
      </c>
      <c r="CR432" s="4" t="e">
        <f t="shared" ref="CR432" ca="1" si="7746">MATCH(1,OFFSET(CQ431:CQ442,CS431,0,COUNT(CQ431:CQ442)-CS431),0)</f>
        <v>#REF!</v>
      </c>
      <c r="CS432" s="4" t="e">
        <f t="shared" ref="CS432:CS442" ca="1" si="7747">CR432+CS431</f>
        <v>#REF!</v>
      </c>
      <c r="CT432" s="692" t="str">
        <f ca="1">IFERROR(VLOOKUP(INDEX(CP431:CP442,CS432),STM,2,FALSE),"----")</f>
        <v>----</v>
      </c>
      <c r="CU432" s="691" t="e">
        <f t="shared" ref="CU432:CU442" ca="1" si="7748">CU431-1</f>
        <v>#N/A</v>
      </c>
      <c r="CV432" s="4" t="e">
        <f ca="1">IF(AND(INDEX(ELM,CU432,4)&gt;=$AB431,INDEX(ELM,CU432,5)&gt;=$S431,INDEX(ELM,CU432,6)&gt;=$R431),1,0)</f>
        <v>#N/A</v>
      </c>
      <c r="CW432" s="4" t="e">
        <f t="shared" ref="CW432" ca="1" si="7749">MATCH(1,OFFSET(CV431:CV442,CX431,0,COUNT(CV431:CV442)-CX431),0)</f>
        <v>#REF!</v>
      </c>
      <c r="CX432" s="4" t="e">
        <f t="shared" ref="CX432:CX442" ca="1" si="7750">CW432+CX431</f>
        <v>#REF!</v>
      </c>
      <c r="CY432" s="692" t="str">
        <f ca="1">IFERROR(VLOOKUP(INDEX(CU431:CU442,CX432),ELM,2,FALSE),"----")</f>
        <v>----</v>
      </c>
      <c r="CZ432" s="691" t="e">
        <f t="shared" ref="CZ432:CZ442" ca="1" si="7751">CZ431-1</f>
        <v>#N/A</v>
      </c>
      <c r="DA432" s="4" t="e">
        <f ca="1">IF(LEFT($J431,7)="Clad Wo",IF(AND(INDEX(SPPWS,CZ432,4)&gt;=$AB431,INDEX(SPPWS,CZ432,5)&gt;=$S431,INDEX(SPPWS,CZ432,6)&gt;=$R431),1,0),IF(AND(INDEX(SPM,CZ432,4)&gt;=$AB431,INDEX(SPM,CZ432,5)&gt;=$S431,INDEX(SPM,CZ432,6)&gt;=$R431),1,0))</f>
        <v>#N/A</v>
      </c>
      <c r="DB432" s="4" t="e">
        <f t="shared" ref="DB432" ca="1" si="7752">MATCH(1,OFFSET(DA431:DA442,DC431,0,COUNT(DA431:DA442)-DC431),0)</f>
        <v>#REF!</v>
      </c>
      <c r="DC432" s="4" t="e">
        <f t="shared" ref="DC432:DC442" ca="1" si="7753">DC431+DB432</f>
        <v>#REF!</v>
      </c>
      <c r="DD432" s="693" t="str">
        <f ca="1">IF(LEFT($J431,7)="Clad Wo",IFERROR(VLOOKUP(INDEX(CZ431:CZ442,DC432),SPPWS,2,FALSE),"----"),IFERROR(VLOOKUP(INDEX(CZ431:CZ442,DC432),SPM,2,FALSE),"----"))</f>
        <v>----</v>
      </c>
      <c r="DE432" s="691" t="e">
        <f t="shared" ref="DE432:DE442" ca="1" si="7754">DE431-1</f>
        <v>#REF!</v>
      </c>
      <c r="DF432" s="4" t="e" cm="1">
        <f t="array" aca="1" ref="DF432" ca="1">IF(AND(INDEX(INDIRECT(BY431),DE432,4)&gt;=$AB437,INDEX(INDIRECT(BY431),DE432,5)&gt;=$S431,INDEX(INDIRECT(BY431),DE432,6)&gt;=$R431),1,0)</f>
        <v>#REF!</v>
      </c>
      <c r="DG432" s="4" t="e">
        <f t="shared" ref="DG432" ca="1" si="7755">MATCH(1,OFFSET(DF431:DF442,DH431,0,COUNT(DF431:DF442)-DH431),0)</f>
        <v>#REF!</v>
      </c>
      <c r="DH432" s="4" t="e">
        <f t="shared" ref="DH432:DH442" ca="1" si="7756">DH431+DG432</f>
        <v>#REF!</v>
      </c>
      <c r="DI432" s="692" t="str" cm="1">
        <f t="array" aca="1" ref="DI432" ca="1">IFERROR(VLOOKUP(INDEX(DE431:DE442,DH432),INDIRECT(BY431),2,FALSE),"----")</f>
        <v>----</v>
      </c>
      <c r="DJ432" s="691" t="e">
        <f t="shared" ref="DJ432:DJ442" ca="1" si="7757">DJ431-1</f>
        <v>#N/A</v>
      </c>
      <c r="DK432" s="4" t="e">
        <f ca="1">IF(AND(INDEX(SSM,DJ432,4)&gt;=$AB437,INDEX(SSM,DJ432,5)&gt;=$S431,INDEX(SSM,DJ432,6)&gt;=$R431),1,0)</f>
        <v>#N/A</v>
      </c>
      <c r="DL432" s="4" t="e">
        <f t="shared" ref="DL432" ca="1" si="7758">MATCH(1,OFFSET(DK431:DK442,DM431,0,COUNT(DK431:DK442)-DM431),0)</f>
        <v>#REF!</v>
      </c>
      <c r="DM432" s="4" t="e">
        <f t="shared" ref="DM432:DM442" ca="1" si="7759">DL432+DM431</f>
        <v>#REF!</v>
      </c>
      <c r="DN432" s="692" t="str">
        <f ca="1">IFERROR(IF(AD438="Nested Steel Stud (wood infill)",VLOOKUP(INDEX(DJ431:DJ442,DM432),SSW,2,FALSE),VLOOKUP(INDEX(DJ431:DJ442,DM432),SSM,2,FALSE)),"----")</f>
        <v>----</v>
      </c>
      <c r="DO432" s="691" t="e">
        <f t="shared" ref="DO432:DO442" ca="1" si="7760">DO431-1</f>
        <v>#N/A</v>
      </c>
      <c r="DP432" s="4" t="e">
        <f ca="1">IF(AND(INDEX(WSM,DO432,4)&gt;=$AB437,INDEX(WSM,DO432,5)&gt;=$S431,INDEX(WSM,DO432,6)&gt;=$R431),1,0)</f>
        <v>#N/A</v>
      </c>
      <c r="DQ432" s="4" t="e">
        <f t="shared" ref="DQ432" ca="1" si="7761">MATCH(1,OFFSET(DP431:DP442,DR431,0,COUNT(DP431:DP442)-DR431),0)</f>
        <v>#REF!</v>
      </c>
      <c r="DR432" s="4" t="e">
        <f t="shared" ref="DR432:DR442" ca="1" si="7762">DQ432+DR431</f>
        <v>#REF!</v>
      </c>
      <c r="DS432" s="692" t="str">
        <f ca="1">IFERROR(VLOOKUP(INDEX(DO431:DO442,DR432),WSM,2,FALSE),"----")</f>
        <v>----</v>
      </c>
      <c r="DT432" s="691" t="e">
        <f t="shared" ref="DT432:DT442" ca="1" si="7763">DT431-1</f>
        <v>#N/A</v>
      </c>
      <c r="DU432" s="4" t="e">
        <f ca="1">IF(AND(INDEX(STM,DT432,4)&gt;=$AB437,INDEX(STM,DT432,5)&gt;=$S431,INDEX(STM,DT432,6)&gt;=$R431),1,0)</f>
        <v>#N/A</v>
      </c>
      <c r="DV432" s="4" t="e">
        <f t="shared" ref="DV432" ca="1" si="7764">MATCH(1,OFFSET(DU431:DU442,DW431,0,COUNT(DU431:DU442)-DW431),0)</f>
        <v>#REF!</v>
      </c>
      <c r="DW432" s="4" t="e">
        <f t="shared" ref="DW432:DW442" ca="1" si="7765">DV432+DW431</f>
        <v>#REF!</v>
      </c>
      <c r="DX432" s="692" t="str">
        <f ca="1">IFERROR(VLOOKUP(INDEX(DT431:DT442,DW432),STM,2,FALSE),"----")</f>
        <v>----</v>
      </c>
      <c r="DY432" s="691" t="e">
        <f t="shared" ref="DY432:DY442" ca="1" si="7766">DY431-1</f>
        <v>#N/A</v>
      </c>
      <c r="DZ432" s="4" t="e">
        <f ca="1">IF(AND(INDEX(ELM,DY432,4)&gt;=$AB437,INDEX(ELM,DY432,5)&gt;=$S431,INDEX(ELM,DY432,6)&gt;=$R431),1,0)</f>
        <v>#N/A</v>
      </c>
      <c r="EA432" s="4" t="e">
        <f t="shared" ref="EA432" ca="1" si="7767">MATCH(1,OFFSET(DZ431:DZ442,EB431,0,COUNT(DZ431:DZ442)-EB431),0)</f>
        <v>#REF!</v>
      </c>
      <c r="EB432" s="4" t="e">
        <f t="shared" ref="EB432:EB442" ca="1" si="7768">EA432+EB431</f>
        <v>#REF!</v>
      </c>
      <c r="EC432" s="692" t="str">
        <f ca="1">IFERROR(VLOOKUP(INDEX(DY431:DY442,EB432),ELM,2,FALSE),"----")</f>
        <v>----</v>
      </c>
      <c r="ED432" s="691" t="e">
        <f t="shared" ref="ED432:ED442" ca="1" si="7769">ED431-1</f>
        <v>#N/A</v>
      </c>
      <c r="EE432" s="4" t="e">
        <f ca="1">IF(LEFT($J431,7)="Clad Wo",IF(AND(INDEX(SPPWS,ED432,4)&gt;=$AB437,INDEX(SPPWS,ED432,5)&gt;=$S431,INDEX(SPPWS,ED432,6)&gt;=$R431),1,0),IF(AND(INDEX(SPM,ED432,4)&gt;=$AB437,INDEX(SPM,ED432,5)&gt;=$S431,INDEX(SPM,ED432,6)&gt;=$R431),1,0))</f>
        <v>#N/A</v>
      </c>
      <c r="EF432" s="4" t="e">
        <f t="shared" ref="EF432" ca="1" si="7770">MATCH(1,OFFSET(EE431:EE442,EG431,0,COUNT(EE431:EE442)-EG431),0)</f>
        <v>#REF!</v>
      </c>
      <c r="EG432" s="4" t="e">
        <f t="shared" ref="EG432:EG442" ca="1" si="7771">EG431+EF432</f>
        <v>#REF!</v>
      </c>
      <c r="EH432" s="692" t="str">
        <f ca="1">IF(LEFT($J431,7)="Clad Wo",IFERROR(VLOOKUP(INDEX(ED431:ED442,EG432),SPPWS,2,FALSE),"----"),IFERROR(VLOOKUP(INDEX(ED431:ED442,EG432),SPM,2,FALSE),"----"))</f>
        <v>----</v>
      </c>
    </row>
    <row r="433" spans="1:138" ht="15" customHeight="1" x14ac:dyDescent="0.25">
      <c r="A433" s="1085"/>
      <c r="B433" s="925"/>
      <c r="C433" s="926"/>
      <c r="D433" s="927"/>
      <c r="E433" s="995"/>
      <c r="F433" s="996"/>
      <c r="G433" s="997"/>
      <c r="H433" s="1062"/>
      <c r="I433" s="990"/>
      <c r="J433" s="908"/>
      <c r="K433" s="909"/>
      <c r="L433" s="1002"/>
      <c r="M433" s="923"/>
      <c r="N433" s="1042"/>
      <c r="O433" s="1018"/>
      <c r="P433" s="987"/>
      <c r="Q433" s="1015"/>
      <c r="R433" s="1012"/>
      <c r="S433" s="1006"/>
      <c r="T433" s="1007"/>
      <c r="U433" s="878"/>
      <c r="V433" s="881"/>
      <c r="W433" s="884"/>
      <c r="X433" s="884"/>
      <c r="Y433" s="887"/>
      <c r="Z433" s="887"/>
      <c r="AA433" s="887"/>
      <c r="AB433" s="1081"/>
      <c r="AC433" s="1078"/>
      <c r="AD433" s="1070" t="s">
        <v>333</v>
      </c>
      <c r="AE433" s="1071"/>
      <c r="AF433" s="1052"/>
      <c r="AG433" s="1053"/>
      <c r="AH433" s="1053"/>
      <c r="AI433" s="1066"/>
      <c r="AJ433" s="1067"/>
      <c r="AK433" s="154" t="str">
        <f t="shared" ca="1" si="7482"/>
        <v/>
      </c>
      <c r="AL433" s="1039"/>
      <c r="AM433" s="344" t="str">
        <f ca="1">IFERROR(Q431/12*ROUND(VLOOKUP(AF433,OFFSET(WSM,0,1),6,FALSE),2),"")</f>
        <v/>
      </c>
      <c r="AN433" t="str">
        <f t="shared" ca="1" si="7532"/>
        <v/>
      </c>
      <c r="AP433" s="122" t="str">
        <f t="shared" ref="AP433" si="7772">_xlfn.CONCAT(AR433,AS436)</f>
        <v/>
      </c>
      <c r="AQ433" s="683" t="str">
        <f t="shared" si="7698"/>
        <v/>
      </c>
      <c r="AR433" s="4" t="str">
        <f t="shared" si="7457"/>
        <v/>
      </c>
      <c r="AS433" s="4"/>
      <c r="AT433" s="697" t="str">
        <f>AL431</f>
        <v/>
      </c>
      <c r="AU433" s="694" t="e">
        <f t="shared" ca="1" si="7724"/>
        <v>#REF!</v>
      </c>
      <c r="AV433" s="686" t="str">
        <f ca="1">IFERROR(VLOOKUP(AU433,INDIRECT(AQ431),2,FALSE),"----")</f>
        <v>----</v>
      </c>
      <c r="AW433" s="694" t="e">
        <f t="shared" ca="1" si="7725"/>
        <v>#REF!</v>
      </c>
      <c r="AX433" s="686" t="str">
        <f ca="1">IFERROR(VLOOKUP(AW433,INDIRECT(AQ432),2,FALSE),"----")</f>
        <v>----</v>
      </c>
      <c r="AY433" s="694" t="e">
        <f t="shared" ca="1" si="7726"/>
        <v>#REF!</v>
      </c>
      <c r="AZ433" s="686" t="str">
        <f ca="1">IFERROR(VLOOKUP(AY433,INDIRECT(AQ433),2,FALSE),"----")</f>
        <v>----</v>
      </c>
      <c r="BA433" s="694" t="e">
        <f t="shared" ca="1" si="7727"/>
        <v>#REF!</v>
      </c>
      <c r="BB433" s="686" t="str">
        <f ca="1">IFERROR(VLOOKUP(BA433,INDIRECT(AQ434),2,FALSE),"----")</f>
        <v>----</v>
      </c>
      <c r="BC433" s="694" t="e">
        <f t="shared" ca="1" si="7728"/>
        <v>#REF!</v>
      </c>
      <c r="BD433" s="686" t="str">
        <f ca="1">IFERROR(VLOOKUP(BC433,INDIRECT(AQ435),2,FALSE),"----")</f>
        <v>----</v>
      </c>
      <c r="BE433" s="694" t="e">
        <f t="shared" ca="1" si="7729"/>
        <v>#REF!</v>
      </c>
      <c r="BF433" s="686" t="str">
        <f ca="1">IFERROR(VLOOKUP(BE433,INDIRECT(AQ436),2,FALSE),"----")</f>
        <v>----</v>
      </c>
      <c r="BG433" s="694" t="e">
        <f t="shared" ca="1" si="7730"/>
        <v>#REF!</v>
      </c>
      <c r="BH433" s="686" t="str">
        <f ca="1">IFERROR(VLOOKUP(BG433,INDIRECT(AQ437),2,FALSE),"----")</f>
        <v>----</v>
      </c>
      <c r="BI433" s="694" t="e">
        <f t="shared" ca="1" si="7731"/>
        <v>#REF!</v>
      </c>
      <c r="BJ433" s="686" t="str">
        <f ca="1">IFERROR(VLOOKUP(BI433,INDIRECT(AQ438),2,FALSE),"----")</f>
        <v>----</v>
      </c>
      <c r="BK433" s="694" t="e">
        <f t="shared" ca="1" si="7732"/>
        <v>#REF!</v>
      </c>
      <c r="BL433" s="686" t="str">
        <f ca="1">IFERROR(VLOOKUP(BK433,INDIRECT(AQ439),2,FALSE),"----")</f>
        <v>----</v>
      </c>
      <c r="BM433" s="694" t="e">
        <f t="shared" ca="1" si="7733"/>
        <v>#REF!</v>
      </c>
      <c r="BN433" s="686" t="str">
        <f ca="1">IFERROR(VLOOKUP(BM433,INDIRECT(AQ440),2,FALSE),"----")</f>
        <v>----</v>
      </c>
      <c r="BO433" s="694" t="e">
        <f t="shared" ca="1" si="7734"/>
        <v>#REF!</v>
      </c>
      <c r="BP433" s="686" t="str">
        <f ca="1">IFERROR(VLOOKUP(BO433,INDIRECT(AQ441),2,FALSE),"----")</f>
        <v>----</v>
      </c>
      <c r="BQ433" s="694" t="e">
        <f t="shared" ca="1" si="7735"/>
        <v>#REF!</v>
      </c>
      <c r="BR433" s="686" t="str">
        <f ca="1">IFERROR(VLOOKUP(BQ433,INDIRECT(AQ442),2,FALSE),"----")</f>
        <v>----</v>
      </c>
      <c r="BS433" s="695">
        <f>IF(AI433="",1,IF(COUNTIF(AZ431:AZ442,AI433)=0,2,1))</f>
        <v>1</v>
      </c>
      <c r="BT433" s="696">
        <f>IF(AF433="",1,IF(AZ431=".",2,1))</f>
        <v>1</v>
      </c>
      <c r="BU433" s="706"/>
      <c r="BV433" s="155">
        <f ca="1">IF(COUNTIF(CO431:CO442,AF433)=0,IF(AF433&lt;&gt;"",0,1),1)</f>
        <v>1</v>
      </c>
      <c r="BW433" s="157">
        <f ca="1">IFERROR(MATCH(AF433,CO431:CO442,0),1)</f>
        <v>1</v>
      </c>
      <c r="BX433" s="769"/>
      <c r="BY433" s="769"/>
      <c r="BZ433" s="1110"/>
      <c r="CA433" s="691" t="e">
        <f t="shared" ca="1" si="7736"/>
        <v>#REF!</v>
      </c>
      <c r="CB433" s="4" t="e" cm="1">
        <f t="array" aca="1" ref="CB433" ca="1">IF(AND(INDEX(INDIRECT(BY431),CA433,4)&gt;=$AB431,INDEX(INDIRECT(BY431),CA433,5)&gt;=$S431,INDEX(INDIRECT(BY431),CA433,6)&gt;=$R431),1,0)</f>
        <v>#REF!</v>
      </c>
      <c r="CC433" s="4" t="e">
        <f t="shared" ref="CC433" ca="1" si="7773">MATCH(1,OFFSET(CB431:CB442,CD432,0,COUNT(CB431:CB442)-CD432),0)</f>
        <v>#REF!</v>
      </c>
      <c r="CD433" s="4" t="e">
        <f t="shared" ca="1" si="7738"/>
        <v>#REF!</v>
      </c>
      <c r="CE433" s="692" t="str" cm="1">
        <f t="array" aca="1" ref="CE433" ca="1">IFERROR(VLOOKUP(INDEX(CA431:CA442,CD433),INDIRECT(BY431),2,FALSE),"----")</f>
        <v>----</v>
      </c>
      <c r="CF433" s="691" t="e">
        <f t="shared" ca="1" si="7739"/>
        <v>#N/A</v>
      </c>
      <c r="CG433" s="4" t="e">
        <f ca="1">IF(AND(INDEX(SSM,CF433,4)&gt;=$AB431,INDEX(SSM,CF433,5)&gt;=$S431,INDEX(SSM,CF433,6)&gt;=$R431),1,0)</f>
        <v>#N/A</v>
      </c>
      <c r="CH433" s="4" t="e">
        <f t="shared" ref="CH433" ca="1" si="7774">MATCH(1,OFFSET(CG431:CG442,CI432,0,COUNT(CG431:CG442)-CI432),0)</f>
        <v>#REF!</v>
      </c>
      <c r="CI433" s="4" t="e">
        <f t="shared" ca="1" si="7741"/>
        <v>#REF!</v>
      </c>
      <c r="CJ433" s="692" t="str">
        <f ca="1">IFERROR(IF(AD432="Nested Steel Stud (wood infill)",VLOOKUP(INDEX(CF431:CF442,CI433),SSW,2,FALSE),VLOOKUP(INDEX(CF431:CF442,CI433),SSM,2,FALSE)),"----")</f>
        <v>----</v>
      </c>
      <c r="CK433" s="691" t="e">
        <f t="shared" ca="1" si="7742"/>
        <v>#N/A</v>
      </c>
      <c r="CL433" s="4" t="e">
        <f ca="1">IF(AND(INDEX(WSM,CK433,4)&gt;=$AB431,INDEX(WSM,CK433,5)&gt;=$S431,INDEX(WSM,CK433,6)&gt;=$R431),1,0)</f>
        <v>#N/A</v>
      </c>
      <c r="CM433" s="4" t="e">
        <f t="shared" ref="CM433" ca="1" si="7775">MATCH(1,OFFSET(CL431:CL442,CN432,0,COUNT(CL431:CL442)-CN432),0)</f>
        <v>#REF!</v>
      </c>
      <c r="CN433" s="4" t="e">
        <f t="shared" ca="1" si="7744"/>
        <v>#REF!</v>
      </c>
      <c r="CO433" s="692" t="str">
        <f ca="1">IFERROR(VLOOKUP(INDEX(CK431:CK442,CN433),WSM,2,FALSE),"----")</f>
        <v>----</v>
      </c>
      <c r="CP433" s="691" t="e">
        <f t="shared" ca="1" si="7745"/>
        <v>#N/A</v>
      </c>
      <c r="CQ433" s="4" t="e">
        <f ca="1">IF(AND(INDEX(STM,CP433,4)&gt;=$AB431,INDEX(STM,CP433,5)&gt;=$S431,INDEX(STM,CP433,6)&gt;=$R431),1,0)</f>
        <v>#N/A</v>
      </c>
      <c r="CR433" s="4" t="e">
        <f t="shared" ref="CR433" ca="1" si="7776">MATCH(1,OFFSET(CQ431:CQ442,CS432,0,COUNT(CQ431:CQ442)-CS432),0)</f>
        <v>#REF!</v>
      </c>
      <c r="CS433" s="4" t="e">
        <f t="shared" ca="1" si="7747"/>
        <v>#REF!</v>
      </c>
      <c r="CT433" s="692" t="str">
        <f ca="1">IFERROR(VLOOKUP(INDEX(CP431:CP442,CS433),STM,2,FALSE),"----")</f>
        <v>----</v>
      </c>
      <c r="CU433" s="691" t="e">
        <f t="shared" ca="1" si="7748"/>
        <v>#N/A</v>
      </c>
      <c r="CV433" s="4" t="e">
        <f ca="1">IF(AND(INDEX(ELM,CU433,4)&gt;=$AB431,INDEX(ELM,CU433,5)&gt;=$S431,INDEX(ELM,CU433,6)&gt;=$R431),1,0)</f>
        <v>#N/A</v>
      </c>
      <c r="CW433" s="4" t="e">
        <f t="shared" ref="CW433" ca="1" si="7777">MATCH(1,OFFSET(CV431:CV442,CX432,0,COUNT(CV431:CV442)-CX432),0)</f>
        <v>#REF!</v>
      </c>
      <c r="CX433" s="4" t="e">
        <f t="shared" ca="1" si="7750"/>
        <v>#REF!</v>
      </c>
      <c r="CY433" s="692" t="str">
        <f ca="1">IFERROR(VLOOKUP(INDEX(CU431:CU442,CX433),ELM,2,FALSE),"----")</f>
        <v>----</v>
      </c>
      <c r="CZ433" s="691" t="e">
        <f t="shared" ca="1" si="7751"/>
        <v>#N/A</v>
      </c>
      <c r="DA433" s="4" t="e">
        <f ca="1">IF(LEFT($J431,7)="Clad Wo",IF(AND(INDEX(SPPWS,CZ433,4)&gt;=$AB431,INDEX(SPPWS,CZ433,5)&gt;=$S431,INDEX(SPPWS,CZ433,6)&gt;=$R431),1,0),IF(AND(INDEX(SPM,CZ433,4)&gt;=$AB431,INDEX(SPM,CZ433,5)&gt;=$S431,INDEX(SPM,CZ433,6)&gt;=$R431),1,0))</f>
        <v>#N/A</v>
      </c>
      <c r="DB433" s="4" t="e">
        <f t="shared" ref="DB433" ca="1" si="7778">MATCH(1,OFFSET(DA431:DA442,DC432,0,COUNT(DA431:DA442)-DC432),0)</f>
        <v>#REF!</v>
      </c>
      <c r="DC433" s="4" t="e">
        <f t="shared" ca="1" si="7753"/>
        <v>#REF!</v>
      </c>
      <c r="DD433" s="693" t="str">
        <f ca="1">IF(LEFT($J431,7)="Clad Wo",IFERROR(VLOOKUP(INDEX(CZ431:CZ442,DC433),SPPWS,2,FALSE),"----"),IFERROR(VLOOKUP(INDEX(CZ431:CZ442,DC433),SPM,2,FALSE),"----"))</f>
        <v>----</v>
      </c>
      <c r="DE433" s="691" t="e">
        <f t="shared" ca="1" si="7754"/>
        <v>#REF!</v>
      </c>
      <c r="DF433" s="4" t="e" cm="1">
        <f t="array" aca="1" ref="DF433" ca="1">IF(AND(INDEX(INDIRECT(BY431),DE433,4)&gt;=$AB437,INDEX(INDIRECT(BY431),DE433,5)&gt;=$S431,INDEX(INDIRECT(BY431),DE433,6)&gt;=$R431),1,0)</f>
        <v>#REF!</v>
      </c>
      <c r="DG433" s="4" t="e">
        <f t="shared" ref="DG433" ca="1" si="7779">MATCH(1,OFFSET(DF431:DF442,DH432,0,COUNT(DF431:DF442)-DH432),0)</f>
        <v>#REF!</v>
      </c>
      <c r="DH433" s="4" t="e">
        <f t="shared" ca="1" si="7756"/>
        <v>#REF!</v>
      </c>
      <c r="DI433" s="692" t="str" cm="1">
        <f t="array" aca="1" ref="DI433" ca="1">IFERROR(VLOOKUP(INDEX(DE431:DE442,DH433),INDIRECT(BY431),2,FALSE),"----")</f>
        <v>----</v>
      </c>
      <c r="DJ433" s="691" t="e">
        <f t="shared" ca="1" si="7757"/>
        <v>#N/A</v>
      </c>
      <c r="DK433" s="4" t="e">
        <f ca="1">IF(AND(INDEX(SSM,DJ433,4)&gt;=$AB437,INDEX(SSM,DJ433,5)&gt;=$S431,INDEX(SSM,DJ433,6)&gt;=$R431),1,0)</f>
        <v>#N/A</v>
      </c>
      <c r="DL433" s="4" t="e">
        <f t="shared" ref="DL433" ca="1" si="7780">MATCH(1,OFFSET(DK431:DK442,DM432,0,COUNT(DK431:DK442)-DM432),0)</f>
        <v>#REF!</v>
      </c>
      <c r="DM433" s="4" t="e">
        <f t="shared" ca="1" si="7759"/>
        <v>#REF!</v>
      </c>
      <c r="DN433" s="692" t="str">
        <f ca="1">IFERROR(IF(AD438="Nested Steel Stud (wood infill)",VLOOKUP(INDEX(DJ431:DJ442,DM433),SSW,2,FALSE),VLOOKUP(INDEX(DJ431:DJ442,DM433),SSM,2,FALSE)),"----")</f>
        <v>----</v>
      </c>
      <c r="DO433" s="691" t="e">
        <f t="shared" ca="1" si="7760"/>
        <v>#N/A</v>
      </c>
      <c r="DP433" s="4" t="e">
        <f ca="1">IF(AND(INDEX(WSM,DO433,4)&gt;=$AB437,INDEX(WSM,DO433,5)&gt;=$S431,INDEX(WSM,DO433,6)&gt;=$R431),1,0)</f>
        <v>#N/A</v>
      </c>
      <c r="DQ433" s="4" t="e">
        <f t="shared" ref="DQ433" ca="1" si="7781">MATCH(1,OFFSET(DP431:DP442,DR432,0,COUNT(DP431:DP442)-DR432),0)</f>
        <v>#REF!</v>
      </c>
      <c r="DR433" s="4" t="e">
        <f t="shared" ca="1" si="7762"/>
        <v>#REF!</v>
      </c>
      <c r="DS433" s="692" t="str">
        <f ca="1">IFERROR(VLOOKUP(INDEX(DO431:DO442,DR433),WSM,2,FALSE),"----")</f>
        <v>----</v>
      </c>
      <c r="DT433" s="691" t="e">
        <f t="shared" ca="1" si="7763"/>
        <v>#N/A</v>
      </c>
      <c r="DU433" s="4" t="e">
        <f ca="1">IF(AND(INDEX(STM,DT433,4)&gt;=$AB437,INDEX(STM,DT433,5)&gt;=$S431,INDEX(STM,DT433,6)&gt;=$R431),1,0)</f>
        <v>#N/A</v>
      </c>
      <c r="DV433" s="4" t="e">
        <f t="shared" ref="DV433" ca="1" si="7782">MATCH(1,OFFSET(DU431:DU442,DW432,0,COUNT(DU431:DU442)-DW432),0)</f>
        <v>#REF!</v>
      </c>
      <c r="DW433" s="4" t="e">
        <f t="shared" ca="1" si="7765"/>
        <v>#REF!</v>
      </c>
      <c r="DX433" s="692" t="str">
        <f ca="1">IFERROR(VLOOKUP(INDEX(DT431:DT442,DW433),STM,2,FALSE),"----")</f>
        <v>----</v>
      </c>
      <c r="DY433" s="691" t="e">
        <f t="shared" ca="1" si="7766"/>
        <v>#N/A</v>
      </c>
      <c r="DZ433" s="4" t="e">
        <f ca="1">IF(AND(INDEX(ELM,DY433,4)&gt;=$AB437,INDEX(ELM,DY433,5)&gt;=$S431,INDEX(ELM,DY433,6)&gt;=$R431),1,0)</f>
        <v>#N/A</v>
      </c>
      <c r="EA433" s="4" t="e">
        <f t="shared" ref="EA433" ca="1" si="7783">MATCH(1,OFFSET(DZ431:DZ442,EB432,0,COUNT(DZ431:DZ442)-EB432),0)</f>
        <v>#REF!</v>
      </c>
      <c r="EB433" s="4" t="e">
        <f t="shared" ca="1" si="7768"/>
        <v>#REF!</v>
      </c>
      <c r="EC433" s="692" t="str">
        <f ca="1">IFERROR(VLOOKUP(INDEX(DY431:DY442,EB433),ELM,2,FALSE),"----")</f>
        <v>----</v>
      </c>
      <c r="ED433" s="691" t="e">
        <f t="shared" ca="1" si="7769"/>
        <v>#N/A</v>
      </c>
      <c r="EE433" s="4" t="e">
        <f ca="1">IF(LEFT($J431,7)="Clad Wo",IF(AND(INDEX(SPPWS,ED433,4)&gt;=$AB437,INDEX(SPPWS,ED433,5)&gt;=$S431,INDEX(SPPWS,ED433,6)&gt;=$R431),1,0),IF(AND(INDEX(SPM,ED433,4)&gt;=$AB437,INDEX(SPM,ED433,5)&gt;=$S431,INDEX(SPM,ED433,6)&gt;=$R431),1,0))</f>
        <v>#N/A</v>
      </c>
      <c r="EF433" s="4" t="e">
        <f t="shared" ref="EF433" ca="1" si="7784">MATCH(1,OFFSET(EE431:EE442,EG432,0,COUNT(EE431:EE442)-EG432),0)</f>
        <v>#REF!</v>
      </c>
      <c r="EG433" s="4" t="e">
        <f t="shared" ca="1" si="7771"/>
        <v>#REF!</v>
      </c>
      <c r="EH433" s="692" t="str">
        <f ca="1">IF(LEFT($J431,7)="Clad Wo",IFERROR(VLOOKUP(INDEX(ED431:ED442,EG433),SPPWS,2,FALSE),"----"),IFERROR(VLOOKUP(INDEX(ED431:ED442,EG433),SPM,2,FALSE),"----"))</f>
        <v>----</v>
      </c>
    </row>
    <row r="434" spans="1:138" ht="15" customHeight="1" x14ac:dyDescent="0.25">
      <c r="A434" s="1085"/>
      <c r="B434" s="925"/>
      <c r="C434" s="926"/>
      <c r="D434" s="927"/>
      <c r="E434" s="995"/>
      <c r="F434" s="996"/>
      <c r="G434" s="997"/>
      <c r="H434" s="1062"/>
      <c r="I434" s="990"/>
      <c r="J434" s="908"/>
      <c r="K434" s="909"/>
      <c r="L434" s="1002"/>
      <c r="M434" s="923"/>
      <c r="N434" s="1042"/>
      <c r="O434" s="1018"/>
      <c r="P434" s="987"/>
      <c r="Q434" s="1015"/>
      <c r="R434" s="1012"/>
      <c r="S434" s="1006"/>
      <c r="T434" s="1007"/>
      <c r="U434" s="878"/>
      <c r="V434" s="881"/>
      <c r="W434" s="884"/>
      <c r="X434" s="884"/>
      <c r="Y434" s="887"/>
      <c r="Z434" s="887"/>
      <c r="AA434" s="887"/>
      <c r="AB434" s="1081"/>
      <c r="AC434" s="1078"/>
      <c r="AD434" s="1070" t="s">
        <v>37</v>
      </c>
      <c r="AE434" s="1071"/>
      <c r="AF434" s="1052"/>
      <c r="AG434" s="1053"/>
      <c r="AH434" s="1053"/>
      <c r="AI434" s="1066"/>
      <c r="AJ434" s="1067"/>
      <c r="AK434" s="156" t="str">
        <f t="shared" ca="1" si="7482"/>
        <v/>
      </c>
      <c r="AL434" s="1039"/>
      <c r="AM434" s="343" t="str">
        <f ca="1">IFERROR(Q431/12*ROUND(VLOOKUP(AF434,OFFSET(STM,0,1),6,FALSE),2),"")</f>
        <v/>
      </c>
      <c r="AN434" t="str">
        <f t="shared" ca="1" si="7532"/>
        <v/>
      </c>
      <c r="AP434" s="122" t="str">
        <f t="shared" ref="AP434" si="7785">_xlfn.CONCAT(AR434,AS436)</f>
        <v/>
      </c>
      <c r="AQ434" s="683" t="str">
        <f t="shared" si="7698"/>
        <v/>
      </c>
      <c r="AR434" s="4" t="str">
        <f t="shared" si="7457"/>
        <v/>
      </c>
      <c r="AS434" s="4"/>
      <c r="AT434" s="697" t="str">
        <f>AL431</f>
        <v/>
      </c>
      <c r="AU434" s="694" t="e">
        <f t="shared" ca="1" si="7724"/>
        <v>#REF!</v>
      </c>
      <c r="AV434" s="686" t="str">
        <f ca="1">IFERROR(VLOOKUP(AU434,INDIRECT(AQ431),2,FALSE),"----")</f>
        <v>----</v>
      </c>
      <c r="AW434" s="694" t="e">
        <f t="shared" ca="1" si="7725"/>
        <v>#REF!</v>
      </c>
      <c r="AX434" s="686" t="str">
        <f ca="1">IFERROR(VLOOKUP(AW434,INDIRECT(AQ432),2,FALSE),"----")</f>
        <v>----</v>
      </c>
      <c r="AY434" s="694" t="e">
        <f t="shared" ref="AY434" ca="1" si="7786">AY433-1</f>
        <v>#REF!</v>
      </c>
      <c r="AZ434" s="686" t="str">
        <f ca="1">IFERROR(VLOOKUP(AY434,INDIRECT(AQ433),2,FALSE),"----")</f>
        <v>----</v>
      </c>
      <c r="BA434" s="694" t="e">
        <f t="shared" ref="BA434" ca="1" si="7787">BA433-1</f>
        <v>#REF!</v>
      </c>
      <c r="BB434" s="686" t="str">
        <f ca="1">IFERROR(VLOOKUP(BA434,INDIRECT(AQ434),2,FALSE),"----")</f>
        <v>----</v>
      </c>
      <c r="BC434" s="694" t="e">
        <f t="shared" ca="1" si="7728"/>
        <v>#REF!</v>
      </c>
      <c r="BD434" s="686" t="str">
        <f ca="1">IFERROR(VLOOKUP(BC434,INDIRECT(AQ435),2,FALSE),"----")</f>
        <v>----</v>
      </c>
      <c r="BE434" s="694" t="e">
        <f t="shared" ca="1" si="7729"/>
        <v>#REF!</v>
      </c>
      <c r="BF434" s="686" t="str">
        <f ca="1">IFERROR(VLOOKUP(BE434,INDIRECT(AQ436),2,FALSE),"----")</f>
        <v>----</v>
      </c>
      <c r="BG434" s="694" t="e">
        <f t="shared" ca="1" si="7730"/>
        <v>#REF!</v>
      </c>
      <c r="BH434" s="686" t="str">
        <f ca="1">IFERROR(VLOOKUP(BG434,INDIRECT(AQ437),2,FALSE),"----")</f>
        <v>----</v>
      </c>
      <c r="BI434" s="694" t="e">
        <f t="shared" ca="1" si="7731"/>
        <v>#REF!</v>
      </c>
      <c r="BJ434" s="686" t="str">
        <f ca="1">IFERROR(VLOOKUP(BI434,INDIRECT(AQ438),2,FALSE),"----")</f>
        <v>----</v>
      </c>
      <c r="BK434" s="694" t="e">
        <f t="shared" ca="1" si="7732"/>
        <v>#REF!</v>
      </c>
      <c r="BL434" s="686" t="str">
        <f ca="1">IFERROR(VLOOKUP(BK434,INDIRECT(AQ439),2,FALSE),"----")</f>
        <v>----</v>
      </c>
      <c r="BM434" s="694" t="e">
        <f t="shared" ca="1" si="7733"/>
        <v>#REF!</v>
      </c>
      <c r="BN434" s="686" t="str">
        <f ca="1">IFERROR(VLOOKUP(BM434,INDIRECT(AQ440),2,FALSE),"----")</f>
        <v>----</v>
      </c>
      <c r="BO434" s="694" t="e">
        <f t="shared" ca="1" si="7734"/>
        <v>#REF!</v>
      </c>
      <c r="BP434" s="686" t="str">
        <f ca="1">IFERROR(VLOOKUP(BO434,INDIRECT(AQ441),2,FALSE),"----")</f>
        <v>----</v>
      </c>
      <c r="BQ434" s="694" t="e">
        <f t="shared" ca="1" si="7735"/>
        <v>#REF!</v>
      </c>
      <c r="BR434" s="686" t="str">
        <f ca="1">IFERROR(VLOOKUP(BQ434,INDIRECT(AQ442),2,FALSE),"----")</f>
        <v>----</v>
      </c>
      <c r="BS434" s="695">
        <f>IF(AI434="",1,IF(COUNTIF(BB431:BB442,AI434)=0,2,1))</f>
        <v>1</v>
      </c>
      <c r="BT434" s="696">
        <f>IF(AF434="",1,IF(BB431=".",2,1))</f>
        <v>1</v>
      </c>
      <c r="BU434" s="706"/>
      <c r="BV434" s="155">
        <f ca="1">IF(COUNTIF(CT431:CT442,AF434)=0,IF(AF434&lt;&gt;"",0,1),1)</f>
        <v>1</v>
      </c>
      <c r="BW434" s="157">
        <f ca="1">IFERROR(MATCH(AF434,CT431:CT442,0),1)</f>
        <v>1</v>
      </c>
      <c r="BX434" s="769"/>
      <c r="BY434" s="769"/>
      <c r="BZ434" s="1110"/>
      <c r="CA434" s="691" t="e">
        <f t="shared" ca="1" si="7736"/>
        <v>#REF!</v>
      </c>
      <c r="CB434" s="4" t="e" cm="1">
        <f t="array" aca="1" ref="CB434" ca="1">IF(AND(INDEX(INDIRECT(BY431),CA434,4)&gt;=$AB431,INDEX(INDIRECT(BY431),CA434,5)&gt;=$S431,INDEX(INDIRECT(BY431),CA434,6)&gt;=$R431),1,0)</f>
        <v>#REF!</v>
      </c>
      <c r="CC434" s="4" t="e">
        <f t="shared" ref="CC434" ca="1" si="7788">MATCH(1,OFFSET(CB431:CB442,CD433,0,COUNT(CB431:CB442)-CD433),0)</f>
        <v>#REF!</v>
      </c>
      <c r="CD434" s="4" t="e">
        <f t="shared" ca="1" si="7738"/>
        <v>#REF!</v>
      </c>
      <c r="CE434" s="692" t="str" cm="1">
        <f t="array" aca="1" ref="CE434" ca="1">IFERROR(VLOOKUP(INDEX(CA431:CA442,CD434),INDIRECT(BY431),2,FALSE),"----")</f>
        <v>----</v>
      </c>
      <c r="CF434" s="691" t="e">
        <f t="shared" ca="1" si="7739"/>
        <v>#N/A</v>
      </c>
      <c r="CG434" s="4" t="e">
        <f ca="1">IF(AND(INDEX(SSM,CF434,4)&gt;=$AB431,INDEX(SSM,CF434,5)&gt;=$S431,INDEX(SSM,CF434,6)&gt;=$R431),1,0)</f>
        <v>#N/A</v>
      </c>
      <c r="CH434" s="4" t="e">
        <f t="shared" ref="CH434" ca="1" si="7789">MATCH(1,OFFSET(CG431:CG442,CI433,0,COUNT(CG431:CG442)-CI433),0)</f>
        <v>#REF!</v>
      </c>
      <c r="CI434" s="4" t="e">
        <f t="shared" ca="1" si="7741"/>
        <v>#REF!</v>
      </c>
      <c r="CJ434" s="692" t="str">
        <f ca="1">IFERROR(IF(AD432="Nested Steel Stud (wood infill)",VLOOKUP(INDEX(CF431:CF442,CI434),SSW,2,FALSE),VLOOKUP(INDEX(CF431:CF442,CI434),SSM,2,FALSE)),"----")</f>
        <v>----</v>
      </c>
      <c r="CK434" s="691" t="e">
        <f t="shared" ca="1" si="7742"/>
        <v>#N/A</v>
      </c>
      <c r="CL434" s="4" t="e">
        <f ca="1">IF(AND(INDEX(WSM,CK434,4)&gt;=$AB431,INDEX(WSM,CK434,5)&gt;=$S431,INDEX(WSM,CK434,6)&gt;=$R431),1,0)</f>
        <v>#N/A</v>
      </c>
      <c r="CM434" s="4" t="e">
        <f t="shared" ref="CM434" ca="1" si="7790">MATCH(1,OFFSET(CL431:CL442,CN433,0,COUNT(CL431:CL442)-CN433),0)</f>
        <v>#REF!</v>
      </c>
      <c r="CN434" s="4" t="e">
        <f t="shared" ca="1" si="7744"/>
        <v>#REF!</v>
      </c>
      <c r="CO434" s="692" t="str">
        <f ca="1">IFERROR(VLOOKUP(INDEX(CK431:CK442,CN434),WSM,2,FALSE),"----")</f>
        <v>----</v>
      </c>
      <c r="CP434" s="691" t="e">
        <f t="shared" ca="1" si="7745"/>
        <v>#N/A</v>
      </c>
      <c r="CQ434" s="4" t="e">
        <f ca="1">IF(AND(INDEX(STM,CP434,4)&gt;=$AB431,INDEX(STM,CP434,5)&gt;=$S431,INDEX(STM,CP434,6)&gt;=$R431),1,0)</f>
        <v>#N/A</v>
      </c>
      <c r="CR434" s="4" t="e">
        <f t="shared" ref="CR434" ca="1" si="7791">MATCH(1,OFFSET(CQ431:CQ442,CS433,0,COUNT(CQ431:CQ442)-CS433),0)</f>
        <v>#REF!</v>
      </c>
      <c r="CS434" s="4" t="e">
        <f t="shared" ca="1" si="7747"/>
        <v>#REF!</v>
      </c>
      <c r="CT434" s="692" t="str">
        <f ca="1">IFERROR(VLOOKUP(INDEX(CP431:CP442,CS434),STM,2,FALSE),"----")</f>
        <v>----</v>
      </c>
      <c r="CU434" s="691" t="e">
        <f t="shared" ca="1" si="7748"/>
        <v>#N/A</v>
      </c>
      <c r="CV434" s="4" t="e">
        <f ca="1">IF(AND(INDEX(ELM,CU434,4)&gt;=$AB431,INDEX(ELM,CU434,5)&gt;=$S431,INDEX(ELM,CU434,6)&gt;=$R431),1,0)</f>
        <v>#N/A</v>
      </c>
      <c r="CW434" s="4" t="e">
        <f t="shared" ref="CW434" ca="1" si="7792">MATCH(1,OFFSET(CV431:CV442,CX433,0,COUNT(CV431:CV442)-CX433),0)</f>
        <v>#REF!</v>
      </c>
      <c r="CX434" s="4" t="e">
        <f t="shared" ca="1" si="7750"/>
        <v>#REF!</v>
      </c>
      <c r="CY434" s="692" t="str">
        <f ca="1">IFERROR(VLOOKUP(INDEX(CU431:CU442,CX434),ELM,2,FALSE),"----")</f>
        <v>----</v>
      </c>
      <c r="CZ434" s="691" t="e">
        <f t="shared" ca="1" si="7751"/>
        <v>#N/A</v>
      </c>
      <c r="DA434" s="4" t="e">
        <f ca="1">IF(LEFT($J431,7)="Clad Wo",IF(AND(INDEX(SPPWS,CZ434,4)&gt;=$AB431,INDEX(SPPWS,CZ434,5)&gt;=$S431,INDEX(SPPWS,CZ434,6)&gt;=$R431),1,0),IF(AND(INDEX(SPM,CZ434,4)&gt;=$AB431,INDEX(SPM,CZ434,5)&gt;=$S431,INDEX(SPM,CZ434,6)&gt;=$R431),1,0))</f>
        <v>#N/A</v>
      </c>
      <c r="DB434" s="4" t="e">
        <f t="shared" ref="DB434" ca="1" si="7793">MATCH(1,OFFSET(DA431:DA442,DC433,0,COUNT(DA431:DA442)-DC433),0)</f>
        <v>#REF!</v>
      </c>
      <c r="DC434" s="4" t="e">
        <f t="shared" ca="1" si="7753"/>
        <v>#REF!</v>
      </c>
      <c r="DD434" s="693" t="str">
        <f ca="1">IF(LEFT($J431,7)="Clad Wo",IFERROR(VLOOKUP(INDEX(CZ431:CZ442,DC434),SPPWS,2,FALSE),"----"),IFERROR(VLOOKUP(INDEX(CZ431:CZ442,DC434),SPM,2,FALSE),"----"))</f>
        <v>----</v>
      </c>
      <c r="DE434" s="691" t="e">
        <f t="shared" ca="1" si="7754"/>
        <v>#REF!</v>
      </c>
      <c r="DF434" s="4" t="e" cm="1">
        <f t="array" aca="1" ref="DF434" ca="1">IF(AND(INDEX(INDIRECT(BY431),DE434,4)&gt;=$AB437,INDEX(INDIRECT(BY431),DE434,5)&gt;=$S431,INDEX(INDIRECT(BY431),DE434,6)&gt;=$R431),1,0)</f>
        <v>#REF!</v>
      </c>
      <c r="DG434" s="4" t="e">
        <f t="shared" ref="DG434" ca="1" si="7794">MATCH(1,OFFSET(DF431:DF442,DH433,0,COUNT(DF431:DF442)-DH433),0)</f>
        <v>#REF!</v>
      </c>
      <c r="DH434" s="4" t="e">
        <f t="shared" ca="1" si="7756"/>
        <v>#REF!</v>
      </c>
      <c r="DI434" s="692" t="str" cm="1">
        <f t="array" aca="1" ref="DI434" ca="1">IFERROR(VLOOKUP(INDEX(DE431:DE442,DH434),INDIRECT(BY431),2,FALSE),"----")</f>
        <v>----</v>
      </c>
      <c r="DJ434" s="691" t="e">
        <f t="shared" ca="1" si="7757"/>
        <v>#N/A</v>
      </c>
      <c r="DK434" s="4" t="e">
        <f ca="1">IF(AND(INDEX(SSM,DJ434,4)&gt;=$AB437,INDEX(SSM,DJ434,5)&gt;=$S431,INDEX(SSM,DJ434,6)&gt;=$R431),1,0)</f>
        <v>#N/A</v>
      </c>
      <c r="DL434" s="4" t="e">
        <f t="shared" ref="DL434" ca="1" si="7795">MATCH(1,OFFSET(DK431:DK442,DM433,0,COUNT(DK431:DK442)-DM433),0)</f>
        <v>#REF!</v>
      </c>
      <c r="DM434" s="4" t="e">
        <f t="shared" ca="1" si="7759"/>
        <v>#REF!</v>
      </c>
      <c r="DN434" s="692" t="str">
        <f ca="1">IFERROR(IF(AD438="Nested Steel Stud (wood infill)",VLOOKUP(INDEX(DJ431:DJ442,DM434),SSW,2,FALSE),VLOOKUP(INDEX(DJ431:DJ442,DM434),SSM,2,FALSE)),"----")</f>
        <v>----</v>
      </c>
      <c r="DO434" s="691" t="e">
        <f t="shared" ca="1" si="7760"/>
        <v>#N/A</v>
      </c>
      <c r="DP434" s="4" t="e">
        <f ca="1">IF(AND(INDEX(WSM,DO434,4)&gt;=$AB437,INDEX(WSM,DO434,5)&gt;=$S431,INDEX(WSM,DO434,6)&gt;=$R431),1,0)</f>
        <v>#N/A</v>
      </c>
      <c r="DQ434" s="4" t="e">
        <f t="shared" ref="DQ434" ca="1" si="7796">MATCH(1,OFFSET(DP431:DP442,DR433,0,COUNT(DP431:DP442)-DR433),0)</f>
        <v>#REF!</v>
      </c>
      <c r="DR434" s="4" t="e">
        <f t="shared" ca="1" si="7762"/>
        <v>#REF!</v>
      </c>
      <c r="DS434" s="692" t="str">
        <f ca="1">IFERROR(VLOOKUP(INDEX(DO431:DO442,DR434),WSM,2,FALSE),"----")</f>
        <v>----</v>
      </c>
      <c r="DT434" s="691" t="e">
        <f t="shared" ca="1" si="7763"/>
        <v>#N/A</v>
      </c>
      <c r="DU434" s="4" t="e">
        <f ca="1">IF(AND(INDEX(STM,DT434,4)&gt;=$AB437,INDEX(STM,DT434,5)&gt;=$S431,INDEX(STM,DT434,6)&gt;=$R431),1,0)</f>
        <v>#N/A</v>
      </c>
      <c r="DV434" s="4" t="e">
        <f t="shared" ref="DV434" ca="1" si="7797">MATCH(1,OFFSET(DU431:DU442,DW433,0,COUNT(DU431:DU442)-DW433),0)</f>
        <v>#REF!</v>
      </c>
      <c r="DW434" s="4" t="e">
        <f t="shared" ca="1" si="7765"/>
        <v>#REF!</v>
      </c>
      <c r="DX434" s="692" t="str">
        <f ca="1">IFERROR(VLOOKUP(INDEX(DT431:DT442,DW434),STM,2,FALSE),"----")</f>
        <v>----</v>
      </c>
      <c r="DY434" s="691" t="e">
        <f t="shared" ca="1" si="7766"/>
        <v>#N/A</v>
      </c>
      <c r="DZ434" s="4" t="e">
        <f ca="1">IF(AND(INDEX(ELM,DY434,4)&gt;=$AB437,INDEX(ELM,DY434,5)&gt;=$S431,INDEX(ELM,DY434,6)&gt;=$R431),1,0)</f>
        <v>#N/A</v>
      </c>
      <c r="EA434" s="4" t="e">
        <f t="shared" ref="EA434" ca="1" si="7798">MATCH(1,OFFSET(DZ431:DZ442,EB433,0,COUNT(DZ431:DZ442)-EB433),0)</f>
        <v>#REF!</v>
      </c>
      <c r="EB434" s="4" t="e">
        <f t="shared" ca="1" si="7768"/>
        <v>#REF!</v>
      </c>
      <c r="EC434" s="692" t="str">
        <f ca="1">IFERROR(VLOOKUP(INDEX(DY431:DY442,EB434),ELM,2,FALSE),"----")</f>
        <v>----</v>
      </c>
      <c r="ED434" s="691" t="e">
        <f t="shared" ca="1" si="7769"/>
        <v>#N/A</v>
      </c>
      <c r="EE434" s="4" t="e">
        <f ca="1">IF(LEFT($J431,7)="Clad Wo",IF(AND(INDEX(SPPWS,ED434,4)&gt;=$AB437,INDEX(SPPWS,ED434,5)&gt;=$S431,INDEX(SPPWS,ED434,6)&gt;=$R431),1,0),IF(AND(INDEX(SPM,ED434,4)&gt;=$AB437,INDEX(SPM,ED434,5)&gt;=$S431,INDEX(SPM,ED434,6)&gt;=$R431),1,0))</f>
        <v>#N/A</v>
      </c>
      <c r="EF434" s="4" t="e">
        <f t="shared" ref="EF434" ca="1" si="7799">MATCH(1,OFFSET(EE431:EE442,EG433,0,COUNT(EE431:EE442)-EG433),0)</f>
        <v>#REF!</v>
      </c>
      <c r="EG434" s="4" t="e">
        <f t="shared" ca="1" si="7771"/>
        <v>#REF!</v>
      </c>
      <c r="EH434" s="692" t="str">
        <f ca="1">IF(LEFT($J431,7)="Clad Wo",IFERROR(VLOOKUP(INDEX(ED431:ED442,EG434),SPPWS,2,FALSE),"----"),IFERROR(VLOOKUP(INDEX(ED431:ED442,EG434),SPM,2,FALSE),"----"))</f>
        <v>----</v>
      </c>
    </row>
    <row r="435" spans="1:138" ht="15" customHeight="1" x14ac:dyDescent="0.25">
      <c r="A435" s="1085"/>
      <c r="B435" s="925"/>
      <c r="C435" s="926"/>
      <c r="D435" s="927"/>
      <c r="E435" s="995"/>
      <c r="F435" s="996"/>
      <c r="G435" s="997"/>
      <c r="H435" s="1062"/>
      <c r="I435" s="990"/>
      <c r="J435" s="910"/>
      <c r="K435" s="911"/>
      <c r="L435" s="1002"/>
      <c r="M435" s="923"/>
      <c r="N435" s="1042"/>
      <c r="O435" s="1018"/>
      <c r="P435" s="987"/>
      <c r="Q435" s="1015"/>
      <c r="R435" s="1012"/>
      <c r="S435" s="1006"/>
      <c r="T435" s="1007"/>
      <c r="U435" s="878"/>
      <c r="V435" s="881"/>
      <c r="W435" s="884"/>
      <c r="X435" s="884"/>
      <c r="Y435" s="887"/>
      <c r="Z435" s="887"/>
      <c r="AA435" s="887"/>
      <c r="AB435" s="1081"/>
      <c r="AC435" s="1078"/>
      <c r="AD435" s="1070" t="s">
        <v>39</v>
      </c>
      <c r="AE435" s="1071"/>
      <c r="AF435" s="1052"/>
      <c r="AG435" s="1053"/>
      <c r="AH435" s="1053"/>
      <c r="AI435" s="1068"/>
      <c r="AJ435" s="1069"/>
      <c r="AK435" s="154" t="str">
        <f t="shared" ca="1" si="7482"/>
        <v/>
      </c>
      <c r="AL435" s="1039"/>
      <c r="AM435" s="344" t="str">
        <f ca="1">IFERROR(Q431/12*ROUND(VLOOKUP(AF435,OFFSET(ELM,0,1),6,FALSE),2),"")</f>
        <v/>
      </c>
      <c r="AN435" t="str">
        <f t="shared" ca="1" si="7532"/>
        <v/>
      </c>
      <c r="AP435" s="122" t="str">
        <f t="shared" ref="AP435" si="7800">_xlfn.CONCAT(AR435,AS436)</f>
        <v/>
      </c>
      <c r="AQ435" s="683" t="str">
        <f t="shared" si="7698"/>
        <v/>
      </c>
      <c r="AR435" s="4" t="str">
        <f t="shared" si="7457"/>
        <v/>
      </c>
      <c r="AS435" s="4"/>
      <c r="AT435" s="697" t="str">
        <f>AL431</f>
        <v/>
      </c>
      <c r="AU435" s="694" t="e">
        <f t="shared" ca="1" si="7724"/>
        <v>#REF!</v>
      </c>
      <c r="AV435" s="698" t="str">
        <f ca="1">IFERROR(VLOOKUP(AU435,INDIRECT(AQ431),2,FALSE),"----")</f>
        <v>----</v>
      </c>
      <c r="AW435" s="694" t="e">
        <f t="shared" ca="1" si="7725"/>
        <v>#REF!</v>
      </c>
      <c r="AX435" s="698" t="str">
        <f ca="1">IFERROR(VLOOKUP(AW435,INDIRECT(AQ432),2,FALSE),"----")</f>
        <v>----</v>
      </c>
      <c r="AY435" s="694" t="e">
        <f t="shared" ref="AY435" ca="1" si="7801">AY434-1</f>
        <v>#REF!</v>
      </c>
      <c r="AZ435" s="698" t="str">
        <f ca="1">IFERROR(VLOOKUP(AY435,INDIRECT(AQ433),2,FALSE),"----")</f>
        <v>----</v>
      </c>
      <c r="BA435" s="694" t="e">
        <f t="shared" ref="BA435" ca="1" si="7802">BA434-1</f>
        <v>#REF!</v>
      </c>
      <c r="BB435" s="698" t="str">
        <f ca="1">IFERROR(VLOOKUP(BA435,INDIRECT(AQ434),2,FALSE),"----")</f>
        <v>----</v>
      </c>
      <c r="BC435" s="694" t="e">
        <f t="shared" ca="1" si="7728"/>
        <v>#REF!</v>
      </c>
      <c r="BD435" s="698" t="str">
        <f ca="1">IFERROR(VLOOKUP(BC435,INDIRECT(AQ435),2,FALSE),"----")</f>
        <v>----</v>
      </c>
      <c r="BE435" s="694" t="e">
        <f t="shared" ca="1" si="7729"/>
        <v>#REF!</v>
      </c>
      <c r="BF435" s="698" t="str">
        <f ca="1">IFERROR(VLOOKUP(BE435,INDIRECT(AQ436),2,FALSE),"----")</f>
        <v>----</v>
      </c>
      <c r="BG435" s="694" t="e">
        <f t="shared" ca="1" si="7730"/>
        <v>#REF!</v>
      </c>
      <c r="BH435" s="686" t="str">
        <f ca="1">IFERROR(VLOOKUP(BG435,INDIRECT(AQ437),2,FALSE),"----")</f>
        <v>----</v>
      </c>
      <c r="BI435" s="694" t="e">
        <f t="shared" ca="1" si="7731"/>
        <v>#REF!</v>
      </c>
      <c r="BJ435" s="686" t="str">
        <f ca="1">IFERROR(VLOOKUP(BI435,INDIRECT(AQ438),2,FALSE),"----")</f>
        <v>----</v>
      </c>
      <c r="BK435" s="694" t="e">
        <f t="shared" ca="1" si="7732"/>
        <v>#REF!</v>
      </c>
      <c r="BL435" s="686" t="str">
        <f ca="1">IFERROR(VLOOKUP(BK435,INDIRECT(AQ439),2,FALSE),"----")</f>
        <v>----</v>
      </c>
      <c r="BM435" s="694" t="e">
        <f t="shared" ca="1" si="7733"/>
        <v>#REF!</v>
      </c>
      <c r="BN435" s="686" t="str">
        <f ca="1">IFERROR(VLOOKUP(BM435,INDIRECT(AQ440),2,FALSE),"----")</f>
        <v>----</v>
      </c>
      <c r="BO435" s="694" t="e">
        <f t="shared" ca="1" si="7734"/>
        <v>#REF!</v>
      </c>
      <c r="BP435" s="686" t="str">
        <f ca="1">IFERROR(VLOOKUP(BO435,INDIRECT(AQ441),2,FALSE),"----")</f>
        <v>----</v>
      </c>
      <c r="BQ435" s="694" t="e">
        <f t="shared" ca="1" si="7735"/>
        <v>#REF!</v>
      </c>
      <c r="BR435" s="686" t="str">
        <f ca="1">IFERROR(VLOOKUP(BQ435,INDIRECT(AQ442),2,FALSE),"----")</f>
        <v>----</v>
      </c>
      <c r="BS435" s="695">
        <f>IF(AI435="",1,IF(COUNTIF(BD431:BD442,AI435)=0,2,1))</f>
        <v>1</v>
      </c>
      <c r="BT435" s="696">
        <f>IF(AF435="",1,IF(BD431=".",2,1))</f>
        <v>1</v>
      </c>
      <c r="BU435" s="706"/>
      <c r="BV435" s="155">
        <f ca="1">IF(COUNTIF(CY431:CY442,AF435)=0,IF(AF435&lt;&gt;"",0,1),1)</f>
        <v>1</v>
      </c>
      <c r="BW435" s="157">
        <f ca="1">IFERROR(MATCH(AF435,CY431:CY442,0),1)</f>
        <v>1</v>
      </c>
      <c r="BX435" s="769"/>
      <c r="BY435" s="769"/>
      <c r="BZ435" s="1110"/>
      <c r="CA435" s="691" t="e">
        <f t="shared" ca="1" si="7736"/>
        <v>#REF!</v>
      </c>
      <c r="CB435" s="4" t="e" cm="1">
        <f t="array" aca="1" ref="CB435" ca="1">IF(AND(INDEX(INDIRECT(BY431),CA435,4)&gt;=$AB431,INDEX(INDIRECT(BY431),CA435,5)&gt;=$S431,INDEX(INDIRECT(BY431),CA435,6)&gt;=$R431),1,0)</f>
        <v>#REF!</v>
      </c>
      <c r="CC435" s="4" t="e">
        <f t="shared" ref="CC435" ca="1" si="7803">MATCH(1,OFFSET(CB431:CB442,CD434,0,COUNT(CB431:CB442)-CD434),0)</f>
        <v>#REF!</v>
      </c>
      <c r="CD435" s="4" t="e">
        <f t="shared" ca="1" si="7738"/>
        <v>#REF!</v>
      </c>
      <c r="CE435" s="692" t="str" cm="1">
        <f t="array" aca="1" ref="CE435" ca="1">IFERROR(VLOOKUP(INDEX(CA431:CA442,CD435),INDIRECT(BY431),2,FALSE),"----")</f>
        <v>----</v>
      </c>
      <c r="CF435" s="691" t="e">
        <f t="shared" ca="1" si="7739"/>
        <v>#N/A</v>
      </c>
      <c r="CG435" s="4" t="e">
        <f ca="1">IF(AND(INDEX(SSM,CF435,4)&gt;=$AB431,INDEX(SSM,CF435,5)&gt;=$S431,INDEX(SSM,CF435,6)&gt;=$R431),1,0)</f>
        <v>#N/A</v>
      </c>
      <c r="CH435" s="4" t="e">
        <f t="shared" ref="CH435" ca="1" si="7804">MATCH(1,OFFSET(CG431:CG442,CI434,0,COUNT(CG431:CG442)-CI434),0)</f>
        <v>#REF!</v>
      </c>
      <c r="CI435" s="4" t="e">
        <f t="shared" ca="1" si="7741"/>
        <v>#REF!</v>
      </c>
      <c r="CJ435" s="692" t="str">
        <f ca="1">IFERROR(IF(AD432="Nested Steel Stud (wood infill)",VLOOKUP(INDEX(CF431:CF442,CI435),SSW,2,FALSE),VLOOKUP(INDEX(CF431:CF442,CI435),SSM,2,FALSE)),"----")</f>
        <v>----</v>
      </c>
      <c r="CK435" s="691" t="e">
        <f t="shared" ca="1" si="7742"/>
        <v>#N/A</v>
      </c>
      <c r="CL435" s="4" t="e">
        <f ca="1">IF(AND(INDEX(WSM,CK435,4)&gt;=$AB431,INDEX(WSM,CK435,5)&gt;=$S431,INDEX(WSM,CK435,6)&gt;=$R431),1,0)</f>
        <v>#N/A</v>
      </c>
      <c r="CM435" s="4" t="e">
        <f t="shared" ref="CM435" ca="1" si="7805">MATCH(1,OFFSET(CL431:CL442,CN434,0,COUNT(CL431:CL442)-CN434),0)</f>
        <v>#REF!</v>
      </c>
      <c r="CN435" s="4" t="e">
        <f t="shared" ca="1" si="7744"/>
        <v>#REF!</v>
      </c>
      <c r="CO435" s="692" t="str">
        <f ca="1">IFERROR(VLOOKUP(INDEX(CK431:CK442,CN435),WSM,2,FALSE),"----")</f>
        <v>----</v>
      </c>
      <c r="CP435" s="691" t="e">
        <f t="shared" ca="1" si="7745"/>
        <v>#N/A</v>
      </c>
      <c r="CQ435" s="4" t="e">
        <f ca="1">IF(AND(INDEX(STM,CP435,4)&gt;=$AB431,INDEX(STM,CP435,5)&gt;=$S431,INDEX(STM,CP435,6)&gt;=$R431),1,0)</f>
        <v>#N/A</v>
      </c>
      <c r="CR435" s="4" t="e">
        <f t="shared" ref="CR435" ca="1" si="7806">MATCH(1,OFFSET(CQ431:CQ442,CS434,0,COUNT(CQ431:CQ442)-CS434),0)</f>
        <v>#REF!</v>
      </c>
      <c r="CS435" s="4" t="e">
        <f t="shared" ca="1" si="7747"/>
        <v>#REF!</v>
      </c>
      <c r="CT435" s="692" t="str">
        <f ca="1">IFERROR(VLOOKUP(INDEX(CP431:CP442,CS435),STM,2,FALSE),"----")</f>
        <v>----</v>
      </c>
      <c r="CU435" s="691" t="e">
        <f t="shared" ca="1" si="7748"/>
        <v>#N/A</v>
      </c>
      <c r="CV435" s="4" t="e">
        <f ca="1">IF(AND(INDEX(ELM,CU435,4)&gt;=$AB431,INDEX(ELM,CU435,5)&gt;=$S431,INDEX(ELM,CU435,6)&gt;=$R431),1,0)</f>
        <v>#N/A</v>
      </c>
      <c r="CW435" s="4" t="e">
        <f t="shared" ref="CW435" ca="1" si="7807">MATCH(1,OFFSET(CV431:CV442,CX434,0,COUNT(CV431:CV442)-CX434),0)</f>
        <v>#REF!</v>
      </c>
      <c r="CX435" s="4" t="e">
        <f t="shared" ca="1" si="7750"/>
        <v>#REF!</v>
      </c>
      <c r="CY435" s="692" t="str">
        <f ca="1">IFERROR(VLOOKUP(INDEX(CU431:CU442,CX435),ELM,2,FALSE),"----")</f>
        <v>----</v>
      </c>
      <c r="CZ435" s="691" t="e">
        <f t="shared" ca="1" si="7751"/>
        <v>#N/A</v>
      </c>
      <c r="DA435" s="4" t="e">
        <f ca="1">IF(LEFT($J431,7)="Clad Wo",IF(AND(INDEX(SPPWS,CZ435,4)&gt;=$AB431,INDEX(SPPWS,CZ435,5)&gt;=$S431,INDEX(SPPWS,CZ435,6)&gt;=$R431),1,0),IF(AND(INDEX(SPM,CZ435,4)&gt;=$AB431,INDEX(SPM,CZ435,5)&gt;=$S431,INDEX(SPM,CZ435,6)&gt;=$R431),1,0))</f>
        <v>#N/A</v>
      </c>
      <c r="DB435" s="4" t="e">
        <f t="shared" ref="DB435" ca="1" si="7808">MATCH(1,OFFSET(DA431:DA442,DC434,0,COUNT(DA431:DA442)-DC434),0)</f>
        <v>#REF!</v>
      </c>
      <c r="DC435" s="4" t="e">
        <f t="shared" ca="1" si="7753"/>
        <v>#REF!</v>
      </c>
      <c r="DD435" s="693" t="str">
        <f ca="1">IF(LEFT($J431,7)="Clad Wo",IFERROR(VLOOKUP(INDEX(CZ431:CZ442,DC435),SPPWS,2,FALSE),"----"),IFERROR(VLOOKUP(INDEX(CZ431:CZ442,DC435),SPM,2,FALSE),"----"))</f>
        <v>----</v>
      </c>
      <c r="DE435" s="691" t="e">
        <f t="shared" ca="1" si="7754"/>
        <v>#REF!</v>
      </c>
      <c r="DF435" s="4" t="e" cm="1">
        <f t="array" aca="1" ref="DF435" ca="1">IF(AND(INDEX(INDIRECT(BY431),DE435,4)&gt;=$AB437,INDEX(INDIRECT(BY431),DE435,5)&gt;=$S431,INDEX(INDIRECT(BY431),DE435,6)&gt;=$R431),1,0)</f>
        <v>#REF!</v>
      </c>
      <c r="DG435" s="4" t="e">
        <f t="shared" ref="DG435" ca="1" si="7809">MATCH(1,OFFSET(DF431:DF442,DH434,0,COUNT(DF431:DF442)-DH434),0)</f>
        <v>#REF!</v>
      </c>
      <c r="DH435" s="4" t="e">
        <f t="shared" ca="1" si="7756"/>
        <v>#REF!</v>
      </c>
      <c r="DI435" s="692" t="str" cm="1">
        <f t="array" aca="1" ref="DI435" ca="1">IFERROR(VLOOKUP(INDEX(DE431:DE442,DH435),INDIRECT(BY431),2,FALSE),"----")</f>
        <v>----</v>
      </c>
      <c r="DJ435" s="691" t="e">
        <f t="shared" ca="1" si="7757"/>
        <v>#N/A</v>
      </c>
      <c r="DK435" s="4" t="e">
        <f ca="1">IF(AND(INDEX(SSM,DJ435,4)&gt;=$AB437,INDEX(SSM,DJ435,5)&gt;=$S431,INDEX(SSM,DJ435,6)&gt;=$R431),1,0)</f>
        <v>#N/A</v>
      </c>
      <c r="DL435" s="4" t="e">
        <f t="shared" ref="DL435" ca="1" si="7810">MATCH(1,OFFSET(DK431:DK442,DM434,0,COUNT(DK431:DK442)-DM434),0)</f>
        <v>#REF!</v>
      </c>
      <c r="DM435" s="4" t="e">
        <f t="shared" ca="1" si="7759"/>
        <v>#REF!</v>
      </c>
      <c r="DN435" s="692" t="str">
        <f ca="1">IFERROR(IF(AD438="Nested Steel Stud (wood infill)",VLOOKUP(INDEX(DJ431:DJ442,DM435),SSW,2,FALSE),VLOOKUP(INDEX(DJ431:DJ442,DM435),SSM,2,FALSE)),"----")</f>
        <v>----</v>
      </c>
      <c r="DO435" s="691" t="e">
        <f t="shared" ca="1" si="7760"/>
        <v>#N/A</v>
      </c>
      <c r="DP435" s="4" t="e">
        <f ca="1">IF(AND(INDEX(WSM,DO435,4)&gt;=$AB437,INDEX(WSM,DO435,5)&gt;=$S431,INDEX(WSM,DO435,6)&gt;=$R431),1,0)</f>
        <v>#N/A</v>
      </c>
      <c r="DQ435" s="4" t="e">
        <f t="shared" ref="DQ435" ca="1" si="7811">MATCH(1,OFFSET(DP431:DP442,DR434,0,COUNT(DP431:DP442)-DR434),0)</f>
        <v>#REF!</v>
      </c>
      <c r="DR435" s="4" t="e">
        <f t="shared" ca="1" si="7762"/>
        <v>#REF!</v>
      </c>
      <c r="DS435" s="692" t="str">
        <f ca="1">IFERROR(VLOOKUP(INDEX(DO431:DO442,DR435),WSM,2,FALSE),"----")</f>
        <v>----</v>
      </c>
      <c r="DT435" s="691" t="e">
        <f t="shared" ca="1" si="7763"/>
        <v>#N/A</v>
      </c>
      <c r="DU435" s="4" t="e">
        <f ca="1">IF(AND(INDEX(STM,DT435,4)&gt;=$AB437,INDEX(STM,DT435,5)&gt;=$S431,INDEX(STM,DT435,6)&gt;=$R431),1,0)</f>
        <v>#N/A</v>
      </c>
      <c r="DV435" s="4" t="e">
        <f t="shared" ref="DV435" ca="1" si="7812">MATCH(1,OFFSET(DU431:DU442,DW434,0,COUNT(DU431:DU442)-DW434),0)</f>
        <v>#REF!</v>
      </c>
      <c r="DW435" s="4" t="e">
        <f t="shared" ca="1" si="7765"/>
        <v>#REF!</v>
      </c>
      <c r="DX435" s="692" t="str">
        <f ca="1">IFERROR(VLOOKUP(INDEX(DT431:DT442,DW435),STM,2,FALSE),"----")</f>
        <v>----</v>
      </c>
      <c r="DY435" s="691" t="e">
        <f t="shared" ca="1" si="7766"/>
        <v>#N/A</v>
      </c>
      <c r="DZ435" s="4" t="e">
        <f ca="1">IF(AND(INDEX(ELM,DY435,4)&gt;=$AB437,INDEX(ELM,DY435,5)&gt;=$S431,INDEX(ELM,DY435,6)&gt;=$R431),1,0)</f>
        <v>#N/A</v>
      </c>
      <c r="EA435" s="4" t="e">
        <f t="shared" ref="EA435" ca="1" si="7813">MATCH(1,OFFSET(DZ431:DZ442,EB434,0,COUNT(DZ431:DZ442)-EB434),0)</f>
        <v>#REF!</v>
      </c>
      <c r="EB435" s="4" t="e">
        <f t="shared" ca="1" si="7768"/>
        <v>#REF!</v>
      </c>
      <c r="EC435" s="692" t="str">
        <f ca="1">IFERROR(VLOOKUP(INDEX(DY431:DY442,EB435),ELM,2,FALSE),"----")</f>
        <v>----</v>
      </c>
      <c r="ED435" s="691" t="e">
        <f t="shared" ca="1" si="7769"/>
        <v>#N/A</v>
      </c>
      <c r="EE435" s="4" t="e">
        <f ca="1">IF(LEFT($J431,7)="Clad Wo",IF(AND(INDEX(SPPWS,ED435,4)&gt;=$AB437,INDEX(SPPWS,ED435,5)&gt;=$S431,INDEX(SPPWS,ED435,6)&gt;=$R431),1,0),IF(AND(INDEX(SPM,ED435,4)&gt;=$AB437,INDEX(SPM,ED435,5)&gt;=$S431,INDEX(SPM,ED435,6)&gt;=$R431),1,0))</f>
        <v>#N/A</v>
      </c>
      <c r="EF435" s="4" t="e">
        <f t="shared" ref="EF435" ca="1" si="7814">MATCH(1,OFFSET(EE431:EE442,EG434,0,COUNT(EE431:EE442)-EG434),0)</f>
        <v>#REF!</v>
      </c>
      <c r="EG435" s="4" t="e">
        <f t="shared" ca="1" si="7771"/>
        <v>#REF!</v>
      </c>
      <c r="EH435" s="692" t="str">
        <f ca="1">IF(LEFT($J431,7)="Clad Wo",IFERROR(VLOOKUP(INDEX(ED431:ED442,EG435),SPPWS,2,FALSE),"----"),IFERROR(VLOOKUP(INDEX(ED431:ED442,EG435),SPM,2,FALSE),"----"))</f>
        <v>----</v>
      </c>
    </row>
    <row r="436" spans="1:138" ht="15" customHeight="1" thickBot="1" x14ac:dyDescent="0.3">
      <c r="A436" s="1085"/>
      <c r="B436" s="934"/>
      <c r="C436" s="935"/>
      <c r="D436" s="936"/>
      <c r="E436" s="995"/>
      <c r="F436" s="996"/>
      <c r="G436" s="997"/>
      <c r="H436" s="1062"/>
      <c r="I436" s="990"/>
      <c r="J436" s="908"/>
      <c r="K436" s="909"/>
      <c r="L436" s="1010"/>
      <c r="M436" s="924"/>
      <c r="N436" s="1044"/>
      <c r="O436" s="1018"/>
      <c r="P436" s="987"/>
      <c r="Q436" s="1015"/>
      <c r="R436" s="1012"/>
      <c r="S436" s="1006"/>
      <c r="T436" s="1007"/>
      <c r="U436" s="878"/>
      <c r="V436" s="881"/>
      <c r="W436" s="889"/>
      <c r="X436" s="884"/>
      <c r="Y436" s="890"/>
      <c r="Z436" s="890"/>
      <c r="AA436" s="887"/>
      <c r="AB436" s="1084"/>
      <c r="AC436" s="1079"/>
      <c r="AD436" s="1072" t="str">
        <f t="shared" ref="AD436" si="7815">IF(LEFT(J431,7)="Clad Wo","Pella Wood Spr / Steel Pte","Steel Plate")</f>
        <v>Steel Plate</v>
      </c>
      <c r="AE436" s="1073"/>
      <c r="AF436" s="1054"/>
      <c r="AG436" s="1055"/>
      <c r="AH436" s="1055"/>
      <c r="AI436" s="1092"/>
      <c r="AJ436" s="1093"/>
      <c r="AK436" s="159" t="str">
        <f t="shared" ca="1" si="7482"/>
        <v/>
      </c>
      <c r="AL436" s="1040"/>
      <c r="AM436" s="345" t="str">
        <f ca="1">IFERROR(Q431/12*ROUND(VLOOKUP(AF436,OFFSET(SPM,0,1),6,FALSE),2),"")</f>
        <v/>
      </c>
      <c r="AN436" t="str">
        <f t="shared" ca="1" si="7532"/>
        <v/>
      </c>
      <c r="AP436" s="699" t="str">
        <f t="shared" ref="AP436" si="7816">_xlfn.CONCAT(AR436,AS436)</f>
        <v/>
      </c>
      <c r="AQ436" s="700" t="str">
        <f t="shared" si="7698"/>
        <v/>
      </c>
      <c r="AR436" s="160" t="str">
        <f t="shared" si="7457"/>
        <v/>
      </c>
      <c r="AS436" s="160" t="str">
        <f>IFERROR(VLOOKUP(J439, WallType,2,FALSE),"")</f>
        <v/>
      </c>
      <c r="AT436" s="701" t="str">
        <f>AL431</f>
        <v/>
      </c>
      <c r="AU436" s="694" t="e">
        <f t="shared" ca="1" si="7724"/>
        <v>#REF!</v>
      </c>
      <c r="AV436" s="698" t="str">
        <f ca="1">IFERROR(VLOOKUP(AU436,INDIRECT(AQ431),2,FALSE),"----")</f>
        <v>----</v>
      </c>
      <c r="AW436" s="702" t="e">
        <f t="shared" ca="1" si="7725"/>
        <v>#REF!</v>
      </c>
      <c r="AX436" s="698" t="str">
        <f ca="1">IFERROR(VLOOKUP(AW436,INDIRECT(AQ432),2,FALSE),"----")</f>
        <v>----</v>
      </c>
      <c r="AY436" s="702" t="e">
        <f t="shared" ref="AY436:AY451" ca="1" si="7817">AY435-1</f>
        <v>#REF!</v>
      </c>
      <c r="AZ436" s="698" t="str">
        <f ca="1">IFERROR(VLOOKUP(AY436,INDIRECT(AQ433),2,FALSE),"----")</f>
        <v>----</v>
      </c>
      <c r="BA436" s="702" t="e">
        <f t="shared" ref="BA436:BA451" ca="1" si="7818">BA435-1</f>
        <v>#REF!</v>
      </c>
      <c r="BB436" s="698" t="str">
        <f ca="1">IFERROR(VLOOKUP(BA436,INDIRECT(AQ434),2,FALSE),"----")</f>
        <v>----</v>
      </c>
      <c r="BC436" s="702" t="e">
        <f t="shared" ca="1" si="7728"/>
        <v>#REF!</v>
      </c>
      <c r="BD436" s="698" t="str">
        <f ca="1">IFERROR(VLOOKUP(BC436,INDIRECT(AQ435),2,FALSE),"----")</f>
        <v>----</v>
      </c>
      <c r="BE436" s="702" t="e">
        <f t="shared" ca="1" si="7729"/>
        <v>#REF!</v>
      </c>
      <c r="BF436" s="698" t="str">
        <f ca="1">IFERROR(VLOOKUP(BE436,INDIRECT(AQ436),2,FALSE),"----")</f>
        <v>----</v>
      </c>
      <c r="BG436" s="702" t="e">
        <f t="shared" ca="1" si="7730"/>
        <v>#REF!</v>
      </c>
      <c r="BH436" s="686" t="str">
        <f ca="1">IFERROR(VLOOKUP(BG436,INDIRECT(AQ437),2,FALSE),"----")</f>
        <v>----</v>
      </c>
      <c r="BI436" s="702" t="e">
        <f t="shared" ca="1" si="7731"/>
        <v>#REF!</v>
      </c>
      <c r="BJ436" s="686" t="str">
        <f ca="1">IFERROR(VLOOKUP(BI436,INDIRECT(AQ438),2,FALSE),"----")</f>
        <v>----</v>
      </c>
      <c r="BK436" s="702" t="e">
        <f t="shared" ca="1" si="7732"/>
        <v>#REF!</v>
      </c>
      <c r="BL436" s="686" t="str">
        <f ca="1">IFERROR(VLOOKUP(BK436,INDIRECT(AQ439),2,FALSE),"----")</f>
        <v>----</v>
      </c>
      <c r="BM436" s="702" t="e">
        <f t="shared" ca="1" si="7733"/>
        <v>#REF!</v>
      </c>
      <c r="BN436" s="686" t="str">
        <f ca="1">IFERROR(VLOOKUP(BM436,INDIRECT(AQ440),2,FALSE),"----")</f>
        <v>----</v>
      </c>
      <c r="BO436" s="702" t="e">
        <f t="shared" ca="1" si="7734"/>
        <v>#REF!</v>
      </c>
      <c r="BP436" s="686" t="str">
        <f ca="1">IFERROR(VLOOKUP(BO436,INDIRECT(AQ441),2,FALSE),"----")</f>
        <v>----</v>
      </c>
      <c r="BQ436" s="702" t="e">
        <f t="shared" ca="1" si="7735"/>
        <v>#REF!</v>
      </c>
      <c r="BR436" s="686" t="str">
        <f ca="1">IFERROR(VLOOKUP(BQ436,INDIRECT(AQ442),2,FALSE),"----")</f>
        <v>----</v>
      </c>
      <c r="BS436" s="703">
        <f>IF(AI436="",1,IF(COUNTIF(BF431:BF442,AI436)=0,2,1))</f>
        <v>1</v>
      </c>
      <c r="BT436" s="704">
        <f>IF(AF436="",1,IF(BF431=".",2,1))</f>
        <v>1</v>
      </c>
      <c r="BV436" s="155">
        <f ca="1">IF(COUNTIF(DD431:DD442,AF436)=0,IF(AF436&lt;&gt;"",0,1),1)</f>
        <v>1</v>
      </c>
      <c r="BW436" s="157">
        <f ca="1">IFERROR(MATCH(AF436,DD431:DD442,0),1)</f>
        <v>1</v>
      </c>
      <c r="BX436" s="875" t="s">
        <v>1594</v>
      </c>
      <c r="BY436" s="876"/>
      <c r="BZ436" s="1110"/>
      <c r="CA436" s="691" t="e">
        <f t="shared" ca="1" si="7736"/>
        <v>#REF!</v>
      </c>
      <c r="CB436" s="4" t="e" cm="1">
        <f t="array" aca="1" ref="CB436" ca="1">IF(AND(INDEX(INDIRECT(BY431),CA436,4)&gt;=$AB431,INDEX(INDIRECT(BY431),CA436,5)&gt;=$S431,INDEX(INDIRECT(BY431),CA436,6)&gt;=$R431),1,0)</f>
        <v>#REF!</v>
      </c>
      <c r="CC436" s="4" t="e">
        <f t="shared" ref="CC436" ca="1" si="7819">MATCH(1,OFFSET(CB431:CB442,CD435,0,COUNT(CB431:CB442)-CD435),0)</f>
        <v>#REF!</v>
      </c>
      <c r="CD436" s="4" t="e">
        <f t="shared" ca="1" si="7738"/>
        <v>#REF!</v>
      </c>
      <c r="CE436" s="692" t="str" cm="1">
        <f t="array" aca="1" ref="CE436" ca="1">IFERROR(VLOOKUP(INDEX(CA431:CA442,CD436),INDIRECT(BY431),2,FALSE),"----")</f>
        <v>----</v>
      </c>
      <c r="CF436" s="691" t="e">
        <f t="shared" ca="1" si="7739"/>
        <v>#N/A</v>
      </c>
      <c r="CG436" s="4" t="e">
        <f ca="1">IF(AND(INDEX(SSM,CF436,4)&gt;=$AB431,INDEX(SSM,CF436,5)&gt;=$S431,INDEX(SSM,CF436,6)&gt;=$R431),1,0)</f>
        <v>#N/A</v>
      </c>
      <c r="CH436" s="4" t="e">
        <f t="shared" ref="CH436" ca="1" si="7820">MATCH(1,OFFSET(CG431:CG442,CI435,0,COUNT(CG431:CG442)-CI435),0)</f>
        <v>#REF!</v>
      </c>
      <c r="CI436" s="4" t="e">
        <f t="shared" ca="1" si="7741"/>
        <v>#REF!</v>
      </c>
      <c r="CJ436" s="692" t="str">
        <f ca="1">IFERROR(IF(AD432="Nested Steel Stud (wood infill)",VLOOKUP(INDEX(CF431:CF442,CI436),SSW,2,FALSE),VLOOKUP(INDEX(CF431:CF442,CI436),SSM,2,FALSE)),"----")</f>
        <v>----</v>
      </c>
      <c r="CK436" s="691" t="e">
        <f t="shared" ca="1" si="7742"/>
        <v>#N/A</v>
      </c>
      <c r="CL436" s="4" t="e">
        <f ca="1">IF(AND(INDEX(WSM,CK436,4)&gt;=$AB431,INDEX(WSM,CK436,5)&gt;=$S431,INDEX(WSM,CK436,6)&gt;=$R431),1,0)</f>
        <v>#N/A</v>
      </c>
      <c r="CM436" s="4" t="e">
        <f t="shared" ref="CM436" ca="1" si="7821">MATCH(1,OFFSET(CL431:CL442,CN435,0,COUNT(CL431:CL442)-CN435),0)</f>
        <v>#REF!</v>
      </c>
      <c r="CN436" s="4" t="e">
        <f t="shared" ca="1" si="7744"/>
        <v>#REF!</v>
      </c>
      <c r="CO436" s="692" t="str">
        <f ca="1">IFERROR(VLOOKUP(INDEX(CK431:CK442,CN436),WSM,2,FALSE),"----")</f>
        <v>----</v>
      </c>
      <c r="CP436" s="691" t="e">
        <f t="shared" ca="1" si="7745"/>
        <v>#N/A</v>
      </c>
      <c r="CQ436" s="4" t="e">
        <f ca="1">IF(AND(INDEX(STM,CP436,4)&gt;=$AB431,INDEX(STM,CP436,5)&gt;=$S431,INDEX(STM,CP436,6)&gt;=$R431),1,0)</f>
        <v>#N/A</v>
      </c>
      <c r="CR436" s="4" t="e">
        <f t="shared" ref="CR436" ca="1" si="7822">MATCH(1,OFFSET(CQ431:CQ442,CS435,0,COUNT(CQ431:CQ442)-CS435),0)</f>
        <v>#REF!</v>
      </c>
      <c r="CS436" s="4" t="e">
        <f t="shared" ca="1" si="7747"/>
        <v>#REF!</v>
      </c>
      <c r="CT436" s="692" t="str">
        <f ca="1">IFERROR(VLOOKUP(INDEX(CP431:CP442,CS436),STM,2,FALSE),"----")</f>
        <v>----</v>
      </c>
      <c r="CU436" s="691" t="e">
        <f t="shared" ca="1" si="7748"/>
        <v>#N/A</v>
      </c>
      <c r="CV436" s="4" t="e">
        <f ca="1">IF(AND(INDEX(ELM,CU436,4)&gt;=$AB431,INDEX(ELM,CU436,5)&gt;=$S431,INDEX(ELM,CU436,6)&gt;=$R431),1,0)</f>
        <v>#N/A</v>
      </c>
      <c r="CW436" s="4" t="e">
        <f t="shared" ref="CW436" ca="1" si="7823">MATCH(1,OFFSET(CV431:CV442,CX435,0,COUNT(CV431:CV442)-CX435),0)</f>
        <v>#REF!</v>
      </c>
      <c r="CX436" s="4" t="e">
        <f t="shared" ca="1" si="7750"/>
        <v>#REF!</v>
      </c>
      <c r="CY436" s="692" t="str">
        <f ca="1">IFERROR(VLOOKUP(INDEX(CU431:CU442,CX436),ELM,2,FALSE),"----")</f>
        <v>----</v>
      </c>
      <c r="CZ436" s="691" t="e">
        <f t="shared" ca="1" si="7751"/>
        <v>#N/A</v>
      </c>
      <c r="DA436" s="4" t="e">
        <f ca="1">IF(LEFT($J431,7)="Clad Wo",IF(AND(INDEX(SPPWS,CZ436,4)&gt;=$AB431,INDEX(SPPWS,CZ436,5)&gt;=$S431,INDEX(SPPWS,CZ436,6)&gt;=$R431),1,0),IF(AND(INDEX(SPM,CZ436,4)&gt;=$AB431,INDEX(SPM,CZ436,5)&gt;=$S431,INDEX(SPM,CZ436,6)&gt;=$R431),1,0))</f>
        <v>#N/A</v>
      </c>
      <c r="DB436" s="4" t="e">
        <f t="shared" ref="DB436" ca="1" si="7824">MATCH(1,OFFSET(DA431:DA442,DC435,0,COUNT(DA431:DA442)-DC435),0)</f>
        <v>#REF!</v>
      </c>
      <c r="DC436" s="4" t="e">
        <f t="shared" ca="1" si="7753"/>
        <v>#REF!</v>
      </c>
      <c r="DD436" s="693" t="str">
        <f ca="1">IF(LEFT($J431,7)="Clad Wo",IFERROR(VLOOKUP(INDEX(CZ431:CZ442,DC436),SPPWS,2,FALSE),"----"),IFERROR(VLOOKUP(INDEX(CZ431:CZ442,DC436),SPM,2,FALSE),"----"))</f>
        <v>----</v>
      </c>
      <c r="DE436" s="691" t="e">
        <f t="shared" ca="1" si="7754"/>
        <v>#REF!</v>
      </c>
      <c r="DF436" s="4" t="e" cm="1">
        <f t="array" aca="1" ref="DF436" ca="1">IF(AND(INDEX(INDIRECT(BY431),DE436,4)&gt;=$AB437,INDEX(INDIRECT(BY431),DE436,5)&gt;=$S431,INDEX(INDIRECT(BY431),DE436,6)&gt;=$R431),1,0)</f>
        <v>#REF!</v>
      </c>
      <c r="DG436" s="4" t="e">
        <f t="shared" ref="DG436" ca="1" si="7825">MATCH(1,OFFSET(DF431:DF442,DH435,0,COUNT(DF431:DF442)-DH435),0)</f>
        <v>#REF!</v>
      </c>
      <c r="DH436" s="4" t="e">
        <f t="shared" ca="1" si="7756"/>
        <v>#REF!</v>
      </c>
      <c r="DI436" s="692" t="str" cm="1">
        <f t="array" aca="1" ref="DI436" ca="1">IFERROR(VLOOKUP(INDEX(DE431:DE442,DH436),INDIRECT(BY431),2,FALSE),"----")</f>
        <v>----</v>
      </c>
      <c r="DJ436" s="691" t="e">
        <f t="shared" ca="1" si="7757"/>
        <v>#N/A</v>
      </c>
      <c r="DK436" s="4" t="e">
        <f ca="1">IF(AND(INDEX(SSM,DJ436,4)&gt;=$AB437,INDEX(SSM,DJ436,5)&gt;=$S431,INDEX(SSM,DJ436,6)&gt;=$R431),1,0)</f>
        <v>#N/A</v>
      </c>
      <c r="DL436" s="4" t="e">
        <f t="shared" ref="DL436" ca="1" si="7826">MATCH(1,OFFSET(DK431:DK442,DM435,0,COUNT(DK431:DK442)-DM435),0)</f>
        <v>#REF!</v>
      </c>
      <c r="DM436" s="4" t="e">
        <f t="shared" ca="1" si="7759"/>
        <v>#REF!</v>
      </c>
      <c r="DN436" s="692" t="str">
        <f ca="1">IFERROR(IF(AD438="Nested Steel Stud (wood infill)",VLOOKUP(INDEX(DJ431:DJ442,DM436),SSW,2,FALSE),VLOOKUP(INDEX(DJ431:DJ442,DM436),SSM,2,FALSE)),"----")</f>
        <v>----</v>
      </c>
      <c r="DO436" s="691" t="e">
        <f t="shared" ca="1" si="7760"/>
        <v>#N/A</v>
      </c>
      <c r="DP436" s="4" t="e">
        <f ca="1">IF(AND(INDEX(WSM,DO436,4)&gt;=$AB437,INDEX(WSM,DO436,5)&gt;=$S431,INDEX(WSM,DO436,6)&gt;=$R431),1,0)</f>
        <v>#N/A</v>
      </c>
      <c r="DQ436" s="4" t="e">
        <f t="shared" ref="DQ436" ca="1" si="7827">MATCH(1,OFFSET(DP431:DP442,DR435,0,COUNT(DP431:DP442)-DR435),0)</f>
        <v>#REF!</v>
      </c>
      <c r="DR436" s="4" t="e">
        <f t="shared" ca="1" si="7762"/>
        <v>#REF!</v>
      </c>
      <c r="DS436" s="692" t="str">
        <f ca="1">IFERROR(VLOOKUP(INDEX(DO431:DO442,DR436),WSM,2,FALSE),"----")</f>
        <v>----</v>
      </c>
      <c r="DT436" s="691" t="e">
        <f t="shared" ca="1" si="7763"/>
        <v>#N/A</v>
      </c>
      <c r="DU436" s="4" t="e">
        <f ca="1">IF(AND(INDEX(STM,DT436,4)&gt;=$AB437,INDEX(STM,DT436,5)&gt;=$S431,INDEX(STM,DT436,6)&gt;=$R431),1,0)</f>
        <v>#N/A</v>
      </c>
      <c r="DV436" s="4" t="e">
        <f t="shared" ref="DV436" ca="1" si="7828">MATCH(1,OFFSET(DU431:DU442,DW435,0,COUNT(DU431:DU442)-DW435),0)</f>
        <v>#REF!</v>
      </c>
      <c r="DW436" s="4" t="e">
        <f t="shared" ca="1" si="7765"/>
        <v>#REF!</v>
      </c>
      <c r="DX436" s="692" t="str">
        <f ca="1">IFERROR(VLOOKUP(INDEX(DT431:DT442,DW436),STM,2,FALSE),"----")</f>
        <v>----</v>
      </c>
      <c r="DY436" s="691" t="e">
        <f t="shared" ca="1" si="7766"/>
        <v>#N/A</v>
      </c>
      <c r="DZ436" s="4" t="e">
        <f ca="1">IF(AND(INDEX(ELM,DY436,4)&gt;=$AB437,INDEX(ELM,DY436,5)&gt;=$S431,INDEX(ELM,DY436,6)&gt;=$R431),1,0)</f>
        <v>#N/A</v>
      </c>
      <c r="EA436" s="4" t="e">
        <f t="shared" ref="EA436" ca="1" si="7829">MATCH(1,OFFSET(DZ431:DZ442,EB435,0,COUNT(DZ431:DZ442)-EB435),0)</f>
        <v>#REF!</v>
      </c>
      <c r="EB436" s="4" t="e">
        <f t="shared" ca="1" si="7768"/>
        <v>#REF!</v>
      </c>
      <c r="EC436" s="692" t="str">
        <f ca="1">IFERROR(VLOOKUP(INDEX(DY431:DY442,EB436),ELM,2,FALSE),"----")</f>
        <v>----</v>
      </c>
      <c r="ED436" s="691" t="e">
        <f t="shared" ca="1" si="7769"/>
        <v>#N/A</v>
      </c>
      <c r="EE436" s="4" t="e">
        <f ca="1">IF(LEFT($J431,7)="Clad Wo",IF(AND(INDEX(SPPWS,ED436,4)&gt;=$AB437,INDEX(SPPWS,ED436,5)&gt;=$S431,INDEX(SPPWS,ED436,6)&gt;=$R431),1,0),IF(AND(INDEX(SPM,ED436,4)&gt;=$AB437,INDEX(SPM,ED436,5)&gt;=$S431,INDEX(SPM,ED436,6)&gt;=$R431),1,0))</f>
        <v>#N/A</v>
      </c>
      <c r="EF436" s="4" t="e">
        <f t="shared" ref="EF436" ca="1" si="7830">MATCH(1,OFFSET(EE431:EE442,EG435,0,COUNT(EE431:EE442)-EG435),0)</f>
        <v>#REF!</v>
      </c>
      <c r="EG436" s="4" t="e">
        <f t="shared" ca="1" si="7771"/>
        <v>#REF!</v>
      </c>
      <c r="EH436" s="692" t="str">
        <f ca="1">IF(LEFT($J431,7)="Clad Wo",IFERROR(VLOOKUP(INDEX(ED431:ED442,EG436),SPPWS,2,FALSE),"----"),IFERROR(VLOOKUP(INDEX(ED431:ED442,EG436),SPM,2,FALSE),"----"))</f>
        <v>----</v>
      </c>
    </row>
    <row r="437" spans="1:138" ht="15" customHeight="1" x14ac:dyDescent="0.25">
      <c r="A437" s="1085"/>
      <c r="B437" s="925" t="s">
        <v>409</v>
      </c>
      <c r="C437" s="926"/>
      <c r="D437" s="927"/>
      <c r="E437" s="995"/>
      <c r="F437" s="996"/>
      <c r="G437" s="997"/>
      <c r="H437" s="1062"/>
      <c r="I437" s="990"/>
      <c r="J437" s="908"/>
      <c r="K437" s="909"/>
      <c r="L437" s="1001">
        <f>L431+1</f>
        <v>5</v>
      </c>
      <c r="M437" s="1064" t="str">
        <f t="shared" ref="M437" si="7831">IFERROR(IF($AE$17="",IF($AG$19="Wind Loading",MIN($V$31,IF(E$11="ASCE 7-05",$U$26,$V$7)*$V$9*(IF($E$12&lt;60,0.156*LN(MAX(MIN(500,O431),10)) -1.7618,IF($E$11="ASCE 7-22", 0.2026*LN(MAX(MIN(500,O431),20))-2.2638,0.2503*LN(MAX(MIN(500,O431),20)) -2.5526))-$V$8)),$V$7*IF(E$12&lt;60,$V$13*($V$15*(0.156*LN(MAX(MIN(500,O431),10)) -1.7618)-$V$16),$V$13*$V$15*((0.2026*LN(MAX(MIN(500,O431),20))-2.2638)-$V$16))),-ABS($AE$17)),"")</f>
        <v/>
      </c>
      <c r="N437" s="1041" t="str">
        <f t="shared" ref="N437" si="7832">IFERROR(IF($AE$19="",IF($AG$19="Wind Loading",MAX($U$31,IF(E$11="ASCE 7-05",$U$26,$V$7)*$V$9*((IF($E$12&lt;60,-0.077*LN(MAX(MIN(500,O431),10))+1.1737,IF($E$11="ASCE 7-22",-0.077*LN(MAX(MIN(500,O431),20))+1.0798,-0.093*LN(MAX(MIN(500,O431),20))+1.1776)))+$V$8)),$V$7*IF(E$12&lt;60,$V$13*($V$15*(-0.077*LN(MAX(MIN(500,O431),10))+1.1737)-$V$17),$V$13*$V$15*((-0.077*LN(MAX(MIN(500,O431),20))+1.0798)-$V$17))),ABS($AE$19)),"")</f>
        <v/>
      </c>
      <c r="O437" s="1018"/>
      <c r="P437" s="987"/>
      <c r="Q437" s="1015"/>
      <c r="R437" s="1012">
        <f>P437*Q437/8</f>
        <v>0</v>
      </c>
      <c r="S437" s="1006"/>
      <c r="T437" s="1007"/>
      <c r="U437" s="878"/>
      <c r="V437" s="881"/>
      <c r="W437" s="883" t="e">
        <f t="shared" ref="W437" si="7833">MAX(-M437,N437)*O431</f>
        <v>#VALUE!</v>
      </c>
      <c r="X437" s="884"/>
      <c r="Y437" s="886">
        <f>IFERROR(IF(AG$14="Trapezoidal",BY440,BX440)+IF($E$17="4",(400*E431^3)/(48*X431),0),0)</f>
        <v>0</v>
      </c>
      <c r="Z437" s="886" t="e">
        <f t="shared" ref="Z437" si="7834">+($V431*MAX(-$M437,$N437)*$E431^2)/(144*8)+IF($E$17=4,(400*$E431)/4,0)</f>
        <v>#VALUE!</v>
      </c>
      <c r="AA437" s="887"/>
      <c r="AB437" s="1080" t="str">
        <f t="shared" ref="AB437" ca="1" si="7835">IFERROR(Z437-AA431,"")</f>
        <v/>
      </c>
      <c r="AC437" s="1086" t="str">
        <f t="shared" ref="AC437" ca="1" si="7836">IFERROR(Y437-U431,"")</f>
        <v/>
      </c>
      <c r="AD437" s="1074" t="str">
        <f t="shared" ref="AD437" si="7837">AD431</f>
        <v/>
      </c>
      <c r="AE437" s="1075"/>
      <c r="AF437" s="1056"/>
      <c r="AG437" s="1057"/>
      <c r="AH437" s="1057"/>
      <c r="AI437" s="1088"/>
      <c r="AJ437" s="1089"/>
      <c r="AK437" s="162" t="str">
        <f t="shared" ca="1" si="7482"/>
        <v/>
      </c>
      <c r="AL437" s="1058" t="str">
        <f t="shared" ref="AL437" si="7838">IFERROR(ROUND(SQRT(P431^2+(W437/2+IF($E$17=4,200,0))^2),0),"")</f>
        <v/>
      </c>
      <c r="AM437" s="342" t="s">
        <v>669</v>
      </c>
      <c r="AN437" t="str">
        <f t="shared" ca="1" si="7532"/>
        <v/>
      </c>
      <c r="AP437" s="122" t="str">
        <f t="shared" ref="AP437" si="7839">_xlfn.CONCAT(AR437,AS442)</f>
        <v/>
      </c>
      <c r="AQ437" s="683" t="str">
        <f t="shared" si="7698"/>
        <v/>
      </c>
      <c r="AR437" s="96" t="str">
        <f t="shared" si="7457"/>
        <v/>
      </c>
      <c r="AS437" s="96" t="str">
        <f>IF(COUNTIF(imp_1,AF437)=1,"imp_1",IF(COUNTIF(imp_2,AF437)=1,"imp_2",IF(COUNTIF(imp_3,AF437)=1,"imp_3",IF(COUNTIF(impdoor,AF437)=1,"impdoor",""))))</f>
        <v/>
      </c>
      <c r="AT437" s="684" t="str">
        <f>AL437</f>
        <v/>
      </c>
      <c r="AU437" s="685" t="e">
        <f t="shared" ca="1" si="7724"/>
        <v>#REF!</v>
      </c>
      <c r="AV437" s="686" t="str">
        <f ca="1">IFERROR(VLOOKUP(AU437,INDIRECT(AQ431),2,FALSE),"----")</f>
        <v>----</v>
      </c>
      <c r="AW437" s="685" t="e">
        <f t="shared" ca="1" si="7725"/>
        <v>#REF!</v>
      </c>
      <c r="AX437" s="686" t="str">
        <f ca="1">IFERROR(VLOOKUP(AW437,INDIRECT(AQ432),2,FALSE),"----")</f>
        <v>----</v>
      </c>
      <c r="AY437" s="685" t="e">
        <f t="shared" ca="1" si="7817"/>
        <v>#REF!</v>
      </c>
      <c r="AZ437" s="686" t="str">
        <f ca="1">IFERROR(VLOOKUP(AY437,INDIRECT(AQ433),2,FALSE),"----")</f>
        <v>----</v>
      </c>
      <c r="BA437" s="685" t="e">
        <f t="shared" ca="1" si="7818"/>
        <v>#REF!</v>
      </c>
      <c r="BB437" s="686" t="str">
        <f ca="1">IFERROR(VLOOKUP(BA437,INDIRECT(AQ434),2,FALSE),"----")</f>
        <v>----</v>
      </c>
      <c r="BC437" s="685" t="e">
        <f t="shared" ca="1" si="7728"/>
        <v>#REF!</v>
      </c>
      <c r="BD437" s="686" t="str">
        <f ca="1">IFERROR(VLOOKUP(BC437,INDIRECT(AQ435),2,FALSE),"----")</f>
        <v>----</v>
      </c>
      <c r="BE437" s="685" t="e">
        <f t="shared" ca="1" si="7729"/>
        <v>#REF!</v>
      </c>
      <c r="BF437" s="686" t="str">
        <f ca="1">IFERROR(VLOOKUP(BE437,INDIRECT(AQ436),2,FALSE),"----")</f>
        <v>----</v>
      </c>
      <c r="BG437" s="702" t="e">
        <f t="shared" ca="1" si="7730"/>
        <v>#REF!</v>
      </c>
      <c r="BH437" s="686" t="str">
        <f ca="1">IFERROR(VLOOKUP(BG437,INDIRECT(AQ437),2,FALSE),"----")</f>
        <v>----</v>
      </c>
      <c r="BI437" s="702" t="e">
        <f t="shared" ca="1" si="7731"/>
        <v>#REF!</v>
      </c>
      <c r="BJ437" s="686" t="str">
        <f ca="1">IFERROR(VLOOKUP(BI437,INDIRECT(AQ438),2,FALSE),"----")</f>
        <v>----</v>
      </c>
      <c r="BK437" s="702" t="e">
        <f t="shared" ca="1" si="7732"/>
        <v>#REF!</v>
      </c>
      <c r="BL437" s="686" t="str">
        <f ca="1">IFERROR(VLOOKUP(BK437,INDIRECT(AQ439),2,FALSE),"----")</f>
        <v>----</v>
      </c>
      <c r="BM437" s="702" t="e">
        <f t="shared" ca="1" si="7733"/>
        <v>#REF!</v>
      </c>
      <c r="BN437" s="686" t="str">
        <f ca="1">IFERROR(VLOOKUP(BM437,INDIRECT(AQ440),2,FALSE),"----")</f>
        <v>----</v>
      </c>
      <c r="BO437" s="702" t="e">
        <f t="shared" ca="1" si="7734"/>
        <v>#REF!</v>
      </c>
      <c r="BP437" s="686" t="str">
        <f ca="1">IFERROR(VLOOKUP(BO437,INDIRECT(AQ441),2,FALSE),"----")</f>
        <v>----</v>
      </c>
      <c r="BQ437" s="702" t="e">
        <f t="shared" ca="1" si="7735"/>
        <v>#REF!</v>
      </c>
      <c r="BR437" s="686" t="str">
        <f ca="1">IFERROR(VLOOKUP(BQ437,INDIRECT(AQ442),2,FALSE),"----")</f>
        <v>----</v>
      </c>
      <c r="BS437" s="695">
        <f>IF(AI437="",1,IF(COUNTIF(BH431:BH442,AI437)=0,2,1))</f>
        <v>1</v>
      </c>
      <c r="BT437" s="696">
        <f>IF(AP437="1",1,IF(AF437="",1,IF(BH431=".",2,1)))</f>
        <v>1</v>
      </c>
      <c r="BU437" s="706"/>
      <c r="BV437" s="155">
        <f ca="1">IF(COUNTIF(DI431:DI442,AF437)=0,IF(AF437&lt;&gt;"",0,1),1)</f>
        <v>1</v>
      </c>
      <c r="BW437" s="157">
        <f ca="1">IFERROR(MATCH(AF437,DI431:DI442,0),1)</f>
        <v>1</v>
      </c>
      <c r="BX437" s="769" t="s">
        <v>1593</v>
      </c>
      <c r="BY437" s="769" t="s">
        <v>1629</v>
      </c>
      <c r="BZ437" s="1110"/>
      <c r="CA437" s="691" t="e">
        <f t="shared" ca="1" si="7736"/>
        <v>#REF!</v>
      </c>
      <c r="CB437" s="4" t="e" cm="1">
        <f t="array" aca="1" ref="CB437" ca="1">IF(AND(INDEX(INDIRECT(BY431),CA437,4)&gt;=$AB431,INDEX(INDIRECT(BY431),CA437,5)&gt;=$S431,INDEX(INDIRECT(BY431),CA437,6)&gt;=$R431),1,0)</f>
        <v>#REF!</v>
      </c>
      <c r="CC437" s="4" t="e">
        <f t="shared" ref="CC437" ca="1" si="7840">MATCH(1,OFFSET(CB431:CB442,CD436,0,COUNT(CB431:CB442)-CD436),0)</f>
        <v>#REF!</v>
      </c>
      <c r="CD437" s="4" t="e">
        <f t="shared" ca="1" si="7738"/>
        <v>#REF!</v>
      </c>
      <c r="CE437" s="692" t="str" cm="1">
        <f t="array" aca="1" ref="CE437" ca="1">IFERROR(VLOOKUP(INDEX(CA431:CA442,CD437),INDIRECT(BY431),2,FALSE),"----")</f>
        <v>----</v>
      </c>
      <c r="CF437" s="691" t="e">
        <f t="shared" ca="1" si="7739"/>
        <v>#N/A</v>
      </c>
      <c r="CG437" s="4" t="e">
        <f ca="1">IF(AND(INDEX(SSM,CF437,4)&gt;=$AB431,INDEX(SSM,CF437,5)&gt;=$S431,INDEX(SSM,CF437,6)&gt;=$R431),1,0)</f>
        <v>#N/A</v>
      </c>
      <c r="CH437" s="4" t="e">
        <f t="shared" ref="CH437" ca="1" si="7841">MATCH(1,OFFSET(CG431:CG442,CI436,0,COUNT(CG431:CG442)-CI436),0)</f>
        <v>#REF!</v>
      </c>
      <c r="CI437" s="4" t="e">
        <f t="shared" ca="1" si="7741"/>
        <v>#REF!</v>
      </c>
      <c r="CJ437" s="692" t="str">
        <f ca="1">IFERROR(IF(AD432="Nested Steel Stud (wood infill)",VLOOKUP(INDEX(CF431:CF442,CI437),SSW,2,FALSE),VLOOKUP(INDEX(CF431:CF442,CI437),SSM,2,FALSE)),"----")</f>
        <v>----</v>
      </c>
      <c r="CK437" s="691" t="e">
        <f t="shared" ca="1" si="7742"/>
        <v>#N/A</v>
      </c>
      <c r="CL437" s="4" t="e">
        <f ca="1">IF(AND(INDEX(WSM,CK437,4)&gt;=$AB431,INDEX(WSM,CK437,5)&gt;=$S431,INDEX(WSM,CK437,6)&gt;=$R431),1,0)</f>
        <v>#N/A</v>
      </c>
      <c r="CM437" s="4" t="e">
        <f t="shared" ref="CM437" ca="1" si="7842">MATCH(1,OFFSET(CL431:CL442,CN436,0,COUNT(CL431:CL442)-CN436),0)</f>
        <v>#REF!</v>
      </c>
      <c r="CN437" s="4" t="e">
        <f t="shared" ca="1" si="7744"/>
        <v>#REF!</v>
      </c>
      <c r="CO437" s="692" t="str">
        <f ca="1">IFERROR(VLOOKUP(INDEX(CK431:CK442,CN437),WSM,2,FALSE),"----")</f>
        <v>----</v>
      </c>
      <c r="CP437" s="691" t="e">
        <f t="shared" ca="1" si="7745"/>
        <v>#N/A</v>
      </c>
      <c r="CQ437" s="4" t="e">
        <f ca="1">IF(AND(INDEX(STM,CP437,4)&gt;=$AB431,INDEX(STM,CP437,5)&gt;=$S431,INDEX(STM,CP437,6)&gt;=$R431),1,0)</f>
        <v>#N/A</v>
      </c>
      <c r="CR437" s="4" t="e">
        <f t="shared" ref="CR437" ca="1" si="7843">MATCH(1,OFFSET(CQ431:CQ442,CS436,0,COUNT(CQ431:CQ442)-CS436),0)</f>
        <v>#REF!</v>
      </c>
      <c r="CS437" s="4" t="e">
        <f t="shared" ca="1" si="7747"/>
        <v>#REF!</v>
      </c>
      <c r="CT437" s="692" t="str">
        <f ca="1">IFERROR(VLOOKUP(INDEX(CP431:CP442,CS437),STM,2,FALSE),"----")</f>
        <v>----</v>
      </c>
      <c r="CU437" s="691" t="e">
        <f t="shared" ca="1" si="7748"/>
        <v>#N/A</v>
      </c>
      <c r="CV437" s="4" t="e">
        <f ca="1">IF(AND(INDEX(ELM,CU437,4)&gt;=$AB431,INDEX(ELM,CU437,5)&gt;=$S431,INDEX(ELM,CU437,6)&gt;=$R431),1,0)</f>
        <v>#N/A</v>
      </c>
      <c r="CW437" s="4" t="e">
        <f t="shared" ref="CW437" ca="1" si="7844">MATCH(1,OFFSET(CV431:CV442,CX436,0,COUNT(CV431:CV442)-CX436),0)</f>
        <v>#REF!</v>
      </c>
      <c r="CX437" s="4" t="e">
        <f t="shared" ca="1" si="7750"/>
        <v>#REF!</v>
      </c>
      <c r="CY437" s="692" t="str">
        <f ca="1">IFERROR(VLOOKUP(INDEX(CU431:CU442,CX437),ELM,2,FALSE),"----")</f>
        <v>----</v>
      </c>
      <c r="CZ437" s="691" t="e">
        <f t="shared" ca="1" si="7751"/>
        <v>#N/A</v>
      </c>
      <c r="DA437" s="4" t="e">
        <f ca="1">IF(LEFT($J431,7)="Clad Wo",IF(AND(INDEX(SPPWS,CZ437,4)&gt;=$AB431,INDEX(SPPWS,CZ437,5)&gt;=$S431,INDEX(SPPWS,CZ437,6)&gt;=$R431),1,0),IF(AND(INDEX(SPM,CZ437,4)&gt;=$AB431,INDEX(SPM,CZ437,5)&gt;=$S431,INDEX(SPM,CZ437,6)&gt;=$R431),1,0))</f>
        <v>#N/A</v>
      </c>
      <c r="DB437" s="4" t="e">
        <f t="shared" ref="DB437" ca="1" si="7845">MATCH(1,OFFSET(DA431:DA442,DC436,0,COUNT(DA431:DA442)-DC436),0)</f>
        <v>#REF!</v>
      </c>
      <c r="DC437" s="4" t="e">
        <f t="shared" ca="1" si="7753"/>
        <v>#REF!</v>
      </c>
      <c r="DD437" s="693" t="str">
        <f ca="1">IF(LEFT($J431,7)="Clad Wo",IFERROR(VLOOKUP(INDEX(CZ431:CZ442,DC437),SPPWS,2,FALSE),"----"),IFERROR(VLOOKUP(INDEX(CZ431:CZ442,DC437),SPM,2,FALSE),"----"))</f>
        <v>----</v>
      </c>
      <c r="DE437" s="691" t="e">
        <f t="shared" ca="1" si="7754"/>
        <v>#REF!</v>
      </c>
      <c r="DF437" s="4" t="e" cm="1">
        <f t="array" aca="1" ref="DF437" ca="1">IF(AND(INDEX(INDIRECT(BY431),DE437,4)&gt;=$AB437,INDEX(INDIRECT(BY431),DE437,5)&gt;=$S431,INDEX(INDIRECT(BY431),DE437,6)&gt;=$R431),1,0)</f>
        <v>#REF!</v>
      </c>
      <c r="DG437" s="4" t="e">
        <f t="shared" ref="DG437" ca="1" si="7846">MATCH(1,OFFSET(DF431:DF442,DH436,0,COUNT(DF431:DF442)-DH436),0)</f>
        <v>#REF!</v>
      </c>
      <c r="DH437" s="4" t="e">
        <f t="shared" ca="1" si="7756"/>
        <v>#REF!</v>
      </c>
      <c r="DI437" s="692" t="str" cm="1">
        <f t="array" aca="1" ref="DI437" ca="1">IFERROR(VLOOKUP(INDEX(DE431:DE442,DH437),INDIRECT(BY431),2,FALSE),"----")</f>
        <v>----</v>
      </c>
      <c r="DJ437" s="691" t="e">
        <f t="shared" ca="1" si="7757"/>
        <v>#N/A</v>
      </c>
      <c r="DK437" s="4" t="e">
        <f ca="1">IF(AND(INDEX(SSM,DJ437,4)&gt;=$AB437,INDEX(SSM,DJ437,5)&gt;=$S431,INDEX(SSM,DJ437,6)&gt;=$R431),1,0)</f>
        <v>#N/A</v>
      </c>
      <c r="DL437" s="4" t="e">
        <f t="shared" ref="DL437" ca="1" si="7847">MATCH(1,OFFSET(DK431:DK442,DM436,0,COUNT(DK431:DK442)-DM436),0)</f>
        <v>#REF!</v>
      </c>
      <c r="DM437" s="4" t="e">
        <f t="shared" ca="1" si="7759"/>
        <v>#REF!</v>
      </c>
      <c r="DN437" s="692" t="str">
        <f ca="1">IFERROR(IF(AD438="Nested Steel Stud (wood infill)",VLOOKUP(INDEX(DJ431:DJ442,DM437),SSW,2,FALSE),VLOOKUP(INDEX(DJ431:DJ442,DM437),SSM,2,FALSE)),"----")</f>
        <v>----</v>
      </c>
      <c r="DO437" s="691" t="e">
        <f t="shared" ca="1" si="7760"/>
        <v>#N/A</v>
      </c>
      <c r="DP437" s="4" t="e">
        <f ca="1">IF(AND(INDEX(WSM,DO437,4)&gt;=$AB437,INDEX(WSM,DO437,5)&gt;=$S431,INDEX(WSM,DO437,6)&gt;=$R431),1,0)</f>
        <v>#N/A</v>
      </c>
      <c r="DQ437" s="4" t="e">
        <f t="shared" ref="DQ437" ca="1" si="7848">MATCH(1,OFFSET(DP431:DP442,DR436,0,COUNT(DP431:DP442)-DR436),0)</f>
        <v>#REF!</v>
      </c>
      <c r="DR437" s="4" t="e">
        <f t="shared" ca="1" si="7762"/>
        <v>#REF!</v>
      </c>
      <c r="DS437" s="692" t="str">
        <f ca="1">IFERROR(VLOOKUP(INDEX(DO431:DO442,DR437),WSM,2,FALSE),"----")</f>
        <v>----</v>
      </c>
      <c r="DT437" s="691" t="e">
        <f t="shared" ca="1" si="7763"/>
        <v>#N/A</v>
      </c>
      <c r="DU437" s="4" t="e">
        <f ca="1">IF(AND(INDEX(STM,DT437,4)&gt;=$AB437,INDEX(STM,DT437,5)&gt;=$S431,INDEX(STM,DT437,6)&gt;=$R431),1,0)</f>
        <v>#N/A</v>
      </c>
      <c r="DV437" s="4" t="e">
        <f t="shared" ref="DV437" ca="1" si="7849">MATCH(1,OFFSET(DU431:DU442,DW436,0,COUNT(DU431:DU442)-DW436),0)</f>
        <v>#REF!</v>
      </c>
      <c r="DW437" s="4" t="e">
        <f t="shared" ca="1" si="7765"/>
        <v>#REF!</v>
      </c>
      <c r="DX437" s="692" t="str">
        <f ca="1">IFERROR(VLOOKUP(INDEX(DT431:DT442,DW437),STM,2,FALSE),"----")</f>
        <v>----</v>
      </c>
      <c r="DY437" s="691" t="e">
        <f t="shared" ca="1" si="7766"/>
        <v>#N/A</v>
      </c>
      <c r="DZ437" s="4" t="e">
        <f ca="1">IF(AND(INDEX(ELM,DY437,4)&gt;=$AB437,INDEX(ELM,DY437,5)&gt;=$S431,INDEX(ELM,DY437,6)&gt;=$R431),1,0)</f>
        <v>#N/A</v>
      </c>
      <c r="EA437" s="4" t="e">
        <f t="shared" ref="EA437" ca="1" si="7850">MATCH(1,OFFSET(DZ431:DZ442,EB436,0,COUNT(DZ431:DZ442)-EB436),0)</f>
        <v>#REF!</v>
      </c>
      <c r="EB437" s="4" t="e">
        <f t="shared" ca="1" si="7768"/>
        <v>#REF!</v>
      </c>
      <c r="EC437" s="692" t="str">
        <f ca="1">IFERROR(VLOOKUP(INDEX(DY431:DY442,EB437),ELM,2,FALSE),"----")</f>
        <v>----</v>
      </c>
      <c r="ED437" s="691" t="e">
        <f t="shared" ca="1" si="7769"/>
        <v>#N/A</v>
      </c>
      <c r="EE437" s="4" t="e">
        <f ca="1">IF(LEFT($J431,7)="Clad Wo",IF(AND(INDEX(SPPWS,ED437,4)&gt;=$AB437,INDEX(SPPWS,ED437,5)&gt;=$S431,INDEX(SPPWS,ED437,6)&gt;=$R431),1,0),IF(AND(INDEX(SPM,ED437,4)&gt;=$AB437,INDEX(SPM,ED437,5)&gt;=$S431,INDEX(SPM,ED437,6)&gt;=$R431),1,0))</f>
        <v>#N/A</v>
      </c>
      <c r="EF437" s="4" t="e">
        <f t="shared" ref="EF437" ca="1" si="7851">MATCH(1,OFFSET(EE431:EE442,EG436,0,COUNT(EE431:EE442)-EG436),0)</f>
        <v>#REF!</v>
      </c>
      <c r="EG437" s="4" t="e">
        <f t="shared" ca="1" si="7771"/>
        <v>#REF!</v>
      </c>
      <c r="EH437" s="692" t="str">
        <f ca="1">IF(LEFT($J431,7)="Clad Wo",IFERROR(VLOOKUP(INDEX(ED431:ED442,EG437),SPPWS,2,FALSE),"----"),IFERROR(VLOOKUP(INDEX(ED431:ED442,EG437),SPM,2,FALSE),"----"))</f>
        <v>----</v>
      </c>
    </row>
    <row r="438" spans="1:138" ht="15" customHeight="1" x14ac:dyDescent="0.25">
      <c r="A438" s="1085"/>
      <c r="B438" s="925"/>
      <c r="C438" s="926"/>
      <c r="D438" s="927"/>
      <c r="E438" s="995"/>
      <c r="F438" s="996"/>
      <c r="G438" s="997"/>
      <c r="H438" s="1062"/>
      <c r="I438" s="990"/>
      <c r="J438" s="912"/>
      <c r="K438" s="913"/>
      <c r="L438" s="1002"/>
      <c r="M438" s="923"/>
      <c r="N438" s="1042"/>
      <c r="O438" s="1018"/>
      <c r="P438" s="987"/>
      <c r="Q438" s="1015"/>
      <c r="R438" s="1012"/>
      <c r="S438" s="1006"/>
      <c r="T438" s="1007"/>
      <c r="U438" s="878"/>
      <c r="V438" s="881"/>
      <c r="W438" s="884"/>
      <c r="X438" s="884"/>
      <c r="Y438" s="887"/>
      <c r="Z438" s="887"/>
      <c r="AA438" s="887"/>
      <c r="AB438" s="1081"/>
      <c r="AC438" s="1078"/>
      <c r="AD438" s="1070" t="str">
        <f t="shared" ref="AD438" si="7852">IF(ISBLANK(AD432)=TRUE,"",AD432)</f>
        <v>Nested Steel Stud</v>
      </c>
      <c r="AE438" s="1071"/>
      <c r="AF438" s="1052"/>
      <c r="AG438" s="1053"/>
      <c r="AH438" s="1053"/>
      <c r="AI438" s="1066"/>
      <c r="AJ438" s="1067"/>
      <c r="AK438" s="156" t="str">
        <f t="shared" ca="1" si="7482"/>
        <v/>
      </c>
      <c r="AL438" s="1059"/>
      <c r="AM438" s="343" t="str">
        <f ca="1">IFERROR(Q431/12*ROUND(VLOOKUP(AF438,OFFSET(SSM,0,1),6,FALSE),2),"")</f>
        <v/>
      </c>
      <c r="AN438" t="str">
        <f t="shared" ca="1" si="7532"/>
        <v/>
      </c>
      <c r="AP438" s="122" t="str">
        <f t="shared" ref="AP438" si="7853">_xlfn.CONCAT(AR438,AS442)</f>
        <v/>
      </c>
      <c r="AQ438" s="683" t="str">
        <f t="shared" si="7698"/>
        <v/>
      </c>
      <c r="AR438" s="96" t="str">
        <f t="shared" si="7457"/>
        <v/>
      </c>
      <c r="AS438" s="96" t="str">
        <f>IF(COUNTIF(Vista_1,AF437)=1,"Vista_1",IF(COUNTIF(Vista_2,AF437)=1,"Vista_2",""))</f>
        <v/>
      </c>
      <c r="AT438" s="684" t="str">
        <f>AL437</f>
        <v/>
      </c>
      <c r="AU438" s="694" t="e">
        <f t="shared" ca="1" si="7724"/>
        <v>#REF!</v>
      </c>
      <c r="AV438" s="686" t="str">
        <f ca="1">IFERROR(VLOOKUP(AU438,INDIRECT(AQ431),2,FALSE),"----")</f>
        <v>----</v>
      </c>
      <c r="AW438" s="694" t="e">
        <f t="shared" ca="1" si="7725"/>
        <v>#REF!</v>
      </c>
      <c r="AX438" s="686" t="str">
        <f ca="1">IFERROR(VLOOKUP(AW438,INDIRECT(AQ432),2,FALSE),"----")</f>
        <v>----</v>
      </c>
      <c r="AY438" s="694" t="e">
        <f t="shared" ca="1" si="7817"/>
        <v>#REF!</v>
      </c>
      <c r="AZ438" s="686" t="str">
        <f ca="1">IFERROR(VLOOKUP(AY438,INDIRECT(AQ433),2,FALSE),"----")</f>
        <v>----</v>
      </c>
      <c r="BA438" s="694" t="e">
        <f t="shared" ca="1" si="7818"/>
        <v>#REF!</v>
      </c>
      <c r="BB438" s="686" t="str">
        <f ca="1">IFERROR(VLOOKUP(BA438,INDIRECT(AQ434),2,FALSE),"----")</f>
        <v>----</v>
      </c>
      <c r="BC438" s="694" t="e">
        <f t="shared" ca="1" si="7728"/>
        <v>#REF!</v>
      </c>
      <c r="BD438" s="686" t="str">
        <f ca="1">IFERROR(VLOOKUP(BC438,INDIRECT(AQ435),2,FALSE),"----")</f>
        <v>----</v>
      </c>
      <c r="BE438" s="694" t="e">
        <f t="shared" ca="1" si="7729"/>
        <v>#REF!</v>
      </c>
      <c r="BF438" s="686" t="str">
        <f ca="1">IFERROR(VLOOKUP(BE438,INDIRECT(AQ436),2,FALSE),"----")</f>
        <v>----</v>
      </c>
      <c r="BG438" s="702" t="e">
        <f t="shared" ca="1" si="7730"/>
        <v>#REF!</v>
      </c>
      <c r="BH438" s="686" t="str">
        <f ca="1">IFERROR(VLOOKUP(BG438,INDIRECT(AQ437),2,FALSE),"----")</f>
        <v>----</v>
      </c>
      <c r="BI438" s="702" t="e">
        <f t="shared" ca="1" si="7731"/>
        <v>#REF!</v>
      </c>
      <c r="BJ438" s="686" t="str">
        <f ca="1">IFERROR(VLOOKUP(BI438,INDIRECT(AQ438),2,FALSE),"----")</f>
        <v>----</v>
      </c>
      <c r="BK438" s="702" t="e">
        <f t="shared" ca="1" si="7732"/>
        <v>#REF!</v>
      </c>
      <c r="BL438" s="686" t="str">
        <f ca="1">IFERROR(VLOOKUP(BK438,INDIRECT(AQ439),2,FALSE),"----")</f>
        <v>----</v>
      </c>
      <c r="BM438" s="702" t="e">
        <f t="shared" ca="1" si="7733"/>
        <v>#REF!</v>
      </c>
      <c r="BN438" s="686" t="str">
        <f ca="1">IFERROR(VLOOKUP(BM438,INDIRECT(AQ440),2,FALSE),"----")</f>
        <v>----</v>
      </c>
      <c r="BO438" s="702" t="e">
        <f t="shared" ca="1" si="7734"/>
        <v>#REF!</v>
      </c>
      <c r="BP438" s="686" t="str">
        <f ca="1">IFERROR(VLOOKUP(BO438,INDIRECT(AQ441),2,FALSE),"----")</f>
        <v>----</v>
      </c>
      <c r="BQ438" s="702" t="e">
        <f t="shared" ca="1" si="7735"/>
        <v>#REF!</v>
      </c>
      <c r="BR438" s="686" t="str">
        <f ca="1">IFERROR(VLOOKUP(BQ438,INDIRECT(AQ442),2,FALSE),"----")</f>
        <v>----</v>
      </c>
      <c r="BS438" s="695">
        <f>IF(AI438="",1,IF(COUNTIF(BJ431:BJ442,AI438)=0,2,1))</f>
        <v>1</v>
      </c>
      <c r="BT438" s="696">
        <f>IF(AF438="",1,IF(BJ431=".",2,1))</f>
        <v>1</v>
      </c>
      <c r="BU438" s="706"/>
      <c r="BV438" s="155">
        <f ca="1">IF(COUNTIF(DN431:DN442,AF438)=0,IF(AF438&lt;&gt;"",0,1),1)</f>
        <v>1</v>
      </c>
      <c r="BW438" s="157">
        <f ca="1">IFERROR(MATCH(AF438,DN431:DN442,0),1)</f>
        <v>1</v>
      </c>
      <c r="BX438" s="769">
        <f t="shared" ref="BX438" si="7854">E431*(H431+I431)/144/2</f>
        <v>0</v>
      </c>
      <c r="BY438" s="769">
        <f>SUM(IF(H431&gt;E431,E431^2/4,(H431*E431/2)-(H431^2/4))/144,IF(I431&gt;E431,E431^2/4,(I431*E431/2)-(I431^2/4))/144)</f>
        <v>0</v>
      </c>
      <c r="BZ438" s="1110"/>
      <c r="CA438" s="691" t="e">
        <f t="shared" ca="1" si="7736"/>
        <v>#REF!</v>
      </c>
      <c r="CB438" s="4" t="e" cm="1">
        <f t="array" aca="1" ref="CB438" ca="1">IF(AND(INDEX(INDIRECT(BY431),CA438,4)&gt;=$AB431,INDEX(INDIRECT(BY431),CA438,5)&gt;=$S431,INDEX(INDIRECT(BY431),CA438,6)&gt;=$R431),1,0)</f>
        <v>#REF!</v>
      </c>
      <c r="CC438" s="4" t="e">
        <f t="shared" ref="CC438" ca="1" si="7855">MATCH(1,OFFSET(CB431:CB442,CD437,0,COUNT(CB431:CB442)-CD437),0)</f>
        <v>#REF!</v>
      </c>
      <c r="CD438" s="4" t="e">
        <f t="shared" ca="1" si="7738"/>
        <v>#REF!</v>
      </c>
      <c r="CE438" s="692" t="str" cm="1">
        <f t="array" aca="1" ref="CE438" ca="1">IFERROR(VLOOKUP(INDEX(CA431:CA442,CD438),INDIRECT(BY431),2,FALSE),"----")</f>
        <v>----</v>
      </c>
      <c r="CF438" s="691" t="e">
        <f t="shared" ca="1" si="7739"/>
        <v>#N/A</v>
      </c>
      <c r="CG438" s="4" t="e">
        <f ca="1">IF(AND(INDEX(SSM,CF438,4)&gt;=$AB431,INDEX(SSM,CF438,5)&gt;=$S431,INDEX(SSM,CF438,6)&gt;=$R431),1,0)</f>
        <v>#N/A</v>
      </c>
      <c r="CH438" s="4" t="e">
        <f t="shared" ref="CH438" ca="1" si="7856">MATCH(1,OFFSET(CG431:CG442,CI437,0,COUNT(CG431:CG442)-CI437),0)</f>
        <v>#REF!</v>
      </c>
      <c r="CI438" s="4" t="e">
        <f t="shared" ca="1" si="7741"/>
        <v>#REF!</v>
      </c>
      <c r="CJ438" s="692" t="str">
        <f ca="1">IFERROR(IF(AD432="Nested Steel Stud (wood infill)",VLOOKUP(INDEX(CF431:CF442,CI438),SSW,2,FALSE),VLOOKUP(INDEX(CF431:CF442,CI438),SSM,2,FALSE)),"----")</f>
        <v>----</v>
      </c>
      <c r="CK438" s="691" t="e">
        <f t="shared" ca="1" si="7742"/>
        <v>#N/A</v>
      </c>
      <c r="CL438" s="4" t="e">
        <f ca="1">IF(AND(INDEX(WSM,CK438,4)&gt;=$AB431,INDEX(WSM,CK438,5)&gt;=$S431,INDEX(WSM,CK438,6)&gt;=$R431),1,0)</f>
        <v>#N/A</v>
      </c>
      <c r="CM438" s="4" t="e">
        <f t="shared" ref="CM438" ca="1" si="7857">MATCH(1,OFFSET(CL431:CL442,CN437,0,COUNT(CL431:CL442)-CN437),0)</f>
        <v>#REF!</v>
      </c>
      <c r="CN438" s="4" t="e">
        <f t="shared" ca="1" si="7744"/>
        <v>#REF!</v>
      </c>
      <c r="CO438" s="692" t="str">
        <f ca="1">IFERROR(VLOOKUP(INDEX(CK431:CK442,CN438),WSM,2,FALSE),"----")</f>
        <v>----</v>
      </c>
      <c r="CP438" s="691" t="e">
        <f t="shared" ca="1" si="7745"/>
        <v>#N/A</v>
      </c>
      <c r="CQ438" s="4" t="e">
        <f ca="1">IF(AND(INDEX(STM,CP438,4)&gt;=$AB431,INDEX(STM,CP438,5)&gt;=$S431,INDEX(STM,CP438,6)&gt;=$R431),1,0)</f>
        <v>#N/A</v>
      </c>
      <c r="CR438" s="4" t="e">
        <f t="shared" ref="CR438" ca="1" si="7858">MATCH(1,OFFSET(CQ431:CQ442,CS437,0,COUNT(CQ431:CQ442)-CS437),0)</f>
        <v>#REF!</v>
      </c>
      <c r="CS438" s="4" t="e">
        <f t="shared" ca="1" si="7747"/>
        <v>#REF!</v>
      </c>
      <c r="CT438" s="692" t="str">
        <f ca="1">IFERROR(VLOOKUP(INDEX(CP431:CP442,CS438),STM,2,FALSE),"----")</f>
        <v>----</v>
      </c>
      <c r="CU438" s="691" t="e">
        <f t="shared" ca="1" si="7748"/>
        <v>#N/A</v>
      </c>
      <c r="CV438" s="4" t="e">
        <f ca="1">IF(AND(INDEX(ELM,CU438,4)&gt;=$AB431,INDEX(ELM,CU438,5)&gt;=$S431,INDEX(ELM,CU438,6)&gt;=$R431),1,0)</f>
        <v>#N/A</v>
      </c>
      <c r="CW438" s="4" t="e">
        <f t="shared" ref="CW438" ca="1" si="7859">MATCH(1,OFFSET(CV431:CV442,CX437,0,COUNT(CV431:CV442)-CX437),0)</f>
        <v>#REF!</v>
      </c>
      <c r="CX438" s="4" t="e">
        <f t="shared" ca="1" si="7750"/>
        <v>#REF!</v>
      </c>
      <c r="CY438" s="692" t="str">
        <f ca="1">IFERROR(VLOOKUP(INDEX(CU431:CU442,CX438),ELM,2,FALSE),"----")</f>
        <v>----</v>
      </c>
      <c r="CZ438" s="691" t="e">
        <f t="shared" ca="1" si="7751"/>
        <v>#N/A</v>
      </c>
      <c r="DA438" s="4" t="e">
        <f ca="1">IF(LEFT($J431,7)="Clad Wo",IF(AND(INDEX(SPPWS,CZ438,4)&gt;=$AB431,INDEX(SPPWS,CZ438,5)&gt;=$S431,INDEX(SPPWS,CZ438,6)&gt;=$R431),1,0),IF(AND(INDEX(SPM,CZ438,4)&gt;=$AB431,INDEX(SPM,CZ438,5)&gt;=$S431,INDEX(SPM,CZ438,6)&gt;=$R431),1,0))</f>
        <v>#N/A</v>
      </c>
      <c r="DB438" s="4" t="e">
        <f t="shared" ref="DB438" ca="1" si="7860">MATCH(1,OFFSET(DA431:DA442,DC437,0,COUNT(DA431:DA442)-DC437),0)</f>
        <v>#REF!</v>
      </c>
      <c r="DC438" s="4" t="e">
        <f t="shared" ca="1" si="7753"/>
        <v>#REF!</v>
      </c>
      <c r="DD438" s="693" t="str">
        <f ca="1">IF(LEFT($J431,7)="Clad Wo",IFERROR(VLOOKUP(INDEX(CZ431:CZ442,DC438),SPPWS,2,FALSE),"----"),IFERROR(VLOOKUP(INDEX(CZ431:CZ442,DC438),SPM,2,FALSE),"----"))</f>
        <v>----</v>
      </c>
      <c r="DE438" s="691" t="e">
        <f t="shared" ca="1" si="7754"/>
        <v>#REF!</v>
      </c>
      <c r="DF438" s="4" t="e" cm="1">
        <f t="array" aca="1" ref="DF438" ca="1">IF(AND(INDEX(INDIRECT(BY431),DE438,4)&gt;=$AB437,INDEX(INDIRECT(BY431),DE438,5)&gt;=$S431,INDEX(INDIRECT(BY431),DE438,6)&gt;=$R431),1,0)</f>
        <v>#REF!</v>
      </c>
      <c r="DG438" s="4" t="e">
        <f t="shared" ref="DG438" ca="1" si="7861">MATCH(1,OFFSET(DF431:DF442,DH437,0,COUNT(DF431:DF442)-DH437),0)</f>
        <v>#REF!</v>
      </c>
      <c r="DH438" s="4" t="e">
        <f t="shared" ca="1" si="7756"/>
        <v>#REF!</v>
      </c>
      <c r="DI438" s="692" t="str" cm="1">
        <f t="array" aca="1" ref="DI438" ca="1">IFERROR(VLOOKUP(INDEX(DE431:DE442,DH438),INDIRECT(BY431),2,FALSE),"----")</f>
        <v>----</v>
      </c>
      <c r="DJ438" s="691" t="e">
        <f t="shared" ca="1" si="7757"/>
        <v>#N/A</v>
      </c>
      <c r="DK438" s="4" t="e">
        <f ca="1">IF(AND(INDEX(SSM,DJ438,4)&gt;=$AB437,INDEX(SSM,DJ438,5)&gt;=$S431,INDEX(SSM,DJ438,6)&gt;=$R431),1,0)</f>
        <v>#N/A</v>
      </c>
      <c r="DL438" s="4" t="e">
        <f t="shared" ref="DL438" ca="1" si="7862">MATCH(1,OFFSET(DK431:DK442,DM437,0,COUNT(DK431:DK442)-DM437),0)</f>
        <v>#REF!</v>
      </c>
      <c r="DM438" s="4" t="e">
        <f t="shared" ca="1" si="7759"/>
        <v>#REF!</v>
      </c>
      <c r="DN438" s="692" t="str">
        <f ca="1">IFERROR(IF(AD438="Nested Steel Stud (wood infill)",VLOOKUP(INDEX(DJ431:DJ442,DM438),SSW,2,FALSE),VLOOKUP(INDEX(DJ431:DJ442,DM438),SSM,2,FALSE)),"----")</f>
        <v>----</v>
      </c>
      <c r="DO438" s="691" t="e">
        <f t="shared" ca="1" si="7760"/>
        <v>#N/A</v>
      </c>
      <c r="DP438" s="4" t="e">
        <f ca="1">IF(AND(INDEX(WSM,DO438,4)&gt;=$AB437,INDEX(WSM,DO438,5)&gt;=$S431,INDEX(WSM,DO438,6)&gt;=$R431),1,0)</f>
        <v>#N/A</v>
      </c>
      <c r="DQ438" s="4" t="e">
        <f t="shared" ref="DQ438" ca="1" si="7863">MATCH(1,OFFSET(DP431:DP442,DR437,0,COUNT(DP431:DP442)-DR437),0)</f>
        <v>#REF!</v>
      </c>
      <c r="DR438" s="4" t="e">
        <f t="shared" ca="1" si="7762"/>
        <v>#REF!</v>
      </c>
      <c r="DS438" s="692" t="str">
        <f ca="1">IFERROR(VLOOKUP(INDEX(DO431:DO442,DR438),WSM,2,FALSE),"----")</f>
        <v>----</v>
      </c>
      <c r="DT438" s="691" t="e">
        <f t="shared" ca="1" si="7763"/>
        <v>#N/A</v>
      </c>
      <c r="DU438" s="4" t="e">
        <f ca="1">IF(AND(INDEX(STM,DT438,4)&gt;=$AB437,INDEX(STM,DT438,5)&gt;=$S431,INDEX(STM,DT438,6)&gt;=$R431),1,0)</f>
        <v>#N/A</v>
      </c>
      <c r="DV438" s="4" t="e">
        <f t="shared" ref="DV438" ca="1" si="7864">MATCH(1,OFFSET(DU431:DU442,DW437,0,COUNT(DU431:DU442)-DW437),0)</f>
        <v>#REF!</v>
      </c>
      <c r="DW438" s="4" t="e">
        <f t="shared" ca="1" si="7765"/>
        <v>#REF!</v>
      </c>
      <c r="DX438" s="692" t="str">
        <f ca="1">IFERROR(VLOOKUP(INDEX(DT431:DT442,DW438),STM,2,FALSE),"----")</f>
        <v>----</v>
      </c>
      <c r="DY438" s="691" t="e">
        <f t="shared" ca="1" si="7766"/>
        <v>#N/A</v>
      </c>
      <c r="DZ438" s="4" t="e">
        <f ca="1">IF(AND(INDEX(ELM,DY438,4)&gt;=$AB437,INDEX(ELM,DY438,5)&gt;=$S431,INDEX(ELM,DY438,6)&gt;=$R431),1,0)</f>
        <v>#N/A</v>
      </c>
      <c r="EA438" s="4" t="e">
        <f t="shared" ref="EA438" ca="1" si="7865">MATCH(1,OFFSET(DZ431:DZ442,EB437,0,COUNT(DZ431:DZ442)-EB437),0)</f>
        <v>#REF!</v>
      </c>
      <c r="EB438" s="4" t="e">
        <f t="shared" ca="1" si="7768"/>
        <v>#REF!</v>
      </c>
      <c r="EC438" s="692" t="str">
        <f ca="1">IFERROR(VLOOKUP(INDEX(DY431:DY442,EB438),ELM,2,FALSE),"----")</f>
        <v>----</v>
      </c>
      <c r="ED438" s="691" t="e">
        <f t="shared" ca="1" si="7769"/>
        <v>#N/A</v>
      </c>
      <c r="EE438" s="4" t="e">
        <f ca="1">IF(LEFT($J431,7)="Clad Wo",IF(AND(INDEX(SPPWS,ED438,4)&gt;=$AB437,INDEX(SPPWS,ED438,5)&gt;=$S431,INDEX(SPPWS,ED438,6)&gt;=$R431),1,0),IF(AND(INDEX(SPM,ED438,4)&gt;=$AB437,INDEX(SPM,ED438,5)&gt;=$S431,INDEX(SPM,ED438,6)&gt;=$R431),1,0))</f>
        <v>#N/A</v>
      </c>
      <c r="EF438" s="4" t="e">
        <f t="shared" ref="EF438" ca="1" si="7866">MATCH(1,OFFSET(EE431:EE442,EG437,0,COUNT(EE431:EE442)-EG437),0)</f>
        <v>#REF!</v>
      </c>
      <c r="EG438" s="4" t="e">
        <f t="shared" ca="1" si="7771"/>
        <v>#REF!</v>
      </c>
      <c r="EH438" s="692" t="str">
        <f ca="1">IF(LEFT($J431,7)="Clad Wo",IFERROR(VLOOKUP(INDEX(ED431:ED442,EG438),SPPWS,2,FALSE),"----"),IFERROR(VLOOKUP(INDEX(ED431:ED442,EG438),SPM,2,FALSE),"----"))</f>
        <v>----</v>
      </c>
    </row>
    <row r="439" spans="1:138" ht="15" customHeight="1" x14ac:dyDescent="0.25">
      <c r="A439" s="1085"/>
      <c r="B439" s="925"/>
      <c r="C439" s="926"/>
      <c r="D439" s="927"/>
      <c r="E439" s="995"/>
      <c r="F439" s="996"/>
      <c r="G439" s="997"/>
      <c r="H439" s="1062"/>
      <c r="I439" s="990"/>
      <c r="J439" s="902"/>
      <c r="K439" s="903"/>
      <c r="L439" s="1002"/>
      <c r="M439" s="923"/>
      <c r="N439" s="1042"/>
      <c r="O439" s="1018"/>
      <c r="P439" s="987"/>
      <c r="Q439" s="1015"/>
      <c r="R439" s="1012"/>
      <c r="S439" s="1006"/>
      <c r="T439" s="1007"/>
      <c r="U439" s="878"/>
      <c r="V439" s="881"/>
      <c r="W439" s="884"/>
      <c r="X439" s="884"/>
      <c r="Y439" s="887"/>
      <c r="Z439" s="887"/>
      <c r="AA439" s="887"/>
      <c r="AB439" s="1081"/>
      <c r="AC439" s="1078"/>
      <c r="AD439" s="1070" t="str">
        <f t="shared" si="7388"/>
        <v>Wood Stud Framing</v>
      </c>
      <c r="AE439" s="1071"/>
      <c r="AF439" s="1052"/>
      <c r="AG439" s="1053"/>
      <c r="AH439" s="1053"/>
      <c r="AI439" s="1066"/>
      <c r="AJ439" s="1067"/>
      <c r="AK439" s="156" t="str">
        <f t="shared" ca="1" si="7482"/>
        <v/>
      </c>
      <c r="AL439" s="1059"/>
      <c r="AM439" s="344" t="str">
        <f ca="1">IFERROR(Q431/12*ROUND(VLOOKUP(AF439,OFFSET(WSM,0,1),6,FALSE),2),"")</f>
        <v/>
      </c>
      <c r="AN439" t="str">
        <f t="shared" ca="1" si="7532"/>
        <v/>
      </c>
      <c r="AP439" s="122" t="str">
        <f t="shared" ref="AP439" si="7867">_xlfn.CONCAT(AR439,AS442)</f>
        <v/>
      </c>
      <c r="AQ439" s="683" t="str">
        <f t="shared" si="7698"/>
        <v/>
      </c>
      <c r="AR439" s="4" t="str">
        <f t="shared" si="7457"/>
        <v/>
      </c>
      <c r="AS439" s="4"/>
      <c r="AT439" s="697" t="str">
        <f>AL437</f>
        <v/>
      </c>
      <c r="AU439" s="694" t="e">
        <f t="shared" ca="1" si="7724"/>
        <v>#REF!</v>
      </c>
      <c r="AV439" s="686" t="str">
        <f ca="1">IFERROR(VLOOKUP(AU439,INDIRECT(AQ431),2,FALSE),"----")</f>
        <v>----</v>
      </c>
      <c r="AW439" s="694" t="e">
        <f t="shared" ca="1" si="7725"/>
        <v>#REF!</v>
      </c>
      <c r="AX439" s="686" t="str">
        <f ca="1">IFERROR(VLOOKUP(AW439,INDIRECT(AQ432),2,FALSE),"----")</f>
        <v>----</v>
      </c>
      <c r="AY439" s="694" t="e">
        <f t="shared" ca="1" si="7817"/>
        <v>#REF!</v>
      </c>
      <c r="AZ439" s="686" t="str">
        <f ca="1">IFERROR(VLOOKUP(AY439,INDIRECT(AQ433),2,FALSE),"----")</f>
        <v>----</v>
      </c>
      <c r="BA439" s="694" t="e">
        <f t="shared" ca="1" si="7818"/>
        <v>#REF!</v>
      </c>
      <c r="BB439" s="686" t="str">
        <f ca="1">IFERROR(VLOOKUP(BA439,INDIRECT(AQ434),2,FALSE),"----")</f>
        <v>----</v>
      </c>
      <c r="BC439" s="694" t="e">
        <f t="shared" ca="1" si="7728"/>
        <v>#REF!</v>
      </c>
      <c r="BD439" s="686" t="str">
        <f ca="1">IFERROR(VLOOKUP(BC439,INDIRECT(AQ435),2,FALSE),"----")</f>
        <v>----</v>
      </c>
      <c r="BE439" s="694" t="e">
        <f t="shared" ca="1" si="7729"/>
        <v>#REF!</v>
      </c>
      <c r="BF439" s="686" t="str">
        <f ca="1">IFERROR(VLOOKUP(BE439,INDIRECT(AQ436),2,FALSE),"----")</f>
        <v>----</v>
      </c>
      <c r="BG439" s="702" t="e">
        <f t="shared" ca="1" si="7730"/>
        <v>#REF!</v>
      </c>
      <c r="BH439" s="686" t="str">
        <f ca="1">IFERROR(VLOOKUP(BG439,INDIRECT(AQ437),2,FALSE),"----")</f>
        <v>----</v>
      </c>
      <c r="BI439" s="702" t="e">
        <f t="shared" ca="1" si="7731"/>
        <v>#REF!</v>
      </c>
      <c r="BJ439" s="686" t="str">
        <f ca="1">IFERROR(VLOOKUP(BI439,INDIRECT(AQ438),2,FALSE),"----")</f>
        <v>----</v>
      </c>
      <c r="BK439" s="702" t="e">
        <f t="shared" ca="1" si="7732"/>
        <v>#REF!</v>
      </c>
      <c r="BL439" s="686" t="str">
        <f ca="1">IFERROR(VLOOKUP(BK439,INDIRECT(AQ439),2,FALSE),"----")</f>
        <v>----</v>
      </c>
      <c r="BM439" s="702" t="e">
        <f t="shared" ca="1" si="7733"/>
        <v>#REF!</v>
      </c>
      <c r="BN439" s="686" t="str">
        <f ca="1">IFERROR(VLOOKUP(BM439,INDIRECT(AQ440),2,FALSE),"----")</f>
        <v>----</v>
      </c>
      <c r="BO439" s="702" t="e">
        <f t="shared" ca="1" si="7734"/>
        <v>#REF!</v>
      </c>
      <c r="BP439" s="686" t="str">
        <f ca="1">IFERROR(VLOOKUP(BO439,INDIRECT(AQ441),2,FALSE),"----")</f>
        <v>----</v>
      </c>
      <c r="BQ439" s="702" t="e">
        <f t="shared" ca="1" si="7735"/>
        <v>#REF!</v>
      </c>
      <c r="BR439" s="686" t="str">
        <f ca="1">IFERROR(VLOOKUP(BQ439,INDIRECT(AQ442),2,FALSE),"----")</f>
        <v>----</v>
      </c>
      <c r="BS439" s="695">
        <f>IF(AI439="",1,IF(COUNTIF(BL431:BL442,AI439)=0,2,1))</f>
        <v>1</v>
      </c>
      <c r="BT439" s="696">
        <f>IF(AF439="",1,IF(BL431=".",2,1))</f>
        <v>1</v>
      </c>
      <c r="BU439" s="706"/>
      <c r="BV439" s="155">
        <f ca="1">IF(COUNTIF(DS431:DS442,AF439)=0,IF(AF439&lt;&gt;"",0,1),1)</f>
        <v>1</v>
      </c>
      <c r="BW439" s="157">
        <f ca="1">IFERROR(MATCH(AF439,DS431:DS442,0),1)</f>
        <v>1</v>
      </c>
      <c r="BX439" s="769" t="e">
        <f t="shared" ref="BX439" si="7868">5*E431^3*W431/(384*X431)</f>
        <v>#VALUE!</v>
      </c>
      <c r="BY439" s="769" t="e">
        <f t="shared" ref="BY439" si="7869">W431*E431^3/(60*X431)</f>
        <v>#VALUE!</v>
      </c>
      <c r="BZ439" s="1110"/>
      <c r="CA439" s="691" t="e">
        <f t="shared" ca="1" si="7736"/>
        <v>#REF!</v>
      </c>
      <c r="CB439" s="4" t="e" cm="1">
        <f t="array" aca="1" ref="CB439" ca="1">IF(AND(INDEX(INDIRECT(BY431),CA439,4)&gt;=$AB431,INDEX(INDIRECT(BY431),CA439,5)&gt;=$S431,INDEX(INDIRECT(BY431),CA439,6)&gt;=$R431),1,0)</f>
        <v>#REF!</v>
      </c>
      <c r="CC439" s="4" t="e">
        <f t="shared" ref="CC439" ca="1" si="7870">MATCH(1,OFFSET(CB431:CB442,CD438,0,COUNT(CB431:CB442)-CD438),0)</f>
        <v>#REF!</v>
      </c>
      <c r="CD439" s="4" t="e">
        <f t="shared" ca="1" si="7738"/>
        <v>#REF!</v>
      </c>
      <c r="CE439" s="692" t="str" cm="1">
        <f t="array" aca="1" ref="CE439" ca="1">IFERROR(VLOOKUP(INDEX(CA431:CA442,CD439),INDIRECT(BY431),2,FALSE),"----")</f>
        <v>----</v>
      </c>
      <c r="CF439" s="691" t="e">
        <f t="shared" ca="1" si="7739"/>
        <v>#N/A</v>
      </c>
      <c r="CG439" s="4" t="e">
        <f ca="1">IF(AND(INDEX(SSM,CF439,4)&gt;=$AB431,INDEX(SSM,CF439,5)&gt;=$S431,INDEX(SSM,CF439,6)&gt;=$R431),1,0)</f>
        <v>#N/A</v>
      </c>
      <c r="CH439" s="4" t="e">
        <f t="shared" ref="CH439" ca="1" si="7871">MATCH(1,OFFSET(CG431:CG442,CI438,0,COUNT(CG431:CG442)-CI438),0)</f>
        <v>#REF!</v>
      </c>
      <c r="CI439" s="4" t="e">
        <f t="shared" ca="1" si="7741"/>
        <v>#REF!</v>
      </c>
      <c r="CJ439" s="692" t="str">
        <f ca="1">IFERROR(IF(AD432="Nested Steel Stud (wood infill)",VLOOKUP(INDEX(CF431:CF442,CI439),SSW,2,FALSE),VLOOKUP(INDEX(CF431:CF442,CI439),SSM,2,FALSE)),"----")</f>
        <v>----</v>
      </c>
      <c r="CK439" s="691" t="e">
        <f t="shared" ca="1" si="7742"/>
        <v>#N/A</v>
      </c>
      <c r="CL439" s="4" t="e">
        <f ca="1">IF(AND(INDEX(WSM,CK439,4)&gt;=$AB431,INDEX(WSM,CK439,5)&gt;=$S431,INDEX(WSM,CK439,6)&gt;=$R431),1,0)</f>
        <v>#N/A</v>
      </c>
      <c r="CM439" s="4" t="e">
        <f t="shared" ref="CM439" ca="1" si="7872">MATCH(1,OFFSET(CL431:CL442,CN438,0,COUNT(CL431:CL442)-CN438),0)</f>
        <v>#REF!</v>
      </c>
      <c r="CN439" s="4" t="e">
        <f t="shared" ca="1" si="7744"/>
        <v>#REF!</v>
      </c>
      <c r="CO439" s="692" t="str">
        <f ca="1">IFERROR(VLOOKUP(INDEX(CK431:CK442,CN439),WSM,2,FALSE),"----")</f>
        <v>----</v>
      </c>
      <c r="CP439" s="691" t="e">
        <f t="shared" ca="1" si="7745"/>
        <v>#N/A</v>
      </c>
      <c r="CQ439" s="4" t="e">
        <f ca="1">IF(AND(INDEX(STM,CP439,4)&gt;=$AB431,INDEX(STM,CP439,5)&gt;=$S431,INDEX(STM,CP439,6)&gt;=$R431),1,0)</f>
        <v>#N/A</v>
      </c>
      <c r="CR439" s="4" t="e">
        <f t="shared" ref="CR439" ca="1" si="7873">MATCH(1,OFFSET(CQ431:CQ442,CS438,0,COUNT(CQ431:CQ442)-CS438),0)</f>
        <v>#REF!</v>
      </c>
      <c r="CS439" s="4" t="e">
        <f t="shared" ca="1" si="7747"/>
        <v>#REF!</v>
      </c>
      <c r="CT439" s="692" t="str">
        <f ca="1">IFERROR(VLOOKUP(INDEX(CP431:CP442,CS439),STM,2,FALSE),"----")</f>
        <v>----</v>
      </c>
      <c r="CU439" s="691" t="e">
        <f t="shared" ca="1" si="7748"/>
        <v>#N/A</v>
      </c>
      <c r="CV439" s="4" t="e">
        <f ca="1">IF(AND(INDEX(ELM,CU439,4)&gt;=$AB431,INDEX(ELM,CU439,5)&gt;=$S431,INDEX(ELM,CU439,6)&gt;=$R431),1,0)</f>
        <v>#N/A</v>
      </c>
      <c r="CW439" s="4" t="e">
        <f t="shared" ref="CW439" ca="1" si="7874">MATCH(1,OFFSET(CV431:CV442,CX438,0,COUNT(CV431:CV442)-CX438),0)</f>
        <v>#REF!</v>
      </c>
      <c r="CX439" s="4" t="e">
        <f t="shared" ca="1" si="7750"/>
        <v>#REF!</v>
      </c>
      <c r="CY439" s="692" t="str">
        <f ca="1">IFERROR(VLOOKUP(INDEX(CU431:CU442,CX439),ELM,2,FALSE),"----")</f>
        <v>----</v>
      </c>
      <c r="CZ439" s="691" t="e">
        <f t="shared" ca="1" si="7751"/>
        <v>#N/A</v>
      </c>
      <c r="DA439" s="4" t="e">
        <f ca="1">IF(LEFT($J431,7)="Clad Wo",IF(AND(INDEX(SPPWS,CZ439,4)&gt;=$AB431,INDEX(SPPWS,CZ439,5)&gt;=$S431,INDEX(SPPWS,CZ439,6)&gt;=$R431),1,0),IF(AND(INDEX(SPM,CZ439,4)&gt;=$AB431,INDEX(SPM,CZ439,5)&gt;=$S431,INDEX(SPM,CZ439,6)&gt;=$R431),1,0))</f>
        <v>#N/A</v>
      </c>
      <c r="DB439" s="4" t="e">
        <f t="shared" ref="DB439" ca="1" si="7875">MATCH(1,OFFSET(DA431:DA442,DC438,0,COUNT(DA431:DA442)-DC438),0)</f>
        <v>#REF!</v>
      </c>
      <c r="DC439" s="4" t="e">
        <f t="shared" ca="1" si="7753"/>
        <v>#REF!</v>
      </c>
      <c r="DD439" s="693" t="str">
        <f ca="1">IF(LEFT($J431,7)="Clad Wo",IFERROR(VLOOKUP(INDEX(CZ431:CZ442,DC439),SPPWS,2,FALSE),"----"),IFERROR(VLOOKUP(INDEX(CZ431:CZ442,DC439),SPM,2,FALSE),"----"))</f>
        <v>----</v>
      </c>
      <c r="DE439" s="691" t="e">
        <f t="shared" ca="1" si="7754"/>
        <v>#REF!</v>
      </c>
      <c r="DF439" s="4" t="e" cm="1">
        <f t="array" aca="1" ref="DF439" ca="1">IF(AND(INDEX(INDIRECT(BY431),DE439,4)&gt;=$AB437,INDEX(INDIRECT(BY431),DE439,5)&gt;=$S431,INDEX(INDIRECT(BY431),DE439,6)&gt;=$R431),1,0)</f>
        <v>#REF!</v>
      </c>
      <c r="DG439" s="4" t="e">
        <f t="shared" ref="DG439" ca="1" si="7876">MATCH(1,OFFSET(DF431:DF442,DH438,0,COUNT(DF431:DF442)-DH438),0)</f>
        <v>#REF!</v>
      </c>
      <c r="DH439" s="4" t="e">
        <f t="shared" ca="1" si="7756"/>
        <v>#REF!</v>
      </c>
      <c r="DI439" s="692" t="str" cm="1">
        <f t="array" aca="1" ref="DI439" ca="1">IFERROR(VLOOKUP(INDEX(DE431:DE442,DH439),INDIRECT(BY431),2,FALSE),"----")</f>
        <v>----</v>
      </c>
      <c r="DJ439" s="691" t="e">
        <f t="shared" ca="1" si="7757"/>
        <v>#N/A</v>
      </c>
      <c r="DK439" s="4" t="e">
        <f ca="1">IF(AND(INDEX(SSM,DJ439,4)&gt;=$AB437,INDEX(SSM,DJ439,5)&gt;=$S431,INDEX(SSM,DJ439,6)&gt;=$R431),1,0)</f>
        <v>#N/A</v>
      </c>
      <c r="DL439" s="4" t="e">
        <f t="shared" ref="DL439" ca="1" si="7877">MATCH(1,OFFSET(DK431:DK442,DM438,0,COUNT(DK431:DK442)-DM438),0)</f>
        <v>#REF!</v>
      </c>
      <c r="DM439" s="4" t="e">
        <f t="shared" ca="1" si="7759"/>
        <v>#REF!</v>
      </c>
      <c r="DN439" s="692" t="str">
        <f ca="1">IFERROR(IF(AD438="Nested Steel Stud (wood infill)",VLOOKUP(INDEX(DJ431:DJ442,DM439),SSW,2,FALSE),VLOOKUP(INDEX(DJ431:DJ442,DM439),SSM,2,FALSE)),"----")</f>
        <v>----</v>
      </c>
      <c r="DO439" s="691" t="e">
        <f t="shared" ca="1" si="7760"/>
        <v>#N/A</v>
      </c>
      <c r="DP439" s="4" t="e">
        <f ca="1">IF(AND(INDEX(WSM,DO439,4)&gt;=$AB437,INDEX(WSM,DO439,5)&gt;=$S431,INDEX(WSM,DO439,6)&gt;=$R431),1,0)</f>
        <v>#N/A</v>
      </c>
      <c r="DQ439" s="4" t="e">
        <f t="shared" ref="DQ439" ca="1" si="7878">MATCH(1,OFFSET(DP431:DP442,DR438,0,COUNT(DP431:DP442)-DR438),0)</f>
        <v>#REF!</v>
      </c>
      <c r="DR439" s="4" t="e">
        <f t="shared" ca="1" si="7762"/>
        <v>#REF!</v>
      </c>
      <c r="DS439" s="692" t="str">
        <f ca="1">IFERROR(VLOOKUP(INDEX(DO431:DO442,DR439),WSM,2,FALSE),"----")</f>
        <v>----</v>
      </c>
      <c r="DT439" s="691" t="e">
        <f t="shared" ca="1" si="7763"/>
        <v>#N/A</v>
      </c>
      <c r="DU439" s="4" t="e">
        <f ca="1">IF(AND(INDEX(STM,DT439,4)&gt;=$AB437,INDEX(STM,DT439,5)&gt;=$S431,INDEX(STM,DT439,6)&gt;=$R431),1,0)</f>
        <v>#N/A</v>
      </c>
      <c r="DV439" s="4" t="e">
        <f t="shared" ref="DV439" ca="1" si="7879">MATCH(1,OFFSET(DU431:DU442,DW438,0,COUNT(DU431:DU442)-DW438),0)</f>
        <v>#REF!</v>
      </c>
      <c r="DW439" s="4" t="e">
        <f t="shared" ca="1" si="7765"/>
        <v>#REF!</v>
      </c>
      <c r="DX439" s="692" t="str">
        <f ca="1">IFERROR(VLOOKUP(INDEX(DT431:DT442,DW439),STM,2,FALSE),"----")</f>
        <v>----</v>
      </c>
      <c r="DY439" s="691" t="e">
        <f t="shared" ca="1" si="7766"/>
        <v>#N/A</v>
      </c>
      <c r="DZ439" s="4" t="e">
        <f ca="1">IF(AND(INDEX(ELM,DY439,4)&gt;=$AB437,INDEX(ELM,DY439,5)&gt;=$S431,INDEX(ELM,DY439,6)&gt;=$R431),1,0)</f>
        <v>#N/A</v>
      </c>
      <c r="EA439" s="4" t="e">
        <f t="shared" ref="EA439" ca="1" si="7880">MATCH(1,OFFSET(DZ431:DZ442,EB438,0,COUNT(DZ431:DZ442)-EB438),0)</f>
        <v>#REF!</v>
      </c>
      <c r="EB439" s="4" t="e">
        <f t="shared" ca="1" si="7768"/>
        <v>#REF!</v>
      </c>
      <c r="EC439" s="692" t="str">
        <f ca="1">IFERROR(VLOOKUP(INDEX(DY431:DY442,EB439),ELM,2,FALSE),"----")</f>
        <v>----</v>
      </c>
      <c r="ED439" s="691" t="e">
        <f t="shared" ca="1" si="7769"/>
        <v>#N/A</v>
      </c>
      <c r="EE439" s="4" t="e">
        <f ca="1">IF(LEFT($J431,7)="Clad Wo",IF(AND(INDEX(SPPWS,ED439,4)&gt;=$AB437,INDEX(SPPWS,ED439,5)&gt;=$S431,INDEX(SPPWS,ED439,6)&gt;=$R431),1,0),IF(AND(INDEX(SPM,ED439,4)&gt;=$AB437,INDEX(SPM,ED439,5)&gt;=$S431,INDEX(SPM,ED439,6)&gt;=$R431),1,0))</f>
        <v>#N/A</v>
      </c>
      <c r="EF439" s="4" t="e">
        <f t="shared" ref="EF439" ca="1" si="7881">MATCH(1,OFFSET(EE431:EE442,EG438,0,COUNT(EE431:EE442)-EG438),0)</f>
        <v>#REF!</v>
      </c>
      <c r="EG439" s="4" t="e">
        <f t="shared" ca="1" si="7771"/>
        <v>#REF!</v>
      </c>
      <c r="EH439" s="692" t="str">
        <f ca="1">IF(LEFT($J431,7)="Clad Wo",IFERROR(VLOOKUP(INDEX(ED431:ED442,EG439),SPPWS,2,FALSE),"----"),IFERROR(VLOOKUP(INDEX(ED431:ED442,EG439),SPM,2,FALSE),"----"))</f>
        <v>----</v>
      </c>
    </row>
    <row r="440" spans="1:138" ht="15" customHeight="1" x14ac:dyDescent="0.25">
      <c r="A440" s="1085"/>
      <c r="B440" s="925"/>
      <c r="C440" s="926"/>
      <c r="D440" s="927"/>
      <c r="E440" s="995"/>
      <c r="F440" s="996"/>
      <c r="G440" s="997"/>
      <c r="H440" s="1062"/>
      <c r="I440" s="990"/>
      <c r="J440" s="902"/>
      <c r="K440" s="903"/>
      <c r="L440" s="1002"/>
      <c r="M440" s="923"/>
      <c r="N440" s="1042"/>
      <c r="O440" s="1018"/>
      <c r="P440" s="987"/>
      <c r="Q440" s="1015"/>
      <c r="R440" s="1012"/>
      <c r="S440" s="1006"/>
      <c r="T440" s="1007"/>
      <c r="U440" s="878"/>
      <c r="V440" s="881"/>
      <c r="W440" s="884"/>
      <c r="X440" s="884"/>
      <c r="Y440" s="887"/>
      <c r="Z440" s="887"/>
      <c r="AA440" s="887"/>
      <c r="AB440" s="1081"/>
      <c r="AC440" s="1078"/>
      <c r="AD440" s="1070" t="str">
        <f t="shared" si="7388"/>
        <v>Steel Tube</v>
      </c>
      <c r="AE440" s="1071"/>
      <c r="AF440" s="1052"/>
      <c r="AG440" s="1053"/>
      <c r="AH440" s="1053"/>
      <c r="AI440" s="1066"/>
      <c r="AJ440" s="1067"/>
      <c r="AK440" s="156" t="str">
        <f t="shared" ca="1" si="7482"/>
        <v/>
      </c>
      <c r="AL440" s="1059"/>
      <c r="AM440" s="343" t="str">
        <f ca="1">IFERROR(Q431/12*ROUND(VLOOKUP(AF440,OFFSET(STM,0,1),6,FALSE),2),"")</f>
        <v/>
      </c>
      <c r="AN440" t="str">
        <f t="shared" ca="1" si="7532"/>
        <v/>
      </c>
      <c r="AP440" s="122" t="str">
        <f t="shared" ref="AP440" si="7882">_xlfn.CONCAT(AR440,AS442)</f>
        <v/>
      </c>
      <c r="AQ440" s="683" t="str">
        <f t="shared" si="7698"/>
        <v/>
      </c>
      <c r="AR440" s="4" t="str">
        <f t="shared" si="7457"/>
        <v/>
      </c>
      <c r="AS440" s="4"/>
      <c r="AT440" s="697" t="str">
        <f>AL437</f>
        <v/>
      </c>
      <c r="AU440" s="694" t="e">
        <f t="shared" ca="1" si="7724"/>
        <v>#REF!</v>
      </c>
      <c r="AV440" s="686" t="str">
        <f ca="1">IFERROR(VLOOKUP(AU440,INDIRECT(AQ431),2,FALSE),"----")</f>
        <v>----</v>
      </c>
      <c r="AW440" s="694" t="e">
        <f t="shared" ca="1" si="7725"/>
        <v>#REF!</v>
      </c>
      <c r="AX440" s="686" t="str">
        <f ca="1">IFERROR(VLOOKUP(AW440,INDIRECT(AQ432),2,FALSE),"----")</f>
        <v>----</v>
      </c>
      <c r="AY440" s="694" t="e">
        <f t="shared" ca="1" si="7644"/>
        <v>#REF!</v>
      </c>
      <c r="AZ440" s="686" t="str">
        <f ca="1">IFERROR(VLOOKUP(AY440,INDIRECT(AQ433),2,FALSE),"----")</f>
        <v>----</v>
      </c>
      <c r="BA440" s="694" t="e">
        <f t="shared" ca="1" si="7645"/>
        <v>#REF!</v>
      </c>
      <c r="BB440" s="686" t="str">
        <f ca="1">IFERROR(VLOOKUP(BA440,INDIRECT(AQ434),2,FALSE),"----")</f>
        <v>----</v>
      </c>
      <c r="BC440" s="694" t="e">
        <f t="shared" ca="1" si="7728"/>
        <v>#REF!</v>
      </c>
      <c r="BD440" s="686" t="str">
        <f ca="1">IFERROR(VLOOKUP(BC440,INDIRECT(AQ435),2,FALSE),"----")</f>
        <v>----</v>
      </c>
      <c r="BE440" s="694" t="e">
        <f t="shared" ca="1" si="7729"/>
        <v>#REF!</v>
      </c>
      <c r="BF440" s="686" t="str">
        <f ca="1">IFERROR(VLOOKUP(BE440,INDIRECT(AQ436),2,FALSE),"----")</f>
        <v>----</v>
      </c>
      <c r="BG440" s="702" t="e">
        <f t="shared" ca="1" si="7730"/>
        <v>#REF!</v>
      </c>
      <c r="BH440" s="686" t="str">
        <f ca="1">IFERROR(VLOOKUP(BG440,INDIRECT(AQ437),2,FALSE),"----")</f>
        <v>----</v>
      </c>
      <c r="BI440" s="702" t="e">
        <f t="shared" ca="1" si="7731"/>
        <v>#REF!</v>
      </c>
      <c r="BJ440" s="686" t="str">
        <f ca="1">IFERROR(VLOOKUP(BI440,INDIRECT(AQ438),2,FALSE),"----")</f>
        <v>----</v>
      </c>
      <c r="BK440" s="702" t="e">
        <f t="shared" ca="1" si="7732"/>
        <v>#REF!</v>
      </c>
      <c r="BL440" s="686" t="str">
        <f ca="1">IFERROR(VLOOKUP(BK440,INDIRECT(AQ439),2,FALSE),"----")</f>
        <v>----</v>
      </c>
      <c r="BM440" s="702" t="e">
        <f t="shared" ca="1" si="7733"/>
        <v>#REF!</v>
      </c>
      <c r="BN440" s="686" t="str">
        <f ca="1">IFERROR(VLOOKUP(BM440,INDIRECT(AQ440),2,FALSE),"----")</f>
        <v>----</v>
      </c>
      <c r="BO440" s="702" t="e">
        <f t="shared" ca="1" si="7734"/>
        <v>#REF!</v>
      </c>
      <c r="BP440" s="686" t="str">
        <f ca="1">IFERROR(VLOOKUP(BO440,INDIRECT(AQ441),2,FALSE),"----")</f>
        <v>----</v>
      </c>
      <c r="BQ440" s="702" t="e">
        <f t="shared" ca="1" si="7735"/>
        <v>#REF!</v>
      </c>
      <c r="BR440" s="686" t="str">
        <f ca="1">IFERROR(VLOOKUP(BQ440,INDIRECT(AQ442),2,FALSE),"----")</f>
        <v>----</v>
      </c>
      <c r="BS440" s="695">
        <f>IF(AI440="",1,IF(COUNTIF(BN431:BN442,AI440)=0,2,1))</f>
        <v>1</v>
      </c>
      <c r="BT440" s="696">
        <f>IF(AF440="",1,IF(BN431=".",2,1))</f>
        <v>1</v>
      </c>
      <c r="BU440" s="706"/>
      <c r="BV440" s="155">
        <f ca="1">IF(COUNTIF(DX431:DX442,AF440)=0,IF(AF440&lt;&gt;"",0,1),1)</f>
        <v>1</v>
      </c>
      <c r="BW440" s="157">
        <f ca="1">IFERROR(MATCH(AF440,DX431:DX442,0),1)</f>
        <v>1</v>
      </c>
      <c r="BX440" s="769" t="e">
        <f t="shared" ref="BX440" si="7883">5*E431^3*W437/(384*X431)</f>
        <v>#VALUE!</v>
      </c>
      <c r="BY440" s="769" t="e">
        <f t="shared" ref="BY440" si="7884">E431^3*W437/(60*X431)</f>
        <v>#VALUE!</v>
      </c>
      <c r="BZ440" s="1110"/>
      <c r="CA440" s="691" t="e">
        <f t="shared" ca="1" si="7736"/>
        <v>#REF!</v>
      </c>
      <c r="CB440" s="4" t="e" cm="1">
        <f t="array" aca="1" ref="CB440" ca="1">IF(AND(INDEX(INDIRECT(BY431),CA440,4)&gt;=$AB431,INDEX(INDIRECT(BY431),CA440,5)&gt;=$S431,INDEX(INDIRECT(BY431),CA440,6)&gt;=$R431),1,0)</f>
        <v>#REF!</v>
      </c>
      <c r="CC440" s="4" t="e">
        <f t="shared" ref="CC440" ca="1" si="7885">MATCH(1,OFFSET(CB431:CB442,CD439,0,COUNT(CB431:CB442)-CD439),0)</f>
        <v>#REF!</v>
      </c>
      <c r="CD440" s="4" t="e">
        <f t="shared" ca="1" si="7738"/>
        <v>#REF!</v>
      </c>
      <c r="CE440" s="692" t="str" cm="1">
        <f t="array" aca="1" ref="CE440" ca="1">IFERROR(VLOOKUP(INDEX(CA431:CA442,CD440),INDIRECT(BY431),2,FALSE),"----")</f>
        <v>----</v>
      </c>
      <c r="CF440" s="691" t="e">
        <f t="shared" ca="1" si="7739"/>
        <v>#N/A</v>
      </c>
      <c r="CG440" s="4" t="e">
        <f ca="1">IF(AND(INDEX(SSM,CF440,4)&gt;=$AB431,INDEX(SSM,CF440,5)&gt;=$S431,INDEX(SSM,CF440,6)&gt;=$R431),1,0)</f>
        <v>#N/A</v>
      </c>
      <c r="CH440" s="4" t="e">
        <f t="shared" ref="CH440" ca="1" si="7886">MATCH(1,OFFSET(CG431:CG442,CI439,0,COUNT(CG431:CG442)-CI439),0)</f>
        <v>#REF!</v>
      </c>
      <c r="CI440" s="4" t="e">
        <f t="shared" ca="1" si="7741"/>
        <v>#REF!</v>
      </c>
      <c r="CJ440" s="692" t="str">
        <f ca="1">IFERROR(IF(AD432="Nested Steel Stud (wood infill)",VLOOKUP(INDEX(CF431:CF442,CI440),SSW,2,FALSE),VLOOKUP(INDEX(CF431:CF442,CI440),SSM,2,FALSE)),"----")</f>
        <v>----</v>
      </c>
      <c r="CK440" s="691" t="e">
        <f t="shared" ca="1" si="7742"/>
        <v>#N/A</v>
      </c>
      <c r="CL440" s="4" t="e">
        <f ca="1">IF(AND(INDEX(WSM,CK440,4)&gt;=$AB431,INDEX(WSM,CK440,5)&gt;=$S431,INDEX(WSM,CK440,6)&gt;=$R431),1,0)</f>
        <v>#N/A</v>
      </c>
      <c r="CM440" s="4" t="e">
        <f t="shared" ref="CM440" ca="1" si="7887">MATCH(1,OFFSET(CL431:CL442,CN439,0,COUNT(CL431:CL442)-CN439),0)</f>
        <v>#REF!</v>
      </c>
      <c r="CN440" s="4" t="e">
        <f t="shared" ca="1" si="7744"/>
        <v>#REF!</v>
      </c>
      <c r="CO440" s="692" t="str">
        <f ca="1">IFERROR(VLOOKUP(INDEX(CK431:CK442,CN440),WSM,2,FALSE),"----")</f>
        <v>----</v>
      </c>
      <c r="CP440" s="691" t="e">
        <f t="shared" ca="1" si="7745"/>
        <v>#N/A</v>
      </c>
      <c r="CQ440" s="4" t="e">
        <f ca="1">IF(AND(INDEX(STM,CP440,4)&gt;=$AB431,INDEX(STM,CP440,5)&gt;=$S431,INDEX(STM,CP440,6)&gt;=$R431),1,0)</f>
        <v>#N/A</v>
      </c>
      <c r="CR440" s="4" t="e">
        <f t="shared" ref="CR440" ca="1" si="7888">MATCH(1,OFFSET(CQ431:CQ442,CS439,0,COUNT(CQ431:CQ442)-CS439),0)</f>
        <v>#REF!</v>
      </c>
      <c r="CS440" s="4" t="e">
        <f t="shared" ca="1" si="7747"/>
        <v>#REF!</v>
      </c>
      <c r="CT440" s="692" t="str">
        <f ca="1">IFERROR(VLOOKUP(INDEX(CP431:CP442,CS440),STM,2,FALSE),"----")</f>
        <v>----</v>
      </c>
      <c r="CU440" s="691" t="e">
        <f t="shared" ca="1" si="7748"/>
        <v>#N/A</v>
      </c>
      <c r="CV440" s="4" t="e">
        <f ca="1">IF(AND(INDEX(ELM,CU440,4)&gt;=$AB431,INDEX(ELM,CU440,5)&gt;=$S431,INDEX(ELM,CU440,6)&gt;=$R431),1,0)</f>
        <v>#N/A</v>
      </c>
      <c r="CW440" s="4" t="e">
        <f t="shared" ref="CW440" ca="1" si="7889">MATCH(1,OFFSET(CV431:CV442,CX439,0,COUNT(CV431:CV442)-CX439),0)</f>
        <v>#REF!</v>
      </c>
      <c r="CX440" s="4" t="e">
        <f t="shared" ca="1" si="7750"/>
        <v>#REF!</v>
      </c>
      <c r="CY440" s="692" t="str">
        <f ca="1">IFERROR(VLOOKUP(INDEX(CU431:CU442,CX440),ELM,2,FALSE),"----")</f>
        <v>----</v>
      </c>
      <c r="CZ440" s="691" t="e">
        <f t="shared" ca="1" si="7751"/>
        <v>#N/A</v>
      </c>
      <c r="DA440" s="4" t="e">
        <f ca="1">IF(LEFT($J431,7)="Clad Wo",IF(AND(INDEX(SPPWS,CZ440,4)&gt;=$AB431,INDEX(SPPWS,CZ440,5)&gt;=$S431,INDEX(SPPWS,CZ440,6)&gt;=$R431),1,0),IF(AND(INDEX(SPM,CZ440,4)&gt;=$AB431,INDEX(SPM,CZ440,5)&gt;=$S431,INDEX(SPM,CZ440,6)&gt;=$R431),1,0))</f>
        <v>#N/A</v>
      </c>
      <c r="DB440" s="4" t="e">
        <f t="shared" ref="DB440" ca="1" si="7890">MATCH(1,OFFSET(DA431:DA442,DC439,0,COUNT(DA431:DA442)-DC439),0)</f>
        <v>#REF!</v>
      </c>
      <c r="DC440" s="4" t="e">
        <f t="shared" ca="1" si="7753"/>
        <v>#REF!</v>
      </c>
      <c r="DD440" s="693" t="str">
        <f ca="1">IF(LEFT($J431,7)="Clad Wo",IFERROR(VLOOKUP(INDEX(CZ431:CZ442,DC440),SPPWS,2,FALSE),"----"),IFERROR(VLOOKUP(INDEX(CZ431:CZ442,DC440),SPM,2,FALSE),"----"))</f>
        <v>----</v>
      </c>
      <c r="DE440" s="691" t="e">
        <f t="shared" ca="1" si="7754"/>
        <v>#REF!</v>
      </c>
      <c r="DF440" s="4" t="e" cm="1">
        <f t="array" aca="1" ref="DF440" ca="1">IF(AND(INDEX(INDIRECT(BY431),DE440,4)&gt;=$AB437,INDEX(INDIRECT(BY431),DE440,5)&gt;=$S431,INDEX(INDIRECT(BY431),DE440,6)&gt;=$R431),1,0)</f>
        <v>#REF!</v>
      </c>
      <c r="DG440" s="4" t="e">
        <f t="shared" ref="DG440" ca="1" si="7891">MATCH(1,OFFSET(DF431:DF442,DH439,0,COUNT(DF431:DF442)-DH439),0)</f>
        <v>#REF!</v>
      </c>
      <c r="DH440" s="4" t="e">
        <f t="shared" ca="1" si="7756"/>
        <v>#REF!</v>
      </c>
      <c r="DI440" s="692" t="str" cm="1">
        <f t="array" aca="1" ref="DI440" ca="1">IFERROR(VLOOKUP(INDEX(DE431:DE442,DH440),INDIRECT(BY431),2,FALSE),"----")</f>
        <v>----</v>
      </c>
      <c r="DJ440" s="691" t="e">
        <f t="shared" ca="1" si="7757"/>
        <v>#N/A</v>
      </c>
      <c r="DK440" s="4" t="e">
        <f ca="1">IF(AND(INDEX(SSM,DJ440,4)&gt;=$AB437,INDEX(SSM,DJ440,5)&gt;=$S431,INDEX(SSM,DJ440,6)&gt;=$R431),1,0)</f>
        <v>#N/A</v>
      </c>
      <c r="DL440" s="4" t="e">
        <f t="shared" ref="DL440" ca="1" si="7892">MATCH(1,OFFSET(DK431:DK442,DM439,0,COUNT(DK431:DK442)-DM439),0)</f>
        <v>#REF!</v>
      </c>
      <c r="DM440" s="4" t="e">
        <f t="shared" ca="1" si="7759"/>
        <v>#REF!</v>
      </c>
      <c r="DN440" s="692" t="str">
        <f ca="1">IFERROR(IF(AD438="Nested Steel Stud (wood infill)",VLOOKUP(INDEX(DJ431:DJ442,DM440),SSW,2,FALSE),VLOOKUP(INDEX(DJ431:DJ442,DM440),SSM,2,FALSE)),"----")</f>
        <v>----</v>
      </c>
      <c r="DO440" s="691" t="e">
        <f t="shared" ca="1" si="7760"/>
        <v>#N/A</v>
      </c>
      <c r="DP440" s="4" t="e">
        <f ca="1">IF(AND(INDEX(WSM,DO440,4)&gt;=$AB437,INDEX(WSM,DO440,5)&gt;=$S431,INDEX(WSM,DO440,6)&gt;=$R431),1,0)</f>
        <v>#N/A</v>
      </c>
      <c r="DQ440" s="4" t="e">
        <f t="shared" ref="DQ440" ca="1" si="7893">MATCH(1,OFFSET(DP431:DP442,DR439,0,COUNT(DP431:DP442)-DR439),0)</f>
        <v>#REF!</v>
      </c>
      <c r="DR440" s="4" t="e">
        <f t="shared" ca="1" si="7762"/>
        <v>#REF!</v>
      </c>
      <c r="DS440" s="692" t="str">
        <f ca="1">IFERROR(VLOOKUP(INDEX(DO431:DO442,DR440),WSM,2,FALSE),"----")</f>
        <v>----</v>
      </c>
      <c r="DT440" s="691" t="e">
        <f t="shared" ca="1" si="7763"/>
        <v>#N/A</v>
      </c>
      <c r="DU440" s="4" t="e">
        <f ca="1">IF(AND(INDEX(STM,DT440,4)&gt;=$AB437,INDEX(STM,DT440,5)&gt;=$S431,INDEX(STM,DT440,6)&gt;=$R431),1,0)</f>
        <v>#N/A</v>
      </c>
      <c r="DV440" s="4" t="e">
        <f t="shared" ref="DV440" ca="1" si="7894">MATCH(1,OFFSET(DU431:DU442,DW439,0,COUNT(DU431:DU442)-DW439),0)</f>
        <v>#REF!</v>
      </c>
      <c r="DW440" s="4" t="e">
        <f t="shared" ca="1" si="7765"/>
        <v>#REF!</v>
      </c>
      <c r="DX440" s="692" t="str">
        <f ca="1">IFERROR(VLOOKUP(INDEX(DT431:DT442,DW440),STM,2,FALSE),"----")</f>
        <v>----</v>
      </c>
      <c r="DY440" s="691" t="e">
        <f t="shared" ca="1" si="7766"/>
        <v>#N/A</v>
      </c>
      <c r="DZ440" s="4" t="e">
        <f ca="1">IF(AND(INDEX(ELM,DY440,4)&gt;=$AB437,INDEX(ELM,DY440,5)&gt;=$S431,INDEX(ELM,DY440,6)&gt;=$R431),1,0)</f>
        <v>#N/A</v>
      </c>
      <c r="EA440" s="4" t="e">
        <f t="shared" ref="EA440" ca="1" si="7895">MATCH(1,OFFSET(DZ431:DZ442,EB439,0,COUNT(DZ431:DZ442)-EB439),0)</f>
        <v>#REF!</v>
      </c>
      <c r="EB440" s="4" t="e">
        <f t="shared" ca="1" si="7768"/>
        <v>#REF!</v>
      </c>
      <c r="EC440" s="692" t="str">
        <f ca="1">IFERROR(VLOOKUP(INDEX(DY431:DY442,EB440),ELM,2,FALSE),"----")</f>
        <v>----</v>
      </c>
      <c r="ED440" s="691" t="e">
        <f t="shared" ca="1" si="7769"/>
        <v>#N/A</v>
      </c>
      <c r="EE440" s="4" t="e">
        <f ca="1">IF(LEFT($J431,7)="Clad Wo",IF(AND(INDEX(SPPWS,ED440,4)&gt;=$AB437,INDEX(SPPWS,ED440,5)&gt;=$S431,INDEX(SPPWS,ED440,6)&gt;=$R431),1,0),IF(AND(INDEX(SPM,ED440,4)&gt;=$AB437,INDEX(SPM,ED440,5)&gt;=$S431,INDEX(SPM,ED440,6)&gt;=$R431),1,0))</f>
        <v>#N/A</v>
      </c>
      <c r="EF440" s="4" t="e">
        <f t="shared" ref="EF440" ca="1" si="7896">MATCH(1,OFFSET(EE431:EE442,EG439,0,COUNT(EE431:EE442)-EG439),0)</f>
        <v>#REF!</v>
      </c>
      <c r="EG440" s="4" t="e">
        <f t="shared" ca="1" si="7771"/>
        <v>#REF!</v>
      </c>
      <c r="EH440" s="692" t="str">
        <f ca="1">IF(LEFT($J431,7)="Clad Wo",IFERROR(VLOOKUP(INDEX(ED431:ED442,EG440),SPPWS,2,FALSE),"----"),IFERROR(VLOOKUP(INDEX(ED431:ED442,EG440),SPM,2,FALSE),"----"))</f>
        <v>----</v>
      </c>
    </row>
    <row r="441" spans="1:138" ht="15" customHeight="1" x14ac:dyDescent="0.25">
      <c r="A441" s="1085"/>
      <c r="B441" s="925"/>
      <c r="C441" s="926"/>
      <c r="D441" s="927"/>
      <c r="E441" s="995"/>
      <c r="F441" s="996"/>
      <c r="G441" s="997"/>
      <c r="H441" s="1062"/>
      <c r="I441" s="990"/>
      <c r="J441" s="902"/>
      <c r="K441" s="903"/>
      <c r="L441" s="1002"/>
      <c r="M441" s="923"/>
      <c r="N441" s="1042"/>
      <c r="O441" s="1018"/>
      <c r="P441" s="987"/>
      <c r="Q441" s="1015"/>
      <c r="R441" s="1012"/>
      <c r="S441" s="1006"/>
      <c r="T441" s="1007"/>
      <c r="U441" s="878"/>
      <c r="V441" s="881"/>
      <c r="W441" s="884"/>
      <c r="X441" s="884"/>
      <c r="Y441" s="887"/>
      <c r="Z441" s="887"/>
      <c r="AA441" s="887"/>
      <c r="AB441" s="1081"/>
      <c r="AC441" s="1078"/>
      <c r="AD441" s="1070" t="str">
        <f t="shared" si="7388"/>
        <v>Engineered Lumber</v>
      </c>
      <c r="AE441" s="1071"/>
      <c r="AF441" s="1052"/>
      <c r="AG441" s="1053"/>
      <c r="AH441" s="1053"/>
      <c r="AI441" s="1068"/>
      <c r="AJ441" s="1069"/>
      <c r="AK441" s="154" t="str">
        <f t="shared" ca="1" si="7482"/>
        <v/>
      </c>
      <c r="AL441" s="1059"/>
      <c r="AM441" s="344" t="str">
        <f ca="1">IFERROR(Q431/12*ROUND(VLOOKUP(AF441,OFFSET(ELM,0,1),6,FALSE),2),"")</f>
        <v/>
      </c>
      <c r="AN441" t="str">
        <f t="shared" ca="1" si="7532"/>
        <v/>
      </c>
      <c r="AP441" s="122" t="str">
        <f t="shared" ref="AP441" si="7897">_xlfn.CONCAT(AR441,AS442)</f>
        <v/>
      </c>
      <c r="AQ441" s="683" t="str">
        <f t="shared" si="7698"/>
        <v/>
      </c>
      <c r="AR441" s="4" t="str">
        <f t="shared" si="7457"/>
        <v/>
      </c>
      <c r="AS441" s="4"/>
      <c r="AT441" s="697" t="str">
        <f>AL437</f>
        <v/>
      </c>
      <c r="AU441" s="694" t="e">
        <f t="shared" ca="1" si="7724"/>
        <v>#REF!</v>
      </c>
      <c r="AV441" s="698" t="str">
        <f ca="1">IFERROR(VLOOKUP(AU441,INDIRECT(AQ431),2,FALSE),"----")</f>
        <v>----</v>
      </c>
      <c r="AW441" s="694" t="e">
        <f t="shared" ca="1" si="7725"/>
        <v>#REF!</v>
      </c>
      <c r="AX441" s="698" t="str">
        <f ca="1">IFERROR(VLOOKUP(AW441,INDIRECT(AQ432),2,FALSE),"----")</f>
        <v>----</v>
      </c>
      <c r="AY441" s="694" t="e">
        <f t="shared" ca="1" si="7644"/>
        <v>#REF!</v>
      </c>
      <c r="AZ441" s="698" t="str">
        <f ca="1">IFERROR(VLOOKUP(AY441,INDIRECT(AQ433),2,FALSE),"----")</f>
        <v>----</v>
      </c>
      <c r="BA441" s="694" t="e">
        <f t="shared" ca="1" si="7645"/>
        <v>#REF!</v>
      </c>
      <c r="BB441" s="698" t="str">
        <f ca="1">IFERROR(VLOOKUP(BA441,INDIRECT(AQ434),2,FALSE),"----")</f>
        <v>----</v>
      </c>
      <c r="BC441" s="694" t="e">
        <f t="shared" ca="1" si="7728"/>
        <v>#REF!</v>
      </c>
      <c r="BD441" s="698" t="str">
        <f ca="1">IFERROR(VLOOKUP(BC441,INDIRECT(AQ435),2,FALSE),"----")</f>
        <v>----</v>
      </c>
      <c r="BE441" s="694" t="e">
        <f t="shared" ca="1" si="7729"/>
        <v>#REF!</v>
      </c>
      <c r="BF441" s="698" t="str">
        <f ca="1">IFERROR(VLOOKUP(BE441,INDIRECT(AQ436),2,FALSE),"----")</f>
        <v>----</v>
      </c>
      <c r="BG441" s="702" t="e">
        <f t="shared" ca="1" si="7730"/>
        <v>#REF!</v>
      </c>
      <c r="BH441" s="686" t="str">
        <f ca="1">IFERROR(VLOOKUP(BG441,INDIRECT(AQ437),2,FALSE),"----")</f>
        <v>----</v>
      </c>
      <c r="BI441" s="702" t="e">
        <f t="shared" ca="1" si="7731"/>
        <v>#REF!</v>
      </c>
      <c r="BJ441" s="686" t="str">
        <f ca="1">IFERROR(VLOOKUP(BI441,INDIRECT(AQ438),2,FALSE),"----")</f>
        <v>----</v>
      </c>
      <c r="BK441" s="702" t="e">
        <f t="shared" ca="1" si="7732"/>
        <v>#REF!</v>
      </c>
      <c r="BL441" s="686" t="str">
        <f ca="1">IFERROR(VLOOKUP(BK441,INDIRECT(AQ439),2,FALSE),"----")</f>
        <v>----</v>
      </c>
      <c r="BM441" s="702" t="e">
        <f t="shared" ca="1" si="7733"/>
        <v>#REF!</v>
      </c>
      <c r="BN441" s="686" t="str">
        <f ca="1">IFERROR(VLOOKUP(BM441,INDIRECT(AQ440),2,FALSE),"----")</f>
        <v>----</v>
      </c>
      <c r="BO441" s="702" t="e">
        <f t="shared" ca="1" si="7734"/>
        <v>#REF!</v>
      </c>
      <c r="BP441" s="686" t="str">
        <f ca="1">IFERROR(VLOOKUP(BO441,INDIRECT(AQ441),2,FALSE),"----")</f>
        <v>----</v>
      </c>
      <c r="BQ441" s="702" t="e">
        <f t="shared" ca="1" si="7735"/>
        <v>#REF!</v>
      </c>
      <c r="BR441" s="686" t="str">
        <f ca="1">IFERROR(VLOOKUP(BQ441,INDIRECT(AQ442),2,FALSE),"----")</f>
        <v>----</v>
      </c>
      <c r="BS441" s="695">
        <f>IF(AI441="",1,IF(COUNTIF(BP431:BP442,AI441)=0,2,1))</f>
        <v>1</v>
      </c>
      <c r="BT441" s="696">
        <f>IF(AF441="",1,IF(BP431=".",2,1))</f>
        <v>1</v>
      </c>
      <c r="BU441" s="706"/>
      <c r="BV441" s="155">
        <f ca="1">IF(COUNTIF(EC431:EC442,AF441)=0,IF(AF441&lt;&gt;"",0,1),1)</f>
        <v>1</v>
      </c>
      <c r="BW441" s="157">
        <f ca="1">IFERROR(MATCH(AF441,EC431:EC442,0),1)</f>
        <v>1</v>
      </c>
      <c r="BX441" s="769"/>
      <c r="BY441" s="769"/>
      <c r="BZ441" s="1110"/>
      <c r="CA441" s="691" t="e">
        <f t="shared" ca="1" si="7736"/>
        <v>#REF!</v>
      </c>
      <c r="CB441" s="4" t="e" cm="1">
        <f t="array" aca="1" ref="CB441" ca="1">IF(AND(INDEX(INDIRECT(BY431),CA441,4)&gt;=$AB431,INDEX(INDIRECT(BY431),CA441,5)&gt;=$S431,INDEX(INDIRECT(BY431),CA441,6)&gt;=$R431),1,0)</f>
        <v>#REF!</v>
      </c>
      <c r="CC441" s="4" t="e">
        <f t="shared" ref="CC441" ca="1" si="7898">MATCH(1,OFFSET(CB431:CB442,CD440,0,COUNT(CB431:CB442)-CD440),0)</f>
        <v>#REF!</v>
      </c>
      <c r="CD441" s="4" t="e">
        <f t="shared" ca="1" si="7738"/>
        <v>#REF!</v>
      </c>
      <c r="CE441" s="692" t="str" cm="1">
        <f t="array" aca="1" ref="CE441" ca="1">IFERROR(VLOOKUP(INDEX(CA431:CA442,CD441),INDIRECT(BY431),2,FALSE),"----")</f>
        <v>----</v>
      </c>
      <c r="CF441" s="691" t="e">
        <f t="shared" ca="1" si="7739"/>
        <v>#N/A</v>
      </c>
      <c r="CG441" s="4" t="e">
        <f ca="1">IF(AND(INDEX(SSM,CF441,4)&gt;=$AB431,INDEX(SSM,CF441,5)&gt;=$S431,INDEX(SSM,CF441,6)&gt;=$R431),1,0)</f>
        <v>#N/A</v>
      </c>
      <c r="CH441" s="4" t="e">
        <f t="shared" ref="CH441" ca="1" si="7899">MATCH(1,OFFSET(CG431:CG442,CI440,0,COUNT(CG431:CG442)-CI440),0)</f>
        <v>#REF!</v>
      </c>
      <c r="CI441" s="4" t="e">
        <f t="shared" ca="1" si="7741"/>
        <v>#REF!</v>
      </c>
      <c r="CJ441" s="692" t="str">
        <f ca="1">IFERROR(IF(AD432="Nested Steel Stud (wood infill)",VLOOKUP(INDEX(CF431:CF442,CI441),SSW,2,FALSE),VLOOKUP(INDEX(CF431:CF442,CI441),SSM,2,FALSE)),"----")</f>
        <v>----</v>
      </c>
      <c r="CK441" s="691" t="e">
        <f t="shared" ca="1" si="7742"/>
        <v>#N/A</v>
      </c>
      <c r="CL441" s="4" t="e">
        <f ca="1">IF(AND(INDEX(WSM,CK441,4)&gt;=$AB431,INDEX(WSM,CK441,5)&gt;=$S431,INDEX(WSM,CK441,6)&gt;=$R431),1,0)</f>
        <v>#N/A</v>
      </c>
      <c r="CM441" s="4" t="e">
        <f t="shared" ref="CM441" ca="1" si="7900">MATCH(1,OFFSET(CL431:CL442,CN440,0,COUNT(CL431:CL442)-CN440),0)</f>
        <v>#REF!</v>
      </c>
      <c r="CN441" s="4" t="e">
        <f t="shared" ca="1" si="7744"/>
        <v>#REF!</v>
      </c>
      <c r="CO441" s="692" t="str">
        <f ca="1">IFERROR(VLOOKUP(INDEX(CK431:CK442,CN441),WSM,2,FALSE),"----")</f>
        <v>----</v>
      </c>
      <c r="CP441" s="691" t="e">
        <f t="shared" ca="1" si="7745"/>
        <v>#N/A</v>
      </c>
      <c r="CQ441" s="4" t="e">
        <f ca="1">IF(AND(INDEX(STM,CP441,4)&gt;=$AB431,INDEX(STM,CP441,5)&gt;=$S431,INDEX(STM,CP441,6)&gt;=$R431),1,0)</f>
        <v>#N/A</v>
      </c>
      <c r="CR441" s="4" t="e">
        <f t="shared" ref="CR441" ca="1" si="7901">MATCH(1,OFFSET(CQ431:CQ442,CS440,0,COUNT(CQ431:CQ442)-CS440),0)</f>
        <v>#REF!</v>
      </c>
      <c r="CS441" s="4" t="e">
        <f t="shared" ca="1" si="7747"/>
        <v>#REF!</v>
      </c>
      <c r="CT441" s="692" t="str">
        <f ca="1">IFERROR(VLOOKUP(INDEX(CP431:CP442,CS441),STM,2,FALSE),"----")</f>
        <v>----</v>
      </c>
      <c r="CU441" s="691" t="e">
        <f t="shared" ca="1" si="7748"/>
        <v>#N/A</v>
      </c>
      <c r="CV441" s="4" t="e">
        <f ca="1">IF(AND(INDEX(ELM,CU441,4)&gt;=$AB431,INDEX(ELM,CU441,5)&gt;=$S431,INDEX(ELM,CU441,6)&gt;=$R431),1,0)</f>
        <v>#N/A</v>
      </c>
      <c r="CW441" s="4" t="e">
        <f t="shared" ref="CW441" ca="1" si="7902">MATCH(1,OFFSET(CV431:CV442,CX440,0,COUNT(CV431:CV442)-CX440),0)</f>
        <v>#REF!</v>
      </c>
      <c r="CX441" s="4" t="e">
        <f t="shared" ca="1" si="7750"/>
        <v>#REF!</v>
      </c>
      <c r="CY441" s="692" t="str">
        <f ca="1">IFERROR(VLOOKUP(INDEX(CU431:CU442,CX441),ELM,2,FALSE),"----")</f>
        <v>----</v>
      </c>
      <c r="CZ441" s="691" t="e">
        <f t="shared" ca="1" si="7751"/>
        <v>#N/A</v>
      </c>
      <c r="DA441" s="4" t="e">
        <f ca="1">IF(LEFT($J431,7)="Clad Wo",IF(AND(INDEX(SPPWS,CZ441,4)&gt;=$AB431,INDEX(SPPWS,CZ441,5)&gt;=$S431,INDEX(SPPWS,CZ441,6)&gt;=$R431),1,0),IF(AND(INDEX(SPM,CZ441,4)&gt;=$AB431,INDEX(SPM,CZ441,5)&gt;=$S431,INDEX(SPM,CZ441,6)&gt;=$R431),1,0))</f>
        <v>#N/A</v>
      </c>
      <c r="DB441" s="4" t="e">
        <f t="shared" ref="DB441" ca="1" si="7903">MATCH(1,OFFSET(DA431:DA442,DC440,0,COUNT(DA431:DA442)-DC440),0)</f>
        <v>#REF!</v>
      </c>
      <c r="DC441" s="4" t="e">
        <f t="shared" ca="1" si="7753"/>
        <v>#REF!</v>
      </c>
      <c r="DD441" s="693" t="str">
        <f ca="1">IF(LEFT($J431,7)="Clad Wo",IFERROR(VLOOKUP(INDEX(CZ431:CZ442,DC441),SPPWS,2,FALSE),"----"),IFERROR(VLOOKUP(INDEX(CZ431:CZ442,DC441),SPM,2,FALSE),"----"))</f>
        <v>----</v>
      </c>
      <c r="DE441" s="691" t="e">
        <f t="shared" ca="1" si="7754"/>
        <v>#REF!</v>
      </c>
      <c r="DF441" s="4" t="e" cm="1">
        <f t="array" aca="1" ref="DF441" ca="1">IF(AND(INDEX(INDIRECT(BY431),DE441,4)&gt;=$AB437,INDEX(INDIRECT(BY431),DE441,5)&gt;=$S431,INDEX(INDIRECT(BY431),DE441,6)&gt;=$R431),1,0)</f>
        <v>#REF!</v>
      </c>
      <c r="DG441" s="4" t="e">
        <f t="shared" ref="DG441" ca="1" si="7904">MATCH(1,OFFSET(DF431:DF442,DH440,0,COUNT(DF431:DF442)-DH440),0)</f>
        <v>#REF!</v>
      </c>
      <c r="DH441" s="4" t="e">
        <f t="shared" ca="1" si="7756"/>
        <v>#REF!</v>
      </c>
      <c r="DI441" s="692" t="str" cm="1">
        <f t="array" aca="1" ref="DI441" ca="1">IFERROR(VLOOKUP(INDEX(DE431:DE442,DH441),INDIRECT(BY431),2,FALSE),"----")</f>
        <v>----</v>
      </c>
      <c r="DJ441" s="691" t="e">
        <f t="shared" ca="1" si="7757"/>
        <v>#N/A</v>
      </c>
      <c r="DK441" s="4" t="e">
        <f ca="1">IF(AND(INDEX(SSM,DJ441,4)&gt;=$AB437,INDEX(SSM,DJ441,5)&gt;=$S431,INDEX(SSM,DJ441,6)&gt;=$R431),1,0)</f>
        <v>#N/A</v>
      </c>
      <c r="DL441" s="4" t="e">
        <f t="shared" ref="DL441" ca="1" si="7905">MATCH(1,OFFSET(DK431:DK442,DM440,0,COUNT(DK431:DK442)-DM440),0)</f>
        <v>#REF!</v>
      </c>
      <c r="DM441" s="4" t="e">
        <f t="shared" ca="1" si="7759"/>
        <v>#REF!</v>
      </c>
      <c r="DN441" s="692" t="str">
        <f ca="1">IFERROR(IF(AD438="Nested Steel Stud (wood infill)",VLOOKUP(INDEX(DJ431:DJ442,DM441),SSW,2,FALSE),VLOOKUP(INDEX(DJ431:DJ442,DM441),SSM,2,FALSE)),"----")</f>
        <v>----</v>
      </c>
      <c r="DO441" s="691" t="e">
        <f t="shared" ca="1" si="7760"/>
        <v>#N/A</v>
      </c>
      <c r="DP441" s="4" t="e">
        <f ca="1">IF(AND(INDEX(WSM,DO441,4)&gt;=$AB437,INDEX(WSM,DO441,5)&gt;=$S431,INDEX(WSM,DO441,6)&gt;=$R431),1,0)</f>
        <v>#N/A</v>
      </c>
      <c r="DQ441" s="4" t="e">
        <f t="shared" ref="DQ441" ca="1" si="7906">MATCH(1,OFFSET(DP431:DP442,DR440,0,COUNT(DP431:DP442)-DR440),0)</f>
        <v>#REF!</v>
      </c>
      <c r="DR441" s="4" t="e">
        <f t="shared" ca="1" si="7762"/>
        <v>#REF!</v>
      </c>
      <c r="DS441" s="692" t="str">
        <f ca="1">IFERROR(VLOOKUP(INDEX(DO431:DO442,DR441),WSM,2,FALSE),"----")</f>
        <v>----</v>
      </c>
      <c r="DT441" s="691" t="e">
        <f t="shared" ca="1" si="7763"/>
        <v>#N/A</v>
      </c>
      <c r="DU441" s="4" t="e">
        <f ca="1">IF(AND(INDEX(STM,DT441,4)&gt;=$AB437,INDEX(STM,DT441,5)&gt;=$S431,INDEX(STM,DT441,6)&gt;=$R431),1,0)</f>
        <v>#N/A</v>
      </c>
      <c r="DV441" s="4" t="e">
        <f t="shared" ref="DV441" ca="1" si="7907">MATCH(1,OFFSET(DU431:DU442,DW440,0,COUNT(DU431:DU442)-DW440),0)</f>
        <v>#REF!</v>
      </c>
      <c r="DW441" s="4" t="e">
        <f t="shared" ca="1" si="7765"/>
        <v>#REF!</v>
      </c>
      <c r="DX441" s="692" t="str">
        <f ca="1">IFERROR(VLOOKUP(INDEX(DT431:DT442,DW441),STM,2,FALSE),"----")</f>
        <v>----</v>
      </c>
      <c r="DY441" s="691" t="e">
        <f t="shared" ca="1" si="7766"/>
        <v>#N/A</v>
      </c>
      <c r="DZ441" s="4" t="e">
        <f ca="1">IF(AND(INDEX(ELM,DY441,4)&gt;=$AB437,INDEX(ELM,DY441,5)&gt;=$S431,INDEX(ELM,DY441,6)&gt;=$R431),1,0)</f>
        <v>#N/A</v>
      </c>
      <c r="EA441" s="4" t="e">
        <f t="shared" ref="EA441" ca="1" si="7908">MATCH(1,OFFSET(DZ431:DZ442,EB440,0,COUNT(DZ431:DZ442)-EB440),0)</f>
        <v>#REF!</v>
      </c>
      <c r="EB441" s="4" t="e">
        <f t="shared" ca="1" si="7768"/>
        <v>#REF!</v>
      </c>
      <c r="EC441" s="692" t="str">
        <f ca="1">IFERROR(VLOOKUP(INDEX(DY431:DY442,EB441),ELM,2,FALSE),"----")</f>
        <v>----</v>
      </c>
      <c r="ED441" s="691" t="e">
        <f t="shared" ca="1" si="7769"/>
        <v>#N/A</v>
      </c>
      <c r="EE441" s="4" t="e">
        <f ca="1">IF(LEFT($J431,7)="Clad Wo",IF(AND(INDEX(SPPWS,ED441,4)&gt;=$AB437,INDEX(SPPWS,ED441,5)&gt;=$S431,INDEX(SPPWS,ED441,6)&gt;=$R431),1,0),IF(AND(INDEX(SPM,ED441,4)&gt;=$AB437,INDEX(SPM,ED441,5)&gt;=$S431,INDEX(SPM,ED441,6)&gt;=$R431),1,0))</f>
        <v>#N/A</v>
      </c>
      <c r="EF441" s="4" t="e">
        <f t="shared" ref="EF441" ca="1" si="7909">MATCH(1,OFFSET(EE431:EE442,EG440,0,COUNT(EE431:EE442)-EG440),0)</f>
        <v>#REF!</v>
      </c>
      <c r="EG441" s="4" t="e">
        <f t="shared" ca="1" si="7771"/>
        <v>#REF!</v>
      </c>
      <c r="EH441" s="692" t="str">
        <f ca="1">IF(LEFT($J431,7)="Clad Wo",IFERROR(VLOOKUP(INDEX(ED431:ED442,EG441),SPPWS,2,FALSE),"----"),IFERROR(VLOOKUP(INDEX(ED431:ED442,EG441),SPM,2,FALSE),"----"))</f>
        <v>----</v>
      </c>
    </row>
    <row r="442" spans="1:138" ht="15" customHeight="1" thickBot="1" x14ac:dyDescent="0.3">
      <c r="A442" s="1085"/>
      <c r="B442" s="928"/>
      <c r="C442" s="929"/>
      <c r="D442" s="930"/>
      <c r="E442" s="998"/>
      <c r="F442" s="999"/>
      <c r="G442" s="1000"/>
      <c r="H442" s="1063"/>
      <c r="I442" s="991"/>
      <c r="J442" s="904"/>
      <c r="K442" s="905"/>
      <c r="L442" s="1003"/>
      <c r="M442" s="1065"/>
      <c r="N442" s="1043"/>
      <c r="O442" s="1019"/>
      <c r="P442" s="988"/>
      <c r="Q442" s="1016"/>
      <c r="R442" s="1013"/>
      <c r="S442" s="1008"/>
      <c r="T442" s="1009"/>
      <c r="U442" s="879"/>
      <c r="V442" s="882"/>
      <c r="W442" s="885"/>
      <c r="X442" s="885"/>
      <c r="Y442" s="888"/>
      <c r="Z442" s="888"/>
      <c r="AA442" s="888"/>
      <c r="AB442" s="1082"/>
      <c r="AC442" s="1087"/>
      <c r="AD442" s="1098" t="str">
        <f t="shared" ref="AD442" si="7910">IF(LEFT(J431,7)="Clad Wo","Pella Wood Spr / Steel Pte","Steel Plate")</f>
        <v>Steel Plate</v>
      </c>
      <c r="AE442" s="1099"/>
      <c r="AF442" s="1096"/>
      <c r="AG442" s="1097"/>
      <c r="AH442" s="1097"/>
      <c r="AI442" s="1094"/>
      <c r="AJ442" s="1095"/>
      <c r="AK442" s="163" t="str">
        <f t="shared" ca="1" si="7482"/>
        <v/>
      </c>
      <c r="AL442" s="1060"/>
      <c r="AM442" s="345" t="str">
        <f ca="1">IFERROR(Q431/12*ROUND(VLOOKUP(AF442,OFFSET(SPM,0,1),6,FALSE),2),"")</f>
        <v/>
      </c>
      <c r="AN442" t="str">
        <f t="shared" ca="1" si="7532"/>
        <v/>
      </c>
      <c r="AP442" s="699" t="str">
        <f t="shared" ref="AP442" si="7911">_xlfn.CONCAT(AR442,AS442)</f>
        <v/>
      </c>
      <c r="AQ442" s="700" t="str">
        <f t="shared" si="7698"/>
        <v/>
      </c>
      <c r="AR442" s="160" t="str">
        <f t="shared" si="7457"/>
        <v/>
      </c>
      <c r="AS442" s="160" t="str">
        <f>IFERROR(VLOOKUP(J439, WallType,2,FALSE),"")</f>
        <v/>
      </c>
      <c r="AT442" s="707" t="str">
        <f>AL437</f>
        <v/>
      </c>
      <c r="AU442" s="708" t="e">
        <f t="shared" ca="1" si="7724"/>
        <v>#REF!</v>
      </c>
      <c r="AV442" s="709" t="str">
        <f ca="1">IFERROR(VLOOKUP(AU442,INDIRECT(AQ431),2,FALSE),"----")</f>
        <v>----</v>
      </c>
      <c r="AW442" s="710" t="e">
        <f t="shared" ca="1" si="7725"/>
        <v>#REF!</v>
      </c>
      <c r="AX442" s="709" t="str">
        <f ca="1">IFERROR(VLOOKUP(AW442,INDIRECT(AQ432),2,FALSE),"----")</f>
        <v>----</v>
      </c>
      <c r="AY442" s="710" t="e">
        <f t="shared" ca="1" si="7644"/>
        <v>#REF!</v>
      </c>
      <c r="AZ442" s="709" t="str">
        <f ca="1">IFERROR(VLOOKUP(AY442,INDIRECT(AQ433),2,FALSE),"----")</f>
        <v>----</v>
      </c>
      <c r="BA442" s="710" t="e">
        <f t="shared" ca="1" si="7645"/>
        <v>#REF!</v>
      </c>
      <c r="BB442" s="709" t="str">
        <f ca="1">IFERROR(VLOOKUP(BA442,INDIRECT(AQ434),2,FALSE),"----")</f>
        <v>----</v>
      </c>
      <c r="BC442" s="710" t="e">
        <f t="shared" ca="1" si="7728"/>
        <v>#REF!</v>
      </c>
      <c r="BD442" s="709" t="str">
        <f ca="1">IFERROR(VLOOKUP(BC442,INDIRECT(AQ435),2,FALSE),"----")</f>
        <v>----</v>
      </c>
      <c r="BE442" s="710" t="e">
        <f t="shared" ca="1" si="7729"/>
        <v>#REF!</v>
      </c>
      <c r="BF442" s="709" t="str">
        <f ca="1">IFERROR(VLOOKUP(BE442,INDIRECT(AQ436),2,FALSE),"----")</f>
        <v>----</v>
      </c>
      <c r="BG442" s="710" t="e">
        <f t="shared" ca="1" si="7730"/>
        <v>#REF!</v>
      </c>
      <c r="BH442" s="711" t="str">
        <f ca="1">IFERROR(VLOOKUP(BG442,INDIRECT(AQ437),2,FALSE),"----")</f>
        <v>----</v>
      </c>
      <c r="BI442" s="710" t="e">
        <f t="shared" ca="1" si="7731"/>
        <v>#REF!</v>
      </c>
      <c r="BJ442" s="711" t="str">
        <f ca="1">IFERROR(VLOOKUP(BI442,INDIRECT(AQ438),2,FALSE),"----")</f>
        <v>----</v>
      </c>
      <c r="BK442" s="710" t="e">
        <f t="shared" ca="1" si="7732"/>
        <v>#REF!</v>
      </c>
      <c r="BL442" s="711" t="str">
        <f ca="1">IFERROR(VLOOKUP(BK442,INDIRECT(AQ439),2,FALSE),"----")</f>
        <v>----</v>
      </c>
      <c r="BM442" s="710" t="e">
        <f t="shared" ca="1" si="7733"/>
        <v>#REF!</v>
      </c>
      <c r="BN442" s="711" t="str">
        <f ca="1">IFERROR(VLOOKUP(BM442,INDIRECT(AQ440),2,FALSE),"----")</f>
        <v>----</v>
      </c>
      <c r="BO442" s="710" t="e">
        <f t="shared" ca="1" si="7734"/>
        <v>#REF!</v>
      </c>
      <c r="BP442" s="711" t="str">
        <f ca="1">IFERROR(VLOOKUP(BO442,INDIRECT(AQ441),2,FALSE),"----")</f>
        <v>----</v>
      </c>
      <c r="BQ442" s="710" t="e">
        <f t="shared" ca="1" si="7735"/>
        <v>#REF!</v>
      </c>
      <c r="BR442" s="712" t="str">
        <f ca="1">IFERROR(VLOOKUP(BQ442,INDIRECT(AQ442),2,FALSE),"----")</f>
        <v>----</v>
      </c>
      <c r="BS442" s="695">
        <f>IF(AI442="",1,IF(COUNTIF(BR431:BR442,AI442)=0,2,1))</f>
        <v>1</v>
      </c>
      <c r="BT442" s="713">
        <f>IF(AF442="",1,IF(BR431=".",2,1))</f>
        <v>1</v>
      </c>
      <c r="BV442" s="155">
        <f ca="1">IF(COUNTIF(EH431:EH442,AF442)=0,IF(AF442&lt;&gt;"",0,1),1)</f>
        <v>1</v>
      </c>
      <c r="BW442" s="157">
        <f ca="1">IFERROR(MATCH(AF442,EH431:EH442,0),1)</f>
        <v>1</v>
      </c>
      <c r="BX442" s="718"/>
      <c r="BY442" s="777"/>
      <c r="BZ442" s="1110"/>
      <c r="CA442" s="714" t="e">
        <f t="shared" ca="1" si="7736"/>
        <v>#REF!</v>
      </c>
      <c r="CB442" s="715" t="e" cm="1">
        <f t="array" aca="1" ref="CB442" ca="1">IF(AND(INDEX(INDIRECT(BY431),CA442,4)&gt;=$AB431,INDEX(INDIRECT(BY431),CA442,5)&gt;=$S431,INDEX(INDIRECT(BY431),CA442,6)&gt;=$R431),1,0)</f>
        <v>#REF!</v>
      </c>
      <c r="CC442" s="715" t="e">
        <f t="shared" ref="CC442" ca="1" si="7912">MATCH(1,OFFSET(CB431:CB442,CD441,0,COUNT(CB431:CB442)-CD441),0)</f>
        <v>#REF!</v>
      </c>
      <c r="CD442" s="715" t="e">
        <f t="shared" ca="1" si="7738"/>
        <v>#REF!</v>
      </c>
      <c r="CE442" s="716" t="str" cm="1">
        <f t="array" aca="1" ref="CE442" ca="1">IFERROR(VLOOKUP(INDEX(CA431:CA442,CD442),INDIRECT(BY431),2,FALSE),"----")</f>
        <v>----</v>
      </c>
      <c r="CF442" s="714" t="e">
        <f t="shared" ca="1" si="7739"/>
        <v>#N/A</v>
      </c>
      <c r="CG442" s="715" t="e">
        <f ca="1">IF(AND(INDEX(SSM,CF442,4)&gt;=$AB431,INDEX(SSM,CF442,5)&gt;=$S431,INDEX(SSM,CF442,6)&gt;=$R431),1,0)</f>
        <v>#N/A</v>
      </c>
      <c r="CH442" s="715" t="e">
        <f t="shared" ref="CH442" ca="1" si="7913">MATCH(1,OFFSET(CG431:CG442,CI441,0,COUNT(CG431:CG442)-CI441),0)</f>
        <v>#REF!</v>
      </c>
      <c r="CI442" s="715" t="e">
        <f t="shared" ca="1" si="7741"/>
        <v>#REF!</v>
      </c>
      <c r="CJ442" s="716" t="str">
        <f ca="1">IFERROR(IF(AD432="Nested Steel Stud (wood infill)",VLOOKUP(INDEX(CF431:CF442,CI442),SSW,2,FALSE),VLOOKUP(INDEX(CF431:CF442,CI442),SSM,2,FALSE)),"----")</f>
        <v>----</v>
      </c>
      <c r="CK442" s="714" t="e">
        <f t="shared" ca="1" si="7742"/>
        <v>#N/A</v>
      </c>
      <c r="CL442" s="715" t="e">
        <f ca="1">IF(AND(INDEX(WSM,CK442,4)&gt;=$AB431,INDEX(WSM,CK442,5)&gt;=$S431,INDEX(WSM,CK442,6)&gt;=$R431),1,0)</f>
        <v>#N/A</v>
      </c>
      <c r="CM442" s="715" t="e">
        <f t="shared" ref="CM442" ca="1" si="7914">MATCH(1,OFFSET(CL431:CL442,CN441,0,COUNT(CL431:CL442)-CN441),0)</f>
        <v>#REF!</v>
      </c>
      <c r="CN442" s="715" t="e">
        <f t="shared" ca="1" si="7744"/>
        <v>#REF!</v>
      </c>
      <c r="CO442" s="716" t="str">
        <f ca="1">IFERROR(VLOOKUP(INDEX(CK431:CK442,CN442),WSM,2,FALSE),"----")</f>
        <v>----</v>
      </c>
      <c r="CP442" s="714" t="e">
        <f t="shared" ca="1" si="7745"/>
        <v>#N/A</v>
      </c>
      <c r="CQ442" s="715" t="e">
        <f ca="1">IF(AND(INDEX(STM,CP442,4)&gt;=$AB431,INDEX(STM,CP442,5)&gt;=$S431,INDEX(STM,CP442,6)&gt;=$R431),1,0)</f>
        <v>#N/A</v>
      </c>
      <c r="CR442" s="715" t="e">
        <f t="shared" ref="CR442" ca="1" si="7915">MATCH(1,OFFSET(CQ431:CQ442,CS441,0,COUNT(CQ431:CQ442)-CS441),0)</f>
        <v>#REF!</v>
      </c>
      <c r="CS442" s="715" t="e">
        <f t="shared" ca="1" si="7747"/>
        <v>#REF!</v>
      </c>
      <c r="CT442" s="716" t="str">
        <f ca="1">IFERROR(VLOOKUP(INDEX(CP431:CP442,CS442),STM,2,FALSE),"----")</f>
        <v>----</v>
      </c>
      <c r="CU442" s="714" t="e">
        <f t="shared" ca="1" si="7748"/>
        <v>#N/A</v>
      </c>
      <c r="CV442" s="715" t="e">
        <f ca="1">IF(AND(INDEX(ELM,CU442,4)&gt;=$AB431,INDEX(ELM,CU442,5)&gt;=$S431,INDEX(ELM,CU442,6)&gt;=$R431),1,0)</f>
        <v>#N/A</v>
      </c>
      <c r="CW442" s="715" t="e">
        <f t="shared" ref="CW442" ca="1" si="7916">MATCH(1,OFFSET(CV431:CV442,CX441,0,COUNT(CV431:CV442)-CX441),0)</f>
        <v>#REF!</v>
      </c>
      <c r="CX442" s="715" t="e">
        <f t="shared" ca="1" si="7750"/>
        <v>#REF!</v>
      </c>
      <c r="CY442" s="716" t="str">
        <f ca="1">IFERROR(VLOOKUP(INDEX(CU431:CU442,CX442),ELM,2,FALSE),"----")</f>
        <v>----</v>
      </c>
      <c r="CZ442" s="714" t="e">
        <f t="shared" ca="1" si="7751"/>
        <v>#N/A</v>
      </c>
      <c r="DA442" s="715" t="e">
        <f ca="1">IF(LEFT($J431,7)="Clad Wo",IF(AND(INDEX(SPPWS,CZ442,4)&gt;=$AB431,INDEX(SPPWS,CZ442,5)&gt;=$S431,INDEX(SPPWS,CZ442,6)&gt;=$R431),1,0),IF(AND(INDEX(SPM,CZ442,4)&gt;=$AB431,INDEX(SPM,CZ442,5)&gt;=$S431,INDEX(SPM,CZ442,6)&gt;=$R431),1,0))</f>
        <v>#N/A</v>
      </c>
      <c r="DB442" s="715" t="e">
        <f t="shared" ref="DB442" ca="1" si="7917">MATCH(1,OFFSET(DA431:DA442,DC441,0,COUNT(DA431:DA442)-DC441),0)</f>
        <v>#REF!</v>
      </c>
      <c r="DC442" s="715" t="e">
        <f t="shared" ca="1" si="7753"/>
        <v>#REF!</v>
      </c>
      <c r="DD442" s="717" t="str">
        <f ca="1">IF(LEFT($J431,7)="Clad Wo",IFERROR(VLOOKUP(INDEX(CZ431:CZ442,DC442),SPPWS,2,FALSE),"----"),IFERROR(VLOOKUP(INDEX(CZ431:CZ442,DC442),SPM,2,FALSE),"----"))</f>
        <v>----</v>
      </c>
      <c r="DE442" s="714" t="e">
        <f t="shared" ca="1" si="7754"/>
        <v>#REF!</v>
      </c>
      <c r="DF442" s="715" t="e" cm="1">
        <f t="array" aca="1" ref="DF442" ca="1">IF(AND(INDEX(INDIRECT(BY431),DE442,4)&gt;=$AB437,INDEX(INDIRECT(BY431),DE442,5)&gt;=$S431,INDEX(INDIRECT(BY431),DE442,6)&gt;=$R431),1,0)</f>
        <v>#REF!</v>
      </c>
      <c r="DG442" s="715" t="e">
        <f t="shared" ref="DG442" ca="1" si="7918">MATCH(1,OFFSET(DF431:DF442,DH441,0,COUNT(DF431:DF442)-DH441),0)</f>
        <v>#REF!</v>
      </c>
      <c r="DH442" s="715" t="e">
        <f t="shared" ca="1" si="7756"/>
        <v>#REF!</v>
      </c>
      <c r="DI442" s="716" t="str" cm="1">
        <f t="array" aca="1" ref="DI442" ca="1">IFERROR(VLOOKUP(INDEX(DE431:DE442,DH442),INDIRECT(BY431),2,FALSE),"----")</f>
        <v>----</v>
      </c>
      <c r="DJ442" s="714" t="e">
        <f t="shared" ca="1" si="7757"/>
        <v>#N/A</v>
      </c>
      <c r="DK442" s="715" t="e">
        <f ca="1">IF(AND(INDEX(SSM,DJ442,4)&gt;=$AB437,INDEX(SSM,DJ442,5)&gt;=$S431,INDEX(SSM,DJ442,6)&gt;=$R431),1,0)</f>
        <v>#N/A</v>
      </c>
      <c r="DL442" s="715" t="e">
        <f t="shared" ref="DL442" ca="1" si="7919">MATCH(1,OFFSET(DK431:DK442,DM441,0,COUNT(DK431:DK442)-DM441),0)</f>
        <v>#REF!</v>
      </c>
      <c r="DM442" s="715" t="e">
        <f t="shared" ca="1" si="7759"/>
        <v>#REF!</v>
      </c>
      <c r="DN442" s="716" t="str">
        <f ca="1">IFERROR(IF(AD438="Nested Steel Stud (wood infill)",VLOOKUP(INDEX(DJ431:DJ442,DM442),SSW,2,FALSE),VLOOKUP(INDEX(DJ431:DJ442,DM442),SSM,2,FALSE)),"----")</f>
        <v>----</v>
      </c>
      <c r="DO442" s="714" t="e">
        <f t="shared" ca="1" si="7760"/>
        <v>#N/A</v>
      </c>
      <c r="DP442" s="715" t="e">
        <f ca="1">IF(AND(INDEX(WSM,DO442,4)&gt;=$AB437,INDEX(WSM,DO442,5)&gt;=$S431,INDEX(WSM,DO442,6)&gt;=$R431),1,0)</f>
        <v>#N/A</v>
      </c>
      <c r="DQ442" s="715" t="e">
        <f t="shared" ref="DQ442" ca="1" si="7920">MATCH(1,OFFSET(DP431:DP442,DR441,0,COUNT(DP431:DP442)-DR441),0)</f>
        <v>#REF!</v>
      </c>
      <c r="DR442" s="715" t="e">
        <f t="shared" ca="1" si="7762"/>
        <v>#REF!</v>
      </c>
      <c r="DS442" s="716" t="str">
        <f ca="1">IFERROR(VLOOKUP(INDEX(DO431:DO442,DR442),WSM,2,FALSE),"----")</f>
        <v>----</v>
      </c>
      <c r="DT442" s="714" t="e">
        <f t="shared" ca="1" si="7763"/>
        <v>#N/A</v>
      </c>
      <c r="DU442" s="715" t="e">
        <f ca="1">IF(AND(INDEX(STM,DT442,4)&gt;=$AB437,INDEX(STM,DT442,5)&gt;=$S431,INDEX(STM,DT442,6)&gt;=$R431),1,0)</f>
        <v>#N/A</v>
      </c>
      <c r="DV442" s="715" t="e">
        <f t="shared" ref="DV442" ca="1" si="7921">MATCH(1,OFFSET(DU431:DU442,DW441,0,COUNT(DU431:DU442)-DW441),0)</f>
        <v>#REF!</v>
      </c>
      <c r="DW442" s="715" t="e">
        <f t="shared" ca="1" si="7765"/>
        <v>#REF!</v>
      </c>
      <c r="DX442" s="716" t="str">
        <f ca="1">IFERROR(VLOOKUP(INDEX(DT431:DT442,DW442),STM,2,FALSE),"----")</f>
        <v>----</v>
      </c>
      <c r="DY442" s="714" t="e">
        <f t="shared" ca="1" si="7766"/>
        <v>#N/A</v>
      </c>
      <c r="DZ442" s="715" t="e">
        <f ca="1">IF(AND(INDEX(ELM,DY442,4)&gt;=$AB437,INDEX(ELM,DY442,5)&gt;=$S431,INDEX(ELM,DY442,6)&gt;=$R431),1,0)</f>
        <v>#N/A</v>
      </c>
      <c r="EA442" s="715" t="e">
        <f t="shared" ref="EA442" ca="1" si="7922">MATCH(1,OFFSET(DZ431:DZ442,EB441,0,COUNT(DZ431:DZ442)-EB441),0)</f>
        <v>#REF!</v>
      </c>
      <c r="EB442" s="715" t="e">
        <f t="shared" ca="1" si="7768"/>
        <v>#REF!</v>
      </c>
      <c r="EC442" s="716" t="str">
        <f ca="1">IFERROR(VLOOKUP(INDEX(DY431:DY442,EB442),ELM,2,FALSE),"----")</f>
        <v>----</v>
      </c>
      <c r="ED442" s="714" t="e">
        <f t="shared" ca="1" si="7769"/>
        <v>#N/A</v>
      </c>
      <c r="EE442" s="715" t="e">
        <f ca="1">IF(LEFT($J431,7)="Clad Wo",IF(AND(INDEX(SPPWS,ED442,4)&gt;=$AB437,INDEX(SPPWS,ED442,5)&gt;=$S431,INDEX(SPPWS,ED442,6)&gt;=$R431),1,0),IF(AND(INDEX(SPM,ED442,4)&gt;=$AB437,INDEX(SPM,ED442,5)&gt;=$S431,INDEX(SPM,ED442,6)&gt;=$R431),1,0))</f>
        <v>#N/A</v>
      </c>
      <c r="EF442" s="715" t="e">
        <f t="shared" ref="EF442" ca="1" si="7923">MATCH(1,OFFSET(EE431:EE442,EG441,0,COUNT(EE431:EE442)-EG441),0)</f>
        <v>#REF!</v>
      </c>
      <c r="EG442" s="715" t="e">
        <f t="shared" ca="1" si="7771"/>
        <v>#REF!</v>
      </c>
      <c r="EH442" s="716" t="str">
        <f ca="1">IF(LEFT($J431,7)="Clad Wo",IFERROR(VLOOKUP(INDEX(ED431:ED442,EG442),SPPWS,2,FALSE),"----"),IFERROR(VLOOKUP(INDEX(ED431:ED442,EG442),SPM,2,FALSE),"----"))</f>
        <v>----</v>
      </c>
    </row>
    <row r="443" spans="1:138" ht="15" customHeight="1" thickTop="1" x14ac:dyDescent="0.25">
      <c r="A443" s="1085"/>
      <c r="B443" s="931" t="s">
        <v>92</v>
      </c>
      <c r="C443" s="932"/>
      <c r="D443" s="933"/>
      <c r="E443" s="992"/>
      <c r="F443" s="993"/>
      <c r="G443" s="994"/>
      <c r="H443" s="1061"/>
      <c r="I443" s="989"/>
      <c r="J443" s="906"/>
      <c r="K443" s="907"/>
      <c r="L443" s="1001">
        <f>$W$3</f>
        <v>4</v>
      </c>
      <c r="M443" s="923" t="str">
        <f t="shared" ref="M443" si="7924">IFERROR(IF($AE$13="",IF($AG$19="Wind Loading",MIN($V$31,IF(E$11="ASCE 7-05",$U$26,$V$7)*$V$9*(IF($E$12&lt;60,0.0771*LN(MAX(MIN(500,O443),10)) -1.2737,IF($E$11="ASCE 7-22",0.0524*LN(MAX(MIN(500,O443),50))-1.0278,0.0614*LN(MAX(MIN(500,O443),20)) -1.0829))-$V$8)),$V$7*IF(E$12&lt;60,$V$13*($V$15*0.0771*LN(MAX(MIN(500,O443),10))-1.2737-$V$16),$V$13*$V$15*((0.0524*LN(MAX(MIN(500,O443),20))-1.0278)-$V$16))),-ABS($AE$13)),"")</f>
        <v/>
      </c>
      <c r="N443" s="1042" t="str">
        <f t="shared" ref="N443" si="7925">IFERROR(IF($AE$15="",IF($AG$19="Wind Loading",MAX($U$31,IF(E$11="ASCE 7-05",$U$26,$V$7)*$V$9*((IF($E$12&lt;60,-0.077*LN(MAX(MIN(500,O443),10))+1.1737,IF($E$11="ASCE 7-22",-0.077*LN(MAX(MIN(500,O443),20))+1.0798,-0.093*LN(MAX(MIN(500,O443),20))+1.1776)))+$V$8)),$V$7*IF(E$12&lt;60,$V$13*($V$15*(-0.077*LN(MAX(MIN(500,O443),10))+1.1737)-$V$17),$V$13*$V$15*((-0.077*LN(MAX(MIN(500,O443),20))+1.0798)-$V$17))),ABS($AE$15)),"")</f>
        <v/>
      </c>
      <c r="O443" s="1017" t="str">
        <f>IF(BX450=0,"",IF(AG$14="Trapezoidal",BY450,BX450))</f>
        <v/>
      </c>
      <c r="P443" s="986"/>
      <c r="Q443" s="1014"/>
      <c r="R443" s="1011">
        <f>P443*Q443/8</f>
        <v>0</v>
      </c>
      <c r="S443" s="1004">
        <f t="shared" ref="S443" si="7926">IF(5*(P443*Q443^3/(384*0.125))=0,0,5*(P443*Q443^3/(384*0.125)))</f>
        <v>0</v>
      </c>
      <c r="T443" s="1005"/>
      <c r="U443" s="877" t="e">
        <f ca="1">VLOOKUP(J447,INDIRECT(VLOOKUP(J443,FrameStrength,2,FALSE)),3,FALSE)</f>
        <v>#N/A</v>
      </c>
      <c r="V443" s="880">
        <f t="shared" ref="V443" si="7927">(H443+I443)/2</f>
        <v>0</v>
      </c>
      <c r="W443" s="883" t="e">
        <f t="shared" ref="W443" si="7928">MAX(-M443,N443)*O443</f>
        <v>#VALUE!</v>
      </c>
      <c r="X443" s="883">
        <f t="shared" ref="X443" si="7929">IF(E443&gt;162,(E443/240+0.25),IF(AND(E443&lt;162,E443/175&lt;0.75),E443/175,0.75))</f>
        <v>0</v>
      </c>
      <c r="Y443" s="886">
        <f>IFERROR(IF(AG$14="Trapezoidal",BY451,BX451)+IF($E$17="4",(400*E443^3)/(48*X443),0),0)</f>
        <v>0</v>
      </c>
      <c r="Z443" s="886" t="e">
        <f t="shared" ref="Z443" si="7930">+($V443*MAX(-$M443,$N443)*$E443^2)/(144*8)+IF($E$17=4,(400*$E443)/4,0)</f>
        <v>#VALUE!</v>
      </c>
      <c r="AA443" s="886" t="e">
        <f ca="1">VLOOKUP(J447,INDIRECT(VLOOKUP(J443,FrameStrength,2,FALSE)),2,FALSE)</f>
        <v>#N/A</v>
      </c>
      <c r="AB443" s="1083" t="str">
        <f t="shared" ref="AB443" ca="1" si="7931">IFERROR(Z443-AA443,"")</f>
        <v/>
      </c>
      <c r="AC443" s="1077" t="str">
        <f t="shared" ref="AC443" ca="1" si="7932">IFERROR(Y443-U443,"")</f>
        <v/>
      </c>
      <c r="AD443" s="1100" t="str">
        <f>IFERROR(IF(LEFT(J447,2)="As",VLOOKUP(J447,EIMM,4,FALSE),VLOOKUP(J443,EIMM,4,FALSE)),IF(AND(ISNUMBER(SEARCH("Impervia",J443)),ISNUMBER(SEARCH("door",J447))),'New Lookup Cells'!AF$10,IF(ISNUMBER(SEARCH("Impervia",J443)),'New Lookup Cells'!AF$7,IF(AND(ISNUMBER(SEARCH("250",J443)),ISNUMBER(SEARCH("door",J447))),'New Lookup Cells'!AF$14,IF(ISNUMBER(SEARCH("250",J443)),'New Lookup Cells'!AF$13,"")))))</f>
        <v/>
      </c>
      <c r="AE443" s="1101"/>
      <c r="AF443" s="1050"/>
      <c r="AG443" s="1051"/>
      <c r="AH443" s="1051"/>
      <c r="AI443" s="1088"/>
      <c r="AJ443" s="1089"/>
      <c r="AK443" s="154" t="str">
        <f t="shared" ca="1" si="7482"/>
        <v/>
      </c>
      <c r="AL443" s="1038" t="str">
        <f t="shared" ref="AL443" si="7933">IFERROR(ROUND(SQRT(P443^2+(W443/2+IF($E$17=4,200,0))^2),0),"")</f>
        <v/>
      </c>
      <c r="AM443" s="342" t="s">
        <v>669</v>
      </c>
      <c r="AN443" t="str">
        <f t="shared" ca="1" si="7532"/>
        <v/>
      </c>
      <c r="AP443" s="122" t="str">
        <f t="shared" ref="AP443" si="7934">_xlfn.CONCAT(AR443,AS448)</f>
        <v/>
      </c>
      <c r="AQ443" s="683" t="str">
        <f t="shared" si="7698"/>
        <v/>
      </c>
      <c r="AR443" s="96" t="str">
        <f t="shared" si="7457"/>
        <v/>
      </c>
      <c r="AS443" s="96" t="str">
        <f>IF(COUNTIF(imp_1,AF443)=1,"imp_1",IF(COUNTIF(imp_2,AF443)=1,"imp_2",IF(COUNTIF(imp_3,AF443)=1,"imp_3",IF(COUNTIF(impdoor,AF443)=1,"impdoor",""))))</f>
        <v/>
      </c>
      <c r="AT443" s="684" t="str">
        <f>AL443</f>
        <v/>
      </c>
      <c r="AU443" s="685" t="e">
        <f ca="1">MATCH(AL443,INDIRECT(AP443),-1)</f>
        <v>#REF!</v>
      </c>
      <c r="AV443" s="686" t="str">
        <f ca="1">IFERROR(VLOOKUP(AU443,INDIRECT(AQ443),2,FALSE),"----")</f>
        <v>----</v>
      </c>
      <c r="AW443" s="685" t="e">
        <f ca="1">MATCH(AL443,INDIRECT(AP444),-1)</f>
        <v>#REF!</v>
      </c>
      <c r="AX443" s="686" t="str">
        <f ca="1">IFERROR(VLOOKUP(AW443,INDIRECT(AQ444),2,FALSE),"----")</f>
        <v>----</v>
      </c>
      <c r="AY443" s="685" t="e">
        <f ca="1">MATCH(AL443,INDIRECT(AP445),-1)</f>
        <v>#REF!</v>
      </c>
      <c r="AZ443" s="686" t="str">
        <f ca="1">IFERROR(VLOOKUP(AY443,INDIRECT(AQ445),2,FALSE),"----")</f>
        <v>----</v>
      </c>
      <c r="BA443" s="685" t="e">
        <f ca="1">MATCH(AL443,INDIRECT(AP446),-1)</f>
        <v>#REF!</v>
      </c>
      <c r="BB443" s="686" t="str">
        <f ca="1">IFERROR(VLOOKUP(BA443,INDIRECT(AQ446),2,FALSE),"----")</f>
        <v>----</v>
      </c>
      <c r="BC443" s="685" t="e">
        <f ca="1">MATCH(AL443,INDIRECT(AP447),-1)</f>
        <v>#REF!</v>
      </c>
      <c r="BD443" s="686" t="str">
        <f ca="1">IFERROR(VLOOKUP(BC443,INDIRECT(AQ447),2,FALSE),"----")</f>
        <v>----</v>
      </c>
      <c r="BE443" s="685" t="e">
        <f ca="1">MATCH(AL443,INDIRECT(AP448),-1)</f>
        <v>#REF!</v>
      </c>
      <c r="BF443" s="686" t="str">
        <f ca="1">IFERROR(VLOOKUP(BE443,INDIRECT(AQ448),2,FALSE),"----")</f>
        <v>----</v>
      </c>
      <c r="BG443" s="685" t="e">
        <f ca="1">MATCH(AL449,INDIRECT(AP449),-1)</f>
        <v>#REF!</v>
      </c>
      <c r="BH443" s="686" t="str">
        <f ca="1">IFERROR(VLOOKUP(BG443,INDIRECT(AQ449),2,FALSE),"----")</f>
        <v>----</v>
      </c>
      <c r="BI443" s="685" t="e">
        <f ca="1">MATCH(AL449,INDIRECT(AP450),-1)</f>
        <v>#REF!</v>
      </c>
      <c r="BJ443" s="686" t="str">
        <f ca="1">IFERROR(VLOOKUP(BI443,INDIRECT(AQ450),2,FALSE),"----")</f>
        <v>----</v>
      </c>
      <c r="BK443" s="685" t="e">
        <f ca="1">MATCH(AL449,INDIRECT(AP451),-1)</f>
        <v>#REF!</v>
      </c>
      <c r="BL443" s="686" t="str">
        <f ca="1">IFERROR(VLOOKUP(BK443,INDIRECT(AQ451),2,FALSE),"----")</f>
        <v>----</v>
      </c>
      <c r="BM443" s="685" t="e">
        <f ca="1">MATCH(AL449,INDIRECT(AP452),-1)</f>
        <v>#REF!</v>
      </c>
      <c r="BN443" s="686" t="str">
        <f ca="1">IFERROR(VLOOKUP(BM443,INDIRECT(AQ452),2,FALSE),"----")</f>
        <v>----</v>
      </c>
      <c r="BO443" s="685" t="e">
        <f ca="1">MATCH(AL449,INDIRECT(AP453),-1)</f>
        <v>#REF!</v>
      </c>
      <c r="BP443" s="686" t="str">
        <f ca="1">IFERROR(VLOOKUP(BO443,INDIRECT(AQ453),2,FALSE),"----")</f>
        <v>----</v>
      </c>
      <c r="BQ443" s="685" t="e">
        <f ca="1">MATCH(AL449,INDIRECT(AP454),-1)</f>
        <v>#REF!</v>
      </c>
      <c r="BR443" s="686" t="str">
        <f ca="1">IFERROR(VLOOKUP(BQ443,INDIRECT(AQ454),2,FALSE),"----")</f>
        <v>----</v>
      </c>
      <c r="BS443" s="687">
        <f>IF(AI443="",1,IF(COUNTIF(AV443:AV454,AI443)=0,2,1))</f>
        <v>1</v>
      </c>
      <c r="BT443" s="688">
        <f>IF(AP443="1",1,IF(AF443="",1,IF(AV443=".",2,1)))</f>
        <v>1</v>
      </c>
      <c r="BU443" s="706"/>
      <c r="BV443" s="155">
        <f ca="1">IF(COUNTIF(CE443:CE454,AF443)=0,IF(AF443&lt;&gt;"",0,1),1)</f>
        <v>1</v>
      </c>
      <c r="BW443" s="157">
        <f ca="1">IFERROR(MATCH(AF443,CE443:CE454,0),1)</f>
        <v>1</v>
      </c>
      <c r="BX443" s="769" t="str">
        <f>IFERROR(IF(LEFT(J447,2)="As",VLOOKUP(J447,EIMM,2,FALSE),IF(AND(ISNUMBER(SEARCH("Impervia",J443)),ISNUMBER(SEARCH("door",J447))),VLOOKUP("Impervia Door",EIMM,2,FALSE),IF(AND(ISNUMBER(SEARCH("250",J443)),ISNUMBER(SEARCH("door",J447))),VLOOKUP("250 Series Door",EIMM,2,FALSE),VLOOKUP(J443,EIMM,2,FALSE)))),"")</f>
        <v/>
      </c>
      <c r="BY443" s="769" t="str">
        <f ca="1">IFERROR(VLOOKUP(BX443,OFFSET(EIMM,0,1),2,FALSE),"")</f>
        <v/>
      </c>
      <c r="BZ443" s="1110" t="e">
        <f ca="1">IF((COUNTIF(INDIRECT(SUBSTITUTE(J443," ","_")),J447))=0,IF(J447="",1,0),1)</f>
        <v>#REF!</v>
      </c>
      <c r="CA443" s="691" t="e">
        <f ca="1">MATCH(AC443,INDIRECT(BX443),-1)</f>
        <v>#REF!</v>
      </c>
      <c r="CB443" s="4" t="e" cm="1">
        <f t="array" aca="1" ref="CB443" ca="1">IF(AND(INDEX(INDIRECT(BY443),CA443,4)&gt;=$AB443,INDEX(INDIRECT(BY443),CA443,5)&gt;=$S443,INDEX(INDIRECT(BY443),CA443,6)&gt;=$R443),1,0)</f>
        <v>#REF!</v>
      </c>
      <c r="CC443" s="4" t="e">
        <f t="shared" ref="CC443" ca="1" si="7935">MATCH(1,OFFSET(CB443:CB454,$W$2,0,COUNT(CB443:CB454)-$W$2),0)</f>
        <v>#REF!</v>
      </c>
      <c r="CD443" s="4" t="e">
        <f t="shared" ref="CD443" ca="1" si="7936">$W$2+CC443</f>
        <v>#REF!</v>
      </c>
      <c r="CE443" s="692" t="str" cm="1">
        <f t="array" aca="1" ref="CE443" ca="1">IFERROR(VLOOKUP(INDEX(CA443:CA454,CD443),INDIRECT(BY443),2,FALSE),"----")</f>
        <v>----</v>
      </c>
      <c r="CF443" s="691" t="e">
        <f ca="1">MATCH($AC443,SSEI,-1)</f>
        <v>#N/A</v>
      </c>
      <c r="CG443" s="4" t="e">
        <f ca="1">IF(AND(INDEX(SSM,CF443,4)&gt;=$AB443,INDEX(SSM,CF443,5)&gt;=$S443,INDEX(SSM,CF443,6)&gt;=$R443),1,0)</f>
        <v>#N/A</v>
      </c>
      <c r="CH443" s="4" t="e">
        <f t="shared" ref="CH443" ca="1" si="7937">MATCH(1,OFFSET(CG443:CG454,$W$2,0,COUNT(CG443:CG454)-$W$2),0)</f>
        <v>#REF!</v>
      </c>
      <c r="CI443" s="4" t="e">
        <f t="shared" ref="CI443" ca="1" si="7938">$W$2+CH443</f>
        <v>#REF!</v>
      </c>
      <c r="CJ443" s="692" t="str">
        <f ca="1">IFERROR(IF(AD444="Nested Steel Stud (wood infill)",VLOOKUP(INDEX(CF443:CF454,CI443),SSW,2,FALSE),VLOOKUP(INDEX(CF443:CF454,CI443),SSM,2,FALSE)),"----")</f>
        <v>----</v>
      </c>
      <c r="CK443" s="691" t="e">
        <f ca="1">MATCH($AC443,WSEI,-1)</f>
        <v>#N/A</v>
      </c>
      <c r="CL443" s="4" t="e">
        <f ca="1">IF(AND(INDEX(WSM,CK443,4)&gt;=$AB443,INDEX(WSM,CK443,5)&gt;=$S443,INDEX(WSM,CK443,6)&gt;=$R443),1,0)</f>
        <v>#N/A</v>
      </c>
      <c r="CM443" s="4" t="e">
        <f t="shared" ref="CM443" ca="1" si="7939">MATCH(1,OFFSET(CL443:CL454,$W$2,0,COUNT(CL443:CL454)-$W$2),0)</f>
        <v>#REF!</v>
      </c>
      <c r="CN443" s="4" t="e">
        <f t="shared" ref="CN443" ca="1" si="7940">$W$2+CM443</f>
        <v>#REF!</v>
      </c>
      <c r="CO443" s="692" t="str">
        <f ca="1">IFERROR(VLOOKUP(INDEX(CK443:CK454,CN443),WSM,2,FALSE),"----")</f>
        <v>----</v>
      </c>
      <c r="CP443" s="691" t="e">
        <f ca="1">MATCH($AC443,STEI,-1)</f>
        <v>#N/A</v>
      </c>
      <c r="CQ443" s="4" t="e">
        <f ca="1">IF(AND(INDEX(STM,CP443,4)&gt;=$AB443,INDEX(STM,CP443,5)&gt;=$S443,INDEX(STM,CP443,6)&gt;=$R443),1,0)</f>
        <v>#N/A</v>
      </c>
      <c r="CR443" s="4" t="e">
        <f t="shared" ref="CR443" ca="1" si="7941">MATCH(1,OFFSET(CQ443:CQ454,$W$2,0,COUNT(CQ443:CQ454)-$W$2),0)</f>
        <v>#REF!</v>
      </c>
      <c r="CS443" s="4" t="e">
        <f t="shared" ref="CS443" ca="1" si="7942">$W$2+CR443</f>
        <v>#REF!</v>
      </c>
      <c r="CT443" s="692" t="str">
        <f ca="1">IFERROR(VLOOKUP(INDEX(CP443:CP454,CS443),STM,2,FALSE),"----")</f>
        <v>----</v>
      </c>
      <c r="CU443" s="691" t="e">
        <f ca="1">MATCH($AC443,ELEI,-1)</f>
        <v>#N/A</v>
      </c>
      <c r="CV443" s="4" t="e">
        <f ca="1">IF(AND(INDEX(ELM,CU443,4)&gt;=$AB443,INDEX(ELM,CU443,5)&gt;=$S443,INDEX(ELM,CU443,6)&gt;=$R443),1,0)</f>
        <v>#N/A</v>
      </c>
      <c r="CW443" s="4" t="e">
        <f t="shared" ref="CW443" ca="1" si="7943">MATCH(1,OFFSET(CV443:CV454,$W$2,0,COUNT(CV443:CV454)-$W$2),0)</f>
        <v>#REF!</v>
      </c>
      <c r="CX443" s="4" t="e">
        <f t="shared" ref="CX443" ca="1" si="7944">$W$2+CW443</f>
        <v>#REF!</v>
      </c>
      <c r="CY443" s="692" t="str">
        <f ca="1">IFERROR(VLOOKUP(INDEX(CU443:CU454,CX443),ELM,2,FALSE),"----")</f>
        <v>----</v>
      </c>
      <c r="CZ443" s="691" t="e">
        <f ca="1">IF(LEFT($J443,7)="Clad Wo",MATCH($AC443,SPEIW,-1),MATCH($AC443,SPEI,-1))</f>
        <v>#N/A</v>
      </c>
      <c r="DA443" s="4" t="e">
        <f ca="1">IF(LEFT($J443,7)="Clad Wo",IF(AND(INDEX(SPPWS,CZ443,4)&gt;=$AB443,INDEX(SPPWS,CZ443,5)&gt;=$S443,INDEX(SPPWS,CZ443,6)&gt;=$R443),1,0),IF(AND(INDEX(SPM,CZ443,4)&gt;=$AB443,INDEX(SPM,CZ443,5)&gt;=$S443,INDEX(SPM,CZ443,6)&gt;=$R443),1,0))</f>
        <v>#N/A</v>
      </c>
      <c r="DB443" s="4" t="e">
        <f t="shared" ref="DB443" ca="1" si="7945">MATCH(1,OFFSET(DA443:DA454,$W$2,0,COUNT(DA443:DA454)-$W$2),0)</f>
        <v>#REF!</v>
      </c>
      <c r="DC443" s="4" t="e">
        <f t="shared" ref="DC443" ca="1" si="7946">$W$2+DB443</f>
        <v>#REF!</v>
      </c>
      <c r="DD443" s="693" t="str">
        <f ca="1">IF(LEFT($J443,7)="Clad Wo",IFERROR(VLOOKUP(INDEX(CZ443:CZ454,DC443),SPPWS,2,FALSE),"----"),IFERROR(VLOOKUP(INDEX(CZ443:CZ454,DC443),SPM,2,FALSE),"----"))</f>
        <v>----</v>
      </c>
      <c r="DE443" s="691" t="e">
        <f ca="1">MATCH(AC449,INDIRECT(BX443),-1)</f>
        <v>#REF!</v>
      </c>
      <c r="DF443" s="4" t="e" cm="1">
        <f t="array" aca="1" ref="DF443" ca="1">IF(AND(INDEX(INDIRECT(BY443),DE443,4)&gt;=$AB449,INDEX(INDIRECT(BY443),DE443,5)&gt;=$S443,INDEX(INDIRECT(BY443),DE443,6)&gt;=$R443),1,0)</f>
        <v>#REF!</v>
      </c>
      <c r="DG443" s="4" t="e">
        <f t="shared" ref="DG443" ca="1" si="7947">MATCH(1,OFFSET(DF443:DF454,$W$2,0,COUNT(DF443:DF454)-$W$2),0)</f>
        <v>#REF!</v>
      </c>
      <c r="DH443" s="4" t="e">
        <f t="shared" ref="DH443" ca="1" si="7948">$W$2+DG443</f>
        <v>#REF!</v>
      </c>
      <c r="DI443" s="692" t="str" cm="1">
        <f t="array" aca="1" ref="DI443" ca="1">IFERROR(VLOOKUP(INDEX(DE443:DE454,DH443),INDIRECT(BY443),2,FALSE),"----")</f>
        <v>----</v>
      </c>
      <c r="DJ443" s="691" t="e">
        <f ca="1">MATCH($AC449,SSEI,-1)</f>
        <v>#N/A</v>
      </c>
      <c r="DK443" s="4" t="e">
        <f ca="1">IF(AND(INDEX(SSM,DJ443,4)&gt;=$AB449,INDEX(SSM,DJ443,5)&gt;=$S443,INDEX(SSM,DJ443,6)&gt;=$R443),1,0)</f>
        <v>#N/A</v>
      </c>
      <c r="DL443" s="4" t="e">
        <f t="shared" ref="DL443" ca="1" si="7949">MATCH(1,OFFSET(DK443:DK454,$W$2,0,COUNT(DK443:DK454)-$W$2),0)</f>
        <v>#REF!</v>
      </c>
      <c r="DM443" s="4" t="e">
        <f t="shared" ref="DM443" ca="1" si="7950">$W$2+DL443</f>
        <v>#REF!</v>
      </c>
      <c r="DN443" s="692" t="str">
        <f ca="1">IFERROR(IF(AD450="Nested Steel Stud (wood infill)",VLOOKUP(INDEX(DJ443:DJ454,DM443),SSW,2,FALSE),VLOOKUP(INDEX(DJ443:DJ454,DM443),SSM,2,FALSE)),"----")</f>
        <v>----</v>
      </c>
      <c r="DO443" s="691" t="e">
        <f ca="1">MATCH($AC449,WSEI,-1)</f>
        <v>#N/A</v>
      </c>
      <c r="DP443" s="4" t="e">
        <f ca="1">IF(AND(INDEX(WSM,DO443,4)&gt;=$AB449,INDEX(WSM,DO443,5)&gt;=$S443,INDEX(WSM,DO443,6)&gt;=$R443),1,0)</f>
        <v>#N/A</v>
      </c>
      <c r="DQ443" s="4" t="e">
        <f t="shared" ref="DQ443" ca="1" si="7951">MATCH(1,OFFSET(DP443:DP454,$W$2,0,COUNT(DP443:DP454)-$W$2),0)</f>
        <v>#REF!</v>
      </c>
      <c r="DR443" s="4" t="e">
        <f t="shared" ref="DR443" ca="1" si="7952">$W$2+DQ443</f>
        <v>#REF!</v>
      </c>
      <c r="DS443" s="692" t="str">
        <f ca="1">IFERROR(VLOOKUP(INDEX(DO443:DO454,DR443),WSM,2,FALSE),"----")</f>
        <v>----</v>
      </c>
      <c r="DT443" s="691" t="e">
        <f ca="1">MATCH($AC449,STEI,-1)</f>
        <v>#N/A</v>
      </c>
      <c r="DU443" s="4" t="e">
        <f ca="1">IF(AND(INDEX(STM,DT443,4)&gt;=$AB449,INDEX(STM,DT443,5)&gt;=$S443,INDEX(STM,DT443,6)&gt;=$R443),1,0)</f>
        <v>#N/A</v>
      </c>
      <c r="DV443" s="4" t="e">
        <f t="shared" ref="DV443" ca="1" si="7953">MATCH(1,OFFSET(DU443:DU454,$W$2,0,COUNT(DU443:DU454)-$W$2),0)</f>
        <v>#REF!</v>
      </c>
      <c r="DW443" s="4" t="e">
        <f t="shared" ref="DW443" ca="1" si="7954">$W$2+DV443</f>
        <v>#REF!</v>
      </c>
      <c r="DX443" s="692" t="str">
        <f ca="1">IFERROR(VLOOKUP(INDEX(DT443:DT454,DW443),STM,2,FALSE),"----")</f>
        <v>----</v>
      </c>
      <c r="DY443" s="691" t="e">
        <f ca="1">MATCH($AC449,ELEI,-1)</f>
        <v>#N/A</v>
      </c>
      <c r="DZ443" s="4" t="e">
        <f ca="1">IF(AND(INDEX(ELM,DY443,4)&gt;=$AB449,INDEX(ELM,DY443,5)&gt;=$S443,INDEX(ELM,DY443,6)&gt;=$R443),1,0)</f>
        <v>#N/A</v>
      </c>
      <c r="EA443" s="4" t="e">
        <f t="shared" ref="EA443" ca="1" si="7955">MATCH(1,OFFSET(DZ443:DZ454,$W$2,0,COUNT(DZ443:DZ454)-$W$2),0)</f>
        <v>#REF!</v>
      </c>
      <c r="EB443" s="4" t="e">
        <f t="shared" ref="EB443" ca="1" si="7956">EA443+$W$2</f>
        <v>#REF!</v>
      </c>
      <c r="EC443" s="692" t="str">
        <f ca="1">IFERROR(VLOOKUP(INDEX(DY443:DY454,EB443),ELM,2,FALSE),"----")</f>
        <v>----</v>
      </c>
      <c r="ED443" s="691" t="e">
        <f ca="1">IF(LEFT($J443,7)="Clad Wo",MATCH($AC449,SPEIW,-1),MATCH($AC449,SPEI,-1))</f>
        <v>#N/A</v>
      </c>
      <c r="EE443" s="4" t="e">
        <f ca="1">IF(LEFT($J443,7)="Clad Wo",IF(AND(INDEX(SPPWS,ED443,4)&gt;=$AB449,INDEX(SPPWS,ED443,5)&gt;=$S443,INDEX(SPPWS,ED443,6)&gt;=$R443),1,0),IF(AND(INDEX(SPM,ED443,4)&gt;=$AB449,INDEX(SPM,ED443,5)&gt;=$S443,INDEX(SPM,ED443,6)&gt;=$R443),1,0))</f>
        <v>#N/A</v>
      </c>
      <c r="EF443" s="4" t="e">
        <f t="shared" ref="EF443" ca="1" si="7957">MATCH(1,OFFSET(EE443:EE454,$W$2,0,COUNT(EE443:EE454)-$W$2),0)</f>
        <v>#REF!</v>
      </c>
      <c r="EG443" s="4" t="e">
        <f t="shared" ref="EG443" ca="1" si="7958">$W$2+EF443</f>
        <v>#REF!</v>
      </c>
      <c r="EH443" s="692" t="str">
        <f ca="1">IF(LEFT($J443,7)="Clad Wo",IFERROR(VLOOKUP(INDEX(ED443:ED454,EG443),SPPWS,2,FALSE),"----"),IFERROR(VLOOKUP(INDEX(ED443:ED454,EG443),SPM,2,FALSE),"----"))</f>
        <v>----</v>
      </c>
    </row>
    <row r="444" spans="1:138" ht="15" customHeight="1" x14ac:dyDescent="0.25">
      <c r="A444" s="1085"/>
      <c r="B444" s="925"/>
      <c r="C444" s="926"/>
      <c r="D444" s="927"/>
      <c r="E444" s="995"/>
      <c r="F444" s="996"/>
      <c r="G444" s="997"/>
      <c r="H444" s="1062"/>
      <c r="I444" s="990"/>
      <c r="J444" s="908"/>
      <c r="K444" s="909"/>
      <c r="L444" s="1002"/>
      <c r="M444" s="923"/>
      <c r="N444" s="1042"/>
      <c r="O444" s="1018"/>
      <c r="P444" s="987"/>
      <c r="Q444" s="1015"/>
      <c r="R444" s="1012"/>
      <c r="S444" s="1006"/>
      <c r="T444" s="1007"/>
      <c r="U444" s="878"/>
      <c r="V444" s="881"/>
      <c r="W444" s="884"/>
      <c r="X444" s="884"/>
      <c r="Y444" s="887"/>
      <c r="Z444" s="887"/>
      <c r="AA444" s="887"/>
      <c r="AB444" s="1081"/>
      <c r="AC444" s="1078"/>
      <c r="AD444" s="1102" t="s">
        <v>38</v>
      </c>
      <c r="AE444" s="1103"/>
      <c r="AF444" s="1052"/>
      <c r="AG444" s="1053"/>
      <c r="AH444" s="1053"/>
      <c r="AI444" s="1066"/>
      <c r="AJ444" s="1067"/>
      <c r="AK444" s="156" t="str">
        <f t="shared" ca="1" si="7482"/>
        <v/>
      </c>
      <c r="AL444" s="1039"/>
      <c r="AM444" s="343" t="str">
        <f ca="1">IFERROR(Q443/12*ROUND(VLOOKUP(AF444,OFFSET(SSM,0,1),6,FALSE),2),"")</f>
        <v/>
      </c>
      <c r="AN444" t="str">
        <f t="shared" ca="1" si="7532"/>
        <v/>
      </c>
      <c r="AP444" s="122" t="str">
        <f t="shared" ref="AP444" si="7959">_xlfn.CONCAT(AR444,AS448)</f>
        <v/>
      </c>
      <c r="AQ444" s="683" t="str">
        <f t="shared" si="7698"/>
        <v/>
      </c>
      <c r="AR444" s="96" t="str">
        <f t="shared" si="7457"/>
        <v/>
      </c>
      <c r="AS444" s="96" t="str">
        <f>IF(COUNTIF(Vista_1,AF443)=1,"Vista_1",IF(COUNTIF(Vista_2,AF443)=1,"Vista_2",""))</f>
        <v/>
      </c>
      <c r="AT444" s="684" t="str">
        <f>AL443</f>
        <v/>
      </c>
      <c r="AU444" s="694" t="e">
        <f t="shared" ref="AU444" ca="1" si="7960">AU443-1</f>
        <v>#REF!</v>
      </c>
      <c r="AV444" s="686" t="str">
        <f ca="1">IFERROR(VLOOKUP(AU444,INDIRECT(AQ443),2,FALSE),"----")</f>
        <v>----</v>
      </c>
      <c r="AW444" s="694" t="e">
        <f t="shared" ref="AW444:AW445" ca="1" si="7961">AW443-1</f>
        <v>#REF!</v>
      </c>
      <c r="AX444" s="686" t="str">
        <f ca="1">IFERROR(VLOOKUP(AW444,INDIRECT(AQ444),2,FALSE),"----")</f>
        <v>----</v>
      </c>
      <c r="AY444" s="694" t="e">
        <f t="shared" ref="AY444:AY445" ca="1" si="7962">AY443-1</f>
        <v>#REF!</v>
      </c>
      <c r="AZ444" s="686" t="str">
        <f ca="1">IFERROR(VLOOKUP(AY444,INDIRECT(AQ445),2,FALSE),"----")</f>
        <v>----</v>
      </c>
      <c r="BA444" s="694" t="e">
        <f t="shared" ref="BA444:BA445" ca="1" si="7963">BA443-1</f>
        <v>#REF!</v>
      </c>
      <c r="BB444" s="686" t="str">
        <f ca="1">IFERROR(VLOOKUP(BA444,INDIRECT(AQ446),2,FALSE),"----")</f>
        <v>----</v>
      </c>
      <c r="BC444" s="694" t="e">
        <f t="shared" ref="BC444:BC445" ca="1" si="7964">BC443-1</f>
        <v>#REF!</v>
      </c>
      <c r="BD444" s="686" t="str">
        <f ca="1">IFERROR(VLOOKUP(BC444,INDIRECT(AQ447),2,FALSE),"----")</f>
        <v>----</v>
      </c>
      <c r="BE444" s="694" t="e">
        <f t="shared" ref="BE444" ca="1" si="7965">BE443-1</f>
        <v>#REF!</v>
      </c>
      <c r="BF444" s="686" t="str">
        <f ca="1">IFERROR(VLOOKUP(BE444,INDIRECT(AQ448),2,FALSE),"----")</f>
        <v>----</v>
      </c>
      <c r="BG444" s="694" t="e">
        <f t="shared" ref="BG444" ca="1" si="7966">BG443-1</f>
        <v>#REF!</v>
      </c>
      <c r="BH444" s="686" t="str">
        <f ca="1">IFERROR(VLOOKUP(BG444,INDIRECT(AQ449),2,FALSE),"----")</f>
        <v>----</v>
      </c>
      <c r="BI444" s="694" t="e">
        <f t="shared" ref="BI444:BI445" ca="1" si="7967">BI443-1</f>
        <v>#REF!</v>
      </c>
      <c r="BJ444" s="686" t="str">
        <f ca="1">IFERROR(VLOOKUP(BI444,INDIRECT(AQ450),2,FALSE),"----")</f>
        <v>----</v>
      </c>
      <c r="BK444" s="694" t="e">
        <f t="shared" ref="BK444:BK445" ca="1" si="7968">BK443-1</f>
        <v>#REF!</v>
      </c>
      <c r="BL444" s="686" t="str">
        <f ca="1">IFERROR(VLOOKUP(BK444,INDIRECT(AQ451),2,FALSE),"----")</f>
        <v>----</v>
      </c>
      <c r="BM444" s="694" t="e">
        <f t="shared" ref="BM444:BM445" ca="1" si="7969">BM443-1</f>
        <v>#REF!</v>
      </c>
      <c r="BN444" s="686" t="str">
        <f ca="1">IFERROR(VLOOKUP(BM444,INDIRECT(AQ452),2,FALSE),"----")</f>
        <v>----</v>
      </c>
      <c r="BO444" s="694" t="e">
        <f t="shared" ref="BO444:BO445" ca="1" si="7970">BO443-1</f>
        <v>#REF!</v>
      </c>
      <c r="BP444" s="686" t="str">
        <f ca="1">IFERROR(VLOOKUP(BO444,INDIRECT(AQ453),2,FALSE),"----")</f>
        <v>----</v>
      </c>
      <c r="BQ444" s="694" t="e">
        <f t="shared" ref="BQ444" ca="1" si="7971">BQ443-1</f>
        <v>#REF!</v>
      </c>
      <c r="BR444" s="686" t="str">
        <f ca="1">IFERROR(VLOOKUP(BQ444,INDIRECT(AQ454),2,FALSE),"----")</f>
        <v>----</v>
      </c>
      <c r="BS444" s="695">
        <f>IF(AI444="",1,IF(COUNTIF(AX443:AX454,AI444)=0,2,1))</f>
        <v>1</v>
      </c>
      <c r="BT444" s="696">
        <f>IF(AF444="",1,IF(AX443=".",2,1))</f>
        <v>1</v>
      </c>
      <c r="BU444" s="706"/>
      <c r="BV444" s="155">
        <f ca="1">IF(COUNTIF(CJ443:CJ454,AF444)=0,IF(AF444&lt;&gt;"",0,1),1)</f>
        <v>1</v>
      </c>
      <c r="BW444" s="157">
        <f ca="1">IFERROR(MATCH(AF444,CJ443:CJ454,0),1)</f>
        <v>1</v>
      </c>
      <c r="BX444" s="769"/>
      <c r="BY444" s="769"/>
      <c r="BZ444" s="1110"/>
      <c r="CA444" s="691" t="e">
        <f t="shared" ref="CA444:CA454" ca="1" si="7972">CA443-1</f>
        <v>#REF!</v>
      </c>
      <c r="CB444" s="4" t="e" cm="1">
        <f t="array" aca="1" ref="CB444" ca="1">IF(AND(INDEX(INDIRECT(BY443),CA444,4)&gt;=$AB443,INDEX(INDIRECT(BY443),CA444,5)&gt;=$S443,INDEX(INDIRECT(BY443),CA444,6)&gt;=$R443),1,0)</f>
        <v>#REF!</v>
      </c>
      <c r="CC444" s="4" t="e">
        <f t="shared" ref="CC444" ca="1" si="7973">MATCH(1,OFFSET(CB443:CB454,CD443,0,COUNT(CB443:CB454)-CD443),0)</f>
        <v>#REF!</v>
      </c>
      <c r="CD444" s="4" t="e">
        <f t="shared" ref="CD444:CD454" ca="1" si="7974">CD443+CC444</f>
        <v>#REF!</v>
      </c>
      <c r="CE444" s="692" t="str" cm="1">
        <f t="array" aca="1" ref="CE444" ca="1">IFERROR(VLOOKUP(INDEX(CA443:CA454,CD444),INDIRECT(BY443),2,FALSE),"----")</f>
        <v>----</v>
      </c>
      <c r="CF444" s="691" t="e">
        <f t="shared" ref="CF444:CF454" ca="1" si="7975">CF443-1</f>
        <v>#N/A</v>
      </c>
      <c r="CG444" s="4" t="e">
        <f ca="1">IF(AND(INDEX(SSM,CF444,4)&gt;=$AB443,INDEX(SSM,CF444,5)&gt;=$S443,INDEX(SSM,CF444,6)&gt;=$R443),1,0)</f>
        <v>#N/A</v>
      </c>
      <c r="CH444" s="4" t="e">
        <f t="shared" ref="CH444" ca="1" si="7976">MATCH(1,OFFSET(CG443:CG454,CI443,0,COUNT(CG443:CG454)-CI443),0)</f>
        <v>#REF!</v>
      </c>
      <c r="CI444" s="4" t="e">
        <f t="shared" ref="CI444:CI454" ca="1" si="7977">CI443+CH444</f>
        <v>#REF!</v>
      </c>
      <c r="CJ444" s="692" t="str">
        <f ca="1">IFERROR(IF(AD444="Nested Steel Stud (wood infill)",VLOOKUP(INDEX(CF443:CF454,CI444),SSW,2,FALSE),VLOOKUP(INDEX(CF443:CF454,CI444),SSM,2,FALSE)),"----")</f>
        <v>----</v>
      </c>
      <c r="CK444" s="691" t="e">
        <f t="shared" ref="CK444:CK454" ca="1" si="7978">CK443-1</f>
        <v>#N/A</v>
      </c>
      <c r="CL444" s="4" t="e">
        <f ca="1">IF(AND(INDEX(WSM,CK444,4)&gt;=$AB443,INDEX(WSM,CK444,5)&gt;=$S443,INDEX(WSM,CK444,6)&gt;=$R443),1,0)</f>
        <v>#N/A</v>
      </c>
      <c r="CM444" s="4" t="e">
        <f t="shared" ref="CM444" ca="1" si="7979">MATCH(1,OFFSET(CL443:CL454,CN443,0,COUNT(CL443:CL454)-CN443),0)</f>
        <v>#REF!</v>
      </c>
      <c r="CN444" s="4" t="e">
        <f t="shared" ref="CN444:CN454" ca="1" si="7980">CM444+CN443</f>
        <v>#REF!</v>
      </c>
      <c r="CO444" s="692" t="str">
        <f ca="1">IFERROR(VLOOKUP(INDEX(CK443:CK454,CN444),WSM,2,FALSE),"----")</f>
        <v>----</v>
      </c>
      <c r="CP444" s="691" t="e">
        <f t="shared" ref="CP444:CP454" ca="1" si="7981">CP443-1</f>
        <v>#N/A</v>
      </c>
      <c r="CQ444" s="4" t="e">
        <f ca="1">IF(AND(INDEX(STM,CP444,4)&gt;=$AB443,INDEX(STM,CP444,5)&gt;=$S443,INDEX(STM,CP444,6)&gt;=$R443),1,0)</f>
        <v>#N/A</v>
      </c>
      <c r="CR444" s="4" t="e">
        <f t="shared" ref="CR444" ca="1" si="7982">MATCH(1,OFFSET(CQ443:CQ454,CS443,0,COUNT(CQ443:CQ454)-CS443),0)</f>
        <v>#REF!</v>
      </c>
      <c r="CS444" s="4" t="e">
        <f t="shared" ref="CS444:CS454" ca="1" si="7983">CR444+CS443</f>
        <v>#REF!</v>
      </c>
      <c r="CT444" s="692" t="str">
        <f ca="1">IFERROR(VLOOKUP(INDEX(CP443:CP454,CS444),STM,2,FALSE),"----")</f>
        <v>----</v>
      </c>
      <c r="CU444" s="691" t="e">
        <f t="shared" ref="CU444:CU454" ca="1" si="7984">CU443-1</f>
        <v>#N/A</v>
      </c>
      <c r="CV444" s="4" t="e">
        <f ca="1">IF(AND(INDEX(ELM,CU444,4)&gt;=$AB443,INDEX(ELM,CU444,5)&gt;=$S443,INDEX(ELM,CU444,6)&gt;=$R443),1,0)</f>
        <v>#N/A</v>
      </c>
      <c r="CW444" s="4" t="e">
        <f t="shared" ref="CW444" ca="1" si="7985">MATCH(1,OFFSET(CV443:CV454,CX443,0,COUNT(CV443:CV454)-CX443),0)</f>
        <v>#REF!</v>
      </c>
      <c r="CX444" s="4" t="e">
        <f t="shared" ref="CX444:CX454" ca="1" si="7986">CW444+CX443</f>
        <v>#REF!</v>
      </c>
      <c r="CY444" s="692" t="str">
        <f ca="1">IFERROR(VLOOKUP(INDEX(CU443:CU454,CX444),ELM,2,FALSE),"----")</f>
        <v>----</v>
      </c>
      <c r="CZ444" s="691" t="e">
        <f t="shared" ref="CZ444:CZ454" ca="1" si="7987">CZ443-1</f>
        <v>#N/A</v>
      </c>
      <c r="DA444" s="4" t="e">
        <f ca="1">IF(LEFT($J443,7)="Clad Wo",IF(AND(INDEX(SPPWS,CZ444,4)&gt;=$AB443,INDEX(SPPWS,CZ444,5)&gt;=$S443,INDEX(SPPWS,CZ444,6)&gt;=$R443),1,0),IF(AND(INDEX(SPM,CZ444,4)&gt;=$AB443,INDEX(SPM,CZ444,5)&gt;=$S443,INDEX(SPM,CZ444,6)&gt;=$R443),1,0))</f>
        <v>#N/A</v>
      </c>
      <c r="DB444" s="4" t="e">
        <f t="shared" ref="DB444" ca="1" si="7988">MATCH(1,OFFSET(DA443:DA454,DC443,0,COUNT(DA443:DA454)-DC443),0)</f>
        <v>#REF!</v>
      </c>
      <c r="DC444" s="4" t="e">
        <f t="shared" ref="DC444:DC454" ca="1" si="7989">DC443+DB444</f>
        <v>#REF!</v>
      </c>
      <c r="DD444" s="693" t="str">
        <f ca="1">IF(LEFT($J443,7)="Clad Wo",IFERROR(VLOOKUP(INDEX(CZ443:CZ454,DC444),SPPWS,2,FALSE),"----"),IFERROR(VLOOKUP(INDEX(CZ443:CZ454,DC444),SPM,2,FALSE),"----"))</f>
        <v>----</v>
      </c>
      <c r="DE444" s="691" t="e">
        <f t="shared" ref="DE444:DE454" ca="1" si="7990">DE443-1</f>
        <v>#REF!</v>
      </c>
      <c r="DF444" s="4" t="e" cm="1">
        <f t="array" aca="1" ref="DF444" ca="1">IF(AND(INDEX(INDIRECT(BY443),DE444,4)&gt;=$AB449,INDEX(INDIRECT(BY443),DE444,5)&gt;=$S443,INDEX(INDIRECT(BY443),DE444,6)&gt;=$R443),1,0)</f>
        <v>#REF!</v>
      </c>
      <c r="DG444" s="4" t="e">
        <f t="shared" ref="DG444" ca="1" si="7991">MATCH(1,OFFSET(DF443:DF454,DH443,0,COUNT(DF443:DF454)-DH443),0)</f>
        <v>#REF!</v>
      </c>
      <c r="DH444" s="4" t="e">
        <f t="shared" ref="DH444:DH454" ca="1" si="7992">DH443+DG444</f>
        <v>#REF!</v>
      </c>
      <c r="DI444" s="692" t="str" cm="1">
        <f t="array" aca="1" ref="DI444" ca="1">IFERROR(VLOOKUP(INDEX(DE443:DE454,DH444),INDIRECT(BY443),2,FALSE),"----")</f>
        <v>----</v>
      </c>
      <c r="DJ444" s="691" t="e">
        <f t="shared" ref="DJ444:DJ454" ca="1" si="7993">DJ443-1</f>
        <v>#N/A</v>
      </c>
      <c r="DK444" s="4" t="e">
        <f ca="1">IF(AND(INDEX(SSM,DJ444,4)&gt;=$AB449,INDEX(SSM,DJ444,5)&gt;=$S443,INDEX(SSM,DJ444,6)&gt;=$R443),1,0)</f>
        <v>#N/A</v>
      </c>
      <c r="DL444" s="4" t="e">
        <f t="shared" ref="DL444" ca="1" si="7994">MATCH(1,OFFSET(DK443:DK454,DM443,0,COUNT(DK443:DK454)-DM443),0)</f>
        <v>#REF!</v>
      </c>
      <c r="DM444" s="4" t="e">
        <f t="shared" ref="DM444:DM454" ca="1" si="7995">DL444+DM443</f>
        <v>#REF!</v>
      </c>
      <c r="DN444" s="692" t="str">
        <f ca="1">IFERROR(IF(AD450="Nested Steel Stud (wood infill)",VLOOKUP(INDEX(DJ443:DJ454,DM444),SSW,2,FALSE),VLOOKUP(INDEX(DJ443:DJ454,DM444),SSM,2,FALSE)),"----")</f>
        <v>----</v>
      </c>
      <c r="DO444" s="691" t="e">
        <f t="shared" ref="DO444:DO454" ca="1" si="7996">DO443-1</f>
        <v>#N/A</v>
      </c>
      <c r="DP444" s="4" t="e">
        <f ca="1">IF(AND(INDEX(WSM,DO444,4)&gt;=$AB449,INDEX(WSM,DO444,5)&gt;=$S443,INDEX(WSM,DO444,6)&gt;=$R443),1,0)</f>
        <v>#N/A</v>
      </c>
      <c r="DQ444" s="4" t="e">
        <f t="shared" ref="DQ444" ca="1" si="7997">MATCH(1,OFFSET(DP443:DP454,DR443,0,COUNT(DP443:DP454)-DR443),0)</f>
        <v>#REF!</v>
      </c>
      <c r="DR444" s="4" t="e">
        <f t="shared" ref="DR444:DR454" ca="1" si="7998">DQ444+DR443</f>
        <v>#REF!</v>
      </c>
      <c r="DS444" s="692" t="str">
        <f ca="1">IFERROR(VLOOKUP(INDEX(DO443:DO454,DR444),WSM,2,FALSE),"----")</f>
        <v>----</v>
      </c>
      <c r="DT444" s="691" t="e">
        <f t="shared" ref="DT444:DT454" ca="1" si="7999">DT443-1</f>
        <v>#N/A</v>
      </c>
      <c r="DU444" s="4" t="e">
        <f ca="1">IF(AND(INDEX(STM,DT444,4)&gt;=$AB449,INDEX(STM,DT444,5)&gt;=$S443,INDEX(STM,DT444,6)&gt;=$R443),1,0)</f>
        <v>#N/A</v>
      </c>
      <c r="DV444" s="4" t="e">
        <f t="shared" ref="DV444" ca="1" si="8000">MATCH(1,OFFSET(DU443:DU454,DW443,0,COUNT(DU443:DU454)-DW443),0)</f>
        <v>#REF!</v>
      </c>
      <c r="DW444" s="4" t="e">
        <f t="shared" ref="DW444:DW454" ca="1" si="8001">DV444+DW443</f>
        <v>#REF!</v>
      </c>
      <c r="DX444" s="692" t="str">
        <f ca="1">IFERROR(VLOOKUP(INDEX(DT443:DT454,DW444),STM,2,FALSE),"----")</f>
        <v>----</v>
      </c>
      <c r="DY444" s="691" t="e">
        <f t="shared" ref="DY444:DY454" ca="1" si="8002">DY443-1</f>
        <v>#N/A</v>
      </c>
      <c r="DZ444" s="4" t="e">
        <f ca="1">IF(AND(INDEX(ELM,DY444,4)&gt;=$AB449,INDEX(ELM,DY444,5)&gt;=$S443,INDEX(ELM,DY444,6)&gt;=$R443),1,0)</f>
        <v>#N/A</v>
      </c>
      <c r="EA444" s="4" t="e">
        <f t="shared" ref="EA444" ca="1" si="8003">MATCH(1,OFFSET(DZ443:DZ454,EB443,0,COUNT(DZ443:DZ454)-EB443),0)</f>
        <v>#REF!</v>
      </c>
      <c r="EB444" s="4" t="e">
        <f t="shared" ref="EB444:EB454" ca="1" si="8004">EA444+EB443</f>
        <v>#REF!</v>
      </c>
      <c r="EC444" s="692" t="str">
        <f ca="1">IFERROR(VLOOKUP(INDEX(DY443:DY454,EB444),ELM,2,FALSE),"----")</f>
        <v>----</v>
      </c>
      <c r="ED444" s="691" t="e">
        <f t="shared" ref="ED444:ED454" ca="1" si="8005">ED443-1</f>
        <v>#N/A</v>
      </c>
      <c r="EE444" s="4" t="e">
        <f ca="1">IF(LEFT($J443,7)="Clad Wo",IF(AND(INDEX(SPPWS,ED444,4)&gt;=$AB449,INDEX(SPPWS,ED444,5)&gt;=$S443,INDEX(SPPWS,ED444,6)&gt;=$R443),1,0),IF(AND(INDEX(SPM,ED444,4)&gt;=$AB449,INDEX(SPM,ED444,5)&gt;=$S443,INDEX(SPM,ED444,6)&gt;=$R443),1,0))</f>
        <v>#N/A</v>
      </c>
      <c r="EF444" s="4" t="e">
        <f t="shared" ref="EF444" ca="1" si="8006">MATCH(1,OFFSET(EE443:EE454,EG443,0,COUNT(EE443:EE454)-EG443),0)</f>
        <v>#REF!</v>
      </c>
      <c r="EG444" s="4" t="e">
        <f t="shared" ref="EG444:EG454" ca="1" si="8007">EG443+EF444</f>
        <v>#REF!</v>
      </c>
      <c r="EH444" s="692" t="str">
        <f ca="1">IF(LEFT($J443,7)="Clad Wo",IFERROR(VLOOKUP(INDEX(ED443:ED454,EG444),SPPWS,2,FALSE),"----"),IFERROR(VLOOKUP(INDEX(ED443:ED454,EG444),SPM,2,FALSE),"----"))</f>
        <v>----</v>
      </c>
    </row>
    <row r="445" spans="1:138" ht="15" customHeight="1" x14ac:dyDescent="0.25">
      <c r="A445" s="1085"/>
      <c r="B445" s="925"/>
      <c r="C445" s="926"/>
      <c r="D445" s="927"/>
      <c r="E445" s="995"/>
      <c r="F445" s="996"/>
      <c r="G445" s="997"/>
      <c r="H445" s="1062"/>
      <c r="I445" s="990"/>
      <c r="J445" s="908"/>
      <c r="K445" s="909"/>
      <c r="L445" s="1002"/>
      <c r="M445" s="923"/>
      <c r="N445" s="1042"/>
      <c r="O445" s="1018"/>
      <c r="P445" s="987"/>
      <c r="Q445" s="1015"/>
      <c r="R445" s="1012"/>
      <c r="S445" s="1006"/>
      <c r="T445" s="1007"/>
      <c r="U445" s="878"/>
      <c r="V445" s="881"/>
      <c r="W445" s="884"/>
      <c r="X445" s="884"/>
      <c r="Y445" s="887"/>
      <c r="Z445" s="887"/>
      <c r="AA445" s="887"/>
      <c r="AB445" s="1081"/>
      <c r="AC445" s="1078"/>
      <c r="AD445" s="1070" t="s">
        <v>333</v>
      </c>
      <c r="AE445" s="1071"/>
      <c r="AF445" s="1052"/>
      <c r="AG445" s="1053"/>
      <c r="AH445" s="1053"/>
      <c r="AI445" s="1066"/>
      <c r="AJ445" s="1067"/>
      <c r="AK445" s="154" t="str">
        <f t="shared" ca="1" si="7482"/>
        <v/>
      </c>
      <c r="AL445" s="1039"/>
      <c r="AM445" s="344" t="str">
        <f ca="1">IFERROR(Q443/12*ROUND(VLOOKUP(AF445,OFFSET(WSM,0,1),6,FALSE),2),"")</f>
        <v/>
      </c>
      <c r="AN445" t="str">
        <f t="shared" ca="1" si="7532"/>
        <v/>
      </c>
      <c r="AP445" s="122" t="str">
        <f t="shared" ref="AP445" si="8008">_xlfn.CONCAT(AR445,AS448)</f>
        <v/>
      </c>
      <c r="AQ445" s="683" t="str">
        <f t="shared" si="7698"/>
        <v/>
      </c>
      <c r="AR445" s="4" t="str">
        <f t="shared" si="7457"/>
        <v/>
      </c>
      <c r="AS445" s="4"/>
      <c r="AT445" s="697" t="str">
        <f>AL443</f>
        <v/>
      </c>
      <c r="AU445" s="694" t="e">
        <f t="shared" ca="1" si="7724"/>
        <v>#REF!</v>
      </c>
      <c r="AV445" s="686" t="str">
        <f ca="1">IFERROR(VLOOKUP(AU445,INDIRECT(AQ443),2,FALSE),"----")</f>
        <v>----</v>
      </c>
      <c r="AW445" s="694" t="e">
        <f t="shared" ca="1" si="7961"/>
        <v>#REF!</v>
      </c>
      <c r="AX445" s="686" t="str">
        <f ca="1">IFERROR(VLOOKUP(AW445,INDIRECT(AQ444),2,FALSE),"----")</f>
        <v>----</v>
      </c>
      <c r="AY445" s="694" t="e">
        <f t="shared" ca="1" si="7962"/>
        <v>#REF!</v>
      </c>
      <c r="AZ445" s="686" t="str">
        <f ca="1">IFERROR(VLOOKUP(AY445,INDIRECT(AQ445),2,FALSE),"----")</f>
        <v>----</v>
      </c>
      <c r="BA445" s="694" t="e">
        <f t="shared" ca="1" si="7963"/>
        <v>#REF!</v>
      </c>
      <c r="BB445" s="686" t="str">
        <f ca="1">IFERROR(VLOOKUP(BA445,INDIRECT(AQ446),2,FALSE),"----")</f>
        <v>----</v>
      </c>
      <c r="BC445" s="694" t="e">
        <f t="shared" ca="1" si="7964"/>
        <v>#REF!</v>
      </c>
      <c r="BD445" s="686" t="str">
        <f ca="1">IFERROR(VLOOKUP(BC445,INDIRECT(AQ447),2,FALSE),"----")</f>
        <v>----</v>
      </c>
      <c r="BE445" s="694" t="e">
        <f t="shared" ca="1" si="7729"/>
        <v>#REF!</v>
      </c>
      <c r="BF445" s="686" t="str">
        <f ca="1">IFERROR(VLOOKUP(BE445,INDIRECT(AQ448),2,FALSE),"----")</f>
        <v>----</v>
      </c>
      <c r="BG445" s="694" t="e">
        <f t="shared" ca="1" si="7730"/>
        <v>#REF!</v>
      </c>
      <c r="BH445" s="686" t="str">
        <f ca="1">IFERROR(VLOOKUP(BG445,INDIRECT(AQ449),2,FALSE),"----")</f>
        <v>----</v>
      </c>
      <c r="BI445" s="694" t="e">
        <f t="shared" ca="1" si="7967"/>
        <v>#REF!</v>
      </c>
      <c r="BJ445" s="686" t="str">
        <f ca="1">IFERROR(VLOOKUP(BI445,INDIRECT(AQ450),2,FALSE),"----")</f>
        <v>----</v>
      </c>
      <c r="BK445" s="694" t="e">
        <f t="shared" ca="1" si="7968"/>
        <v>#REF!</v>
      </c>
      <c r="BL445" s="686" t="str">
        <f ca="1">IFERROR(VLOOKUP(BK445,INDIRECT(AQ451),2,FALSE),"----")</f>
        <v>----</v>
      </c>
      <c r="BM445" s="694" t="e">
        <f t="shared" ca="1" si="7969"/>
        <v>#REF!</v>
      </c>
      <c r="BN445" s="686" t="str">
        <f ca="1">IFERROR(VLOOKUP(BM445,INDIRECT(AQ452),2,FALSE),"----")</f>
        <v>----</v>
      </c>
      <c r="BO445" s="694" t="e">
        <f t="shared" ca="1" si="7970"/>
        <v>#REF!</v>
      </c>
      <c r="BP445" s="686" t="str">
        <f ca="1">IFERROR(VLOOKUP(BO445,INDIRECT(AQ453),2,FALSE),"----")</f>
        <v>----</v>
      </c>
      <c r="BQ445" s="694" t="e">
        <f t="shared" ca="1" si="7735"/>
        <v>#REF!</v>
      </c>
      <c r="BR445" s="686" t="str">
        <f ca="1">IFERROR(VLOOKUP(BQ445,INDIRECT(AQ454),2,FALSE),"----")</f>
        <v>----</v>
      </c>
      <c r="BS445" s="695">
        <f>IF(AI445="",1,IF(COUNTIF(AZ443:AZ454,AI445)=0,2,1))</f>
        <v>1</v>
      </c>
      <c r="BT445" s="696">
        <f>IF(AF445="",1,IF(AZ443=".",2,1))</f>
        <v>1</v>
      </c>
      <c r="BU445" s="706"/>
      <c r="BV445" s="155">
        <f ca="1">IF(COUNTIF(CO443:CO454,AF445)=0,IF(AF445&lt;&gt;"",0,1),1)</f>
        <v>1</v>
      </c>
      <c r="BW445" s="157">
        <f ca="1">IFERROR(MATCH(AF445,CO443:CO454,0),1)</f>
        <v>1</v>
      </c>
      <c r="BX445" s="769"/>
      <c r="BY445" s="769"/>
      <c r="BZ445" s="1110"/>
      <c r="CA445" s="691" t="e">
        <f t="shared" ca="1" si="7972"/>
        <v>#REF!</v>
      </c>
      <c r="CB445" s="4" t="e" cm="1">
        <f t="array" aca="1" ref="CB445" ca="1">IF(AND(INDEX(INDIRECT(BY443),CA445,4)&gt;=$AB443,INDEX(INDIRECT(BY443),CA445,5)&gt;=$S443,INDEX(INDIRECT(BY443),CA445,6)&gt;=$R443),1,0)</f>
        <v>#REF!</v>
      </c>
      <c r="CC445" s="4" t="e">
        <f t="shared" ref="CC445" ca="1" si="8009">MATCH(1,OFFSET(CB443:CB454,CD444,0,COUNT(CB443:CB454)-CD444),0)</f>
        <v>#REF!</v>
      </c>
      <c r="CD445" s="4" t="e">
        <f t="shared" ca="1" si="7974"/>
        <v>#REF!</v>
      </c>
      <c r="CE445" s="692" t="str" cm="1">
        <f t="array" aca="1" ref="CE445" ca="1">IFERROR(VLOOKUP(INDEX(CA443:CA454,CD445),INDIRECT(BY443),2,FALSE),"----")</f>
        <v>----</v>
      </c>
      <c r="CF445" s="691" t="e">
        <f t="shared" ca="1" si="7975"/>
        <v>#N/A</v>
      </c>
      <c r="CG445" s="4" t="e">
        <f ca="1">IF(AND(INDEX(SSM,CF445,4)&gt;=$AB443,INDEX(SSM,CF445,5)&gt;=$S443,INDEX(SSM,CF445,6)&gt;=$R443),1,0)</f>
        <v>#N/A</v>
      </c>
      <c r="CH445" s="4" t="e">
        <f t="shared" ref="CH445" ca="1" si="8010">MATCH(1,OFFSET(CG443:CG454,CI444,0,COUNT(CG443:CG454)-CI444),0)</f>
        <v>#REF!</v>
      </c>
      <c r="CI445" s="4" t="e">
        <f t="shared" ca="1" si="7977"/>
        <v>#REF!</v>
      </c>
      <c r="CJ445" s="692" t="str">
        <f ca="1">IFERROR(IF(AD444="Nested Steel Stud (wood infill)",VLOOKUP(INDEX(CF443:CF454,CI445),SSW,2,FALSE),VLOOKUP(INDEX(CF443:CF454,CI445),SSM,2,FALSE)),"----")</f>
        <v>----</v>
      </c>
      <c r="CK445" s="691" t="e">
        <f t="shared" ca="1" si="7978"/>
        <v>#N/A</v>
      </c>
      <c r="CL445" s="4" t="e">
        <f ca="1">IF(AND(INDEX(WSM,CK445,4)&gt;=$AB443,INDEX(WSM,CK445,5)&gt;=$S443,INDEX(WSM,CK445,6)&gt;=$R443),1,0)</f>
        <v>#N/A</v>
      </c>
      <c r="CM445" s="4" t="e">
        <f t="shared" ref="CM445" ca="1" si="8011">MATCH(1,OFFSET(CL443:CL454,CN444,0,COUNT(CL443:CL454)-CN444),0)</f>
        <v>#REF!</v>
      </c>
      <c r="CN445" s="4" t="e">
        <f t="shared" ca="1" si="7980"/>
        <v>#REF!</v>
      </c>
      <c r="CO445" s="692" t="str">
        <f ca="1">IFERROR(VLOOKUP(INDEX(CK443:CK454,CN445),WSM,2,FALSE),"----")</f>
        <v>----</v>
      </c>
      <c r="CP445" s="691" t="e">
        <f t="shared" ca="1" si="7981"/>
        <v>#N/A</v>
      </c>
      <c r="CQ445" s="4" t="e">
        <f ca="1">IF(AND(INDEX(STM,CP445,4)&gt;=$AB443,INDEX(STM,CP445,5)&gt;=$S443,INDEX(STM,CP445,6)&gt;=$R443),1,0)</f>
        <v>#N/A</v>
      </c>
      <c r="CR445" s="4" t="e">
        <f t="shared" ref="CR445" ca="1" si="8012">MATCH(1,OFFSET(CQ443:CQ454,CS444,0,COUNT(CQ443:CQ454)-CS444),0)</f>
        <v>#REF!</v>
      </c>
      <c r="CS445" s="4" t="e">
        <f t="shared" ca="1" si="7983"/>
        <v>#REF!</v>
      </c>
      <c r="CT445" s="692" t="str">
        <f ca="1">IFERROR(VLOOKUP(INDEX(CP443:CP454,CS445),STM,2,FALSE),"----")</f>
        <v>----</v>
      </c>
      <c r="CU445" s="691" t="e">
        <f t="shared" ca="1" si="7984"/>
        <v>#N/A</v>
      </c>
      <c r="CV445" s="4" t="e">
        <f ca="1">IF(AND(INDEX(ELM,CU445,4)&gt;=$AB443,INDEX(ELM,CU445,5)&gt;=$S443,INDEX(ELM,CU445,6)&gt;=$R443),1,0)</f>
        <v>#N/A</v>
      </c>
      <c r="CW445" s="4" t="e">
        <f t="shared" ref="CW445" ca="1" si="8013">MATCH(1,OFFSET(CV443:CV454,CX444,0,COUNT(CV443:CV454)-CX444),0)</f>
        <v>#REF!</v>
      </c>
      <c r="CX445" s="4" t="e">
        <f t="shared" ca="1" si="7986"/>
        <v>#REF!</v>
      </c>
      <c r="CY445" s="692" t="str">
        <f ca="1">IFERROR(VLOOKUP(INDEX(CU443:CU454,CX445),ELM,2,FALSE),"----")</f>
        <v>----</v>
      </c>
      <c r="CZ445" s="691" t="e">
        <f t="shared" ca="1" si="7987"/>
        <v>#N/A</v>
      </c>
      <c r="DA445" s="4" t="e">
        <f ca="1">IF(LEFT($J443,7)="Clad Wo",IF(AND(INDEX(SPPWS,CZ445,4)&gt;=$AB443,INDEX(SPPWS,CZ445,5)&gt;=$S443,INDEX(SPPWS,CZ445,6)&gt;=$R443),1,0),IF(AND(INDEX(SPM,CZ445,4)&gt;=$AB443,INDEX(SPM,CZ445,5)&gt;=$S443,INDEX(SPM,CZ445,6)&gt;=$R443),1,0))</f>
        <v>#N/A</v>
      </c>
      <c r="DB445" s="4" t="e">
        <f t="shared" ref="DB445" ca="1" si="8014">MATCH(1,OFFSET(DA443:DA454,DC444,0,COUNT(DA443:DA454)-DC444),0)</f>
        <v>#REF!</v>
      </c>
      <c r="DC445" s="4" t="e">
        <f t="shared" ca="1" si="7989"/>
        <v>#REF!</v>
      </c>
      <c r="DD445" s="693" t="str">
        <f ca="1">IF(LEFT($J443,7)="Clad Wo",IFERROR(VLOOKUP(INDEX(CZ443:CZ454,DC445),SPPWS,2,FALSE),"----"),IFERROR(VLOOKUP(INDEX(CZ443:CZ454,DC445),SPM,2,FALSE),"----"))</f>
        <v>----</v>
      </c>
      <c r="DE445" s="691" t="e">
        <f t="shared" ca="1" si="7990"/>
        <v>#REF!</v>
      </c>
      <c r="DF445" s="4" t="e" cm="1">
        <f t="array" aca="1" ref="DF445" ca="1">IF(AND(INDEX(INDIRECT(BY443),DE445,4)&gt;=$AB449,INDEX(INDIRECT(BY443),DE445,5)&gt;=$S443,INDEX(INDIRECT(BY443),DE445,6)&gt;=$R443),1,0)</f>
        <v>#REF!</v>
      </c>
      <c r="DG445" s="4" t="e">
        <f t="shared" ref="DG445" ca="1" si="8015">MATCH(1,OFFSET(DF443:DF454,DH444,0,COUNT(DF443:DF454)-DH444),0)</f>
        <v>#REF!</v>
      </c>
      <c r="DH445" s="4" t="e">
        <f t="shared" ca="1" si="7992"/>
        <v>#REF!</v>
      </c>
      <c r="DI445" s="692" t="str" cm="1">
        <f t="array" aca="1" ref="DI445" ca="1">IFERROR(VLOOKUP(INDEX(DE443:DE454,DH445),INDIRECT(BY443),2,FALSE),"----")</f>
        <v>----</v>
      </c>
      <c r="DJ445" s="691" t="e">
        <f t="shared" ca="1" si="7993"/>
        <v>#N/A</v>
      </c>
      <c r="DK445" s="4" t="e">
        <f ca="1">IF(AND(INDEX(SSM,DJ445,4)&gt;=$AB449,INDEX(SSM,DJ445,5)&gt;=$S443,INDEX(SSM,DJ445,6)&gt;=$R443),1,0)</f>
        <v>#N/A</v>
      </c>
      <c r="DL445" s="4" t="e">
        <f t="shared" ref="DL445" ca="1" si="8016">MATCH(1,OFFSET(DK443:DK454,DM444,0,COUNT(DK443:DK454)-DM444),0)</f>
        <v>#REF!</v>
      </c>
      <c r="DM445" s="4" t="e">
        <f t="shared" ca="1" si="7995"/>
        <v>#REF!</v>
      </c>
      <c r="DN445" s="692" t="str">
        <f ca="1">IFERROR(IF(AD450="Nested Steel Stud (wood infill)",VLOOKUP(INDEX(DJ443:DJ454,DM445),SSW,2,FALSE),VLOOKUP(INDEX(DJ443:DJ454,DM445),SSM,2,FALSE)),"----")</f>
        <v>----</v>
      </c>
      <c r="DO445" s="691" t="e">
        <f t="shared" ca="1" si="7996"/>
        <v>#N/A</v>
      </c>
      <c r="DP445" s="4" t="e">
        <f ca="1">IF(AND(INDEX(WSM,DO445,4)&gt;=$AB449,INDEX(WSM,DO445,5)&gt;=$S443,INDEX(WSM,DO445,6)&gt;=$R443),1,0)</f>
        <v>#N/A</v>
      </c>
      <c r="DQ445" s="4" t="e">
        <f t="shared" ref="DQ445" ca="1" si="8017">MATCH(1,OFFSET(DP443:DP454,DR444,0,COUNT(DP443:DP454)-DR444),0)</f>
        <v>#REF!</v>
      </c>
      <c r="DR445" s="4" t="e">
        <f t="shared" ca="1" si="7998"/>
        <v>#REF!</v>
      </c>
      <c r="DS445" s="692" t="str">
        <f ca="1">IFERROR(VLOOKUP(INDEX(DO443:DO454,DR445),WSM,2,FALSE),"----")</f>
        <v>----</v>
      </c>
      <c r="DT445" s="691" t="e">
        <f t="shared" ca="1" si="7999"/>
        <v>#N/A</v>
      </c>
      <c r="DU445" s="4" t="e">
        <f ca="1">IF(AND(INDEX(STM,DT445,4)&gt;=$AB449,INDEX(STM,DT445,5)&gt;=$S443,INDEX(STM,DT445,6)&gt;=$R443),1,0)</f>
        <v>#N/A</v>
      </c>
      <c r="DV445" s="4" t="e">
        <f t="shared" ref="DV445" ca="1" si="8018">MATCH(1,OFFSET(DU443:DU454,DW444,0,COUNT(DU443:DU454)-DW444),0)</f>
        <v>#REF!</v>
      </c>
      <c r="DW445" s="4" t="e">
        <f t="shared" ca="1" si="8001"/>
        <v>#REF!</v>
      </c>
      <c r="DX445" s="692" t="str">
        <f ca="1">IFERROR(VLOOKUP(INDEX(DT443:DT454,DW445),STM,2,FALSE),"----")</f>
        <v>----</v>
      </c>
      <c r="DY445" s="691" t="e">
        <f t="shared" ca="1" si="8002"/>
        <v>#N/A</v>
      </c>
      <c r="DZ445" s="4" t="e">
        <f ca="1">IF(AND(INDEX(ELM,DY445,4)&gt;=$AB449,INDEX(ELM,DY445,5)&gt;=$S443,INDEX(ELM,DY445,6)&gt;=$R443),1,0)</f>
        <v>#N/A</v>
      </c>
      <c r="EA445" s="4" t="e">
        <f t="shared" ref="EA445" ca="1" si="8019">MATCH(1,OFFSET(DZ443:DZ454,EB444,0,COUNT(DZ443:DZ454)-EB444),0)</f>
        <v>#REF!</v>
      </c>
      <c r="EB445" s="4" t="e">
        <f t="shared" ca="1" si="8004"/>
        <v>#REF!</v>
      </c>
      <c r="EC445" s="692" t="str">
        <f ca="1">IFERROR(VLOOKUP(INDEX(DY443:DY454,EB445),ELM,2,FALSE),"----")</f>
        <v>----</v>
      </c>
      <c r="ED445" s="691" t="e">
        <f t="shared" ca="1" si="8005"/>
        <v>#N/A</v>
      </c>
      <c r="EE445" s="4" t="e">
        <f ca="1">IF(LEFT($J443,7)="Clad Wo",IF(AND(INDEX(SPPWS,ED445,4)&gt;=$AB449,INDEX(SPPWS,ED445,5)&gt;=$S443,INDEX(SPPWS,ED445,6)&gt;=$R443),1,0),IF(AND(INDEX(SPM,ED445,4)&gt;=$AB449,INDEX(SPM,ED445,5)&gt;=$S443,INDEX(SPM,ED445,6)&gt;=$R443),1,0))</f>
        <v>#N/A</v>
      </c>
      <c r="EF445" s="4" t="e">
        <f t="shared" ref="EF445" ca="1" si="8020">MATCH(1,OFFSET(EE443:EE454,EG444,0,COUNT(EE443:EE454)-EG444),0)</f>
        <v>#REF!</v>
      </c>
      <c r="EG445" s="4" t="e">
        <f t="shared" ca="1" si="8007"/>
        <v>#REF!</v>
      </c>
      <c r="EH445" s="692" t="str">
        <f ca="1">IF(LEFT($J443,7)="Clad Wo",IFERROR(VLOOKUP(INDEX(ED443:ED454,EG445),SPPWS,2,FALSE),"----"),IFERROR(VLOOKUP(INDEX(ED443:ED454,EG445),SPM,2,FALSE),"----"))</f>
        <v>----</v>
      </c>
    </row>
    <row r="446" spans="1:138" ht="15" customHeight="1" x14ac:dyDescent="0.25">
      <c r="A446" s="1085"/>
      <c r="B446" s="925"/>
      <c r="C446" s="926"/>
      <c r="D446" s="927"/>
      <c r="E446" s="995"/>
      <c r="F446" s="996"/>
      <c r="G446" s="997"/>
      <c r="H446" s="1062"/>
      <c r="I446" s="990"/>
      <c r="J446" s="908"/>
      <c r="K446" s="909"/>
      <c r="L446" s="1002"/>
      <c r="M446" s="923"/>
      <c r="N446" s="1042"/>
      <c r="O446" s="1018"/>
      <c r="P446" s="987"/>
      <c r="Q446" s="1015"/>
      <c r="R446" s="1012"/>
      <c r="S446" s="1006"/>
      <c r="T446" s="1007"/>
      <c r="U446" s="878"/>
      <c r="V446" s="881"/>
      <c r="W446" s="884"/>
      <c r="X446" s="884"/>
      <c r="Y446" s="887"/>
      <c r="Z446" s="887"/>
      <c r="AA446" s="887"/>
      <c r="AB446" s="1081"/>
      <c r="AC446" s="1078"/>
      <c r="AD446" s="1070" t="s">
        <v>37</v>
      </c>
      <c r="AE446" s="1071"/>
      <c r="AF446" s="1052"/>
      <c r="AG446" s="1053"/>
      <c r="AH446" s="1053"/>
      <c r="AI446" s="1066"/>
      <c r="AJ446" s="1067"/>
      <c r="AK446" s="156" t="str">
        <f t="shared" ca="1" si="7482"/>
        <v/>
      </c>
      <c r="AL446" s="1039"/>
      <c r="AM446" s="343" t="str">
        <f ca="1">IFERROR(Q443/12*ROUND(VLOOKUP(AF446,OFFSET(STM,0,1),6,FALSE),2),"")</f>
        <v/>
      </c>
      <c r="AN446" t="str">
        <f t="shared" ca="1" si="7532"/>
        <v/>
      </c>
      <c r="AP446" s="122" t="str">
        <f t="shared" ref="AP446" si="8021">_xlfn.CONCAT(AR446,AS448)</f>
        <v/>
      </c>
      <c r="AQ446" s="683" t="str">
        <f t="shared" si="7698"/>
        <v/>
      </c>
      <c r="AR446" s="4" t="str">
        <f t="shared" si="7457"/>
        <v/>
      </c>
      <c r="AS446" s="4"/>
      <c r="AT446" s="697" t="str">
        <f>AL443</f>
        <v/>
      </c>
      <c r="AU446" s="694" t="e">
        <f t="shared" ca="1" si="7724"/>
        <v>#REF!</v>
      </c>
      <c r="AV446" s="686" t="str">
        <f ca="1">IFERROR(VLOOKUP(AU446,INDIRECT(AQ443),2,FALSE),"----")</f>
        <v>----</v>
      </c>
      <c r="AW446" s="694" t="e">
        <f t="shared" ca="1" si="7725"/>
        <v>#REF!</v>
      </c>
      <c r="AX446" s="686" t="str">
        <f ca="1">IFERROR(VLOOKUP(AW446,INDIRECT(AQ444),2,FALSE),"----")</f>
        <v>----</v>
      </c>
      <c r="AY446" s="694" t="e">
        <f t="shared" ref="AY446" ca="1" si="8022">AY445-1</f>
        <v>#REF!</v>
      </c>
      <c r="AZ446" s="686" t="str">
        <f ca="1">IFERROR(VLOOKUP(AY446,INDIRECT(AQ445),2,FALSE),"----")</f>
        <v>----</v>
      </c>
      <c r="BA446" s="694" t="e">
        <f t="shared" ref="BA446" ca="1" si="8023">BA445-1</f>
        <v>#REF!</v>
      </c>
      <c r="BB446" s="686" t="str">
        <f ca="1">IFERROR(VLOOKUP(BA446,INDIRECT(AQ446),2,FALSE),"----")</f>
        <v>----</v>
      </c>
      <c r="BC446" s="694" t="e">
        <f t="shared" ca="1" si="7728"/>
        <v>#REF!</v>
      </c>
      <c r="BD446" s="686" t="str">
        <f ca="1">IFERROR(VLOOKUP(BC446,INDIRECT(AQ447),2,FALSE),"----")</f>
        <v>----</v>
      </c>
      <c r="BE446" s="694" t="e">
        <f t="shared" ca="1" si="7729"/>
        <v>#REF!</v>
      </c>
      <c r="BF446" s="686" t="str">
        <f ca="1">IFERROR(VLOOKUP(BE446,INDIRECT(AQ448),2,FALSE),"----")</f>
        <v>----</v>
      </c>
      <c r="BG446" s="694" t="e">
        <f t="shared" ca="1" si="7730"/>
        <v>#REF!</v>
      </c>
      <c r="BH446" s="686" t="str">
        <f ca="1">IFERROR(VLOOKUP(BG446,INDIRECT(AQ449),2,FALSE),"----")</f>
        <v>----</v>
      </c>
      <c r="BI446" s="694" t="e">
        <f t="shared" ca="1" si="7731"/>
        <v>#REF!</v>
      </c>
      <c r="BJ446" s="686" t="str">
        <f ca="1">IFERROR(VLOOKUP(BI446,INDIRECT(AQ450),2,FALSE),"----")</f>
        <v>----</v>
      </c>
      <c r="BK446" s="694" t="e">
        <f t="shared" ca="1" si="7732"/>
        <v>#REF!</v>
      </c>
      <c r="BL446" s="686" t="str">
        <f ca="1">IFERROR(VLOOKUP(BK446,INDIRECT(AQ451),2,FALSE),"----")</f>
        <v>----</v>
      </c>
      <c r="BM446" s="694" t="e">
        <f t="shared" ca="1" si="7733"/>
        <v>#REF!</v>
      </c>
      <c r="BN446" s="686" t="str">
        <f ca="1">IFERROR(VLOOKUP(BM446,INDIRECT(AQ452),2,FALSE),"----")</f>
        <v>----</v>
      </c>
      <c r="BO446" s="694" t="e">
        <f t="shared" ca="1" si="7734"/>
        <v>#REF!</v>
      </c>
      <c r="BP446" s="686" t="str">
        <f ca="1">IFERROR(VLOOKUP(BO446,INDIRECT(AQ453),2,FALSE),"----")</f>
        <v>----</v>
      </c>
      <c r="BQ446" s="694" t="e">
        <f t="shared" ca="1" si="7735"/>
        <v>#REF!</v>
      </c>
      <c r="BR446" s="686" t="str">
        <f ca="1">IFERROR(VLOOKUP(BQ446,INDIRECT(AQ454),2,FALSE),"----")</f>
        <v>----</v>
      </c>
      <c r="BS446" s="695">
        <f>IF(AI446="",1,IF(COUNTIF(BB443:BB454,AI446)=0,2,1))</f>
        <v>1</v>
      </c>
      <c r="BT446" s="696">
        <f>IF(AF446="",1,IF(BB443=".",2,1))</f>
        <v>1</v>
      </c>
      <c r="BU446" s="706"/>
      <c r="BV446" s="155">
        <f ca="1">IF(COUNTIF(CT443:CT454,AF446)=0,IF(AF446&lt;&gt;"",0,1),1)</f>
        <v>1</v>
      </c>
      <c r="BW446" s="157">
        <f ca="1">IFERROR(MATCH(AF446,CT443:CT454,0),1)</f>
        <v>1</v>
      </c>
      <c r="BX446" s="769"/>
      <c r="BY446" s="769"/>
      <c r="BZ446" s="1110"/>
      <c r="CA446" s="691" t="e">
        <f t="shared" ca="1" si="7972"/>
        <v>#REF!</v>
      </c>
      <c r="CB446" s="4" t="e" cm="1">
        <f t="array" aca="1" ref="CB446" ca="1">IF(AND(INDEX(INDIRECT(BY443),CA446,4)&gt;=$AB443,INDEX(INDIRECT(BY443),CA446,5)&gt;=$S443,INDEX(INDIRECT(BY443),CA446,6)&gt;=$R443),1,0)</f>
        <v>#REF!</v>
      </c>
      <c r="CC446" s="4" t="e">
        <f t="shared" ref="CC446" ca="1" si="8024">MATCH(1,OFFSET(CB443:CB454,CD445,0,COUNT(CB443:CB454)-CD445),0)</f>
        <v>#REF!</v>
      </c>
      <c r="CD446" s="4" t="e">
        <f t="shared" ca="1" si="7974"/>
        <v>#REF!</v>
      </c>
      <c r="CE446" s="692" t="str" cm="1">
        <f t="array" aca="1" ref="CE446" ca="1">IFERROR(VLOOKUP(INDEX(CA443:CA454,CD446),INDIRECT(BY443),2,FALSE),"----")</f>
        <v>----</v>
      </c>
      <c r="CF446" s="691" t="e">
        <f t="shared" ca="1" si="7975"/>
        <v>#N/A</v>
      </c>
      <c r="CG446" s="4" t="e">
        <f ca="1">IF(AND(INDEX(SSM,CF446,4)&gt;=$AB443,INDEX(SSM,CF446,5)&gt;=$S443,INDEX(SSM,CF446,6)&gt;=$R443),1,0)</f>
        <v>#N/A</v>
      </c>
      <c r="CH446" s="4" t="e">
        <f t="shared" ref="CH446" ca="1" si="8025">MATCH(1,OFFSET(CG443:CG454,CI445,0,COUNT(CG443:CG454)-CI445),0)</f>
        <v>#REF!</v>
      </c>
      <c r="CI446" s="4" t="e">
        <f t="shared" ca="1" si="7977"/>
        <v>#REF!</v>
      </c>
      <c r="CJ446" s="692" t="str">
        <f ca="1">IFERROR(IF(AD444="Nested Steel Stud (wood infill)",VLOOKUP(INDEX(CF443:CF454,CI446),SSW,2,FALSE),VLOOKUP(INDEX(CF443:CF454,CI446),SSM,2,FALSE)),"----")</f>
        <v>----</v>
      </c>
      <c r="CK446" s="691" t="e">
        <f t="shared" ca="1" si="7978"/>
        <v>#N/A</v>
      </c>
      <c r="CL446" s="4" t="e">
        <f ca="1">IF(AND(INDEX(WSM,CK446,4)&gt;=$AB443,INDEX(WSM,CK446,5)&gt;=$S443,INDEX(WSM,CK446,6)&gt;=$R443),1,0)</f>
        <v>#N/A</v>
      </c>
      <c r="CM446" s="4" t="e">
        <f t="shared" ref="CM446" ca="1" si="8026">MATCH(1,OFFSET(CL443:CL454,CN445,0,COUNT(CL443:CL454)-CN445),0)</f>
        <v>#REF!</v>
      </c>
      <c r="CN446" s="4" t="e">
        <f t="shared" ca="1" si="7980"/>
        <v>#REF!</v>
      </c>
      <c r="CO446" s="692" t="str">
        <f ca="1">IFERROR(VLOOKUP(INDEX(CK443:CK454,CN446),WSM,2,FALSE),"----")</f>
        <v>----</v>
      </c>
      <c r="CP446" s="691" t="e">
        <f t="shared" ca="1" si="7981"/>
        <v>#N/A</v>
      </c>
      <c r="CQ446" s="4" t="e">
        <f ca="1">IF(AND(INDEX(STM,CP446,4)&gt;=$AB443,INDEX(STM,CP446,5)&gt;=$S443,INDEX(STM,CP446,6)&gt;=$R443),1,0)</f>
        <v>#N/A</v>
      </c>
      <c r="CR446" s="4" t="e">
        <f t="shared" ref="CR446" ca="1" si="8027">MATCH(1,OFFSET(CQ443:CQ454,CS445,0,COUNT(CQ443:CQ454)-CS445),0)</f>
        <v>#REF!</v>
      </c>
      <c r="CS446" s="4" t="e">
        <f t="shared" ca="1" si="7983"/>
        <v>#REF!</v>
      </c>
      <c r="CT446" s="692" t="str">
        <f ca="1">IFERROR(VLOOKUP(INDEX(CP443:CP454,CS446),STM,2,FALSE),"----")</f>
        <v>----</v>
      </c>
      <c r="CU446" s="691" t="e">
        <f t="shared" ca="1" si="7984"/>
        <v>#N/A</v>
      </c>
      <c r="CV446" s="4" t="e">
        <f ca="1">IF(AND(INDEX(ELM,CU446,4)&gt;=$AB443,INDEX(ELM,CU446,5)&gt;=$S443,INDEX(ELM,CU446,6)&gt;=$R443),1,0)</f>
        <v>#N/A</v>
      </c>
      <c r="CW446" s="4" t="e">
        <f t="shared" ref="CW446" ca="1" si="8028">MATCH(1,OFFSET(CV443:CV454,CX445,0,COUNT(CV443:CV454)-CX445),0)</f>
        <v>#REF!</v>
      </c>
      <c r="CX446" s="4" t="e">
        <f t="shared" ca="1" si="7986"/>
        <v>#REF!</v>
      </c>
      <c r="CY446" s="692" t="str">
        <f ca="1">IFERROR(VLOOKUP(INDEX(CU443:CU454,CX446),ELM,2,FALSE),"----")</f>
        <v>----</v>
      </c>
      <c r="CZ446" s="691" t="e">
        <f t="shared" ca="1" si="7987"/>
        <v>#N/A</v>
      </c>
      <c r="DA446" s="4" t="e">
        <f ca="1">IF(LEFT($J443,7)="Clad Wo",IF(AND(INDEX(SPPWS,CZ446,4)&gt;=$AB443,INDEX(SPPWS,CZ446,5)&gt;=$S443,INDEX(SPPWS,CZ446,6)&gt;=$R443),1,0),IF(AND(INDEX(SPM,CZ446,4)&gt;=$AB443,INDEX(SPM,CZ446,5)&gt;=$S443,INDEX(SPM,CZ446,6)&gt;=$R443),1,0))</f>
        <v>#N/A</v>
      </c>
      <c r="DB446" s="4" t="e">
        <f t="shared" ref="DB446" ca="1" si="8029">MATCH(1,OFFSET(DA443:DA454,DC445,0,COUNT(DA443:DA454)-DC445),0)</f>
        <v>#REF!</v>
      </c>
      <c r="DC446" s="4" t="e">
        <f t="shared" ca="1" si="7989"/>
        <v>#REF!</v>
      </c>
      <c r="DD446" s="693" t="str">
        <f ca="1">IF(LEFT($J443,7)="Clad Wo",IFERROR(VLOOKUP(INDEX(CZ443:CZ454,DC446),SPPWS,2,FALSE),"----"),IFERROR(VLOOKUP(INDEX(CZ443:CZ454,DC446),SPM,2,FALSE),"----"))</f>
        <v>----</v>
      </c>
      <c r="DE446" s="691" t="e">
        <f t="shared" ca="1" si="7990"/>
        <v>#REF!</v>
      </c>
      <c r="DF446" s="4" t="e" cm="1">
        <f t="array" aca="1" ref="DF446" ca="1">IF(AND(INDEX(INDIRECT(BY443),DE446,4)&gt;=$AB449,INDEX(INDIRECT(BY443),DE446,5)&gt;=$S443,INDEX(INDIRECT(BY443),DE446,6)&gt;=$R443),1,0)</f>
        <v>#REF!</v>
      </c>
      <c r="DG446" s="4" t="e">
        <f t="shared" ref="DG446" ca="1" si="8030">MATCH(1,OFFSET(DF443:DF454,DH445,0,COUNT(DF443:DF454)-DH445),0)</f>
        <v>#REF!</v>
      </c>
      <c r="DH446" s="4" t="e">
        <f t="shared" ca="1" si="7992"/>
        <v>#REF!</v>
      </c>
      <c r="DI446" s="692" t="str" cm="1">
        <f t="array" aca="1" ref="DI446" ca="1">IFERROR(VLOOKUP(INDEX(DE443:DE454,DH446),INDIRECT(BY443),2,FALSE),"----")</f>
        <v>----</v>
      </c>
      <c r="DJ446" s="691" t="e">
        <f t="shared" ca="1" si="7993"/>
        <v>#N/A</v>
      </c>
      <c r="DK446" s="4" t="e">
        <f ca="1">IF(AND(INDEX(SSM,DJ446,4)&gt;=$AB449,INDEX(SSM,DJ446,5)&gt;=$S443,INDEX(SSM,DJ446,6)&gt;=$R443),1,0)</f>
        <v>#N/A</v>
      </c>
      <c r="DL446" s="4" t="e">
        <f t="shared" ref="DL446" ca="1" si="8031">MATCH(1,OFFSET(DK443:DK454,DM445,0,COUNT(DK443:DK454)-DM445),0)</f>
        <v>#REF!</v>
      </c>
      <c r="DM446" s="4" t="e">
        <f t="shared" ca="1" si="7995"/>
        <v>#REF!</v>
      </c>
      <c r="DN446" s="692" t="str">
        <f ca="1">IFERROR(IF(AD450="Nested Steel Stud (wood infill)",VLOOKUP(INDEX(DJ443:DJ454,DM446),SSW,2,FALSE),VLOOKUP(INDEX(DJ443:DJ454,DM446),SSM,2,FALSE)),"----")</f>
        <v>----</v>
      </c>
      <c r="DO446" s="691" t="e">
        <f t="shared" ca="1" si="7996"/>
        <v>#N/A</v>
      </c>
      <c r="DP446" s="4" t="e">
        <f ca="1">IF(AND(INDEX(WSM,DO446,4)&gt;=$AB449,INDEX(WSM,DO446,5)&gt;=$S443,INDEX(WSM,DO446,6)&gt;=$R443),1,0)</f>
        <v>#N/A</v>
      </c>
      <c r="DQ446" s="4" t="e">
        <f t="shared" ref="DQ446" ca="1" si="8032">MATCH(1,OFFSET(DP443:DP454,DR445,0,COUNT(DP443:DP454)-DR445),0)</f>
        <v>#REF!</v>
      </c>
      <c r="DR446" s="4" t="e">
        <f t="shared" ca="1" si="7998"/>
        <v>#REF!</v>
      </c>
      <c r="DS446" s="692" t="str">
        <f ca="1">IFERROR(VLOOKUP(INDEX(DO443:DO454,DR446),WSM,2,FALSE),"----")</f>
        <v>----</v>
      </c>
      <c r="DT446" s="691" t="e">
        <f t="shared" ca="1" si="7999"/>
        <v>#N/A</v>
      </c>
      <c r="DU446" s="4" t="e">
        <f ca="1">IF(AND(INDEX(STM,DT446,4)&gt;=$AB449,INDEX(STM,DT446,5)&gt;=$S443,INDEX(STM,DT446,6)&gt;=$R443),1,0)</f>
        <v>#N/A</v>
      </c>
      <c r="DV446" s="4" t="e">
        <f t="shared" ref="DV446" ca="1" si="8033">MATCH(1,OFFSET(DU443:DU454,DW445,0,COUNT(DU443:DU454)-DW445),0)</f>
        <v>#REF!</v>
      </c>
      <c r="DW446" s="4" t="e">
        <f t="shared" ca="1" si="8001"/>
        <v>#REF!</v>
      </c>
      <c r="DX446" s="692" t="str">
        <f ca="1">IFERROR(VLOOKUP(INDEX(DT443:DT454,DW446),STM,2,FALSE),"----")</f>
        <v>----</v>
      </c>
      <c r="DY446" s="691" t="e">
        <f t="shared" ca="1" si="8002"/>
        <v>#N/A</v>
      </c>
      <c r="DZ446" s="4" t="e">
        <f ca="1">IF(AND(INDEX(ELM,DY446,4)&gt;=$AB449,INDEX(ELM,DY446,5)&gt;=$S443,INDEX(ELM,DY446,6)&gt;=$R443),1,0)</f>
        <v>#N/A</v>
      </c>
      <c r="EA446" s="4" t="e">
        <f t="shared" ref="EA446" ca="1" si="8034">MATCH(1,OFFSET(DZ443:DZ454,EB445,0,COUNT(DZ443:DZ454)-EB445),0)</f>
        <v>#REF!</v>
      </c>
      <c r="EB446" s="4" t="e">
        <f t="shared" ca="1" si="8004"/>
        <v>#REF!</v>
      </c>
      <c r="EC446" s="692" t="str">
        <f ca="1">IFERROR(VLOOKUP(INDEX(DY443:DY454,EB446),ELM,2,FALSE),"----")</f>
        <v>----</v>
      </c>
      <c r="ED446" s="691" t="e">
        <f t="shared" ca="1" si="8005"/>
        <v>#N/A</v>
      </c>
      <c r="EE446" s="4" t="e">
        <f ca="1">IF(LEFT($J443,7)="Clad Wo",IF(AND(INDEX(SPPWS,ED446,4)&gt;=$AB449,INDEX(SPPWS,ED446,5)&gt;=$S443,INDEX(SPPWS,ED446,6)&gt;=$R443),1,0),IF(AND(INDEX(SPM,ED446,4)&gt;=$AB449,INDEX(SPM,ED446,5)&gt;=$S443,INDEX(SPM,ED446,6)&gt;=$R443),1,0))</f>
        <v>#N/A</v>
      </c>
      <c r="EF446" s="4" t="e">
        <f t="shared" ref="EF446" ca="1" si="8035">MATCH(1,OFFSET(EE443:EE454,EG445,0,COUNT(EE443:EE454)-EG445),0)</f>
        <v>#REF!</v>
      </c>
      <c r="EG446" s="4" t="e">
        <f t="shared" ca="1" si="8007"/>
        <v>#REF!</v>
      </c>
      <c r="EH446" s="692" t="str">
        <f ca="1">IF(LEFT($J443,7)="Clad Wo",IFERROR(VLOOKUP(INDEX(ED443:ED454,EG446),SPPWS,2,FALSE),"----"),IFERROR(VLOOKUP(INDEX(ED443:ED454,EG446),SPM,2,FALSE),"----"))</f>
        <v>----</v>
      </c>
    </row>
    <row r="447" spans="1:138" ht="15" customHeight="1" x14ac:dyDescent="0.25">
      <c r="A447" s="1085"/>
      <c r="B447" s="925"/>
      <c r="C447" s="926"/>
      <c r="D447" s="927"/>
      <c r="E447" s="995"/>
      <c r="F447" s="996"/>
      <c r="G447" s="997"/>
      <c r="H447" s="1062"/>
      <c r="I447" s="990"/>
      <c r="J447" s="910"/>
      <c r="K447" s="911"/>
      <c r="L447" s="1002"/>
      <c r="M447" s="923"/>
      <c r="N447" s="1042"/>
      <c r="O447" s="1018"/>
      <c r="P447" s="987"/>
      <c r="Q447" s="1015"/>
      <c r="R447" s="1012"/>
      <c r="S447" s="1006"/>
      <c r="T447" s="1007"/>
      <c r="U447" s="878"/>
      <c r="V447" s="881"/>
      <c r="W447" s="884"/>
      <c r="X447" s="884"/>
      <c r="Y447" s="887"/>
      <c r="Z447" s="887"/>
      <c r="AA447" s="887"/>
      <c r="AB447" s="1081"/>
      <c r="AC447" s="1078"/>
      <c r="AD447" s="1070" t="s">
        <v>39</v>
      </c>
      <c r="AE447" s="1071"/>
      <c r="AF447" s="1052"/>
      <c r="AG447" s="1053"/>
      <c r="AH447" s="1053"/>
      <c r="AI447" s="1068"/>
      <c r="AJ447" s="1069"/>
      <c r="AK447" s="154" t="str">
        <f t="shared" ca="1" si="7482"/>
        <v/>
      </c>
      <c r="AL447" s="1039"/>
      <c r="AM447" s="344" t="str">
        <f ca="1">IFERROR(Q443/12*ROUND(VLOOKUP(AF447,OFFSET(ELM,0,1),6,FALSE),2),"")</f>
        <v/>
      </c>
      <c r="AN447" t="str">
        <f t="shared" ca="1" si="7532"/>
        <v/>
      </c>
      <c r="AP447" s="122" t="str">
        <f t="shared" ref="AP447" si="8036">_xlfn.CONCAT(AR447,AS448)</f>
        <v/>
      </c>
      <c r="AQ447" s="683" t="str">
        <f t="shared" si="7698"/>
        <v/>
      </c>
      <c r="AR447" s="4" t="str">
        <f t="shared" si="7457"/>
        <v/>
      </c>
      <c r="AS447" s="4"/>
      <c r="AT447" s="697" t="str">
        <f>AL443</f>
        <v/>
      </c>
      <c r="AU447" s="694" t="e">
        <f t="shared" ca="1" si="7724"/>
        <v>#REF!</v>
      </c>
      <c r="AV447" s="698" t="str">
        <f ca="1">IFERROR(VLOOKUP(AU447,INDIRECT(AQ443),2,FALSE),"----")</f>
        <v>----</v>
      </c>
      <c r="AW447" s="694" t="e">
        <f t="shared" ca="1" si="7725"/>
        <v>#REF!</v>
      </c>
      <c r="AX447" s="698" t="str">
        <f ca="1">IFERROR(VLOOKUP(AW447,INDIRECT(AQ444),2,FALSE),"----")</f>
        <v>----</v>
      </c>
      <c r="AY447" s="694" t="e">
        <f t="shared" ref="AY447" ca="1" si="8037">AY446-1</f>
        <v>#REF!</v>
      </c>
      <c r="AZ447" s="698" t="str">
        <f ca="1">IFERROR(VLOOKUP(AY447,INDIRECT(AQ445),2,FALSE),"----")</f>
        <v>----</v>
      </c>
      <c r="BA447" s="694" t="e">
        <f t="shared" ref="BA447" ca="1" si="8038">BA446-1</f>
        <v>#REF!</v>
      </c>
      <c r="BB447" s="698" t="str">
        <f ca="1">IFERROR(VLOOKUP(BA447,INDIRECT(AQ446),2,FALSE),"----")</f>
        <v>----</v>
      </c>
      <c r="BC447" s="694" t="e">
        <f t="shared" ca="1" si="7728"/>
        <v>#REF!</v>
      </c>
      <c r="BD447" s="698" t="str">
        <f ca="1">IFERROR(VLOOKUP(BC447,INDIRECT(AQ447),2,FALSE),"----")</f>
        <v>----</v>
      </c>
      <c r="BE447" s="694" t="e">
        <f t="shared" ca="1" si="7729"/>
        <v>#REF!</v>
      </c>
      <c r="BF447" s="698" t="str">
        <f ca="1">IFERROR(VLOOKUP(BE447,INDIRECT(AQ448),2,FALSE),"----")</f>
        <v>----</v>
      </c>
      <c r="BG447" s="694" t="e">
        <f t="shared" ca="1" si="7730"/>
        <v>#REF!</v>
      </c>
      <c r="BH447" s="686" t="str">
        <f ca="1">IFERROR(VLOOKUP(BG447,INDIRECT(AQ449),2,FALSE),"----")</f>
        <v>----</v>
      </c>
      <c r="BI447" s="694" t="e">
        <f t="shared" ca="1" si="7731"/>
        <v>#REF!</v>
      </c>
      <c r="BJ447" s="686" t="str">
        <f ca="1">IFERROR(VLOOKUP(BI447,INDIRECT(AQ450),2,FALSE),"----")</f>
        <v>----</v>
      </c>
      <c r="BK447" s="694" t="e">
        <f t="shared" ca="1" si="7732"/>
        <v>#REF!</v>
      </c>
      <c r="BL447" s="686" t="str">
        <f ca="1">IFERROR(VLOOKUP(BK447,INDIRECT(AQ451),2,FALSE),"----")</f>
        <v>----</v>
      </c>
      <c r="BM447" s="694" t="e">
        <f t="shared" ca="1" si="7733"/>
        <v>#REF!</v>
      </c>
      <c r="BN447" s="686" t="str">
        <f ca="1">IFERROR(VLOOKUP(BM447,INDIRECT(AQ452),2,FALSE),"----")</f>
        <v>----</v>
      </c>
      <c r="BO447" s="694" t="e">
        <f t="shared" ca="1" si="7734"/>
        <v>#REF!</v>
      </c>
      <c r="BP447" s="686" t="str">
        <f ca="1">IFERROR(VLOOKUP(BO447,INDIRECT(AQ453),2,FALSE),"----")</f>
        <v>----</v>
      </c>
      <c r="BQ447" s="694" t="e">
        <f t="shared" ca="1" si="7735"/>
        <v>#REF!</v>
      </c>
      <c r="BR447" s="686" t="str">
        <f ca="1">IFERROR(VLOOKUP(BQ447,INDIRECT(AQ454),2,FALSE),"----")</f>
        <v>----</v>
      </c>
      <c r="BS447" s="695">
        <f>IF(AI447="",1,IF(COUNTIF(BD443:BD454,AI447)=0,2,1))</f>
        <v>1</v>
      </c>
      <c r="BT447" s="696">
        <f>IF(AF447="",1,IF(BD443=".",2,1))</f>
        <v>1</v>
      </c>
      <c r="BU447" s="706"/>
      <c r="BV447" s="155">
        <f ca="1">IF(COUNTIF(CY443:CY454,AF447)=0,IF(AF447&lt;&gt;"",0,1),1)</f>
        <v>1</v>
      </c>
      <c r="BW447" s="157">
        <f ca="1">IFERROR(MATCH(AF447,CY443:CY454,0),1)</f>
        <v>1</v>
      </c>
      <c r="BX447" s="769"/>
      <c r="BY447" s="769"/>
      <c r="BZ447" s="1110"/>
      <c r="CA447" s="691" t="e">
        <f t="shared" ca="1" si="7972"/>
        <v>#REF!</v>
      </c>
      <c r="CB447" s="4" t="e" cm="1">
        <f t="array" aca="1" ref="CB447" ca="1">IF(AND(INDEX(INDIRECT(BY443),CA447,4)&gt;=$AB443,INDEX(INDIRECT(BY443),CA447,5)&gt;=$S443,INDEX(INDIRECT(BY443),CA447,6)&gt;=$R443),1,0)</f>
        <v>#REF!</v>
      </c>
      <c r="CC447" s="4" t="e">
        <f t="shared" ref="CC447" ca="1" si="8039">MATCH(1,OFFSET(CB443:CB454,CD446,0,COUNT(CB443:CB454)-CD446),0)</f>
        <v>#REF!</v>
      </c>
      <c r="CD447" s="4" t="e">
        <f t="shared" ca="1" si="7974"/>
        <v>#REF!</v>
      </c>
      <c r="CE447" s="692" t="str" cm="1">
        <f t="array" aca="1" ref="CE447" ca="1">IFERROR(VLOOKUP(INDEX(CA443:CA454,CD447),INDIRECT(BY443),2,FALSE),"----")</f>
        <v>----</v>
      </c>
      <c r="CF447" s="691" t="e">
        <f t="shared" ca="1" si="7975"/>
        <v>#N/A</v>
      </c>
      <c r="CG447" s="4" t="e">
        <f ca="1">IF(AND(INDEX(SSM,CF447,4)&gt;=$AB443,INDEX(SSM,CF447,5)&gt;=$S443,INDEX(SSM,CF447,6)&gt;=$R443),1,0)</f>
        <v>#N/A</v>
      </c>
      <c r="CH447" s="4" t="e">
        <f t="shared" ref="CH447" ca="1" si="8040">MATCH(1,OFFSET(CG443:CG454,CI446,0,COUNT(CG443:CG454)-CI446),0)</f>
        <v>#REF!</v>
      </c>
      <c r="CI447" s="4" t="e">
        <f t="shared" ca="1" si="7977"/>
        <v>#REF!</v>
      </c>
      <c r="CJ447" s="692" t="str">
        <f ca="1">IFERROR(IF(AD444="Nested Steel Stud (wood infill)",VLOOKUP(INDEX(CF443:CF454,CI447),SSW,2,FALSE),VLOOKUP(INDEX(CF443:CF454,CI447),SSM,2,FALSE)),"----")</f>
        <v>----</v>
      </c>
      <c r="CK447" s="691" t="e">
        <f t="shared" ca="1" si="7978"/>
        <v>#N/A</v>
      </c>
      <c r="CL447" s="4" t="e">
        <f ca="1">IF(AND(INDEX(WSM,CK447,4)&gt;=$AB443,INDEX(WSM,CK447,5)&gt;=$S443,INDEX(WSM,CK447,6)&gt;=$R443),1,0)</f>
        <v>#N/A</v>
      </c>
      <c r="CM447" s="4" t="e">
        <f t="shared" ref="CM447" ca="1" si="8041">MATCH(1,OFFSET(CL443:CL454,CN446,0,COUNT(CL443:CL454)-CN446),0)</f>
        <v>#REF!</v>
      </c>
      <c r="CN447" s="4" t="e">
        <f t="shared" ca="1" si="7980"/>
        <v>#REF!</v>
      </c>
      <c r="CO447" s="692" t="str">
        <f ca="1">IFERROR(VLOOKUP(INDEX(CK443:CK454,CN447),WSM,2,FALSE),"----")</f>
        <v>----</v>
      </c>
      <c r="CP447" s="691" t="e">
        <f t="shared" ca="1" si="7981"/>
        <v>#N/A</v>
      </c>
      <c r="CQ447" s="4" t="e">
        <f ca="1">IF(AND(INDEX(STM,CP447,4)&gt;=$AB443,INDEX(STM,CP447,5)&gt;=$S443,INDEX(STM,CP447,6)&gt;=$R443),1,0)</f>
        <v>#N/A</v>
      </c>
      <c r="CR447" s="4" t="e">
        <f t="shared" ref="CR447" ca="1" si="8042">MATCH(1,OFFSET(CQ443:CQ454,CS446,0,COUNT(CQ443:CQ454)-CS446),0)</f>
        <v>#REF!</v>
      </c>
      <c r="CS447" s="4" t="e">
        <f t="shared" ca="1" si="7983"/>
        <v>#REF!</v>
      </c>
      <c r="CT447" s="692" t="str">
        <f ca="1">IFERROR(VLOOKUP(INDEX(CP443:CP454,CS447),STM,2,FALSE),"----")</f>
        <v>----</v>
      </c>
      <c r="CU447" s="691" t="e">
        <f t="shared" ca="1" si="7984"/>
        <v>#N/A</v>
      </c>
      <c r="CV447" s="4" t="e">
        <f ca="1">IF(AND(INDEX(ELM,CU447,4)&gt;=$AB443,INDEX(ELM,CU447,5)&gt;=$S443,INDEX(ELM,CU447,6)&gt;=$R443),1,0)</f>
        <v>#N/A</v>
      </c>
      <c r="CW447" s="4" t="e">
        <f t="shared" ref="CW447" ca="1" si="8043">MATCH(1,OFFSET(CV443:CV454,CX446,0,COUNT(CV443:CV454)-CX446),0)</f>
        <v>#REF!</v>
      </c>
      <c r="CX447" s="4" t="e">
        <f t="shared" ca="1" si="7986"/>
        <v>#REF!</v>
      </c>
      <c r="CY447" s="692" t="str">
        <f ca="1">IFERROR(VLOOKUP(INDEX(CU443:CU454,CX447),ELM,2,FALSE),"----")</f>
        <v>----</v>
      </c>
      <c r="CZ447" s="691" t="e">
        <f t="shared" ca="1" si="7987"/>
        <v>#N/A</v>
      </c>
      <c r="DA447" s="4" t="e">
        <f ca="1">IF(LEFT($J443,7)="Clad Wo",IF(AND(INDEX(SPPWS,CZ447,4)&gt;=$AB443,INDEX(SPPWS,CZ447,5)&gt;=$S443,INDEX(SPPWS,CZ447,6)&gt;=$R443),1,0),IF(AND(INDEX(SPM,CZ447,4)&gt;=$AB443,INDEX(SPM,CZ447,5)&gt;=$S443,INDEX(SPM,CZ447,6)&gt;=$R443),1,0))</f>
        <v>#N/A</v>
      </c>
      <c r="DB447" s="4" t="e">
        <f t="shared" ref="DB447" ca="1" si="8044">MATCH(1,OFFSET(DA443:DA454,DC446,0,COUNT(DA443:DA454)-DC446),0)</f>
        <v>#REF!</v>
      </c>
      <c r="DC447" s="4" t="e">
        <f t="shared" ca="1" si="7989"/>
        <v>#REF!</v>
      </c>
      <c r="DD447" s="693" t="str">
        <f ca="1">IF(LEFT($J443,7)="Clad Wo",IFERROR(VLOOKUP(INDEX(CZ443:CZ454,DC447),SPPWS,2,FALSE),"----"),IFERROR(VLOOKUP(INDEX(CZ443:CZ454,DC447),SPM,2,FALSE),"----"))</f>
        <v>----</v>
      </c>
      <c r="DE447" s="691" t="e">
        <f t="shared" ca="1" si="7990"/>
        <v>#REF!</v>
      </c>
      <c r="DF447" s="4" t="e" cm="1">
        <f t="array" aca="1" ref="DF447" ca="1">IF(AND(INDEX(INDIRECT(BY443),DE447,4)&gt;=$AB449,INDEX(INDIRECT(BY443),DE447,5)&gt;=$S443,INDEX(INDIRECT(BY443),DE447,6)&gt;=$R443),1,0)</f>
        <v>#REF!</v>
      </c>
      <c r="DG447" s="4" t="e">
        <f t="shared" ref="DG447" ca="1" si="8045">MATCH(1,OFFSET(DF443:DF454,DH446,0,COUNT(DF443:DF454)-DH446),0)</f>
        <v>#REF!</v>
      </c>
      <c r="DH447" s="4" t="e">
        <f t="shared" ca="1" si="7992"/>
        <v>#REF!</v>
      </c>
      <c r="DI447" s="692" t="str" cm="1">
        <f t="array" aca="1" ref="DI447" ca="1">IFERROR(VLOOKUP(INDEX(DE443:DE454,DH447),INDIRECT(BY443),2,FALSE),"----")</f>
        <v>----</v>
      </c>
      <c r="DJ447" s="691" t="e">
        <f t="shared" ca="1" si="7993"/>
        <v>#N/A</v>
      </c>
      <c r="DK447" s="4" t="e">
        <f ca="1">IF(AND(INDEX(SSM,DJ447,4)&gt;=$AB449,INDEX(SSM,DJ447,5)&gt;=$S443,INDEX(SSM,DJ447,6)&gt;=$R443),1,0)</f>
        <v>#N/A</v>
      </c>
      <c r="DL447" s="4" t="e">
        <f t="shared" ref="DL447" ca="1" si="8046">MATCH(1,OFFSET(DK443:DK454,DM446,0,COUNT(DK443:DK454)-DM446),0)</f>
        <v>#REF!</v>
      </c>
      <c r="DM447" s="4" t="e">
        <f t="shared" ca="1" si="7995"/>
        <v>#REF!</v>
      </c>
      <c r="DN447" s="692" t="str">
        <f ca="1">IFERROR(IF(AD450="Nested Steel Stud (wood infill)",VLOOKUP(INDEX(DJ443:DJ454,DM447),SSW,2,FALSE),VLOOKUP(INDEX(DJ443:DJ454,DM447),SSM,2,FALSE)),"----")</f>
        <v>----</v>
      </c>
      <c r="DO447" s="691" t="e">
        <f t="shared" ca="1" si="7996"/>
        <v>#N/A</v>
      </c>
      <c r="DP447" s="4" t="e">
        <f ca="1">IF(AND(INDEX(WSM,DO447,4)&gt;=$AB449,INDEX(WSM,DO447,5)&gt;=$S443,INDEX(WSM,DO447,6)&gt;=$R443),1,0)</f>
        <v>#N/A</v>
      </c>
      <c r="DQ447" s="4" t="e">
        <f t="shared" ref="DQ447" ca="1" si="8047">MATCH(1,OFFSET(DP443:DP454,DR446,0,COUNT(DP443:DP454)-DR446),0)</f>
        <v>#REF!</v>
      </c>
      <c r="DR447" s="4" t="e">
        <f t="shared" ca="1" si="7998"/>
        <v>#REF!</v>
      </c>
      <c r="DS447" s="692" t="str">
        <f ca="1">IFERROR(VLOOKUP(INDEX(DO443:DO454,DR447),WSM,2,FALSE),"----")</f>
        <v>----</v>
      </c>
      <c r="DT447" s="691" t="e">
        <f t="shared" ca="1" si="7999"/>
        <v>#N/A</v>
      </c>
      <c r="DU447" s="4" t="e">
        <f ca="1">IF(AND(INDEX(STM,DT447,4)&gt;=$AB449,INDEX(STM,DT447,5)&gt;=$S443,INDEX(STM,DT447,6)&gt;=$R443),1,0)</f>
        <v>#N/A</v>
      </c>
      <c r="DV447" s="4" t="e">
        <f t="shared" ref="DV447" ca="1" si="8048">MATCH(1,OFFSET(DU443:DU454,DW446,0,COUNT(DU443:DU454)-DW446),0)</f>
        <v>#REF!</v>
      </c>
      <c r="DW447" s="4" t="e">
        <f t="shared" ca="1" si="8001"/>
        <v>#REF!</v>
      </c>
      <c r="DX447" s="692" t="str">
        <f ca="1">IFERROR(VLOOKUP(INDEX(DT443:DT454,DW447),STM,2,FALSE),"----")</f>
        <v>----</v>
      </c>
      <c r="DY447" s="691" t="e">
        <f t="shared" ca="1" si="8002"/>
        <v>#N/A</v>
      </c>
      <c r="DZ447" s="4" t="e">
        <f ca="1">IF(AND(INDEX(ELM,DY447,4)&gt;=$AB449,INDEX(ELM,DY447,5)&gt;=$S443,INDEX(ELM,DY447,6)&gt;=$R443),1,0)</f>
        <v>#N/A</v>
      </c>
      <c r="EA447" s="4" t="e">
        <f t="shared" ref="EA447" ca="1" si="8049">MATCH(1,OFFSET(DZ443:DZ454,EB446,0,COUNT(DZ443:DZ454)-EB446),0)</f>
        <v>#REF!</v>
      </c>
      <c r="EB447" s="4" t="e">
        <f t="shared" ca="1" si="8004"/>
        <v>#REF!</v>
      </c>
      <c r="EC447" s="692" t="str">
        <f ca="1">IFERROR(VLOOKUP(INDEX(DY443:DY454,EB447),ELM,2,FALSE),"----")</f>
        <v>----</v>
      </c>
      <c r="ED447" s="691" t="e">
        <f t="shared" ca="1" si="8005"/>
        <v>#N/A</v>
      </c>
      <c r="EE447" s="4" t="e">
        <f ca="1">IF(LEFT($J443,7)="Clad Wo",IF(AND(INDEX(SPPWS,ED447,4)&gt;=$AB449,INDEX(SPPWS,ED447,5)&gt;=$S443,INDEX(SPPWS,ED447,6)&gt;=$R443),1,0),IF(AND(INDEX(SPM,ED447,4)&gt;=$AB449,INDEX(SPM,ED447,5)&gt;=$S443,INDEX(SPM,ED447,6)&gt;=$R443),1,0))</f>
        <v>#N/A</v>
      </c>
      <c r="EF447" s="4" t="e">
        <f t="shared" ref="EF447" ca="1" si="8050">MATCH(1,OFFSET(EE443:EE454,EG446,0,COUNT(EE443:EE454)-EG446),0)</f>
        <v>#REF!</v>
      </c>
      <c r="EG447" s="4" t="e">
        <f t="shared" ca="1" si="8007"/>
        <v>#REF!</v>
      </c>
      <c r="EH447" s="692" t="str">
        <f ca="1">IF(LEFT($J443,7)="Clad Wo",IFERROR(VLOOKUP(INDEX(ED443:ED454,EG447),SPPWS,2,FALSE),"----"),IFERROR(VLOOKUP(INDEX(ED443:ED454,EG447),SPM,2,FALSE),"----"))</f>
        <v>----</v>
      </c>
    </row>
    <row r="448" spans="1:138" ht="15" customHeight="1" thickBot="1" x14ac:dyDescent="0.3">
      <c r="A448" s="1085"/>
      <c r="B448" s="934"/>
      <c r="C448" s="935"/>
      <c r="D448" s="936"/>
      <c r="E448" s="995"/>
      <c r="F448" s="996"/>
      <c r="G448" s="997"/>
      <c r="H448" s="1062"/>
      <c r="I448" s="990"/>
      <c r="J448" s="908"/>
      <c r="K448" s="909"/>
      <c r="L448" s="1010"/>
      <c r="M448" s="924"/>
      <c r="N448" s="1044"/>
      <c r="O448" s="1018"/>
      <c r="P448" s="987"/>
      <c r="Q448" s="1015"/>
      <c r="R448" s="1012"/>
      <c r="S448" s="1006"/>
      <c r="T448" s="1007"/>
      <c r="U448" s="878"/>
      <c r="V448" s="881"/>
      <c r="W448" s="889"/>
      <c r="X448" s="884"/>
      <c r="Y448" s="890"/>
      <c r="Z448" s="890"/>
      <c r="AA448" s="887"/>
      <c r="AB448" s="1084"/>
      <c r="AC448" s="1079"/>
      <c r="AD448" s="1072" t="str">
        <f t="shared" ref="AD448" si="8051">IF(LEFT(J443,7)="Clad Wo","Pella Wood Spr / Steel Pte","Steel Plate")</f>
        <v>Steel Plate</v>
      </c>
      <c r="AE448" s="1073"/>
      <c r="AF448" s="1054"/>
      <c r="AG448" s="1055"/>
      <c r="AH448" s="1055"/>
      <c r="AI448" s="1092"/>
      <c r="AJ448" s="1093"/>
      <c r="AK448" s="159" t="str">
        <f t="shared" ca="1" si="7482"/>
        <v/>
      </c>
      <c r="AL448" s="1040"/>
      <c r="AM448" s="345" t="str">
        <f ca="1">IFERROR(Q443/12*ROUND(VLOOKUP(AF448,OFFSET(SPM,0,1),6,FALSE),2),"")</f>
        <v/>
      </c>
      <c r="AN448" t="str">
        <f t="shared" ca="1" si="7532"/>
        <v/>
      </c>
      <c r="AP448" s="699" t="str">
        <f t="shared" ref="AP448" si="8052">_xlfn.CONCAT(AR448,AS448)</f>
        <v/>
      </c>
      <c r="AQ448" s="700" t="str">
        <f t="shared" si="7698"/>
        <v/>
      </c>
      <c r="AR448" s="160" t="str">
        <f t="shared" si="7457"/>
        <v/>
      </c>
      <c r="AS448" s="160" t="str">
        <f>IFERROR(VLOOKUP(J451, WallType,2,FALSE),"")</f>
        <v/>
      </c>
      <c r="AT448" s="701" t="str">
        <f>AL443</f>
        <v/>
      </c>
      <c r="AU448" s="694" t="e">
        <f t="shared" ca="1" si="7724"/>
        <v>#REF!</v>
      </c>
      <c r="AV448" s="698" t="str">
        <f ca="1">IFERROR(VLOOKUP(AU448,INDIRECT(AQ443),2,FALSE),"----")</f>
        <v>----</v>
      </c>
      <c r="AW448" s="702" t="e">
        <f t="shared" ca="1" si="7725"/>
        <v>#REF!</v>
      </c>
      <c r="AX448" s="698" t="str">
        <f ca="1">IFERROR(VLOOKUP(AW448,INDIRECT(AQ444),2,FALSE),"----")</f>
        <v>----</v>
      </c>
      <c r="AY448" s="702" t="e">
        <f t="shared" ref="AY448" ca="1" si="8053">AY447-1</f>
        <v>#REF!</v>
      </c>
      <c r="AZ448" s="698" t="str">
        <f ca="1">IFERROR(VLOOKUP(AY448,INDIRECT(AQ445),2,FALSE),"----")</f>
        <v>----</v>
      </c>
      <c r="BA448" s="702" t="e">
        <f t="shared" ref="BA448" ca="1" si="8054">BA447-1</f>
        <v>#REF!</v>
      </c>
      <c r="BB448" s="698" t="str">
        <f ca="1">IFERROR(VLOOKUP(BA448,INDIRECT(AQ446),2,FALSE),"----")</f>
        <v>----</v>
      </c>
      <c r="BC448" s="702" t="e">
        <f t="shared" ca="1" si="7728"/>
        <v>#REF!</v>
      </c>
      <c r="BD448" s="698" t="str">
        <f ca="1">IFERROR(VLOOKUP(BC448,INDIRECT(AQ447),2,FALSE),"----")</f>
        <v>----</v>
      </c>
      <c r="BE448" s="702" t="e">
        <f t="shared" ca="1" si="7729"/>
        <v>#REF!</v>
      </c>
      <c r="BF448" s="698" t="str">
        <f ca="1">IFERROR(VLOOKUP(BE448,INDIRECT(AQ448),2,FALSE),"----")</f>
        <v>----</v>
      </c>
      <c r="BG448" s="702" t="e">
        <f t="shared" ca="1" si="7730"/>
        <v>#REF!</v>
      </c>
      <c r="BH448" s="686" t="str">
        <f ca="1">IFERROR(VLOOKUP(BG448,INDIRECT(AQ449),2,FALSE),"----")</f>
        <v>----</v>
      </c>
      <c r="BI448" s="702" t="e">
        <f t="shared" ca="1" si="7731"/>
        <v>#REF!</v>
      </c>
      <c r="BJ448" s="686" t="str">
        <f ca="1">IFERROR(VLOOKUP(BI448,INDIRECT(AQ450),2,FALSE),"----")</f>
        <v>----</v>
      </c>
      <c r="BK448" s="702" t="e">
        <f t="shared" ca="1" si="7732"/>
        <v>#REF!</v>
      </c>
      <c r="BL448" s="686" t="str">
        <f ca="1">IFERROR(VLOOKUP(BK448,INDIRECT(AQ451),2,FALSE),"----")</f>
        <v>----</v>
      </c>
      <c r="BM448" s="702" t="e">
        <f t="shared" ca="1" si="7733"/>
        <v>#REF!</v>
      </c>
      <c r="BN448" s="686" t="str">
        <f ca="1">IFERROR(VLOOKUP(BM448,INDIRECT(AQ452),2,FALSE),"----")</f>
        <v>----</v>
      </c>
      <c r="BO448" s="702" t="e">
        <f t="shared" ca="1" si="7734"/>
        <v>#REF!</v>
      </c>
      <c r="BP448" s="686" t="str">
        <f ca="1">IFERROR(VLOOKUP(BO448,INDIRECT(AQ453),2,FALSE),"----")</f>
        <v>----</v>
      </c>
      <c r="BQ448" s="702" t="e">
        <f t="shared" ca="1" si="7735"/>
        <v>#REF!</v>
      </c>
      <c r="BR448" s="686" t="str">
        <f ca="1">IFERROR(VLOOKUP(BQ448,INDIRECT(AQ454),2,FALSE),"----")</f>
        <v>----</v>
      </c>
      <c r="BS448" s="703">
        <f>IF(AI448="",1,IF(COUNTIF(BF443:BF454,AI448)=0,2,1))</f>
        <v>1</v>
      </c>
      <c r="BT448" s="704">
        <f>IF(AF448="",1,IF(BF443=".",2,1))</f>
        <v>1</v>
      </c>
      <c r="BV448" s="155">
        <f ca="1">IF(COUNTIF(DD443:DD454,AF448)=0,IF(AF448&lt;&gt;"",0,1),1)</f>
        <v>1</v>
      </c>
      <c r="BW448" s="157">
        <f ca="1">IFERROR(MATCH(AF448,DD443:DD454,0),1)</f>
        <v>1</v>
      </c>
      <c r="BX448" s="875" t="s">
        <v>1594</v>
      </c>
      <c r="BY448" s="876"/>
      <c r="BZ448" s="1110"/>
      <c r="CA448" s="691" t="e">
        <f t="shared" ca="1" si="7972"/>
        <v>#REF!</v>
      </c>
      <c r="CB448" s="4" t="e" cm="1">
        <f t="array" aca="1" ref="CB448" ca="1">IF(AND(INDEX(INDIRECT(BY443),CA448,4)&gt;=$AB443,INDEX(INDIRECT(BY443),CA448,5)&gt;=$S443,INDEX(INDIRECT(BY443),CA448,6)&gt;=$R443),1,0)</f>
        <v>#REF!</v>
      </c>
      <c r="CC448" s="4" t="e">
        <f t="shared" ref="CC448" ca="1" si="8055">MATCH(1,OFFSET(CB443:CB454,CD447,0,COUNT(CB443:CB454)-CD447),0)</f>
        <v>#REF!</v>
      </c>
      <c r="CD448" s="4" t="e">
        <f t="shared" ca="1" si="7974"/>
        <v>#REF!</v>
      </c>
      <c r="CE448" s="692" t="str" cm="1">
        <f t="array" aca="1" ref="CE448" ca="1">IFERROR(VLOOKUP(INDEX(CA443:CA454,CD448),INDIRECT(BY443),2,FALSE),"----")</f>
        <v>----</v>
      </c>
      <c r="CF448" s="691" t="e">
        <f t="shared" ca="1" si="7975"/>
        <v>#N/A</v>
      </c>
      <c r="CG448" s="4" t="e">
        <f ca="1">IF(AND(INDEX(SSM,CF448,4)&gt;=$AB443,INDEX(SSM,CF448,5)&gt;=$S443,INDEX(SSM,CF448,6)&gt;=$R443),1,0)</f>
        <v>#N/A</v>
      </c>
      <c r="CH448" s="4" t="e">
        <f t="shared" ref="CH448" ca="1" si="8056">MATCH(1,OFFSET(CG443:CG454,CI447,0,COUNT(CG443:CG454)-CI447),0)</f>
        <v>#REF!</v>
      </c>
      <c r="CI448" s="4" t="e">
        <f t="shared" ca="1" si="7977"/>
        <v>#REF!</v>
      </c>
      <c r="CJ448" s="692" t="str">
        <f ca="1">IFERROR(IF(AD444="Nested Steel Stud (wood infill)",VLOOKUP(INDEX(CF443:CF454,CI448),SSW,2,FALSE),VLOOKUP(INDEX(CF443:CF454,CI448),SSM,2,FALSE)),"----")</f>
        <v>----</v>
      </c>
      <c r="CK448" s="691" t="e">
        <f t="shared" ca="1" si="7978"/>
        <v>#N/A</v>
      </c>
      <c r="CL448" s="4" t="e">
        <f ca="1">IF(AND(INDEX(WSM,CK448,4)&gt;=$AB443,INDEX(WSM,CK448,5)&gt;=$S443,INDEX(WSM,CK448,6)&gt;=$R443),1,0)</f>
        <v>#N/A</v>
      </c>
      <c r="CM448" s="4" t="e">
        <f t="shared" ref="CM448" ca="1" si="8057">MATCH(1,OFFSET(CL443:CL454,CN447,0,COUNT(CL443:CL454)-CN447),0)</f>
        <v>#REF!</v>
      </c>
      <c r="CN448" s="4" t="e">
        <f t="shared" ca="1" si="7980"/>
        <v>#REF!</v>
      </c>
      <c r="CO448" s="692" t="str">
        <f ca="1">IFERROR(VLOOKUP(INDEX(CK443:CK454,CN448),WSM,2,FALSE),"----")</f>
        <v>----</v>
      </c>
      <c r="CP448" s="691" t="e">
        <f t="shared" ca="1" si="7981"/>
        <v>#N/A</v>
      </c>
      <c r="CQ448" s="4" t="e">
        <f ca="1">IF(AND(INDEX(STM,CP448,4)&gt;=$AB443,INDEX(STM,CP448,5)&gt;=$S443,INDEX(STM,CP448,6)&gt;=$R443),1,0)</f>
        <v>#N/A</v>
      </c>
      <c r="CR448" s="4" t="e">
        <f t="shared" ref="CR448" ca="1" si="8058">MATCH(1,OFFSET(CQ443:CQ454,CS447,0,COUNT(CQ443:CQ454)-CS447),0)</f>
        <v>#REF!</v>
      </c>
      <c r="CS448" s="4" t="e">
        <f t="shared" ca="1" si="7983"/>
        <v>#REF!</v>
      </c>
      <c r="CT448" s="692" t="str">
        <f ca="1">IFERROR(VLOOKUP(INDEX(CP443:CP454,CS448),STM,2,FALSE),"----")</f>
        <v>----</v>
      </c>
      <c r="CU448" s="691" t="e">
        <f t="shared" ca="1" si="7984"/>
        <v>#N/A</v>
      </c>
      <c r="CV448" s="4" t="e">
        <f ca="1">IF(AND(INDEX(ELM,CU448,4)&gt;=$AB443,INDEX(ELM,CU448,5)&gt;=$S443,INDEX(ELM,CU448,6)&gt;=$R443),1,0)</f>
        <v>#N/A</v>
      </c>
      <c r="CW448" s="4" t="e">
        <f t="shared" ref="CW448" ca="1" si="8059">MATCH(1,OFFSET(CV443:CV454,CX447,0,COUNT(CV443:CV454)-CX447),0)</f>
        <v>#REF!</v>
      </c>
      <c r="CX448" s="4" t="e">
        <f t="shared" ca="1" si="7986"/>
        <v>#REF!</v>
      </c>
      <c r="CY448" s="692" t="str">
        <f ca="1">IFERROR(VLOOKUP(INDEX(CU443:CU454,CX448),ELM,2,FALSE),"----")</f>
        <v>----</v>
      </c>
      <c r="CZ448" s="691" t="e">
        <f t="shared" ca="1" si="7987"/>
        <v>#N/A</v>
      </c>
      <c r="DA448" s="4" t="e">
        <f ca="1">IF(LEFT($J443,7)="Clad Wo",IF(AND(INDEX(SPPWS,CZ448,4)&gt;=$AB443,INDEX(SPPWS,CZ448,5)&gt;=$S443,INDEX(SPPWS,CZ448,6)&gt;=$R443),1,0),IF(AND(INDEX(SPM,CZ448,4)&gt;=$AB443,INDEX(SPM,CZ448,5)&gt;=$S443,INDEX(SPM,CZ448,6)&gt;=$R443),1,0))</f>
        <v>#N/A</v>
      </c>
      <c r="DB448" s="4" t="e">
        <f t="shared" ref="DB448" ca="1" si="8060">MATCH(1,OFFSET(DA443:DA454,DC447,0,COUNT(DA443:DA454)-DC447),0)</f>
        <v>#REF!</v>
      </c>
      <c r="DC448" s="4" t="e">
        <f t="shared" ca="1" si="7989"/>
        <v>#REF!</v>
      </c>
      <c r="DD448" s="693" t="str">
        <f ca="1">IF(LEFT($J443,7)="Clad Wo",IFERROR(VLOOKUP(INDEX(CZ443:CZ454,DC448),SPPWS,2,FALSE),"----"),IFERROR(VLOOKUP(INDEX(CZ443:CZ454,DC448),SPM,2,FALSE),"----"))</f>
        <v>----</v>
      </c>
      <c r="DE448" s="691" t="e">
        <f t="shared" ca="1" si="7990"/>
        <v>#REF!</v>
      </c>
      <c r="DF448" s="4" t="e" cm="1">
        <f t="array" aca="1" ref="DF448" ca="1">IF(AND(INDEX(INDIRECT(BY443),DE448,4)&gt;=$AB449,INDEX(INDIRECT(BY443),DE448,5)&gt;=$S443,INDEX(INDIRECT(BY443),DE448,6)&gt;=$R443),1,0)</f>
        <v>#REF!</v>
      </c>
      <c r="DG448" s="4" t="e">
        <f t="shared" ref="DG448" ca="1" si="8061">MATCH(1,OFFSET(DF443:DF454,DH447,0,COUNT(DF443:DF454)-DH447),0)</f>
        <v>#REF!</v>
      </c>
      <c r="DH448" s="4" t="e">
        <f t="shared" ca="1" si="7992"/>
        <v>#REF!</v>
      </c>
      <c r="DI448" s="692" t="str" cm="1">
        <f t="array" aca="1" ref="DI448" ca="1">IFERROR(VLOOKUP(INDEX(DE443:DE454,DH448),INDIRECT(BY443),2,FALSE),"----")</f>
        <v>----</v>
      </c>
      <c r="DJ448" s="691" t="e">
        <f t="shared" ca="1" si="7993"/>
        <v>#N/A</v>
      </c>
      <c r="DK448" s="4" t="e">
        <f ca="1">IF(AND(INDEX(SSM,DJ448,4)&gt;=$AB449,INDEX(SSM,DJ448,5)&gt;=$S443,INDEX(SSM,DJ448,6)&gt;=$R443),1,0)</f>
        <v>#N/A</v>
      </c>
      <c r="DL448" s="4" t="e">
        <f t="shared" ref="DL448" ca="1" si="8062">MATCH(1,OFFSET(DK443:DK454,DM447,0,COUNT(DK443:DK454)-DM447),0)</f>
        <v>#REF!</v>
      </c>
      <c r="DM448" s="4" t="e">
        <f t="shared" ca="1" si="7995"/>
        <v>#REF!</v>
      </c>
      <c r="DN448" s="692" t="str">
        <f ca="1">IFERROR(IF(AD450="Nested Steel Stud (wood infill)",VLOOKUP(INDEX(DJ443:DJ454,DM448),SSW,2,FALSE),VLOOKUP(INDEX(DJ443:DJ454,DM448),SSM,2,FALSE)),"----")</f>
        <v>----</v>
      </c>
      <c r="DO448" s="691" t="e">
        <f t="shared" ca="1" si="7996"/>
        <v>#N/A</v>
      </c>
      <c r="DP448" s="4" t="e">
        <f ca="1">IF(AND(INDEX(WSM,DO448,4)&gt;=$AB449,INDEX(WSM,DO448,5)&gt;=$S443,INDEX(WSM,DO448,6)&gt;=$R443),1,0)</f>
        <v>#N/A</v>
      </c>
      <c r="DQ448" s="4" t="e">
        <f t="shared" ref="DQ448" ca="1" si="8063">MATCH(1,OFFSET(DP443:DP454,DR447,0,COUNT(DP443:DP454)-DR447),0)</f>
        <v>#REF!</v>
      </c>
      <c r="DR448" s="4" t="e">
        <f t="shared" ca="1" si="7998"/>
        <v>#REF!</v>
      </c>
      <c r="DS448" s="692" t="str">
        <f ca="1">IFERROR(VLOOKUP(INDEX(DO443:DO454,DR448),WSM,2,FALSE),"----")</f>
        <v>----</v>
      </c>
      <c r="DT448" s="691" t="e">
        <f t="shared" ca="1" si="7999"/>
        <v>#N/A</v>
      </c>
      <c r="DU448" s="4" t="e">
        <f ca="1">IF(AND(INDEX(STM,DT448,4)&gt;=$AB449,INDEX(STM,DT448,5)&gt;=$S443,INDEX(STM,DT448,6)&gt;=$R443),1,0)</f>
        <v>#N/A</v>
      </c>
      <c r="DV448" s="4" t="e">
        <f t="shared" ref="DV448" ca="1" si="8064">MATCH(1,OFFSET(DU443:DU454,DW447,0,COUNT(DU443:DU454)-DW447),0)</f>
        <v>#REF!</v>
      </c>
      <c r="DW448" s="4" t="e">
        <f t="shared" ca="1" si="8001"/>
        <v>#REF!</v>
      </c>
      <c r="DX448" s="692" t="str">
        <f ca="1">IFERROR(VLOOKUP(INDEX(DT443:DT454,DW448),STM,2,FALSE),"----")</f>
        <v>----</v>
      </c>
      <c r="DY448" s="691" t="e">
        <f t="shared" ca="1" si="8002"/>
        <v>#N/A</v>
      </c>
      <c r="DZ448" s="4" t="e">
        <f ca="1">IF(AND(INDEX(ELM,DY448,4)&gt;=$AB449,INDEX(ELM,DY448,5)&gt;=$S443,INDEX(ELM,DY448,6)&gt;=$R443),1,0)</f>
        <v>#N/A</v>
      </c>
      <c r="EA448" s="4" t="e">
        <f t="shared" ref="EA448" ca="1" si="8065">MATCH(1,OFFSET(DZ443:DZ454,EB447,0,COUNT(DZ443:DZ454)-EB447),0)</f>
        <v>#REF!</v>
      </c>
      <c r="EB448" s="4" t="e">
        <f t="shared" ca="1" si="8004"/>
        <v>#REF!</v>
      </c>
      <c r="EC448" s="692" t="str">
        <f ca="1">IFERROR(VLOOKUP(INDEX(DY443:DY454,EB448),ELM,2,FALSE),"----")</f>
        <v>----</v>
      </c>
      <c r="ED448" s="691" t="e">
        <f t="shared" ca="1" si="8005"/>
        <v>#N/A</v>
      </c>
      <c r="EE448" s="4" t="e">
        <f ca="1">IF(LEFT($J443,7)="Clad Wo",IF(AND(INDEX(SPPWS,ED448,4)&gt;=$AB449,INDEX(SPPWS,ED448,5)&gt;=$S443,INDEX(SPPWS,ED448,6)&gt;=$R443),1,0),IF(AND(INDEX(SPM,ED448,4)&gt;=$AB449,INDEX(SPM,ED448,5)&gt;=$S443,INDEX(SPM,ED448,6)&gt;=$R443),1,0))</f>
        <v>#N/A</v>
      </c>
      <c r="EF448" s="4" t="e">
        <f t="shared" ref="EF448" ca="1" si="8066">MATCH(1,OFFSET(EE443:EE454,EG447,0,COUNT(EE443:EE454)-EG447),0)</f>
        <v>#REF!</v>
      </c>
      <c r="EG448" s="4" t="e">
        <f t="shared" ca="1" si="8007"/>
        <v>#REF!</v>
      </c>
      <c r="EH448" s="692" t="str">
        <f ca="1">IF(LEFT($J443,7)="Clad Wo",IFERROR(VLOOKUP(INDEX(ED443:ED454,EG448),SPPWS,2,FALSE),"----"),IFERROR(VLOOKUP(INDEX(ED443:ED454,EG448),SPM,2,FALSE),"----"))</f>
        <v>----</v>
      </c>
    </row>
    <row r="449" spans="1:138" ht="15" customHeight="1" x14ac:dyDescent="0.25">
      <c r="A449" s="1085"/>
      <c r="B449" s="925" t="s">
        <v>409</v>
      </c>
      <c r="C449" s="926"/>
      <c r="D449" s="927"/>
      <c r="E449" s="995"/>
      <c r="F449" s="996"/>
      <c r="G449" s="997"/>
      <c r="H449" s="1062"/>
      <c r="I449" s="990"/>
      <c r="J449" s="908"/>
      <c r="K449" s="909"/>
      <c r="L449" s="1001">
        <f>L443+1</f>
        <v>5</v>
      </c>
      <c r="M449" s="1064" t="str">
        <f t="shared" ref="M449" si="8067">IFERROR(IF($AE$17="",IF($AG$19="Wind Loading",MIN($V$31,IF(E$11="ASCE 7-05",$U$26,$V$7)*$V$9*(IF($E$12&lt;60,0.156*LN(MAX(MIN(500,O443),10)) -1.7618,IF($E$11="ASCE 7-22", 0.2026*LN(MAX(MIN(500,O443),20))-2.2638,0.2503*LN(MAX(MIN(500,O443),20)) -2.5526))-$V$8)),$V$7*IF(E$12&lt;60,$V$13*($V$15*(0.156*LN(MAX(MIN(500,O443),10)) -1.7618)-$V$16),$V$13*$V$15*((0.2026*LN(MAX(MIN(500,O443),20))-2.2638)-$V$16))),-ABS($AE$17)),"")</f>
        <v/>
      </c>
      <c r="N449" s="1041" t="str">
        <f t="shared" ref="N449" si="8068">IFERROR(IF($AE$19="",IF($AG$19="Wind Loading",MAX($U$31,IF(E$11="ASCE 7-05",$U$26,$V$7)*$V$9*((IF($E$12&lt;60,-0.077*LN(MAX(MIN(500,O443),10))+1.1737,IF($E$11="ASCE 7-22",-0.077*LN(MAX(MIN(500,O443),20))+1.0798,-0.093*LN(MAX(MIN(500,O443),20))+1.1776)))+$V$8)),$V$7*IF(E$12&lt;60,$V$13*($V$15*(-0.077*LN(MAX(MIN(500,O443),10))+1.1737)-$V$17),$V$13*$V$15*((-0.077*LN(MAX(MIN(500,O443),20))+1.0798)-$V$17))),ABS($AE$19)),"")</f>
        <v/>
      </c>
      <c r="O449" s="1018"/>
      <c r="P449" s="987"/>
      <c r="Q449" s="1015"/>
      <c r="R449" s="1012">
        <f>P449*Q449/8</f>
        <v>0</v>
      </c>
      <c r="S449" s="1006"/>
      <c r="T449" s="1007"/>
      <c r="U449" s="878"/>
      <c r="V449" s="881"/>
      <c r="W449" s="883" t="e">
        <f t="shared" ref="W449" si="8069">MAX(-M449,N449)*O443</f>
        <v>#VALUE!</v>
      </c>
      <c r="X449" s="884"/>
      <c r="Y449" s="886">
        <f>IFERROR(IF(AG$14="Trapezoidal",BY452,BX452)+IF($E$17="4",(400*E443^3)/(48*X443),0),0)</f>
        <v>0</v>
      </c>
      <c r="Z449" s="886" t="e">
        <f t="shared" ref="Z449" si="8070">+($V443*MAX(-$M449,$N449)*$E443^2)/(144*8)+IF($E$17=4,(400*$E443)/4,0)</f>
        <v>#VALUE!</v>
      </c>
      <c r="AA449" s="887"/>
      <c r="AB449" s="1080" t="str">
        <f t="shared" ref="AB449" ca="1" si="8071">IFERROR(Z449-AA443,"")</f>
        <v/>
      </c>
      <c r="AC449" s="1086" t="str">
        <f t="shared" ref="AC449" ca="1" si="8072">IFERROR(Y449-U443,"")</f>
        <v/>
      </c>
      <c r="AD449" s="1074" t="str">
        <f t="shared" ref="AD449" si="8073">AD443</f>
        <v/>
      </c>
      <c r="AE449" s="1075"/>
      <c r="AF449" s="1056"/>
      <c r="AG449" s="1057"/>
      <c r="AH449" s="1057"/>
      <c r="AI449" s="1088"/>
      <c r="AJ449" s="1089"/>
      <c r="AK449" s="162" t="str">
        <f t="shared" ca="1" si="7482"/>
        <v/>
      </c>
      <c r="AL449" s="1058" t="str">
        <f t="shared" ref="AL449" si="8074">IFERROR(ROUND(SQRT(P443^2+(W449/2+IF($E$17=4,200,0))^2),0),"")</f>
        <v/>
      </c>
      <c r="AM449" s="342" t="s">
        <v>669</v>
      </c>
      <c r="AN449" t="str">
        <f t="shared" ca="1" si="7532"/>
        <v/>
      </c>
      <c r="AP449" s="122" t="str">
        <f t="shared" ref="AP449" si="8075">_xlfn.CONCAT(AR449,AS454)</f>
        <v/>
      </c>
      <c r="AQ449" s="683" t="str">
        <f t="shared" si="7698"/>
        <v/>
      </c>
      <c r="AR449" s="96" t="str">
        <f t="shared" si="7457"/>
        <v/>
      </c>
      <c r="AS449" s="96" t="str">
        <f>IF(COUNTIF(imp_1,AF449)=1,"imp_1",IF(COUNTIF(imp_2,AF449)=1,"imp_2",IF(COUNTIF(imp_3,AF449)=1,"imp_3",IF(COUNTIF(impdoor,AF449)=1,"impdoor",""))))</f>
        <v/>
      </c>
      <c r="AT449" s="684" t="str">
        <f>AL449</f>
        <v/>
      </c>
      <c r="AU449" s="685" t="e">
        <f t="shared" ca="1" si="7724"/>
        <v>#REF!</v>
      </c>
      <c r="AV449" s="686" t="str">
        <f ca="1">IFERROR(VLOOKUP(AU449,INDIRECT(AQ443),2,FALSE),"----")</f>
        <v>----</v>
      </c>
      <c r="AW449" s="685" t="e">
        <f t="shared" ca="1" si="7725"/>
        <v>#REF!</v>
      </c>
      <c r="AX449" s="686" t="str">
        <f ca="1">IFERROR(VLOOKUP(AW449,INDIRECT(AQ444),2,FALSE),"----")</f>
        <v>----</v>
      </c>
      <c r="AY449" s="685" t="e">
        <f t="shared" ca="1" si="7817"/>
        <v>#REF!</v>
      </c>
      <c r="AZ449" s="686" t="str">
        <f ca="1">IFERROR(VLOOKUP(AY449,INDIRECT(AQ445),2,FALSE),"----")</f>
        <v>----</v>
      </c>
      <c r="BA449" s="685" t="e">
        <f t="shared" ca="1" si="7818"/>
        <v>#REF!</v>
      </c>
      <c r="BB449" s="686" t="str">
        <f ca="1">IFERROR(VLOOKUP(BA449,INDIRECT(AQ446),2,FALSE),"----")</f>
        <v>----</v>
      </c>
      <c r="BC449" s="685" t="e">
        <f t="shared" ca="1" si="7728"/>
        <v>#REF!</v>
      </c>
      <c r="BD449" s="686" t="str">
        <f ca="1">IFERROR(VLOOKUP(BC449,INDIRECT(AQ447),2,FALSE),"----")</f>
        <v>----</v>
      </c>
      <c r="BE449" s="685" t="e">
        <f t="shared" ca="1" si="7729"/>
        <v>#REF!</v>
      </c>
      <c r="BF449" s="686" t="str">
        <f ca="1">IFERROR(VLOOKUP(BE449,INDIRECT(AQ448),2,FALSE),"----")</f>
        <v>----</v>
      </c>
      <c r="BG449" s="702" t="e">
        <f t="shared" ca="1" si="7730"/>
        <v>#REF!</v>
      </c>
      <c r="BH449" s="686" t="str">
        <f ca="1">IFERROR(VLOOKUP(BG449,INDIRECT(AQ449),2,FALSE),"----")</f>
        <v>----</v>
      </c>
      <c r="BI449" s="702" t="e">
        <f t="shared" ca="1" si="7731"/>
        <v>#REF!</v>
      </c>
      <c r="BJ449" s="686" t="str">
        <f ca="1">IFERROR(VLOOKUP(BI449,INDIRECT(AQ450),2,FALSE),"----")</f>
        <v>----</v>
      </c>
      <c r="BK449" s="702" t="e">
        <f t="shared" ca="1" si="7732"/>
        <v>#REF!</v>
      </c>
      <c r="BL449" s="686" t="str">
        <f ca="1">IFERROR(VLOOKUP(BK449,INDIRECT(AQ451),2,FALSE),"----")</f>
        <v>----</v>
      </c>
      <c r="BM449" s="702" t="e">
        <f t="shared" ca="1" si="7733"/>
        <v>#REF!</v>
      </c>
      <c r="BN449" s="686" t="str">
        <f ca="1">IFERROR(VLOOKUP(BM449,INDIRECT(AQ452),2,FALSE),"----")</f>
        <v>----</v>
      </c>
      <c r="BO449" s="702" t="e">
        <f t="shared" ca="1" si="7734"/>
        <v>#REF!</v>
      </c>
      <c r="BP449" s="686" t="str">
        <f ca="1">IFERROR(VLOOKUP(BO449,INDIRECT(AQ453),2,FALSE),"----")</f>
        <v>----</v>
      </c>
      <c r="BQ449" s="702" t="e">
        <f t="shared" ca="1" si="7735"/>
        <v>#REF!</v>
      </c>
      <c r="BR449" s="686" t="str">
        <f ca="1">IFERROR(VLOOKUP(BQ449,INDIRECT(AQ454),2,FALSE),"----")</f>
        <v>----</v>
      </c>
      <c r="BS449" s="695">
        <f>IF(AI449="",1,IF(COUNTIF(BH443:BH454,AI449)=0,2,1))</f>
        <v>1</v>
      </c>
      <c r="BT449" s="696">
        <f>IF(AP449="1",1,IF(AF449="",1,IF(BH443=".",2,1)))</f>
        <v>1</v>
      </c>
      <c r="BU449" s="706"/>
      <c r="BV449" s="155">
        <f ca="1">IF(COUNTIF(DI443:DI454,AF449)=0,IF(AF449&lt;&gt;"",0,1),1)</f>
        <v>1</v>
      </c>
      <c r="BW449" s="157">
        <f ca="1">IFERROR(MATCH(AF449,DI443:DI454,0),1)</f>
        <v>1</v>
      </c>
      <c r="BX449" s="769" t="s">
        <v>1593</v>
      </c>
      <c r="BY449" s="769" t="s">
        <v>1629</v>
      </c>
      <c r="BZ449" s="1110"/>
      <c r="CA449" s="691" t="e">
        <f t="shared" ca="1" si="7972"/>
        <v>#REF!</v>
      </c>
      <c r="CB449" s="4" t="e" cm="1">
        <f t="array" aca="1" ref="CB449" ca="1">IF(AND(INDEX(INDIRECT(BY443),CA449,4)&gt;=$AB443,INDEX(INDIRECT(BY443),CA449,5)&gt;=$S443,INDEX(INDIRECT(BY443),CA449,6)&gt;=$R443),1,0)</f>
        <v>#REF!</v>
      </c>
      <c r="CC449" s="4" t="e">
        <f t="shared" ref="CC449" ca="1" si="8076">MATCH(1,OFFSET(CB443:CB454,CD448,0,COUNT(CB443:CB454)-CD448),0)</f>
        <v>#REF!</v>
      </c>
      <c r="CD449" s="4" t="e">
        <f t="shared" ca="1" si="7974"/>
        <v>#REF!</v>
      </c>
      <c r="CE449" s="692" t="str" cm="1">
        <f t="array" aca="1" ref="CE449" ca="1">IFERROR(VLOOKUP(INDEX(CA443:CA454,CD449),INDIRECT(BY443),2,FALSE),"----")</f>
        <v>----</v>
      </c>
      <c r="CF449" s="691" t="e">
        <f t="shared" ca="1" si="7975"/>
        <v>#N/A</v>
      </c>
      <c r="CG449" s="4" t="e">
        <f ca="1">IF(AND(INDEX(SSM,CF449,4)&gt;=$AB443,INDEX(SSM,CF449,5)&gt;=$S443,INDEX(SSM,CF449,6)&gt;=$R443),1,0)</f>
        <v>#N/A</v>
      </c>
      <c r="CH449" s="4" t="e">
        <f t="shared" ref="CH449" ca="1" si="8077">MATCH(1,OFFSET(CG443:CG454,CI448,0,COUNT(CG443:CG454)-CI448),0)</f>
        <v>#REF!</v>
      </c>
      <c r="CI449" s="4" t="e">
        <f t="shared" ca="1" si="7977"/>
        <v>#REF!</v>
      </c>
      <c r="CJ449" s="692" t="str">
        <f ca="1">IFERROR(IF(AD444="Nested Steel Stud (wood infill)",VLOOKUP(INDEX(CF443:CF454,CI449),SSW,2,FALSE),VLOOKUP(INDEX(CF443:CF454,CI449),SSM,2,FALSE)),"----")</f>
        <v>----</v>
      </c>
      <c r="CK449" s="691" t="e">
        <f t="shared" ca="1" si="7978"/>
        <v>#N/A</v>
      </c>
      <c r="CL449" s="4" t="e">
        <f ca="1">IF(AND(INDEX(WSM,CK449,4)&gt;=$AB443,INDEX(WSM,CK449,5)&gt;=$S443,INDEX(WSM,CK449,6)&gt;=$R443),1,0)</f>
        <v>#N/A</v>
      </c>
      <c r="CM449" s="4" t="e">
        <f t="shared" ref="CM449" ca="1" si="8078">MATCH(1,OFFSET(CL443:CL454,CN448,0,COUNT(CL443:CL454)-CN448),0)</f>
        <v>#REF!</v>
      </c>
      <c r="CN449" s="4" t="e">
        <f t="shared" ca="1" si="7980"/>
        <v>#REF!</v>
      </c>
      <c r="CO449" s="692" t="str">
        <f ca="1">IFERROR(VLOOKUP(INDEX(CK443:CK454,CN449),WSM,2,FALSE),"----")</f>
        <v>----</v>
      </c>
      <c r="CP449" s="691" t="e">
        <f t="shared" ca="1" si="7981"/>
        <v>#N/A</v>
      </c>
      <c r="CQ449" s="4" t="e">
        <f ca="1">IF(AND(INDEX(STM,CP449,4)&gt;=$AB443,INDEX(STM,CP449,5)&gt;=$S443,INDEX(STM,CP449,6)&gt;=$R443),1,0)</f>
        <v>#N/A</v>
      </c>
      <c r="CR449" s="4" t="e">
        <f t="shared" ref="CR449" ca="1" si="8079">MATCH(1,OFFSET(CQ443:CQ454,CS448,0,COUNT(CQ443:CQ454)-CS448),0)</f>
        <v>#REF!</v>
      </c>
      <c r="CS449" s="4" t="e">
        <f t="shared" ca="1" si="7983"/>
        <v>#REF!</v>
      </c>
      <c r="CT449" s="692" t="str">
        <f ca="1">IFERROR(VLOOKUP(INDEX(CP443:CP454,CS449),STM,2,FALSE),"----")</f>
        <v>----</v>
      </c>
      <c r="CU449" s="691" t="e">
        <f t="shared" ca="1" si="7984"/>
        <v>#N/A</v>
      </c>
      <c r="CV449" s="4" t="e">
        <f ca="1">IF(AND(INDEX(ELM,CU449,4)&gt;=$AB443,INDEX(ELM,CU449,5)&gt;=$S443,INDEX(ELM,CU449,6)&gt;=$R443),1,0)</f>
        <v>#N/A</v>
      </c>
      <c r="CW449" s="4" t="e">
        <f t="shared" ref="CW449" ca="1" si="8080">MATCH(1,OFFSET(CV443:CV454,CX448,0,COUNT(CV443:CV454)-CX448),0)</f>
        <v>#REF!</v>
      </c>
      <c r="CX449" s="4" t="e">
        <f t="shared" ca="1" si="7986"/>
        <v>#REF!</v>
      </c>
      <c r="CY449" s="692" t="str">
        <f ca="1">IFERROR(VLOOKUP(INDEX(CU443:CU454,CX449),ELM,2,FALSE),"----")</f>
        <v>----</v>
      </c>
      <c r="CZ449" s="691" t="e">
        <f t="shared" ca="1" si="7987"/>
        <v>#N/A</v>
      </c>
      <c r="DA449" s="4" t="e">
        <f ca="1">IF(LEFT($J443,7)="Clad Wo",IF(AND(INDEX(SPPWS,CZ449,4)&gt;=$AB443,INDEX(SPPWS,CZ449,5)&gt;=$S443,INDEX(SPPWS,CZ449,6)&gt;=$R443),1,0),IF(AND(INDEX(SPM,CZ449,4)&gt;=$AB443,INDEX(SPM,CZ449,5)&gt;=$S443,INDEX(SPM,CZ449,6)&gt;=$R443),1,0))</f>
        <v>#N/A</v>
      </c>
      <c r="DB449" s="4" t="e">
        <f t="shared" ref="DB449" ca="1" si="8081">MATCH(1,OFFSET(DA443:DA454,DC448,0,COUNT(DA443:DA454)-DC448),0)</f>
        <v>#REF!</v>
      </c>
      <c r="DC449" s="4" t="e">
        <f t="shared" ca="1" si="7989"/>
        <v>#REF!</v>
      </c>
      <c r="DD449" s="693" t="str">
        <f ca="1">IF(LEFT($J443,7)="Clad Wo",IFERROR(VLOOKUP(INDEX(CZ443:CZ454,DC449),SPPWS,2,FALSE),"----"),IFERROR(VLOOKUP(INDEX(CZ443:CZ454,DC449),SPM,2,FALSE),"----"))</f>
        <v>----</v>
      </c>
      <c r="DE449" s="691" t="e">
        <f t="shared" ca="1" si="7990"/>
        <v>#REF!</v>
      </c>
      <c r="DF449" s="4" t="e" cm="1">
        <f t="array" aca="1" ref="DF449" ca="1">IF(AND(INDEX(INDIRECT(BY443),DE449,4)&gt;=$AB449,INDEX(INDIRECT(BY443),DE449,5)&gt;=$S443,INDEX(INDIRECT(BY443),DE449,6)&gt;=$R443),1,0)</f>
        <v>#REF!</v>
      </c>
      <c r="DG449" s="4" t="e">
        <f t="shared" ref="DG449" ca="1" si="8082">MATCH(1,OFFSET(DF443:DF454,DH448,0,COUNT(DF443:DF454)-DH448),0)</f>
        <v>#REF!</v>
      </c>
      <c r="DH449" s="4" t="e">
        <f t="shared" ca="1" si="7992"/>
        <v>#REF!</v>
      </c>
      <c r="DI449" s="692" t="str" cm="1">
        <f t="array" aca="1" ref="DI449" ca="1">IFERROR(VLOOKUP(INDEX(DE443:DE454,DH449),INDIRECT(BY443),2,FALSE),"----")</f>
        <v>----</v>
      </c>
      <c r="DJ449" s="691" t="e">
        <f t="shared" ca="1" si="7993"/>
        <v>#N/A</v>
      </c>
      <c r="DK449" s="4" t="e">
        <f ca="1">IF(AND(INDEX(SSM,DJ449,4)&gt;=$AB449,INDEX(SSM,DJ449,5)&gt;=$S443,INDEX(SSM,DJ449,6)&gt;=$R443),1,0)</f>
        <v>#N/A</v>
      </c>
      <c r="DL449" s="4" t="e">
        <f t="shared" ref="DL449" ca="1" si="8083">MATCH(1,OFFSET(DK443:DK454,DM448,0,COUNT(DK443:DK454)-DM448),0)</f>
        <v>#REF!</v>
      </c>
      <c r="DM449" s="4" t="e">
        <f t="shared" ca="1" si="7995"/>
        <v>#REF!</v>
      </c>
      <c r="DN449" s="692" t="str">
        <f ca="1">IFERROR(IF(AD450="Nested Steel Stud (wood infill)",VLOOKUP(INDEX(DJ443:DJ454,DM449),SSW,2,FALSE),VLOOKUP(INDEX(DJ443:DJ454,DM449),SSM,2,FALSE)),"----")</f>
        <v>----</v>
      </c>
      <c r="DO449" s="691" t="e">
        <f t="shared" ca="1" si="7996"/>
        <v>#N/A</v>
      </c>
      <c r="DP449" s="4" t="e">
        <f ca="1">IF(AND(INDEX(WSM,DO449,4)&gt;=$AB449,INDEX(WSM,DO449,5)&gt;=$S443,INDEX(WSM,DO449,6)&gt;=$R443),1,0)</f>
        <v>#N/A</v>
      </c>
      <c r="DQ449" s="4" t="e">
        <f t="shared" ref="DQ449" ca="1" si="8084">MATCH(1,OFFSET(DP443:DP454,DR448,0,COUNT(DP443:DP454)-DR448),0)</f>
        <v>#REF!</v>
      </c>
      <c r="DR449" s="4" t="e">
        <f t="shared" ca="1" si="7998"/>
        <v>#REF!</v>
      </c>
      <c r="DS449" s="692" t="str">
        <f ca="1">IFERROR(VLOOKUP(INDEX(DO443:DO454,DR449),WSM,2,FALSE),"----")</f>
        <v>----</v>
      </c>
      <c r="DT449" s="691" t="e">
        <f t="shared" ca="1" si="7999"/>
        <v>#N/A</v>
      </c>
      <c r="DU449" s="4" t="e">
        <f ca="1">IF(AND(INDEX(STM,DT449,4)&gt;=$AB449,INDEX(STM,DT449,5)&gt;=$S443,INDEX(STM,DT449,6)&gt;=$R443),1,0)</f>
        <v>#N/A</v>
      </c>
      <c r="DV449" s="4" t="e">
        <f t="shared" ref="DV449" ca="1" si="8085">MATCH(1,OFFSET(DU443:DU454,DW448,0,COUNT(DU443:DU454)-DW448),0)</f>
        <v>#REF!</v>
      </c>
      <c r="DW449" s="4" t="e">
        <f t="shared" ca="1" si="8001"/>
        <v>#REF!</v>
      </c>
      <c r="DX449" s="692" t="str">
        <f ca="1">IFERROR(VLOOKUP(INDEX(DT443:DT454,DW449),STM,2,FALSE),"----")</f>
        <v>----</v>
      </c>
      <c r="DY449" s="691" t="e">
        <f t="shared" ca="1" si="8002"/>
        <v>#N/A</v>
      </c>
      <c r="DZ449" s="4" t="e">
        <f ca="1">IF(AND(INDEX(ELM,DY449,4)&gt;=$AB449,INDEX(ELM,DY449,5)&gt;=$S443,INDEX(ELM,DY449,6)&gt;=$R443),1,0)</f>
        <v>#N/A</v>
      </c>
      <c r="EA449" s="4" t="e">
        <f t="shared" ref="EA449" ca="1" si="8086">MATCH(1,OFFSET(DZ443:DZ454,EB448,0,COUNT(DZ443:DZ454)-EB448),0)</f>
        <v>#REF!</v>
      </c>
      <c r="EB449" s="4" t="e">
        <f t="shared" ca="1" si="8004"/>
        <v>#REF!</v>
      </c>
      <c r="EC449" s="692" t="str">
        <f ca="1">IFERROR(VLOOKUP(INDEX(DY443:DY454,EB449),ELM,2,FALSE),"----")</f>
        <v>----</v>
      </c>
      <c r="ED449" s="691" t="e">
        <f t="shared" ca="1" si="8005"/>
        <v>#N/A</v>
      </c>
      <c r="EE449" s="4" t="e">
        <f ca="1">IF(LEFT($J443,7)="Clad Wo",IF(AND(INDEX(SPPWS,ED449,4)&gt;=$AB449,INDEX(SPPWS,ED449,5)&gt;=$S443,INDEX(SPPWS,ED449,6)&gt;=$R443),1,0),IF(AND(INDEX(SPM,ED449,4)&gt;=$AB449,INDEX(SPM,ED449,5)&gt;=$S443,INDEX(SPM,ED449,6)&gt;=$R443),1,0))</f>
        <v>#N/A</v>
      </c>
      <c r="EF449" s="4" t="e">
        <f t="shared" ref="EF449" ca="1" si="8087">MATCH(1,OFFSET(EE443:EE454,EG448,0,COUNT(EE443:EE454)-EG448),0)</f>
        <v>#REF!</v>
      </c>
      <c r="EG449" s="4" t="e">
        <f t="shared" ca="1" si="8007"/>
        <v>#REF!</v>
      </c>
      <c r="EH449" s="692" t="str">
        <f ca="1">IF(LEFT($J443,7)="Clad Wo",IFERROR(VLOOKUP(INDEX(ED443:ED454,EG449),SPPWS,2,FALSE),"----"),IFERROR(VLOOKUP(INDEX(ED443:ED454,EG449),SPM,2,FALSE),"----"))</f>
        <v>----</v>
      </c>
    </row>
    <row r="450" spans="1:138" ht="15" customHeight="1" x14ac:dyDescent="0.25">
      <c r="A450" s="1085"/>
      <c r="B450" s="925"/>
      <c r="C450" s="926"/>
      <c r="D450" s="927"/>
      <c r="E450" s="995"/>
      <c r="F450" s="996"/>
      <c r="G450" s="997"/>
      <c r="H450" s="1062"/>
      <c r="I450" s="990"/>
      <c r="J450" s="912"/>
      <c r="K450" s="913"/>
      <c r="L450" s="1002"/>
      <c r="M450" s="923"/>
      <c r="N450" s="1042"/>
      <c r="O450" s="1018"/>
      <c r="P450" s="987"/>
      <c r="Q450" s="1015"/>
      <c r="R450" s="1012"/>
      <c r="S450" s="1006"/>
      <c r="T450" s="1007"/>
      <c r="U450" s="878"/>
      <c r="V450" s="881"/>
      <c r="W450" s="884"/>
      <c r="X450" s="884"/>
      <c r="Y450" s="887"/>
      <c r="Z450" s="887"/>
      <c r="AA450" s="887"/>
      <c r="AB450" s="1081"/>
      <c r="AC450" s="1078"/>
      <c r="AD450" s="1070" t="str">
        <f t="shared" ref="AD450" si="8088">IF(ISBLANK(AD444)=TRUE,"",AD444)</f>
        <v>Nested Steel Stud</v>
      </c>
      <c r="AE450" s="1071"/>
      <c r="AF450" s="1052"/>
      <c r="AG450" s="1053"/>
      <c r="AH450" s="1053"/>
      <c r="AI450" s="1066"/>
      <c r="AJ450" s="1067"/>
      <c r="AK450" s="156" t="str">
        <f t="shared" ca="1" si="7482"/>
        <v/>
      </c>
      <c r="AL450" s="1059"/>
      <c r="AM450" s="343" t="str">
        <f ca="1">IFERROR(Q443/12*ROUND(VLOOKUP(AF450,OFFSET(SSM,0,1),6,FALSE),2),"")</f>
        <v/>
      </c>
      <c r="AN450" t="str">
        <f t="shared" ca="1" si="7532"/>
        <v/>
      </c>
      <c r="AP450" s="122" t="str">
        <f t="shared" ref="AP450" si="8089">_xlfn.CONCAT(AR450,AS454)</f>
        <v/>
      </c>
      <c r="AQ450" s="683" t="str">
        <f t="shared" si="7698"/>
        <v/>
      </c>
      <c r="AR450" s="96" t="str">
        <f t="shared" si="7457"/>
        <v/>
      </c>
      <c r="AS450" s="96" t="str">
        <f>IF(COUNTIF(Vista_1,AF449)=1,"Vista_1",IF(COUNTIF(Vista_2,AF449)=1,"Vista_2",""))</f>
        <v/>
      </c>
      <c r="AT450" s="684" t="str">
        <f>AL449</f>
        <v/>
      </c>
      <c r="AU450" s="694" t="e">
        <f t="shared" ca="1" si="7724"/>
        <v>#REF!</v>
      </c>
      <c r="AV450" s="686" t="str">
        <f ca="1">IFERROR(VLOOKUP(AU450,INDIRECT(AQ443),2,FALSE),"----")</f>
        <v>----</v>
      </c>
      <c r="AW450" s="694" t="e">
        <f t="shared" ca="1" si="7725"/>
        <v>#REF!</v>
      </c>
      <c r="AX450" s="686" t="str">
        <f ca="1">IFERROR(VLOOKUP(AW450,INDIRECT(AQ444),2,FALSE),"----")</f>
        <v>----</v>
      </c>
      <c r="AY450" s="694" t="e">
        <f t="shared" ca="1" si="7817"/>
        <v>#REF!</v>
      </c>
      <c r="AZ450" s="686" t="str">
        <f ca="1">IFERROR(VLOOKUP(AY450,INDIRECT(AQ445),2,FALSE),"----")</f>
        <v>----</v>
      </c>
      <c r="BA450" s="694" t="e">
        <f t="shared" ca="1" si="7818"/>
        <v>#REF!</v>
      </c>
      <c r="BB450" s="686" t="str">
        <f ca="1">IFERROR(VLOOKUP(BA450,INDIRECT(AQ446),2,FALSE),"----")</f>
        <v>----</v>
      </c>
      <c r="BC450" s="694" t="e">
        <f t="shared" ca="1" si="7728"/>
        <v>#REF!</v>
      </c>
      <c r="BD450" s="686" t="str">
        <f ca="1">IFERROR(VLOOKUP(BC450,INDIRECT(AQ447),2,FALSE),"----")</f>
        <v>----</v>
      </c>
      <c r="BE450" s="694" t="e">
        <f t="shared" ca="1" si="7729"/>
        <v>#REF!</v>
      </c>
      <c r="BF450" s="686" t="str">
        <f ca="1">IFERROR(VLOOKUP(BE450,INDIRECT(AQ448),2,FALSE),"----")</f>
        <v>----</v>
      </c>
      <c r="BG450" s="702" t="e">
        <f t="shared" ca="1" si="7730"/>
        <v>#REF!</v>
      </c>
      <c r="BH450" s="686" t="str">
        <f ca="1">IFERROR(VLOOKUP(BG450,INDIRECT(AQ449),2,FALSE),"----")</f>
        <v>----</v>
      </c>
      <c r="BI450" s="702" t="e">
        <f t="shared" ca="1" si="7731"/>
        <v>#REF!</v>
      </c>
      <c r="BJ450" s="686" t="str">
        <f ca="1">IFERROR(VLOOKUP(BI450,INDIRECT(AQ450),2,FALSE),"----")</f>
        <v>----</v>
      </c>
      <c r="BK450" s="702" t="e">
        <f t="shared" ca="1" si="7732"/>
        <v>#REF!</v>
      </c>
      <c r="BL450" s="686" t="str">
        <f ca="1">IFERROR(VLOOKUP(BK450,INDIRECT(AQ451),2,FALSE),"----")</f>
        <v>----</v>
      </c>
      <c r="BM450" s="702" t="e">
        <f t="shared" ca="1" si="7733"/>
        <v>#REF!</v>
      </c>
      <c r="BN450" s="686" t="str">
        <f ca="1">IFERROR(VLOOKUP(BM450,INDIRECT(AQ452),2,FALSE),"----")</f>
        <v>----</v>
      </c>
      <c r="BO450" s="702" t="e">
        <f t="shared" ca="1" si="7734"/>
        <v>#REF!</v>
      </c>
      <c r="BP450" s="686" t="str">
        <f ca="1">IFERROR(VLOOKUP(BO450,INDIRECT(AQ453),2,FALSE),"----")</f>
        <v>----</v>
      </c>
      <c r="BQ450" s="702" t="e">
        <f t="shared" ca="1" si="7735"/>
        <v>#REF!</v>
      </c>
      <c r="BR450" s="686" t="str">
        <f ca="1">IFERROR(VLOOKUP(BQ450,INDIRECT(AQ454),2,FALSE),"----")</f>
        <v>----</v>
      </c>
      <c r="BS450" s="695">
        <f>IF(AI450="",1,IF(COUNTIF(BJ443:BJ454,AI450)=0,2,1))</f>
        <v>1</v>
      </c>
      <c r="BT450" s="696">
        <f>IF(AF450="",1,IF(BJ443=".",2,1))</f>
        <v>1</v>
      </c>
      <c r="BU450" s="706"/>
      <c r="BV450" s="155">
        <f ca="1">IF(COUNTIF(DN443:DN454,AF450)=0,IF(AF450&lt;&gt;"",0,1),1)</f>
        <v>1</v>
      </c>
      <c r="BW450" s="157">
        <f ca="1">IFERROR(MATCH(AF450,DN443:DN454,0),1)</f>
        <v>1</v>
      </c>
      <c r="BX450" s="769">
        <f t="shared" ref="BX450" si="8090">E443*(H443+I443)/144/2</f>
        <v>0</v>
      </c>
      <c r="BY450" s="769">
        <f>SUM(IF(H443&gt;E443,E443^2/4,(H443*E443/2)-(H443^2/4))/144,IF(I443&gt;E443,E443^2/4,(I443*E443/2)-(I443^2/4))/144)</f>
        <v>0</v>
      </c>
      <c r="BZ450" s="1110"/>
      <c r="CA450" s="691" t="e">
        <f t="shared" ca="1" si="7972"/>
        <v>#REF!</v>
      </c>
      <c r="CB450" s="4" t="e" cm="1">
        <f t="array" aca="1" ref="CB450" ca="1">IF(AND(INDEX(INDIRECT(BY443),CA450,4)&gt;=$AB443,INDEX(INDIRECT(BY443),CA450,5)&gt;=$S443,INDEX(INDIRECT(BY443),CA450,6)&gt;=$R443),1,0)</f>
        <v>#REF!</v>
      </c>
      <c r="CC450" s="4" t="e">
        <f t="shared" ref="CC450" ca="1" si="8091">MATCH(1,OFFSET(CB443:CB454,CD449,0,COUNT(CB443:CB454)-CD449),0)</f>
        <v>#REF!</v>
      </c>
      <c r="CD450" s="4" t="e">
        <f t="shared" ca="1" si="7974"/>
        <v>#REF!</v>
      </c>
      <c r="CE450" s="692" t="str" cm="1">
        <f t="array" aca="1" ref="CE450" ca="1">IFERROR(VLOOKUP(INDEX(CA443:CA454,CD450),INDIRECT(BY443),2,FALSE),"----")</f>
        <v>----</v>
      </c>
      <c r="CF450" s="691" t="e">
        <f t="shared" ca="1" si="7975"/>
        <v>#N/A</v>
      </c>
      <c r="CG450" s="4" t="e">
        <f ca="1">IF(AND(INDEX(SSM,CF450,4)&gt;=$AB443,INDEX(SSM,CF450,5)&gt;=$S443,INDEX(SSM,CF450,6)&gt;=$R443),1,0)</f>
        <v>#N/A</v>
      </c>
      <c r="CH450" s="4" t="e">
        <f t="shared" ref="CH450" ca="1" si="8092">MATCH(1,OFFSET(CG443:CG454,CI449,0,COUNT(CG443:CG454)-CI449),0)</f>
        <v>#REF!</v>
      </c>
      <c r="CI450" s="4" t="e">
        <f t="shared" ca="1" si="7977"/>
        <v>#REF!</v>
      </c>
      <c r="CJ450" s="692" t="str">
        <f ca="1">IFERROR(IF(AD444="Nested Steel Stud (wood infill)",VLOOKUP(INDEX(CF443:CF454,CI450),SSW,2,FALSE),VLOOKUP(INDEX(CF443:CF454,CI450),SSM,2,FALSE)),"----")</f>
        <v>----</v>
      </c>
      <c r="CK450" s="691" t="e">
        <f t="shared" ca="1" si="7978"/>
        <v>#N/A</v>
      </c>
      <c r="CL450" s="4" t="e">
        <f ca="1">IF(AND(INDEX(WSM,CK450,4)&gt;=$AB443,INDEX(WSM,CK450,5)&gt;=$S443,INDEX(WSM,CK450,6)&gt;=$R443),1,0)</f>
        <v>#N/A</v>
      </c>
      <c r="CM450" s="4" t="e">
        <f t="shared" ref="CM450" ca="1" si="8093">MATCH(1,OFFSET(CL443:CL454,CN449,0,COUNT(CL443:CL454)-CN449),0)</f>
        <v>#REF!</v>
      </c>
      <c r="CN450" s="4" t="e">
        <f t="shared" ca="1" si="7980"/>
        <v>#REF!</v>
      </c>
      <c r="CO450" s="692" t="str">
        <f ca="1">IFERROR(VLOOKUP(INDEX(CK443:CK454,CN450),WSM,2,FALSE),"----")</f>
        <v>----</v>
      </c>
      <c r="CP450" s="691" t="e">
        <f t="shared" ca="1" si="7981"/>
        <v>#N/A</v>
      </c>
      <c r="CQ450" s="4" t="e">
        <f ca="1">IF(AND(INDEX(STM,CP450,4)&gt;=$AB443,INDEX(STM,CP450,5)&gt;=$S443,INDEX(STM,CP450,6)&gt;=$R443),1,0)</f>
        <v>#N/A</v>
      </c>
      <c r="CR450" s="4" t="e">
        <f t="shared" ref="CR450" ca="1" si="8094">MATCH(1,OFFSET(CQ443:CQ454,CS449,0,COUNT(CQ443:CQ454)-CS449),0)</f>
        <v>#REF!</v>
      </c>
      <c r="CS450" s="4" t="e">
        <f t="shared" ca="1" si="7983"/>
        <v>#REF!</v>
      </c>
      <c r="CT450" s="692" t="str">
        <f ca="1">IFERROR(VLOOKUP(INDEX(CP443:CP454,CS450),STM,2,FALSE),"----")</f>
        <v>----</v>
      </c>
      <c r="CU450" s="691" t="e">
        <f t="shared" ca="1" si="7984"/>
        <v>#N/A</v>
      </c>
      <c r="CV450" s="4" t="e">
        <f ca="1">IF(AND(INDEX(ELM,CU450,4)&gt;=$AB443,INDEX(ELM,CU450,5)&gt;=$S443,INDEX(ELM,CU450,6)&gt;=$R443),1,0)</f>
        <v>#N/A</v>
      </c>
      <c r="CW450" s="4" t="e">
        <f t="shared" ref="CW450" ca="1" si="8095">MATCH(1,OFFSET(CV443:CV454,CX449,0,COUNT(CV443:CV454)-CX449),0)</f>
        <v>#REF!</v>
      </c>
      <c r="CX450" s="4" t="e">
        <f t="shared" ca="1" si="7986"/>
        <v>#REF!</v>
      </c>
      <c r="CY450" s="692" t="str">
        <f ca="1">IFERROR(VLOOKUP(INDEX(CU443:CU454,CX450),ELM,2,FALSE),"----")</f>
        <v>----</v>
      </c>
      <c r="CZ450" s="691" t="e">
        <f t="shared" ca="1" si="7987"/>
        <v>#N/A</v>
      </c>
      <c r="DA450" s="4" t="e">
        <f ca="1">IF(LEFT($J443,7)="Clad Wo",IF(AND(INDEX(SPPWS,CZ450,4)&gt;=$AB443,INDEX(SPPWS,CZ450,5)&gt;=$S443,INDEX(SPPWS,CZ450,6)&gt;=$R443),1,0),IF(AND(INDEX(SPM,CZ450,4)&gt;=$AB443,INDEX(SPM,CZ450,5)&gt;=$S443,INDEX(SPM,CZ450,6)&gt;=$R443),1,0))</f>
        <v>#N/A</v>
      </c>
      <c r="DB450" s="4" t="e">
        <f t="shared" ref="DB450" ca="1" si="8096">MATCH(1,OFFSET(DA443:DA454,DC449,0,COUNT(DA443:DA454)-DC449),0)</f>
        <v>#REF!</v>
      </c>
      <c r="DC450" s="4" t="e">
        <f t="shared" ca="1" si="7989"/>
        <v>#REF!</v>
      </c>
      <c r="DD450" s="693" t="str">
        <f ca="1">IF(LEFT($J443,7)="Clad Wo",IFERROR(VLOOKUP(INDEX(CZ443:CZ454,DC450),SPPWS,2,FALSE),"----"),IFERROR(VLOOKUP(INDEX(CZ443:CZ454,DC450),SPM,2,FALSE),"----"))</f>
        <v>----</v>
      </c>
      <c r="DE450" s="691" t="e">
        <f t="shared" ca="1" si="7990"/>
        <v>#REF!</v>
      </c>
      <c r="DF450" s="4" t="e" cm="1">
        <f t="array" aca="1" ref="DF450" ca="1">IF(AND(INDEX(INDIRECT(BY443),DE450,4)&gt;=$AB449,INDEX(INDIRECT(BY443),DE450,5)&gt;=$S443,INDEX(INDIRECT(BY443),DE450,6)&gt;=$R443),1,0)</f>
        <v>#REF!</v>
      </c>
      <c r="DG450" s="4" t="e">
        <f t="shared" ref="DG450" ca="1" si="8097">MATCH(1,OFFSET(DF443:DF454,DH449,0,COUNT(DF443:DF454)-DH449),0)</f>
        <v>#REF!</v>
      </c>
      <c r="DH450" s="4" t="e">
        <f t="shared" ca="1" si="7992"/>
        <v>#REF!</v>
      </c>
      <c r="DI450" s="692" t="str" cm="1">
        <f t="array" aca="1" ref="DI450" ca="1">IFERROR(VLOOKUP(INDEX(DE443:DE454,DH450),INDIRECT(BY443),2,FALSE),"----")</f>
        <v>----</v>
      </c>
      <c r="DJ450" s="691" t="e">
        <f t="shared" ca="1" si="7993"/>
        <v>#N/A</v>
      </c>
      <c r="DK450" s="4" t="e">
        <f ca="1">IF(AND(INDEX(SSM,DJ450,4)&gt;=$AB449,INDEX(SSM,DJ450,5)&gt;=$S443,INDEX(SSM,DJ450,6)&gt;=$R443),1,0)</f>
        <v>#N/A</v>
      </c>
      <c r="DL450" s="4" t="e">
        <f t="shared" ref="DL450" ca="1" si="8098">MATCH(1,OFFSET(DK443:DK454,DM449,0,COUNT(DK443:DK454)-DM449),0)</f>
        <v>#REF!</v>
      </c>
      <c r="DM450" s="4" t="e">
        <f t="shared" ca="1" si="7995"/>
        <v>#REF!</v>
      </c>
      <c r="DN450" s="692" t="str">
        <f ca="1">IFERROR(IF(AD450="Nested Steel Stud (wood infill)",VLOOKUP(INDEX(DJ443:DJ454,DM450),SSW,2,FALSE),VLOOKUP(INDEX(DJ443:DJ454,DM450),SSM,2,FALSE)),"----")</f>
        <v>----</v>
      </c>
      <c r="DO450" s="691" t="e">
        <f t="shared" ca="1" si="7996"/>
        <v>#N/A</v>
      </c>
      <c r="DP450" s="4" t="e">
        <f ca="1">IF(AND(INDEX(WSM,DO450,4)&gt;=$AB449,INDEX(WSM,DO450,5)&gt;=$S443,INDEX(WSM,DO450,6)&gt;=$R443),1,0)</f>
        <v>#N/A</v>
      </c>
      <c r="DQ450" s="4" t="e">
        <f t="shared" ref="DQ450" ca="1" si="8099">MATCH(1,OFFSET(DP443:DP454,DR449,0,COUNT(DP443:DP454)-DR449),0)</f>
        <v>#REF!</v>
      </c>
      <c r="DR450" s="4" t="e">
        <f t="shared" ca="1" si="7998"/>
        <v>#REF!</v>
      </c>
      <c r="DS450" s="692" t="str">
        <f ca="1">IFERROR(VLOOKUP(INDEX(DO443:DO454,DR450),WSM,2,FALSE),"----")</f>
        <v>----</v>
      </c>
      <c r="DT450" s="691" t="e">
        <f t="shared" ca="1" si="7999"/>
        <v>#N/A</v>
      </c>
      <c r="DU450" s="4" t="e">
        <f ca="1">IF(AND(INDEX(STM,DT450,4)&gt;=$AB449,INDEX(STM,DT450,5)&gt;=$S443,INDEX(STM,DT450,6)&gt;=$R443),1,0)</f>
        <v>#N/A</v>
      </c>
      <c r="DV450" s="4" t="e">
        <f t="shared" ref="DV450" ca="1" si="8100">MATCH(1,OFFSET(DU443:DU454,DW449,0,COUNT(DU443:DU454)-DW449),0)</f>
        <v>#REF!</v>
      </c>
      <c r="DW450" s="4" t="e">
        <f t="shared" ca="1" si="8001"/>
        <v>#REF!</v>
      </c>
      <c r="DX450" s="692" t="str">
        <f ca="1">IFERROR(VLOOKUP(INDEX(DT443:DT454,DW450),STM,2,FALSE),"----")</f>
        <v>----</v>
      </c>
      <c r="DY450" s="691" t="e">
        <f t="shared" ca="1" si="8002"/>
        <v>#N/A</v>
      </c>
      <c r="DZ450" s="4" t="e">
        <f ca="1">IF(AND(INDEX(ELM,DY450,4)&gt;=$AB449,INDEX(ELM,DY450,5)&gt;=$S443,INDEX(ELM,DY450,6)&gt;=$R443),1,0)</f>
        <v>#N/A</v>
      </c>
      <c r="EA450" s="4" t="e">
        <f t="shared" ref="EA450" ca="1" si="8101">MATCH(1,OFFSET(DZ443:DZ454,EB449,0,COUNT(DZ443:DZ454)-EB449),0)</f>
        <v>#REF!</v>
      </c>
      <c r="EB450" s="4" t="e">
        <f t="shared" ca="1" si="8004"/>
        <v>#REF!</v>
      </c>
      <c r="EC450" s="692" t="str">
        <f ca="1">IFERROR(VLOOKUP(INDEX(DY443:DY454,EB450),ELM,2,FALSE),"----")</f>
        <v>----</v>
      </c>
      <c r="ED450" s="691" t="e">
        <f t="shared" ca="1" si="8005"/>
        <v>#N/A</v>
      </c>
      <c r="EE450" s="4" t="e">
        <f ca="1">IF(LEFT($J443,7)="Clad Wo",IF(AND(INDEX(SPPWS,ED450,4)&gt;=$AB449,INDEX(SPPWS,ED450,5)&gt;=$S443,INDEX(SPPWS,ED450,6)&gt;=$R443),1,0),IF(AND(INDEX(SPM,ED450,4)&gt;=$AB449,INDEX(SPM,ED450,5)&gt;=$S443,INDEX(SPM,ED450,6)&gt;=$R443),1,0))</f>
        <v>#N/A</v>
      </c>
      <c r="EF450" s="4" t="e">
        <f t="shared" ref="EF450" ca="1" si="8102">MATCH(1,OFFSET(EE443:EE454,EG449,0,COUNT(EE443:EE454)-EG449),0)</f>
        <v>#REF!</v>
      </c>
      <c r="EG450" s="4" t="e">
        <f t="shared" ca="1" si="8007"/>
        <v>#REF!</v>
      </c>
      <c r="EH450" s="692" t="str">
        <f ca="1">IF(LEFT($J443,7)="Clad Wo",IFERROR(VLOOKUP(INDEX(ED443:ED454,EG450),SPPWS,2,FALSE),"----"),IFERROR(VLOOKUP(INDEX(ED443:ED454,EG450),SPM,2,FALSE),"----"))</f>
        <v>----</v>
      </c>
    </row>
    <row r="451" spans="1:138" ht="15" customHeight="1" x14ac:dyDescent="0.25">
      <c r="A451" s="1085"/>
      <c r="B451" s="925"/>
      <c r="C451" s="926"/>
      <c r="D451" s="927"/>
      <c r="E451" s="995"/>
      <c r="F451" s="996"/>
      <c r="G451" s="997"/>
      <c r="H451" s="1062"/>
      <c r="I451" s="990"/>
      <c r="J451" s="902"/>
      <c r="K451" s="903"/>
      <c r="L451" s="1002"/>
      <c r="M451" s="923"/>
      <c r="N451" s="1042"/>
      <c r="O451" s="1018"/>
      <c r="P451" s="987"/>
      <c r="Q451" s="1015"/>
      <c r="R451" s="1012"/>
      <c r="S451" s="1006"/>
      <c r="T451" s="1007"/>
      <c r="U451" s="878"/>
      <c r="V451" s="881"/>
      <c r="W451" s="884"/>
      <c r="X451" s="884"/>
      <c r="Y451" s="887"/>
      <c r="Z451" s="887"/>
      <c r="AA451" s="887"/>
      <c r="AB451" s="1081"/>
      <c r="AC451" s="1078"/>
      <c r="AD451" s="1070" t="str">
        <f t="shared" si="7388"/>
        <v>Wood Stud Framing</v>
      </c>
      <c r="AE451" s="1071"/>
      <c r="AF451" s="1052"/>
      <c r="AG451" s="1053"/>
      <c r="AH451" s="1053"/>
      <c r="AI451" s="1066"/>
      <c r="AJ451" s="1067"/>
      <c r="AK451" s="156" t="str">
        <f t="shared" ca="1" si="7482"/>
        <v/>
      </c>
      <c r="AL451" s="1059"/>
      <c r="AM451" s="344" t="str">
        <f ca="1">IFERROR(Q443/12*ROUND(VLOOKUP(AF451,OFFSET(WSM,0,1),6,FALSE),2),"")</f>
        <v/>
      </c>
      <c r="AN451" t="str">
        <f t="shared" ca="1" si="7532"/>
        <v/>
      </c>
      <c r="AP451" s="122" t="str">
        <f t="shared" ref="AP451" si="8103">_xlfn.CONCAT(AR451,AS454)</f>
        <v/>
      </c>
      <c r="AQ451" s="683" t="str">
        <f t="shared" si="7698"/>
        <v/>
      </c>
      <c r="AR451" s="4" t="str">
        <f t="shared" si="7457"/>
        <v/>
      </c>
      <c r="AS451" s="4"/>
      <c r="AT451" s="697" t="str">
        <f>AL449</f>
        <v/>
      </c>
      <c r="AU451" s="694" t="e">
        <f t="shared" ca="1" si="7724"/>
        <v>#REF!</v>
      </c>
      <c r="AV451" s="686" t="str">
        <f ca="1">IFERROR(VLOOKUP(AU451,INDIRECT(AQ443),2,FALSE),"----")</f>
        <v>----</v>
      </c>
      <c r="AW451" s="694" t="e">
        <f t="shared" ca="1" si="7725"/>
        <v>#REF!</v>
      </c>
      <c r="AX451" s="686" t="str">
        <f ca="1">IFERROR(VLOOKUP(AW451,INDIRECT(AQ444),2,FALSE),"----")</f>
        <v>----</v>
      </c>
      <c r="AY451" s="694" t="e">
        <f t="shared" ca="1" si="7817"/>
        <v>#REF!</v>
      </c>
      <c r="AZ451" s="686" t="str">
        <f ca="1">IFERROR(VLOOKUP(AY451,INDIRECT(AQ445),2,FALSE),"----")</f>
        <v>----</v>
      </c>
      <c r="BA451" s="694" t="e">
        <f t="shared" ca="1" si="7818"/>
        <v>#REF!</v>
      </c>
      <c r="BB451" s="686" t="str">
        <f ca="1">IFERROR(VLOOKUP(BA451,INDIRECT(AQ446),2,FALSE),"----")</f>
        <v>----</v>
      </c>
      <c r="BC451" s="694" t="e">
        <f t="shared" ca="1" si="7728"/>
        <v>#REF!</v>
      </c>
      <c r="BD451" s="686" t="str">
        <f ca="1">IFERROR(VLOOKUP(BC451,INDIRECT(AQ447),2,FALSE),"----")</f>
        <v>----</v>
      </c>
      <c r="BE451" s="694" t="e">
        <f t="shared" ca="1" si="7729"/>
        <v>#REF!</v>
      </c>
      <c r="BF451" s="686" t="str">
        <f ca="1">IFERROR(VLOOKUP(BE451,INDIRECT(AQ448),2,FALSE),"----")</f>
        <v>----</v>
      </c>
      <c r="BG451" s="702" t="e">
        <f t="shared" ca="1" si="7730"/>
        <v>#REF!</v>
      </c>
      <c r="BH451" s="686" t="str">
        <f ca="1">IFERROR(VLOOKUP(BG451,INDIRECT(AQ449),2,FALSE),"----")</f>
        <v>----</v>
      </c>
      <c r="BI451" s="702" t="e">
        <f t="shared" ca="1" si="7731"/>
        <v>#REF!</v>
      </c>
      <c r="BJ451" s="686" t="str">
        <f ca="1">IFERROR(VLOOKUP(BI451,INDIRECT(AQ450),2,FALSE),"----")</f>
        <v>----</v>
      </c>
      <c r="BK451" s="702" t="e">
        <f t="shared" ca="1" si="7732"/>
        <v>#REF!</v>
      </c>
      <c r="BL451" s="686" t="str">
        <f ca="1">IFERROR(VLOOKUP(BK451,INDIRECT(AQ451),2,FALSE),"----")</f>
        <v>----</v>
      </c>
      <c r="BM451" s="702" t="e">
        <f t="shared" ca="1" si="7733"/>
        <v>#REF!</v>
      </c>
      <c r="BN451" s="686" t="str">
        <f ca="1">IFERROR(VLOOKUP(BM451,INDIRECT(AQ452),2,FALSE),"----")</f>
        <v>----</v>
      </c>
      <c r="BO451" s="702" t="e">
        <f t="shared" ca="1" si="7734"/>
        <v>#REF!</v>
      </c>
      <c r="BP451" s="686" t="str">
        <f ca="1">IFERROR(VLOOKUP(BO451,INDIRECT(AQ453),2,FALSE),"----")</f>
        <v>----</v>
      </c>
      <c r="BQ451" s="702" t="e">
        <f t="shared" ca="1" si="7735"/>
        <v>#REF!</v>
      </c>
      <c r="BR451" s="686" t="str">
        <f ca="1">IFERROR(VLOOKUP(BQ451,INDIRECT(AQ454),2,FALSE),"----")</f>
        <v>----</v>
      </c>
      <c r="BS451" s="695">
        <f>IF(AI451="",1,IF(COUNTIF(BL443:BL454,AI451)=0,2,1))</f>
        <v>1</v>
      </c>
      <c r="BT451" s="696">
        <f>IF(AF451="",1,IF(BL443=".",2,1))</f>
        <v>1</v>
      </c>
      <c r="BU451" s="706"/>
      <c r="BV451" s="155">
        <f ca="1">IF(COUNTIF(DS443:DS454,AF451)=0,IF(AF451&lt;&gt;"",0,1),1)</f>
        <v>1</v>
      </c>
      <c r="BW451" s="157">
        <f ca="1">IFERROR(MATCH(AF451,DS443:DS454,0),1)</f>
        <v>1</v>
      </c>
      <c r="BX451" s="769" t="e">
        <f t="shared" ref="BX451" si="8104">5*E443^3*W443/(384*X443)</f>
        <v>#VALUE!</v>
      </c>
      <c r="BY451" s="769" t="e">
        <f t="shared" ref="BY451" si="8105">W443*E443^3/(60*X443)</f>
        <v>#VALUE!</v>
      </c>
      <c r="BZ451" s="1110"/>
      <c r="CA451" s="691" t="e">
        <f t="shared" ca="1" si="7972"/>
        <v>#REF!</v>
      </c>
      <c r="CB451" s="4" t="e" cm="1">
        <f t="array" aca="1" ref="CB451" ca="1">IF(AND(INDEX(INDIRECT(BY443),CA451,4)&gt;=$AB443,INDEX(INDIRECT(BY443),CA451,5)&gt;=$S443,INDEX(INDIRECT(BY443),CA451,6)&gt;=$R443),1,0)</f>
        <v>#REF!</v>
      </c>
      <c r="CC451" s="4" t="e">
        <f t="shared" ref="CC451" ca="1" si="8106">MATCH(1,OFFSET(CB443:CB454,CD450,0,COUNT(CB443:CB454)-CD450),0)</f>
        <v>#REF!</v>
      </c>
      <c r="CD451" s="4" t="e">
        <f t="shared" ca="1" si="7974"/>
        <v>#REF!</v>
      </c>
      <c r="CE451" s="692" t="str" cm="1">
        <f t="array" aca="1" ref="CE451" ca="1">IFERROR(VLOOKUP(INDEX(CA443:CA454,CD451),INDIRECT(BY443),2,FALSE),"----")</f>
        <v>----</v>
      </c>
      <c r="CF451" s="691" t="e">
        <f t="shared" ca="1" si="7975"/>
        <v>#N/A</v>
      </c>
      <c r="CG451" s="4" t="e">
        <f ca="1">IF(AND(INDEX(SSM,CF451,4)&gt;=$AB443,INDEX(SSM,CF451,5)&gt;=$S443,INDEX(SSM,CF451,6)&gt;=$R443),1,0)</f>
        <v>#N/A</v>
      </c>
      <c r="CH451" s="4" t="e">
        <f t="shared" ref="CH451" ca="1" si="8107">MATCH(1,OFFSET(CG443:CG454,CI450,0,COUNT(CG443:CG454)-CI450),0)</f>
        <v>#REF!</v>
      </c>
      <c r="CI451" s="4" t="e">
        <f t="shared" ca="1" si="7977"/>
        <v>#REF!</v>
      </c>
      <c r="CJ451" s="692" t="str">
        <f ca="1">IFERROR(IF(AD444="Nested Steel Stud (wood infill)",VLOOKUP(INDEX(CF443:CF454,CI451),SSW,2,FALSE),VLOOKUP(INDEX(CF443:CF454,CI451),SSM,2,FALSE)),"----")</f>
        <v>----</v>
      </c>
      <c r="CK451" s="691" t="e">
        <f t="shared" ca="1" si="7978"/>
        <v>#N/A</v>
      </c>
      <c r="CL451" s="4" t="e">
        <f ca="1">IF(AND(INDEX(WSM,CK451,4)&gt;=$AB443,INDEX(WSM,CK451,5)&gt;=$S443,INDEX(WSM,CK451,6)&gt;=$R443),1,0)</f>
        <v>#N/A</v>
      </c>
      <c r="CM451" s="4" t="e">
        <f t="shared" ref="CM451" ca="1" si="8108">MATCH(1,OFFSET(CL443:CL454,CN450,0,COUNT(CL443:CL454)-CN450),0)</f>
        <v>#REF!</v>
      </c>
      <c r="CN451" s="4" t="e">
        <f t="shared" ca="1" si="7980"/>
        <v>#REF!</v>
      </c>
      <c r="CO451" s="692" t="str">
        <f ca="1">IFERROR(VLOOKUP(INDEX(CK443:CK454,CN451),WSM,2,FALSE),"----")</f>
        <v>----</v>
      </c>
      <c r="CP451" s="691" t="e">
        <f t="shared" ca="1" si="7981"/>
        <v>#N/A</v>
      </c>
      <c r="CQ451" s="4" t="e">
        <f ca="1">IF(AND(INDEX(STM,CP451,4)&gt;=$AB443,INDEX(STM,CP451,5)&gt;=$S443,INDEX(STM,CP451,6)&gt;=$R443),1,0)</f>
        <v>#N/A</v>
      </c>
      <c r="CR451" s="4" t="e">
        <f t="shared" ref="CR451" ca="1" si="8109">MATCH(1,OFFSET(CQ443:CQ454,CS450,0,COUNT(CQ443:CQ454)-CS450),0)</f>
        <v>#REF!</v>
      </c>
      <c r="CS451" s="4" t="e">
        <f t="shared" ca="1" si="7983"/>
        <v>#REF!</v>
      </c>
      <c r="CT451" s="692" t="str">
        <f ca="1">IFERROR(VLOOKUP(INDEX(CP443:CP454,CS451),STM,2,FALSE),"----")</f>
        <v>----</v>
      </c>
      <c r="CU451" s="691" t="e">
        <f t="shared" ca="1" si="7984"/>
        <v>#N/A</v>
      </c>
      <c r="CV451" s="4" t="e">
        <f ca="1">IF(AND(INDEX(ELM,CU451,4)&gt;=$AB443,INDEX(ELM,CU451,5)&gt;=$S443,INDEX(ELM,CU451,6)&gt;=$R443),1,0)</f>
        <v>#N/A</v>
      </c>
      <c r="CW451" s="4" t="e">
        <f t="shared" ref="CW451" ca="1" si="8110">MATCH(1,OFFSET(CV443:CV454,CX450,0,COUNT(CV443:CV454)-CX450),0)</f>
        <v>#REF!</v>
      </c>
      <c r="CX451" s="4" t="e">
        <f t="shared" ca="1" si="7986"/>
        <v>#REF!</v>
      </c>
      <c r="CY451" s="692" t="str">
        <f ca="1">IFERROR(VLOOKUP(INDEX(CU443:CU454,CX451),ELM,2,FALSE),"----")</f>
        <v>----</v>
      </c>
      <c r="CZ451" s="691" t="e">
        <f t="shared" ca="1" si="7987"/>
        <v>#N/A</v>
      </c>
      <c r="DA451" s="4" t="e">
        <f ca="1">IF(LEFT($J443,7)="Clad Wo",IF(AND(INDEX(SPPWS,CZ451,4)&gt;=$AB443,INDEX(SPPWS,CZ451,5)&gt;=$S443,INDEX(SPPWS,CZ451,6)&gt;=$R443),1,0),IF(AND(INDEX(SPM,CZ451,4)&gt;=$AB443,INDEX(SPM,CZ451,5)&gt;=$S443,INDEX(SPM,CZ451,6)&gt;=$R443),1,0))</f>
        <v>#N/A</v>
      </c>
      <c r="DB451" s="4" t="e">
        <f t="shared" ref="DB451" ca="1" si="8111">MATCH(1,OFFSET(DA443:DA454,DC450,0,COUNT(DA443:DA454)-DC450),0)</f>
        <v>#REF!</v>
      </c>
      <c r="DC451" s="4" t="e">
        <f t="shared" ca="1" si="7989"/>
        <v>#REF!</v>
      </c>
      <c r="DD451" s="693" t="str">
        <f ca="1">IF(LEFT($J443,7)="Clad Wo",IFERROR(VLOOKUP(INDEX(CZ443:CZ454,DC451),SPPWS,2,FALSE),"----"),IFERROR(VLOOKUP(INDEX(CZ443:CZ454,DC451),SPM,2,FALSE),"----"))</f>
        <v>----</v>
      </c>
      <c r="DE451" s="691" t="e">
        <f t="shared" ca="1" si="7990"/>
        <v>#REF!</v>
      </c>
      <c r="DF451" s="4" t="e" cm="1">
        <f t="array" aca="1" ref="DF451" ca="1">IF(AND(INDEX(INDIRECT(BY443),DE451,4)&gt;=$AB449,INDEX(INDIRECT(BY443),DE451,5)&gt;=$S443,INDEX(INDIRECT(BY443),DE451,6)&gt;=$R443),1,0)</f>
        <v>#REF!</v>
      </c>
      <c r="DG451" s="4" t="e">
        <f t="shared" ref="DG451" ca="1" si="8112">MATCH(1,OFFSET(DF443:DF454,DH450,0,COUNT(DF443:DF454)-DH450),0)</f>
        <v>#REF!</v>
      </c>
      <c r="DH451" s="4" t="e">
        <f t="shared" ca="1" si="7992"/>
        <v>#REF!</v>
      </c>
      <c r="DI451" s="692" t="str" cm="1">
        <f t="array" aca="1" ref="DI451" ca="1">IFERROR(VLOOKUP(INDEX(DE443:DE454,DH451),INDIRECT(BY443),2,FALSE),"----")</f>
        <v>----</v>
      </c>
      <c r="DJ451" s="691" t="e">
        <f t="shared" ca="1" si="7993"/>
        <v>#N/A</v>
      </c>
      <c r="DK451" s="4" t="e">
        <f ca="1">IF(AND(INDEX(SSM,DJ451,4)&gt;=$AB449,INDEX(SSM,DJ451,5)&gt;=$S443,INDEX(SSM,DJ451,6)&gt;=$R443),1,0)</f>
        <v>#N/A</v>
      </c>
      <c r="DL451" s="4" t="e">
        <f t="shared" ref="DL451" ca="1" si="8113">MATCH(1,OFFSET(DK443:DK454,DM450,0,COUNT(DK443:DK454)-DM450),0)</f>
        <v>#REF!</v>
      </c>
      <c r="DM451" s="4" t="e">
        <f t="shared" ca="1" si="7995"/>
        <v>#REF!</v>
      </c>
      <c r="DN451" s="692" t="str">
        <f ca="1">IFERROR(IF(AD450="Nested Steel Stud (wood infill)",VLOOKUP(INDEX(DJ443:DJ454,DM451),SSW,2,FALSE),VLOOKUP(INDEX(DJ443:DJ454,DM451),SSM,2,FALSE)),"----")</f>
        <v>----</v>
      </c>
      <c r="DO451" s="691" t="e">
        <f t="shared" ca="1" si="7996"/>
        <v>#N/A</v>
      </c>
      <c r="DP451" s="4" t="e">
        <f ca="1">IF(AND(INDEX(WSM,DO451,4)&gt;=$AB449,INDEX(WSM,DO451,5)&gt;=$S443,INDEX(WSM,DO451,6)&gt;=$R443),1,0)</f>
        <v>#N/A</v>
      </c>
      <c r="DQ451" s="4" t="e">
        <f t="shared" ref="DQ451" ca="1" si="8114">MATCH(1,OFFSET(DP443:DP454,DR450,0,COUNT(DP443:DP454)-DR450),0)</f>
        <v>#REF!</v>
      </c>
      <c r="DR451" s="4" t="e">
        <f t="shared" ca="1" si="7998"/>
        <v>#REF!</v>
      </c>
      <c r="DS451" s="692" t="str">
        <f ca="1">IFERROR(VLOOKUP(INDEX(DO443:DO454,DR451),WSM,2,FALSE),"----")</f>
        <v>----</v>
      </c>
      <c r="DT451" s="691" t="e">
        <f t="shared" ca="1" si="7999"/>
        <v>#N/A</v>
      </c>
      <c r="DU451" s="4" t="e">
        <f ca="1">IF(AND(INDEX(STM,DT451,4)&gt;=$AB449,INDEX(STM,DT451,5)&gt;=$S443,INDEX(STM,DT451,6)&gt;=$R443),1,0)</f>
        <v>#N/A</v>
      </c>
      <c r="DV451" s="4" t="e">
        <f t="shared" ref="DV451" ca="1" si="8115">MATCH(1,OFFSET(DU443:DU454,DW450,0,COUNT(DU443:DU454)-DW450),0)</f>
        <v>#REF!</v>
      </c>
      <c r="DW451" s="4" t="e">
        <f t="shared" ca="1" si="8001"/>
        <v>#REF!</v>
      </c>
      <c r="DX451" s="692" t="str">
        <f ca="1">IFERROR(VLOOKUP(INDEX(DT443:DT454,DW451),STM,2,FALSE),"----")</f>
        <v>----</v>
      </c>
      <c r="DY451" s="691" t="e">
        <f t="shared" ca="1" si="8002"/>
        <v>#N/A</v>
      </c>
      <c r="DZ451" s="4" t="e">
        <f ca="1">IF(AND(INDEX(ELM,DY451,4)&gt;=$AB449,INDEX(ELM,DY451,5)&gt;=$S443,INDEX(ELM,DY451,6)&gt;=$R443),1,0)</f>
        <v>#N/A</v>
      </c>
      <c r="EA451" s="4" t="e">
        <f t="shared" ref="EA451" ca="1" si="8116">MATCH(1,OFFSET(DZ443:DZ454,EB450,0,COUNT(DZ443:DZ454)-EB450),0)</f>
        <v>#REF!</v>
      </c>
      <c r="EB451" s="4" t="e">
        <f t="shared" ca="1" si="8004"/>
        <v>#REF!</v>
      </c>
      <c r="EC451" s="692" t="str">
        <f ca="1">IFERROR(VLOOKUP(INDEX(DY443:DY454,EB451),ELM,2,FALSE),"----")</f>
        <v>----</v>
      </c>
      <c r="ED451" s="691" t="e">
        <f t="shared" ca="1" si="8005"/>
        <v>#N/A</v>
      </c>
      <c r="EE451" s="4" t="e">
        <f ca="1">IF(LEFT($J443,7)="Clad Wo",IF(AND(INDEX(SPPWS,ED451,4)&gt;=$AB449,INDEX(SPPWS,ED451,5)&gt;=$S443,INDEX(SPPWS,ED451,6)&gt;=$R443),1,0),IF(AND(INDEX(SPM,ED451,4)&gt;=$AB449,INDEX(SPM,ED451,5)&gt;=$S443,INDEX(SPM,ED451,6)&gt;=$R443),1,0))</f>
        <v>#N/A</v>
      </c>
      <c r="EF451" s="4" t="e">
        <f t="shared" ref="EF451" ca="1" si="8117">MATCH(1,OFFSET(EE443:EE454,EG450,0,COUNT(EE443:EE454)-EG450),0)</f>
        <v>#REF!</v>
      </c>
      <c r="EG451" s="4" t="e">
        <f t="shared" ca="1" si="8007"/>
        <v>#REF!</v>
      </c>
      <c r="EH451" s="692" t="str">
        <f ca="1">IF(LEFT($J443,7)="Clad Wo",IFERROR(VLOOKUP(INDEX(ED443:ED454,EG451),SPPWS,2,FALSE),"----"),IFERROR(VLOOKUP(INDEX(ED443:ED454,EG451),SPM,2,FALSE),"----"))</f>
        <v>----</v>
      </c>
    </row>
    <row r="452" spans="1:138" ht="15" customHeight="1" x14ac:dyDescent="0.25">
      <c r="A452" s="1085"/>
      <c r="B452" s="925"/>
      <c r="C452" s="926"/>
      <c r="D452" s="927"/>
      <c r="E452" s="995"/>
      <c r="F452" s="996"/>
      <c r="G452" s="997"/>
      <c r="H452" s="1062"/>
      <c r="I452" s="990"/>
      <c r="J452" s="902"/>
      <c r="K452" s="903"/>
      <c r="L452" s="1002"/>
      <c r="M452" s="923"/>
      <c r="N452" s="1042"/>
      <c r="O452" s="1018"/>
      <c r="P452" s="987"/>
      <c r="Q452" s="1015"/>
      <c r="R452" s="1012"/>
      <c r="S452" s="1006"/>
      <c r="T452" s="1007"/>
      <c r="U452" s="878"/>
      <c r="V452" s="881"/>
      <c r="W452" s="884"/>
      <c r="X452" s="884"/>
      <c r="Y452" s="887"/>
      <c r="Z452" s="887"/>
      <c r="AA452" s="887"/>
      <c r="AB452" s="1081"/>
      <c r="AC452" s="1078"/>
      <c r="AD452" s="1070" t="str">
        <f t="shared" si="7388"/>
        <v>Steel Tube</v>
      </c>
      <c r="AE452" s="1071"/>
      <c r="AF452" s="1052"/>
      <c r="AG452" s="1053"/>
      <c r="AH452" s="1053"/>
      <c r="AI452" s="1066"/>
      <c r="AJ452" s="1067"/>
      <c r="AK452" s="156" t="str">
        <f t="shared" ca="1" si="7482"/>
        <v/>
      </c>
      <c r="AL452" s="1059"/>
      <c r="AM452" s="343" t="str">
        <f ca="1">IFERROR(Q443/12*ROUND(VLOOKUP(AF452,OFFSET(STM,0,1),6,FALSE),2),"")</f>
        <v/>
      </c>
      <c r="AN452" t="str">
        <f t="shared" ca="1" si="7532"/>
        <v/>
      </c>
      <c r="AP452" s="122" t="str">
        <f t="shared" ref="AP452" si="8118">_xlfn.CONCAT(AR452,AS454)</f>
        <v/>
      </c>
      <c r="AQ452" s="683" t="str">
        <f t="shared" si="7698"/>
        <v/>
      </c>
      <c r="AR452" s="4" t="str">
        <f t="shared" si="7457"/>
        <v/>
      </c>
      <c r="AS452" s="4"/>
      <c r="AT452" s="697" t="str">
        <f>AL449</f>
        <v/>
      </c>
      <c r="AU452" s="694" t="e">
        <f t="shared" ca="1" si="7724"/>
        <v>#REF!</v>
      </c>
      <c r="AV452" s="686" t="str">
        <f ca="1">IFERROR(VLOOKUP(AU452,INDIRECT(AQ443),2,FALSE),"----")</f>
        <v>----</v>
      </c>
      <c r="AW452" s="694" t="e">
        <f t="shared" ca="1" si="7725"/>
        <v>#REF!</v>
      </c>
      <c r="AX452" s="686" t="str">
        <f ca="1">IFERROR(VLOOKUP(AW452,INDIRECT(AQ444),2,FALSE),"----")</f>
        <v>----</v>
      </c>
      <c r="AY452" s="694" t="e">
        <f t="shared" ca="1" si="7644"/>
        <v>#REF!</v>
      </c>
      <c r="AZ452" s="686" t="str">
        <f ca="1">IFERROR(VLOOKUP(AY452,INDIRECT(AQ445),2,FALSE),"----")</f>
        <v>----</v>
      </c>
      <c r="BA452" s="694" t="e">
        <f t="shared" ca="1" si="7645"/>
        <v>#REF!</v>
      </c>
      <c r="BB452" s="686" t="str">
        <f ca="1">IFERROR(VLOOKUP(BA452,INDIRECT(AQ446),2,FALSE),"----")</f>
        <v>----</v>
      </c>
      <c r="BC452" s="694" t="e">
        <f t="shared" ca="1" si="7728"/>
        <v>#REF!</v>
      </c>
      <c r="BD452" s="686" t="str">
        <f ca="1">IFERROR(VLOOKUP(BC452,INDIRECT(AQ447),2,FALSE),"----")</f>
        <v>----</v>
      </c>
      <c r="BE452" s="694" t="e">
        <f t="shared" ca="1" si="7729"/>
        <v>#REF!</v>
      </c>
      <c r="BF452" s="686" t="str">
        <f ca="1">IFERROR(VLOOKUP(BE452,INDIRECT(AQ448),2,FALSE),"----")</f>
        <v>----</v>
      </c>
      <c r="BG452" s="702" t="e">
        <f t="shared" ca="1" si="7730"/>
        <v>#REF!</v>
      </c>
      <c r="BH452" s="686" t="str">
        <f ca="1">IFERROR(VLOOKUP(BG452,INDIRECT(AQ449),2,FALSE),"----")</f>
        <v>----</v>
      </c>
      <c r="BI452" s="702" t="e">
        <f t="shared" ca="1" si="7731"/>
        <v>#REF!</v>
      </c>
      <c r="BJ452" s="686" t="str">
        <f ca="1">IFERROR(VLOOKUP(BI452,INDIRECT(AQ450),2,FALSE),"----")</f>
        <v>----</v>
      </c>
      <c r="BK452" s="702" t="e">
        <f t="shared" ca="1" si="7732"/>
        <v>#REF!</v>
      </c>
      <c r="BL452" s="686" t="str">
        <f ca="1">IFERROR(VLOOKUP(BK452,INDIRECT(AQ451),2,FALSE),"----")</f>
        <v>----</v>
      </c>
      <c r="BM452" s="702" t="e">
        <f t="shared" ca="1" si="7733"/>
        <v>#REF!</v>
      </c>
      <c r="BN452" s="686" t="str">
        <f ca="1">IFERROR(VLOOKUP(BM452,INDIRECT(AQ452),2,FALSE),"----")</f>
        <v>----</v>
      </c>
      <c r="BO452" s="702" t="e">
        <f t="shared" ca="1" si="7734"/>
        <v>#REF!</v>
      </c>
      <c r="BP452" s="686" t="str">
        <f ca="1">IFERROR(VLOOKUP(BO452,INDIRECT(AQ453),2,FALSE),"----")</f>
        <v>----</v>
      </c>
      <c r="BQ452" s="702" t="e">
        <f t="shared" ca="1" si="7735"/>
        <v>#REF!</v>
      </c>
      <c r="BR452" s="686" t="str">
        <f ca="1">IFERROR(VLOOKUP(BQ452,INDIRECT(AQ454),2,FALSE),"----")</f>
        <v>----</v>
      </c>
      <c r="BS452" s="695">
        <f>IF(AI452="",1,IF(COUNTIF(BN443:BN454,AI452)=0,2,1))</f>
        <v>1</v>
      </c>
      <c r="BT452" s="696">
        <f>IF(AF452="",1,IF(BN443=".",2,1))</f>
        <v>1</v>
      </c>
      <c r="BU452" s="706"/>
      <c r="BV452" s="155">
        <f ca="1">IF(COUNTIF(DX443:DX454,AF452)=0,IF(AF452&lt;&gt;"",0,1),1)</f>
        <v>1</v>
      </c>
      <c r="BW452" s="157">
        <f ca="1">IFERROR(MATCH(AF452,DX443:DX454,0),1)</f>
        <v>1</v>
      </c>
      <c r="BX452" s="769" t="e">
        <f t="shared" ref="BX452" si="8119">5*E443^3*W449/(384*X443)</f>
        <v>#VALUE!</v>
      </c>
      <c r="BY452" s="769" t="e">
        <f t="shared" ref="BY452" si="8120">E443^3*W449/(60*X443)</f>
        <v>#VALUE!</v>
      </c>
      <c r="BZ452" s="1110"/>
      <c r="CA452" s="691" t="e">
        <f t="shared" ca="1" si="7972"/>
        <v>#REF!</v>
      </c>
      <c r="CB452" s="4" t="e" cm="1">
        <f t="array" aca="1" ref="CB452" ca="1">IF(AND(INDEX(INDIRECT(BY443),CA452,4)&gt;=$AB443,INDEX(INDIRECT(BY443),CA452,5)&gt;=$S443,INDEX(INDIRECT(BY443),CA452,6)&gt;=$R443),1,0)</f>
        <v>#REF!</v>
      </c>
      <c r="CC452" s="4" t="e">
        <f t="shared" ref="CC452" ca="1" si="8121">MATCH(1,OFFSET(CB443:CB454,CD451,0,COUNT(CB443:CB454)-CD451),0)</f>
        <v>#REF!</v>
      </c>
      <c r="CD452" s="4" t="e">
        <f t="shared" ca="1" si="7974"/>
        <v>#REF!</v>
      </c>
      <c r="CE452" s="692" t="str" cm="1">
        <f t="array" aca="1" ref="CE452" ca="1">IFERROR(VLOOKUP(INDEX(CA443:CA454,CD452),INDIRECT(BY443),2,FALSE),"----")</f>
        <v>----</v>
      </c>
      <c r="CF452" s="691" t="e">
        <f t="shared" ca="1" si="7975"/>
        <v>#N/A</v>
      </c>
      <c r="CG452" s="4" t="e">
        <f ca="1">IF(AND(INDEX(SSM,CF452,4)&gt;=$AB443,INDEX(SSM,CF452,5)&gt;=$S443,INDEX(SSM,CF452,6)&gt;=$R443),1,0)</f>
        <v>#N/A</v>
      </c>
      <c r="CH452" s="4" t="e">
        <f t="shared" ref="CH452" ca="1" si="8122">MATCH(1,OFFSET(CG443:CG454,CI451,0,COUNT(CG443:CG454)-CI451),0)</f>
        <v>#REF!</v>
      </c>
      <c r="CI452" s="4" t="e">
        <f t="shared" ca="1" si="7977"/>
        <v>#REF!</v>
      </c>
      <c r="CJ452" s="692" t="str">
        <f ca="1">IFERROR(IF(AD444="Nested Steel Stud (wood infill)",VLOOKUP(INDEX(CF443:CF454,CI452),SSW,2,FALSE),VLOOKUP(INDEX(CF443:CF454,CI452),SSM,2,FALSE)),"----")</f>
        <v>----</v>
      </c>
      <c r="CK452" s="691" t="e">
        <f t="shared" ca="1" si="7978"/>
        <v>#N/A</v>
      </c>
      <c r="CL452" s="4" t="e">
        <f ca="1">IF(AND(INDEX(WSM,CK452,4)&gt;=$AB443,INDEX(WSM,CK452,5)&gt;=$S443,INDEX(WSM,CK452,6)&gt;=$R443),1,0)</f>
        <v>#N/A</v>
      </c>
      <c r="CM452" s="4" t="e">
        <f t="shared" ref="CM452" ca="1" si="8123">MATCH(1,OFFSET(CL443:CL454,CN451,0,COUNT(CL443:CL454)-CN451),0)</f>
        <v>#REF!</v>
      </c>
      <c r="CN452" s="4" t="e">
        <f t="shared" ca="1" si="7980"/>
        <v>#REF!</v>
      </c>
      <c r="CO452" s="692" t="str">
        <f ca="1">IFERROR(VLOOKUP(INDEX(CK443:CK454,CN452),WSM,2,FALSE),"----")</f>
        <v>----</v>
      </c>
      <c r="CP452" s="691" t="e">
        <f t="shared" ca="1" si="7981"/>
        <v>#N/A</v>
      </c>
      <c r="CQ452" s="4" t="e">
        <f ca="1">IF(AND(INDEX(STM,CP452,4)&gt;=$AB443,INDEX(STM,CP452,5)&gt;=$S443,INDEX(STM,CP452,6)&gt;=$R443),1,0)</f>
        <v>#N/A</v>
      </c>
      <c r="CR452" s="4" t="e">
        <f t="shared" ref="CR452" ca="1" si="8124">MATCH(1,OFFSET(CQ443:CQ454,CS451,0,COUNT(CQ443:CQ454)-CS451),0)</f>
        <v>#REF!</v>
      </c>
      <c r="CS452" s="4" t="e">
        <f t="shared" ca="1" si="7983"/>
        <v>#REF!</v>
      </c>
      <c r="CT452" s="692" t="str">
        <f ca="1">IFERROR(VLOOKUP(INDEX(CP443:CP454,CS452),STM,2,FALSE),"----")</f>
        <v>----</v>
      </c>
      <c r="CU452" s="691" t="e">
        <f t="shared" ca="1" si="7984"/>
        <v>#N/A</v>
      </c>
      <c r="CV452" s="4" t="e">
        <f ca="1">IF(AND(INDEX(ELM,CU452,4)&gt;=$AB443,INDEX(ELM,CU452,5)&gt;=$S443,INDEX(ELM,CU452,6)&gt;=$R443),1,0)</f>
        <v>#N/A</v>
      </c>
      <c r="CW452" s="4" t="e">
        <f t="shared" ref="CW452" ca="1" si="8125">MATCH(1,OFFSET(CV443:CV454,CX451,0,COUNT(CV443:CV454)-CX451),0)</f>
        <v>#REF!</v>
      </c>
      <c r="CX452" s="4" t="e">
        <f t="shared" ca="1" si="7986"/>
        <v>#REF!</v>
      </c>
      <c r="CY452" s="692" t="str">
        <f ca="1">IFERROR(VLOOKUP(INDEX(CU443:CU454,CX452),ELM,2,FALSE),"----")</f>
        <v>----</v>
      </c>
      <c r="CZ452" s="691" t="e">
        <f t="shared" ca="1" si="7987"/>
        <v>#N/A</v>
      </c>
      <c r="DA452" s="4" t="e">
        <f ca="1">IF(LEFT($J443,7)="Clad Wo",IF(AND(INDEX(SPPWS,CZ452,4)&gt;=$AB443,INDEX(SPPWS,CZ452,5)&gt;=$S443,INDEX(SPPWS,CZ452,6)&gt;=$R443),1,0),IF(AND(INDEX(SPM,CZ452,4)&gt;=$AB443,INDEX(SPM,CZ452,5)&gt;=$S443,INDEX(SPM,CZ452,6)&gt;=$R443),1,0))</f>
        <v>#N/A</v>
      </c>
      <c r="DB452" s="4" t="e">
        <f t="shared" ref="DB452" ca="1" si="8126">MATCH(1,OFFSET(DA443:DA454,DC451,0,COUNT(DA443:DA454)-DC451),0)</f>
        <v>#REF!</v>
      </c>
      <c r="DC452" s="4" t="e">
        <f t="shared" ca="1" si="7989"/>
        <v>#REF!</v>
      </c>
      <c r="DD452" s="693" t="str">
        <f ca="1">IF(LEFT($J443,7)="Clad Wo",IFERROR(VLOOKUP(INDEX(CZ443:CZ454,DC452),SPPWS,2,FALSE),"----"),IFERROR(VLOOKUP(INDEX(CZ443:CZ454,DC452),SPM,2,FALSE),"----"))</f>
        <v>----</v>
      </c>
      <c r="DE452" s="691" t="e">
        <f t="shared" ca="1" si="7990"/>
        <v>#REF!</v>
      </c>
      <c r="DF452" s="4" t="e" cm="1">
        <f t="array" aca="1" ref="DF452" ca="1">IF(AND(INDEX(INDIRECT(BY443),DE452,4)&gt;=$AB449,INDEX(INDIRECT(BY443),DE452,5)&gt;=$S443,INDEX(INDIRECT(BY443),DE452,6)&gt;=$R443),1,0)</f>
        <v>#REF!</v>
      </c>
      <c r="DG452" s="4" t="e">
        <f t="shared" ref="DG452" ca="1" si="8127">MATCH(1,OFFSET(DF443:DF454,DH451,0,COUNT(DF443:DF454)-DH451),0)</f>
        <v>#REF!</v>
      </c>
      <c r="DH452" s="4" t="e">
        <f t="shared" ca="1" si="7992"/>
        <v>#REF!</v>
      </c>
      <c r="DI452" s="692" t="str" cm="1">
        <f t="array" aca="1" ref="DI452" ca="1">IFERROR(VLOOKUP(INDEX(DE443:DE454,DH452),INDIRECT(BY443),2,FALSE),"----")</f>
        <v>----</v>
      </c>
      <c r="DJ452" s="691" t="e">
        <f t="shared" ca="1" si="7993"/>
        <v>#N/A</v>
      </c>
      <c r="DK452" s="4" t="e">
        <f ca="1">IF(AND(INDEX(SSM,DJ452,4)&gt;=$AB449,INDEX(SSM,DJ452,5)&gt;=$S443,INDEX(SSM,DJ452,6)&gt;=$R443),1,0)</f>
        <v>#N/A</v>
      </c>
      <c r="DL452" s="4" t="e">
        <f t="shared" ref="DL452" ca="1" si="8128">MATCH(1,OFFSET(DK443:DK454,DM451,0,COUNT(DK443:DK454)-DM451),0)</f>
        <v>#REF!</v>
      </c>
      <c r="DM452" s="4" t="e">
        <f t="shared" ca="1" si="7995"/>
        <v>#REF!</v>
      </c>
      <c r="DN452" s="692" t="str">
        <f ca="1">IFERROR(IF(AD450="Nested Steel Stud (wood infill)",VLOOKUP(INDEX(DJ443:DJ454,DM452),SSW,2,FALSE),VLOOKUP(INDEX(DJ443:DJ454,DM452),SSM,2,FALSE)),"----")</f>
        <v>----</v>
      </c>
      <c r="DO452" s="691" t="e">
        <f t="shared" ca="1" si="7996"/>
        <v>#N/A</v>
      </c>
      <c r="DP452" s="4" t="e">
        <f ca="1">IF(AND(INDEX(WSM,DO452,4)&gt;=$AB449,INDEX(WSM,DO452,5)&gt;=$S443,INDEX(WSM,DO452,6)&gt;=$R443),1,0)</f>
        <v>#N/A</v>
      </c>
      <c r="DQ452" s="4" t="e">
        <f t="shared" ref="DQ452" ca="1" si="8129">MATCH(1,OFFSET(DP443:DP454,DR451,0,COUNT(DP443:DP454)-DR451),0)</f>
        <v>#REF!</v>
      </c>
      <c r="DR452" s="4" t="e">
        <f t="shared" ca="1" si="7998"/>
        <v>#REF!</v>
      </c>
      <c r="DS452" s="692" t="str">
        <f ca="1">IFERROR(VLOOKUP(INDEX(DO443:DO454,DR452),WSM,2,FALSE),"----")</f>
        <v>----</v>
      </c>
      <c r="DT452" s="691" t="e">
        <f t="shared" ca="1" si="7999"/>
        <v>#N/A</v>
      </c>
      <c r="DU452" s="4" t="e">
        <f ca="1">IF(AND(INDEX(STM,DT452,4)&gt;=$AB449,INDEX(STM,DT452,5)&gt;=$S443,INDEX(STM,DT452,6)&gt;=$R443),1,0)</f>
        <v>#N/A</v>
      </c>
      <c r="DV452" s="4" t="e">
        <f t="shared" ref="DV452" ca="1" si="8130">MATCH(1,OFFSET(DU443:DU454,DW451,0,COUNT(DU443:DU454)-DW451),0)</f>
        <v>#REF!</v>
      </c>
      <c r="DW452" s="4" t="e">
        <f t="shared" ca="1" si="8001"/>
        <v>#REF!</v>
      </c>
      <c r="DX452" s="692" t="str">
        <f ca="1">IFERROR(VLOOKUP(INDEX(DT443:DT454,DW452),STM,2,FALSE),"----")</f>
        <v>----</v>
      </c>
      <c r="DY452" s="691" t="e">
        <f t="shared" ca="1" si="8002"/>
        <v>#N/A</v>
      </c>
      <c r="DZ452" s="4" t="e">
        <f ca="1">IF(AND(INDEX(ELM,DY452,4)&gt;=$AB449,INDEX(ELM,DY452,5)&gt;=$S443,INDEX(ELM,DY452,6)&gt;=$R443),1,0)</f>
        <v>#N/A</v>
      </c>
      <c r="EA452" s="4" t="e">
        <f t="shared" ref="EA452" ca="1" si="8131">MATCH(1,OFFSET(DZ443:DZ454,EB451,0,COUNT(DZ443:DZ454)-EB451),0)</f>
        <v>#REF!</v>
      </c>
      <c r="EB452" s="4" t="e">
        <f t="shared" ca="1" si="8004"/>
        <v>#REF!</v>
      </c>
      <c r="EC452" s="692" t="str">
        <f ca="1">IFERROR(VLOOKUP(INDEX(DY443:DY454,EB452),ELM,2,FALSE),"----")</f>
        <v>----</v>
      </c>
      <c r="ED452" s="691" t="e">
        <f t="shared" ca="1" si="8005"/>
        <v>#N/A</v>
      </c>
      <c r="EE452" s="4" t="e">
        <f ca="1">IF(LEFT($J443,7)="Clad Wo",IF(AND(INDEX(SPPWS,ED452,4)&gt;=$AB449,INDEX(SPPWS,ED452,5)&gt;=$S443,INDEX(SPPWS,ED452,6)&gt;=$R443),1,0),IF(AND(INDEX(SPM,ED452,4)&gt;=$AB449,INDEX(SPM,ED452,5)&gt;=$S443,INDEX(SPM,ED452,6)&gt;=$R443),1,0))</f>
        <v>#N/A</v>
      </c>
      <c r="EF452" s="4" t="e">
        <f t="shared" ref="EF452" ca="1" si="8132">MATCH(1,OFFSET(EE443:EE454,EG451,0,COUNT(EE443:EE454)-EG451),0)</f>
        <v>#REF!</v>
      </c>
      <c r="EG452" s="4" t="e">
        <f t="shared" ca="1" si="8007"/>
        <v>#REF!</v>
      </c>
      <c r="EH452" s="692" t="str">
        <f ca="1">IF(LEFT($J443,7)="Clad Wo",IFERROR(VLOOKUP(INDEX(ED443:ED454,EG452),SPPWS,2,FALSE),"----"),IFERROR(VLOOKUP(INDEX(ED443:ED454,EG452),SPM,2,FALSE),"----"))</f>
        <v>----</v>
      </c>
    </row>
    <row r="453" spans="1:138" ht="15" customHeight="1" x14ac:dyDescent="0.25">
      <c r="A453" s="1085"/>
      <c r="B453" s="925"/>
      <c r="C453" s="926"/>
      <c r="D453" s="927"/>
      <c r="E453" s="995"/>
      <c r="F453" s="996"/>
      <c r="G453" s="997"/>
      <c r="H453" s="1062"/>
      <c r="I453" s="990"/>
      <c r="J453" s="902"/>
      <c r="K453" s="903"/>
      <c r="L453" s="1002"/>
      <c r="M453" s="923"/>
      <c r="N453" s="1042"/>
      <c r="O453" s="1018"/>
      <c r="P453" s="987"/>
      <c r="Q453" s="1015"/>
      <c r="R453" s="1012"/>
      <c r="S453" s="1006"/>
      <c r="T453" s="1007"/>
      <c r="U453" s="878"/>
      <c r="V453" s="881"/>
      <c r="W453" s="884"/>
      <c r="X453" s="884"/>
      <c r="Y453" s="887"/>
      <c r="Z453" s="887"/>
      <c r="AA453" s="887"/>
      <c r="AB453" s="1081"/>
      <c r="AC453" s="1078"/>
      <c r="AD453" s="1070" t="str">
        <f t="shared" si="7388"/>
        <v>Engineered Lumber</v>
      </c>
      <c r="AE453" s="1071"/>
      <c r="AF453" s="1052"/>
      <c r="AG453" s="1053"/>
      <c r="AH453" s="1053"/>
      <c r="AI453" s="1068"/>
      <c r="AJ453" s="1069"/>
      <c r="AK453" s="154" t="str">
        <f t="shared" ca="1" si="7482"/>
        <v/>
      </c>
      <c r="AL453" s="1059"/>
      <c r="AM453" s="344" t="str">
        <f ca="1">IFERROR(Q443/12*ROUND(VLOOKUP(AF453,OFFSET(ELM,0,1),6,FALSE),2),"")</f>
        <v/>
      </c>
      <c r="AN453" t="str">
        <f t="shared" ca="1" si="7532"/>
        <v/>
      </c>
      <c r="AP453" s="122" t="str">
        <f t="shared" ref="AP453" si="8133">_xlfn.CONCAT(AR453,AS454)</f>
        <v/>
      </c>
      <c r="AQ453" s="683" t="str">
        <f t="shared" si="7698"/>
        <v/>
      </c>
      <c r="AR453" s="4" t="str">
        <f t="shared" si="7457"/>
        <v/>
      </c>
      <c r="AS453" s="4"/>
      <c r="AT453" s="697" t="str">
        <f>AL449</f>
        <v/>
      </c>
      <c r="AU453" s="694" t="e">
        <f t="shared" ca="1" si="7724"/>
        <v>#REF!</v>
      </c>
      <c r="AV453" s="698" t="str">
        <f ca="1">IFERROR(VLOOKUP(AU453,INDIRECT(AQ443),2,FALSE),"----")</f>
        <v>----</v>
      </c>
      <c r="AW453" s="694" t="e">
        <f t="shared" ca="1" si="7725"/>
        <v>#REF!</v>
      </c>
      <c r="AX453" s="698" t="str">
        <f ca="1">IFERROR(VLOOKUP(AW453,INDIRECT(AQ444),2,FALSE),"----")</f>
        <v>----</v>
      </c>
      <c r="AY453" s="694" t="e">
        <f t="shared" ca="1" si="7644"/>
        <v>#REF!</v>
      </c>
      <c r="AZ453" s="698" t="str">
        <f ca="1">IFERROR(VLOOKUP(AY453,INDIRECT(AQ445),2,FALSE),"----")</f>
        <v>----</v>
      </c>
      <c r="BA453" s="694" t="e">
        <f t="shared" ca="1" si="7645"/>
        <v>#REF!</v>
      </c>
      <c r="BB453" s="698" t="str">
        <f ca="1">IFERROR(VLOOKUP(BA453,INDIRECT(AQ446),2,FALSE),"----")</f>
        <v>----</v>
      </c>
      <c r="BC453" s="694" t="e">
        <f t="shared" ca="1" si="7728"/>
        <v>#REF!</v>
      </c>
      <c r="BD453" s="698" t="str">
        <f ca="1">IFERROR(VLOOKUP(BC453,INDIRECT(AQ447),2,FALSE),"----")</f>
        <v>----</v>
      </c>
      <c r="BE453" s="694" t="e">
        <f t="shared" ca="1" si="7729"/>
        <v>#REF!</v>
      </c>
      <c r="BF453" s="698" t="str">
        <f ca="1">IFERROR(VLOOKUP(BE453,INDIRECT(AQ448),2,FALSE),"----")</f>
        <v>----</v>
      </c>
      <c r="BG453" s="702" t="e">
        <f t="shared" ca="1" si="7730"/>
        <v>#REF!</v>
      </c>
      <c r="BH453" s="686" t="str">
        <f ca="1">IFERROR(VLOOKUP(BG453,INDIRECT(AQ449),2,FALSE),"----")</f>
        <v>----</v>
      </c>
      <c r="BI453" s="702" t="e">
        <f t="shared" ca="1" si="7731"/>
        <v>#REF!</v>
      </c>
      <c r="BJ453" s="686" t="str">
        <f ca="1">IFERROR(VLOOKUP(BI453,INDIRECT(AQ450),2,FALSE),"----")</f>
        <v>----</v>
      </c>
      <c r="BK453" s="702" t="e">
        <f t="shared" ca="1" si="7732"/>
        <v>#REF!</v>
      </c>
      <c r="BL453" s="686" t="str">
        <f ca="1">IFERROR(VLOOKUP(BK453,INDIRECT(AQ451),2,FALSE),"----")</f>
        <v>----</v>
      </c>
      <c r="BM453" s="702" t="e">
        <f t="shared" ca="1" si="7733"/>
        <v>#REF!</v>
      </c>
      <c r="BN453" s="686" t="str">
        <f ca="1">IFERROR(VLOOKUP(BM453,INDIRECT(AQ452),2,FALSE),"----")</f>
        <v>----</v>
      </c>
      <c r="BO453" s="702" t="e">
        <f t="shared" ca="1" si="7734"/>
        <v>#REF!</v>
      </c>
      <c r="BP453" s="686" t="str">
        <f ca="1">IFERROR(VLOOKUP(BO453,INDIRECT(AQ453),2,FALSE),"----")</f>
        <v>----</v>
      </c>
      <c r="BQ453" s="702" t="e">
        <f t="shared" ca="1" si="7735"/>
        <v>#REF!</v>
      </c>
      <c r="BR453" s="686" t="str">
        <f ca="1">IFERROR(VLOOKUP(BQ453,INDIRECT(AQ454),2,FALSE),"----")</f>
        <v>----</v>
      </c>
      <c r="BS453" s="695">
        <f>IF(AI453="",1,IF(COUNTIF(BP443:BP454,AI453)=0,2,1))</f>
        <v>1</v>
      </c>
      <c r="BT453" s="696">
        <f>IF(AF453="",1,IF(BP443=".",2,1))</f>
        <v>1</v>
      </c>
      <c r="BU453" s="706"/>
      <c r="BV453" s="155">
        <f ca="1">IF(COUNTIF(EC443:EC454,AF453)=0,IF(AF453&lt;&gt;"",0,1),1)</f>
        <v>1</v>
      </c>
      <c r="BW453" s="157">
        <f ca="1">IFERROR(MATCH(AF453,EC443:EC454,0),1)</f>
        <v>1</v>
      </c>
      <c r="BX453" s="769"/>
      <c r="BY453" s="769"/>
      <c r="BZ453" s="1110"/>
      <c r="CA453" s="691" t="e">
        <f t="shared" ca="1" si="7972"/>
        <v>#REF!</v>
      </c>
      <c r="CB453" s="4" t="e" cm="1">
        <f t="array" aca="1" ref="CB453" ca="1">IF(AND(INDEX(INDIRECT(BY443),CA453,4)&gt;=$AB443,INDEX(INDIRECT(BY443),CA453,5)&gt;=$S443,INDEX(INDIRECT(BY443),CA453,6)&gt;=$R443),1,0)</f>
        <v>#REF!</v>
      </c>
      <c r="CC453" s="4" t="e">
        <f t="shared" ref="CC453" ca="1" si="8134">MATCH(1,OFFSET(CB443:CB454,CD452,0,COUNT(CB443:CB454)-CD452),0)</f>
        <v>#REF!</v>
      </c>
      <c r="CD453" s="4" t="e">
        <f t="shared" ca="1" si="7974"/>
        <v>#REF!</v>
      </c>
      <c r="CE453" s="692" t="str" cm="1">
        <f t="array" aca="1" ref="CE453" ca="1">IFERROR(VLOOKUP(INDEX(CA443:CA454,CD453),INDIRECT(BY443),2,FALSE),"----")</f>
        <v>----</v>
      </c>
      <c r="CF453" s="691" t="e">
        <f t="shared" ca="1" si="7975"/>
        <v>#N/A</v>
      </c>
      <c r="CG453" s="4" t="e">
        <f ca="1">IF(AND(INDEX(SSM,CF453,4)&gt;=$AB443,INDEX(SSM,CF453,5)&gt;=$S443,INDEX(SSM,CF453,6)&gt;=$R443),1,0)</f>
        <v>#N/A</v>
      </c>
      <c r="CH453" s="4" t="e">
        <f t="shared" ref="CH453" ca="1" si="8135">MATCH(1,OFFSET(CG443:CG454,CI452,0,COUNT(CG443:CG454)-CI452),0)</f>
        <v>#REF!</v>
      </c>
      <c r="CI453" s="4" t="e">
        <f t="shared" ca="1" si="7977"/>
        <v>#REF!</v>
      </c>
      <c r="CJ453" s="692" t="str">
        <f ca="1">IFERROR(IF(AD444="Nested Steel Stud (wood infill)",VLOOKUP(INDEX(CF443:CF454,CI453),SSW,2,FALSE),VLOOKUP(INDEX(CF443:CF454,CI453),SSM,2,FALSE)),"----")</f>
        <v>----</v>
      </c>
      <c r="CK453" s="691" t="e">
        <f t="shared" ca="1" si="7978"/>
        <v>#N/A</v>
      </c>
      <c r="CL453" s="4" t="e">
        <f ca="1">IF(AND(INDEX(WSM,CK453,4)&gt;=$AB443,INDEX(WSM,CK453,5)&gt;=$S443,INDEX(WSM,CK453,6)&gt;=$R443),1,0)</f>
        <v>#N/A</v>
      </c>
      <c r="CM453" s="4" t="e">
        <f t="shared" ref="CM453" ca="1" si="8136">MATCH(1,OFFSET(CL443:CL454,CN452,0,COUNT(CL443:CL454)-CN452),0)</f>
        <v>#REF!</v>
      </c>
      <c r="CN453" s="4" t="e">
        <f t="shared" ca="1" si="7980"/>
        <v>#REF!</v>
      </c>
      <c r="CO453" s="692" t="str">
        <f ca="1">IFERROR(VLOOKUP(INDEX(CK443:CK454,CN453),WSM,2,FALSE),"----")</f>
        <v>----</v>
      </c>
      <c r="CP453" s="691" t="e">
        <f t="shared" ca="1" si="7981"/>
        <v>#N/A</v>
      </c>
      <c r="CQ453" s="4" t="e">
        <f ca="1">IF(AND(INDEX(STM,CP453,4)&gt;=$AB443,INDEX(STM,CP453,5)&gt;=$S443,INDEX(STM,CP453,6)&gt;=$R443),1,0)</f>
        <v>#N/A</v>
      </c>
      <c r="CR453" s="4" t="e">
        <f t="shared" ref="CR453" ca="1" si="8137">MATCH(1,OFFSET(CQ443:CQ454,CS452,0,COUNT(CQ443:CQ454)-CS452),0)</f>
        <v>#REF!</v>
      </c>
      <c r="CS453" s="4" t="e">
        <f t="shared" ca="1" si="7983"/>
        <v>#REF!</v>
      </c>
      <c r="CT453" s="692" t="str">
        <f ca="1">IFERROR(VLOOKUP(INDEX(CP443:CP454,CS453),STM,2,FALSE),"----")</f>
        <v>----</v>
      </c>
      <c r="CU453" s="691" t="e">
        <f t="shared" ca="1" si="7984"/>
        <v>#N/A</v>
      </c>
      <c r="CV453" s="4" t="e">
        <f ca="1">IF(AND(INDEX(ELM,CU453,4)&gt;=$AB443,INDEX(ELM,CU453,5)&gt;=$S443,INDEX(ELM,CU453,6)&gt;=$R443),1,0)</f>
        <v>#N/A</v>
      </c>
      <c r="CW453" s="4" t="e">
        <f t="shared" ref="CW453" ca="1" si="8138">MATCH(1,OFFSET(CV443:CV454,CX452,0,COUNT(CV443:CV454)-CX452),0)</f>
        <v>#REF!</v>
      </c>
      <c r="CX453" s="4" t="e">
        <f t="shared" ca="1" si="7986"/>
        <v>#REF!</v>
      </c>
      <c r="CY453" s="692" t="str">
        <f ca="1">IFERROR(VLOOKUP(INDEX(CU443:CU454,CX453),ELM,2,FALSE),"----")</f>
        <v>----</v>
      </c>
      <c r="CZ453" s="691" t="e">
        <f t="shared" ca="1" si="7987"/>
        <v>#N/A</v>
      </c>
      <c r="DA453" s="4" t="e">
        <f ca="1">IF(LEFT($J443,7)="Clad Wo",IF(AND(INDEX(SPPWS,CZ453,4)&gt;=$AB443,INDEX(SPPWS,CZ453,5)&gt;=$S443,INDEX(SPPWS,CZ453,6)&gt;=$R443),1,0),IF(AND(INDEX(SPM,CZ453,4)&gt;=$AB443,INDEX(SPM,CZ453,5)&gt;=$S443,INDEX(SPM,CZ453,6)&gt;=$R443),1,0))</f>
        <v>#N/A</v>
      </c>
      <c r="DB453" s="4" t="e">
        <f t="shared" ref="DB453" ca="1" si="8139">MATCH(1,OFFSET(DA443:DA454,DC452,0,COUNT(DA443:DA454)-DC452),0)</f>
        <v>#REF!</v>
      </c>
      <c r="DC453" s="4" t="e">
        <f t="shared" ca="1" si="7989"/>
        <v>#REF!</v>
      </c>
      <c r="DD453" s="693" t="str">
        <f ca="1">IF(LEFT($J443,7)="Clad Wo",IFERROR(VLOOKUP(INDEX(CZ443:CZ454,DC453),SPPWS,2,FALSE),"----"),IFERROR(VLOOKUP(INDEX(CZ443:CZ454,DC453),SPM,2,FALSE),"----"))</f>
        <v>----</v>
      </c>
      <c r="DE453" s="691" t="e">
        <f t="shared" ca="1" si="7990"/>
        <v>#REF!</v>
      </c>
      <c r="DF453" s="4" t="e" cm="1">
        <f t="array" aca="1" ref="DF453" ca="1">IF(AND(INDEX(INDIRECT(BY443),DE453,4)&gt;=$AB449,INDEX(INDIRECT(BY443),DE453,5)&gt;=$S443,INDEX(INDIRECT(BY443),DE453,6)&gt;=$R443),1,0)</f>
        <v>#REF!</v>
      </c>
      <c r="DG453" s="4" t="e">
        <f t="shared" ref="DG453" ca="1" si="8140">MATCH(1,OFFSET(DF443:DF454,DH452,0,COUNT(DF443:DF454)-DH452),0)</f>
        <v>#REF!</v>
      </c>
      <c r="DH453" s="4" t="e">
        <f t="shared" ca="1" si="7992"/>
        <v>#REF!</v>
      </c>
      <c r="DI453" s="692" t="str" cm="1">
        <f t="array" aca="1" ref="DI453" ca="1">IFERROR(VLOOKUP(INDEX(DE443:DE454,DH453),INDIRECT(BY443),2,FALSE),"----")</f>
        <v>----</v>
      </c>
      <c r="DJ453" s="691" t="e">
        <f t="shared" ca="1" si="7993"/>
        <v>#N/A</v>
      </c>
      <c r="DK453" s="4" t="e">
        <f ca="1">IF(AND(INDEX(SSM,DJ453,4)&gt;=$AB449,INDEX(SSM,DJ453,5)&gt;=$S443,INDEX(SSM,DJ453,6)&gt;=$R443),1,0)</f>
        <v>#N/A</v>
      </c>
      <c r="DL453" s="4" t="e">
        <f t="shared" ref="DL453" ca="1" si="8141">MATCH(1,OFFSET(DK443:DK454,DM452,0,COUNT(DK443:DK454)-DM452),0)</f>
        <v>#REF!</v>
      </c>
      <c r="DM453" s="4" t="e">
        <f t="shared" ca="1" si="7995"/>
        <v>#REF!</v>
      </c>
      <c r="DN453" s="692" t="str">
        <f ca="1">IFERROR(IF(AD450="Nested Steel Stud (wood infill)",VLOOKUP(INDEX(DJ443:DJ454,DM453),SSW,2,FALSE),VLOOKUP(INDEX(DJ443:DJ454,DM453),SSM,2,FALSE)),"----")</f>
        <v>----</v>
      </c>
      <c r="DO453" s="691" t="e">
        <f t="shared" ca="1" si="7996"/>
        <v>#N/A</v>
      </c>
      <c r="DP453" s="4" t="e">
        <f ca="1">IF(AND(INDEX(WSM,DO453,4)&gt;=$AB449,INDEX(WSM,DO453,5)&gt;=$S443,INDEX(WSM,DO453,6)&gt;=$R443),1,0)</f>
        <v>#N/A</v>
      </c>
      <c r="DQ453" s="4" t="e">
        <f t="shared" ref="DQ453" ca="1" si="8142">MATCH(1,OFFSET(DP443:DP454,DR452,0,COUNT(DP443:DP454)-DR452),0)</f>
        <v>#REF!</v>
      </c>
      <c r="DR453" s="4" t="e">
        <f t="shared" ca="1" si="7998"/>
        <v>#REF!</v>
      </c>
      <c r="DS453" s="692" t="str">
        <f ca="1">IFERROR(VLOOKUP(INDEX(DO443:DO454,DR453),WSM,2,FALSE),"----")</f>
        <v>----</v>
      </c>
      <c r="DT453" s="691" t="e">
        <f t="shared" ca="1" si="7999"/>
        <v>#N/A</v>
      </c>
      <c r="DU453" s="4" t="e">
        <f ca="1">IF(AND(INDEX(STM,DT453,4)&gt;=$AB449,INDEX(STM,DT453,5)&gt;=$S443,INDEX(STM,DT453,6)&gt;=$R443),1,0)</f>
        <v>#N/A</v>
      </c>
      <c r="DV453" s="4" t="e">
        <f t="shared" ref="DV453" ca="1" si="8143">MATCH(1,OFFSET(DU443:DU454,DW452,0,COUNT(DU443:DU454)-DW452),0)</f>
        <v>#REF!</v>
      </c>
      <c r="DW453" s="4" t="e">
        <f t="shared" ca="1" si="8001"/>
        <v>#REF!</v>
      </c>
      <c r="DX453" s="692" t="str">
        <f ca="1">IFERROR(VLOOKUP(INDEX(DT443:DT454,DW453),STM,2,FALSE),"----")</f>
        <v>----</v>
      </c>
      <c r="DY453" s="691" t="e">
        <f t="shared" ca="1" si="8002"/>
        <v>#N/A</v>
      </c>
      <c r="DZ453" s="4" t="e">
        <f ca="1">IF(AND(INDEX(ELM,DY453,4)&gt;=$AB449,INDEX(ELM,DY453,5)&gt;=$S443,INDEX(ELM,DY453,6)&gt;=$R443),1,0)</f>
        <v>#N/A</v>
      </c>
      <c r="EA453" s="4" t="e">
        <f t="shared" ref="EA453" ca="1" si="8144">MATCH(1,OFFSET(DZ443:DZ454,EB452,0,COUNT(DZ443:DZ454)-EB452),0)</f>
        <v>#REF!</v>
      </c>
      <c r="EB453" s="4" t="e">
        <f t="shared" ca="1" si="8004"/>
        <v>#REF!</v>
      </c>
      <c r="EC453" s="692" t="str">
        <f ca="1">IFERROR(VLOOKUP(INDEX(DY443:DY454,EB453),ELM,2,FALSE),"----")</f>
        <v>----</v>
      </c>
      <c r="ED453" s="691" t="e">
        <f t="shared" ca="1" si="8005"/>
        <v>#N/A</v>
      </c>
      <c r="EE453" s="4" t="e">
        <f ca="1">IF(LEFT($J443,7)="Clad Wo",IF(AND(INDEX(SPPWS,ED453,4)&gt;=$AB449,INDEX(SPPWS,ED453,5)&gt;=$S443,INDEX(SPPWS,ED453,6)&gt;=$R443),1,0),IF(AND(INDEX(SPM,ED453,4)&gt;=$AB449,INDEX(SPM,ED453,5)&gt;=$S443,INDEX(SPM,ED453,6)&gt;=$R443),1,0))</f>
        <v>#N/A</v>
      </c>
      <c r="EF453" s="4" t="e">
        <f t="shared" ref="EF453" ca="1" si="8145">MATCH(1,OFFSET(EE443:EE454,EG452,0,COUNT(EE443:EE454)-EG452),0)</f>
        <v>#REF!</v>
      </c>
      <c r="EG453" s="4" t="e">
        <f t="shared" ca="1" si="8007"/>
        <v>#REF!</v>
      </c>
      <c r="EH453" s="692" t="str">
        <f ca="1">IF(LEFT($J443,7)="Clad Wo",IFERROR(VLOOKUP(INDEX(ED443:ED454,EG453),SPPWS,2,FALSE),"----"),IFERROR(VLOOKUP(INDEX(ED443:ED454,EG453),SPM,2,FALSE),"----"))</f>
        <v>----</v>
      </c>
    </row>
    <row r="454" spans="1:138" ht="15" customHeight="1" thickBot="1" x14ac:dyDescent="0.3">
      <c r="A454" s="1085"/>
      <c r="B454" s="928"/>
      <c r="C454" s="929"/>
      <c r="D454" s="930"/>
      <c r="E454" s="998"/>
      <c r="F454" s="999"/>
      <c r="G454" s="1000"/>
      <c r="H454" s="1063"/>
      <c r="I454" s="991"/>
      <c r="J454" s="904"/>
      <c r="K454" s="905"/>
      <c r="L454" s="1003"/>
      <c r="M454" s="1065"/>
      <c r="N454" s="1043"/>
      <c r="O454" s="1019"/>
      <c r="P454" s="988"/>
      <c r="Q454" s="1016"/>
      <c r="R454" s="1013"/>
      <c r="S454" s="1008"/>
      <c r="T454" s="1009"/>
      <c r="U454" s="879"/>
      <c r="V454" s="882"/>
      <c r="W454" s="885"/>
      <c r="X454" s="885"/>
      <c r="Y454" s="888"/>
      <c r="Z454" s="888"/>
      <c r="AA454" s="888"/>
      <c r="AB454" s="1082"/>
      <c r="AC454" s="1087"/>
      <c r="AD454" s="1098" t="str">
        <f t="shared" ref="AD454" si="8146">IF(LEFT(J443,7)="Clad Wo","Pella Wood Spr / Steel Pte","Steel Plate")</f>
        <v>Steel Plate</v>
      </c>
      <c r="AE454" s="1099"/>
      <c r="AF454" s="1096"/>
      <c r="AG454" s="1097"/>
      <c r="AH454" s="1097"/>
      <c r="AI454" s="1094"/>
      <c r="AJ454" s="1095"/>
      <c r="AK454" s="163" t="str">
        <f t="shared" ca="1" si="7482"/>
        <v/>
      </c>
      <c r="AL454" s="1060"/>
      <c r="AM454" s="345" t="str">
        <f ca="1">IFERROR(Q443/12*ROUND(VLOOKUP(AF454,OFFSET(SPM,0,1),6,FALSE),2),"")</f>
        <v/>
      </c>
      <c r="AN454" t="str">
        <f t="shared" ca="1" si="7532"/>
        <v/>
      </c>
      <c r="AP454" s="699" t="str">
        <f t="shared" ref="AP454" si="8147">_xlfn.CONCAT(AR454,AS454)</f>
        <v/>
      </c>
      <c r="AQ454" s="700" t="str">
        <f t="shared" si="7698"/>
        <v/>
      </c>
      <c r="AR454" s="160" t="str">
        <f t="shared" si="7457"/>
        <v/>
      </c>
      <c r="AS454" s="160" t="str">
        <f>IFERROR(VLOOKUP(J451, WallType,2,FALSE),"")</f>
        <v/>
      </c>
      <c r="AT454" s="707" t="str">
        <f>AL449</f>
        <v/>
      </c>
      <c r="AU454" s="708" t="e">
        <f t="shared" ca="1" si="7724"/>
        <v>#REF!</v>
      </c>
      <c r="AV454" s="709" t="str">
        <f ca="1">IFERROR(VLOOKUP(AU454,INDIRECT(AQ443),2,FALSE),"----")</f>
        <v>----</v>
      </c>
      <c r="AW454" s="710" t="e">
        <f t="shared" ca="1" si="7725"/>
        <v>#REF!</v>
      </c>
      <c r="AX454" s="709" t="str">
        <f ca="1">IFERROR(VLOOKUP(AW454,INDIRECT(AQ444),2,FALSE),"----")</f>
        <v>----</v>
      </c>
      <c r="AY454" s="710" t="e">
        <f t="shared" ca="1" si="7644"/>
        <v>#REF!</v>
      </c>
      <c r="AZ454" s="709" t="str">
        <f ca="1">IFERROR(VLOOKUP(AY454,INDIRECT(AQ445),2,FALSE),"----")</f>
        <v>----</v>
      </c>
      <c r="BA454" s="710" t="e">
        <f t="shared" ca="1" si="7645"/>
        <v>#REF!</v>
      </c>
      <c r="BB454" s="709" t="str">
        <f ca="1">IFERROR(VLOOKUP(BA454,INDIRECT(AQ446),2,FALSE),"----")</f>
        <v>----</v>
      </c>
      <c r="BC454" s="710" t="e">
        <f t="shared" ca="1" si="7728"/>
        <v>#REF!</v>
      </c>
      <c r="BD454" s="709" t="str">
        <f ca="1">IFERROR(VLOOKUP(BC454,INDIRECT(AQ447),2,FALSE),"----")</f>
        <v>----</v>
      </c>
      <c r="BE454" s="710" t="e">
        <f t="shared" ca="1" si="7729"/>
        <v>#REF!</v>
      </c>
      <c r="BF454" s="709" t="str">
        <f ca="1">IFERROR(VLOOKUP(BE454,INDIRECT(AQ448),2,FALSE),"----")</f>
        <v>----</v>
      </c>
      <c r="BG454" s="710" t="e">
        <f t="shared" ca="1" si="7730"/>
        <v>#REF!</v>
      </c>
      <c r="BH454" s="711" t="str">
        <f ca="1">IFERROR(VLOOKUP(BG454,INDIRECT(AQ449),2,FALSE),"----")</f>
        <v>----</v>
      </c>
      <c r="BI454" s="710" t="e">
        <f t="shared" ca="1" si="7731"/>
        <v>#REF!</v>
      </c>
      <c r="BJ454" s="711" t="str">
        <f ca="1">IFERROR(VLOOKUP(BI454,INDIRECT(AQ450),2,FALSE),"----")</f>
        <v>----</v>
      </c>
      <c r="BK454" s="710" t="e">
        <f t="shared" ca="1" si="7732"/>
        <v>#REF!</v>
      </c>
      <c r="BL454" s="711" t="str">
        <f ca="1">IFERROR(VLOOKUP(BK454,INDIRECT(AQ451),2,FALSE),"----")</f>
        <v>----</v>
      </c>
      <c r="BM454" s="710" t="e">
        <f t="shared" ca="1" si="7733"/>
        <v>#REF!</v>
      </c>
      <c r="BN454" s="711" t="str">
        <f ca="1">IFERROR(VLOOKUP(BM454,INDIRECT(AQ452),2,FALSE),"----")</f>
        <v>----</v>
      </c>
      <c r="BO454" s="710" t="e">
        <f t="shared" ca="1" si="7734"/>
        <v>#REF!</v>
      </c>
      <c r="BP454" s="711" t="str">
        <f ca="1">IFERROR(VLOOKUP(BO454,INDIRECT(AQ453),2,FALSE),"----")</f>
        <v>----</v>
      </c>
      <c r="BQ454" s="710" t="e">
        <f t="shared" ca="1" si="7735"/>
        <v>#REF!</v>
      </c>
      <c r="BR454" s="712" t="str">
        <f ca="1">IFERROR(VLOOKUP(BQ454,INDIRECT(AQ454),2,FALSE),"----")</f>
        <v>----</v>
      </c>
      <c r="BS454" s="695">
        <f>IF(AI454="",1,IF(COUNTIF(BR443:BR454,AI454)=0,2,1))</f>
        <v>1</v>
      </c>
      <c r="BT454" s="713">
        <f>IF(AF454="",1,IF(BR443=".",2,1))</f>
        <v>1</v>
      </c>
      <c r="BV454" s="155">
        <f ca="1">IF(COUNTIF(EH443:EH454,AF454)=0,IF(AF454&lt;&gt;"",0,1),1)</f>
        <v>1</v>
      </c>
      <c r="BW454" s="157">
        <f ca="1">IFERROR(MATCH(AF454,EH443:EH454,0),1)</f>
        <v>1</v>
      </c>
      <c r="BX454" s="718"/>
      <c r="BY454" s="777"/>
      <c r="BZ454" s="1110"/>
      <c r="CA454" s="714" t="e">
        <f t="shared" ca="1" si="7972"/>
        <v>#REF!</v>
      </c>
      <c r="CB454" s="715" t="e" cm="1">
        <f t="array" aca="1" ref="CB454" ca="1">IF(AND(INDEX(INDIRECT(BY443),CA454,4)&gt;=$AB443,INDEX(INDIRECT(BY443),CA454,5)&gt;=$S443,INDEX(INDIRECT(BY443),CA454,6)&gt;=$R443),1,0)</f>
        <v>#REF!</v>
      </c>
      <c r="CC454" s="715" t="e">
        <f t="shared" ref="CC454" ca="1" si="8148">MATCH(1,OFFSET(CB443:CB454,CD453,0,COUNT(CB443:CB454)-CD453),0)</f>
        <v>#REF!</v>
      </c>
      <c r="CD454" s="715" t="e">
        <f t="shared" ca="1" si="7974"/>
        <v>#REF!</v>
      </c>
      <c r="CE454" s="716" t="str" cm="1">
        <f t="array" aca="1" ref="CE454" ca="1">IFERROR(VLOOKUP(INDEX(CA443:CA454,CD454),INDIRECT(BY443),2,FALSE),"----")</f>
        <v>----</v>
      </c>
      <c r="CF454" s="714" t="e">
        <f t="shared" ca="1" si="7975"/>
        <v>#N/A</v>
      </c>
      <c r="CG454" s="715" t="e">
        <f ca="1">IF(AND(INDEX(SSM,CF454,4)&gt;=$AB443,INDEX(SSM,CF454,5)&gt;=$S443,INDEX(SSM,CF454,6)&gt;=$R443),1,0)</f>
        <v>#N/A</v>
      </c>
      <c r="CH454" s="715" t="e">
        <f t="shared" ref="CH454" ca="1" si="8149">MATCH(1,OFFSET(CG443:CG454,CI453,0,COUNT(CG443:CG454)-CI453),0)</f>
        <v>#REF!</v>
      </c>
      <c r="CI454" s="715" t="e">
        <f t="shared" ca="1" si="7977"/>
        <v>#REF!</v>
      </c>
      <c r="CJ454" s="716" t="str">
        <f ca="1">IFERROR(IF(AD444="Nested Steel Stud (wood infill)",VLOOKUP(INDEX(CF443:CF454,CI454),SSW,2,FALSE),VLOOKUP(INDEX(CF443:CF454,CI454),SSM,2,FALSE)),"----")</f>
        <v>----</v>
      </c>
      <c r="CK454" s="714" t="e">
        <f t="shared" ca="1" si="7978"/>
        <v>#N/A</v>
      </c>
      <c r="CL454" s="715" t="e">
        <f ca="1">IF(AND(INDEX(WSM,CK454,4)&gt;=$AB443,INDEX(WSM,CK454,5)&gt;=$S443,INDEX(WSM,CK454,6)&gt;=$R443),1,0)</f>
        <v>#N/A</v>
      </c>
      <c r="CM454" s="715" t="e">
        <f t="shared" ref="CM454" ca="1" si="8150">MATCH(1,OFFSET(CL443:CL454,CN453,0,COUNT(CL443:CL454)-CN453),0)</f>
        <v>#REF!</v>
      </c>
      <c r="CN454" s="715" t="e">
        <f t="shared" ca="1" si="7980"/>
        <v>#REF!</v>
      </c>
      <c r="CO454" s="716" t="str">
        <f ca="1">IFERROR(VLOOKUP(INDEX(CK443:CK454,CN454),WSM,2,FALSE),"----")</f>
        <v>----</v>
      </c>
      <c r="CP454" s="714" t="e">
        <f t="shared" ca="1" si="7981"/>
        <v>#N/A</v>
      </c>
      <c r="CQ454" s="715" t="e">
        <f ca="1">IF(AND(INDEX(STM,CP454,4)&gt;=$AB443,INDEX(STM,CP454,5)&gt;=$S443,INDEX(STM,CP454,6)&gt;=$R443),1,0)</f>
        <v>#N/A</v>
      </c>
      <c r="CR454" s="715" t="e">
        <f t="shared" ref="CR454" ca="1" si="8151">MATCH(1,OFFSET(CQ443:CQ454,CS453,0,COUNT(CQ443:CQ454)-CS453),0)</f>
        <v>#REF!</v>
      </c>
      <c r="CS454" s="715" t="e">
        <f t="shared" ca="1" si="7983"/>
        <v>#REF!</v>
      </c>
      <c r="CT454" s="716" t="str">
        <f ca="1">IFERROR(VLOOKUP(INDEX(CP443:CP454,CS454),STM,2,FALSE),"----")</f>
        <v>----</v>
      </c>
      <c r="CU454" s="714" t="e">
        <f t="shared" ca="1" si="7984"/>
        <v>#N/A</v>
      </c>
      <c r="CV454" s="715" t="e">
        <f ca="1">IF(AND(INDEX(ELM,CU454,4)&gt;=$AB443,INDEX(ELM,CU454,5)&gt;=$S443,INDEX(ELM,CU454,6)&gt;=$R443),1,0)</f>
        <v>#N/A</v>
      </c>
      <c r="CW454" s="715" t="e">
        <f t="shared" ref="CW454" ca="1" si="8152">MATCH(1,OFFSET(CV443:CV454,CX453,0,COUNT(CV443:CV454)-CX453),0)</f>
        <v>#REF!</v>
      </c>
      <c r="CX454" s="715" t="e">
        <f t="shared" ca="1" si="7986"/>
        <v>#REF!</v>
      </c>
      <c r="CY454" s="716" t="str">
        <f ca="1">IFERROR(VLOOKUP(INDEX(CU443:CU454,CX454),ELM,2,FALSE),"----")</f>
        <v>----</v>
      </c>
      <c r="CZ454" s="714" t="e">
        <f t="shared" ca="1" si="7987"/>
        <v>#N/A</v>
      </c>
      <c r="DA454" s="715" t="e">
        <f ca="1">IF(LEFT($J443,7)="Clad Wo",IF(AND(INDEX(SPPWS,CZ454,4)&gt;=$AB443,INDEX(SPPWS,CZ454,5)&gt;=$S443,INDEX(SPPWS,CZ454,6)&gt;=$R443),1,0),IF(AND(INDEX(SPM,CZ454,4)&gt;=$AB443,INDEX(SPM,CZ454,5)&gt;=$S443,INDEX(SPM,CZ454,6)&gt;=$R443),1,0))</f>
        <v>#N/A</v>
      </c>
      <c r="DB454" s="715" t="e">
        <f t="shared" ref="DB454" ca="1" si="8153">MATCH(1,OFFSET(DA443:DA454,DC453,0,COUNT(DA443:DA454)-DC453),0)</f>
        <v>#REF!</v>
      </c>
      <c r="DC454" s="715" t="e">
        <f t="shared" ca="1" si="7989"/>
        <v>#REF!</v>
      </c>
      <c r="DD454" s="717" t="str">
        <f ca="1">IF(LEFT($J443,7)="Clad Wo",IFERROR(VLOOKUP(INDEX(CZ443:CZ454,DC454),SPPWS,2,FALSE),"----"),IFERROR(VLOOKUP(INDEX(CZ443:CZ454,DC454),SPM,2,FALSE),"----"))</f>
        <v>----</v>
      </c>
      <c r="DE454" s="714" t="e">
        <f t="shared" ca="1" si="7990"/>
        <v>#REF!</v>
      </c>
      <c r="DF454" s="715" t="e" cm="1">
        <f t="array" aca="1" ref="DF454" ca="1">IF(AND(INDEX(INDIRECT(BY443),DE454,4)&gt;=$AB449,INDEX(INDIRECT(BY443),DE454,5)&gt;=$S443,INDEX(INDIRECT(BY443),DE454,6)&gt;=$R443),1,0)</f>
        <v>#REF!</v>
      </c>
      <c r="DG454" s="715" t="e">
        <f t="shared" ref="DG454" ca="1" si="8154">MATCH(1,OFFSET(DF443:DF454,DH453,0,COUNT(DF443:DF454)-DH453),0)</f>
        <v>#REF!</v>
      </c>
      <c r="DH454" s="715" t="e">
        <f t="shared" ca="1" si="7992"/>
        <v>#REF!</v>
      </c>
      <c r="DI454" s="716" t="str" cm="1">
        <f t="array" aca="1" ref="DI454" ca="1">IFERROR(VLOOKUP(INDEX(DE443:DE454,DH454),INDIRECT(BY443),2,FALSE),"----")</f>
        <v>----</v>
      </c>
      <c r="DJ454" s="714" t="e">
        <f t="shared" ca="1" si="7993"/>
        <v>#N/A</v>
      </c>
      <c r="DK454" s="715" t="e">
        <f ca="1">IF(AND(INDEX(SSM,DJ454,4)&gt;=$AB449,INDEX(SSM,DJ454,5)&gt;=$S443,INDEX(SSM,DJ454,6)&gt;=$R443),1,0)</f>
        <v>#N/A</v>
      </c>
      <c r="DL454" s="715" t="e">
        <f t="shared" ref="DL454" ca="1" si="8155">MATCH(1,OFFSET(DK443:DK454,DM453,0,COUNT(DK443:DK454)-DM453),0)</f>
        <v>#REF!</v>
      </c>
      <c r="DM454" s="715" t="e">
        <f t="shared" ca="1" si="7995"/>
        <v>#REF!</v>
      </c>
      <c r="DN454" s="716" t="str">
        <f ca="1">IFERROR(IF(AD450="Nested Steel Stud (wood infill)",VLOOKUP(INDEX(DJ443:DJ454,DM454),SSW,2,FALSE),VLOOKUP(INDEX(DJ443:DJ454,DM454),SSM,2,FALSE)),"----")</f>
        <v>----</v>
      </c>
      <c r="DO454" s="714" t="e">
        <f t="shared" ca="1" si="7996"/>
        <v>#N/A</v>
      </c>
      <c r="DP454" s="715" t="e">
        <f ca="1">IF(AND(INDEX(WSM,DO454,4)&gt;=$AB449,INDEX(WSM,DO454,5)&gt;=$S443,INDEX(WSM,DO454,6)&gt;=$R443),1,0)</f>
        <v>#N/A</v>
      </c>
      <c r="DQ454" s="715" t="e">
        <f t="shared" ref="DQ454" ca="1" si="8156">MATCH(1,OFFSET(DP443:DP454,DR453,0,COUNT(DP443:DP454)-DR453),0)</f>
        <v>#REF!</v>
      </c>
      <c r="DR454" s="715" t="e">
        <f t="shared" ca="1" si="7998"/>
        <v>#REF!</v>
      </c>
      <c r="DS454" s="716" t="str">
        <f ca="1">IFERROR(VLOOKUP(INDEX(DO443:DO454,DR454),WSM,2,FALSE),"----")</f>
        <v>----</v>
      </c>
      <c r="DT454" s="714" t="e">
        <f t="shared" ca="1" si="7999"/>
        <v>#N/A</v>
      </c>
      <c r="DU454" s="715" t="e">
        <f ca="1">IF(AND(INDEX(STM,DT454,4)&gt;=$AB449,INDEX(STM,DT454,5)&gt;=$S443,INDEX(STM,DT454,6)&gt;=$R443),1,0)</f>
        <v>#N/A</v>
      </c>
      <c r="DV454" s="715" t="e">
        <f t="shared" ref="DV454" ca="1" si="8157">MATCH(1,OFFSET(DU443:DU454,DW453,0,COUNT(DU443:DU454)-DW453),0)</f>
        <v>#REF!</v>
      </c>
      <c r="DW454" s="715" t="e">
        <f t="shared" ca="1" si="8001"/>
        <v>#REF!</v>
      </c>
      <c r="DX454" s="716" t="str">
        <f ca="1">IFERROR(VLOOKUP(INDEX(DT443:DT454,DW454),STM,2,FALSE),"----")</f>
        <v>----</v>
      </c>
      <c r="DY454" s="714" t="e">
        <f t="shared" ca="1" si="8002"/>
        <v>#N/A</v>
      </c>
      <c r="DZ454" s="715" t="e">
        <f ca="1">IF(AND(INDEX(ELM,DY454,4)&gt;=$AB449,INDEX(ELM,DY454,5)&gt;=$S443,INDEX(ELM,DY454,6)&gt;=$R443),1,0)</f>
        <v>#N/A</v>
      </c>
      <c r="EA454" s="715" t="e">
        <f t="shared" ref="EA454" ca="1" si="8158">MATCH(1,OFFSET(DZ443:DZ454,EB453,0,COUNT(DZ443:DZ454)-EB453),0)</f>
        <v>#REF!</v>
      </c>
      <c r="EB454" s="715" t="e">
        <f t="shared" ca="1" si="8004"/>
        <v>#REF!</v>
      </c>
      <c r="EC454" s="716" t="str">
        <f ca="1">IFERROR(VLOOKUP(INDEX(DY443:DY454,EB454),ELM,2,FALSE),"----")</f>
        <v>----</v>
      </c>
      <c r="ED454" s="714" t="e">
        <f t="shared" ca="1" si="8005"/>
        <v>#N/A</v>
      </c>
      <c r="EE454" s="715" t="e">
        <f ca="1">IF(LEFT($J443,7)="Clad Wo",IF(AND(INDEX(SPPWS,ED454,4)&gt;=$AB449,INDEX(SPPWS,ED454,5)&gt;=$S443,INDEX(SPPWS,ED454,6)&gt;=$R443),1,0),IF(AND(INDEX(SPM,ED454,4)&gt;=$AB449,INDEX(SPM,ED454,5)&gt;=$S443,INDEX(SPM,ED454,6)&gt;=$R443),1,0))</f>
        <v>#N/A</v>
      </c>
      <c r="EF454" s="715" t="e">
        <f t="shared" ref="EF454" ca="1" si="8159">MATCH(1,OFFSET(EE443:EE454,EG453,0,COUNT(EE443:EE454)-EG453),0)</f>
        <v>#REF!</v>
      </c>
      <c r="EG454" s="715" t="e">
        <f t="shared" ca="1" si="8007"/>
        <v>#REF!</v>
      </c>
      <c r="EH454" s="716" t="str">
        <f ca="1">IF(LEFT($J443,7)="Clad Wo",IFERROR(VLOOKUP(INDEX(ED443:ED454,EG454),SPPWS,2,FALSE),"----"),IFERROR(VLOOKUP(INDEX(ED443:ED454,EG454),SPM,2,FALSE),"----"))</f>
        <v>----</v>
      </c>
    </row>
    <row r="455" spans="1:138" ht="15" customHeight="1" thickTop="1" x14ac:dyDescent="0.25">
      <c r="A455" s="1085"/>
      <c r="B455" s="931" t="s">
        <v>92</v>
      </c>
      <c r="C455" s="932"/>
      <c r="D455" s="933"/>
      <c r="E455" s="992"/>
      <c r="F455" s="993"/>
      <c r="G455" s="994"/>
      <c r="H455" s="1061"/>
      <c r="I455" s="989"/>
      <c r="J455" s="906"/>
      <c r="K455" s="907"/>
      <c r="L455" s="1001">
        <f>$W$3</f>
        <v>4</v>
      </c>
      <c r="M455" s="923" t="str">
        <f t="shared" ref="M455" si="8160">IFERROR(IF($AE$13="",IF($AG$19="Wind Loading",MIN($V$31,IF(E$11="ASCE 7-05",$U$26,$V$7)*$V$9*(IF($E$12&lt;60,0.0771*LN(MAX(MIN(500,O455),10)) -1.2737,IF($E$11="ASCE 7-22",0.0524*LN(MAX(MIN(500,O455),50))-1.0278,0.0614*LN(MAX(MIN(500,O455),20)) -1.0829))-$V$8)),$V$7*IF(E$12&lt;60,$V$13*($V$15*0.0771*LN(MAX(MIN(500,O455),10))-1.2737-$V$16),$V$13*$V$15*((0.0524*LN(MAX(MIN(500,O455),20))-1.0278)-$V$16))),-ABS($AE$13)),"")</f>
        <v/>
      </c>
      <c r="N455" s="1042" t="str">
        <f t="shared" ref="N455" si="8161">IFERROR(IF($AE$15="",IF($AG$19="Wind Loading",MAX($U$31,IF(E$11="ASCE 7-05",$U$26,$V$7)*$V$9*((IF($E$12&lt;60,-0.077*LN(MAX(MIN(500,O455),10))+1.1737,IF($E$11="ASCE 7-22",-0.077*LN(MAX(MIN(500,O455),20))+1.0798,-0.093*LN(MAX(MIN(500,O455),20))+1.1776)))+$V$8)),$V$7*IF(E$12&lt;60,$V$13*($V$15*(-0.077*LN(MAX(MIN(500,O455),10))+1.1737)-$V$17),$V$13*$V$15*((-0.077*LN(MAX(MIN(500,O455),20))+1.0798)-$V$17))),ABS($AE$15)),"")</f>
        <v/>
      </c>
      <c r="O455" s="1017" t="str">
        <f>IF(BX462=0,"",IF(AG$14="Trapezoidal",BY462,BX462))</f>
        <v/>
      </c>
      <c r="P455" s="986"/>
      <c r="Q455" s="1014"/>
      <c r="R455" s="1011">
        <f>P455*Q455/8</f>
        <v>0</v>
      </c>
      <c r="S455" s="1004">
        <f t="shared" ref="S455" si="8162">IF(5*(P455*Q455^3/(384*0.125))=0,0,5*(P455*Q455^3/(384*0.125)))</f>
        <v>0</v>
      </c>
      <c r="T455" s="1005"/>
      <c r="U455" s="877" t="e">
        <f ca="1">VLOOKUP(J459,INDIRECT(VLOOKUP(J455,FrameStrength,2,FALSE)),3,FALSE)</f>
        <v>#N/A</v>
      </c>
      <c r="V455" s="880">
        <f t="shared" ref="V455" si="8163">(H455+I455)/2</f>
        <v>0</v>
      </c>
      <c r="W455" s="883" t="e">
        <f t="shared" ref="W455" si="8164">MAX(-M455,N455)*O455</f>
        <v>#VALUE!</v>
      </c>
      <c r="X455" s="883">
        <f t="shared" ref="X455" si="8165">IF(E455&gt;162,(E455/240+0.25),IF(AND(E455&lt;162,E455/175&lt;0.75),E455/175,0.75))</f>
        <v>0</v>
      </c>
      <c r="Y455" s="886">
        <f>IFERROR(IF(AG$14="Trapezoidal",BY463,BX463)+IF($E$17="4",(400*E455^3)/(48*X455),0),0)</f>
        <v>0</v>
      </c>
      <c r="Z455" s="886" t="e">
        <f t="shared" ref="Z455" si="8166">+($V455*MAX(-$M455,$N455)*$E455^2)/(144*8)+IF($E$17=4,(400*$E455)/4,0)</f>
        <v>#VALUE!</v>
      </c>
      <c r="AA455" s="886" t="e">
        <f ca="1">VLOOKUP(J459,INDIRECT(VLOOKUP(J455,FrameStrength,2,FALSE)),2,FALSE)</f>
        <v>#N/A</v>
      </c>
      <c r="AB455" s="1083" t="str">
        <f t="shared" ref="AB455" ca="1" si="8167">IFERROR(Z455-AA455,"")</f>
        <v/>
      </c>
      <c r="AC455" s="1077" t="str">
        <f t="shared" ref="AC455" ca="1" si="8168">IFERROR(Y455-U455,"")</f>
        <v/>
      </c>
      <c r="AD455" s="1100" t="str">
        <f>IFERROR(IF(LEFT(J459,2)="As",VLOOKUP(J459,EIMM,4,FALSE),VLOOKUP(J455,EIMM,4,FALSE)),IF(AND(ISNUMBER(SEARCH("Impervia",J455)),ISNUMBER(SEARCH("door",J459))),'New Lookup Cells'!AF$10,IF(ISNUMBER(SEARCH("Impervia",J455)),'New Lookup Cells'!AF$7,IF(AND(ISNUMBER(SEARCH("250",J455)),ISNUMBER(SEARCH("door",J459))),'New Lookup Cells'!AF$14,IF(ISNUMBER(SEARCH("250",J455)),'New Lookup Cells'!AF$13,"")))))</f>
        <v/>
      </c>
      <c r="AE455" s="1101"/>
      <c r="AF455" s="1050"/>
      <c r="AG455" s="1051"/>
      <c r="AH455" s="1051"/>
      <c r="AI455" s="1088"/>
      <c r="AJ455" s="1089"/>
      <c r="AK455" s="154" t="str">
        <f t="shared" ca="1" si="7482"/>
        <v/>
      </c>
      <c r="AL455" s="1038" t="str">
        <f t="shared" ref="AL455" si="8169">IFERROR(ROUND(SQRT(P455^2+(W455/2+IF($E$17=4,200,0))^2),0),"")</f>
        <v/>
      </c>
      <c r="AM455" s="342" t="s">
        <v>669</v>
      </c>
      <c r="AN455" t="str">
        <f t="shared" ca="1" si="7532"/>
        <v/>
      </c>
      <c r="AP455" s="122" t="str">
        <f t="shared" ref="AP455" si="8170">_xlfn.CONCAT(AR455,AS460)</f>
        <v/>
      </c>
      <c r="AQ455" s="683" t="str">
        <f t="shared" si="7698"/>
        <v/>
      </c>
      <c r="AR455" s="96" t="str">
        <f t="shared" si="7457"/>
        <v/>
      </c>
      <c r="AS455" s="96" t="str">
        <f>IF(COUNTIF(imp_1,AF455)=1,"imp_1",IF(COUNTIF(imp_2,AF455)=1,"imp_2",IF(COUNTIF(imp_3,AF455)=1,"imp_3",IF(COUNTIF(impdoor,AF455)=1,"impdoor",""))))</f>
        <v/>
      </c>
      <c r="AT455" s="684" t="str">
        <f>AL455</f>
        <v/>
      </c>
      <c r="AU455" s="685" t="e">
        <f ca="1">MATCH(AL455,INDIRECT(AP455),-1)</f>
        <v>#REF!</v>
      </c>
      <c r="AV455" s="686" t="str">
        <f ca="1">IFERROR(VLOOKUP(AU455,INDIRECT(AQ455),2,FALSE),"----")</f>
        <v>----</v>
      </c>
      <c r="AW455" s="685" t="e">
        <f ca="1">MATCH(AL455,INDIRECT(AP456),-1)</f>
        <v>#REF!</v>
      </c>
      <c r="AX455" s="686" t="str">
        <f ca="1">IFERROR(VLOOKUP(AW455,INDIRECT(AQ456),2,FALSE),"----")</f>
        <v>----</v>
      </c>
      <c r="AY455" s="685" t="e">
        <f ca="1">MATCH(AL455,INDIRECT(AP457),-1)</f>
        <v>#REF!</v>
      </c>
      <c r="AZ455" s="686" t="str">
        <f ca="1">IFERROR(VLOOKUP(AY455,INDIRECT(AQ457),2,FALSE),"----")</f>
        <v>----</v>
      </c>
      <c r="BA455" s="685" t="e">
        <f ca="1">MATCH(AL455,INDIRECT(AP458),-1)</f>
        <v>#REF!</v>
      </c>
      <c r="BB455" s="686" t="str">
        <f ca="1">IFERROR(VLOOKUP(BA455,INDIRECT(AQ458),2,FALSE),"----")</f>
        <v>----</v>
      </c>
      <c r="BC455" s="685" t="e">
        <f ca="1">MATCH(AL455,INDIRECT(AP459),-1)</f>
        <v>#REF!</v>
      </c>
      <c r="BD455" s="686" t="str">
        <f ca="1">IFERROR(VLOOKUP(BC455,INDIRECT(AQ459),2,FALSE),"----")</f>
        <v>----</v>
      </c>
      <c r="BE455" s="685" t="e">
        <f ca="1">MATCH(AL455,INDIRECT(AP460),-1)</f>
        <v>#REF!</v>
      </c>
      <c r="BF455" s="686" t="str">
        <f ca="1">IFERROR(VLOOKUP(BE455,INDIRECT(AQ460),2,FALSE),"----")</f>
        <v>----</v>
      </c>
      <c r="BG455" s="685" t="e">
        <f ca="1">MATCH(AL461,INDIRECT(AP461),-1)</f>
        <v>#REF!</v>
      </c>
      <c r="BH455" s="686" t="str">
        <f ca="1">IFERROR(VLOOKUP(BG455,INDIRECT(AQ461),2,FALSE),"----")</f>
        <v>----</v>
      </c>
      <c r="BI455" s="685" t="e">
        <f ca="1">MATCH(AL461,INDIRECT(AP462),-1)</f>
        <v>#REF!</v>
      </c>
      <c r="BJ455" s="686" t="str">
        <f ca="1">IFERROR(VLOOKUP(BI455,INDIRECT(AQ462),2,FALSE),"----")</f>
        <v>----</v>
      </c>
      <c r="BK455" s="685" t="e">
        <f ca="1">MATCH(AL461,INDIRECT(AP463),-1)</f>
        <v>#REF!</v>
      </c>
      <c r="BL455" s="686" t="str">
        <f ca="1">IFERROR(VLOOKUP(BK455,INDIRECT(AQ463),2,FALSE),"----")</f>
        <v>----</v>
      </c>
      <c r="BM455" s="685" t="e">
        <f ca="1">MATCH(AL461,INDIRECT(AP464),-1)</f>
        <v>#REF!</v>
      </c>
      <c r="BN455" s="686" t="str">
        <f ca="1">IFERROR(VLOOKUP(BM455,INDIRECT(AQ464),2,FALSE),"----")</f>
        <v>----</v>
      </c>
      <c r="BO455" s="685" t="e">
        <f ca="1">MATCH(AL461,INDIRECT(AP465),-1)</f>
        <v>#REF!</v>
      </c>
      <c r="BP455" s="686" t="str">
        <f ca="1">IFERROR(VLOOKUP(BO455,INDIRECT(AQ465),2,FALSE),"----")</f>
        <v>----</v>
      </c>
      <c r="BQ455" s="685" t="e">
        <f ca="1">MATCH(AL461,INDIRECT(AP466),-1)</f>
        <v>#REF!</v>
      </c>
      <c r="BR455" s="686" t="str">
        <f ca="1">IFERROR(VLOOKUP(BQ455,INDIRECT(AQ466),2,FALSE),"----")</f>
        <v>----</v>
      </c>
      <c r="BS455" s="687">
        <f>IF(AI455="",1,IF(COUNTIF(AV455:AV466,AI455)=0,2,1))</f>
        <v>1</v>
      </c>
      <c r="BT455" s="688">
        <f>IF(AP455="1",1,IF(AF455="",1,IF(AV455=".",2,1)))</f>
        <v>1</v>
      </c>
      <c r="BU455" s="706"/>
      <c r="BV455" s="155">
        <f ca="1">IF(COUNTIF(CE455:CE466,AF455)=0,IF(AF455&lt;&gt;"",0,1),1)</f>
        <v>1</v>
      </c>
      <c r="BW455" s="157">
        <f ca="1">IFERROR(MATCH(AF455,CE455:CE466,0),1)</f>
        <v>1</v>
      </c>
      <c r="BX455" s="769" t="str">
        <f>IFERROR(IF(LEFT(J459,2)="As",VLOOKUP(J459,EIMM,2,FALSE),IF(AND(ISNUMBER(SEARCH("Impervia",J455)),ISNUMBER(SEARCH("door",J459))),VLOOKUP("Impervia Door",EIMM,2,FALSE),IF(AND(ISNUMBER(SEARCH("250",J455)),ISNUMBER(SEARCH("door",J459))),VLOOKUP("250 Series Door",EIMM,2,FALSE),VLOOKUP(J455,EIMM,2,FALSE)))),"")</f>
        <v/>
      </c>
      <c r="BY455" s="769" t="str">
        <f ca="1">IFERROR(VLOOKUP(BX455,OFFSET(EIMM,0,1),2,FALSE),"")</f>
        <v/>
      </c>
      <c r="BZ455" s="1110" t="e">
        <f ca="1">IF((COUNTIF(INDIRECT(SUBSTITUTE(J455," ","_")),J459))=0,IF(J459="",1,0),1)</f>
        <v>#REF!</v>
      </c>
      <c r="CA455" s="691" t="e">
        <f ca="1">MATCH(AC455,INDIRECT(BX455),-1)</f>
        <v>#REF!</v>
      </c>
      <c r="CB455" s="4" t="e" cm="1">
        <f t="array" aca="1" ref="CB455" ca="1">IF(AND(INDEX(INDIRECT(BY455),CA455,4)&gt;=$AB455,INDEX(INDIRECT(BY455),CA455,5)&gt;=$S455,INDEX(INDIRECT(BY455),CA455,6)&gt;=$R455),1,0)</f>
        <v>#REF!</v>
      </c>
      <c r="CC455" s="4" t="e">
        <f t="shared" ref="CC455" ca="1" si="8171">MATCH(1,OFFSET(CB455:CB466,$W$2,0,COUNT(CB455:CB466)-$W$2),0)</f>
        <v>#REF!</v>
      </c>
      <c r="CD455" s="4" t="e">
        <f t="shared" ref="CD455" ca="1" si="8172">$W$2+CC455</f>
        <v>#REF!</v>
      </c>
      <c r="CE455" s="692" t="str" cm="1">
        <f t="array" aca="1" ref="CE455" ca="1">IFERROR(VLOOKUP(INDEX(CA455:CA466,CD455),INDIRECT(BY455),2,FALSE),"----")</f>
        <v>----</v>
      </c>
      <c r="CF455" s="691" t="e">
        <f ca="1">MATCH($AC455,SSEI,-1)</f>
        <v>#N/A</v>
      </c>
      <c r="CG455" s="4" t="e">
        <f ca="1">IF(AND(INDEX(SSM,CF455,4)&gt;=$AB455,INDEX(SSM,CF455,5)&gt;=$S455,INDEX(SSM,CF455,6)&gt;=$R455),1,0)</f>
        <v>#N/A</v>
      </c>
      <c r="CH455" s="4" t="e">
        <f t="shared" ref="CH455" ca="1" si="8173">MATCH(1,OFFSET(CG455:CG466,$W$2,0,COUNT(CG455:CG466)-$W$2),0)</f>
        <v>#REF!</v>
      </c>
      <c r="CI455" s="4" t="e">
        <f t="shared" ref="CI455" ca="1" si="8174">$W$2+CH455</f>
        <v>#REF!</v>
      </c>
      <c r="CJ455" s="692" t="str">
        <f ca="1">IFERROR(IF(AD456="Nested Steel Stud (wood infill)",VLOOKUP(INDEX(CF455:CF466,CI455),SSW,2,FALSE),VLOOKUP(INDEX(CF455:CF466,CI455),SSM,2,FALSE)),"----")</f>
        <v>----</v>
      </c>
      <c r="CK455" s="691" t="e">
        <f ca="1">MATCH($AC455,WSEI,-1)</f>
        <v>#N/A</v>
      </c>
      <c r="CL455" s="4" t="e">
        <f ca="1">IF(AND(INDEX(WSM,CK455,4)&gt;=$AB455,INDEX(WSM,CK455,5)&gt;=$S455,INDEX(WSM,CK455,6)&gt;=$R455),1,0)</f>
        <v>#N/A</v>
      </c>
      <c r="CM455" s="4" t="e">
        <f t="shared" ref="CM455" ca="1" si="8175">MATCH(1,OFFSET(CL455:CL466,$W$2,0,COUNT(CL455:CL466)-$W$2),0)</f>
        <v>#REF!</v>
      </c>
      <c r="CN455" s="4" t="e">
        <f t="shared" ref="CN455" ca="1" si="8176">$W$2+CM455</f>
        <v>#REF!</v>
      </c>
      <c r="CO455" s="692" t="str">
        <f ca="1">IFERROR(VLOOKUP(INDEX(CK455:CK466,CN455),WSM,2,FALSE),"----")</f>
        <v>----</v>
      </c>
      <c r="CP455" s="691" t="e">
        <f ca="1">MATCH($AC455,STEI,-1)</f>
        <v>#N/A</v>
      </c>
      <c r="CQ455" s="4" t="e">
        <f ca="1">IF(AND(INDEX(STM,CP455,4)&gt;=$AB455,INDEX(STM,CP455,5)&gt;=$S455,INDEX(STM,CP455,6)&gt;=$R455),1,0)</f>
        <v>#N/A</v>
      </c>
      <c r="CR455" s="4" t="e">
        <f t="shared" ref="CR455" ca="1" si="8177">MATCH(1,OFFSET(CQ455:CQ466,$W$2,0,COUNT(CQ455:CQ466)-$W$2),0)</f>
        <v>#REF!</v>
      </c>
      <c r="CS455" s="4" t="e">
        <f t="shared" ref="CS455" ca="1" si="8178">$W$2+CR455</f>
        <v>#REF!</v>
      </c>
      <c r="CT455" s="692" t="str">
        <f ca="1">IFERROR(VLOOKUP(INDEX(CP455:CP466,CS455),STM,2,FALSE),"----")</f>
        <v>----</v>
      </c>
      <c r="CU455" s="691" t="e">
        <f ca="1">MATCH($AC455,ELEI,-1)</f>
        <v>#N/A</v>
      </c>
      <c r="CV455" s="4" t="e">
        <f ca="1">IF(AND(INDEX(ELM,CU455,4)&gt;=$AB455,INDEX(ELM,CU455,5)&gt;=$S455,INDEX(ELM,CU455,6)&gt;=$R455),1,0)</f>
        <v>#N/A</v>
      </c>
      <c r="CW455" s="4" t="e">
        <f t="shared" ref="CW455" ca="1" si="8179">MATCH(1,OFFSET(CV455:CV466,$W$2,0,COUNT(CV455:CV466)-$W$2),0)</f>
        <v>#REF!</v>
      </c>
      <c r="CX455" s="4" t="e">
        <f t="shared" ref="CX455" ca="1" si="8180">$W$2+CW455</f>
        <v>#REF!</v>
      </c>
      <c r="CY455" s="692" t="str">
        <f ca="1">IFERROR(VLOOKUP(INDEX(CU455:CU466,CX455),ELM,2,FALSE),"----")</f>
        <v>----</v>
      </c>
      <c r="CZ455" s="691" t="e">
        <f ca="1">IF(LEFT($J455,7)="Clad Wo",MATCH($AC455,SPEIW,-1),MATCH($AC455,SPEI,-1))</f>
        <v>#N/A</v>
      </c>
      <c r="DA455" s="4" t="e">
        <f ca="1">IF(LEFT($J455,7)="Clad Wo",IF(AND(INDEX(SPPWS,CZ455,4)&gt;=$AB455,INDEX(SPPWS,CZ455,5)&gt;=$S455,INDEX(SPPWS,CZ455,6)&gt;=$R455),1,0),IF(AND(INDEX(SPM,CZ455,4)&gt;=$AB455,INDEX(SPM,CZ455,5)&gt;=$S455,INDEX(SPM,CZ455,6)&gt;=$R455),1,0))</f>
        <v>#N/A</v>
      </c>
      <c r="DB455" s="4" t="e">
        <f t="shared" ref="DB455" ca="1" si="8181">MATCH(1,OFFSET(DA455:DA466,$W$2,0,COUNT(DA455:DA466)-$W$2),0)</f>
        <v>#REF!</v>
      </c>
      <c r="DC455" s="4" t="e">
        <f t="shared" ref="DC455" ca="1" si="8182">$W$2+DB455</f>
        <v>#REF!</v>
      </c>
      <c r="DD455" s="693" t="str">
        <f ca="1">IF(LEFT($J455,7)="Clad Wo",IFERROR(VLOOKUP(INDEX(CZ455:CZ466,DC455),SPPWS,2,FALSE),"----"),IFERROR(VLOOKUP(INDEX(CZ455:CZ466,DC455),SPM,2,FALSE),"----"))</f>
        <v>----</v>
      </c>
      <c r="DE455" s="691" t="e">
        <f ca="1">MATCH(AC461,INDIRECT(BX455),-1)</f>
        <v>#REF!</v>
      </c>
      <c r="DF455" s="4" t="e" cm="1">
        <f t="array" aca="1" ref="DF455" ca="1">IF(AND(INDEX(INDIRECT(BY455),DE455,4)&gt;=$AB461,INDEX(INDIRECT(BY455),DE455,5)&gt;=$S455,INDEX(INDIRECT(BY455),DE455,6)&gt;=$R455),1,0)</f>
        <v>#REF!</v>
      </c>
      <c r="DG455" s="4" t="e">
        <f t="shared" ref="DG455" ca="1" si="8183">MATCH(1,OFFSET(DF455:DF466,$W$2,0,COUNT(DF455:DF466)-$W$2),0)</f>
        <v>#REF!</v>
      </c>
      <c r="DH455" s="4" t="e">
        <f t="shared" ref="DH455" ca="1" si="8184">$W$2+DG455</f>
        <v>#REF!</v>
      </c>
      <c r="DI455" s="692" t="str" cm="1">
        <f t="array" aca="1" ref="DI455" ca="1">IFERROR(VLOOKUP(INDEX(DE455:DE466,DH455),INDIRECT(BY455),2,FALSE),"----")</f>
        <v>----</v>
      </c>
      <c r="DJ455" s="691" t="e">
        <f ca="1">MATCH($AC461,SSEI,-1)</f>
        <v>#N/A</v>
      </c>
      <c r="DK455" s="4" t="e">
        <f ca="1">IF(AND(INDEX(SSM,DJ455,4)&gt;=$AB461,INDEX(SSM,DJ455,5)&gt;=$S455,INDEX(SSM,DJ455,6)&gt;=$R455),1,0)</f>
        <v>#N/A</v>
      </c>
      <c r="DL455" s="4" t="e">
        <f t="shared" ref="DL455" ca="1" si="8185">MATCH(1,OFFSET(DK455:DK466,$W$2,0,COUNT(DK455:DK466)-$W$2),0)</f>
        <v>#REF!</v>
      </c>
      <c r="DM455" s="4" t="e">
        <f t="shared" ref="DM455" ca="1" si="8186">$W$2+DL455</f>
        <v>#REF!</v>
      </c>
      <c r="DN455" s="692" t="str">
        <f ca="1">IFERROR(IF(AD462="Nested Steel Stud (wood infill)",VLOOKUP(INDEX(DJ455:DJ466,DM455),SSW,2,FALSE),VLOOKUP(INDEX(DJ455:DJ466,DM455),SSM,2,FALSE)),"----")</f>
        <v>----</v>
      </c>
      <c r="DO455" s="691" t="e">
        <f ca="1">MATCH($AC461,WSEI,-1)</f>
        <v>#N/A</v>
      </c>
      <c r="DP455" s="4" t="e">
        <f ca="1">IF(AND(INDEX(WSM,DO455,4)&gt;=$AB461,INDEX(WSM,DO455,5)&gt;=$S455,INDEX(WSM,DO455,6)&gt;=$R455),1,0)</f>
        <v>#N/A</v>
      </c>
      <c r="DQ455" s="4" t="e">
        <f t="shared" ref="DQ455" ca="1" si="8187">MATCH(1,OFFSET(DP455:DP466,$W$2,0,COUNT(DP455:DP466)-$W$2),0)</f>
        <v>#REF!</v>
      </c>
      <c r="DR455" s="4" t="e">
        <f t="shared" ref="DR455" ca="1" si="8188">$W$2+DQ455</f>
        <v>#REF!</v>
      </c>
      <c r="DS455" s="692" t="str">
        <f ca="1">IFERROR(VLOOKUP(INDEX(DO455:DO466,DR455),WSM,2,FALSE),"----")</f>
        <v>----</v>
      </c>
      <c r="DT455" s="691" t="e">
        <f ca="1">MATCH($AC461,STEI,-1)</f>
        <v>#N/A</v>
      </c>
      <c r="DU455" s="4" t="e">
        <f ca="1">IF(AND(INDEX(STM,DT455,4)&gt;=$AB461,INDEX(STM,DT455,5)&gt;=$S455,INDEX(STM,DT455,6)&gt;=$R455),1,0)</f>
        <v>#N/A</v>
      </c>
      <c r="DV455" s="4" t="e">
        <f t="shared" ref="DV455" ca="1" si="8189">MATCH(1,OFFSET(DU455:DU466,$W$2,0,COUNT(DU455:DU466)-$W$2),0)</f>
        <v>#REF!</v>
      </c>
      <c r="DW455" s="4" t="e">
        <f t="shared" ref="DW455" ca="1" si="8190">$W$2+DV455</f>
        <v>#REF!</v>
      </c>
      <c r="DX455" s="692" t="str">
        <f ca="1">IFERROR(VLOOKUP(INDEX(DT455:DT466,DW455),STM,2,FALSE),"----")</f>
        <v>----</v>
      </c>
      <c r="DY455" s="691" t="e">
        <f ca="1">MATCH($AC461,ELEI,-1)</f>
        <v>#N/A</v>
      </c>
      <c r="DZ455" s="4" t="e">
        <f ca="1">IF(AND(INDEX(ELM,DY455,4)&gt;=$AB461,INDEX(ELM,DY455,5)&gt;=$S455,INDEX(ELM,DY455,6)&gt;=$R455),1,0)</f>
        <v>#N/A</v>
      </c>
      <c r="EA455" s="4" t="e">
        <f t="shared" ref="EA455" ca="1" si="8191">MATCH(1,OFFSET(DZ455:DZ466,$W$2,0,COUNT(DZ455:DZ466)-$W$2),0)</f>
        <v>#REF!</v>
      </c>
      <c r="EB455" s="4" t="e">
        <f t="shared" ref="EB455" ca="1" si="8192">EA455+$W$2</f>
        <v>#REF!</v>
      </c>
      <c r="EC455" s="692" t="str">
        <f ca="1">IFERROR(VLOOKUP(INDEX(DY455:DY466,EB455),ELM,2,FALSE),"----")</f>
        <v>----</v>
      </c>
      <c r="ED455" s="691" t="e">
        <f ca="1">IF(LEFT($J455,7)="Clad Wo",MATCH($AC461,SPEIW,-1),MATCH($AC461,SPEI,-1))</f>
        <v>#N/A</v>
      </c>
      <c r="EE455" s="4" t="e">
        <f ca="1">IF(LEFT($J455,7)="Clad Wo",IF(AND(INDEX(SPPWS,ED455,4)&gt;=$AB461,INDEX(SPPWS,ED455,5)&gt;=$S455,INDEX(SPPWS,ED455,6)&gt;=$R455),1,0),IF(AND(INDEX(SPM,ED455,4)&gt;=$AB461,INDEX(SPM,ED455,5)&gt;=$S455,INDEX(SPM,ED455,6)&gt;=$R455),1,0))</f>
        <v>#N/A</v>
      </c>
      <c r="EF455" s="4" t="e">
        <f t="shared" ref="EF455" ca="1" si="8193">MATCH(1,OFFSET(EE455:EE466,$W$2,0,COUNT(EE455:EE466)-$W$2),0)</f>
        <v>#REF!</v>
      </c>
      <c r="EG455" s="4" t="e">
        <f t="shared" ref="EG455" ca="1" si="8194">$W$2+EF455</f>
        <v>#REF!</v>
      </c>
      <c r="EH455" s="692" t="str">
        <f ca="1">IF(LEFT($J455,7)="Clad Wo",IFERROR(VLOOKUP(INDEX(ED455:ED466,EG455),SPPWS,2,FALSE),"----"),IFERROR(VLOOKUP(INDEX(ED455:ED466,EG455),SPM,2,FALSE),"----"))</f>
        <v>----</v>
      </c>
    </row>
    <row r="456" spans="1:138" ht="15" customHeight="1" x14ac:dyDescent="0.25">
      <c r="A456" s="1085"/>
      <c r="B456" s="925"/>
      <c r="C456" s="926"/>
      <c r="D456" s="927"/>
      <c r="E456" s="995"/>
      <c r="F456" s="996"/>
      <c r="G456" s="997"/>
      <c r="H456" s="1062"/>
      <c r="I456" s="990"/>
      <c r="J456" s="908"/>
      <c r="K456" s="909"/>
      <c r="L456" s="1002"/>
      <c r="M456" s="923"/>
      <c r="N456" s="1042"/>
      <c r="O456" s="1018"/>
      <c r="P456" s="987"/>
      <c r="Q456" s="1015"/>
      <c r="R456" s="1012"/>
      <c r="S456" s="1006"/>
      <c r="T456" s="1007"/>
      <c r="U456" s="878"/>
      <c r="V456" s="881"/>
      <c r="W456" s="884"/>
      <c r="X456" s="884"/>
      <c r="Y456" s="887"/>
      <c r="Z456" s="887"/>
      <c r="AA456" s="887"/>
      <c r="AB456" s="1081"/>
      <c r="AC456" s="1078"/>
      <c r="AD456" s="1102" t="s">
        <v>38</v>
      </c>
      <c r="AE456" s="1103"/>
      <c r="AF456" s="1052"/>
      <c r="AG456" s="1053"/>
      <c r="AH456" s="1053"/>
      <c r="AI456" s="1066"/>
      <c r="AJ456" s="1067"/>
      <c r="AK456" s="156" t="str">
        <f t="shared" ca="1" si="7482"/>
        <v/>
      </c>
      <c r="AL456" s="1039"/>
      <c r="AM456" s="343" t="str">
        <f ca="1">IFERROR(Q455/12*ROUND(VLOOKUP(AF456,OFFSET(SSM,0,1),6,FALSE),2),"")</f>
        <v/>
      </c>
      <c r="AN456" t="str">
        <f t="shared" ca="1" si="7532"/>
        <v/>
      </c>
      <c r="AP456" s="122" t="str">
        <f t="shared" ref="AP456" si="8195">_xlfn.CONCAT(AR456,AS460)</f>
        <v/>
      </c>
      <c r="AQ456" s="683" t="str">
        <f t="shared" si="7698"/>
        <v/>
      </c>
      <c r="AR456" s="96" t="str">
        <f t="shared" si="7457"/>
        <v/>
      </c>
      <c r="AS456" s="96" t="str">
        <f>IF(COUNTIF(Vista_1,AF455)=1,"Vista_1",IF(COUNTIF(Vista_2,AF455)=1,"Vista_2",""))</f>
        <v/>
      </c>
      <c r="AT456" s="684" t="str">
        <f>AL455</f>
        <v/>
      </c>
      <c r="AU456" s="694" t="e">
        <f t="shared" ref="AU456" ca="1" si="8196">AU455-1</f>
        <v>#REF!</v>
      </c>
      <c r="AV456" s="686" t="str">
        <f ca="1">IFERROR(VLOOKUP(AU456,INDIRECT(AQ455),2,FALSE),"----")</f>
        <v>----</v>
      </c>
      <c r="AW456" s="694" t="e">
        <f t="shared" ref="AW456:AW457" ca="1" si="8197">AW455-1</f>
        <v>#REF!</v>
      </c>
      <c r="AX456" s="686" t="str">
        <f ca="1">IFERROR(VLOOKUP(AW456,INDIRECT(AQ456),2,FALSE),"----")</f>
        <v>----</v>
      </c>
      <c r="AY456" s="694" t="e">
        <f t="shared" ref="AY456:AY457" ca="1" si="8198">AY455-1</f>
        <v>#REF!</v>
      </c>
      <c r="AZ456" s="686" t="str">
        <f ca="1">IFERROR(VLOOKUP(AY456,INDIRECT(AQ457),2,FALSE),"----")</f>
        <v>----</v>
      </c>
      <c r="BA456" s="694" t="e">
        <f t="shared" ref="BA456:BA457" ca="1" si="8199">BA455-1</f>
        <v>#REF!</v>
      </c>
      <c r="BB456" s="686" t="str">
        <f ca="1">IFERROR(VLOOKUP(BA456,INDIRECT(AQ458),2,FALSE),"----")</f>
        <v>----</v>
      </c>
      <c r="BC456" s="694" t="e">
        <f t="shared" ref="BC456:BC457" ca="1" si="8200">BC455-1</f>
        <v>#REF!</v>
      </c>
      <c r="BD456" s="686" t="str">
        <f ca="1">IFERROR(VLOOKUP(BC456,INDIRECT(AQ459),2,FALSE),"----")</f>
        <v>----</v>
      </c>
      <c r="BE456" s="694" t="e">
        <f t="shared" ref="BE456" ca="1" si="8201">BE455-1</f>
        <v>#REF!</v>
      </c>
      <c r="BF456" s="686" t="str">
        <f ca="1">IFERROR(VLOOKUP(BE456,INDIRECT(AQ460),2,FALSE),"----")</f>
        <v>----</v>
      </c>
      <c r="BG456" s="694" t="e">
        <f t="shared" ref="BG456" ca="1" si="8202">BG455-1</f>
        <v>#REF!</v>
      </c>
      <c r="BH456" s="686" t="str">
        <f ca="1">IFERROR(VLOOKUP(BG456,INDIRECT(AQ461),2,FALSE),"----")</f>
        <v>----</v>
      </c>
      <c r="BI456" s="694" t="e">
        <f t="shared" ref="BI456:BI457" ca="1" si="8203">BI455-1</f>
        <v>#REF!</v>
      </c>
      <c r="BJ456" s="686" t="str">
        <f ca="1">IFERROR(VLOOKUP(BI456,INDIRECT(AQ462),2,FALSE),"----")</f>
        <v>----</v>
      </c>
      <c r="BK456" s="694" t="e">
        <f t="shared" ref="BK456:BK457" ca="1" si="8204">BK455-1</f>
        <v>#REF!</v>
      </c>
      <c r="BL456" s="686" t="str">
        <f ca="1">IFERROR(VLOOKUP(BK456,INDIRECT(AQ463),2,FALSE),"----")</f>
        <v>----</v>
      </c>
      <c r="BM456" s="694" t="e">
        <f t="shared" ref="BM456:BM457" ca="1" si="8205">BM455-1</f>
        <v>#REF!</v>
      </c>
      <c r="BN456" s="686" t="str">
        <f ca="1">IFERROR(VLOOKUP(BM456,INDIRECT(AQ464),2,FALSE),"----")</f>
        <v>----</v>
      </c>
      <c r="BO456" s="694" t="e">
        <f t="shared" ref="BO456:BO457" ca="1" si="8206">BO455-1</f>
        <v>#REF!</v>
      </c>
      <c r="BP456" s="686" t="str">
        <f ca="1">IFERROR(VLOOKUP(BO456,INDIRECT(AQ465),2,FALSE),"----")</f>
        <v>----</v>
      </c>
      <c r="BQ456" s="694" t="e">
        <f t="shared" ref="BQ456" ca="1" si="8207">BQ455-1</f>
        <v>#REF!</v>
      </c>
      <c r="BR456" s="686" t="str">
        <f ca="1">IFERROR(VLOOKUP(BQ456,INDIRECT(AQ466),2,FALSE),"----")</f>
        <v>----</v>
      </c>
      <c r="BS456" s="695">
        <f>IF(AI456="",1,IF(COUNTIF(AX455:AX466,AI456)=0,2,1))</f>
        <v>1</v>
      </c>
      <c r="BT456" s="696">
        <f>IF(AF456="",1,IF(AX455=".",2,1))</f>
        <v>1</v>
      </c>
      <c r="BU456" s="706"/>
      <c r="BV456" s="155">
        <f ca="1">IF(COUNTIF(CJ455:CJ466,AF456)=0,IF(AF456&lt;&gt;"",0,1),1)</f>
        <v>1</v>
      </c>
      <c r="BW456" s="157">
        <f ca="1">IFERROR(MATCH(AF456,CJ455:CJ466,0),1)</f>
        <v>1</v>
      </c>
      <c r="BX456" s="769"/>
      <c r="BY456" s="769"/>
      <c r="BZ456" s="1110"/>
      <c r="CA456" s="691" t="e">
        <f t="shared" ref="CA456:CA466" ca="1" si="8208">CA455-1</f>
        <v>#REF!</v>
      </c>
      <c r="CB456" s="4" t="e" cm="1">
        <f t="array" aca="1" ref="CB456" ca="1">IF(AND(INDEX(INDIRECT(BY455),CA456,4)&gt;=$AB455,INDEX(INDIRECT(BY455),CA456,5)&gt;=$S455,INDEX(INDIRECT(BY455),CA456,6)&gt;=$R455),1,0)</f>
        <v>#REF!</v>
      </c>
      <c r="CC456" s="4" t="e">
        <f t="shared" ref="CC456" ca="1" si="8209">MATCH(1,OFFSET(CB455:CB466,CD455,0,COUNT(CB455:CB466)-CD455),0)</f>
        <v>#REF!</v>
      </c>
      <c r="CD456" s="4" t="e">
        <f t="shared" ref="CD456:CD466" ca="1" si="8210">CD455+CC456</f>
        <v>#REF!</v>
      </c>
      <c r="CE456" s="692" t="str" cm="1">
        <f t="array" aca="1" ref="CE456" ca="1">IFERROR(VLOOKUP(INDEX(CA455:CA466,CD456),INDIRECT(BY455),2,FALSE),"----")</f>
        <v>----</v>
      </c>
      <c r="CF456" s="691" t="e">
        <f t="shared" ref="CF456:CF466" ca="1" si="8211">CF455-1</f>
        <v>#N/A</v>
      </c>
      <c r="CG456" s="4" t="e">
        <f ca="1">IF(AND(INDEX(SSM,CF456,4)&gt;=$AB455,INDEX(SSM,CF456,5)&gt;=$S455,INDEX(SSM,CF456,6)&gt;=$R455),1,0)</f>
        <v>#N/A</v>
      </c>
      <c r="CH456" s="4" t="e">
        <f t="shared" ref="CH456" ca="1" si="8212">MATCH(1,OFFSET(CG455:CG466,CI455,0,COUNT(CG455:CG466)-CI455),0)</f>
        <v>#REF!</v>
      </c>
      <c r="CI456" s="4" t="e">
        <f t="shared" ref="CI456:CI466" ca="1" si="8213">CI455+CH456</f>
        <v>#REF!</v>
      </c>
      <c r="CJ456" s="692" t="str">
        <f ca="1">IFERROR(IF(AD456="Nested Steel Stud (wood infill)",VLOOKUP(INDEX(CF455:CF466,CI456),SSW,2,FALSE),VLOOKUP(INDEX(CF455:CF466,CI456),SSM,2,FALSE)),"----")</f>
        <v>----</v>
      </c>
      <c r="CK456" s="691" t="e">
        <f t="shared" ref="CK456:CK466" ca="1" si="8214">CK455-1</f>
        <v>#N/A</v>
      </c>
      <c r="CL456" s="4" t="e">
        <f ca="1">IF(AND(INDEX(WSM,CK456,4)&gt;=$AB455,INDEX(WSM,CK456,5)&gt;=$S455,INDEX(WSM,CK456,6)&gt;=$R455),1,0)</f>
        <v>#N/A</v>
      </c>
      <c r="CM456" s="4" t="e">
        <f t="shared" ref="CM456" ca="1" si="8215">MATCH(1,OFFSET(CL455:CL466,CN455,0,COUNT(CL455:CL466)-CN455),0)</f>
        <v>#REF!</v>
      </c>
      <c r="CN456" s="4" t="e">
        <f t="shared" ref="CN456:CN466" ca="1" si="8216">CM456+CN455</f>
        <v>#REF!</v>
      </c>
      <c r="CO456" s="692" t="str">
        <f ca="1">IFERROR(VLOOKUP(INDEX(CK455:CK466,CN456),WSM,2,FALSE),"----")</f>
        <v>----</v>
      </c>
      <c r="CP456" s="691" t="e">
        <f t="shared" ref="CP456:CP466" ca="1" si="8217">CP455-1</f>
        <v>#N/A</v>
      </c>
      <c r="CQ456" s="4" t="e">
        <f ca="1">IF(AND(INDEX(STM,CP456,4)&gt;=$AB455,INDEX(STM,CP456,5)&gt;=$S455,INDEX(STM,CP456,6)&gt;=$R455),1,0)</f>
        <v>#N/A</v>
      </c>
      <c r="CR456" s="4" t="e">
        <f t="shared" ref="CR456" ca="1" si="8218">MATCH(1,OFFSET(CQ455:CQ466,CS455,0,COUNT(CQ455:CQ466)-CS455),0)</f>
        <v>#REF!</v>
      </c>
      <c r="CS456" s="4" t="e">
        <f t="shared" ref="CS456:CS466" ca="1" si="8219">CR456+CS455</f>
        <v>#REF!</v>
      </c>
      <c r="CT456" s="692" t="str">
        <f ca="1">IFERROR(VLOOKUP(INDEX(CP455:CP466,CS456),STM,2,FALSE),"----")</f>
        <v>----</v>
      </c>
      <c r="CU456" s="691" t="e">
        <f t="shared" ref="CU456:CU466" ca="1" si="8220">CU455-1</f>
        <v>#N/A</v>
      </c>
      <c r="CV456" s="4" t="e">
        <f ca="1">IF(AND(INDEX(ELM,CU456,4)&gt;=$AB455,INDEX(ELM,CU456,5)&gt;=$S455,INDEX(ELM,CU456,6)&gt;=$R455),1,0)</f>
        <v>#N/A</v>
      </c>
      <c r="CW456" s="4" t="e">
        <f t="shared" ref="CW456" ca="1" si="8221">MATCH(1,OFFSET(CV455:CV466,CX455,0,COUNT(CV455:CV466)-CX455),0)</f>
        <v>#REF!</v>
      </c>
      <c r="CX456" s="4" t="e">
        <f t="shared" ref="CX456:CX466" ca="1" si="8222">CW456+CX455</f>
        <v>#REF!</v>
      </c>
      <c r="CY456" s="692" t="str">
        <f ca="1">IFERROR(VLOOKUP(INDEX(CU455:CU466,CX456),ELM,2,FALSE),"----")</f>
        <v>----</v>
      </c>
      <c r="CZ456" s="691" t="e">
        <f t="shared" ref="CZ456:CZ466" ca="1" si="8223">CZ455-1</f>
        <v>#N/A</v>
      </c>
      <c r="DA456" s="4" t="e">
        <f ca="1">IF(LEFT($J455,7)="Clad Wo",IF(AND(INDEX(SPPWS,CZ456,4)&gt;=$AB455,INDEX(SPPWS,CZ456,5)&gt;=$S455,INDEX(SPPWS,CZ456,6)&gt;=$R455),1,0),IF(AND(INDEX(SPM,CZ456,4)&gt;=$AB455,INDEX(SPM,CZ456,5)&gt;=$S455,INDEX(SPM,CZ456,6)&gt;=$R455),1,0))</f>
        <v>#N/A</v>
      </c>
      <c r="DB456" s="4" t="e">
        <f t="shared" ref="DB456" ca="1" si="8224">MATCH(1,OFFSET(DA455:DA466,DC455,0,COUNT(DA455:DA466)-DC455),0)</f>
        <v>#REF!</v>
      </c>
      <c r="DC456" s="4" t="e">
        <f t="shared" ref="DC456:DC466" ca="1" si="8225">DC455+DB456</f>
        <v>#REF!</v>
      </c>
      <c r="DD456" s="693" t="str">
        <f ca="1">IF(LEFT($J455,7)="Clad Wo",IFERROR(VLOOKUP(INDEX(CZ455:CZ466,DC456),SPPWS,2,FALSE),"----"),IFERROR(VLOOKUP(INDEX(CZ455:CZ466,DC456),SPM,2,FALSE),"----"))</f>
        <v>----</v>
      </c>
      <c r="DE456" s="691" t="e">
        <f t="shared" ref="DE456:DE466" ca="1" si="8226">DE455-1</f>
        <v>#REF!</v>
      </c>
      <c r="DF456" s="4" t="e" cm="1">
        <f t="array" aca="1" ref="DF456" ca="1">IF(AND(INDEX(INDIRECT(BY455),DE456,4)&gt;=$AB461,INDEX(INDIRECT(BY455),DE456,5)&gt;=$S455,INDEX(INDIRECT(BY455),DE456,6)&gt;=$R455),1,0)</f>
        <v>#REF!</v>
      </c>
      <c r="DG456" s="4" t="e">
        <f t="shared" ref="DG456" ca="1" si="8227">MATCH(1,OFFSET(DF455:DF466,DH455,0,COUNT(DF455:DF466)-DH455),0)</f>
        <v>#REF!</v>
      </c>
      <c r="DH456" s="4" t="e">
        <f t="shared" ref="DH456:DH466" ca="1" si="8228">DH455+DG456</f>
        <v>#REF!</v>
      </c>
      <c r="DI456" s="692" t="str" cm="1">
        <f t="array" aca="1" ref="DI456" ca="1">IFERROR(VLOOKUP(INDEX(DE455:DE466,DH456),INDIRECT(BY455),2,FALSE),"----")</f>
        <v>----</v>
      </c>
      <c r="DJ456" s="691" t="e">
        <f t="shared" ref="DJ456:DJ466" ca="1" si="8229">DJ455-1</f>
        <v>#N/A</v>
      </c>
      <c r="DK456" s="4" t="e">
        <f ca="1">IF(AND(INDEX(SSM,DJ456,4)&gt;=$AB461,INDEX(SSM,DJ456,5)&gt;=$S455,INDEX(SSM,DJ456,6)&gt;=$R455),1,0)</f>
        <v>#N/A</v>
      </c>
      <c r="DL456" s="4" t="e">
        <f t="shared" ref="DL456" ca="1" si="8230">MATCH(1,OFFSET(DK455:DK466,DM455,0,COUNT(DK455:DK466)-DM455),0)</f>
        <v>#REF!</v>
      </c>
      <c r="DM456" s="4" t="e">
        <f t="shared" ref="DM456:DM466" ca="1" si="8231">DL456+DM455</f>
        <v>#REF!</v>
      </c>
      <c r="DN456" s="692" t="str">
        <f ca="1">IFERROR(IF(AD462="Nested Steel Stud (wood infill)",VLOOKUP(INDEX(DJ455:DJ466,DM456),SSW,2,FALSE),VLOOKUP(INDEX(DJ455:DJ466,DM456),SSM,2,FALSE)),"----")</f>
        <v>----</v>
      </c>
      <c r="DO456" s="691" t="e">
        <f t="shared" ref="DO456:DO466" ca="1" si="8232">DO455-1</f>
        <v>#N/A</v>
      </c>
      <c r="DP456" s="4" t="e">
        <f ca="1">IF(AND(INDEX(WSM,DO456,4)&gt;=$AB461,INDEX(WSM,DO456,5)&gt;=$S455,INDEX(WSM,DO456,6)&gt;=$R455),1,0)</f>
        <v>#N/A</v>
      </c>
      <c r="DQ456" s="4" t="e">
        <f t="shared" ref="DQ456" ca="1" si="8233">MATCH(1,OFFSET(DP455:DP466,DR455,0,COUNT(DP455:DP466)-DR455),0)</f>
        <v>#REF!</v>
      </c>
      <c r="DR456" s="4" t="e">
        <f t="shared" ref="DR456:DR466" ca="1" si="8234">DQ456+DR455</f>
        <v>#REF!</v>
      </c>
      <c r="DS456" s="692" t="str">
        <f ca="1">IFERROR(VLOOKUP(INDEX(DO455:DO466,DR456),WSM,2,FALSE),"----")</f>
        <v>----</v>
      </c>
      <c r="DT456" s="691" t="e">
        <f t="shared" ref="DT456:DT466" ca="1" si="8235">DT455-1</f>
        <v>#N/A</v>
      </c>
      <c r="DU456" s="4" t="e">
        <f ca="1">IF(AND(INDEX(STM,DT456,4)&gt;=$AB461,INDEX(STM,DT456,5)&gt;=$S455,INDEX(STM,DT456,6)&gt;=$R455),1,0)</f>
        <v>#N/A</v>
      </c>
      <c r="DV456" s="4" t="e">
        <f t="shared" ref="DV456" ca="1" si="8236">MATCH(1,OFFSET(DU455:DU466,DW455,0,COUNT(DU455:DU466)-DW455),0)</f>
        <v>#REF!</v>
      </c>
      <c r="DW456" s="4" t="e">
        <f t="shared" ref="DW456:DW466" ca="1" si="8237">DV456+DW455</f>
        <v>#REF!</v>
      </c>
      <c r="DX456" s="692" t="str">
        <f ca="1">IFERROR(VLOOKUP(INDEX(DT455:DT466,DW456),STM,2,FALSE),"----")</f>
        <v>----</v>
      </c>
      <c r="DY456" s="691" t="e">
        <f t="shared" ref="DY456:DY466" ca="1" si="8238">DY455-1</f>
        <v>#N/A</v>
      </c>
      <c r="DZ456" s="4" t="e">
        <f ca="1">IF(AND(INDEX(ELM,DY456,4)&gt;=$AB461,INDEX(ELM,DY456,5)&gt;=$S455,INDEX(ELM,DY456,6)&gt;=$R455),1,0)</f>
        <v>#N/A</v>
      </c>
      <c r="EA456" s="4" t="e">
        <f t="shared" ref="EA456" ca="1" si="8239">MATCH(1,OFFSET(DZ455:DZ466,EB455,0,COUNT(DZ455:DZ466)-EB455),0)</f>
        <v>#REF!</v>
      </c>
      <c r="EB456" s="4" t="e">
        <f t="shared" ref="EB456:EB466" ca="1" si="8240">EA456+EB455</f>
        <v>#REF!</v>
      </c>
      <c r="EC456" s="692" t="str">
        <f ca="1">IFERROR(VLOOKUP(INDEX(DY455:DY466,EB456),ELM,2,FALSE),"----")</f>
        <v>----</v>
      </c>
      <c r="ED456" s="691" t="e">
        <f t="shared" ref="ED456:ED466" ca="1" si="8241">ED455-1</f>
        <v>#N/A</v>
      </c>
      <c r="EE456" s="4" t="e">
        <f ca="1">IF(LEFT($J455,7)="Clad Wo",IF(AND(INDEX(SPPWS,ED456,4)&gt;=$AB461,INDEX(SPPWS,ED456,5)&gt;=$S455,INDEX(SPPWS,ED456,6)&gt;=$R455),1,0),IF(AND(INDEX(SPM,ED456,4)&gt;=$AB461,INDEX(SPM,ED456,5)&gt;=$S455,INDEX(SPM,ED456,6)&gt;=$R455),1,0))</f>
        <v>#N/A</v>
      </c>
      <c r="EF456" s="4" t="e">
        <f t="shared" ref="EF456" ca="1" si="8242">MATCH(1,OFFSET(EE455:EE466,EG455,0,COUNT(EE455:EE466)-EG455),0)</f>
        <v>#REF!</v>
      </c>
      <c r="EG456" s="4" t="e">
        <f t="shared" ref="EG456:EG466" ca="1" si="8243">EG455+EF456</f>
        <v>#REF!</v>
      </c>
      <c r="EH456" s="692" t="str">
        <f ca="1">IF(LEFT($J455,7)="Clad Wo",IFERROR(VLOOKUP(INDEX(ED455:ED466,EG456),SPPWS,2,FALSE),"----"),IFERROR(VLOOKUP(INDEX(ED455:ED466,EG456),SPM,2,FALSE),"----"))</f>
        <v>----</v>
      </c>
    </row>
    <row r="457" spans="1:138" ht="15" customHeight="1" x14ac:dyDescent="0.25">
      <c r="A457" s="1085"/>
      <c r="B457" s="925"/>
      <c r="C457" s="926"/>
      <c r="D457" s="927"/>
      <c r="E457" s="995"/>
      <c r="F457" s="996"/>
      <c r="G457" s="997"/>
      <c r="H457" s="1062"/>
      <c r="I457" s="990"/>
      <c r="J457" s="908"/>
      <c r="K457" s="909"/>
      <c r="L457" s="1002"/>
      <c r="M457" s="923"/>
      <c r="N457" s="1042"/>
      <c r="O457" s="1018"/>
      <c r="P457" s="987"/>
      <c r="Q457" s="1015"/>
      <c r="R457" s="1012"/>
      <c r="S457" s="1006"/>
      <c r="T457" s="1007"/>
      <c r="U457" s="878"/>
      <c r="V457" s="881"/>
      <c r="W457" s="884"/>
      <c r="X457" s="884"/>
      <c r="Y457" s="887"/>
      <c r="Z457" s="887"/>
      <c r="AA457" s="887"/>
      <c r="AB457" s="1081"/>
      <c r="AC457" s="1078"/>
      <c r="AD457" s="1070" t="s">
        <v>333</v>
      </c>
      <c r="AE457" s="1071"/>
      <c r="AF457" s="1052"/>
      <c r="AG457" s="1053"/>
      <c r="AH457" s="1053"/>
      <c r="AI457" s="1066"/>
      <c r="AJ457" s="1067"/>
      <c r="AK457" s="154" t="str">
        <f t="shared" ca="1" si="7482"/>
        <v/>
      </c>
      <c r="AL457" s="1039"/>
      <c r="AM457" s="344" t="str">
        <f ca="1">IFERROR(Q455/12*ROUND(VLOOKUP(AF457,OFFSET(WSM,0,1),6,FALSE),2),"")</f>
        <v/>
      </c>
      <c r="AN457" t="str">
        <f t="shared" ca="1" si="7532"/>
        <v/>
      </c>
      <c r="AP457" s="122" t="str">
        <f t="shared" ref="AP457" si="8244">_xlfn.CONCAT(AR457,AS460)</f>
        <v/>
      </c>
      <c r="AQ457" s="683" t="str">
        <f t="shared" si="7698"/>
        <v/>
      </c>
      <c r="AR457" s="4" t="str">
        <f t="shared" si="7457"/>
        <v/>
      </c>
      <c r="AS457" s="4"/>
      <c r="AT457" s="697" t="str">
        <f>AL455</f>
        <v/>
      </c>
      <c r="AU457" s="694" t="e">
        <f t="shared" ca="1" si="7724"/>
        <v>#REF!</v>
      </c>
      <c r="AV457" s="686" t="str">
        <f ca="1">IFERROR(VLOOKUP(AU457,INDIRECT(AQ455),2,FALSE),"----")</f>
        <v>----</v>
      </c>
      <c r="AW457" s="694" t="e">
        <f t="shared" ca="1" si="8197"/>
        <v>#REF!</v>
      </c>
      <c r="AX457" s="686" t="str">
        <f ca="1">IFERROR(VLOOKUP(AW457,INDIRECT(AQ456),2,FALSE),"----")</f>
        <v>----</v>
      </c>
      <c r="AY457" s="694" t="e">
        <f t="shared" ca="1" si="8198"/>
        <v>#REF!</v>
      </c>
      <c r="AZ457" s="686" t="str">
        <f ca="1">IFERROR(VLOOKUP(AY457,INDIRECT(AQ457),2,FALSE),"----")</f>
        <v>----</v>
      </c>
      <c r="BA457" s="694" t="e">
        <f t="shared" ca="1" si="8199"/>
        <v>#REF!</v>
      </c>
      <c r="BB457" s="686" t="str">
        <f ca="1">IFERROR(VLOOKUP(BA457,INDIRECT(AQ458),2,FALSE),"----")</f>
        <v>----</v>
      </c>
      <c r="BC457" s="694" t="e">
        <f t="shared" ca="1" si="8200"/>
        <v>#REF!</v>
      </c>
      <c r="BD457" s="686" t="str">
        <f ca="1">IFERROR(VLOOKUP(BC457,INDIRECT(AQ459),2,FALSE),"----")</f>
        <v>----</v>
      </c>
      <c r="BE457" s="694" t="e">
        <f t="shared" ca="1" si="7729"/>
        <v>#REF!</v>
      </c>
      <c r="BF457" s="686" t="str">
        <f ca="1">IFERROR(VLOOKUP(BE457,INDIRECT(AQ460),2,FALSE),"----")</f>
        <v>----</v>
      </c>
      <c r="BG457" s="694" t="e">
        <f t="shared" ca="1" si="7730"/>
        <v>#REF!</v>
      </c>
      <c r="BH457" s="686" t="str">
        <f ca="1">IFERROR(VLOOKUP(BG457,INDIRECT(AQ461),2,FALSE),"----")</f>
        <v>----</v>
      </c>
      <c r="BI457" s="694" t="e">
        <f t="shared" ca="1" si="8203"/>
        <v>#REF!</v>
      </c>
      <c r="BJ457" s="686" t="str">
        <f ca="1">IFERROR(VLOOKUP(BI457,INDIRECT(AQ462),2,FALSE),"----")</f>
        <v>----</v>
      </c>
      <c r="BK457" s="694" t="e">
        <f t="shared" ca="1" si="8204"/>
        <v>#REF!</v>
      </c>
      <c r="BL457" s="686" t="str">
        <f ca="1">IFERROR(VLOOKUP(BK457,INDIRECT(AQ463),2,FALSE),"----")</f>
        <v>----</v>
      </c>
      <c r="BM457" s="694" t="e">
        <f t="shared" ca="1" si="8205"/>
        <v>#REF!</v>
      </c>
      <c r="BN457" s="686" t="str">
        <f ca="1">IFERROR(VLOOKUP(BM457,INDIRECT(AQ464),2,FALSE),"----")</f>
        <v>----</v>
      </c>
      <c r="BO457" s="694" t="e">
        <f t="shared" ca="1" si="8206"/>
        <v>#REF!</v>
      </c>
      <c r="BP457" s="686" t="str">
        <f ca="1">IFERROR(VLOOKUP(BO457,INDIRECT(AQ465),2,FALSE),"----")</f>
        <v>----</v>
      </c>
      <c r="BQ457" s="694" t="e">
        <f t="shared" ca="1" si="7735"/>
        <v>#REF!</v>
      </c>
      <c r="BR457" s="686" t="str">
        <f ca="1">IFERROR(VLOOKUP(BQ457,INDIRECT(AQ466),2,FALSE),"----")</f>
        <v>----</v>
      </c>
      <c r="BS457" s="695">
        <f>IF(AI457="",1,IF(COUNTIF(AZ455:AZ466,AI457)=0,2,1))</f>
        <v>1</v>
      </c>
      <c r="BT457" s="696">
        <f>IF(AF457="",1,IF(AZ455=".",2,1))</f>
        <v>1</v>
      </c>
      <c r="BU457" s="706"/>
      <c r="BV457" s="155">
        <f ca="1">IF(COUNTIF(CO455:CO466,AF457)=0,IF(AF457&lt;&gt;"",0,1),1)</f>
        <v>1</v>
      </c>
      <c r="BW457" s="157">
        <f ca="1">IFERROR(MATCH(AF457,CO455:CO466,0),1)</f>
        <v>1</v>
      </c>
      <c r="BX457" s="769"/>
      <c r="BY457" s="769"/>
      <c r="BZ457" s="1110"/>
      <c r="CA457" s="691" t="e">
        <f t="shared" ca="1" si="8208"/>
        <v>#REF!</v>
      </c>
      <c r="CB457" s="4" t="e" cm="1">
        <f t="array" aca="1" ref="CB457" ca="1">IF(AND(INDEX(INDIRECT(BY455),CA457,4)&gt;=$AB455,INDEX(INDIRECT(BY455),CA457,5)&gt;=$S455,INDEX(INDIRECT(BY455),CA457,6)&gt;=$R455),1,0)</f>
        <v>#REF!</v>
      </c>
      <c r="CC457" s="4" t="e">
        <f t="shared" ref="CC457" ca="1" si="8245">MATCH(1,OFFSET(CB455:CB466,CD456,0,COUNT(CB455:CB466)-CD456),0)</f>
        <v>#REF!</v>
      </c>
      <c r="CD457" s="4" t="e">
        <f t="shared" ca="1" si="8210"/>
        <v>#REF!</v>
      </c>
      <c r="CE457" s="692" t="str" cm="1">
        <f t="array" aca="1" ref="CE457" ca="1">IFERROR(VLOOKUP(INDEX(CA455:CA466,CD457),INDIRECT(BY455),2,FALSE),"----")</f>
        <v>----</v>
      </c>
      <c r="CF457" s="691" t="e">
        <f t="shared" ca="1" si="8211"/>
        <v>#N/A</v>
      </c>
      <c r="CG457" s="4" t="e">
        <f ca="1">IF(AND(INDEX(SSM,CF457,4)&gt;=$AB455,INDEX(SSM,CF457,5)&gt;=$S455,INDEX(SSM,CF457,6)&gt;=$R455),1,0)</f>
        <v>#N/A</v>
      </c>
      <c r="CH457" s="4" t="e">
        <f t="shared" ref="CH457" ca="1" si="8246">MATCH(1,OFFSET(CG455:CG466,CI456,0,COUNT(CG455:CG466)-CI456),0)</f>
        <v>#REF!</v>
      </c>
      <c r="CI457" s="4" t="e">
        <f t="shared" ca="1" si="8213"/>
        <v>#REF!</v>
      </c>
      <c r="CJ457" s="692" t="str">
        <f ca="1">IFERROR(IF(AD456="Nested Steel Stud (wood infill)",VLOOKUP(INDEX(CF455:CF466,CI457),SSW,2,FALSE),VLOOKUP(INDEX(CF455:CF466,CI457),SSM,2,FALSE)),"----")</f>
        <v>----</v>
      </c>
      <c r="CK457" s="691" t="e">
        <f t="shared" ca="1" si="8214"/>
        <v>#N/A</v>
      </c>
      <c r="CL457" s="4" t="e">
        <f ca="1">IF(AND(INDEX(WSM,CK457,4)&gt;=$AB455,INDEX(WSM,CK457,5)&gt;=$S455,INDEX(WSM,CK457,6)&gt;=$R455),1,0)</f>
        <v>#N/A</v>
      </c>
      <c r="CM457" s="4" t="e">
        <f t="shared" ref="CM457" ca="1" si="8247">MATCH(1,OFFSET(CL455:CL466,CN456,0,COUNT(CL455:CL466)-CN456),0)</f>
        <v>#REF!</v>
      </c>
      <c r="CN457" s="4" t="e">
        <f t="shared" ca="1" si="8216"/>
        <v>#REF!</v>
      </c>
      <c r="CO457" s="692" t="str">
        <f ca="1">IFERROR(VLOOKUP(INDEX(CK455:CK466,CN457),WSM,2,FALSE),"----")</f>
        <v>----</v>
      </c>
      <c r="CP457" s="691" t="e">
        <f t="shared" ca="1" si="8217"/>
        <v>#N/A</v>
      </c>
      <c r="CQ457" s="4" t="e">
        <f ca="1">IF(AND(INDEX(STM,CP457,4)&gt;=$AB455,INDEX(STM,CP457,5)&gt;=$S455,INDEX(STM,CP457,6)&gt;=$R455),1,0)</f>
        <v>#N/A</v>
      </c>
      <c r="CR457" s="4" t="e">
        <f t="shared" ref="CR457" ca="1" si="8248">MATCH(1,OFFSET(CQ455:CQ466,CS456,0,COUNT(CQ455:CQ466)-CS456),0)</f>
        <v>#REF!</v>
      </c>
      <c r="CS457" s="4" t="e">
        <f t="shared" ca="1" si="8219"/>
        <v>#REF!</v>
      </c>
      <c r="CT457" s="692" t="str">
        <f ca="1">IFERROR(VLOOKUP(INDEX(CP455:CP466,CS457),STM,2,FALSE),"----")</f>
        <v>----</v>
      </c>
      <c r="CU457" s="691" t="e">
        <f t="shared" ca="1" si="8220"/>
        <v>#N/A</v>
      </c>
      <c r="CV457" s="4" t="e">
        <f ca="1">IF(AND(INDEX(ELM,CU457,4)&gt;=$AB455,INDEX(ELM,CU457,5)&gt;=$S455,INDEX(ELM,CU457,6)&gt;=$R455),1,0)</f>
        <v>#N/A</v>
      </c>
      <c r="CW457" s="4" t="e">
        <f t="shared" ref="CW457" ca="1" si="8249">MATCH(1,OFFSET(CV455:CV466,CX456,0,COUNT(CV455:CV466)-CX456),0)</f>
        <v>#REF!</v>
      </c>
      <c r="CX457" s="4" t="e">
        <f t="shared" ca="1" si="8222"/>
        <v>#REF!</v>
      </c>
      <c r="CY457" s="692" t="str">
        <f ca="1">IFERROR(VLOOKUP(INDEX(CU455:CU466,CX457),ELM,2,FALSE),"----")</f>
        <v>----</v>
      </c>
      <c r="CZ457" s="691" t="e">
        <f t="shared" ca="1" si="8223"/>
        <v>#N/A</v>
      </c>
      <c r="DA457" s="4" t="e">
        <f ca="1">IF(LEFT($J455,7)="Clad Wo",IF(AND(INDEX(SPPWS,CZ457,4)&gt;=$AB455,INDEX(SPPWS,CZ457,5)&gt;=$S455,INDEX(SPPWS,CZ457,6)&gt;=$R455),1,0),IF(AND(INDEX(SPM,CZ457,4)&gt;=$AB455,INDEX(SPM,CZ457,5)&gt;=$S455,INDEX(SPM,CZ457,6)&gt;=$R455),1,0))</f>
        <v>#N/A</v>
      </c>
      <c r="DB457" s="4" t="e">
        <f t="shared" ref="DB457" ca="1" si="8250">MATCH(1,OFFSET(DA455:DA466,DC456,0,COUNT(DA455:DA466)-DC456),0)</f>
        <v>#REF!</v>
      </c>
      <c r="DC457" s="4" t="e">
        <f t="shared" ca="1" si="8225"/>
        <v>#REF!</v>
      </c>
      <c r="DD457" s="693" t="str">
        <f ca="1">IF(LEFT($J455,7)="Clad Wo",IFERROR(VLOOKUP(INDEX(CZ455:CZ466,DC457),SPPWS,2,FALSE),"----"),IFERROR(VLOOKUP(INDEX(CZ455:CZ466,DC457),SPM,2,FALSE),"----"))</f>
        <v>----</v>
      </c>
      <c r="DE457" s="691" t="e">
        <f t="shared" ca="1" si="8226"/>
        <v>#REF!</v>
      </c>
      <c r="DF457" s="4" t="e" cm="1">
        <f t="array" aca="1" ref="DF457" ca="1">IF(AND(INDEX(INDIRECT(BY455),DE457,4)&gt;=$AB461,INDEX(INDIRECT(BY455),DE457,5)&gt;=$S455,INDEX(INDIRECT(BY455),DE457,6)&gt;=$R455),1,0)</f>
        <v>#REF!</v>
      </c>
      <c r="DG457" s="4" t="e">
        <f t="shared" ref="DG457" ca="1" si="8251">MATCH(1,OFFSET(DF455:DF466,DH456,0,COUNT(DF455:DF466)-DH456),0)</f>
        <v>#REF!</v>
      </c>
      <c r="DH457" s="4" t="e">
        <f t="shared" ca="1" si="8228"/>
        <v>#REF!</v>
      </c>
      <c r="DI457" s="692" t="str" cm="1">
        <f t="array" aca="1" ref="DI457" ca="1">IFERROR(VLOOKUP(INDEX(DE455:DE466,DH457),INDIRECT(BY455),2,FALSE),"----")</f>
        <v>----</v>
      </c>
      <c r="DJ457" s="691" t="e">
        <f t="shared" ca="1" si="8229"/>
        <v>#N/A</v>
      </c>
      <c r="DK457" s="4" t="e">
        <f ca="1">IF(AND(INDEX(SSM,DJ457,4)&gt;=$AB461,INDEX(SSM,DJ457,5)&gt;=$S455,INDEX(SSM,DJ457,6)&gt;=$R455),1,0)</f>
        <v>#N/A</v>
      </c>
      <c r="DL457" s="4" t="e">
        <f t="shared" ref="DL457" ca="1" si="8252">MATCH(1,OFFSET(DK455:DK466,DM456,0,COUNT(DK455:DK466)-DM456),0)</f>
        <v>#REF!</v>
      </c>
      <c r="DM457" s="4" t="e">
        <f t="shared" ca="1" si="8231"/>
        <v>#REF!</v>
      </c>
      <c r="DN457" s="692" t="str">
        <f ca="1">IFERROR(IF(AD462="Nested Steel Stud (wood infill)",VLOOKUP(INDEX(DJ455:DJ466,DM457),SSW,2,FALSE),VLOOKUP(INDEX(DJ455:DJ466,DM457),SSM,2,FALSE)),"----")</f>
        <v>----</v>
      </c>
      <c r="DO457" s="691" t="e">
        <f t="shared" ca="1" si="8232"/>
        <v>#N/A</v>
      </c>
      <c r="DP457" s="4" t="e">
        <f ca="1">IF(AND(INDEX(WSM,DO457,4)&gt;=$AB461,INDEX(WSM,DO457,5)&gt;=$S455,INDEX(WSM,DO457,6)&gt;=$R455),1,0)</f>
        <v>#N/A</v>
      </c>
      <c r="DQ457" s="4" t="e">
        <f t="shared" ref="DQ457" ca="1" si="8253">MATCH(1,OFFSET(DP455:DP466,DR456,0,COUNT(DP455:DP466)-DR456),0)</f>
        <v>#REF!</v>
      </c>
      <c r="DR457" s="4" t="e">
        <f t="shared" ca="1" si="8234"/>
        <v>#REF!</v>
      </c>
      <c r="DS457" s="692" t="str">
        <f ca="1">IFERROR(VLOOKUP(INDEX(DO455:DO466,DR457),WSM,2,FALSE),"----")</f>
        <v>----</v>
      </c>
      <c r="DT457" s="691" t="e">
        <f t="shared" ca="1" si="8235"/>
        <v>#N/A</v>
      </c>
      <c r="DU457" s="4" t="e">
        <f ca="1">IF(AND(INDEX(STM,DT457,4)&gt;=$AB461,INDEX(STM,DT457,5)&gt;=$S455,INDEX(STM,DT457,6)&gt;=$R455),1,0)</f>
        <v>#N/A</v>
      </c>
      <c r="DV457" s="4" t="e">
        <f t="shared" ref="DV457" ca="1" si="8254">MATCH(1,OFFSET(DU455:DU466,DW456,0,COUNT(DU455:DU466)-DW456),0)</f>
        <v>#REF!</v>
      </c>
      <c r="DW457" s="4" t="e">
        <f t="shared" ca="1" si="8237"/>
        <v>#REF!</v>
      </c>
      <c r="DX457" s="692" t="str">
        <f ca="1">IFERROR(VLOOKUP(INDEX(DT455:DT466,DW457),STM,2,FALSE),"----")</f>
        <v>----</v>
      </c>
      <c r="DY457" s="691" t="e">
        <f t="shared" ca="1" si="8238"/>
        <v>#N/A</v>
      </c>
      <c r="DZ457" s="4" t="e">
        <f ca="1">IF(AND(INDEX(ELM,DY457,4)&gt;=$AB461,INDEX(ELM,DY457,5)&gt;=$S455,INDEX(ELM,DY457,6)&gt;=$R455),1,0)</f>
        <v>#N/A</v>
      </c>
      <c r="EA457" s="4" t="e">
        <f t="shared" ref="EA457" ca="1" si="8255">MATCH(1,OFFSET(DZ455:DZ466,EB456,0,COUNT(DZ455:DZ466)-EB456),0)</f>
        <v>#REF!</v>
      </c>
      <c r="EB457" s="4" t="e">
        <f t="shared" ca="1" si="8240"/>
        <v>#REF!</v>
      </c>
      <c r="EC457" s="692" t="str">
        <f ca="1">IFERROR(VLOOKUP(INDEX(DY455:DY466,EB457),ELM,2,FALSE),"----")</f>
        <v>----</v>
      </c>
      <c r="ED457" s="691" t="e">
        <f t="shared" ca="1" si="8241"/>
        <v>#N/A</v>
      </c>
      <c r="EE457" s="4" t="e">
        <f ca="1">IF(LEFT($J455,7)="Clad Wo",IF(AND(INDEX(SPPWS,ED457,4)&gt;=$AB461,INDEX(SPPWS,ED457,5)&gt;=$S455,INDEX(SPPWS,ED457,6)&gt;=$R455),1,0),IF(AND(INDEX(SPM,ED457,4)&gt;=$AB461,INDEX(SPM,ED457,5)&gt;=$S455,INDEX(SPM,ED457,6)&gt;=$R455),1,0))</f>
        <v>#N/A</v>
      </c>
      <c r="EF457" s="4" t="e">
        <f t="shared" ref="EF457" ca="1" si="8256">MATCH(1,OFFSET(EE455:EE466,EG456,0,COUNT(EE455:EE466)-EG456),0)</f>
        <v>#REF!</v>
      </c>
      <c r="EG457" s="4" t="e">
        <f t="shared" ca="1" si="8243"/>
        <v>#REF!</v>
      </c>
      <c r="EH457" s="692" t="str">
        <f ca="1">IF(LEFT($J455,7)="Clad Wo",IFERROR(VLOOKUP(INDEX(ED455:ED466,EG457),SPPWS,2,FALSE),"----"),IFERROR(VLOOKUP(INDEX(ED455:ED466,EG457),SPM,2,FALSE),"----"))</f>
        <v>----</v>
      </c>
    </row>
    <row r="458" spans="1:138" ht="15" customHeight="1" x14ac:dyDescent="0.25">
      <c r="A458" s="1085"/>
      <c r="B458" s="925"/>
      <c r="C458" s="926"/>
      <c r="D458" s="927"/>
      <c r="E458" s="995"/>
      <c r="F458" s="996"/>
      <c r="G458" s="997"/>
      <c r="H458" s="1062"/>
      <c r="I458" s="990"/>
      <c r="J458" s="908"/>
      <c r="K458" s="909"/>
      <c r="L458" s="1002"/>
      <c r="M458" s="923"/>
      <c r="N458" s="1042"/>
      <c r="O458" s="1018"/>
      <c r="P458" s="987"/>
      <c r="Q458" s="1015"/>
      <c r="R458" s="1012"/>
      <c r="S458" s="1006"/>
      <c r="T458" s="1007"/>
      <c r="U458" s="878"/>
      <c r="V458" s="881"/>
      <c r="W458" s="884"/>
      <c r="X458" s="884"/>
      <c r="Y458" s="887"/>
      <c r="Z458" s="887"/>
      <c r="AA458" s="887"/>
      <c r="AB458" s="1081"/>
      <c r="AC458" s="1078"/>
      <c r="AD458" s="1070" t="s">
        <v>37</v>
      </c>
      <c r="AE458" s="1071"/>
      <c r="AF458" s="1052"/>
      <c r="AG458" s="1053"/>
      <c r="AH458" s="1053"/>
      <c r="AI458" s="1066"/>
      <c r="AJ458" s="1067"/>
      <c r="AK458" s="156" t="str">
        <f t="shared" ca="1" si="7482"/>
        <v/>
      </c>
      <c r="AL458" s="1039"/>
      <c r="AM458" s="343" t="str">
        <f ca="1">IFERROR(Q455/12*ROUND(VLOOKUP(AF458,OFFSET(STM,0,1),6,FALSE),2),"")</f>
        <v/>
      </c>
      <c r="AN458" t="str">
        <f t="shared" ca="1" si="7532"/>
        <v/>
      </c>
      <c r="AP458" s="122" t="str">
        <f t="shared" ref="AP458" si="8257">_xlfn.CONCAT(AR458,AS460)</f>
        <v/>
      </c>
      <c r="AQ458" s="683" t="str">
        <f t="shared" si="7698"/>
        <v/>
      </c>
      <c r="AR458" s="4" t="str">
        <f t="shared" si="7457"/>
        <v/>
      </c>
      <c r="AS458" s="4"/>
      <c r="AT458" s="697" t="str">
        <f>AL455</f>
        <v/>
      </c>
      <c r="AU458" s="694" t="e">
        <f t="shared" ca="1" si="7724"/>
        <v>#REF!</v>
      </c>
      <c r="AV458" s="686" t="str">
        <f ca="1">IFERROR(VLOOKUP(AU458,INDIRECT(AQ455),2,FALSE),"----")</f>
        <v>----</v>
      </c>
      <c r="AW458" s="694" t="e">
        <f t="shared" ca="1" si="7725"/>
        <v>#REF!</v>
      </c>
      <c r="AX458" s="686" t="str">
        <f ca="1">IFERROR(VLOOKUP(AW458,INDIRECT(AQ456),2,FALSE),"----")</f>
        <v>----</v>
      </c>
      <c r="AY458" s="694" t="e">
        <f t="shared" ref="AY458" ca="1" si="8258">AY457-1</f>
        <v>#REF!</v>
      </c>
      <c r="AZ458" s="686" t="str">
        <f ca="1">IFERROR(VLOOKUP(AY458,INDIRECT(AQ457),2,FALSE),"----")</f>
        <v>----</v>
      </c>
      <c r="BA458" s="694" t="e">
        <f t="shared" ref="BA458" ca="1" si="8259">BA457-1</f>
        <v>#REF!</v>
      </c>
      <c r="BB458" s="686" t="str">
        <f ca="1">IFERROR(VLOOKUP(BA458,INDIRECT(AQ458),2,FALSE),"----")</f>
        <v>----</v>
      </c>
      <c r="BC458" s="694" t="e">
        <f t="shared" ca="1" si="7728"/>
        <v>#REF!</v>
      </c>
      <c r="BD458" s="686" t="str">
        <f ca="1">IFERROR(VLOOKUP(BC458,INDIRECT(AQ459),2,FALSE),"----")</f>
        <v>----</v>
      </c>
      <c r="BE458" s="694" t="e">
        <f t="shared" ca="1" si="7729"/>
        <v>#REF!</v>
      </c>
      <c r="BF458" s="686" t="str">
        <f ca="1">IFERROR(VLOOKUP(BE458,INDIRECT(AQ460),2,FALSE),"----")</f>
        <v>----</v>
      </c>
      <c r="BG458" s="694" t="e">
        <f t="shared" ca="1" si="7730"/>
        <v>#REF!</v>
      </c>
      <c r="BH458" s="686" t="str">
        <f ca="1">IFERROR(VLOOKUP(BG458,INDIRECT(AQ461),2,FALSE),"----")</f>
        <v>----</v>
      </c>
      <c r="BI458" s="694" t="e">
        <f t="shared" ca="1" si="7731"/>
        <v>#REF!</v>
      </c>
      <c r="BJ458" s="686" t="str">
        <f ca="1">IFERROR(VLOOKUP(BI458,INDIRECT(AQ462),2,FALSE),"----")</f>
        <v>----</v>
      </c>
      <c r="BK458" s="694" t="e">
        <f t="shared" ca="1" si="7732"/>
        <v>#REF!</v>
      </c>
      <c r="BL458" s="686" t="str">
        <f ca="1">IFERROR(VLOOKUP(BK458,INDIRECT(AQ463),2,FALSE),"----")</f>
        <v>----</v>
      </c>
      <c r="BM458" s="694" t="e">
        <f t="shared" ca="1" si="7733"/>
        <v>#REF!</v>
      </c>
      <c r="BN458" s="686" t="str">
        <f ca="1">IFERROR(VLOOKUP(BM458,INDIRECT(AQ464),2,FALSE),"----")</f>
        <v>----</v>
      </c>
      <c r="BO458" s="694" t="e">
        <f t="shared" ca="1" si="7734"/>
        <v>#REF!</v>
      </c>
      <c r="BP458" s="686" t="str">
        <f ca="1">IFERROR(VLOOKUP(BO458,INDIRECT(AQ465),2,FALSE),"----")</f>
        <v>----</v>
      </c>
      <c r="BQ458" s="694" t="e">
        <f t="shared" ca="1" si="7735"/>
        <v>#REF!</v>
      </c>
      <c r="BR458" s="686" t="str">
        <f ca="1">IFERROR(VLOOKUP(BQ458,INDIRECT(AQ466),2,FALSE),"----")</f>
        <v>----</v>
      </c>
      <c r="BS458" s="695">
        <f>IF(AI458="",1,IF(COUNTIF(BB455:BB466,AI458)=0,2,1))</f>
        <v>1</v>
      </c>
      <c r="BT458" s="696">
        <f>IF(AF458="",1,IF(BB455=".",2,1))</f>
        <v>1</v>
      </c>
      <c r="BU458" s="706"/>
      <c r="BV458" s="155">
        <f ca="1">IF(COUNTIF(CT455:CT466,AF458)=0,IF(AF458&lt;&gt;"",0,1),1)</f>
        <v>1</v>
      </c>
      <c r="BW458" s="157">
        <f ca="1">IFERROR(MATCH(AF458,CT455:CT466,0),1)</f>
        <v>1</v>
      </c>
      <c r="BX458" s="769"/>
      <c r="BY458" s="769"/>
      <c r="BZ458" s="1110"/>
      <c r="CA458" s="691" t="e">
        <f t="shared" ca="1" si="8208"/>
        <v>#REF!</v>
      </c>
      <c r="CB458" s="4" t="e" cm="1">
        <f t="array" aca="1" ref="CB458" ca="1">IF(AND(INDEX(INDIRECT(BY455),CA458,4)&gt;=$AB455,INDEX(INDIRECT(BY455),CA458,5)&gt;=$S455,INDEX(INDIRECT(BY455),CA458,6)&gt;=$R455),1,0)</f>
        <v>#REF!</v>
      </c>
      <c r="CC458" s="4" t="e">
        <f t="shared" ref="CC458" ca="1" si="8260">MATCH(1,OFFSET(CB455:CB466,CD457,0,COUNT(CB455:CB466)-CD457),0)</f>
        <v>#REF!</v>
      </c>
      <c r="CD458" s="4" t="e">
        <f t="shared" ca="1" si="8210"/>
        <v>#REF!</v>
      </c>
      <c r="CE458" s="692" t="str" cm="1">
        <f t="array" aca="1" ref="CE458" ca="1">IFERROR(VLOOKUP(INDEX(CA455:CA466,CD458),INDIRECT(BY455),2,FALSE),"----")</f>
        <v>----</v>
      </c>
      <c r="CF458" s="691" t="e">
        <f t="shared" ca="1" si="8211"/>
        <v>#N/A</v>
      </c>
      <c r="CG458" s="4" t="e">
        <f ca="1">IF(AND(INDEX(SSM,CF458,4)&gt;=$AB455,INDEX(SSM,CF458,5)&gt;=$S455,INDEX(SSM,CF458,6)&gt;=$R455),1,0)</f>
        <v>#N/A</v>
      </c>
      <c r="CH458" s="4" t="e">
        <f t="shared" ref="CH458" ca="1" si="8261">MATCH(1,OFFSET(CG455:CG466,CI457,0,COUNT(CG455:CG466)-CI457),0)</f>
        <v>#REF!</v>
      </c>
      <c r="CI458" s="4" t="e">
        <f t="shared" ca="1" si="8213"/>
        <v>#REF!</v>
      </c>
      <c r="CJ458" s="692" t="str">
        <f ca="1">IFERROR(IF(AD456="Nested Steel Stud (wood infill)",VLOOKUP(INDEX(CF455:CF466,CI458),SSW,2,FALSE),VLOOKUP(INDEX(CF455:CF466,CI458),SSM,2,FALSE)),"----")</f>
        <v>----</v>
      </c>
      <c r="CK458" s="691" t="e">
        <f t="shared" ca="1" si="8214"/>
        <v>#N/A</v>
      </c>
      <c r="CL458" s="4" t="e">
        <f ca="1">IF(AND(INDEX(WSM,CK458,4)&gt;=$AB455,INDEX(WSM,CK458,5)&gt;=$S455,INDEX(WSM,CK458,6)&gt;=$R455),1,0)</f>
        <v>#N/A</v>
      </c>
      <c r="CM458" s="4" t="e">
        <f t="shared" ref="CM458" ca="1" si="8262">MATCH(1,OFFSET(CL455:CL466,CN457,0,COUNT(CL455:CL466)-CN457),0)</f>
        <v>#REF!</v>
      </c>
      <c r="CN458" s="4" t="e">
        <f t="shared" ca="1" si="8216"/>
        <v>#REF!</v>
      </c>
      <c r="CO458" s="692" t="str">
        <f ca="1">IFERROR(VLOOKUP(INDEX(CK455:CK466,CN458),WSM,2,FALSE),"----")</f>
        <v>----</v>
      </c>
      <c r="CP458" s="691" t="e">
        <f t="shared" ca="1" si="8217"/>
        <v>#N/A</v>
      </c>
      <c r="CQ458" s="4" t="e">
        <f ca="1">IF(AND(INDEX(STM,CP458,4)&gt;=$AB455,INDEX(STM,CP458,5)&gt;=$S455,INDEX(STM,CP458,6)&gt;=$R455),1,0)</f>
        <v>#N/A</v>
      </c>
      <c r="CR458" s="4" t="e">
        <f t="shared" ref="CR458" ca="1" si="8263">MATCH(1,OFFSET(CQ455:CQ466,CS457,0,COUNT(CQ455:CQ466)-CS457),0)</f>
        <v>#REF!</v>
      </c>
      <c r="CS458" s="4" t="e">
        <f t="shared" ca="1" si="8219"/>
        <v>#REF!</v>
      </c>
      <c r="CT458" s="692" t="str">
        <f ca="1">IFERROR(VLOOKUP(INDEX(CP455:CP466,CS458),STM,2,FALSE),"----")</f>
        <v>----</v>
      </c>
      <c r="CU458" s="691" t="e">
        <f t="shared" ca="1" si="8220"/>
        <v>#N/A</v>
      </c>
      <c r="CV458" s="4" t="e">
        <f ca="1">IF(AND(INDEX(ELM,CU458,4)&gt;=$AB455,INDEX(ELM,CU458,5)&gt;=$S455,INDEX(ELM,CU458,6)&gt;=$R455),1,0)</f>
        <v>#N/A</v>
      </c>
      <c r="CW458" s="4" t="e">
        <f t="shared" ref="CW458" ca="1" si="8264">MATCH(1,OFFSET(CV455:CV466,CX457,0,COUNT(CV455:CV466)-CX457),0)</f>
        <v>#REF!</v>
      </c>
      <c r="CX458" s="4" t="e">
        <f t="shared" ca="1" si="8222"/>
        <v>#REF!</v>
      </c>
      <c r="CY458" s="692" t="str">
        <f ca="1">IFERROR(VLOOKUP(INDEX(CU455:CU466,CX458),ELM,2,FALSE),"----")</f>
        <v>----</v>
      </c>
      <c r="CZ458" s="691" t="e">
        <f t="shared" ca="1" si="8223"/>
        <v>#N/A</v>
      </c>
      <c r="DA458" s="4" t="e">
        <f ca="1">IF(LEFT($J455,7)="Clad Wo",IF(AND(INDEX(SPPWS,CZ458,4)&gt;=$AB455,INDEX(SPPWS,CZ458,5)&gt;=$S455,INDEX(SPPWS,CZ458,6)&gt;=$R455),1,0),IF(AND(INDEX(SPM,CZ458,4)&gt;=$AB455,INDEX(SPM,CZ458,5)&gt;=$S455,INDEX(SPM,CZ458,6)&gt;=$R455),1,0))</f>
        <v>#N/A</v>
      </c>
      <c r="DB458" s="4" t="e">
        <f t="shared" ref="DB458" ca="1" si="8265">MATCH(1,OFFSET(DA455:DA466,DC457,0,COUNT(DA455:DA466)-DC457),0)</f>
        <v>#REF!</v>
      </c>
      <c r="DC458" s="4" t="e">
        <f t="shared" ca="1" si="8225"/>
        <v>#REF!</v>
      </c>
      <c r="DD458" s="693" t="str">
        <f ca="1">IF(LEFT($J455,7)="Clad Wo",IFERROR(VLOOKUP(INDEX(CZ455:CZ466,DC458),SPPWS,2,FALSE),"----"),IFERROR(VLOOKUP(INDEX(CZ455:CZ466,DC458),SPM,2,FALSE),"----"))</f>
        <v>----</v>
      </c>
      <c r="DE458" s="691" t="e">
        <f t="shared" ca="1" si="8226"/>
        <v>#REF!</v>
      </c>
      <c r="DF458" s="4" t="e" cm="1">
        <f t="array" aca="1" ref="DF458" ca="1">IF(AND(INDEX(INDIRECT(BY455),DE458,4)&gt;=$AB461,INDEX(INDIRECT(BY455),DE458,5)&gt;=$S455,INDEX(INDIRECT(BY455),DE458,6)&gt;=$R455),1,0)</f>
        <v>#REF!</v>
      </c>
      <c r="DG458" s="4" t="e">
        <f t="shared" ref="DG458" ca="1" si="8266">MATCH(1,OFFSET(DF455:DF466,DH457,0,COUNT(DF455:DF466)-DH457),0)</f>
        <v>#REF!</v>
      </c>
      <c r="DH458" s="4" t="e">
        <f t="shared" ca="1" si="8228"/>
        <v>#REF!</v>
      </c>
      <c r="DI458" s="692" t="str" cm="1">
        <f t="array" aca="1" ref="DI458" ca="1">IFERROR(VLOOKUP(INDEX(DE455:DE466,DH458),INDIRECT(BY455),2,FALSE),"----")</f>
        <v>----</v>
      </c>
      <c r="DJ458" s="691" t="e">
        <f t="shared" ca="1" si="8229"/>
        <v>#N/A</v>
      </c>
      <c r="DK458" s="4" t="e">
        <f ca="1">IF(AND(INDEX(SSM,DJ458,4)&gt;=$AB461,INDEX(SSM,DJ458,5)&gt;=$S455,INDEX(SSM,DJ458,6)&gt;=$R455),1,0)</f>
        <v>#N/A</v>
      </c>
      <c r="DL458" s="4" t="e">
        <f t="shared" ref="DL458" ca="1" si="8267">MATCH(1,OFFSET(DK455:DK466,DM457,0,COUNT(DK455:DK466)-DM457),0)</f>
        <v>#REF!</v>
      </c>
      <c r="DM458" s="4" t="e">
        <f t="shared" ca="1" si="8231"/>
        <v>#REF!</v>
      </c>
      <c r="DN458" s="692" t="str">
        <f ca="1">IFERROR(IF(AD462="Nested Steel Stud (wood infill)",VLOOKUP(INDEX(DJ455:DJ466,DM458),SSW,2,FALSE),VLOOKUP(INDEX(DJ455:DJ466,DM458),SSM,2,FALSE)),"----")</f>
        <v>----</v>
      </c>
      <c r="DO458" s="691" t="e">
        <f t="shared" ca="1" si="8232"/>
        <v>#N/A</v>
      </c>
      <c r="DP458" s="4" t="e">
        <f ca="1">IF(AND(INDEX(WSM,DO458,4)&gt;=$AB461,INDEX(WSM,DO458,5)&gt;=$S455,INDEX(WSM,DO458,6)&gt;=$R455),1,0)</f>
        <v>#N/A</v>
      </c>
      <c r="DQ458" s="4" t="e">
        <f t="shared" ref="DQ458" ca="1" si="8268">MATCH(1,OFFSET(DP455:DP466,DR457,0,COUNT(DP455:DP466)-DR457),0)</f>
        <v>#REF!</v>
      </c>
      <c r="DR458" s="4" t="e">
        <f t="shared" ca="1" si="8234"/>
        <v>#REF!</v>
      </c>
      <c r="DS458" s="692" t="str">
        <f ca="1">IFERROR(VLOOKUP(INDEX(DO455:DO466,DR458),WSM,2,FALSE),"----")</f>
        <v>----</v>
      </c>
      <c r="DT458" s="691" t="e">
        <f t="shared" ca="1" si="8235"/>
        <v>#N/A</v>
      </c>
      <c r="DU458" s="4" t="e">
        <f ca="1">IF(AND(INDEX(STM,DT458,4)&gt;=$AB461,INDEX(STM,DT458,5)&gt;=$S455,INDEX(STM,DT458,6)&gt;=$R455),1,0)</f>
        <v>#N/A</v>
      </c>
      <c r="DV458" s="4" t="e">
        <f t="shared" ref="DV458" ca="1" si="8269">MATCH(1,OFFSET(DU455:DU466,DW457,0,COUNT(DU455:DU466)-DW457),0)</f>
        <v>#REF!</v>
      </c>
      <c r="DW458" s="4" t="e">
        <f t="shared" ca="1" si="8237"/>
        <v>#REF!</v>
      </c>
      <c r="DX458" s="692" t="str">
        <f ca="1">IFERROR(VLOOKUP(INDEX(DT455:DT466,DW458),STM,2,FALSE),"----")</f>
        <v>----</v>
      </c>
      <c r="DY458" s="691" t="e">
        <f t="shared" ca="1" si="8238"/>
        <v>#N/A</v>
      </c>
      <c r="DZ458" s="4" t="e">
        <f ca="1">IF(AND(INDEX(ELM,DY458,4)&gt;=$AB461,INDEX(ELM,DY458,5)&gt;=$S455,INDEX(ELM,DY458,6)&gt;=$R455),1,0)</f>
        <v>#N/A</v>
      </c>
      <c r="EA458" s="4" t="e">
        <f t="shared" ref="EA458" ca="1" si="8270">MATCH(1,OFFSET(DZ455:DZ466,EB457,0,COUNT(DZ455:DZ466)-EB457),0)</f>
        <v>#REF!</v>
      </c>
      <c r="EB458" s="4" t="e">
        <f t="shared" ca="1" si="8240"/>
        <v>#REF!</v>
      </c>
      <c r="EC458" s="692" t="str">
        <f ca="1">IFERROR(VLOOKUP(INDEX(DY455:DY466,EB458),ELM,2,FALSE),"----")</f>
        <v>----</v>
      </c>
      <c r="ED458" s="691" t="e">
        <f t="shared" ca="1" si="8241"/>
        <v>#N/A</v>
      </c>
      <c r="EE458" s="4" t="e">
        <f ca="1">IF(LEFT($J455,7)="Clad Wo",IF(AND(INDEX(SPPWS,ED458,4)&gt;=$AB461,INDEX(SPPWS,ED458,5)&gt;=$S455,INDEX(SPPWS,ED458,6)&gt;=$R455),1,0),IF(AND(INDEX(SPM,ED458,4)&gt;=$AB461,INDEX(SPM,ED458,5)&gt;=$S455,INDEX(SPM,ED458,6)&gt;=$R455),1,0))</f>
        <v>#N/A</v>
      </c>
      <c r="EF458" s="4" t="e">
        <f t="shared" ref="EF458" ca="1" si="8271">MATCH(1,OFFSET(EE455:EE466,EG457,0,COUNT(EE455:EE466)-EG457),0)</f>
        <v>#REF!</v>
      </c>
      <c r="EG458" s="4" t="e">
        <f t="shared" ca="1" si="8243"/>
        <v>#REF!</v>
      </c>
      <c r="EH458" s="692" t="str">
        <f ca="1">IF(LEFT($J455,7)="Clad Wo",IFERROR(VLOOKUP(INDEX(ED455:ED466,EG458),SPPWS,2,FALSE),"----"),IFERROR(VLOOKUP(INDEX(ED455:ED466,EG458),SPM,2,FALSE),"----"))</f>
        <v>----</v>
      </c>
    </row>
    <row r="459" spans="1:138" ht="15" customHeight="1" x14ac:dyDescent="0.25">
      <c r="A459" s="1085"/>
      <c r="B459" s="925"/>
      <c r="C459" s="926"/>
      <c r="D459" s="927"/>
      <c r="E459" s="995"/>
      <c r="F459" s="996"/>
      <c r="G459" s="997"/>
      <c r="H459" s="1062"/>
      <c r="I459" s="990"/>
      <c r="J459" s="910"/>
      <c r="K459" s="911"/>
      <c r="L459" s="1002"/>
      <c r="M459" s="923"/>
      <c r="N459" s="1042"/>
      <c r="O459" s="1018"/>
      <c r="P459" s="987"/>
      <c r="Q459" s="1015"/>
      <c r="R459" s="1012"/>
      <c r="S459" s="1006"/>
      <c r="T459" s="1007"/>
      <c r="U459" s="878"/>
      <c r="V459" s="881"/>
      <c r="W459" s="884"/>
      <c r="X459" s="884"/>
      <c r="Y459" s="887"/>
      <c r="Z459" s="887"/>
      <c r="AA459" s="887"/>
      <c r="AB459" s="1081"/>
      <c r="AC459" s="1078"/>
      <c r="AD459" s="1070" t="s">
        <v>39</v>
      </c>
      <c r="AE459" s="1071"/>
      <c r="AF459" s="1052"/>
      <c r="AG459" s="1053"/>
      <c r="AH459" s="1053"/>
      <c r="AI459" s="1068"/>
      <c r="AJ459" s="1069"/>
      <c r="AK459" s="154" t="str">
        <f t="shared" ca="1" si="7482"/>
        <v/>
      </c>
      <c r="AL459" s="1039"/>
      <c r="AM459" s="344" t="str">
        <f ca="1">IFERROR(Q455/12*ROUND(VLOOKUP(AF459,OFFSET(ELM,0,1),6,FALSE),2),"")</f>
        <v/>
      </c>
      <c r="AN459" t="str">
        <f t="shared" ca="1" si="7532"/>
        <v/>
      </c>
      <c r="AP459" s="122" t="str">
        <f t="shared" ref="AP459" si="8272">_xlfn.CONCAT(AR459,AS460)</f>
        <v/>
      </c>
      <c r="AQ459" s="683" t="str">
        <f t="shared" si="7698"/>
        <v/>
      </c>
      <c r="AR459" s="4" t="str">
        <f t="shared" si="7457"/>
        <v/>
      </c>
      <c r="AS459" s="4"/>
      <c r="AT459" s="697" t="str">
        <f>AL455</f>
        <v/>
      </c>
      <c r="AU459" s="694" t="e">
        <f t="shared" ca="1" si="7724"/>
        <v>#REF!</v>
      </c>
      <c r="AV459" s="698" t="str">
        <f ca="1">IFERROR(VLOOKUP(AU459,INDIRECT(AQ455),2,FALSE),"----")</f>
        <v>----</v>
      </c>
      <c r="AW459" s="694" t="e">
        <f t="shared" ca="1" si="7725"/>
        <v>#REF!</v>
      </c>
      <c r="AX459" s="698" t="str">
        <f ca="1">IFERROR(VLOOKUP(AW459,INDIRECT(AQ456),2,FALSE),"----")</f>
        <v>----</v>
      </c>
      <c r="AY459" s="694" t="e">
        <f t="shared" ref="AY459" ca="1" si="8273">AY458-1</f>
        <v>#REF!</v>
      </c>
      <c r="AZ459" s="698" t="str">
        <f ca="1">IFERROR(VLOOKUP(AY459,INDIRECT(AQ457),2,FALSE),"----")</f>
        <v>----</v>
      </c>
      <c r="BA459" s="694" t="e">
        <f t="shared" ref="BA459" ca="1" si="8274">BA458-1</f>
        <v>#REF!</v>
      </c>
      <c r="BB459" s="698" t="str">
        <f ca="1">IFERROR(VLOOKUP(BA459,INDIRECT(AQ458),2,FALSE),"----")</f>
        <v>----</v>
      </c>
      <c r="BC459" s="694" t="e">
        <f t="shared" ca="1" si="7728"/>
        <v>#REF!</v>
      </c>
      <c r="BD459" s="698" t="str">
        <f ca="1">IFERROR(VLOOKUP(BC459,INDIRECT(AQ459),2,FALSE),"----")</f>
        <v>----</v>
      </c>
      <c r="BE459" s="694" t="e">
        <f t="shared" ca="1" si="7729"/>
        <v>#REF!</v>
      </c>
      <c r="BF459" s="698" t="str">
        <f ca="1">IFERROR(VLOOKUP(BE459,INDIRECT(AQ460),2,FALSE),"----")</f>
        <v>----</v>
      </c>
      <c r="BG459" s="694" t="e">
        <f t="shared" ca="1" si="7730"/>
        <v>#REF!</v>
      </c>
      <c r="BH459" s="686" t="str">
        <f ca="1">IFERROR(VLOOKUP(BG459,INDIRECT(AQ461),2,FALSE),"----")</f>
        <v>----</v>
      </c>
      <c r="BI459" s="694" t="e">
        <f t="shared" ca="1" si="7731"/>
        <v>#REF!</v>
      </c>
      <c r="BJ459" s="686" t="str">
        <f ca="1">IFERROR(VLOOKUP(BI459,INDIRECT(AQ462),2,FALSE),"----")</f>
        <v>----</v>
      </c>
      <c r="BK459" s="694" t="e">
        <f t="shared" ca="1" si="7732"/>
        <v>#REF!</v>
      </c>
      <c r="BL459" s="686" t="str">
        <f ca="1">IFERROR(VLOOKUP(BK459,INDIRECT(AQ463),2,FALSE),"----")</f>
        <v>----</v>
      </c>
      <c r="BM459" s="694" t="e">
        <f t="shared" ca="1" si="7733"/>
        <v>#REF!</v>
      </c>
      <c r="BN459" s="686" t="str">
        <f ca="1">IFERROR(VLOOKUP(BM459,INDIRECT(AQ464),2,FALSE),"----")</f>
        <v>----</v>
      </c>
      <c r="BO459" s="694" t="e">
        <f t="shared" ca="1" si="7734"/>
        <v>#REF!</v>
      </c>
      <c r="BP459" s="686" t="str">
        <f ca="1">IFERROR(VLOOKUP(BO459,INDIRECT(AQ465),2,FALSE),"----")</f>
        <v>----</v>
      </c>
      <c r="BQ459" s="694" t="e">
        <f t="shared" ca="1" si="7735"/>
        <v>#REF!</v>
      </c>
      <c r="BR459" s="686" t="str">
        <f ca="1">IFERROR(VLOOKUP(BQ459,INDIRECT(AQ466),2,FALSE),"----")</f>
        <v>----</v>
      </c>
      <c r="BS459" s="695">
        <f>IF(AI459="",1,IF(COUNTIF(BD455:BD466,AI459)=0,2,1))</f>
        <v>1</v>
      </c>
      <c r="BT459" s="696">
        <f>IF(AF459="",1,IF(BD455=".",2,1))</f>
        <v>1</v>
      </c>
      <c r="BU459" s="706"/>
      <c r="BV459" s="155">
        <f ca="1">IF(COUNTIF(CY455:CY466,AF459)=0,IF(AF459&lt;&gt;"",0,1),1)</f>
        <v>1</v>
      </c>
      <c r="BW459" s="157">
        <f ca="1">IFERROR(MATCH(AF459,CY455:CY466,0),1)</f>
        <v>1</v>
      </c>
      <c r="BX459" s="769"/>
      <c r="BY459" s="769"/>
      <c r="BZ459" s="1110"/>
      <c r="CA459" s="691" t="e">
        <f t="shared" ca="1" si="8208"/>
        <v>#REF!</v>
      </c>
      <c r="CB459" s="4" t="e" cm="1">
        <f t="array" aca="1" ref="CB459" ca="1">IF(AND(INDEX(INDIRECT(BY455),CA459,4)&gt;=$AB455,INDEX(INDIRECT(BY455),CA459,5)&gt;=$S455,INDEX(INDIRECT(BY455),CA459,6)&gt;=$R455),1,0)</f>
        <v>#REF!</v>
      </c>
      <c r="CC459" s="4" t="e">
        <f t="shared" ref="CC459" ca="1" si="8275">MATCH(1,OFFSET(CB455:CB466,CD458,0,COUNT(CB455:CB466)-CD458),0)</f>
        <v>#REF!</v>
      </c>
      <c r="CD459" s="4" t="e">
        <f t="shared" ca="1" si="8210"/>
        <v>#REF!</v>
      </c>
      <c r="CE459" s="692" t="str" cm="1">
        <f t="array" aca="1" ref="CE459" ca="1">IFERROR(VLOOKUP(INDEX(CA455:CA466,CD459),INDIRECT(BY455),2,FALSE),"----")</f>
        <v>----</v>
      </c>
      <c r="CF459" s="691" t="e">
        <f t="shared" ca="1" si="8211"/>
        <v>#N/A</v>
      </c>
      <c r="CG459" s="4" t="e">
        <f ca="1">IF(AND(INDEX(SSM,CF459,4)&gt;=$AB455,INDEX(SSM,CF459,5)&gt;=$S455,INDEX(SSM,CF459,6)&gt;=$R455),1,0)</f>
        <v>#N/A</v>
      </c>
      <c r="CH459" s="4" t="e">
        <f t="shared" ref="CH459" ca="1" si="8276">MATCH(1,OFFSET(CG455:CG466,CI458,0,COUNT(CG455:CG466)-CI458),0)</f>
        <v>#REF!</v>
      </c>
      <c r="CI459" s="4" t="e">
        <f t="shared" ca="1" si="8213"/>
        <v>#REF!</v>
      </c>
      <c r="CJ459" s="692" t="str">
        <f ca="1">IFERROR(IF(AD456="Nested Steel Stud (wood infill)",VLOOKUP(INDEX(CF455:CF466,CI459),SSW,2,FALSE),VLOOKUP(INDEX(CF455:CF466,CI459),SSM,2,FALSE)),"----")</f>
        <v>----</v>
      </c>
      <c r="CK459" s="691" t="e">
        <f t="shared" ca="1" si="8214"/>
        <v>#N/A</v>
      </c>
      <c r="CL459" s="4" t="e">
        <f ca="1">IF(AND(INDEX(WSM,CK459,4)&gt;=$AB455,INDEX(WSM,CK459,5)&gt;=$S455,INDEX(WSM,CK459,6)&gt;=$R455),1,0)</f>
        <v>#N/A</v>
      </c>
      <c r="CM459" s="4" t="e">
        <f t="shared" ref="CM459" ca="1" si="8277">MATCH(1,OFFSET(CL455:CL466,CN458,0,COUNT(CL455:CL466)-CN458),0)</f>
        <v>#REF!</v>
      </c>
      <c r="CN459" s="4" t="e">
        <f t="shared" ca="1" si="8216"/>
        <v>#REF!</v>
      </c>
      <c r="CO459" s="692" t="str">
        <f ca="1">IFERROR(VLOOKUP(INDEX(CK455:CK466,CN459),WSM,2,FALSE),"----")</f>
        <v>----</v>
      </c>
      <c r="CP459" s="691" t="e">
        <f t="shared" ca="1" si="8217"/>
        <v>#N/A</v>
      </c>
      <c r="CQ459" s="4" t="e">
        <f ca="1">IF(AND(INDEX(STM,CP459,4)&gt;=$AB455,INDEX(STM,CP459,5)&gt;=$S455,INDEX(STM,CP459,6)&gt;=$R455),1,0)</f>
        <v>#N/A</v>
      </c>
      <c r="CR459" s="4" t="e">
        <f t="shared" ref="CR459" ca="1" si="8278">MATCH(1,OFFSET(CQ455:CQ466,CS458,0,COUNT(CQ455:CQ466)-CS458),0)</f>
        <v>#REF!</v>
      </c>
      <c r="CS459" s="4" t="e">
        <f t="shared" ca="1" si="8219"/>
        <v>#REF!</v>
      </c>
      <c r="CT459" s="692" t="str">
        <f ca="1">IFERROR(VLOOKUP(INDEX(CP455:CP466,CS459),STM,2,FALSE),"----")</f>
        <v>----</v>
      </c>
      <c r="CU459" s="691" t="e">
        <f t="shared" ca="1" si="8220"/>
        <v>#N/A</v>
      </c>
      <c r="CV459" s="4" t="e">
        <f ca="1">IF(AND(INDEX(ELM,CU459,4)&gt;=$AB455,INDEX(ELM,CU459,5)&gt;=$S455,INDEX(ELM,CU459,6)&gt;=$R455),1,0)</f>
        <v>#N/A</v>
      </c>
      <c r="CW459" s="4" t="e">
        <f t="shared" ref="CW459" ca="1" si="8279">MATCH(1,OFFSET(CV455:CV466,CX458,0,COUNT(CV455:CV466)-CX458),0)</f>
        <v>#REF!</v>
      </c>
      <c r="CX459" s="4" t="e">
        <f t="shared" ca="1" si="8222"/>
        <v>#REF!</v>
      </c>
      <c r="CY459" s="692" t="str">
        <f ca="1">IFERROR(VLOOKUP(INDEX(CU455:CU466,CX459),ELM,2,FALSE),"----")</f>
        <v>----</v>
      </c>
      <c r="CZ459" s="691" t="e">
        <f t="shared" ca="1" si="8223"/>
        <v>#N/A</v>
      </c>
      <c r="DA459" s="4" t="e">
        <f ca="1">IF(LEFT($J455,7)="Clad Wo",IF(AND(INDEX(SPPWS,CZ459,4)&gt;=$AB455,INDEX(SPPWS,CZ459,5)&gt;=$S455,INDEX(SPPWS,CZ459,6)&gt;=$R455),1,0),IF(AND(INDEX(SPM,CZ459,4)&gt;=$AB455,INDEX(SPM,CZ459,5)&gt;=$S455,INDEX(SPM,CZ459,6)&gt;=$R455),1,0))</f>
        <v>#N/A</v>
      </c>
      <c r="DB459" s="4" t="e">
        <f t="shared" ref="DB459" ca="1" si="8280">MATCH(1,OFFSET(DA455:DA466,DC458,0,COUNT(DA455:DA466)-DC458),0)</f>
        <v>#REF!</v>
      </c>
      <c r="DC459" s="4" t="e">
        <f t="shared" ca="1" si="8225"/>
        <v>#REF!</v>
      </c>
      <c r="DD459" s="693" t="str">
        <f ca="1">IF(LEFT($J455,7)="Clad Wo",IFERROR(VLOOKUP(INDEX(CZ455:CZ466,DC459),SPPWS,2,FALSE),"----"),IFERROR(VLOOKUP(INDEX(CZ455:CZ466,DC459),SPM,2,FALSE),"----"))</f>
        <v>----</v>
      </c>
      <c r="DE459" s="691" t="e">
        <f t="shared" ca="1" si="8226"/>
        <v>#REF!</v>
      </c>
      <c r="DF459" s="4" t="e" cm="1">
        <f t="array" aca="1" ref="DF459" ca="1">IF(AND(INDEX(INDIRECT(BY455),DE459,4)&gt;=$AB461,INDEX(INDIRECT(BY455),DE459,5)&gt;=$S455,INDEX(INDIRECT(BY455),DE459,6)&gt;=$R455),1,0)</f>
        <v>#REF!</v>
      </c>
      <c r="DG459" s="4" t="e">
        <f t="shared" ref="DG459" ca="1" si="8281">MATCH(1,OFFSET(DF455:DF466,DH458,0,COUNT(DF455:DF466)-DH458),0)</f>
        <v>#REF!</v>
      </c>
      <c r="DH459" s="4" t="e">
        <f t="shared" ca="1" si="8228"/>
        <v>#REF!</v>
      </c>
      <c r="DI459" s="692" t="str" cm="1">
        <f t="array" aca="1" ref="DI459" ca="1">IFERROR(VLOOKUP(INDEX(DE455:DE466,DH459),INDIRECT(BY455),2,FALSE),"----")</f>
        <v>----</v>
      </c>
      <c r="DJ459" s="691" t="e">
        <f t="shared" ca="1" si="8229"/>
        <v>#N/A</v>
      </c>
      <c r="DK459" s="4" t="e">
        <f ca="1">IF(AND(INDEX(SSM,DJ459,4)&gt;=$AB461,INDEX(SSM,DJ459,5)&gt;=$S455,INDEX(SSM,DJ459,6)&gt;=$R455),1,0)</f>
        <v>#N/A</v>
      </c>
      <c r="DL459" s="4" t="e">
        <f t="shared" ref="DL459" ca="1" si="8282">MATCH(1,OFFSET(DK455:DK466,DM458,0,COUNT(DK455:DK466)-DM458),0)</f>
        <v>#REF!</v>
      </c>
      <c r="DM459" s="4" t="e">
        <f t="shared" ca="1" si="8231"/>
        <v>#REF!</v>
      </c>
      <c r="DN459" s="692" t="str">
        <f ca="1">IFERROR(IF(AD462="Nested Steel Stud (wood infill)",VLOOKUP(INDEX(DJ455:DJ466,DM459),SSW,2,FALSE),VLOOKUP(INDEX(DJ455:DJ466,DM459),SSM,2,FALSE)),"----")</f>
        <v>----</v>
      </c>
      <c r="DO459" s="691" t="e">
        <f t="shared" ca="1" si="8232"/>
        <v>#N/A</v>
      </c>
      <c r="DP459" s="4" t="e">
        <f ca="1">IF(AND(INDEX(WSM,DO459,4)&gt;=$AB461,INDEX(WSM,DO459,5)&gt;=$S455,INDEX(WSM,DO459,6)&gt;=$R455),1,0)</f>
        <v>#N/A</v>
      </c>
      <c r="DQ459" s="4" t="e">
        <f t="shared" ref="DQ459" ca="1" si="8283">MATCH(1,OFFSET(DP455:DP466,DR458,0,COUNT(DP455:DP466)-DR458),0)</f>
        <v>#REF!</v>
      </c>
      <c r="DR459" s="4" t="e">
        <f t="shared" ca="1" si="8234"/>
        <v>#REF!</v>
      </c>
      <c r="DS459" s="692" t="str">
        <f ca="1">IFERROR(VLOOKUP(INDEX(DO455:DO466,DR459),WSM,2,FALSE),"----")</f>
        <v>----</v>
      </c>
      <c r="DT459" s="691" t="e">
        <f t="shared" ca="1" si="8235"/>
        <v>#N/A</v>
      </c>
      <c r="DU459" s="4" t="e">
        <f ca="1">IF(AND(INDEX(STM,DT459,4)&gt;=$AB461,INDEX(STM,DT459,5)&gt;=$S455,INDEX(STM,DT459,6)&gt;=$R455),1,0)</f>
        <v>#N/A</v>
      </c>
      <c r="DV459" s="4" t="e">
        <f t="shared" ref="DV459" ca="1" si="8284">MATCH(1,OFFSET(DU455:DU466,DW458,0,COUNT(DU455:DU466)-DW458),0)</f>
        <v>#REF!</v>
      </c>
      <c r="DW459" s="4" t="e">
        <f t="shared" ca="1" si="8237"/>
        <v>#REF!</v>
      </c>
      <c r="DX459" s="692" t="str">
        <f ca="1">IFERROR(VLOOKUP(INDEX(DT455:DT466,DW459),STM,2,FALSE),"----")</f>
        <v>----</v>
      </c>
      <c r="DY459" s="691" t="e">
        <f t="shared" ca="1" si="8238"/>
        <v>#N/A</v>
      </c>
      <c r="DZ459" s="4" t="e">
        <f ca="1">IF(AND(INDEX(ELM,DY459,4)&gt;=$AB461,INDEX(ELM,DY459,5)&gt;=$S455,INDEX(ELM,DY459,6)&gt;=$R455),1,0)</f>
        <v>#N/A</v>
      </c>
      <c r="EA459" s="4" t="e">
        <f t="shared" ref="EA459" ca="1" si="8285">MATCH(1,OFFSET(DZ455:DZ466,EB458,0,COUNT(DZ455:DZ466)-EB458),0)</f>
        <v>#REF!</v>
      </c>
      <c r="EB459" s="4" t="e">
        <f t="shared" ca="1" si="8240"/>
        <v>#REF!</v>
      </c>
      <c r="EC459" s="692" t="str">
        <f ca="1">IFERROR(VLOOKUP(INDEX(DY455:DY466,EB459),ELM,2,FALSE),"----")</f>
        <v>----</v>
      </c>
      <c r="ED459" s="691" t="e">
        <f t="shared" ca="1" si="8241"/>
        <v>#N/A</v>
      </c>
      <c r="EE459" s="4" t="e">
        <f ca="1">IF(LEFT($J455,7)="Clad Wo",IF(AND(INDEX(SPPWS,ED459,4)&gt;=$AB461,INDEX(SPPWS,ED459,5)&gt;=$S455,INDEX(SPPWS,ED459,6)&gt;=$R455),1,0),IF(AND(INDEX(SPM,ED459,4)&gt;=$AB461,INDEX(SPM,ED459,5)&gt;=$S455,INDEX(SPM,ED459,6)&gt;=$R455),1,0))</f>
        <v>#N/A</v>
      </c>
      <c r="EF459" s="4" t="e">
        <f t="shared" ref="EF459" ca="1" si="8286">MATCH(1,OFFSET(EE455:EE466,EG458,0,COUNT(EE455:EE466)-EG458),0)</f>
        <v>#REF!</v>
      </c>
      <c r="EG459" s="4" t="e">
        <f t="shared" ca="1" si="8243"/>
        <v>#REF!</v>
      </c>
      <c r="EH459" s="692" t="str">
        <f ca="1">IF(LEFT($J455,7)="Clad Wo",IFERROR(VLOOKUP(INDEX(ED455:ED466,EG459),SPPWS,2,FALSE),"----"),IFERROR(VLOOKUP(INDEX(ED455:ED466,EG459),SPM,2,FALSE),"----"))</f>
        <v>----</v>
      </c>
    </row>
    <row r="460" spans="1:138" ht="15" customHeight="1" thickBot="1" x14ac:dyDescent="0.3">
      <c r="A460" s="1085"/>
      <c r="B460" s="934"/>
      <c r="C460" s="935"/>
      <c r="D460" s="936"/>
      <c r="E460" s="995"/>
      <c r="F460" s="996"/>
      <c r="G460" s="997"/>
      <c r="H460" s="1062"/>
      <c r="I460" s="990"/>
      <c r="J460" s="908"/>
      <c r="K460" s="909"/>
      <c r="L460" s="1010"/>
      <c r="M460" s="924"/>
      <c r="N460" s="1044"/>
      <c r="O460" s="1018"/>
      <c r="P460" s="987"/>
      <c r="Q460" s="1015"/>
      <c r="R460" s="1012"/>
      <c r="S460" s="1006"/>
      <c r="T460" s="1007"/>
      <c r="U460" s="878"/>
      <c r="V460" s="881"/>
      <c r="W460" s="889"/>
      <c r="X460" s="884"/>
      <c r="Y460" s="890"/>
      <c r="Z460" s="890"/>
      <c r="AA460" s="887"/>
      <c r="AB460" s="1084"/>
      <c r="AC460" s="1079"/>
      <c r="AD460" s="1072" t="str">
        <f t="shared" ref="AD460" si="8287">IF(LEFT(J455,7)="Clad Wo","Pella Wood Spr / Steel Pte","Steel Plate")</f>
        <v>Steel Plate</v>
      </c>
      <c r="AE460" s="1073"/>
      <c r="AF460" s="1054"/>
      <c r="AG460" s="1055"/>
      <c r="AH460" s="1055"/>
      <c r="AI460" s="1092"/>
      <c r="AJ460" s="1093"/>
      <c r="AK460" s="159" t="str">
        <f t="shared" ca="1" si="7482"/>
        <v/>
      </c>
      <c r="AL460" s="1040"/>
      <c r="AM460" s="345" t="str">
        <f ca="1">IFERROR(Q455/12*ROUND(VLOOKUP(AF460,OFFSET(SPM,0,1),6,FALSE),2),"")</f>
        <v/>
      </c>
      <c r="AN460" t="str">
        <f t="shared" ca="1" si="7532"/>
        <v/>
      </c>
      <c r="AP460" s="699" t="str">
        <f t="shared" ref="AP460" si="8288">_xlfn.CONCAT(AR460,AS460)</f>
        <v/>
      </c>
      <c r="AQ460" s="700" t="str">
        <f t="shared" si="7698"/>
        <v/>
      </c>
      <c r="AR460" s="160" t="str">
        <f t="shared" si="7457"/>
        <v/>
      </c>
      <c r="AS460" s="160" t="str">
        <f>IFERROR(VLOOKUP(J463, WallType,2,FALSE),"")</f>
        <v/>
      </c>
      <c r="AT460" s="701" t="str">
        <f>AL455</f>
        <v/>
      </c>
      <c r="AU460" s="694" t="e">
        <f t="shared" ca="1" si="7724"/>
        <v>#REF!</v>
      </c>
      <c r="AV460" s="698" t="str">
        <f ca="1">IFERROR(VLOOKUP(AU460,INDIRECT(AQ455),2,FALSE),"----")</f>
        <v>----</v>
      </c>
      <c r="AW460" s="702" t="e">
        <f t="shared" ca="1" si="7725"/>
        <v>#REF!</v>
      </c>
      <c r="AX460" s="698" t="str">
        <f ca="1">IFERROR(VLOOKUP(AW460,INDIRECT(AQ456),2,FALSE),"----")</f>
        <v>----</v>
      </c>
      <c r="AY460" s="702" t="e">
        <f t="shared" ref="AY460:AY475" ca="1" si="8289">AY459-1</f>
        <v>#REF!</v>
      </c>
      <c r="AZ460" s="698" t="str">
        <f ca="1">IFERROR(VLOOKUP(AY460,INDIRECT(AQ457),2,FALSE),"----")</f>
        <v>----</v>
      </c>
      <c r="BA460" s="702" t="e">
        <f t="shared" ref="BA460:BA475" ca="1" si="8290">BA459-1</f>
        <v>#REF!</v>
      </c>
      <c r="BB460" s="698" t="str">
        <f ca="1">IFERROR(VLOOKUP(BA460,INDIRECT(AQ458),2,FALSE),"----")</f>
        <v>----</v>
      </c>
      <c r="BC460" s="702" t="e">
        <f t="shared" ca="1" si="7728"/>
        <v>#REF!</v>
      </c>
      <c r="BD460" s="698" t="str">
        <f ca="1">IFERROR(VLOOKUP(BC460,INDIRECT(AQ459),2,FALSE),"----")</f>
        <v>----</v>
      </c>
      <c r="BE460" s="702" t="e">
        <f t="shared" ca="1" si="7729"/>
        <v>#REF!</v>
      </c>
      <c r="BF460" s="698" t="str">
        <f ca="1">IFERROR(VLOOKUP(BE460,INDIRECT(AQ460),2,FALSE),"----")</f>
        <v>----</v>
      </c>
      <c r="BG460" s="702" t="e">
        <f t="shared" ca="1" si="7730"/>
        <v>#REF!</v>
      </c>
      <c r="BH460" s="686" t="str">
        <f ca="1">IFERROR(VLOOKUP(BG460,INDIRECT(AQ461),2,FALSE),"----")</f>
        <v>----</v>
      </c>
      <c r="BI460" s="702" t="e">
        <f t="shared" ca="1" si="7731"/>
        <v>#REF!</v>
      </c>
      <c r="BJ460" s="686" t="str">
        <f ca="1">IFERROR(VLOOKUP(BI460,INDIRECT(AQ462),2,FALSE),"----")</f>
        <v>----</v>
      </c>
      <c r="BK460" s="702" t="e">
        <f t="shared" ca="1" si="7732"/>
        <v>#REF!</v>
      </c>
      <c r="BL460" s="686" t="str">
        <f ca="1">IFERROR(VLOOKUP(BK460,INDIRECT(AQ463),2,FALSE),"----")</f>
        <v>----</v>
      </c>
      <c r="BM460" s="702" t="e">
        <f t="shared" ca="1" si="7733"/>
        <v>#REF!</v>
      </c>
      <c r="BN460" s="686" t="str">
        <f ca="1">IFERROR(VLOOKUP(BM460,INDIRECT(AQ464),2,FALSE),"----")</f>
        <v>----</v>
      </c>
      <c r="BO460" s="702" t="e">
        <f t="shared" ca="1" si="7734"/>
        <v>#REF!</v>
      </c>
      <c r="BP460" s="686" t="str">
        <f ca="1">IFERROR(VLOOKUP(BO460,INDIRECT(AQ465),2,FALSE),"----")</f>
        <v>----</v>
      </c>
      <c r="BQ460" s="702" t="e">
        <f t="shared" ca="1" si="7735"/>
        <v>#REF!</v>
      </c>
      <c r="BR460" s="686" t="str">
        <f ca="1">IFERROR(VLOOKUP(BQ460,INDIRECT(AQ466),2,FALSE),"----")</f>
        <v>----</v>
      </c>
      <c r="BS460" s="703">
        <f>IF(AI460="",1,IF(COUNTIF(BF455:BF466,AI460)=0,2,1))</f>
        <v>1</v>
      </c>
      <c r="BT460" s="704">
        <f>IF(AF460="",1,IF(BF455=".",2,1))</f>
        <v>1</v>
      </c>
      <c r="BV460" s="155">
        <f ca="1">IF(COUNTIF(DD455:DD466,AF460)=0,IF(AF460&lt;&gt;"",0,1),1)</f>
        <v>1</v>
      </c>
      <c r="BW460" s="157">
        <f ca="1">IFERROR(MATCH(AF460,DD455:DD466,0),1)</f>
        <v>1</v>
      </c>
      <c r="BX460" s="875" t="s">
        <v>1594</v>
      </c>
      <c r="BY460" s="876"/>
      <c r="BZ460" s="1110"/>
      <c r="CA460" s="691" t="e">
        <f t="shared" ca="1" si="8208"/>
        <v>#REF!</v>
      </c>
      <c r="CB460" s="4" t="e" cm="1">
        <f t="array" aca="1" ref="CB460" ca="1">IF(AND(INDEX(INDIRECT(BY455),CA460,4)&gt;=$AB455,INDEX(INDIRECT(BY455),CA460,5)&gt;=$S455,INDEX(INDIRECT(BY455),CA460,6)&gt;=$R455),1,0)</f>
        <v>#REF!</v>
      </c>
      <c r="CC460" s="4" t="e">
        <f t="shared" ref="CC460" ca="1" si="8291">MATCH(1,OFFSET(CB455:CB466,CD459,0,COUNT(CB455:CB466)-CD459),0)</f>
        <v>#REF!</v>
      </c>
      <c r="CD460" s="4" t="e">
        <f t="shared" ca="1" si="8210"/>
        <v>#REF!</v>
      </c>
      <c r="CE460" s="692" t="str" cm="1">
        <f t="array" aca="1" ref="CE460" ca="1">IFERROR(VLOOKUP(INDEX(CA455:CA466,CD460),INDIRECT(BY455),2,FALSE),"----")</f>
        <v>----</v>
      </c>
      <c r="CF460" s="691" t="e">
        <f t="shared" ca="1" si="8211"/>
        <v>#N/A</v>
      </c>
      <c r="CG460" s="4" t="e">
        <f ca="1">IF(AND(INDEX(SSM,CF460,4)&gt;=$AB455,INDEX(SSM,CF460,5)&gt;=$S455,INDEX(SSM,CF460,6)&gt;=$R455),1,0)</f>
        <v>#N/A</v>
      </c>
      <c r="CH460" s="4" t="e">
        <f t="shared" ref="CH460" ca="1" si="8292">MATCH(1,OFFSET(CG455:CG466,CI459,0,COUNT(CG455:CG466)-CI459),0)</f>
        <v>#REF!</v>
      </c>
      <c r="CI460" s="4" t="e">
        <f t="shared" ca="1" si="8213"/>
        <v>#REF!</v>
      </c>
      <c r="CJ460" s="692" t="str">
        <f ca="1">IFERROR(IF(AD456="Nested Steel Stud (wood infill)",VLOOKUP(INDEX(CF455:CF466,CI460),SSW,2,FALSE),VLOOKUP(INDEX(CF455:CF466,CI460),SSM,2,FALSE)),"----")</f>
        <v>----</v>
      </c>
      <c r="CK460" s="691" t="e">
        <f t="shared" ca="1" si="8214"/>
        <v>#N/A</v>
      </c>
      <c r="CL460" s="4" t="e">
        <f ca="1">IF(AND(INDEX(WSM,CK460,4)&gt;=$AB455,INDEX(WSM,CK460,5)&gt;=$S455,INDEX(WSM,CK460,6)&gt;=$R455),1,0)</f>
        <v>#N/A</v>
      </c>
      <c r="CM460" s="4" t="e">
        <f t="shared" ref="CM460" ca="1" si="8293">MATCH(1,OFFSET(CL455:CL466,CN459,0,COUNT(CL455:CL466)-CN459),0)</f>
        <v>#REF!</v>
      </c>
      <c r="CN460" s="4" t="e">
        <f t="shared" ca="1" si="8216"/>
        <v>#REF!</v>
      </c>
      <c r="CO460" s="692" t="str">
        <f ca="1">IFERROR(VLOOKUP(INDEX(CK455:CK466,CN460),WSM,2,FALSE),"----")</f>
        <v>----</v>
      </c>
      <c r="CP460" s="691" t="e">
        <f t="shared" ca="1" si="8217"/>
        <v>#N/A</v>
      </c>
      <c r="CQ460" s="4" t="e">
        <f ca="1">IF(AND(INDEX(STM,CP460,4)&gt;=$AB455,INDEX(STM,CP460,5)&gt;=$S455,INDEX(STM,CP460,6)&gt;=$R455),1,0)</f>
        <v>#N/A</v>
      </c>
      <c r="CR460" s="4" t="e">
        <f t="shared" ref="CR460" ca="1" si="8294">MATCH(1,OFFSET(CQ455:CQ466,CS459,0,COUNT(CQ455:CQ466)-CS459),0)</f>
        <v>#REF!</v>
      </c>
      <c r="CS460" s="4" t="e">
        <f t="shared" ca="1" si="8219"/>
        <v>#REF!</v>
      </c>
      <c r="CT460" s="692" t="str">
        <f ca="1">IFERROR(VLOOKUP(INDEX(CP455:CP466,CS460),STM,2,FALSE),"----")</f>
        <v>----</v>
      </c>
      <c r="CU460" s="691" t="e">
        <f t="shared" ca="1" si="8220"/>
        <v>#N/A</v>
      </c>
      <c r="CV460" s="4" t="e">
        <f ca="1">IF(AND(INDEX(ELM,CU460,4)&gt;=$AB455,INDEX(ELM,CU460,5)&gt;=$S455,INDEX(ELM,CU460,6)&gt;=$R455),1,0)</f>
        <v>#N/A</v>
      </c>
      <c r="CW460" s="4" t="e">
        <f t="shared" ref="CW460" ca="1" si="8295">MATCH(1,OFFSET(CV455:CV466,CX459,0,COUNT(CV455:CV466)-CX459),0)</f>
        <v>#REF!</v>
      </c>
      <c r="CX460" s="4" t="e">
        <f t="shared" ca="1" si="8222"/>
        <v>#REF!</v>
      </c>
      <c r="CY460" s="692" t="str">
        <f ca="1">IFERROR(VLOOKUP(INDEX(CU455:CU466,CX460),ELM,2,FALSE),"----")</f>
        <v>----</v>
      </c>
      <c r="CZ460" s="691" t="e">
        <f t="shared" ca="1" si="8223"/>
        <v>#N/A</v>
      </c>
      <c r="DA460" s="4" t="e">
        <f ca="1">IF(LEFT($J455,7)="Clad Wo",IF(AND(INDEX(SPPWS,CZ460,4)&gt;=$AB455,INDEX(SPPWS,CZ460,5)&gt;=$S455,INDEX(SPPWS,CZ460,6)&gt;=$R455),1,0),IF(AND(INDEX(SPM,CZ460,4)&gt;=$AB455,INDEX(SPM,CZ460,5)&gt;=$S455,INDEX(SPM,CZ460,6)&gt;=$R455),1,0))</f>
        <v>#N/A</v>
      </c>
      <c r="DB460" s="4" t="e">
        <f t="shared" ref="DB460" ca="1" si="8296">MATCH(1,OFFSET(DA455:DA466,DC459,0,COUNT(DA455:DA466)-DC459),0)</f>
        <v>#REF!</v>
      </c>
      <c r="DC460" s="4" t="e">
        <f t="shared" ca="1" si="8225"/>
        <v>#REF!</v>
      </c>
      <c r="DD460" s="693" t="str">
        <f ca="1">IF(LEFT($J455,7)="Clad Wo",IFERROR(VLOOKUP(INDEX(CZ455:CZ466,DC460),SPPWS,2,FALSE),"----"),IFERROR(VLOOKUP(INDEX(CZ455:CZ466,DC460),SPM,2,FALSE),"----"))</f>
        <v>----</v>
      </c>
      <c r="DE460" s="691" t="e">
        <f t="shared" ca="1" si="8226"/>
        <v>#REF!</v>
      </c>
      <c r="DF460" s="4" t="e" cm="1">
        <f t="array" aca="1" ref="DF460" ca="1">IF(AND(INDEX(INDIRECT(BY455),DE460,4)&gt;=$AB461,INDEX(INDIRECT(BY455),DE460,5)&gt;=$S455,INDEX(INDIRECT(BY455),DE460,6)&gt;=$R455),1,0)</f>
        <v>#REF!</v>
      </c>
      <c r="DG460" s="4" t="e">
        <f t="shared" ref="DG460" ca="1" si="8297">MATCH(1,OFFSET(DF455:DF466,DH459,0,COUNT(DF455:DF466)-DH459),0)</f>
        <v>#REF!</v>
      </c>
      <c r="DH460" s="4" t="e">
        <f t="shared" ca="1" si="8228"/>
        <v>#REF!</v>
      </c>
      <c r="DI460" s="692" t="str" cm="1">
        <f t="array" aca="1" ref="DI460" ca="1">IFERROR(VLOOKUP(INDEX(DE455:DE466,DH460),INDIRECT(BY455),2,FALSE),"----")</f>
        <v>----</v>
      </c>
      <c r="DJ460" s="691" t="e">
        <f t="shared" ca="1" si="8229"/>
        <v>#N/A</v>
      </c>
      <c r="DK460" s="4" t="e">
        <f ca="1">IF(AND(INDEX(SSM,DJ460,4)&gt;=$AB461,INDEX(SSM,DJ460,5)&gt;=$S455,INDEX(SSM,DJ460,6)&gt;=$R455),1,0)</f>
        <v>#N/A</v>
      </c>
      <c r="DL460" s="4" t="e">
        <f t="shared" ref="DL460" ca="1" si="8298">MATCH(1,OFFSET(DK455:DK466,DM459,0,COUNT(DK455:DK466)-DM459),0)</f>
        <v>#REF!</v>
      </c>
      <c r="DM460" s="4" t="e">
        <f t="shared" ca="1" si="8231"/>
        <v>#REF!</v>
      </c>
      <c r="DN460" s="692" t="str">
        <f ca="1">IFERROR(IF(AD462="Nested Steel Stud (wood infill)",VLOOKUP(INDEX(DJ455:DJ466,DM460),SSW,2,FALSE),VLOOKUP(INDEX(DJ455:DJ466,DM460),SSM,2,FALSE)),"----")</f>
        <v>----</v>
      </c>
      <c r="DO460" s="691" t="e">
        <f t="shared" ca="1" si="8232"/>
        <v>#N/A</v>
      </c>
      <c r="DP460" s="4" t="e">
        <f ca="1">IF(AND(INDEX(WSM,DO460,4)&gt;=$AB461,INDEX(WSM,DO460,5)&gt;=$S455,INDEX(WSM,DO460,6)&gt;=$R455),1,0)</f>
        <v>#N/A</v>
      </c>
      <c r="DQ460" s="4" t="e">
        <f t="shared" ref="DQ460" ca="1" si="8299">MATCH(1,OFFSET(DP455:DP466,DR459,0,COUNT(DP455:DP466)-DR459),0)</f>
        <v>#REF!</v>
      </c>
      <c r="DR460" s="4" t="e">
        <f t="shared" ca="1" si="8234"/>
        <v>#REF!</v>
      </c>
      <c r="DS460" s="692" t="str">
        <f ca="1">IFERROR(VLOOKUP(INDEX(DO455:DO466,DR460),WSM,2,FALSE),"----")</f>
        <v>----</v>
      </c>
      <c r="DT460" s="691" t="e">
        <f t="shared" ca="1" si="8235"/>
        <v>#N/A</v>
      </c>
      <c r="DU460" s="4" t="e">
        <f ca="1">IF(AND(INDEX(STM,DT460,4)&gt;=$AB461,INDEX(STM,DT460,5)&gt;=$S455,INDEX(STM,DT460,6)&gt;=$R455),1,0)</f>
        <v>#N/A</v>
      </c>
      <c r="DV460" s="4" t="e">
        <f t="shared" ref="DV460" ca="1" si="8300">MATCH(1,OFFSET(DU455:DU466,DW459,0,COUNT(DU455:DU466)-DW459),0)</f>
        <v>#REF!</v>
      </c>
      <c r="DW460" s="4" t="e">
        <f t="shared" ca="1" si="8237"/>
        <v>#REF!</v>
      </c>
      <c r="DX460" s="692" t="str">
        <f ca="1">IFERROR(VLOOKUP(INDEX(DT455:DT466,DW460),STM,2,FALSE),"----")</f>
        <v>----</v>
      </c>
      <c r="DY460" s="691" t="e">
        <f t="shared" ca="1" si="8238"/>
        <v>#N/A</v>
      </c>
      <c r="DZ460" s="4" t="e">
        <f ca="1">IF(AND(INDEX(ELM,DY460,4)&gt;=$AB461,INDEX(ELM,DY460,5)&gt;=$S455,INDEX(ELM,DY460,6)&gt;=$R455),1,0)</f>
        <v>#N/A</v>
      </c>
      <c r="EA460" s="4" t="e">
        <f t="shared" ref="EA460" ca="1" si="8301">MATCH(1,OFFSET(DZ455:DZ466,EB459,0,COUNT(DZ455:DZ466)-EB459),0)</f>
        <v>#REF!</v>
      </c>
      <c r="EB460" s="4" t="e">
        <f t="shared" ca="1" si="8240"/>
        <v>#REF!</v>
      </c>
      <c r="EC460" s="692" t="str">
        <f ca="1">IFERROR(VLOOKUP(INDEX(DY455:DY466,EB460),ELM,2,FALSE),"----")</f>
        <v>----</v>
      </c>
      <c r="ED460" s="691" t="e">
        <f t="shared" ca="1" si="8241"/>
        <v>#N/A</v>
      </c>
      <c r="EE460" s="4" t="e">
        <f ca="1">IF(LEFT($J455,7)="Clad Wo",IF(AND(INDEX(SPPWS,ED460,4)&gt;=$AB461,INDEX(SPPWS,ED460,5)&gt;=$S455,INDEX(SPPWS,ED460,6)&gt;=$R455),1,0),IF(AND(INDEX(SPM,ED460,4)&gt;=$AB461,INDEX(SPM,ED460,5)&gt;=$S455,INDEX(SPM,ED460,6)&gt;=$R455),1,0))</f>
        <v>#N/A</v>
      </c>
      <c r="EF460" s="4" t="e">
        <f t="shared" ref="EF460" ca="1" si="8302">MATCH(1,OFFSET(EE455:EE466,EG459,0,COUNT(EE455:EE466)-EG459),0)</f>
        <v>#REF!</v>
      </c>
      <c r="EG460" s="4" t="e">
        <f t="shared" ca="1" si="8243"/>
        <v>#REF!</v>
      </c>
      <c r="EH460" s="692" t="str">
        <f ca="1">IF(LEFT($J455,7)="Clad Wo",IFERROR(VLOOKUP(INDEX(ED455:ED466,EG460),SPPWS,2,FALSE),"----"),IFERROR(VLOOKUP(INDEX(ED455:ED466,EG460),SPM,2,FALSE),"----"))</f>
        <v>----</v>
      </c>
    </row>
    <row r="461" spans="1:138" ht="15" customHeight="1" x14ac:dyDescent="0.25">
      <c r="A461" s="1085"/>
      <c r="B461" s="925" t="s">
        <v>409</v>
      </c>
      <c r="C461" s="926"/>
      <c r="D461" s="927"/>
      <c r="E461" s="995"/>
      <c r="F461" s="996"/>
      <c r="G461" s="997"/>
      <c r="H461" s="1062"/>
      <c r="I461" s="990"/>
      <c r="J461" s="908"/>
      <c r="K461" s="909"/>
      <c r="L461" s="1001">
        <f>L455+1</f>
        <v>5</v>
      </c>
      <c r="M461" s="1064" t="str">
        <f t="shared" ref="M461" si="8303">IFERROR(IF($AE$17="",IF($AG$19="Wind Loading",MIN($V$31,IF(E$11="ASCE 7-05",$U$26,$V$7)*$V$9*(IF($E$12&lt;60,0.156*LN(MAX(MIN(500,O455),10)) -1.7618,IF($E$11="ASCE 7-22", 0.2026*LN(MAX(MIN(500,O455),20))-2.2638,0.2503*LN(MAX(MIN(500,O455),20)) -2.5526))-$V$8)),$V$7*IF(E$12&lt;60,$V$13*($V$15*(0.156*LN(MAX(MIN(500,O455),10)) -1.7618)-$V$16),$V$13*$V$15*((0.2026*LN(MAX(MIN(500,O455),20))-2.2638)-$V$16))),-ABS($AE$17)),"")</f>
        <v/>
      </c>
      <c r="N461" s="1041" t="str">
        <f t="shared" ref="N461" si="8304">IFERROR(IF($AE$19="",IF($AG$19="Wind Loading",MAX($U$31,IF(E$11="ASCE 7-05",$U$26,$V$7)*$V$9*((IF($E$12&lt;60,-0.077*LN(MAX(MIN(500,O455),10))+1.1737,IF($E$11="ASCE 7-22",-0.077*LN(MAX(MIN(500,O455),20))+1.0798,-0.093*LN(MAX(MIN(500,O455),20))+1.1776)))+$V$8)),$V$7*IF(E$12&lt;60,$V$13*($V$15*(-0.077*LN(MAX(MIN(500,O455),10))+1.1737)-$V$17),$V$13*$V$15*((-0.077*LN(MAX(MIN(500,O455),20))+1.0798)-$V$17))),ABS($AE$19)),"")</f>
        <v/>
      </c>
      <c r="O461" s="1018"/>
      <c r="P461" s="987"/>
      <c r="Q461" s="1015"/>
      <c r="R461" s="1012">
        <f>P461*Q461/8</f>
        <v>0</v>
      </c>
      <c r="S461" s="1006"/>
      <c r="T461" s="1007"/>
      <c r="U461" s="878"/>
      <c r="V461" s="881"/>
      <c r="W461" s="883" t="e">
        <f t="shared" ref="W461" si="8305">MAX(-M461,N461)*O455</f>
        <v>#VALUE!</v>
      </c>
      <c r="X461" s="884"/>
      <c r="Y461" s="886">
        <f>IFERROR(IF(AG$14="Trapezoidal",BY464,BX464)+IF($E$17="4",(400*E455^3)/(48*X455),0),0)</f>
        <v>0</v>
      </c>
      <c r="Z461" s="886" t="e">
        <f t="shared" ref="Z461" si="8306">+($V455*MAX(-$M461,$N461)*$E455^2)/(144*8)+IF($E$17=4,(400*$E455)/4,0)</f>
        <v>#VALUE!</v>
      </c>
      <c r="AA461" s="887"/>
      <c r="AB461" s="1080" t="str">
        <f t="shared" ref="AB461" ca="1" si="8307">IFERROR(Z461-AA455,"")</f>
        <v/>
      </c>
      <c r="AC461" s="1086" t="str">
        <f t="shared" ref="AC461" ca="1" si="8308">IFERROR(Y461-U455,"")</f>
        <v/>
      </c>
      <c r="AD461" s="1074" t="str">
        <f t="shared" ref="AD461" si="8309">AD455</f>
        <v/>
      </c>
      <c r="AE461" s="1075"/>
      <c r="AF461" s="1056"/>
      <c r="AG461" s="1057"/>
      <c r="AH461" s="1057"/>
      <c r="AI461" s="1088"/>
      <c r="AJ461" s="1089"/>
      <c r="AK461" s="162" t="str">
        <f t="shared" ca="1" si="7482"/>
        <v/>
      </c>
      <c r="AL461" s="1058" t="str">
        <f t="shared" ref="AL461" si="8310">IFERROR(ROUND(SQRT(P455^2+(W461/2+IF($E$17=4,200,0))^2),0),"")</f>
        <v/>
      </c>
      <c r="AM461" s="342" t="s">
        <v>669</v>
      </c>
      <c r="AN461" t="str">
        <f t="shared" ca="1" si="7532"/>
        <v/>
      </c>
      <c r="AP461" s="122" t="str">
        <f t="shared" ref="AP461" si="8311">_xlfn.CONCAT(AR461,AS466)</f>
        <v/>
      </c>
      <c r="AQ461" s="683" t="str">
        <f t="shared" si="7698"/>
        <v/>
      </c>
      <c r="AR461" s="96" t="str">
        <f t="shared" si="7457"/>
        <v/>
      </c>
      <c r="AS461" s="96" t="str">
        <f>IF(COUNTIF(imp_1,AF461)=1,"imp_1",IF(COUNTIF(imp_2,AF461)=1,"imp_2",IF(COUNTIF(imp_3,AF461)=1,"imp_3",IF(COUNTIF(impdoor,AF461)=1,"impdoor",""))))</f>
        <v/>
      </c>
      <c r="AT461" s="684" t="str">
        <f>AL461</f>
        <v/>
      </c>
      <c r="AU461" s="685" t="e">
        <f t="shared" ca="1" si="7724"/>
        <v>#REF!</v>
      </c>
      <c r="AV461" s="686" t="str">
        <f ca="1">IFERROR(VLOOKUP(AU461,INDIRECT(AQ455),2,FALSE),"----")</f>
        <v>----</v>
      </c>
      <c r="AW461" s="685" t="e">
        <f t="shared" ca="1" si="7725"/>
        <v>#REF!</v>
      </c>
      <c r="AX461" s="686" t="str">
        <f ca="1">IFERROR(VLOOKUP(AW461,INDIRECT(AQ456),2,FALSE),"----")</f>
        <v>----</v>
      </c>
      <c r="AY461" s="685" t="e">
        <f t="shared" ca="1" si="8289"/>
        <v>#REF!</v>
      </c>
      <c r="AZ461" s="686" t="str">
        <f ca="1">IFERROR(VLOOKUP(AY461,INDIRECT(AQ457),2,FALSE),"----")</f>
        <v>----</v>
      </c>
      <c r="BA461" s="685" t="e">
        <f t="shared" ca="1" si="8290"/>
        <v>#REF!</v>
      </c>
      <c r="BB461" s="686" t="str">
        <f ca="1">IFERROR(VLOOKUP(BA461,INDIRECT(AQ458),2,FALSE),"----")</f>
        <v>----</v>
      </c>
      <c r="BC461" s="685" t="e">
        <f t="shared" ca="1" si="7728"/>
        <v>#REF!</v>
      </c>
      <c r="BD461" s="686" t="str">
        <f ca="1">IFERROR(VLOOKUP(BC461,INDIRECT(AQ459),2,FALSE),"----")</f>
        <v>----</v>
      </c>
      <c r="BE461" s="685" t="e">
        <f t="shared" ca="1" si="7729"/>
        <v>#REF!</v>
      </c>
      <c r="BF461" s="686" t="str">
        <f ca="1">IFERROR(VLOOKUP(BE461,INDIRECT(AQ460),2,FALSE),"----")</f>
        <v>----</v>
      </c>
      <c r="BG461" s="702" t="e">
        <f t="shared" ca="1" si="7730"/>
        <v>#REF!</v>
      </c>
      <c r="BH461" s="686" t="str">
        <f ca="1">IFERROR(VLOOKUP(BG461,INDIRECT(AQ461),2,FALSE),"----")</f>
        <v>----</v>
      </c>
      <c r="BI461" s="702" t="e">
        <f t="shared" ca="1" si="7731"/>
        <v>#REF!</v>
      </c>
      <c r="BJ461" s="686" t="str">
        <f ca="1">IFERROR(VLOOKUP(BI461,INDIRECT(AQ462),2,FALSE),"----")</f>
        <v>----</v>
      </c>
      <c r="BK461" s="702" t="e">
        <f t="shared" ca="1" si="7732"/>
        <v>#REF!</v>
      </c>
      <c r="BL461" s="686" t="str">
        <f ca="1">IFERROR(VLOOKUP(BK461,INDIRECT(AQ463),2,FALSE),"----")</f>
        <v>----</v>
      </c>
      <c r="BM461" s="702" t="e">
        <f t="shared" ca="1" si="7733"/>
        <v>#REF!</v>
      </c>
      <c r="BN461" s="686" t="str">
        <f ca="1">IFERROR(VLOOKUP(BM461,INDIRECT(AQ464),2,FALSE),"----")</f>
        <v>----</v>
      </c>
      <c r="BO461" s="702" t="e">
        <f t="shared" ca="1" si="7734"/>
        <v>#REF!</v>
      </c>
      <c r="BP461" s="686" t="str">
        <f ca="1">IFERROR(VLOOKUP(BO461,INDIRECT(AQ465),2,FALSE),"----")</f>
        <v>----</v>
      </c>
      <c r="BQ461" s="702" t="e">
        <f t="shared" ca="1" si="7735"/>
        <v>#REF!</v>
      </c>
      <c r="BR461" s="686" t="str">
        <f ca="1">IFERROR(VLOOKUP(BQ461,INDIRECT(AQ466),2,FALSE),"----")</f>
        <v>----</v>
      </c>
      <c r="BS461" s="695">
        <f>IF(AI461="",1,IF(COUNTIF(BH455:BH466,AI461)=0,2,1))</f>
        <v>1</v>
      </c>
      <c r="BT461" s="696">
        <f>IF(AP461="1",1,IF(AF461="",1,IF(BH455=".",2,1)))</f>
        <v>1</v>
      </c>
      <c r="BU461" s="706"/>
      <c r="BV461" s="155">
        <f ca="1">IF(COUNTIF(DI455:DI466,AF461)=0,IF(AF461&lt;&gt;"",0,1),1)</f>
        <v>1</v>
      </c>
      <c r="BW461" s="157">
        <f ca="1">IFERROR(MATCH(AF461,DI455:DI466,0),1)</f>
        <v>1</v>
      </c>
      <c r="BX461" s="769" t="s">
        <v>1593</v>
      </c>
      <c r="BY461" s="769" t="s">
        <v>1629</v>
      </c>
      <c r="BZ461" s="1110"/>
      <c r="CA461" s="691" t="e">
        <f t="shared" ca="1" si="8208"/>
        <v>#REF!</v>
      </c>
      <c r="CB461" s="4" t="e" cm="1">
        <f t="array" aca="1" ref="CB461" ca="1">IF(AND(INDEX(INDIRECT(BY455),CA461,4)&gt;=$AB455,INDEX(INDIRECT(BY455),CA461,5)&gt;=$S455,INDEX(INDIRECT(BY455),CA461,6)&gt;=$R455),1,0)</f>
        <v>#REF!</v>
      </c>
      <c r="CC461" s="4" t="e">
        <f t="shared" ref="CC461" ca="1" si="8312">MATCH(1,OFFSET(CB455:CB466,CD460,0,COUNT(CB455:CB466)-CD460),0)</f>
        <v>#REF!</v>
      </c>
      <c r="CD461" s="4" t="e">
        <f t="shared" ca="1" si="8210"/>
        <v>#REF!</v>
      </c>
      <c r="CE461" s="692" t="str" cm="1">
        <f t="array" aca="1" ref="CE461" ca="1">IFERROR(VLOOKUP(INDEX(CA455:CA466,CD461),INDIRECT(BY455),2,FALSE),"----")</f>
        <v>----</v>
      </c>
      <c r="CF461" s="691" t="e">
        <f t="shared" ca="1" si="8211"/>
        <v>#N/A</v>
      </c>
      <c r="CG461" s="4" t="e">
        <f ca="1">IF(AND(INDEX(SSM,CF461,4)&gt;=$AB455,INDEX(SSM,CF461,5)&gt;=$S455,INDEX(SSM,CF461,6)&gt;=$R455),1,0)</f>
        <v>#N/A</v>
      </c>
      <c r="CH461" s="4" t="e">
        <f t="shared" ref="CH461" ca="1" si="8313">MATCH(1,OFFSET(CG455:CG466,CI460,0,COUNT(CG455:CG466)-CI460),0)</f>
        <v>#REF!</v>
      </c>
      <c r="CI461" s="4" t="e">
        <f t="shared" ca="1" si="8213"/>
        <v>#REF!</v>
      </c>
      <c r="CJ461" s="692" t="str">
        <f ca="1">IFERROR(IF(AD456="Nested Steel Stud (wood infill)",VLOOKUP(INDEX(CF455:CF466,CI461),SSW,2,FALSE),VLOOKUP(INDEX(CF455:CF466,CI461),SSM,2,FALSE)),"----")</f>
        <v>----</v>
      </c>
      <c r="CK461" s="691" t="e">
        <f t="shared" ca="1" si="8214"/>
        <v>#N/A</v>
      </c>
      <c r="CL461" s="4" t="e">
        <f ca="1">IF(AND(INDEX(WSM,CK461,4)&gt;=$AB455,INDEX(WSM,CK461,5)&gt;=$S455,INDEX(WSM,CK461,6)&gt;=$R455),1,0)</f>
        <v>#N/A</v>
      </c>
      <c r="CM461" s="4" t="e">
        <f t="shared" ref="CM461" ca="1" si="8314">MATCH(1,OFFSET(CL455:CL466,CN460,0,COUNT(CL455:CL466)-CN460),0)</f>
        <v>#REF!</v>
      </c>
      <c r="CN461" s="4" t="e">
        <f t="shared" ca="1" si="8216"/>
        <v>#REF!</v>
      </c>
      <c r="CO461" s="692" t="str">
        <f ca="1">IFERROR(VLOOKUP(INDEX(CK455:CK466,CN461),WSM,2,FALSE),"----")</f>
        <v>----</v>
      </c>
      <c r="CP461" s="691" t="e">
        <f t="shared" ca="1" si="8217"/>
        <v>#N/A</v>
      </c>
      <c r="CQ461" s="4" t="e">
        <f ca="1">IF(AND(INDEX(STM,CP461,4)&gt;=$AB455,INDEX(STM,CP461,5)&gt;=$S455,INDEX(STM,CP461,6)&gt;=$R455),1,0)</f>
        <v>#N/A</v>
      </c>
      <c r="CR461" s="4" t="e">
        <f t="shared" ref="CR461" ca="1" si="8315">MATCH(1,OFFSET(CQ455:CQ466,CS460,0,COUNT(CQ455:CQ466)-CS460),0)</f>
        <v>#REF!</v>
      </c>
      <c r="CS461" s="4" t="e">
        <f t="shared" ca="1" si="8219"/>
        <v>#REF!</v>
      </c>
      <c r="CT461" s="692" t="str">
        <f ca="1">IFERROR(VLOOKUP(INDEX(CP455:CP466,CS461),STM,2,FALSE),"----")</f>
        <v>----</v>
      </c>
      <c r="CU461" s="691" t="e">
        <f t="shared" ca="1" si="8220"/>
        <v>#N/A</v>
      </c>
      <c r="CV461" s="4" t="e">
        <f ca="1">IF(AND(INDEX(ELM,CU461,4)&gt;=$AB455,INDEX(ELM,CU461,5)&gt;=$S455,INDEX(ELM,CU461,6)&gt;=$R455),1,0)</f>
        <v>#N/A</v>
      </c>
      <c r="CW461" s="4" t="e">
        <f t="shared" ref="CW461" ca="1" si="8316">MATCH(1,OFFSET(CV455:CV466,CX460,0,COUNT(CV455:CV466)-CX460),0)</f>
        <v>#REF!</v>
      </c>
      <c r="CX461" s="4" t="e">
        <f t="shared" ca="1" si="8222"/>
        <v>#REF!</v>
      </c>
      <c r="CY461" s="692" t="str">
        <f ca="1">IFERROR(VLOOKUP(INDEX(CU455:CU466,CX461),ELM,2,FALSE),"----")</f>
        <v>----</v>
      </c>
      <c r="CZ461" s="691" t="e">
        <f t="shared" ca="1" si="8223"/>
        <v>#N/A</v>
      </c>
      <c r="DA461" s="4" t="e">
        <f ca="1">IF(LEFT($J455,7)="Clad Wo",IF(AND(INDEX(SPPWS,CZ461,4)&gt;=$AB455,INDEX(SPPWS,CZ461,5)&gt;=$S455,INDEX(SPPWS,CZ461,6)&gt;=$R455),1,0),IF(AND(INDEX(SPM,CZ461,4)&gt;=$AB455,INDEX(SPM,CZ461,5)&gt;=$S455,INDEX(SPM,CZ461,6)&gt;=$R455),1,0))</f>
        <v>#N/A</v>
      </c>
      <c r="DB461" s="4" t="e">
        <f t="shared" ref="DB461" ca="1" si="8317">MATCH(1,OFFSET(DA455:DA466,DC460,0,COUNT(DA455:DA466)-DC460),0)</f>
        <v>#REF!</v>
      </c>
      <c r="DC461" s="4" t="e">
        <f t="shared" ca="1" si="8225"/>
        <v>#REF!</v>
      </c>
      <c r="DD461" s="693" t="str">
        <f ca="1">IF(LEFT($J455,7)="Clad Wo",IFERROR(VLOOKUP(INDEX(CZ455:CZ466,DC461),SPPWS,2,FALSE),"----"),IFERROR(VLOOKUP(INDEX(CZ455:CZ466,DC461),SPM,2,FALSE),"----"))</f>
        <v>----</v>
      </c>
      <c r="DE461" s="691" t="e">
        <f t="shared" ca="1" si="8226"/>
        <v>#REF!</v>
      </c>
      <c r="DF461" s="4" t="e" cm="1">
        <f t="array" aca="1" ref="DF461" ca="1">IF(AND(INDEX(INDIRECT(BY455),DE461,4)&gt;=$AB461,INDEX(INDIRECT(BY455),DE461,5)&gt;=$S455,INDEX(INDIRECT(BY455),DE461,6)&gt;=$R455),1,0)</f>
        <v>#REF!</v>
      </c>
      <c r="DG461" s="4" t="e">
        <f t="shared" ref="DG461" ca="1" si="8318">MATCH(1,OFFSET(DF455:DF466,DH460,0,COUNT(DF455:DF466)-DH460),0)</f>
        <v>#REF!</v>
      </c>
      <c r="DH461" s="4" t="e">
        <f t="shared" ca="1" si="8228"/>
        <v>#REF!</v>
      </c>
      <c r="DI461" s="692" t="str" cm="1">
        <f t="array" aca="1" ref="DI461" ca="1">IFERROR(VLOOKUP(INDEX(DE455:DE466,DH461),INDIRECT(BY455),2,FALSE),"----")</f>
        <v>----</v>
      </c>
      <c r="DJ461" s="691" t="e">
        <f t="shared" ca="1" si="8229"/>
        <v>#N/A</v>
      </c>
      <c r="DK461" s="4" t="e">
        <f ca="1">IF(AND(INDEX(SSM,DJ461,4)&gt;=$AB461,INDEX(SSM,DJ461,5)&gt;=$S455,INDEX(SSM,DJ461,6)&gt;=$R455),1,0)</f>
        <v>#N/A</v>
      </c>
      <c r="DL461" s="4" t="e">
        <f t="shared" ref="DL461" ca="1" si="8319">MATCH(1,OFFSET(DK455:DK466,DM460,0,COUNT(DK455:DK466)-DM460),0)</f>
        <v>#REF!</v>
      </c>
      <c r="DM461" s="4" t="e">
        <f t="shared" ca="1" si="8231"/>
        <v>#REF!</v>
      </c>
      <c r="DN461" s="692" t="str">
        <f ca="1">IFERROR(IF(AD462="Nested Steel Stud (wood infill)",VLOOKUP(INDEX(DJ455:DJ466,DM461),SSW,2,FALSE),VLOOKUP(INDEX(DJ455:DJ466,DM461),SSM,2,FALSE)),"----")</f>
        <v>----</v>
      </c>
      <c r="DO461" s="691" t="e">
        <f t="shared" ca="1" si="8232"/>
        <v>#N/A</v>
      </c>
      <c r="DP461" s="4" t="e">
        <f ca="1">IF(AND(INDEX(WSM,DO461,4)&gt;=$AB461,INDEX(WSM,DO461,5)&gt;=$S455,INDEX(WSM,DO461,6)&gt;=$R455),1,0)</f>
        <v>#N/A</v>
      </c>
      <c r="DQ461" s="4" t="e">
        <f t="shared" ref="DQ461" ca="1" si="8320">MATCH(1,OFFSET(DP455:DP466,DR460,0,COUNT(DP455:DP466)-DR460),0)</f>
        <v>#REF!</v>
      </c>
      <c r="DR461" s="4" t="e">
        <f t="shared" ca="1" si="8234"/>
        <v>#REF!</v>
      </c>
      <c r="DS461" s="692" t="str">
        <f ca="1">IFERROR(VLOOKUP(INDEX(DO455:DO466,DR461),WSM,2,FALSE),"----")</f>
        <v>----</v>
      </c>
      <c r="DT461" s="691" t="e">
        <f t="shared" ca="1" si="8235"/>
        <v>#N/A</v>
      </c>
      <c r="DU461" s="4" t="e">
        <f ca="1">IF(AND(INDEX(STM,DT461,4)&gt;=$AB461,INDEX(STM,DT461,5)&gt;=$S455,INDEX(STM,DT461,6)&gt;=$R455),1,0)</f>
        <v>#N/A</v>
      </c>
      <c r="DV461" s="4" t="e">
        <f t="shared" ref="DV461" ca="1" si="8321">MATCH(1,OFFSET(DU455:DU466,DW460,0,COUNT(DU455:DU466)-DW460),0)</f>
        <v>#REF!</v>
      </c>
      <c r="DW461" s="4" t="e">
        <f t="shared" ca="1" si="8237"/>
        <v>#REF!</v>
      </c>
      <c r="DX461" s="692" t="str">
        <f ca="1">IFERROR(VLOOKUP(INDEX(DT455:DT466,DW461),STM,2,FALSE),"----")</f>
        <v>----</v>
      </c>
      <c r="DY461" s="691" t="e">
        <f t="shared" ca="1" si="8238"/>
        <v>#N/A</v>
      </c>
      <c r="DZ461" s="4" t="e">
        <f ca="1">IF(AND(INDEX(ELM,DY461,4)&gt;=$AB461,INDEX(ELM,DY461,5)&gt;=$S455,INDEX(ELM,DY461,6)&gt;=$R455),1,0)</f>
        <v>#N/A</v>
      </c>
      <c r="EA461" s="4" t="e">
        <f t="shared" ref="EA461" ca="1" si="8322">MATCH(1,OFFSET(DZ455:DZ466,EB460,0,COUNT(DZ455:DZ466)-EB460),0)</f>
        <v>#REF!</v>
      </c>
      <c r="EB461" s="4" t="e">
        <f t="shared" ca="1" si="8240"/>
        <v>#REF!</v>
      </c>
      <c r="EC461" s="692" t="str">
        <f ca="1">IFERROR(VLOOKUP(INDEX(DY455:DY466,EB461),ELM,2,FALSE),"----")</f>
        <v>----</v>
      </c>
      <c r="ED461" s="691" t="e">
        <f t="shared" ca="1" si="8241"/>
        <v>#N/A</v>
      </c>
      <c r="EE461" s="4" t="e">
        <f ca="1">IF(LEFT($J455,7)="Clad Wo",IF(AND(INDEX(SPPWS,ED461,4)&gt;=$AB461,INDEX(SPPWS,ED461,5)&gt;=$S455,INDEX(SPPWS,ED461,6)&gt;=$R455),1,0),IF(AND(INDEX(SPM,ED461,4)&gt;=$AB461,INDEX(SPM,ED461,5)&gt;=$S455,INDEX(SPM,ED461,6)&gt;=$R455),1,0))</f>
        <v>#N/A</v>
      </c>
      <c r="EF461" s="4" t="e">
        <f t="shared" ref="EF461" ca="1" si="8323">MATCH(1,OFFSET(EE455:EE466,EG460,0,COUNT(EE455:EE466)-EG460),0)</f>
        <v>#REF!</v>
      </c>
      <c r="EG461" s="4" t="e">
        <f t="shared" ca="1" si="8243"/>
        <v>#REF!</v>
      </c>
      <c r="EH461" s="692" t="str">
        <f ca="1">IF(LEFT($J455,7)="Clad Wo",IFERROR(VLOOKUP(INDEX(ED455:ED466,EG461),SPPWS,2,FALSE),"----"),IFERROR(VLOOKUP(INDEX(ED455:ED466,EG461),SPM,2,FALSE),"----"))</f>
        <v>----</v>
      </c>
    </row>
    <row r="462" spans="1:138" ht="15" customHeight="1" x14ac:dyDescent="0.25">
      <c r="A462" s="1085"/>
      <c r="B462" s="925"/>
      <c r="C462" s="926"/>
      <c r="D462" s="927"/>
      <c r="E462" s="995"/>
      <c r="F462" s="996"/>
      <c r="G462" s="997"/>
      <c r="H462" s="1062"/>
      <c r="I462" s="990"/>
      <c r="J462" s="912"/>
      <c r="K462" s="913"/>
      <c r="L462" s="1002"/>
      <c r="M462" s="923"/>
      <c r="N462" s="1042"/>
      <c r="O462" s="1018"/>
      <c r="P462" s="987"/>
      <c r="Q462" s="1015"/>
      <c r="R462" s="1012"/>
      <c r="S462" s="1006"/>
      <c r="T462" s="1007"/>
      <c r="U462" s="878"/>
      <c r="V462" s="881"/>
      <c r="W462" s="884"/>
      <c r="X462" s="884"/>
      <c r="Y462" s="887"/>
      <c r="Z462" s="887"/>
      <c r="AA462" s="887"/>
      <c r="AB462" s="1081"/>
      <c r="AC462" s="1078"/>
      <c r="AD462" s="1070" t="str">
        <f t="shared" ref="AD462" si="8324">IF(ISBLANK(AD456)=TRUE,"",AD456)</f>
        <v>Nested Steel Stud</v>
      </c>
      <c r="AE462" s="1071"/>
      <c r="AF462" s="1052"/>
      <c r="AG462" s="1053"/>
      <c r="AH462" s="1053"/>
      <c r="AI462" s="1066"/>
      <c r="AJ462" s="1067"/>
      <c r="AK462" s="156" t="str">
        <f t="shared" ca="1" si="7482"/>
        <v/>
      </c>
      <c r="AL462" s="1059"/>
      <c r="AM462" s="343" t="str">
        <f ca="1">IFERROR(Q455/12*ROUND(VLOOKUP(AF462,OFFSET(SSM,0,1),6,FALSE),2),"")</f>
        <v/>
      </c>
      <c r="AN462" t="str">
        <f t="shared" ca="1" si="7532"/>
        <v/>
      </c>
      <c r="AP462" s="122" t="str">
        <f t="shared" ref="AP462" si="8325">_xlfn.CONCAT(AR462,AS466)</f>
        <v/>
      </c>
      <c r="AQ462" s="683" t="str">
        <f t="shared" si="7698"/>
        <v/>
      </c>
      <c r="AR462" s="96" t="str">
        <f t="shared" si="7457"/>
        <v/>
      </c>
      <c r="AS462" s="96" t="str">
        <f>IF(COUNTIF(Vista_1,AF461)=1,"Vista_1",IF(COUNTIF(Vista_2,AF461)=1,"Vista_2",""))</f>
        <v/>
      </c>
      <c r="AT462" s="684" t="str">
        <f>AL461</f>
        <v/>
      </c>
      <c r="AU462" s="694" t="e">
        <f t="shared" ca="1" si="7724"/>
        <v>#REF!</v>
      </c>
      <c r="AV462" s="686" t="str">
        <f ca="1">IFERROR(VLOOKUP(AU462,INDIRECT(AQ455),2,FALSE),"----")</f>
        <v>----</v>
      </c>
      <c r="AW462" s="694" t="e">
        <f t="shared" ca="1" si="7725"/>
        <v>#REF!</v>
      </c>
      <c r="AX462" s="686" t="str">
        <f ca="1">IFERROR(VLOOKUP(AW462,INDIRECT(AQ456),2,FALSE),"----")</f>
        <v>----</v>
      </c>
      <c r="AY462" s="694" t="e">
        <f t="shared" ca="1" si="8289"/>
        <v>#REF!</v>
      </c>
      <c r="AZ462" s="686" t="str">
        <f ca="1">IFERROR(VLOOKUP(AY462,INDIRECT(AQ457),2,FALSE),"----")</f>
        <v>----</v>
      </c>
      <c r="BA462" s="694" t="e">
        <f t="shared" ca="1" si="8290"/>
        <v>#REF!</v>
      </c>
      <c r="BB462" s="686" t="str">
        <f ca="1">IFERROR(VLOOKUP(BA462,INDIRECT(AQ458),2,FALSE),"----")</f>
        <v>----</v>
      </c>
      <c r="BC462" s="694" t="e">
        <f t="shared" ca="1" si="7728"/>
        <v>#REF!</v>
      </c>
      <c r="BD462" s="686" t="str">
        <f ca="1">IFERROR(VLOOKUP(BC462,INDIRECT(AQ459),2,FALSE),"----")</f>
        <v>----</v>
      </c>
      <c r="BE462" s="694" t="e">
        <f t="shared" ca="1" si="7729"/>
        <v>#REF!</v>
      </c>
      <c r="BF462" s="686" t="str">
        <f ca="1">IFERROR(VLOOKUP(BE462,INDIRECT(AQ460),2,FALSE),"----")</f>
        <v>----</v>
      </c>
      <c r="BG462" s="702" t="e">
        <f t="shared" ca="1" si="7730"/>
        <v>#REF!</v>
      </c>
      <c r="BH462" s="686" t="str">
        <f ca="1">IFERROR(VLOOKUP(BG462,INDIRECT(AQ461),2,FALSE),"----")</f>
        <v>----</v>
      </c>
      <c r="BI462" s="702" t="e">
        <f t="shared" ca="1" si="7731"/>
        <v>#REF!</v>
      </c>
      <c r="BJ462" s="686" t="str">
        <f ca="1">IFERROR(VLOOKUP(BI462,INDIRECT(AQ462),2,FALSE),"----")</f>
        <v>----</v>
      </c>
      <c r="BK462" s="702" t="e">
        <f t="shared" ca="1" si="7732"/>
        <v>#REF!</v>
      </c>
      <c r="BL462" s="686" t="str">
        <f ca="1">IFERROR(VLOOKUP(BK462,INDIRECT(AQ463),2,FALSE),"----")</f>
        <v>----</v>
      </c>
      <c r="BM462" s="702" t="e">
        <f t="shared" ca="1" si="7733"/>
        <v>#REF!</v>
      </c>
      <c r="BN462" s="686" t="str">
        <f ca="1">IFERROR(VLOOKUP(BM462,INDIRECT(AQ464),2,FALSE),"----")</f>
        <v>----</v>
      </c>
      <c r="BO462" s="702" t="e">
        <f t="shared" ca="1" si="7734"/>
        <v>#REF!</v>
      </c>
      <c r="BP462" s="686" t="str">
        <f ca="1">IFERROR(VLOOKUP(BO462,INDIRECT(AQ465),2,FALSE),"----")</f>
        <v>----</v>
      </c>
      <c r="BQ462" s="702" t="e">
        <f t="shared" ca="1" si="7735"/>
        <v>#REF!</v>
      </c>
      <c r="BR462" s="686" t="str">
        <f ca="1">IFERROR(VLOOKUP(BQ462,INDIRECT(AQ466),2,FALSE),"----")</f>
        <v>----</v>
      </c>
      <c r="BS462" s="695">
        <f>IF(AI462="",1,IF(COUNTIF(BJ455:BJ466,AI462)=0,2,1))</f>
        <v>1</v>
      </c>
      <c r="BT462" s="696">
        <f>IF(AF462="",1,IF(BJ455=".",2,1))</f>
        <v>1</v>
      </c>
      <c r="BU462" s="706"/>
      <c r="BV462" s="155">
        <f ca="1">IF(COUNTIF(DN455:DN466,AF462)=0,IF(AF462&lt;&gt;"",0,1),1)</f>
        <v>1</v>
      </c>
      <c r="BW462" s="157">
        <f ca="1">IFERROR(MATCH(AF462,DN455:DN466,0),1)</f>
        <v>1</v>
      </c>
      <c r="BX462" s="769">
        <f t="shared" ref="BX462" si="8326">E455*(H455+I455)/144/2</f>
        <v>0</v>
      </c>
      <c r="BY462" s="769">
        <f>SUM(IF(H455&gt;E455,E455^2/4,(H455*E455/2)-(H455^2/4))/144,IF(I455&gt;E455,E455^2/4,(I455*E455/2)-(I455^2/4))/144)</f>
        <v>0</v>
      </c>
      <c r="BZ462" s="1110"/>
      <c r="CA462" s="691" t="e">
        <f t="shared" ca="1" si="8208"/>
        <v>#REF!</v>
      </c>
      <c r="CB462" s="4" t="e" cm="1">
        <f t="array" aca="1" ref="CB462" ca="1">IF(AND(INDEX(INDIRECT(BY455),CA462,4)&gt;=$AB455,INDEX(INDIRECT(BY455),CA462,5)&gt;=$S455,INDEX(INDIRECT(BY455),CA462,6)&gt;=$R455),1,0)</f>
        <v>#REF!</v>
      </c>
      <c r="CC462" s="4" t="e">
        <f t="shared" ref="CC462" ca="1" si="8327">MATCH(1,OFFSET(CB455:CB466,CD461,0,COUNT(CB455:CB466)-CD461),0)</f>
        <v>#REF!</v>
      </c>
      <c r="CD462" s="4" t="e">
        <f t="shared" ca="1" si="8210"/>
        <v>#REF!</v>
      </c>
      <c r="CE462" s="692" t="str" cm="1">
        <f t="array" aca="1" ref="CE462" ca="1">IFERROR(VLOOKUP(INDEX(CA455:CA466,CD462),INDIRECT(BY455),2,FALSE),"----")</f>
        <v>----</v>
      </c>
      <c r="CF462" s="691" t="e">
        <f t="shared" ca="1" si="8211"/>
        <v>#N/A</v>
      </c>
      <c r="CG462" s="4" t="e">
        <f ca="1">IF(AND(INDEX(SSM,CF462,4)&gt;=$AB455,INDEX(SSM,CF462,5)&gt;=$S455,INDEX(SSM,CF462,6)&gt;=$R455),1,0)</f>
        <v>#N/A</v>
      </c>
      <c r="CH462" s="4" t="e">
        <f t="shared" ref="CH462" ca="1" si="8328">MATCH(1,OFFSET(CG455:CG466,CI461,0,COUNT(CG455:CG466)-CI461),0)</f>
        <v>#REF!</v>
      </c>
      <c r="CI462" s="4" t="e">
        <f t="shared" ca="1" si="8213"/>
        <v>#REF!</v>
      </c>
      <c r="CJ462" s="692" t="str">
        <f ca="1">IFERROR(IF(AD456="Nested Steel Stud (wood infill)",VLOOKUP(INDEX(CF455:CF466,CI462),SSW,2,FALSE),VLOOKUP(INDEX(CF455:CF466,CI462),SSM,2,FALSE)),"----")</f>
        <v>----</v>
      </c>
      <c r="CK462" s="691" t="e">
        <f t="shared" ca="1" si="8214"/>
        <v>#N/A</v>
      </c>
      <c r="CL462" s="4" t="e">
        <f ca="1">IF(AND(INDEX(WSM,CK462,4)&gt;=$AB455,INDEX(WSM,CK462,5)&gt;=$S455,INDEX(WSM,CK462,6)&gt;=$R455),1,0)</f>
        <v>#N/A</v>
      </c>
      <c r="CM462" s="4" t="e">
        <f t="shared" ref="CM462" ca="1" si="8329">MATCH(1,OFFSET(CL455:CL466,CN461,0,COUNT(CL455:CL466)-CN461),0)</f>
        <v>#REF!</v>
      </c>
      <c r="CN462" s="4" t="e">
        <f t="shared" ca="1" si="8216"/>
        <v>#REF!</v>
      </c>
      <c r="CO462" s="692" t="str">
        <f ca="1">IFERROR(VLOOKUP(INDEX(CK455:CK466,CN462),WSM,2,FALSE),"----")</f>
        <v>----</v>
      </c>
      <c r="CP462" s="691" t="e">
        <f t="shared" ca="1" si="8217"/>
        <v>#N/A</v>
      </c>
      <c r="CQ462" s="4" t="e">
        <f ca="1">IF(AND(INDEX(STM,CP462,4)&gt;=$AB455,INDEX(STM,CP462,5)&gt;=$S455,INDEX(STM,CP462,6)&gt;=$R455),1,0)</f>
        <v>#N/A</v>
      </c>
      <c r="CR462" s="4" t="e">
        <f t="shared" ref="CR462" ca="1" si="8330">MATCH(1,OFFSET(CQ455:CQ466,CS461,0,COUNT(CQ455:CQ466)-CS461),0)</f>
        <v>#REF!</v>
      </c>
      <c r="CS462" s="4" t="e">
        <f t="shared" ca="1" si="8219"/>
        <v>#REF!</v>
      </c>
      <c r="CT462" s="692" t="str">
        <f ca="1">IFERROR(VLOOKUP(INDEX(CP455:CP466,CS462),STM,2,FALSE),"----")</f>
        <v>----</v>
      </c>
      <c r="CU462" s="691" t="e">
        <f t="shared" ca="1" si="8220"/>
        <v>#N/A</v>
      </c>
      <c r="CV462" s="4" t="e">
        <f ca="1">IF(AND(INDEX(ELM,CU462,4)&gt;=$AB455,INDEX(ELM,CU462,5)&gt;=$S455,INDEX(ELM,CU462,6)&gt;=$R455),1,0)</f>
        <v>#N/A</v>
      </c>
      <c r="CW462" s="4" t="e">
        <f t="shared" ref="CW462" ca="1" si="8331">MATCH(1,OFFSET(CV455:CV466,CX461,0,COUNT(CV455:CV466)-CX461),0)</f>
        <v>#REF!</v>
      </c>
      <c r="CX462" s="4" t="e">
        <f t="shared" ca="1" si="8222"/>
        <v>#REF!</v>
      </c>
      <c r="CY462" s="692" t="str">
        <f ca="1">IFERROR(VLOOKUP(INDEX(CU455:CU466,CX462),ELM,2,FALSE),"----")</f>
        <v>----</v>
      </c>
      <c r="CZ462" s="691" t="e">
        <f t="shared" ca="1" si="8223"/>
        <v>#N/A</v>
      </c>
      <c r="DA462" s="4" t="e">
        <f ca="1">IF(LEFT($J455,7)="Clad Wo",IF(AND(INDEX(SPPWS,CZ462,4)&gt;=$AB455,INDEX(SPPWS,CZ462,5)&gt;=$S455,INDEX(SPPWS,CZ462,6)&gt;=$R455),1,0),IF(AND(INDEX(SPM,CZ462,4)&gt;=$AB455,INDEX(SPM,CZ462,5)&gt;=$S455,INDEX(SPM,CZ462,6)&gt;=$R455),1,0))</f>
        <v>#N/A</v>
      </c>
      <c r="DB462" s="4" t="e">
        <f t="shared" ref="DB462" ca="1" si="8332">MATCH(1,OFFSET(DA455:DA466,DC461,0,COUNT(DA455:DA466)-DC461),0)</f>
        <v>#REF!</v>
      </c>
      <c r="DC462" s="4" t="e">
        <f t="shared" ca="1" si="8225"/>
        <v>#REF!</v>
      </c>
      <c r="DD462" s="693" t="str">
        <f ca="1">IF(LEFT($J455,7)="Clad Wo",IFERROR(VLOOKUP(INDEX(CZ455:CZ466,DC462),SPPWS,2,FALSE),"----"),IFERROR(VLOOKUP(INDEX(CZ455:CZ466,DC462),SPM,2,FALSE),"----"))</f>
        <v>----</v>
      </c>
      <c r="DE462" s="691" t="e">
        <f t="shared" ca="1" si="8226"/>
        <v>#REF!</v>
      </c>
      <c r="DF462" s="4" t="e" cm="1">
        <f t="array" aca="1" ref="DF462" ca="1">IF(AND(INDEX(INDIRECT(BY455),DE462,4)&gt;=$AB461,INDEX(INDIRECT(BY455),DE462,5)&gt;=$S455,INDEX(INDIRECT(BY455),DE462,6)&gt;=$R455),1,0)</f>
        <v>#REF!</v>
      </c>
      <c r="DG462" s="4" t="e">
        <f t="shared" ref="DG462" ca="1" si="8333">MATCH(1,OFFSET(DF455:DF466,DH461,0,COUNT(DF455:DF466)-DH461),0)</f>
        <v>#REF!</v>
      </c>
      <c r="DH462" s="4" t="e">
        <f t="shared" ca="1" si="8228"/>
        <v>#REF!</v>
      </c>
      <c r="DI462" s="692" t="str" cm="1">
        <f t="array" aca="1" ref="DI462" ca="1">IFERROR(VLOOKUP(INDEX(DE455:DE466,DH462),INDIRECT(BY455),2,FALSE),"----")</f>
        <v>----</v>
      </c>
      <c r="DJ462" s="691" t="e">
        <f t="shared" ca="1" si="8229"/>
        <v>#N/A</v>
      </c>
      <c r="DK462" s="4" t="e">
        <f ca="1">IF(AND(INDEX(SSM,DJ462,4)&gt;=$AB461,INDEX(SSM,DJ462,5)&gt;=$S455,INDEX(SSM,DJ462,6)&gt;=$R455),1,0)</f>
        <v>#N/A</v>
      </c>
      <c r="DL462" s="4" t="e">
        <f t="shared" ref="DL462" ca="1" si="8334">MATCH(1,OFFSET(DK455:DK466,DM461,0,COUNT(DK455:DK466)-DM461),0)</f>
        <v>#REF!</v>
      </c>
      <c r="DM462" s="4" t="e">
        <f t="shared" ca="1" si="8231"/>
        <v>#REF!</v>
      </c>
      <c r="DN462" s="692" t="str">
        <f ca="1">IFERROR(IF(AD462="Nested Steel Stud (wood infill)",VLOOKUP(INDEX(DJ455:DJ466,DM462),SSW,2,FALSE),VLOOKUP(INDEX(DJ455:DJ466,DM462),SSM,2,FALSE)),"----")</f>
        <v>----</v>
      </c>
      <c r="DO462" s="691" t="e">
        <f t="shared" ca="1" si="8232"/>
        <v>#N/A</v>
      </c>
      <c r="DP462" s="4" t="e">
        <f ca="1">IF(AND(INDEX(WSM,DO462,4)&gt;=$AB461,INDEX(WSM,DO462,5)&gt;=$S455,INDEX(WSM,DO462,6)&gt;=$R455),1,0)</f>
        <v>#N/A</v>
      </c>
      <c r="DQ462" s="4" t="e">
        <f t="shared" ref="DQ462" ca="1" si="8335">MATCH(1,OFFSET(DP455:DP466,DR461,0,COUNT(DP455:DP466)-DR461),0)</f>
        <v>#REF!</v>
      </c>
      <c r="DR462" s="4" t="e">
        <f t="shared" ca="1" si="8234"/>
        <v>#REF!</v>
      </c>
      <c r="DS462" s="692" t="str">
        <f ca="1">IFERROR(VLOOKUP(INDEX(DO455:DO466,DR462),WSM,2,FALSE),"----")</f>
        <v>----</v>
      </c>
      <c r="DT462" s="691" t="e">
        <f t="shared" ca="1" si="8235"/>
        <v>#N/A</v>
      </c>
      <c r="DU462" s="4" t="e">
        <f ca="1">IF(AND(INDEX(STM,DT462,4)&gt;=$AB461,INDEX(STM,DT462,5)&gt;=$S455,INDEX(STM,DT462,6)&gt;=$R455),1,0)</f>
        <v>#N/A</v>
      </c>
      <c r="DV462" s="4" t="e">
        <f t="shared" ref="DV462" ca="1" si="8336">MATCH(1,OFFSET(DU455:DU466,DW461,0,COUNT(DU455:DU466)-DW461),0)</f>
        <v>#REF!</v>
      </c>
      <c r="DW462" s="4" t="e">
        <f t="shared" ca="1" si="8237"/>
        <v>#REF!</v>
      </c>
      <c r="DX462" s="692" t="str">
        <f ca="1">IFERROR(VLOOKUP(INDEX(DT455:DT466,DW462),STM,2,FALSE),"----")</f>
        <v>----</v>
      </c>
      <c r="DY462" s="691" t="e">
        <f t="shared" ca="1" si="8238"/>
        <v>#N/A</v>
      </c>
      <c r="DZ462" s="4" t="e">
        <f ca="1">IF(AND(INDEX(ELM,DY462,4)&gt;=$AB461,INDEX(ELM,DY462,5)&gt;=$S455,INDEX(ELM,DY462,6)&gt;=$R455),1,0)</f>
        <v>#N/A</v>
      </c>
      <c r="EA462" s="4" t="e">
        <f t="shared" ref="EA462" ca="1" si="8337">MATCH(1,OFFSET(DZ455:DZ466,EB461,0,COUNT(DZ455:DZ466)-EB461),0)</f>
        <v>#REF!</v>
      </c>
      <c r="EB462" s="4" t="e">
        <f t="shared" ca="1" si="8240"/>
        <v>#REF!</v>
      </c>
      <c r="EC462" s="692" t="str">
        <f ca="1">IFERROR(VLOOKUP(INDEX(DY455:DY466,EB462),ELM,2,FALSE),"----")</f>
        <v>----</v>
      </c>
      <c r="ED462" s="691" t="e">
        <f t="shared" ca="1" si="8241"/>
        <v>#N/A</v>
      </c>
      <c r="EE462" s="4" t="e">
        <f ca="1">IF(LEFT($J455,7)="Clad Wo",IF(AND(INDEX(SPPWS,ED462,4)&gt;=$AB461,INDEX(SPPWS,ED462,5)&gt;=$S455,INDEX(SPPWS,ED462,6)&gt;=$R455),1,0),IF(AND(INDEX(SPM,ED462,4)&gt;=$AB461,INDEX(SPM,ED462,5)&gt;=$S455,INDEX(SPM,ED462,6)&gt;=$R455),1,0))</f>
        <v>#N/A</v>
      </c>
      <c r="EF462" s="4" t="e">
        <f t="shared" ref="EF462" ca="1" si="8338">MATCH(1,OFFSET(EE455:EE466,EG461,0,COUNT(EE455:EE466)-EG461),0)</f>
        <v>#REF!</v>
      </c>
      <c r="EG462" s="4" t="e">
        <f t="shared" ca="1" si="8243"/>
        <v>#REF!</v>
      </c>
      <c r="EH462" s="692" t="str">
        <f ca="1">IF(LEFT($J455,7)="Clad Wo",IFERROR(VLOOKUP(INDEX(ED455:ED466,EG462),SPPWS,2,FALSE),"----"),IFERROR(VLOOKUP(INDEX(ED455:ED466,EG462),SPM,2,FALSE),"----"))</f>
        <v>----</v>
      </c>
    </row>
    <row r="463" spans="1:138" ht="15" customHeight="1" x14ac:dyDescent="0.25">
      <c r="A463" s="1085"/>
      <c r="B463" s="925"/>
      <c r="C463" s="926"/>
      <c r="D463" s="927"/>
      <c r="E463" s="995"/>
      <c r="F463" s="996"/>
      <c r="G463" s="997"/>
      <c r="H463" s="1062"/>
      <c r="I463" s="990"/>
      <c r="J463" s="902"/>
      <c r="K463" s="903"/>
      <c r="L463" s="1002"/>
      <c r="M463" s="923"/>
      <c r="N463" s="1042"/>
      <c r="O463" s="1018"/>
      <c r="P463" s="987"/>
      <c r="Q463" s="1015"/>
      <c r="R463" s="1012"/>
      <c r="S463" s="1006"/>
      <c r="T463" s="1007"/>
      <c r="U463" s="878"/>
      <c r="V463" s="881"/>
      <c r="W463" s="884"/>
      <c r="X463" s="884"/>
      <c r="Y463" s="887"/>
      <c r="Z463" s="887"/>
      <c r="AA463" s="887"/>
      <c r="AB463" s="1081"/>
      <c r="AC463" s="1078"/>
      <c r="AD463" s="1070" t="str">
        <f t="shared" si="7388"/>
        <v>Wood Stud Framing</v>
      </c>
      <c r="AE463" s="1071"/>
      <c r="AF463" s="1052"/>
      <c r="AG463" s="1053"/>
      <c r="AH463" s="1053"/>
      <c r="AI463" s="1066"/>
      <c r="AJ463" s="1067"/>
      <c r="AK463" s="156" t="str">
        <f t="shared" ca="1" si="7482"/>
        <v/>
      </c>
      <c r="AL463" s="1059"/>
      <c r="AM463" s="344" t="str">
        <f ca="1">IFERROR(Q455/12*ROUND(VLOOKUP(AF463,OFFSET(WSM,0,1),6,FALSE),2),"")</f>
        <v/>
      </c>
      <c r="AN463" t="str">
        <f t="shared" ca="1" si="7532"/>
        <v/>
      </c>
      <c r="AP463" s="122" t="str">
        <f t="shared" ref="AP463" si="8339">_xlfn.CONCAT(AR463,AS466)</f>
        <v/>
      </c>
      <c r="AQ463" s="683" t="str">
        <f t="shared" si="7698"/>
        <v/>
      </c>
      <c r="AR463" s="4" t="str">
        <f t="shared" si="7457"/>
        <v/>
      </c>
      <c r="AS463" s="4"/>
      <c r="AT463" s="697" t="str">
        <f>AL461</f>
        <v/>
      </c>
      <c r="AU463" s="694" t="e">
        <f t="shared" ca="1" si="7724"/>
        <v>#REF!</v>
      </c>
      <c r="AV463" s="686" t="str">
        <f ca="1">IFERROR(VLOOKUP(AU463,INDIRECT(AQ455),2,FALSE),"----")</f>
        <v>----</v>
      </c>
      <c r="AW463" s="694" t="e">
        <f t="shared" ca="1" si="7725"/>
        <v>#REF!</v>
      </c>
      <c r="AX463" s="686" t="str">
        <f ca="1">IFERROR(VLOOKUP(AW463,INDIRECT(AQ456),2,FALSE),"----")</f>
        <v>----</v>
      </c>
      <c r="AY463" s="694" t="e">
        <f t="shared" ca="1" si="8289"/>
        <v>#REF!</v>
      </c>
      <c r="AZ463" s="686" t="str">
        <f ca="1">IFERROR(VLOOKUP(AY463,INDIRECT(AQ457),2,FALSE),"----")</f>
        <v>----</v>
      </c>
      <c r="BA463" s="694" t="e">
        <f t="shared" ca="1" si="8290"/>
        <v>#REF!</v>
      </c>
      <c r="BB463" s="686" t="str">
        <f ca="1">IFERROR(VLOOKUP(BA463,INDIRECT(AQ458),2,FALSE),"----")</f>
        <v>----</v>
      </c>
      <c r="BC463" s="694" t="e">
        <f t="shared" ca="1" si="7728"/>
        <v>#REF!</v>
      </c>
      <c r="BD463" s="686" t="str">
        <f ca="1">IFERROR(VLOOKUP(BC463,INDIRECT(AQ459),2,FALSE),"----")</f>
        <v>----</v>
      </c>
      <c r="BE463" s="694" t="e">
        <f t="shared" ca="1" si="7729"/>
        <v>#REF!</v>
      </c>
      <c r="BF463" s="686" t="str">
        <f ca="1">IFERROR(VLOOKUP(BE463,INDIRECT(AQ460),2,FALSE),"----")</f>
        <v>----</v>
      </c>
      <c r="BG463" s="702" t="e">
        <f t="shared" ca="1" si="7730"/>
        <v>#REF!</v>
      </c>
      <c r="BH463" s="686" t="str">
        <f ca="1">IFERROR(VLOOKUP(BG463,INDIRECT(AQ461),2,FALSE),"----")</f>
        <v>----</v>
      </c>
      <c r="BI463" s="702" t="e">
        <f t="shared" ca="1" si="7731"/>
        <v>#REF!</v>
      </c>
      <c r="BJ463" s="686" t="str">
        <f ca="1">IFERROR(VLOOKUP(BI463,INDIRECT(AQ462),2,FALSE),"----")</f>
        <v>----</v>
      </c>
      <c r="BK463" s="702" t="e">
        <f t="shared" ca="1" si="7732"/>
        <v>#REF!</v>
      </c>
      <c r="BL463" s="686" t="str">
        <f ca="1">IFERROR(VLOOKUP(BK463,INDIRECT(AQ463),2,FALSE),"----")</f>
        <v>----</v>
      </c>
      <c r="BM463" s="702" t="e">
        <f t="shared" ca="1" si="7733"/>
        <v>#REF!</v>
      </c>
      <c r="BN463" s="686" t="str">
        <f ca="1">IFERROR(VLOOKUP(BM463,INDIRECT(AQ464),2,FALSE),"----")</f>
        <v>----</v>
      </c>
      <c r="BO463" s="702" t="e">
        <f t="shared" ca="1" si="7734"/>
        <v>#REF!</v>
      </c>
      <c r="BP463" s="686" t="str">
        <f ca="1">IFERROR(VLOOKUP(BO463,INDIRECT(AQ465),2,FALSE),"----")</f>
        <v>----</v>
      </c>
      <c r="BQ463" s="702" t="e">
        <f t="shared" ca="1" si="7735"/>
        <v>#REF!</v>
      </c>
      <c r="BR463" s="686" t="str">
        <f ca="1">IFERROR(VLOOKUP(BQ463,INDIRECT(AQ466),2,FALSE),"----")</f>
        <v>----</v>
      </c>
      <c r="BS463" s="695">
        <f>IF(AI463="",1,IF(COUNTIF(BL455:BL466,AI463)=0,2,1))</f>
        <v>1</v>
      </c>
      <c r="BT463" s="696">
        <f>IF(AF463="",1,IF(BL455=".",2,1))</f>
        <v>1</v>
      </c>
      <c r="BU463" s="706"/>
      <c r="BV463" s="155">
        <f ca="1">IF(COUNTIF(DS455:DS466,AF463)=0,IF(AF463&lt;&gt;"",0,1),1)</f>
        <v>1</v>
      </c>
      <c r="BW463" s="157">
        <f ca="1">IFERROR(MATCH(AF463,DS455:DS466,0),1)</f>
        <v>1</v>
      </c>
      <c r="BX463" s="769" t="e">
        <f t="shared" ref="BX463" si="8340">5*E455^3*W455/(384*X455)</f>
        <v>#VALUE!</v>
      </c>
      <c r="BY463" s="769" t="e">
        <f t="shared" ref="BY463" si="8341">W455*E455^3/(60*X455)</f>
        <v>#VALUE!</v>
      </c>
      <c r="BZ463" s="1110"/>
      <c r="CA463" s="691" t="e">
        <f t="shared" ca="1" si="8208"/>
        <v>#REF!</v>
      </c>
      <c r="CB463" s="4" t="e" cm="1">
        <f t="array" aca="1" ref="CB463" ca="1">IF(AND(INDEX(INDIRECT(BY455),CA463,4)&gt;=$AB455,INDEX(INDIRECT(BY455),CA463,5)&gt;=$S455,INDEX(INDIRECT(BY455),CA463,6)&gt;=$R455),1,0)</f>
        <v>#REF!</v>
      </c>
      <c r="CC463" s="4" t="e">
        <f t="shared" ref="CC463" ca="1" si="8342">MATCH(1,OFFSET(CB455:CB466,CD462,0,COUNT(CB455:CB466)-CD462),0)</f>
        <v>#REF!</v>
      </c>
      <c r="CD463" s="4" t="e">
        <f t="shared" ca="1" si="8210"/>
        <v>#REF!</v>
      </c>
      <c r="CE463" s="692" t="str" cm="1">
        <f t="array" aca="1" ref="CE463" ca="1">IFERROR(VLOOKUP(INDEX(CA455:CA466,CD463),INDIRECT(BY455),2,FALSE),"----")</f>
        <v>----</v>
      </c>
      <c r="CF463" s="691" t="e">
        <f t="shared" ca="1" si="8211"/>
        <v>#N/A</v>
      </c>
      <c r="CG463" s="4" t="e">
        <f ca="1">IF(AND(INDEX(SSM,CF463,4)&gt;=$AB455,INDEX(SSM,CF463,5)&gt;=$S455,INDEX(SSM,CF463,6)&gt;=$R455),1,0)</f>
        <v>#N/A</v>
      </c>
      <c r="CH463" s="4" t="e">
        <f t="shared" ref="CH463" ca="1" si="8343">MATCH(1,OFFSET(CG455:CG466,CI462,0,COUNT(CG455:CG466)-CI462),0)</f>
        <v>#REF!</v>
      </c>
      <c r="CI463" s="4" t="e">
        <f t="shared" ca="1" si="8213"/>
        <v>#REF!</v>
      </c>
      <c r="CJ463" s="692" t="str">
        <f ca="1">IFERROR(IF(AD456="Nested Steel Stud (wood infill)",VLOOKUP(INDEX(CF455:CF466,CI463),SSW,2,FALSE),VLOOKUP(INDEX(CF455:CF466,CI463),SSM,2,FALSE)),"----")</f>
        <v>----</v>
      </c>
      <c r="CK463" s="691" t="e">
        <f t="shared" ca="1" si="8214"/>
        <v>#N/A</v>
      </c>
      <c r="CL463" s="4" t="e">
        <f ca="1">IF(AND(INDEX(WSM,CK463,4)&gt;=$AB455,INDEX(WSM,CK463,5)&gt;=$S455,INDEX(WSM,CK463,6)&gt;=$R455),1,0)</f>
        <v>#N/A</v>
      </c>
      <c r="CM463" s="4" t="e">
        <f t="shared" ref="CM463" ca="1" si="8344">MATCH(1,OFFSET(CL455:CL466,CN462,0,COUNT(CL455:CL466)-CN462),0)</f>
        <v>#REF!</v>
      </c>
      <c r="CN463" s="4" t="e">
        <f t="shared" ca="1" si="8216"/>
        <v>#REF!</v>
      </c>
      <c r="CO463" s="692" t="str">
        <f ca="1">IFERROR(VLOOKUP(INDEX(CK455:CK466,CN463),WSM,2,FALSE),"----")</f>
        <v>----</v>
      </c>
      <c r="CP463" s="691" t="e">
        <f t="shared" ca="1" si="8217"/>
        <v>#N/A</v>
      </c>
      <c r="CQ463" s="4" t="e">
        <f ca="1">IF(AND(INDEX(STM,CP463,4)&gt;=$AB455,INDEX(STM,CP463,5)&gt;=$S455,INDEX(STM,CP463,6)&gt;=$R455),1,0)</f>
        <v>#N/A</v>
      </c>
      <c r="CR463" s="4" t="e">
        <f t="shared" ref="CR463" ca="1" si="8345">MATCH(1,OFFSET(CQ455:CQ466,CS462,0,COUNT(CQ455:CQ466)-CS462),0)</f>
        <v>#REF!</v>
      </c>
      <c r="CS463" s="4" t="e">
        <f t="shared" ca="1" si="8219"/>
        <v>#REF!</v>
      </c>
      <c r="CT463" s="692" t="str">
        <f ca="1">IFERROR(VLOOKUP(INDEX(CP455:CP466,CS463),STM,2,FALSE),"----")</f>
        <v>----</v>
      </c>
      <c r="CU463" s="691" t="e">
        <f t="shared" ca="1" si="8220"/>
        <v>#N/A</v>
      </c>
      <c r="CV463" s="4" t="e">
        <f ca="1">IF(AND(INDEX(ELM,CU463,4)&gt;=$AB455,INDEX(ELM,CU463,5)&gt;=$S455,INDEX(ELM,CU463,6)&gt;=$R455),1,0)</f>
        <v>#N/A</v>
      </c>
      <c r="CW463" s="4" t="e">
        <f t="shared" ref="CW463" ca="1" si="8346">MATCH(1,OFFSET(CV455:CV466,CX462,0,COUNT(CV455:CV466)-CX462),0)</f>
        <v>#REF!</v>
      </c>
      <c r="CX463" s="4" t="e">
        <f t="shared" ca="1" si="8222"/>
        <v>#REF!</v>
      </c>
      <c r="CY463" s="692" t="str">
        <f ca="1">IFERROR(VLOOKUP(INDEX(CU455:CU466,CX463),ELM,2,FALSE),"----")</f>
        <v>----</v>
      </c>
      <c r="CZ463" s="691" t="e">
        <f t="shared" ca="1" si="8223"/>
        <v>#N/A</v>
      </c>
      <c r="DA463" s="4" t="e">
        <f ca="1">IF(LEFT($J455,7)="Clad Wo",IF(AND(INDEX(SPPWS,CZ463,4)&gt;=$AB455,INDEX(SPPWS,CZ463,5)&gt;=$S455,INDEX(SPPWS,CZ463,6)&gt;=$R455),1,0),IF(AND(INDEX(SPM,CZ463,4)&gt;=$AB455,INDEX(SPM,CZ463,5)&gt;=$S455,INDEX(SPM,CZ463,6)&gt;=$R455),1,0))</f>
        <v>#N/A</v>
      </c>
      <c r="DB463" s="4" t="e">
        <f t="shared" ref="DB463" ca="1" si="8347">MATCH(1,OFFSET(DA455:DA466,DC462,0,COUNT(DA455:DA466)-DC462),0)</f>
        <v>#REF!</v>
      </c>
      <c r="DC463" s="4" t="e">
        <f t="shared" ca="1" si="8225"/>
        <v>#REF!</v>
      </c>
      <c r="DD463" s="693" t="str">
        <f ca="1">IF(LEFT($J455,7)="Clad Wo",IFERROR(VLOOKUP(INDEX(CZ455:CZ466,DC463),SPPWS,2,FALSE),"----"),IFERROR(VLOOKUP(INDEX(CZ455:CZ466,DC463),SPM,2,FALSE),"----"))</f>
        <v>----</v>
      </c>
      <c r="DE463" s="691" t="e">
        <f t="shared" ca="1" si="8226"/>
        <v>#REF!</v>
      </c>
      <c r="DF463" s="4" t="e" cm="1">
        <f t="array" aca="1" ref="DF463" ca="1">IF(AND(INDEX(INDIRECT(BY455),DE463,4)&gt;=$AB461,INDEX(INDIRECT(BY455),DE463,5)&gt;=$S455,INDEX(INDIRECT(BY455),DE463,6)&gt;=$R455),1,0)</f>
        <v>#REF!</v>
      </c>
      <c r="DG463" s="4" t="e">
        <f t="shared" ref="DG463" ca="1" si="8348">MATCH(1,OFFSET(DF455:DF466,DH462,0,COUNT(DF455:DF466)-DH462),0)</f>
        <v>#REF!</v>
      </c>
      <c r="DH463" s="4" t="e">
        <f t="shared" ca="1" si="8228"/>
        <v>#REF!</v>
      </c>
      <c r="DI463" s="692" t="str" cm="1">
        <f t="array" aca="1" ref="DI463" ca="1">IFERROR(VLOOKUP(INDEX(DE455:DE466,DH463),INDIRECT(BY455),2,FALSE),"----")</f>
        <v>----</v>
      </c>
      <c r="DJ463" s="691" t="e">
        <f t="shared" ca="1" si="8229"/>
        <v>#N/A</v>
      </c>
      <c r="DK463" s="4" t="e">
        <f ca="1">IF(AND(INDEX(SSM,DJ463,4)&gt;=$AB461,INDEX(SSM,DJ463,5)&gt;=$S455,INDEX(SSM,DJ463,6)&gt;=$R455),1,0)</f>
        <v>#N/A</v>
      </c>
      <c r="DL463" s="4" t="e">
        <f t="shared" ref="DL463" ca="1" si="8349">MATCH(1,OFFSET(DK455:DK466,DM462,0,COUNT(DK455:DK466)-DM462),0)</f>
        <v>#REF!</v>
      </c>
      <c r="DM463" s="4" t="e">
        <f t="shared" ca="1" si="8231"/>
        <v>#REF!</v>
      </c>
      <c r="DN463" s="692" t="str">
        <f ca="1">IFERROR(IF(AD462="Nested Steel Stud (wood infill)",VLOOKUP(INDEX(DJ455:DJ466,DM463),SSW,2,FALSE),VLOOKUP(INDEX(DJ455:DJ466,DM463),SSM,2,FALSE)),"----")</f>
        <v>----</v>
      </c>
      <c r="DO463" s="691" t="e">
        <f t="shared" ca="1" si="8232"/>
        <v>#N/A</v>
      </c>
      <c r="DP463" s="4" t="e">
        <f ca="1">IF(AND(INDEX(WSM,DO463,4)&gt;=$AB461,INDEX(WSM,DO463,5)&gt;=$S455,INDEX(WSM,DO463,6)&gt;=$R455),1,0)</f>
        <v>#N/A</v>
      </c>
      <c r="DQ463" s="4" t="e">
        <f t="shared" ref="DQ463" ca="1" si="8350">MATCH(1,OFFSET(DP455:DP466,DR462,0,COUNT(DP455:DP466)-DR462),0)</f>
        <v>#REF!</v>
      </c>
      <c r="DR463" s="4" t="e">
        <f t="shared" ca="1" si="8234"/>
        <v>#REF!</v>
      </c>
      <c r="DS463" s="692" t="str">
        <f ca="1">IFERROR(VLOOKUP(INDEX(DO455:DO466,DR463),WSM,2,FALSE),"----")</f>
        <v>----</v>
      </c>
      <c r="DT463" s="691" t="e">
        <f t="shared" ca="1" si="8235"/>
        <v>#N/A</v>
      </c>
      <c r="DU463" s="4" t="e">
        <f ca="1">IF(AND(INDEX(STM,DT463,4)&gt;=$AB461,INDEX(STM,DT463,5)&gt;=$S455,INDEX(STM,DT463,6)&gt;=$R455),1,0)</f>
        <v>#N/A</v>
      </c>
      <c r="DV463" s="4" t="e">
        <f t="shared" ref="DV463" ca="1" si="8351">MATCH(1,OFFSET(DU455:DU466,DW462,0,COUNT(DU455:DU466)-DW462),0)</f>
        <v>#REF!</v>
      </c>
      <c r="DW463" s="4" t="e">
        <f t="shared" ca="1" si="8237"/>
        <v>#REF!</v>
      </c>
      <c r="DX463" s="692" t="str">
        <f ca="1">IFERROR(VLOOKUP(INDEX(DT455:DT466,DW463),STM,2,FALSE),"----")</f>
        <v>----</v>
      </c>
      <c r="DY463" s="691" t="e">
        <f t="shared" ca="1" si="8238"/>
        <v>#N/A</v>
      </c>
      <c r="DZ463" s="4" t="e">
        <f ca="1">IF(AND(INDEX(ELM,DY463,4)&gt;=$AB461,INDEX(ELM,DY463,5)&gt;=$S455,INDEX(ELM,DY463,6)&gt;=$R455),1,0)</f>
        <v>#N/A</v>
      </c>
      <c r="EA463" s="4" t="e">
        <f t="shared" ref="EA463" ca="1" si="8352">MATCH(1,OFFSET(DZ455:DZ466,EB462,0,COUNT(DZ455:DZ466)-EB462),0)</f>
        <v>#REF!</v>
      </c>
      <c r="EB463" s="4" t="e">
        <f t="shared" ca="1" si="8240"/>
        <v>#REF!</v>
      </c>
      <c r="EC463" s="692" t="str">
        <f ca="1">IFERROR(VLOOKUP(INDEX(DY455:DY466,EB463),ELM,2,FALSE),"----")</f>
        <v>----</v>
      </c>
      <c r="ED463" s="691" t="e">
        <f t="shared" ca="1" si="8241"/>
        <v>#N/A</v>
      </c>
      <c r="EE463" s="4" t="e">
        <f ca="1">IF(LEFT($J455,7)="Clad Wo",IF(AND(INDEX(SPPWS,ED463,4)&gt;=$AB461,INDEX(SPPWS,ED463,5)&gt;=$S455,INDEX(SPPWS,ED463,6)&gt;=$R455),1,0),IF(AND(INDEX(SPM,ED463,4)&gt;=$AB461,INDEX(SPM,ED463,5)&gt;=$S455,INDEX(SPM,ED463,6)&gt;=$R455),1,0))</f>
        <v>#N/A</v>
      </c>
      <c r="EF463" s="4" t="e">
        <f t="shared" ref="EF463" ca="1" si="8353">MATCH(1,OFFSET(EE455:EE466,EG462,0,COUNT(EE455:EE466)-EG462),0)</f>
        <v>#REF!</v>
      </c>
      <c r="EG463" s="4" t="e">
        <f t="shared" ca="1" si="8243"/>
        <v>#REF!</v>
      </c>
      <c r="EH463" s="692" t="str">
        <f ca="1">IF(LEFT($J455,7)="Clad Wo",IFERROR(VLOOKUP(INDEX(ED455:ED466,EG463),SPPWS,2,FALSE),"----"),IFERROR(VLOOKUP(INDEX(ED455:ED466,EG463),SPM,2,FALSE),"----"))</f>
        <v>----</v>
      </c>
    </row>
    <row r="464" spans="1:138" ht="15" customHeight="1" x14ac:dyDescent="0.25">
      <c r="A464" s="1085"/>
      <c r="B464" s="925"/>
      <c r="C464" s="926"/>
      <c r="D464" s="927"/>
      <c r="E464" s="995"/>
      <c r="F464" s="996"/>
      <c r="G464" s="997"/>
      <c r="H464" s="1062"/>
      <c r="I464" s="990"/>
      <c r="J464" s="902"/>
      <c r="K464" s="903"/>
      <c r="L464" s="1002"/>
      <c r="M464" s="923"/>
      <c r="N464" s="1042"/>
      <c r="O464" s="1018"/>
      <c r="P464" s="987"/>
      <c r="Q464" s="1015"/>
      <c r="R464" s="1012"/>
      <c r="S464" s="1006"/>
      <c r="T464" s="1007"/>
      <c r="U464" s="878"/>
      <c r="V464" s="881"/>
      <c r="W464" s="884"/>
      <c r="X464" s="884"/>
      <c r="Y464" s="887"/>
      <c r="Z464" s="887"/>
      <c r="AA464" s="887"/>
      <c r="AB464" s="1081"/>
      <c r="AC464" s="1078"/>
      <c r="AD464" s="1070" t="str">
        <f t="shared" si="7388"/>
        <v>Steel Tube</v>
      </c>
      <c r="AE464" s="1071"/>
      <c r="AF464" s="1052"/>
      <c r="AG464" s="1053"/>
      <c r="AH464" s="1053"/>
      <c r="AI464" s="1066"/>
      <c r="AJ464" s="1067"/>
      <c r="AK464" s="156" t="str">
        <f t="shared" ca="1" si="7482"/>
        <v/>
      </c>
      <c r="AL464" s="1059"/>
      <c r="AM464" s="343" t="str">
        <f ca="1">IFERROR(Q455/12*ROUND(VLOOKUP(AF464,OFFSET(STM,0,1),6,FALSE),2),"")</f>
        <v/>
      </c>
      <c r="AN464" t="str">
        <f t="shared" ca="1" si="7532"/>
        <v/>
      </c>
      <c r="AP464" s="122" t="str">
        <f t="shared" ref="AP464" si="8354">_xlfn.CONCAT(AR464,AS466)</f>
        <v/>
      </c>
      <c r="AQ464" s="683" t="str">
        <f t="shared" si="7698"/>
        <v/>
      </c>
      <c r="AR464" s="4" t="str">
        <f t="shared" si="7457"/>
        <v/>
      </c>
      <c r="AS464" s="4"/>
      <c r="AT464" s="697" t="str">
        <f>AL461</f>
        <v/>
      </c>
      <c r="AU464" s="694" t="e">
        <f t="shared" ca="1" si="7724"/>
        <v>#REF!</v>
      </c>
      <c r="AV464" s="686" t="str">
        <f ca="1">IFERROR(VLOOKUP(AU464,INDIRECT(AQ455),2,FALSE),"----")</f>
        <v>----</v>
      </c>
      <c r="AW464" s="694" t="e">
        <f t="shared" ca="1" si="7725"/>
        <v>#REF!</v>
      </c>
      <c r="AX464" s="686" t="str">
        <f ca="1">IFERROR(VLOOKUP(AW464,INDIRECT(AQ456),2,FALSE),"----")</f>
        <v>----</v>
      </c>
      <c r="AY464" s="694" t="e">
        <f t="shared" ca="1" si="7644"/>
        <v>#REF!</v>
      </c>
      <c r="AZ464" s="686" t="str">
        <f ca="1">IFERROR(VLOOKUP(AY464,INDIRECT(AQ457),2,FALSE),"----")</f>
        <v>----</v>
      </c>
      <c r="BA464" s="694" t="e">
        <f t="shared" ca="1" si="7645"/>
        <v>#REF!</v>
      </c>
      <c r="BB464" s="686" t="str">
        <f ca="1">IFERROR(VLOOKUP(BA464,INDIRECT(AQ458),2,FALSE),"----")</f>
        <v>----</v>
      </c>
      <c r="BC464" s="694" t="e">
        <f t="shared" ca="1" si="7728"/>
        <v>#REF!</v>
      </c>
      <c r="BD464" s="686" t="str">
        <f ca="1">IFERROR(VLOOKUP(BC464,INDIRECT(AQ459),2,FALSE),"----")</f>
        <v>----</v>
      </c>
      <c r="BE464" s="694" t="e">
        <f t="shared" ca="1" si="7729"/>
        <v>#REF!</v>
      </c>
      <c r="BF464" s="686" t="str">
        <f ca="1">IFERROR(VLOOKUP(BE464,INDIRECT(AQ460),2,FALSE),"----")</f>
        <v>----</v>
      </c>
      <c r="BG464" s="702" t="e">
        <f t="shared" ca="1" si="7730"/>
        <v>#REF!</v>
      </c>
      <c r="BH464" s="686" t="str">
        <f ca="1">IFERROR(VLOOKUP(BG464,INDIRECT(AQ461),2,FALSE),"----")</f>
        <v>----</v>
      </c>
      <c r="BI464" s="702" t="e">
        <f t="shared" ca="1" si="7731"/>
        <v>#REF!</v>
      </c>
      <c r="BJ464" s="686" t="str">
        <f ca="1">IFERROR(VLOOKUP(BI464,INDIRECT(AQ462),2,FALSE),"----")</f>
        <v>----</v>
      </c>
      <c r="BK464" s="702" t="e">
        <f t="shared" ca="1" si="7732"/>
        <v>#REF!</v>
      </c>
      <c r="BL464" s="686" t="str">
        <f ca="1">IFERROR(VLOOKUP(BK464,INDIRECT(AQ463),2,FALSE),"----")</f>
        <v>----</v>
      </c>
      <c r="BM464" s="702" t="e">
        <f t="shared" ca="1" si="7733"/>
        <v>#REF!</v>
      </c>
      <c r="BN464" s="686" t="str">
        <f ca="1">IFERROR(VLOOKUP(BM464,INDIRECT(AQ464),2,FALSE),"----")</f>
        <v>----</v>
      </c>
      <c r="BO464" s="702" t="e">
        <f t="shared" ca="1" si="7734"/>
        <v>#REF!</v>
      </c>
      <c r="BP464" s="686" t="str">
        <f ca="1">IFERROR(VLOOKUP(BO464,INDIRECT(AQ465),2,FALSE),"----")</f>
        <v>----</v>
      </c>
      <c r="BQ464" s="702" t="e">
        <f t="shared" ca="1" si="7735"/>
        <v>#REF!</v>
      </c>
      <c r="BR464" s="686" t="str">
        <f ca="1">IFERROR(VLOOKUP(BQ464,INDIRECT(AQ466),2,FALSE),"----")</f>
        <v>----</v>
      </c>
      <c r="BS464" s="695">
        <f>IF(AI464="",1,IF(COUNTIF(BN455:BN466,AI464)=0,2,1))</f>
        <v>1</v>
      </c>
      <c r="BT464" s="696">
        <f>IF(AF464="",1,IF(BN455=".",2,1))</f>
        <v>1</v>
      </c>
      <c r="BU464" s="706"/>
      <c r="BV464" s="155">
        <f ca="1">IF(COUNTIF(DX455:DX466,AF464)=0,IF(AF464&lt;&gt;"",0,1),1)</f>
        <v>1</v>
      </c>
      <c r="BW464" s="157">
        <f ca="1">IFERROR(MATCH(AF464,DX455:DX466,0),1)</f>
        <v>1</v>
      </c>
      <c r="BX464" s="769" t="e">
        <f t="shared" ref="BX464" si="8355">5*E455^3*W461/(384*X455)</f>
        <v>#VALUE!</v>
      </c>
      <c r="BY464" s="769" t="e">
        <f t="shared" ref="BY464" si="8356">E455^3*W461/(60*X455)</f>
        <v>#VALUE!</v>
      </c>
      <c r="BZ464" s="1110"/>
      <c r="CA464" s="691" t="e">
        <f t="shared" ca="1" si="8208"/>
        <v>#REF!</v>
      </c>
      <c r="CB464" s="4" t="e" cm="1">
        <f t="array" aca="1" ref="CB464" ca="1">IF(AND(INDEX(INDIRECT(BY455),CA464,4)&gt;=$AB455,INDEX(INDIRECT(BY455),CA464,5)&gt;=$S455,INDEX(INDIRECT(BY455),CA464,6)&gt;=$R455),1,0)</f>
        <v>#REF!</v>
      </c>
      <c r="CC464" s="4" t="e">
        <f t="shared" ref="CC464" ca="1" si="8357">MATCH(1,OFFSET(CB455:CB466,CD463,0,COUNT(CB455:CB466)-CD463),0)</f>
        <v>#REF!</v>
      </c>
      <c r="CD464" s="4" t="e">
        <f t="shared" ca="1" si="8210"/>
        <v>#REF!</v>
      </c>
      <c r="CE464" s="692" t="str" cm="1">
        <f t="array" aca="1" ref="CE464" ca="1">IFERROR(VLOOKUP(INDEX(CA455:CA466,CD464),INDIRECT(BY455),2,FALSE),"----")</f>
        <v>----</v>
      </c>
      <c r="CF464" s="691" t="e">
        <f t="shared" ca="1" si="8211"/>
        <v>#N/A</v>
      </c>
      <c r="CG464" s="4" t="e">
        <f ca="1">IF(AND(INDEX(SSM,CF464,4)&gt;=$AB455,INDEX(SSM,CF464,5)&gt;=$S455,INDEX(SSM,CF464,6)&gt;=$R455),1,0)</f>
        <v>#N/A</v>
      </c>
      <c r="CH464" s="4" t="e">
        <f t="shared" ref="CH464" ca="1" si="8358">MATCH(1,OFFSET(CG455:CG466,CI463,0,COUNT(CG455:CG466)-CI463),0)</f>
        <v>#REF!</v>
      </c>
      <c r="CI464" s="4" t="e">
        <f t="shared" ca="1" si="8213"/>
        <v>#REF!</v>
      </c>
      <c r="CJ464" s="692" t="str">
        <f ca="1">IFERROR(IF(AD456="Nested Steel Stud (wood infill)",VLOOKUP(INDEX(CF455:CF466,CI464),SSW,2,FALSE),VLOOKUP(INDEX(CF455:CF466,CI464),SSM,2,FALSE)),"----")</f>
        <v>----</v>
      </c>
      <c r="CK464" s="691" t="e">
        <f t="shared" ca="1" si="8214"/>
        <v>#N/A</v>
      </c>
      <c r="CL464" s="4" t="e">
        <f ca="1">IF(AND(INDEX(WSM,CK464,4)&gt;=$AB455,INDEX(WSM,CK464,5)&gt;=$S455,INDEX(WSM,CK464,6)&gt;=$R455),1,0)</f>
        <v>#N/A</v>
      </c>
      <c r="CM464" s="4" t="e">
        <f t="shared" ref="CM464" ca="1" si="8359">MATCH(1,OFFSET(CL455:CL466,CN463,0,COUNT(CL455:CL466)-CN463),0)</f>
        <v>#REF!</v>
      </c>
      <c r="CN464" s="4" t="e">
        <f t="shared" ca="1" si="8216"/>
        <v>#REF!</v>
      </c>
      <c r="CO464" s="692" t="str">
        <f ca="1">IFERROR(VLOOKUP(INDEX(CK455:CK466,CN464),WSM,2,FALSE),"----")</f>
        <v>----</v>
      </c>
      <c r="CP464" s="691" t="e">
        <f t="shared" ca="1" si="8217"/>
        <v>#N/A</v>
      </c>
      <c r="CQ464" s="4" t="e">
        <f ca="1">IF(AND(INDEX(STM,CP464,4)&gt;=$AB455,INDEX(STM,CP464,5)&gt;=$S455,INDEX(STM,CP464,6)&gt;=$R455),1,0)</f>
        <v>#N/A</v>
      </c>
      <c r="CR464" s="4" t="e">
        <f t="shared" ref="CR464" ca="1" si="8360">MATCH(1,OFFSET(CQ455:CQ466,CS463,0,COUNT(CQ455:CQ466)-CS463),0)</f>
        <v>#REF!</v>
      </c>
      <c r="CS464" s="4" t="e">
        <f t="shared" ca="1" si="8219"/>
        <v>#REF!</v>
      </c>
      <c r="CT464" s="692" t="str">
        <f ca="1">IFERROR(VLOOKUP(INDEX(CP455:CP466,CS464),STM,2,FALSE),"----")</f>
        <v>----</v>
      </c>
      <c r="CU464" s="691" t="e">
        <f t="shared" ca="1" si="8220"/>
        <v>#N/A</v>
      </c>
      <c r="CV464" s="4" t="e">
        <f ca="1">IF(AND(INDEX(ELM,CU464,4)&gt;=$AB455,INDEX(ELM,CU464,5)&gt;=$S455,INDEX(ELM,CU464,6)&gt;=$R455),1,0)</f>
        <v>#N/A</v>
      </c>
      <c r="CW464" s="4" t="e">
        <f t="shared" ref="CW464" ca="1" si="8361">MATCH(1,OFFSET(CV455:CV466,CX463,0,COUNT(CV455:CV466)-CX463),0)</f>
        <v>#REF!</v>
      </c>
      <c r="CX464" s="4" t="e">
        <f t="shared" ca="1" si="8222"/>
        <v>#REF!</v>
      </c>
      <c r="CY464" s="692" t="str">
        <f ca="1">IFERROR(VLOOKUP(INDEX(CU455:CU466,CX464),ELM,2,FALSE),"----")</f>
        <v>----</v>
      </c>
      <c r="CZ464" s="691" t="e">
        <f t="shared" ca="1" si="8223"/>
        <v>#N/A</v>
      </c>
      <c r="DA464" s="4" t="e">
        <f ca="1">IF(LEFT($J455,7)="Clad Wo",IF(AND(INDEX(SPPWS,CZ464,4)&gt;=$AB455,INDEX(SPPWS,CZ464,5)&gt;=$S455,INDEX(SPPWS,CZ464,6)&gt;=$R455),1,0),IF(AND(INDEX(SPM,CZ464,4)&gt;=$AB455,INDEX(SPM,CZ464,5)&gt;=$S455,INDEX(SPM,CZ464,6)&gt;=$R455),1,0))</f>
        <v>#N/A</v>
      </c>
      <c r="DB464" s="4" t="e">
        <f t="shared" ref="DB464" ca="1" si="8362">MATCH(1,OFFSET(DA455:DA466,DC463,0,COUNT(DA455:DA466)-DC463),0)</f>
        <v>#REF!</v>
      </c>
      <c r="DC464" s="4" t="e">
        <f t="shared" ca="1" si="8225"/>
        <v>#REF!</v>
      </c>
      <c r="DD464" s="693" t="str">
        <f ca="1">IF(LEFT($J455,7)="Clad Wo",IFERROR(VLOOKUP(INDEX(CZ455:CZ466,DC464),SPPWS,2,FALSE),"----"),IFERROR(VLOOKUP(INDEX(CZ455:CZ466,DC464),SPM,2,FALSE),"----"))</f>
        <v>----</v>
      </c>
      <c r="DE464" s="691" t="e">
        <f t="shared" ca="1" si="8226"/>
        <v>#REF!</v>
      </c>
      <c r="DF464" s="4" t="e" cm="1">
        <f t="array" aca="1" ref="DF464" ca="1">IF(AND(INDEX(INDIRECT(BY455),DE464,4)&gt;=$AB461,INDEX(INDIRECT(BY455),DE464,5)&gt;=$S455,INDEX(INDIRECT(BY455),DE464,6)&gt;=$R455),1,0)</f>
        <v>#REF!</v>
      </c>
      <c r="DG464" s="4" t="e">
        <f t="shared" ref="DG464" ca="1" si="8363">MATCH(1,OFFSET(DF455:DF466,DH463,0,COUNT(DF455:DF466)-DH463),0)</f>
        <v>#REF!</v>
      </c>
      <c r="DH464" s="4" t="e">
        <f t="shared" ca="1" si="8228"/>
        <v>#REF!</v>
      </c>
      <c r="DI464" s="692" t="str" cm="1">
        <f t="array" aca="1" ref="DI464" ca="1">IFERROR(VLOOKUP(INDEX(DE455:DE466,DH464),INDIRECT(BY455),2,FALSE),"----")</f>
        <v>----</v>
      </c>
      <c r="DJ464" s="691" t="e">
        <f t="shared" ca="1" si="8229"/>
        <v>#N/A</v>
      </c>
      <c r="DK464" s="4" t="e">
        <f ca="1">IF(AND(INDEX(SSM,DJ464,4)&gt;=$AB461,INDEX(SSM,DJ464,5)&gt;=$S455,INDEX(SSM,DJ464,6)&gt;=$R455),1,0)</f>
        <v>#N/A</v>
      </c>
      <c r="DL464" s="4" t="e">
        <f t="shared" ref="DL464" ca="1" si="8364">MATCH(1,OFFSET(DK455:DK466,DM463,0,COUNT(DK455:DK466)-DM463),0)</f>
        <v>#REF!</v>
      </c>
      <c r="DM464" s="4" t="e">
        <f t="shared" ca="1" si="8231"/>
        <v>#REF!</v>
      </c>
      <c r="DN464" s="692" t="str">
        <f ca="1">IFERROR(IF(AD462="Nested Steel Stud (wood infill)",VLOOKUP(INDEX(DJ455:DJ466,DM464),SSW,2,FALSE),VLOOKUP(INDEX(DJ455:DJ466,DM464),SSM,2,FALSE)),"----")</f>
        <v>----</v>
      </c>
      <c r="DO464" s="691" t="e">
        <f t="shared" ca="1" si="8232"/>
        <v>#N/A</v>
      </c>
      <c r="DP464" s="4" t="e">
        <f ca="1">IF(AND(INDEX(WSM,DO464,4)&gt;=$AB461,INDEX(WSM,DO464,5)&gt;=$S455,INDEX(WSM,DO464,6)&gt;=$R455),1,0)</f>
        <v>#N/A</v>
      </c>
      <c r="DQ464" s="4" t="e">
        <f t="shared" ref="DQ464" ca="1" si="8365">MATCH(1,OFFSET(DP455:DP466,DR463,0,COUNT(DP455:DP466)-DR463),0)</f>
        <v>#REF!</v>
      </c>
      <c r="DR464" s="4" t="e">
        <f t="shared" ca="1" si="8234"/>
        <v>#REF!</v>
      </c>
      <c r="DS464" s="692" t="str">
        <f ca="1">IFERROR(VLOOKUP(INDEX(DO455:DO466,DR464),WSM,2,FALSE),"----")</f>
        <v>----</v>
      </c>
      <c r="DT464" s="691" t="e">
        <f t="shared" ca="1" si="8235"/>
        <v>#N/A</v>
      </c>
      <c r="DU464" s="4" t="e">
        <f ca="1">IF(AND(INDEX(STM,DT464,4)&gt;=$AB461,INDEX(STM,DT464,5)&gt;=$S455,INDEX(STM,DT464,6)&gt;=$R455),1,0)</f>
        <v>#N/A</v>
      </c>
      <c r="DV464" s="4" t="e">
        <f t="shared" ref="DV464" ca="1" si="8366">MATCH(1,OFFSET(DU455:DU466,DW463,0,COUNT(DU455:DU466)-DW463),0)</f>
        <v>#REF!</v>
      </c>
      <c r="DW464" s="4" t="e">
        <f t="shared" ca="1" si="8237"/>
        <v>#REF!</v>
      </c>
      <c r="DX464" s="692" t="str">
        <f ca="1">IFERROR(VLOOKUP(INDEX(DT455:DT466,DW464),STM,2,FALSE),"----")</f>
        <v>----</v>
      </c>
      <c r="DY464" s="691" t="e">
        <f t="shared" ca="1" si="8238"/>
        <v>#N/A</v>
      </c>
      <c r="DZ464" s="4" t="e">
        <f ca="1">IF(AND(INDEX(ELM,DY464,4)&gt;=$AB461,INDEX(ELM,DY464,5)&gt;=$S455,INDEX(ELM,DY464,6)&gt;=$R455),1,0)</f>
        <v>#N/A</v>
      </c>
      <c r="EA464" s="4" t="e">
        <f t="shared" ref="EA464" ca="1" si="8367">MATCH(1,OFFSET(DZ455:DZ466,EB463,0,COUNT(DZ455:DZ466)-EB463),0)</f>
        <v>#REF!</v>
      </c>
      <c r="EB464" s="4" t="e">
        <f t="shared" ca="1" si="8240"/>
        <v>#REF!</v>
      </c>
      <c r="EC464" s="692" t="str">
        <f ca="1">IFERROR(VLOOKUP(INDEX(DY455:DY466,EB464),ELM,2,FALSE),"----")</f>
        <v>----</v>
      </c>
      <c r="ED464" s="691" t="e">
        <f t="shared" ca="1" si="8241"/>
        <v>#N/A</v>
      </c>
      <c r="EE464" s="4" t="e">
        <f ca="1">IF(LEFT($J455,7)="Clad Wo",IF(AND(INDEX(SPPWS,ED464,4)&gt;=$AB461,INDEX(SPPWS,ED464,5)&gt;=$S455,INDEX(SPPWS,ED464,6)&gt;=$R455),1,0),IF(AND(INDEX(SPM,ED464,4)&gt;=$AB461,INDEX(SPM,ED464,5)&gt;=$S455,INDEX(SPM,ED464,6)&gt;=$R455),1,0))</f>
        <v>#N/A</v>
      </c>
      <c r="EF464" s="4" t="e">
        <f t="shared" ref="EF464" ca="1" si="8368">MATCH(1,OFFSET(EE455:EE466,EG463,0,COUNT(EE455:EE466)-EG463),0)</f>
        <v>#REF!</v>
      </c>
      <c r="EG464" s="4" t="e">
        <f t="shared" ca="1" si="8243"/>
        <v>#REF!</v>
      </c>
      <c r="EH464" s="692" t="str">
        <f ca="1">IF(LEFT($J455,7)="Clad Wo",IFERROR(VLOOKUP(INDEX(ED455:ED466,EG464),SPPWS,2,FALSE),"----"),IFERROR(VLOOKUP(INDEX(ED455:ED466,EG464),SPM,2,FALSE),"----"))</f>
        <v>----</v>
      </c>
    </row>
    <row r="465" spans="1:138" ht="15" customHeight="1" x14ac:dyDescent="0.25">
      <c r="A465" s="1085"/>
      <c r="B465" s="925"/>
      <c r="C465" s="926"/>
      <c r="D465" s="927"/>
      <c r="E465" s="995"/>
      <c r="F465" s="996"/>
      <c r="G465" s="997"/>
      <c r="H465" s="1062"/>
      <c r="I465" s="990"/>
      <c r="J465" s="902"/>
      <c r="K465" s="903"/>
      <c r="L465" s="1002"/>
      <c r="M465" s="923"/>
      <c r="N465" s="1042"/>
      <c r="O465" s="1018"/>
      <c r="P465" s="987"/>
      <c r="Q465" s="1015"/>
      <c r="R465" s="1012"/>
      <c r="S465" s="1006"/>
      <c r="T465" s="1007"/>
      <c r="U465" s="878"/>
      <c r="V465" s="881"/>
      <c r="W465" s="884"/>
      <c r="X465" s="884"/>
      <c r="Y465" s="887"/>
      <c r="Z465" s="887"/>
      <c r="AA465" s="887"/>
      <c r="AB465" s="1081"/>
      <c r="AC465" s="1078"/>
      <c r="AD465" s="1070" t="str">
        <f t="shared" si="7388"/>
        <v>Engineered Lumber</v>
      </c>
      <c r="AE465" s="1071"/>
      <c r="AF465" s="1052"/>
      <c r="AG465" s="1053"/>
      <c r="AH465" s="1053"/>
      <c r="AI465" s="1068"/>
      <c r="AJ465" s="1069"/>
      <c r="AK465" s="154" t="str">
        <f t="shared" ca="1" si="7482"/>
        <v/>
      </c>
      <c r="AL465" s="1059"/>
      <c r="AM465" s="344" t="str">
        <f ca="1">IFERROR(Q455/12*ROUND(VLOOKUP(AF465,OFFSET(ELM,0,1),6,FALSE),2),"")</f>
        <v/>
      </c>
      <c r="AN465" t="str">
        <f t="shared" ca="1" si="7532"/>
        <v/>
      </c>
      <c r="AP465" s="122" t="str">
        <f t="shared" ref="AP465" si="8369">_xlfn.CONCAT(AR465,AS466)</f>
        <v/>
      </c>
      <c r="AQ465" s="683" t="str">
        <f t="shared" si="7698"/>
        <v/>
      </c>
      <c r="AR465" s="4" t="str">
        <f t="shared" si="7457"/>
        <v/>
      </c>
      <c r="AS465" s="4"/>
      <c r="AT465" s="697" t="str">
        <f>AL461</f>
        <v/>
      </c>
      <c r="AU465" s="694" t="e">
        <f t="shared" ca="1" si="7724"/>
        <v>#REF!</v>
      </c>
      <c r="AV465" s="698" t="str">
        <f ca="1">IFERROR(VLOOKUP(AU465,INDIRECT(AQ455),2,FALSE),"----")</f>
        <v>----</v>
      </c>
      <c r="AW465" s="694" t="e">
        <f t="shared" ca="1" si="7725"/>
        <v>#REF!</v>
      </c>
      <c r="AX465" s="698" t="str">
        <f ca="1">IFERROR(VLOOKUP(AW465,INDIRECT(AQ456),2,FALSE),"----")</f>
        <v>----</v>
      </c>
      <c r="AY465" s="694" t="e">
        <f t="shared" ca="1" si="7644"/>
        <v>#REF!</v>
      </c>
      <c r="AZ465" s="698" t="str">
        <f ca="1">IFERROR(VLOOKUP(AY465,INDIRECT(AQ457),2,FALSE),"----")</f>
        <v>----</v>
      </c>
      <c r="BA465" s="694" t="e">
        <f t="shared" ca="1" si="7645"/>
        <v>#REF!</v>
      </c>
      <c r="BB465" s="698" t="str">
        <f ca="1">IFERROR(VLOOKUP(BA465,INDIRECT(AQ458),2,FALSE),"----")</f>
        <v>----</v>
      </c>
      <c r="BC465" s="694" t="e">
        <f t="shared" ca="1" si="7728"/>
        <v>#REF!</v>
      </c>
      <c r="BD465" s="698" t="str">
        <f ca="1">IFERROR(VLOOKUP(BC465,INDIRECT(AQ459),2,FALSE),"----")</f>
        <v>----</v>
      </c>
      <c r="BE465" s="694" t="e">
        <f t="shared" ca="1" si="7729"/>
        <v>#REF!</v>
      </c>
      <c r="BF465" s="698" t="str">
        <f ca="1">IFERROR(VLOOKUP(BE465,INDIRECT(AQ460),2,FALSE),"----")</f>
        <v>----</v>
      </c>
      <c r="BG465" s="702" t="e">
        <f t="shared" ca="1" si="7730"/>
        <v>#REF!</v>
      </c>
      <c r="BH465" s="686" t="str">
        <f ca="1">IFERROR(VLOOKUP(BG465,INDIRECT(AQ461),2,FALSE),"----")</f>
        <v>----</v>
      </c>
      <c r="BI465" s="702" t="e">
        <f t="shared" ca="1" si="7731"/>
        <v>#REF!</v>
      </c>
      <c r="BJ465" s="686" t="str">
        <f ca="1">IFERROR(VLOOKUP(BI465,INDIRECT(AQ462),2,FALSE),"----")</f>
        <v>----</v>
      </c>
      <c r="BK465" s="702" t="e">
        <f t="shared" ca="1" si="7732"/>
        <v>#REF!</v>
      </c>
      <c r="BL465" s="686" t="str">
        <f ca="1">IFERROR(VLOOKUP(BK465,INDIRECT(AQ463),2,FALSE),"----")</f>
        <v>----</v>
      </c>
      <c r="BM465" s="702" t="e">
        <f t="shared" ca="1" si="7733"/>
        <v>#REF!</v>
      </c>
      <c r="BN465" s="686" t="str">
        <f ca="1">IFERROR(VLOOKUP(BM465,INDIRECT(AQ464),2,FALSE),"----")</f>
        <v>----</v>
      </c>
      <c r="BO465" s="702" t="e">
        <f t="shared" ca="1" si="7734"/>
        <v>#REF!</v>
      </c>
      <c r="BP465" s="686" t="str">
        <f ca="1">IFERROR(VLOOKUP(BO465,INDIRECT(AQ465),2,FALSE),"----")</f>
        <v>----</v>
      </c>
      <c r="BQ465" s="702" t="e">
        <f t="shared" ca="1" si="7735"/>
        <v>#REF!</v>
      </c>
      <c r="BR465" s="686" t="str">
        <f ca="1">IFERROR(VLOOKUP(BQ465,INDIRECT(AQ466),2,FALSE),"----")</f>
        <v>----</v>
      </c>
      <c r="BS465" s="695">
        <f>IF(AI465="",1,IF(COUNTIF(BP455:BP466,AI465)=0,2,1))</f>
        <v>1</v>
      </c>
      <c r="BT465" s="696">
        <f>IF(AF465="",1,IF(BP455=".",2,1))</f>
        <v>1</v>
      </c>
      <c r="BU465" s="706"/>
      <c r="BV465" s="155">
        <f ca="1">IF(COUNTIF(EC455:EC466,AF465)=0,IF(AF465&lt;&gt;"",0,1),1)</f>
        <v>1</v>
      </c>
      <c r="BW465" s="157">
        <f ca="1">IFERROR(MATCH(AF465,EC455:EC466,0),1)</f>
        <v>1</v>
      </c>
      <c r="BX465" s="769"/>
      <c r="BY465" s="769"/>
      <c r="BZ465" s="1110"/>
      <c r="CA465" s="691" t="e">
        <f t="shared" ca="1" si="8208"/>
        <v>#REF!</v>
      </c>
      <c r="CB465" s="4" t="e" cm="1">
        <f t="array" aca="1" ref="CB465" ca="1">IF(AND(INDEX(INDIRECT(BY455),CA465,4)&gt;=$AB455,INDEX(INDIRECT(BY455),CA465,5)&gt;=$S455,INDEX(INDIRECT(BY455),CA465,6)&gt;=$R455),1,0)</f>
        <v>#REF!</v>
      </c>
      <c r="CC465" s="4" t="e">
        <f t="shared" ref="CC465" ca="1" si="8370">MATCH(1,OFFSET(CB455:CB466,CD464,0,COUNT(CB455:CB466)-CD464),0)</f>
        <v>#REF!</v>
      </c>
      <c r="CD465" s="4" t="e">
        <f t="shared" ca="1" si="8210"/>
        <v>#REF!</v>
      </c>
      <c r="CE465" s="692" t="str" cm="1">
        <f t="array" aca="1" ref="CE465" ca="1">IFERROR(VLOOKUP(INDEX(CA455:CA466,CD465),INDIRECT(BY455),2,FALSE),"----")</f>
        <v>----</v>
      </c>
      <c r="CF465" s="691" t="e">
        <f t="shared" ca="1" si="8211"/>
        <v>#N/A</v>
      </c>
      <c r="CG465" s="4" t="e">
        <f ca="1">IF(AND(INDEX(SSM,CF465,4)&gt;=$AB455,INDEX(SSM,CF465,5)&gt;=$S455,INDEX(SSM,CF465,6)&gt;=$R455),1,0)</f>
        <v>#N/A</v>
      </c>
      <c r="CH465" s="4" t="e">
        <f t="shared" ref="CH465" ca="1" si="8371">MATCH(1,OFFSET(CG455:CG466,CI464,0,COUNT(CG455:CG466)-CI464),0)</f>
        <v>#REF!</v>
      </c>
      <c r="CI465" s="4" t="e">
        <f t="shared" ca="1" si="8213"/>
        <v>#REF!</v>
      </c>
      <c r="CJ465" s="692" t="str">
        <f ca="1">IFERROR(IF(AD456="Nested Steel Stud (wood infill)",VLOOKUP(INDEX(CF455:CF466,CI465),SSW,2,FALSE),VLOOKUP(INDEX(CF455:CF466,CI465),SSM,2,FALSE)),"----")</f>
        <v>----</v>
      </c>
      <c r="CK465" s="691" t="e">
        <f t="shared" ca="1" si="8214"/>
        <v>#N/A</v>
      </c>
      <c r="CL465" s="4" t="e">
        <f ca="1">IF(AND(INDEX(WSM,CK465,4)&gt;=$AB455,INDEX(WSM,CK465,5)&gt;=$S455,INDEX(WSM,CK465,6)&gt;=$R455),1,0)</f>
        <v>#N/A</v>
      </c>
      <c r="CM465" s="4" t="e">
        <f t="shared" ref="CM465" ca="1" si="8372">MATCH(1,OFFSET(CL455:CL466,CN464,0,COUNT(CL455:CL466)-CN464),0)</f>
        <v>#REF!</v>
      </c>
      <c r="CN465" s="4" t="e">
        <f t="shared" ca="1" si="8216"/>
        <v>#REF!</v>
      </c>
      <c r="CO465" s="692" t="str">
        <f ca="1">IFERROR(VLOOKUP(INDEX(CK455:CK466,CN465),WSM,2,FALSE),"----")</f>
        <v>----</v>
      </c>
      <c r="CP465" s="691" t="e">
        <f t="shared" ca="1" si="8217"/>
        <v>#N/A</v>
      </c>
      <c r="CQ465" s="4" t="e">
        <f ca="1">IF(AND(INDEX(STM,CP465,4)&gt;=$AB455,INDEX(STM,CP465,5)&gt;=$S455,INDEX(STM,CP465,6)&gt;=$R455),1,0)</f>
        <v>#N/A</v>
      </c>
      <c r="CR465" s="4" t="e">
        <f t="shared" ref="CR465" ca="1" si="8373">MATCH(1,OFFSET(CQ455:CQ466,CS464,0,COUNT(CQ455:CQ466)-CS464),0)</f>
        <v>#REF!</v>
      </c>
      <c r="CS465" s="4" t="e">
        <f t="shared" ca="1" si="8219"/>
        <v>#REF!</v>
      </c>
      <c r="CT465" s="692" t="str">
        <f ca="1">IFERROR(VLOOKUP(INDEX(CP455:CP466,CS465),STM,2,FALSE),"----")</f>
        <v>----</v>
      </c>
      <c r="CU465" s="691" t="e">
        <f t="shared" ca="1" si="8220"/>
        <v>#N/A</v>
      </c>
      <c r="CV465" s="4" t="e">
        <f ca="1">IF(AND(INDEX(ELM,CU465,4)&gt;=$AB455,INDEX(ELM,CU465,5)&gt;=$S455,INDEX(ELM,CU465,6)&gt;=$R455),1,0)</f>
        <v>#N/A</v>
      </c>
      <c r="CW465" s="4" t="e">
        <f t="shared" ref="CW465" ca="1" si="8374">MATCH(1,OFFSET(CV455:CV466,CX464,0,COUNT(CV455:CV466)-CX464),0)</f>
        <v>#REF!</v>
      </c>
      <c r="CX465" s="4" t="e">
        <f t="shared" ca="1" si="8222"/>
        <v>#REF!</v>
      </c>
      <c r="CY465" s="692" t="str">
        <f ca="1">IFERROR(VLOOKUP(INDEX(CU455:CU466,CX465),ELM,2,FALSE),"----")</f>
        <v>----</v>
      </c>
      <c r="CZ465" s="691" t="e">
        <f t="shared" ca="1" si="8223"/>
        <v>#N/A</v>
      </c>
      <c r="DA465" s="4" t="e">
        <f ca="1">IF(LEFT($J455,7)="Clad Wo",IF(AND(INDEX(SPPWS,CZ465,4)&gt;=$AB455,INDEX(SPPWS,CZ465,5)&gt;=$S455,INDEX(SPPWS,CZ465,6)&gt;=$R455),1,0),IF(AND(INDEX(SPM,CZ465,4)&gt;=$AB455,INDEX(SPM,CZ465,5)&gt;=$S455,INDEX(SPM,CZ465,6)&gt;=$R455),1,0))</f>
        <v>#N/A</v>
      </c>
      <c r="DB465" s="4" t="e">
        <f t="shared" ref="DB465" ca="1" si="8375">MATCH(1,OFFSET(DA455:DA466,DC464,0,COUNT(DA455:DA466)-DC464),0)</f>
        <v>#REF!</v>
      </c>
      <c r="DC465" s="4" t="e">
        <f t="shared" ca="1" si="8225"/>
        <v>#REF!</v>
      </c>
      <c r="DD465" s="693" t="str">
        <f ca="1">IF(LEFT($J455,7)="Clad Wo",IFERROR(VLOOKUP(INDEX(CZ455:CZ466,DC465),SPPWS,2,FALSE),"----"),IFERROR(VLOOKUP(INDEX(CZ455:CZ466,DC465),SPM,2,FALSE),"----"))</f>
        <v>----</v>
      </c>
      <c r="DE465" s="691" t="e">
        <f t="shared" ca="1" si="8226"/>
        <v>#REF!</v>
      </c>
      <c r="DF465" s="4" t="e" cm="1">
        <f t="array" aca="1" ref="DF465" ca="1">IF(AND(INDEX(INDIRECT(BY455),DE465,4)&gt;=$AB461,INDEX(INDIRECT(BY455),DE465,5)&gt;=$S455,INDEX(INDIRECT(BY455),DE465,6)&gt;=$R455),1,0)</f>
        <v>#REF!</v>
      </c>
      <c r="DG465" s="4" t="e">
        <f t="shared" ref="DG465" ca="1" si="8376">MATCH(1,OFFSET(DF455:DF466,DH464,0,COUNT(DF455:DF466)-DH464),0)</f>
        <v>#REF!</v>
      </c>
      <c r="DH465" s="4" t="e">
        <f t="shared" ca="1" si="8228"/>
        <v>#REF!</v>
      </c>
      <c r="DI465" s="692" t="str" cm="1">
        <f t="array" aca="1" ref="DI465" ca="1">IFERROR(VLOOKUP(INDEX(DE455:DE466,DH465),INDIRECT(BY455),2,FALSE),"----")</f>
        <v>----</v>
      </c>
      <c r="DJ465" s="691" t="e">
        <f t="shared" ca="1" si="8229"/>
        <v>#N/A</v>
      </c>
      <c r="DK465" s="4" t="e">
        <f ca="1">IF(AND(INDEX(SSM,DJ465,4)&gt;=$AB461,INDEX(SSM,DJ465,5)&gt;=$S455,INDEX(SSM,DJ465,6)&gt;=$R455),1,0)</f>
        <v>#N/A</v>
      </c>
      <c r="DL465" s="4" t="e">
        <f t="shared" ref="DL465" ca="1" si="8377">MATCH(1,OFFSET(DK455:DK466,DM464,0,COUNT(DK455:DK466)-DM464),0)</f>
        <v>#REF!</v>
      </c>
      <c r="DM465" s="4" t="e">
        <f t="shared" ca="1" si="8231"/>
        <v>#REF!</v>
      </c>
      <c r="DN465" s="692" t="str">
        <f ca="1">IFERROR(IF(AD462="Nested Steel Stud (wood infill)",VLOOKUP(INDEX(DJ455:DJ466,DM465),SSW,2,FALSE),VLOOKUP(INDEX(DJ455:DJ466,DM465),SSM,2,FALSE)),"----")</f>
        <v>----</v>
      </c>
      <c r="DO465" s="691" t="e">
        <f t="shared" ca="1" si="8232"/>
        <v>#N/A</v>
      </c>
      <c r="DP465" s="4" t="e">
        <f ca="1">IF(AND(INDEX(WSM,DO465,4)&gt;=$AB461,INDEX(WSM,DO465,5)&gt;=$S455,INDEX(WSM,DO465,6)&gt;=$R455),1,0)</f>
        <v>#N/A</v>
      </c>
      <c r="DQ465" s="4" t="e">
        <f t="shared" ref="DQ465" ca="1" si="8378">MATCH(1,OFFSET(DP455:DP466,DR464,0,COUNT(DP455:DP466)-DR464),0)</f>
        <v>#REF!</v>
      </c>
      <c r="DR465" s="4" t="e">
        <f t="shared" ca="1" si="8234"/>
        <v>#REF!</v>
      </c>
      <c r="DS465" s="692" t="str">
        <f ca="1">IFERROR(VLOOKUP(INDEX(DO455:DO466,DR465),WSM,2,FALSE),"----")</f>
        <v>----</v>
      </c>
      <c r="DT465" s="691" t="e">
        <f t="shared" ca="1" si="8235"/>
        <v>#N/A</v>
      </c>
      <c r="DU465" s="4" t="e">
        <f ca="1">IF(AND(INDEX(STM,DT465,4)&gt;=$AB461,INDEX(STM,DT465,5)&gt;=$S455,INDEX(STM,DT465,6)&gt;=$R455),1,0)</f>
        <v>#N/A</v>
      </c>
      <c r="DV465" s="4" t="e">
        <f t="shared" ref="DV465" ca="1" si="8379">MATCH(1,OFFSET(DU455:DU466,DW464,0,COUNT(DU455:DU466)-DW464),0)</f>
        <v>#REF!</v>
      </c>
      <c r="DW465" s="4" t="e">
        <f t="shared" ca="1" si="8237"/>
        <v>#REF!</v>
      </c>
      <c r="DX465" s="692" t="str">
        <f ca="1">IFERROR(VLOOKUP(INDEX(DT455:DT466,DW465),STM,2,FALSE),"----")</f>
        <v>----</v>
      </c>
      <c r="DY465" s="691" t="e">
        <f t="shared" ca="1" si="8238"/>
        <v>#N/A</v>
      </c>
      <c r="DZ465" s="4" t="e">
        <f ca="1">IF(AND(INDEX(ELM,DY465,4)&gt;=$AB461,INDEX(ELM,DY465,5)&gt;=$S455,INDEX(ELM,DY465,6)&gt;=$R455),1,0)</f>
        <v>#N/A</v>
      </c>
      <c r="EA465" s="4" t="e">
        <f t="shared" ref="EA465" ca="1" si="8380">MATCH(1,OFFSET(DZ455:DZ466,EB464,0,COUNT(DZ455:DZ466)-EB464),0)</f>
        <v>#REF!</v>
      </c>
      <c r="EB465" s="4" t="e">
        <f t="shared" ca="1" si="8240"/>
        <v>#REF!</v>
      </c>
      <c r="EC465" s="692" t="str">
        <f ca="1">IFERROR(VLOOKUP(INDEX(DY455:DY466,EB465),ELM,2,FALSE),"----")</f>
        <v>----</v>
      </c>
      <c r="ED465" s="691" t="e">
        <f t="shared" ca="1" si="8241"/>
        <v>#N/A</v>
      </c>
      <c r="EE465" s="4" t="e">
        <f ca="1">IF(LEFT($J455,7)="Clad Wo",IF(AND(INDEX(SPPWS,ED465,4)&gt;=$AB461,INDEX(SPPWS,ED465,5)&gt;=$S455,INDEX(SPPWS,ED465,6)&gt;=$R455),1,0),IF(AND(INDEX(SPM,ED465,4)&gt;=$AB461,INDEX(SPM,ED465,5)&gt;=$S455,INDEX(SPM,ED465,6)&gt;=$R455),1,0))</f>
        <v>#N/A</v>
      </c>
      <c r="EF465" s="4" t="e">
        <f t="shared" ref="EF465" ca="1" si="8381">MATCH(1,OFFSET(EE455:EE466,EG464,0,COUNT(EE455:EE466)-EG464),0)</f>
        <v>#REF!</v>
      </c>
      <c r="EG465" s="4" t="e">
        <f t="shared" ca="1" si="8243"/>
        <v>#REF!</v>
      </c>
      <c r="EH465" s="692" t="str">
        <f ca="1">IF(LEFT($J455,7)="Clad Wo",IFERROR(VLOOKUP(INDEX(ED455:ED466,EG465),SPPWS,2,FALSE),"----"),IFERROR(VLOOKUP(INDEX(ED455:ED466,EG465),SPM,2,FALSE),"----"))</f>
        <v>----</v>
      </c>
    </row>
    <row r="466" spans="1:138" ht="15" customHeight="1" thickBot="1" x14ac:dyDescent="0.3">
      <c r="A466" s="1085"/>
      <c r="B466" s="928"/>
      <c r="C466" s="929"/>
      <c r="D466" s="930"/>
      <c r="E466" s="998"/>
      <c r="F466" s="999"/>
      <c r="G466" s="1000"/>
      <c r="H466" s="1063"/>
      <c r="I466" s="991"/>
      <c r="J466" s="904"/>
      <c r="K466" s="905"/>
      <c r="L466" s="1003"/>
      <c r="M466" s="1065"/>
      <c r="N466" s="1043"/>
      <c r="O466" s="1019"/>
      <c r="P466" s="988"/>
      <c r="Q466" s="1016"/>
      <c r="R466" s="1013"/>
      <c r="S466" s="1008"/>
      <c r="T466" s="1009"/>
      <c r="U466" s="879"/>
      <c r="V466" s="882"/>
      <c r="W466" s="885"/>
      <c r="X466" s="885"/>
      <c r="Y466" s="888"/>
      <c r="Z466" s="888"/>
      <c r="AA466" s="888"/>
      <c r="AB466" s="1082"/>
      <c r="AC466" s="1087"/>
      <c r="AD466" s="1098" t="str">
        <f t="shared" ref="AD466" si="8382">IF(LEFT(J455,7)="Clad Wo","Pella Wood Spr / Steel Pte","Steel Plate")</f>
        <v>Steel Plate</v>
      </c>
      <c r="AE466" s="1099"/>
      <c r="AF466" s="1096"/>
      <c r="AG466" s="1097"/>
      <c r="AH466" s="1097"/>
      <c r="AI466" s="1094"/>
      <c r="AJ466" s="1095"/>
      <c r="AK466" s="163" t="str">
        <f t="shared" ca="1" si="7482"/>
        <v/>
      </c>
      <c r="AL466" s="1060"/>
      <c r="AM466" s="345" t="str">
        <f ca="1">IFERROR(Q455/12*ROUND(VLOOKUP(AF466,OFFSET(SPM,0,1),6,FALSE),2),"")</f>
        <v/>
      </c>
      <c r="AN466" t="str">
        <f t="shared" ca="1" si="7532"/>
        <v/>
      </c>
      <c r="AP466" s="699" t="str">
        <f t="shared" ref="AP466" si="8383">_xlfn.CONCAT(AR466,AS466)</f>
        <v/>
      </c>
      <c r="AQ466" s="700" t="str">
        <f t="shared" si="7698"/>
        <v/>
      </c>
      <c r="AR466" s="160" t="str">
        <f t="shared" si="7457"/>
        <v/>
      </c>
      <c r="AS466" s="160" t="str">
        <f>IFERROR(VLOOKUP(J463, WallType,2,FALSE),"")</f>
        <v/>
      </c>
      <c r="AT466" s="707" t="str">
        <f>AL461</f>
        <v/>
      </c>
      <c r="AU466" s="708" t="e">
        <f t="shared" ca="1" si="7724"/>
        <v>#REF!</v>
      </c>
      <c r="AV466" s="709" t="str">
        <f ca="1">IFERROR(VLOOKUP(AU466,INDIRECT(AQ455),2,FALSE),"----")</f>
        <v>----</v>
      </c>
      <c r="AW466" s="710" t="e">
        <f t="shared" ca="1" si="7725"/>
        <v>#REF!</v>
      </c>
      <c r="AX466" s="709" t="str">
        <f ca="1">IFERROR(VLOOKUP(AW466,INDIRECT(AQ456),2,FALSE),"----")</f>
        <v>----</v>
      </c>
      <c r="AY466" s="710" t="e">
        <f t="shared" ca="1" si="7644"/>
        <v>#REF!</v>
      </c>
      <c r="AZ466" s="709" t="str">
        <f ca="1">IFERROR(VLOOKUP(AY466,INDIRECT(AQ457),2,FALSE),"----")</f>
        <v>----</v>
      </c>
      <c r="BA466" s="710" t="e">
        <f t="shared" ca="1" si="7645"/>
        <v>#REF!</v>
      </c>
      <c r="BB466" s="709" t="str">
        <f ca="1">IFERROR(VLOOKUP(BA466,INDIRECT(AQ458),2,FALSE),"----")</f>
        <v>----</v>
      </c>
      <c r="BC466" s="710" t="e">
        <f t="shared" ca="1" si="7728"/>
        <v>#REF!</v>
      </c>
      <c r="BD466" s="709" t="str">
        <f ca="1">IFERROR(VLOOKUP(BC466,INDIRECT(AQ459),2,FALSE),"----")</f>
        <v>----</v>
      </c>
      <c r="BE466" s="710" t="e">
        <f t="shared" ca="1" si="7729"/>
        <v>#REF!</v>
      </c>
      <c r="BF466" s="709" t="str">
        <f ca="1">IFERROR(VLOOKUP(BE466,INDIRECT(AQ460),2,FALSE),"----")</f>
        <v>----</v>
      </c>
      <c r="BG466" s="710" t="e">
        <f t="shared" ca="1" si="7730"/>
        <v>#REF!</v>
      </c>
      <c r="BH466" s="711" t="str">
        <f ca="1">IFERROR(VLOOKUP(BG466,INDIRECT(AQ461),2,FALSE),"----")</f>
        <v>----</v>
      </c>
      <c r="BI466" s="710" t="e">
        <f t="shared" ca="1" si="7731"/>
        <v>#REF!</v>
      </c>
      <c r="BJ466" s="711" t="str">
        <f ca="1">IFERROR(VLOOKUP(BI466,INDIRECT(AQ462),2,FALSE),"----")</f>
        <v>----</v>
      </c>
      <c r="BK466" s="710" t="e">
        <f t="shared" ca="1" si="7732"/>
        <v>#REF!</v>
      </c>
      <c r="BL466" s="711" t="str">
        <f ca="1">IFERROR(VLOOKUP(BK466,INDIRECT(AQ463),2,FALSE),"----")</f>
        <v>----</v>
      </c>
      <c r="BM466" s="710" t="e">
        <f t="shared" ca="1" si="7733"/>
        <v>#REF!</v>
      </c>
      <c r="BN466" s="711" t="str">
        <f ca="1">IFERROR(VLOOKUP(BM466,INDIRECT(AQ464),2,FALSE),"----")</f>
        <v>----</v>
      </c>
      <c r="BO466" s="710" t="e">
        <f t="shared" ca="1" si="7734"/>
        <v>#REF!</v>
      </c>
      <c r="BP466" s="711" t="str">
        <f ca="1">IFERROR(VLOOKUP(BO466,INDIRECT(AQ465),2,FALSE),"----")</f>
        <v>----</v>
      </c>
      <c r="BQ466" s="710" t="e">
        <f t="shared" ca="1" si="7735"/>
        <v>#REF!</v>
      </c>
      <c r="BR466" s="712" t="str">
        <f ca="1">IFERROR(VLOOKUP(BQ466,INDIRECT(AQ466),2,FALSE),"----")</f>
        <v>----</v>
      </c>
      <c r="BS466" s="695">
        <f>IF(AI466="",1,IF(COUNTIF(BR455:BR466,AI466)=0,2,1))</f>
        <v>1</v>
      </c>
      <c r="BT466" s="713">
        <f>IF(AF466="",1,IF(BR455=".",2,1))</f>
        <v>1</v>
      </c>
      <c r="BV466" s="155">
        <f ca="1">IF(COUNTIF(EH455:EH466,AF466)=0,IF(AF466&lt;&gt;"",0,1),1)</f>
        <v>1</v>
      </c>
      <c r="BW466" s="157">
        <f ca="1">IFERROR(MATCH(AF466,EH455:EH466,0),1)</f>
        <v>1</v>
      </c>
      <c r="BX466" s="718"/>
      <c r="BY466" s="777"/>
      <c r="BZ466" s="1110"/>
      <c r="CA466" s="714" t="e">
        <f t="shared" ca="1" si="8208"/>
        <v>#REF!</v>
      </c>
      <c r="CB466" s="715" t="e" cm="1">
        <f t="array" aca="1" ref="CB466" ca="1">IF(AND(INDEX(INDIRECT(BY455),CA466,4)&gt;=$AB455,INDEX(INDIRECT(BY455),CA466,5)&gt;=$S455,INDEX(INDIRECT(BY455),CA466,6)&gt;=$R455),1,0)</f>
        <v>#REF!</v>
      </c>
      <c r="CC466" s="715" t="e">
        <f t="shared" ref="CC466" ca="1" si="8384">MATCH(1,OFFSET(CB455:CB466,CD465,0,COUNT(CB455:CB466)-CD465),0)</f>
        <v>#REF!</v>
      </c>
      <c r="CD466" s="715" t="e">
        <f t="shared" ca="1" si="8210"/>
        <v>#REF!</v>
      </c>
      <c r="CE466" s="716" t="str" cm="1">
        <f t="array" aca="1" ref="CE466" ca="1">IFERROR(VLOOKUP(INDEX(CA455:CA466,CD466),INDIRECT(BY455),2,FALSE),"----")</f>
        <v>----</v>
      </c>
      <c r="CF466" s="714" t="e">
        <f t="shared" ca="1" si="8211"/>
        <v>#N/A</v>
      </c>
      <c r="CG466" s="715" t="e">
        <f ca="1">IF(AND(INDEX(SSM,CF466,4)&gt;=$AB455,INDEX(SSM,CF466,5)&gt;=$S455,INDEX(SSM,CF466,6)&gt;=$R455),1,0)</f>
        <v>#N/A</v>
      </c>
      <c r="CH466" s="715" t="e">
        <f t="shared" ref="CH466" ca="1" si="8385">MATCH(1,OFFSET(CG455:CG466,CI465,0,COUNT(CG455:CG466)-CI465),0)</f>
        <v>#REF!</v>
      </c>
      <c r="CI466" s="715" t="e">
        <f t="shared" ca="1" si="8213"/>
        <v>#REF!</v>
      </c>
      <c r="CJ466" s="716" t="str">
        <f ca="1">IFERROR(IF(AD456="Nested Steel Stud (wood infill)",VLOOKUP(INDEX(CF455:CF466,CI466),SSW,2,FALSE),VLOOKUP(INDEX(CF455:CF466,CI466),SSM,2,FALSE)),"----")</f>
        <v>----</v>
      </c>
      <c r="CK466" s="714" t="e">
        <f t="shared" ca="1" si="8214"/>
        <v>#N/A</v>
      </c>
      <c r="CL466" s="715" t="e">
        <f ca="1">IF(AND(INDEX(WSM,CK466,4)&gt;=$AB455,INDEX(WSM,CK466,5)&gt;=$S455,INDEX(WSM,CK466,6)&gt;=$R455),1,0)</f>
        <v>#N/A</v>
      </c>
      <c r="CM466" s="715" t="e">
        <f t="shared" ref="CM466" ca="1" si="8386">MATCH(1,OFFSET(CL455:CL466,CN465,0,COUNT(CL455:CL466)-CN465),0)</f>
        <v>#REF!</v>
      </c>
      <c r="CN466" s="715" t="e">
        <f t="shared" ca="1" si="8216"/>
        <v>#REF!</v>
      </c>
      <c r="CO466" s="716" t="str">
        <f ca="1">IFERROR(VLOOKUP(INDEX(CK455:CK466,CN466),WSM,2,FALSE),"----")</f>
        <v>----</v>
      </c>
      <c r="CP466" s="714" t="e">
        <f t="shared" ca="1" si="8217"/>
        <v>#N/A</v>
      </c>
      <c r="CQ466" s="715" t="e">
        <f ca="1">IF(AND(INDEX(STM,CP466,4)&gt;=$AB455,INDEX(STM,CP466,5)&gt;=$S455,INDEX(STM,CP466,6)&gt;=$R455),1,0)</f>
        <v>#N/A</v>
      </c>
      <c r="CR466" s="715" t="e">
        <f t="shared" ref="CR466" ca="1" si="8387">MATCH(1,OFFSET(CQ455:CQ466,CS465,0,COUNT(CQ455:CQ466)-CS465),0)</f>
        <v>#REF!</v>
      </c>
      <c r="CS466" s="715" t="e">
        <f t="shared" ca="1" si="8219"/>
        <v>#REF!</v>
      </c>
      <c r="CT466" s="716" t="str">
        <f ca="1">IFERROR(VLOOKUP(INDEX(CP455:CP466,CS466),STM,2,FALSE),"----")</f>
        <v>----</v>
      </c>
      <c r="CU466" s="714" t="e">
        <f t="shared" ca="1" si="8220"/>
        <v>#N/A</v>
      </c>
      <c r="CV466" s="715" t="e">
        <f ca="1">IF(AND(INDEX(ELM,CU466,4)&gt;=$AB455,INDEX(ELM,CU466,5)&gt;=$S455,INDEX(ELM,CU466,6)&gt;=$R455),1,0)</f>
        <v>#N/A</v>
      </c>
      <c r="CW466" s="715" t="e">
        <f t="shared" ref="CW466" ca="1" si="8388">MATCH(1,OFFSET(CV455:CV466,CX465,0,COUNT(CV455:CV466)-CX465),0)</f>
        <v>#REF!</v>
      </c>
      <c r="CX466" s="715" t="e">
        <f t="shared" ca="1" si="8222"/>
        <v>#REF!</v>
      </c>
      <c r="CY466" s="716" t="str">
        <f ca="1">IFERROR(VLOOKUP(INDEX(CU455:CU466,CX466),ELM,2,FALSE),"----")</f>
        <v>----</v>
      </c>
      <c r="CZ466" s="714" t="e">
        <f t="shared" ca="1" si="8223"/>
        <v>#N/A</v>
      </c>
      <c r="DA466" s="715" t="e">
        <f ca="1">IF(LEFT($J455,7)="Clad Wo",IF(AND(INDEX(SPPWS,CZ466,4)&gt;=$AB455,INDEX(SPPWS,CZ466,5)&gt;=$S455,INDEX(SPPWS,CZ466,6)&gt;=$R455),1,0),IF(AND(INDEX(SPM,CZ466,4)&gt;=$AB455,INDEX(SPM,CZ466,5)&gt;=$S455,INDEX(SPM,CZ466,6)&gt;=$R455),1,0))</f>
        <v>#N/A</v>
      </c>
      <c r="DB466" s="715" t="e">
        <f t="shared" ref="DB466" ca="1" si="8389">MATCH(1,OFFSET(DA455:DA466,DC465,0,COUNT(DA455:DA466)-DC465),0)</f>
        <v>#REF!</v>
      </c>
      <c r="DC466" s="715" t="e">
        <f t="shared" ca="1" si="8225"/>
        <v>#REF!</v>
      </c>
      <c r="DD466" s="717" t="str">
        <f ca="1">IF(LEFT($J455,7)="Clad Wo",IFERROR(VLOOKUP(INDEX(CZ455:CZ466,DC466),SPPWS,2,FALSE),"----"),IFERROR(VLOOKUP(INDEX(CZ455:CZ466,DC466),SPM,2,FALSE),"----"))</f>
        <v>----</v>
      </c>
      <c r="DE466" s="714" t="e">
        <f t="shared" ca="1" si="8226"/>
        <v>#REF!</v>
      </c>
      <c r="DF466" s="715" t="e" cm="1">
        <f t="array" aca="1" ref="DF466" ca="1">IF(AND(INDEX(INDIRECT(BY455),DE466,4)&gt;=$AB461,INDEX(INDIRECT(BY455),DE466,5)&gt;=$S455,INDEX(INDIRECT(BY455),DE466,6)&gt;=$R455),1,0)</f>
        <v>#REF!</v>
      </c>
      <c r="DG466" s="715" t="e">
        <f t="shared" ref="DG466" ca="1" si="8390">MATCH(1,OFFSET(DF455:DF466,DH465,0,COUNT(DF455:DF466)-DH465),0)</f>
        <v>#REF!</v>
      </c>
      <c r="DH466" s="715" t="e">
        <f t="shared" ca="1" si="8228"/>
        <v>#REF!</v>
      </c>
      <c r="DI466" s="716" t="str" cm="1">
        <f t="array" aca="1" ref="DI466" ca="1">IFERROR(VLOOKUP(INDEX(DE455:DE466,DH466),INDIRECT(BY455),2,FALSE),"----")</f>
        <v>----</v>
      </c>
      <c r="DJ466" s="714" t="e">
        <f t="shared" ca="1" si="8229"/>
        <v>#N/A</v>
      </c>
      <c r="DK466" s="715" t="e">
        <f ca="1">IF(AND(INDEX(SSM,DJ466,4)&gt;=$AB461,INDEX(SSM,DJ466,5)&gt;=$S455,INDEX(SSM,DJ466,6)&gt;=$R455),1,0)</f>
        <v>#N/A</v>
      </c>
      <c r="DL466" s="715" t="e">
        <f t="shared" ref="DL466" ca="1" si="8391">MATCH(1,OFFSET(DK455:DK466,DM465,0,COUNT(DK455:DK466)-DM465),0)</f>
        <v>#REF!</v>
      </c>
      <c r="DM466" s="715" t="e">
        <f t="shared" ca="1" si="8231"/>
        <v>#REF!</v>
      </c>
      <c r="DN466" s="716" t="str">
        <f ca="1">IFERROR(IF(AD462="Nested Steel Stud (wood infill)",VLOOKUP(INDEX(DJ455:DJ466,DM466),SSW,2,FALSE),VLOOKUP(INDEX(DJ455:DJ466,DM466),SSM,2,FALSE)),"----")</f>
        <v>----</v>
      </c>
      <c r="DO466" s="714" t="e">
        <f t="shared" ca="1" si="8232"/>
        <v>#N/A</v>
      </c>
      <c r="DP466" s="715" t="e">
        <f ca="1">IF(AND(INDEX(WSM,DO466,4)&gt;=$AB461,INDEX(WSM,DO466,5)&gt;=$S455,INDEX(WSM,DO466,6)&gt;=$R455),1,0)</f>
        <v>#N/A</v>
      </c>
      <c r="DQ466" s="715" t="e">
        <f t="shared" ref="DQ466" ca="1" si="8392">MATCH(1,OFFSET(DP455:DP466,DR465,0,COUNT(DP455:DP466)-DR465),0)</f>
        <v>#REF!</v>
      </c>
      <c r="DR466" s="715" t="e">
        <f t="shared" ca="1" si="8234"/>
        <v>#REF!</v>
      </c>
      <c r="DS466" s="716" t="str">
        <f ca="1">IFERROR(VLOOKUP(INDEX(DO455:DO466,DR466),WSM,2,FALSE),"----")</f>
        <v>----</v>
      </c>
      <c r="DT466" s="714" t="e">
        <f t="shared" ca="1" si="8235"/>
        <v>#N/A</v>
      </c>
      <c r="DU466" s="715" t="e">
        <f ca="1">IF(AND(INDEX(STM,DT466,4)&gt;=$AB461,INDEX(STM,DT466,5)&gt;=$S455,INDEX(STM,DT466,6)&gt;=$R455),1,0)</f>
        <v>#N/A</v>
      </c>
      <c r="DV466" s="715" t="e">
        <f t="shared" ref="DV466" ca="1" si="8393">MATCH(1,OFFSET(DU455:DU466,DW465,0,COUNT(DU455:DU466)-DW465),0)</f>
        <v>#REF!</v>
      </c>
      <c r="DW466" s="715" t="e">
        <f t="shared" ca="1" si="8237"/>
        <v>#REF!</v>
      </c>
      <c r="DX466" s="716" t="str">
        <f ca="1">IFERROR(VLOOKUP(INDEX(DT455:DT466,DW466),STM,2,FALSE),"----")</f>
        <v>----</v>
      </c>
      <c r="DY466" s="714" t="e">
        <f t="shared" ca="1" si="8238"/>
        <v>#N/A</v>
      </c>
      <c r="DZ466" s="715" t="e">
        <f ca="1">IF(AND(INDEX(ELM,DY466,4)&gt;=$AB461,INDEX(ELM,DY466,5)&gt;=$S455,INDEX(ELM,DY466,6)&gt;=$R455),1,0)</f>
        <v>#N/A</v>
      </c>
      <c r="EA466" s="715" t="e">
        <f t="shared" ref="EA466" ca="1" si="8394">MATCH(1,OFFSET(DZ455:DZ466,EB465,0,COUNT(DZ455:DZ466)-EB465),0)</f>
        <v>#REF!</v>
      </c>
      <c r="EB466" s="715" t="e">
        <f t="shared" ca="1" si="8240"/>
        <v>#REF!</v>
      </c>
      <c r="EC466" s="716" t="str">
        <f ca="1">IFERROR(VLOOKUP(INDEX(DY455:DY466,EB466),ELM,2,FALSE),"----")</f>
        <v>----</v>
      </c>
      <c r="ED466" s="714" t="e">
        <f t="shared" ca="1" si="8241"/>
        <v>#N/A</v>
      </c>
      <c r="EE466" s="715" t="e">
        <f ca="1">IF(LEFT($J455,7)="Clad Wo",IF(AND(INDEX(SPPWS,ED466,4)&gt;=$AB461,INDEX(SPPWS,ED466,5)&gt;=$S455,INDEX(SPPWS,ED466,6)&gt;=$R455),1,0),IF(AND(INDEX(SPM,ED466,4)&gt;=$AB461,INDEX(SPM,ED466,5)&gt;=$S455,INDEX(SPM,ED466,6)&gt;=$R455),1,0))</f>
        <v>#N/A</v>
      </c>
      <c r="EF466" s="715" t="e">
        <f t="shared" ref="EF466" ca="1" si="8395">MATCH(1,OFFSET(EE455:EE466,EG465,0,COUNT(EE455:EE466)-EG465),0)</f>
        <v>#REF!</v>
      </c>
      <c r="EG466" s="715" t="e">
        <f t="shared" ca="1" si="8243"/>
        <v>#REF!</v>
      </c>
      <c r="EH466" s="716" t="str">
        <f ca="1">IF(LEFT($J455,7)="Clad Wo",IFERROR(VLOOKUP(INDEX(ED455:ED466,EG466),SPPWS,2,FALSE),"----"),IFERROR(VLOOKUP(INDEX(ED455:ED466,EG466),SPM,2,FALSE),"----"))</f>
        <v>----</v>
      </c>
    </row>
    <row r="467" spans="1:138" ht="15" customHeight="1" thickTop="1" x14ac:dyDescent="0.25">
      <c r="A467" s="1085"/>
      <c r="B467" s="931" t="s">
        <v>92</v>
      </c>
      <c r="C467" s="932"/>
      <c r="D467" s="933"/>
      <c r="E467" s="992"/>
      <c r="F467" s="993"/>
      <c r="G467" s="994"/>
      <c r="H467" s="1061"/>
      <c r="I467" s="989"/>
      <c r="J467" s="906"/>
      <c r="K467" s="907"/>
      <c r="L467" s="1001">
        <f>$W$3</f>
        <v>4</v>
      </c>
      <c r="M467" s="923" t="str">
        <f t="shared" ref="M467" si="8396">IFERROR(IF($AE$13="",IF($AG$19="Wind Loading",MIN($V$31,IF(E$11="ASCE 7-05",$U$26,$V$7)*$V$9*(IF($E$12&lt;60,0.0771*LN(MAX(MIN(500,O467),10)) -1.2737,IF($E$11="ASCE 7-22",0.0524*LN(MAX(MIN(500,O467),50))-1.0278,0.0614*LN(MAX(MIN(500,O467),20)) -1.0829))-$V$8)),$V$7*IF(E$12&lt;60,$V$13*($V$15*0.0771*LN(MAX(MIN(500,O467),10))-1.2737-$V$16),$V$13*$V$15*((0.0524*LN(MAX(MIN(500,O467),20))-1.0278)-$V$16))),-ABS($AE$13)),"")</f>
        <v/>
      </c>
      <c r="N467" s="1042" t="str">
        <f t="shared" ref="N467" si="8397">IFERROR(IF($AE$15="",IF($AG$19="Wind Loading",MAX($U$31,IF(E$11="ASCE 7-05",$U$26,$V$7)*$V$9*((IF($E$12&lt;60,-0.077*LN(MAX(MIN(500,O467),10))+1.1737,IF($E$11="ASCE 7-22",-0.077*LN(MAX(MIN(500,O467),20))+1.0798,-0.093*LN(MAX(MIN(500,O467),20))+1.1776)))+$V$8)),$V$7*IF(E$12&lt;60,$V$13*($V$15*(-0.077*LN(MAX(MIN(500,O467),10))+1.1737)-$V$17),$V$13*$V$15*((-0.077*LN(MAX(MIN(500,O467),20))+1.0798)-$V$17))),ABS($AE$15)),"")</f>
        <v/>
      </c>
      <c r="O467" s="1017" t="str">
        <f>IF(BX474=0,"",IF(AG$14="Trapezoidal",BY474,BX474))</f>
        <v/>
      </c>
      <c r="P467" s="986"/>
      <c r="Q467" s="1014"/>
      <c r="R467" s="1011">
        <f>P467*Q467/8</f>
        <v>0</v>
      </c>
      <c r="S467" s="1004">
        <f t="shared" ref="S467" si="8398">IF(5*(P467*Q467^3/(384*0.125))=0,0,5*(P467*Q467^3/(384*0.125)))</f>
        <v>0</v>
      </c>
      <c r="T467" s="1005"/>
      <c r="U467" s="877" t="e">
        <f ca="1">VLOOKUP(J471,INDIRECT(VLOOKUP(J467,FrameStrength,2,FALSE)),3,FALSE)</f>
        <v>#N/A</v>
      </c>
      <c r="V467" s="880">
        <f t="shared" ref="V467" si="8399">(H467+I467)/2</f>
        <v>0</v>
      </c>
      <c r="W467" s="883" t="e">
        <f t="shared" ref="W467" si="8400">MAX(-M467,N467)*O467</f>
        <v>#VALUE!</v>
      </c>
      <c r="X467" s="883">
        <f t="shared" ref="X467" si="8401">IF(E467&gt;162,(E467/240+0.25),IF(AND(E467&lt;162,E467/175&lt;0.75),E467/175,0.75))</f>
        <v>0</v>
      </c>
      <c r="Y467" s="886">
        <f>IFERROR(IF(AG$14="Trapezoidal",BY475,BX475)+IF($E$17="4",(400*E467^3)/(48*X467),0),0)</f>
        <v>0</v>
      </c>
      <c r="Z467" s="886" t="e">
        <f t="shared" ref="Z467" si="8402">+($V467*MAX(-$M467,$N467)*$E467^2)/(144*8)+IF($E$17=4,(400*$E467)/4,0)</f>
        <v>#VALUE!</v>
      </c>
      <c r="AA467" s="886" t="e">
        <f ca="1">VLOOKUP(J471,INDIRECT(VLOOKUP(J467,FrameStrength,2,FALSE)),2,FALSE)</f>
        <v>#N/A</v>
      </c>
      <c r="AB467" s="1083" t="str">
        <f t="shared" ref="AB467" ca="1" si="8403">IFERROR(Z467-AA467,"")</f>
        <v/>
      </c>
      <c r="AC467" s="1077" t="str">
        <f t="shared" ref="AC467" ca="1" si="8404">IFERROR(Y467-U467,"")</f>
        <v/>
      </c>
      <c r="AD467" s="1100" t="str">
        <f>IFERROR(IF(LEFT(J471,2)="As",VLOOKUP(J471,EIMM,4,FALSE),VLOOKUP(J467,EIMM,4,FALSE)),IF(AND(ISNUMBER(SEARCH("Impervia",J467)),ISNUMBER(SEARCH("door",J471))),'New Lookup Cells'!AF$10,IF(ISNUMBER(SEARCH("Impervia",J467)),'New Lookup Cells'!AF$7,IF(AND(ISNUMBER(SEARCH("250",J467)),ISNUMBER(SEARCH("door",J471))),'New Lookup Cells'!AF$14,IF(ISNUMBER(SEARCH("250",J467)),'New Lookup Cells'!AF$13,"")))))</f>
        <v/>
      </c>
      <c r="AE467" s="1101"/>
      <c r="AF467" s="1050"/>
      <c r="AG467" s="1051"/>
      <c r="AH467" s="1051"/>
      <c r="AI467" s="1088"/>
      <c r="AJ467" s="1089"/>
      <c r="AK467" s="154" t="str">
        <f t="shared" ca="1" si="7482"/>
        <v/>
      </c>
      <c r="AL467" s="1038" t="str">
        <f t="shared" ref="AL467" si="8405">IFERROR(ROUND(SQRT(P467^2+(W467/2+IF($E$17=4,200,0))^2),0),"")</f>
        <v/>
      </c>
      <c r="AM467" s="342" t="s">
        <v>669</v>
      </c>
      <c r="AN467" t="str">
        <f t="shared" ca="1" si="7532"/>
        <v/>
      </c>
      <c r="AP467" s="122" t="str">
        <f t="shared" ref="AP467" si="8406">_xlfn.CONCAT(AR467,AS472)</f>
        <v/>
      </c>
      <c r="AQ467" s="683" t="str">
        <f t="shared" si="7698"/>
        <v/>
      </c>
      <c r="AR467" s="96" t="str">
        <f t="shared" si="7457"/>
        <v/>
      </c>
      <c r="AS467" s="96" t="str">
        <f>IF(COUNTIF(imp_1,AF467)=1,"imp_1",IF(COUNTIF(imp_2,AF467)=1,"imp_2",IF(COUNTIF(imp_3,AF467)=1,"imp_3",IF(COUNTIF(impdoor,AF467)=1,"impdoor",""))))</f>
        <v/>
      </c>
      <c r="AT467" s="684" t="str">
        <f>AL467</f>
        <v/>
      </c>
      <c r="AU467" s="685" t="e">
        <f ca="1">MATCH(AL467,INDIRECT(AP467),-1)</f>
        <v>#REF!</v>
      </c>
      <c r="AV467" s="686" t="str">
        <f ca="1">IFERROR(VLOOKUP(AU467,INDIRECT(AQ467),2,FALSE),"----")</f>
        <v>----</v>
      </c>
      <c r="AW467" s="685" t="e">
        <f ca="1">MATCH(AL467,INDIRECT(AP468),-1)</f>
        <v>#REF!</v>
      </c>
      <c r="AX467" s="686" t="str">
        <f ca="1">IFERROR(VLOOKUP(AW467,INDIRECT(AQ468),2,FALSE),"----")</f>
        <v>----</v>
      </c>
      <c r="AY467" s="685" t="e">
        <f ca="1">MATCH(AL467,INDIRECT(AP469),-1)</f>
        <v>#REF!</v>
      </c>
      <c r="AZ467" s="686" t="str">
        <f ca="1">IFERROR(VLOOKUP(AY467,INDIRECT(AQ469),2,FALSE),"----")</f>
        <v>----</v>
      </c>
      <c r="BA467" s="685" t="e">
        <f ca="1">MATCH(AL467,INDIRECT(AP470),-1)</f>
        <v>#REF!</v>
      </c>
      <c r="BB467" s="686" t="str">
        <f ca="1">IFERROR(VLOOKUP(BA467,INDIRECT(AQ470),2,FALSE),"----")</f>
        <v>----</v>
      </c>
      <c r="BC467" s="685" t="e">
        <f ca="1">MATCH(AL467,INDIRECT(AP471),-1)</f>
        <v>#REF!</v>
      </c>
      <c r="BD467" s="686" t="str">
        <f ca="1">IFERROR(VLOOKUP(BC467,INDIRECT(AQ471),2,FALSE),"----")</f>
        <v>----</v>
      </c>
      <c r="BE467" s="685" t="e">
        <f ca="1">MATCH(AL467,INDIRECT(AP472),-1)</f>
        <v>#REF!</v>
      </c>
      <c r="BF467" s="686" t="str">
        <f ca="1">IFERROR(VLOOKUP(BE467,INDIRECT(AQ472),2,FALSE),"----")</f>
        <v>----</v>
      </c>
      <c r="BG467" s="685" t="e">
        <f ca="1">MATCH(AL473,INDIRECT(AP473),-1)</f>
        <v>#REF!</v>
      </c>
      <c r="BH467" s="686" t="str">
        <f ca="1">IFERROR(VLOOKUP(BG467,INDIRECT(AQ473),2,FALSE),"----")</f>
        <v>----</v>
      </c>
      <c r="BI467" s="685" t="e">
        <f ca="1">MATCH(AL473,INDIRECT(AP474),-1)</f>
        <v>#REF!</v>
      </c>
      <c r="BJ467" s="686" t="str">
        <f ca="1">IFERROR(VLOOKUP(BI467,INDIRECT(AQ474),2,FALSE),"----")</f>
        <v>----</v>
      </c>
      <c r="BK467" s="685" t="e">
        <f ca="1">MATCH(AL473,INDIRECT(AP475),-1)</f>
        <v>#REF!</v>
      </c>
      <c r="BL467" s="686" t="str">
        <f ca="1">IFERROR(VLOOKUP(BK467,INDIRECT(AQ475),2,FALSE),"----")</f>
        <v>----</v>
      </c>
      <c r="BM467" s="685" t="e">
        <f ca="1">MATCH(AL473,INDIRECT(AP476),-1)</f>
        <v>#REF!</v>
      </c>
      <c r="BN467" s="686" t="str">
        <f ca="1">IFERROR(VLOOKUP(BM467,INDIRECT(AQ476),2,FALSE),"----")</f>
        <v>----</v>
      </c>
      <c r="BO467" s="685" t="e">
        <f ca="1">MATCH(AL473,INDIRECT(AP477),-1)</f>
        <v>#REF!</v>
      </c>
      <c r="BP467" s="686" t="str">
        <f ca="1">IFERROR(VLOOKUP(BO467,INDIRECT(AQ477),2,FALSE),"----")</f>
        <v>----</v>
      </c>
      <c r="BQ467" s="685" t="e">
        <f ca="1">MATCH(AL473,INDIRECT(AP478),-1)</f>
        <v>#REF!</v>
      </c>
      <c r="BR467" s="686" t="str">
        <f ca="1">IFERROR(VLOOKUP(BQ467,INDIRECT(AQ478),2,FALSE),"----")</f>
        <v>----</v>
      </c>
      <c r="BS467" s="687">
        <f>IF(AI467="",1,IF(COUNTIF(AV467:AV478,AI467)=0,2,1))</f>
        <v>1</v>
      </c>
      <c r="BT467" s="688">
        <f>IF(AP467="1",1,IF(AF467="",1,IF(AV467=".",2,1)))</f>
        <v>1</v>
      </c>
      <c r="BU467" s="706"/>
      <c r="BV467" s="155">
        <f ca="1">IF(COUNTIF(CE467:CE478,AF467)=0,IF(AF467&lt;&gt;"",0,1),1)</f>
        <v>1</v>
      </c>
      <c r="BW467" s="157">
        <f ca="1">IFERROR(MATCH(AF467,CE467:CE478,0),1)</f>
        <v>1</v>
      </c>
      <c r="BX467" s="769" t="str">
        <f>IFERROR(IF(LEFT(J471,2)="As",VLOOKUP(J471,EIMM,2,FALSE),IF(AND(ISNUMBER(SEARCH("Impervia",J467)),ISNUMBER(SEARCH("door",J471))),VLOOKUP("Impervia Door",EIMM,2,FALSE),IF(AND(ISNUMBER(SEARCH("250",J467)),ISNUMBER(SEARCH("door",J471))),VLOOKUP("250 Series Door",EIMM,2,FALSE),VLOOKUP(J467,EIMM,2,FALSE)))),"")</f>
        <v/>
      </c>
      <c r="BY467" s="769" t="str">
        <f ca="1">IFERROR(VLOOKUP(BX467,OFFSET(EIMM,0,1),2,FALSE),"")</f>
        <v/>
      </c>
      <c r="BZ467" s="1110" t="e">
        <f ca="1">IF((COUNTIF(INDIRECT(SUBSTITUTE(J467," ","_")),J471))=0,IF(J471="",1,0),1)</f>
        <v>#REF!</v>
      </c>
      <c r="CA467" s="691" t="e">
        <f ca="1">MATCH(AC467,INDIRECT(BX467),-1)</f>
        <v>#REF!</v>
      </c>
      <c r="CB467" s="4" t="e" cm="1">
        <f t="array" aca="1" ref="CB467" ca="1">IF(AND(INDEX(INDIRECT(BY467),CA467,4)&gt;=$AB467,INDEX(INDIRECT(BY467),CA467,5)&gt;=$S467,INDEX(INDIRECT(BY467),CA467,6)&gt;=$R467),1,0)</f>
        <v>#REF!</v>
      </c>
      <c r="CC467" s="4" t="e">
        <f t="shared" ref="CC467" ca="1" si="8407">MATCH(1,OFFSET(CB467:CB478,$W$2,0,COUNT(CB467:CB478)-$W$2),0)</f>
        <v>#REF!</v>
      </c>
      <c r="CD467" s="4" t="e">
        <f t="shared" ref="CD467" ca="1" si="8408">$W$2+CC467</f>
        <v>#REF!</v>
      </c>
      <c r="CE467" s="692" t="str" cm="1">
        <f t="array" aca="1" ref="CE467" ca="1">IFERROR(VLOOKUP(INDEX(CA467:CA478,CD467),INDIRECT(BY467),2,FALSE),"----")</f>
        <v>----</v>
      </c>
      <c r="CF467" s="691" t="e">
        <f ca="1">MATCH($AC467,SSEI,-1)</f>
        <v>#N/A</v>
      </c>
      <c r="CG467" s="4" t="e">
        <f ca="1">IF(AND(INDEX(SSM,CF467,4)&gt;=$AB467,INDEX(SSM,CF467,5)&gt;=$S467,INDEX(SSM,CF467,6)&gt;=$R467),1,0)</f>
        <v>#N/A</v>
      </c>
      <c r="CH467" s="4" t="e">
        <f t="shared" ref="CH467" ca="1" si="8409">MATCH(1,OFFSET(CG467:CG478,$W$2,0,COUNT(CG467:CG478)-$W$2),0)</f>
        <v>#REF!</v>
      </c>
      <c r="CI467" s="4" t="e">
        <f t="shared" ref="CI467" ca="1" si="8410">$W$2+CH467</f>
        <v>#REF!</v>
      </c>
      <c r="CJ467" s="692" t="str">
        <f ca="1">IFERROR(IF(AD468="Nested Steel Stud (wood infill)",VLOOKUP(INDEX(CF467:CF478,CI467),SSW,2,FALSE),VLOOKUP(INDEX(CF467:CF478,CI467),SSM,2,FALSE)),"----")</f>
        <v>----</v>
      </c>
      <c r="CK467" s="691" t="e">
        <f ca="1">MATCH($AC467,WSEI,-1)</f>
        <v>#N/A</v>
      </c>
      <c r="CL467" s="4" t="e">
        <f ca="1">IF(AND(INDEX(WSM,CK467,4)&gt;=$AB467,INDEX(WSM,CK467,5)&gt;=$S467,INDEX(WSM,CK467,6)&gt;=$R467),1,0)</f>
        <v>#N/A</v>
      </c>
      <c r="CM467" s="4" t="e">
        <f t="shared" ref="CM467" ca="1" si="8411">MATCH(1,OFFSET(CL467:CL478,$W$2,0,COUNT(CL467:CL478)-$W$2),0)</f>
        <v>#REF!</v>
      </c>
      <c r="CN467" s="4" t="e">
        <f t="shared" ref="CN467" ca="1" si="8412">$W$2+CM467</f>
        <v>#REF!</v>
      </c>
      <c r="CO467" s="692" t="str">
        <f ca="1">IFERROR(VLOOKUP(INDEX(CK467:CK478,CN467),WSM,2,FALSE),"----")</f>
        <v>----</v>
      </c>
      <c r="CP467" s="691" t="e">
        <f ca="1">MATCH($AC467,STEI,-1)</f>
        <v>#N/A</v>
      </c>
      <c r="CQ467" s="4" t="e">
        <f ca="1">IF(AND(INDEX(STM,CP467,4)&gt;=$AB467,INDEX(STM,CP467,5)&gt;=$S467,INDEX(STM,CP467,6)&gt;=$R467),1,0)</f>
        <v>#N/A</v>
      </c>
      <c r="CR467" s="4" t="e">
        <f t="shared" ref="CR467" ca="1" si="8413">MATCH(1,OFFSET(CQ467:CQ478,$W$2,0,COUNT(CQ467:CQ478)-$W$2),0)</f>
        <v>#REF!</v>
      </c>
      <c r="CS467" s="4" t="e">
        <f t="shared" ref="CS467" ca="1" si="8414">$W$2+CR467</f>
        <v>#REF!</v>
      </c>
      <c r="CT467" s="692" t="str">
        <f ca="1">IFERROR(VLOOKUP(INDEX(CP467:CP478,CS467),STM,2,FALSE),"----")</f>
        <v>----</v>
      </c>
      <c r="CU467" s="691" t="e">
        <f ca="1">MATCH($AC467,ELEI,-1)</f>
        <v>#N/A</v>
      </c>
      <c r="CV467" s="4" t="e">
        <f ca="1">IF(AND(INDEX(ELM,CU467,4)&gt;=$AB467,INDEX(ELM,CU467,5)&gt;=$S467,INDEX(ELM,CU467,6)&gt;=$R467),1,0)</f>
        <v>#N/A</v>
      </c>
      <c r="CW467" s="4" t="e">
        <f t="shared" ref="CW467" ca="1" si="8415">MATCH(1,OFFSET(CV467:CV478,$W$2,0,COUNT(CV467:CV478)-$W$2),0)</f>
        <v>#REF!</v>
      </c>
      <c r="CX467" s="4" t="e">
        <f t="shared" ref="CX467" ca="1" si="8416">$W$2+CW467</f>
        <v>#REF!</v>
      </c>
      <c r="CY467" s="692" t="str">
        <f ca="1">IFERROR(VLOOKUP(INDEX(CU467:CU478,CX467),ELM,2,FALSE),"----")</f>
        <v>----</v>
      </c>
      <c r="CZ467" s="691" t="e">
        <f ca="1">IF(LEFT($J467,7)="Clad Wo",MATCH($AC467,SPEIW,-1),MATCH($AC467,SPEI,-1))</f>
        <v>#N/A</v>
      </c>
      <c r="DA467" s="4" t="e">
        <f ca="1">IF(LEFT($J467,7)="Clad Wo",IF(AND(INDEX(SPPWS,CZ467,4)&gt;=$AB467,INDEX(SPPWS,CZ467,5)&gt;=$S467,INDEX(SPPWS,CZ467,6)&gt;=$R467),1,0),IF(AND(INDEX(SPM,CZ467,4)&gt;=$AB467,INDEX(SPM,CZ467,5)&gt;=$S467,INDEX(SPM,CZ467,6)&gt;=$R467),1,0))</f>
        <v>#N/A</v>
      </c>
      <c r="DB467" s="4" t="e">
        <f t="shared" ref="DB467" ca="1" si="8417">MATCH(1,OFFSET(DA467:DA478,$W$2,0,COUNT(DA467:DA478)-$W$2),0)</f>
        <v>#REF!</v>
      </c>
      <c r="DC467" s="4" t="e">
        <f t="shared" ref="DC467" ca="1" si="8418">$W$2+DB467</f>
        <v>#REF!</v>
      </c>
      <c r="DD467" s="693" t="str">
        <f ca="1">IF(LEFT($J467,7)="Clad Wo",IFERROR(VLOOKUP(INDEX(CZ467:CZ478,DC467),SPPWS,2,FALSE),"----"),IFERROR(VLOOKUP(INDEX(CZ467:CZ478,DC467),SPM,2,FALSE),"----"))</f>
        <v>----</v>
      </c>
      <c r="DE467" s="691" t="e">
        <f ca="1">MATCH(AC473,INDIRECT(BX467),-1)</f>
        <v>#REF!</v>
      </c>
      <c r="DF467" s="4" t="e" cm="1">
        <f t="array" aca="1" ref="DF467" ca="1">IF(AND(INDEX(INDIRECT(BY467),DE467,4)&gt;=$AB473,INDEX(INDIRECT(BY467),DE467,5)&gt;=$S467,INDEX(INDIRECT(BY467),DE467,6)&gt;=$R467),1,0)</f>
        <v>#REF!</v>
      </c>
      <c r="DG467" s="4" t="e">
        <f t="shared" ref="DG467" ca="1" si="8419">MATCH(1,OFFSET(DF467:DF478,$W$2,0,COUNT(DF467:DF478)-$W$2),0)</f>
        <v>#REF!</v>
      </c>
      <c r="DH467" s="4" t="e">
        <f t="shared" ref="DH467" ca="1" si="8420">$W$2+DG467</f>
        <v>#REF!</v>
      </c>
      <c r="DI467" s="692" t="str" cm="1">
        <f t="array" aca="1" ref="DI467" ca="1">IFERROR(VLOOKUP(INDEX(DE467:DE478,DH467),INDIRECT(BY467),2,FALSE),"----")</f>
        <v>----</v>
      </c>
      <c r="DJ467" s="691" t="e">
        <f ca="1">MATCH($AC473,SSEI,-1)</f>
        <v>#N/A</v>
      </c>
      <c r="DK467" s="4" t="e">
        <f ca="1">IF(AND(INDEX(SSM,DJ467,4)&gt;=$AB473,INDEX(SSM,DJ467,5)&gt;=$S467,INDEX(SSM,DJ467,6)&gt;=$R467),1,0)</f>
        <v>#N/A</v>
      </c>
      <c r="DL467" s="4" t="e">
        <f t="shared" ref="DL467" ca="1" si="8421">MATCH(1,OFFSET(DK467:DK478,$W$2,0,COUNT(DK467:DK478)-$W$2),0)</f>
        <v>#REF!</v>
      </c>
      <c r="DM467" s="4" t="e">
        <f t="shared" ref="DM467" ca="1" si="8422">$W$2+DL467</f>
        <v>#REF!</v>
      </c>
      <c r="DN467" s="692" t="str">
        <f ca="1">IFERROR(IF(AD474="Nested Steel Stud (wood infill)",VLOOKUP(INDEX(DJ467:DJ478,DM467),SSW,2,FALSE),VLOOKUP(INDEX(DJ467:DJ478,DM467),SSM,2,FALSE)),"----")</f>
        <v>----</v>
      </c>
      <c r="DO467" s="691" t="e">
        <f ca="1">MATCH($AC473,WSEI,-1)</f>
        <v>#N/A</v>
      </c>
      <c r="DP467" s="4" t="e">
        <f ca="1">IF(AND(INDEX(WSM,DO467,4)&gt;=$AB473,INDEX(WSM,DO467,5)&gt;=$S467,INDEX(WSM,DO467,6)&gt;=$R467),1,0)</f>
        <v>#N/A</v>
      </c>
      <c r="DQ467" s="4" t="e">
        <f t="shared" ref="DQ467" ca="1" si="8423">MATCH(1,OFFSET(DP467:DP478,$W$2,0,COUNT(DP467:DP478)-$W$2),0)</f>
        <v>#REF!</v>
      </c>
      <c r="DR467" s="4" t="e">
        <f t="shared" ref="DR467" ca="1" si="8424">$W$2+DQ467</f>
        <v>#REF!</v>
      </c>
      <c r="DS467" s="692" t="str">
        <f ca="1">IFERROR(VLOOKUP(INDEX(DO467:DO478,DR467),WSM,2,FALSE),"----")</f>
        <v>----</v>
      </c>
      <c r="DT467" s="691" t="e">
        <f ca="1">MATCH($AC473,STEI,-1)</f>
        <v>#N/A</v>
      </c>
      <c r="DU467" s="4" t="e">
        <f ca="1">IF(AND(INDEX(STM,DT467,4)&gt;=$AB473,INDEX(STM,DT467,5)&gt;=$S467,INDEX(STM,DT467,6)&gt;=$R467),1,0)</f>
        <v>#N/A</v>
      </c>
      <c r="DV467" s="4" t="e">
        <f t="shared" ref="DV467" ca="1" si="8425">MATCH(1,OFFSET(DU467:DU478,$W$2,0,COUNT(DU467:DU478)-$W$2),0)</f>
        <v>#REF!</v>
      </c>
      <c r="DW467" s="4" t="e">
        <f t="shared" ref="DW467" ca="1" si="8426">$W$2+DV467</f>
        <v>#REF!</v>
      </c>
      <c r="DX467" s="692" t="str">
        <f ca="1">IFERROR(VLOOKUP(INDEX(DT467:DT478,DW467),STM,2,FALSE),"----")</f>
        <v>----</v>
      </c>
      <c r="DY467" s="691" t="e">
        <f ca="1">MATCH($AC473,ELEI,-1)</f>
        <v>#N/A</v>
      </c>
      <c r="DZ467" s="4" t="e">
        <f ca="1">IF(AND(INDEX(ELM,DY467,4)&gt;=$AB473,INDEX(ELM,DY467,5)&gt;=$S467,INDEX(ELM,DY467,6)&gt;=$R467),1,0)</f>
        <v>#N/A</v>
      </c>
      <c r="EA467" s="4" t="e">
        <f t="shared" ref="EA467" ca="1" si="8427">MATCH(1,OFFSET(DZ467:DZ478,$W$2,0,COUNT(DZ467:DZ478)-$W$2),0)</f>
        <v>#REF!</v>
      </c>
      <c r="EB467" s="4" t="e">
        <f t="shared" ref="EB467" ca="1" si="8428">EA467+$W$2</f>
        <v>#REF!</v>
      </c>
      <c r="EC467" s="692" t="str">
        <f ca="1">IFERROR(VLOOKUP(INDEX(DY467:DY478,EB467),ELM,2,FALSE),"----")</f>
        <v>----</v>
      </c>
      <c r="ED467" s="691" t="e">
        <f ca="1">IF(LEFT($J467,7)="Clad Wo",MATCH($AC473,SPEIW,-1),MATCH($AC473,SPEI,-1))</f>
        <v>#N/A</v>
      </c>
      <c r="EE467" s="4" t="e">
        <f ca="1">IF(LEFT($J467,7)="Clad Wo",IF(AND(INDEX(SPPWS,ED467,4)&gt;=$AB473,INDEX(SPPWS,ED467,5)&gt;=$S467,INDEX(SPPWS,ED467,6)&gt;=$R467),1,0),IF(AND(INDEX(SPM,ED467,4)&gt;=$AB473,INDEX(SPM,ED467,5)&gt;=$S467,INDEX(SPM,ED467,6)&gt;=$R467),1,0))</f>
        <v>#N/A</v>
      </c>
      <c r="EF467" s="4" t="e">
        <f t="shared" ref="EF467" ca="1" si="8429">MATCH(1,OFFSET(EE467:EE478,$W$2,0,COUNT(EE467:EE478)-$W$2),0)</f>
        <v>#REF!</v>
      </c>
      <c r="EG467" s="4" t="e">
        <f t="shared" ref="EG467" ca="1" si="8430">$W$2+EF467</f>
        <v>#REF!</v>
      </c>
      <c r="EH467" s="692" t="str">
        <f ca="1">IF(LEFT($J467,7)="Clad Wo",IFERROR(VLOOKUP(INDEX(ED467:ED478,EG467),SPPWS,2,FALSE),"----"),IFERROR(VLOOKUP(INDEX(ED467:ED478,EG467),SPM,2,FALSE),"----"))</f>
        <v>----</v>
      </c>
    </row>
    <row r="468" spans="1:138" ht="15" customHeight="1" x14ac:dyDescent="0.25">
      <c r="A468" s="1085"/>
      <c r="B468" s="925"/>
      <c r="C468" s="926"/>
      <c r="D468" s="927"/>
      <c r="E468" s="995"/>
      <c r="F468" s="996"/>
      <c r="G468" s="997"/>
      <c r="H468" s="1062"/>
      <c r="I468" s="990"/>
      <c r="J468" s="908"/>
      <c r="K468" s="909"/>
      <c r="L468" s="1002"/>
      <c r="M468" s="923"/>
      <c r="N468" s="1042"/>
      <c r="O468" s="1018"/>
      <c r="P468" s="987"/>
      <c r="Q468" s="1015"/>
      <c r="R468" s="1012"/>
      <c r="S468" s="1006"/>
      <c r="T468" s="1007"/>
      <c r="U468" s="878"/>
      <c r="V468" s="881"/>
      <c r="W468" s="884"/>
      <c r="X468" s="884"/>
      <c r="Y468" s="887"/>
      <c r="Z468" s="887"/>
      <c r="AA468" s="887"/>
      <c r="AB468" s="1081"/>
      <c r="AC468" s="1078"/>
      <c r="AD468" s="1102" t="s">
        <v>38</v>
      </c>
      <c r="AE468" s="1103"/>
      <c r="AF468" s="1052"/>
      <c r="AG468" s="1053"/>
      <c r="AH468" s="1053"/>
      <c r="AI468" s="1066"/>
      <c r="AJ468" s="1067"/>
      <c r="AK468" s="156" t="str">
        <f t="shared" ca="1" si="7482"/>
        <v/>
      </c>
      <c r="AL468" s="1039"/>
      <c r="AM468" s="343" t="str">
        <f ca="1">IFERROR(Q467/12*ROUND(VLOOKUP(AF468,OFFSET(SSM,0,1),6,FALSE),2),"")</f>
        <v/>
      </c>
      <c r="AN468" t="str">
        <f t="shared" ca="1" si="7532"/>
        <v/>
      </c>
      <c r="AP468" s="122" t="str">
        <f t="shared" ref="AP468" si="8431">_xlfn.CONCAT(AR468,AS472)</f>
        <v/>
      </c>
      <c r="AQ468" s="683" t="str">
        <f t="shared" si="7698"/>
        <v/>
      </c>
      <c r="AR468" s="96" t="str">
        <f t="shared" si="7457"/>
        <v/>
      </c>
      <c r="AS468" s="96" t="str">
        <f>IF(COUNTIF(Vista_1,AF467)=1,"Vista_1",IF(COUNTIF(Vista_2,AF467)=1,"Vista_2",""))</f>
        <v/>
      </c>
      <c r="AT468" s="684" t="str">
        <f>AL467</f>
        <v/>
      </c>
      <c r="AU468" s="694" t="e">
        <f t="shared" ref="AU468" ca="1" si="8432">AU467-1</f>
        <v>#REF!</v>
      </c>
      <c r="AV468" s="686" t="str">
        <f ca="1">IFERROR(VLOOKUP(AU468,INDIRECT(AQ467),2,FALSE),"----")</f>
        <v>----</v>
      </c>
      <c r="AW468" s="694" t="e">
        <f t="shared" ref="AW468:AW469" ca="1" si="8433">AW467-1</f>
        <v>#REF!</v>
      </c>
      <c r="AX468" s="686" t="str">
        <f ca="1">IFERROR(VLOOKUP(AW468,INDIRECT(AQ468),2,FALSE),"----")</f>
        <v>----</v>
      </c>
      <c r="AY468" s="694" t="e">
        <f t="shared" ref="AY468:AY469" ca="1" si="8434">AY467-1</f>
        <v>#REF!</v>
      </c>
      <c r="AZ468" s="686" t="str">
        <f ca="1">IFERROR(VLOOKUP(AY468,INDIRECT(AQ469),2,FALSE),"----")</f>
        <v>----</v>
      </c>
      <c r="BA468" s="694" t="e">
        <f t="shared" ref="BA468:BA469" ca="1" si="8435">BA467-1</f>
        <v>#REF!</v>
      </c>
      <c r="BB468" s="686" t="str">
        <f ca="1">IFERROR(VLOOKUP(BA468,INDIRECT(AQ470),2,FALSE),"----")</f>
        <v>----</v>
      </c>
      <c r="BC468" s="694" t="e">
        <f t="shared" ref="BC468:BC469" ca="1" si="8436">BC467-1</f>
        <v>#REF!</v>
      </c>
      <c r="BD468" s="686" t="str">
        <f ca="1">IFERROR(VLOOKUP(BC468,INDIRECT(AQ471),2,FALSE),"----")</f>
        <v>----</v>
      </c>
      <c r="BE468" s="694" t="e">
        <f t="shared" ref="BE468" ca="1" si="8437">BE467-1</f>
        <v>#REF!</v>
      </c>
      <c r="BF468" s="686" t="str">
        <f ca="1">IFERROR(VLOOKUP(BE468,INDIRECT(AQ472),2,FALSE),"----")</f>
        <v>----</v>
      </c>
      <c r="BG468" s="694" t="e">
        <f t="shared" ref="BG468" ca="1" si="8438">BG467-1</f>
        <v>#REF!</v>
      </c>
      <c r="BH468" s="686" t="str">
        <f ca="1">IFERROR(VLOOKUP(BG468,INDIRECT(AQ473),2,FALSE),"----")</f>
        <v>----</v>
      </c>
      <c r="BI468" s="694" t="e">
        <f t="shared" ref="BI468:BI469" ca="1" si="8439">BI467-1</f>
        <v>#REF!</v>
      </c>
      <c r="BJ468" s="686" t="str">
        <f ca="1">IFERROR(VLOOKUP(BI468,INDIRECT(AQ474),2,FALSE),"----")</f>
        <v>----</v>
      </c>
      <c r="BK468" s="694" t="e">
        <f t="shared" ref="BK468:BK469" ca="1" si="8440">BK467-1</f>
        <v>#REF!</v>
      </c>
      <c r="BL468" s="686" t="str">
        <f ca="1">IFERROR(VLOOKUP(BK468,INDIRECT(AQ475),2,FALSE),"----")</f>
        <v>----</v>
      </c>
      <c r="BM468" s="694" t="e">
        <f t="shared" ref="BM468:BM469" ca="1" si="8441">BM467-1</f>
        <v>#REF!</v>
      </c>
      <c r="BN468" s="686" t="str">
        <f ca="1">IFERROR(VLOOKUP(BM468,INDIRECT(AQ476),2,FALSE),"----")</f>
        <v>----</v>
      </c>
      <c r="BO468" s="694" t="e">
        <f t="shared" ref="BO468:BO469" ca="1" si="8442">BO467-1</f>
        <v>#REF!</v>
      </c>
      <c r="BP468" s="686" t="str">
        <f ca="1">IFERROR(VLOOKUP(BO468,INDIRECT(AQ477),2,FALSE),"----")</f>
        <v>----</v>
      </c>
      <c r="BQ468" s="694" t="e">
        <f t="shared" ref="BQ468" ca="1" si="8443">BQ467-1</f>
        <v>#REF!</v>
      </c>
      <c r="BR468" s="686" t="str">
        <f ca="1">IFERROR(VLOOKUP(BQ468,INDIRECT(AQ478),2,FALSE),"----")</f>
        <v>----</v>
      </c>
      <c r="BS468" s="695">
        <f>IF(AI468="",1,IF(COUNTIF(AX467:AX478,AI468)=0,2,1))</f>
        <v>1</v>
      </c>
      <c r="BT468" s="696">
        <f>IF(AF468="",1,IF(AX467=".",2,1))</f>
        <v>1</v>
      </c>
      <c r="BU468" s="706"/>
      <c r="BV468" s="155">
        <f ca="1">IF(COUNTIF(CJ467:CJ478,AF468)=0,IF(AF468&lt;&gt;"",0,1),1)</f>
        <v>1</v>
      </c>
      <c r="BW468" s="157">
        <f ca="1">IFERROR(MATCH(AF468,CJ467:CJ478,0),1)</f>
        <v>1</v>
      </c>
      <c r="BX468" s="769"/>
      <c r="BY468" s="769"/>
      <c r="BZ468" s="1110"/>
      <c r="CA468" s="691" t="e">
        <f t="shared" ref="CA468:CA478" ca="1" si="8444">CA467-1</f>
        <v>#REF!</v>
      </c>
      <c r="CB468" s="4" t="e" cm="1">
        <f t="array" aca="1" ref="CB468" ca="1">IF(AND(INDEX(INDIRECT(BY467),CA468,4)&gt;=$AB467,INDEX(INDIRECT(BY467),CA468,5)&gt;=$S467,INDEX(INDIRECT(BY467),CA468,6)&gt;=$R467),1,0)</f>
        <v>#REF!</v>
      </c>
      <c r="CC468" s="4" t="e">
        <f t="shared" ref="CC468" ca="1" si="8445">MATCH(1,OFFSET(CB467:CB478,CD467,0,COUNT(CB467:CB478)-CD467),0)</f>
        <v>#REF!</v>
      </c>
      <c r="CD468" s="4" t="e">
        <f t="shared" ref="CD468:CD478" ca="1" si="8446">CD467+CC468</f>
        <v>#REF!</v>
      </c>
      <c r="CE468" s="692" t="str" cm="1">
        <f t="array" aca="1" ref="CE468" ca="1">IFERROR(VLOOKUP(INDEX(CA467:CA478,CD468),INDIRECT(BY467),2,FALSE),"----")</f>
        <v>----</v>
      </c>
      <c r="CF468" s="691" t="e">
        <f t="shared" ref="CF468:CF478" ca="1" si="8447">CF467-1</f>
        <v>#N/A</v>
      </c>
      <c r="CG468" s="4" t="e">
        <f ca="1">IF(AND(INDEX(SSM,CF468,4)&gt;=$AB467,INDEX(SSM,CF468,5)&gt;=$S467,INDEX(SSM,CF468,6)&gt;=$R467),1,0)</f>
        <v>#N/A</v>
      </c>
      <c r="CH468" s="4" t="e">
        <f t="shared" ref="CH468" ca="1" si="8448">MATCH(1,OFFSET(CG467:CG478,CI467,0,COUNT(CG467:CG478)-CI467),0)</f>
        <v>#REF!</v>
      </c>
      <c r="CI468" s="4" t="e">
        <f t="shared" ref="CI468:CI478" ca="1" si="8449">CI467+CH468</f>
        <v>#REF!</v>
      </c>
      <c r="CJ468" s="692" t="str">
        <f ca="1">IFERROR(IF(AD468="Nested Steel Stud (wood infill)",VLOOKUP(INDEX(CF467:CF478,CI468),SSW,2,FALSE),VLOOKUP(INDEX(CF467:CF478,CI468),SSM,2,FALSE)),"----")</f>
        <v>----</v>
      </c>
      <c r="CK468" s="691" t="e">
        <f t="shared" ref="CK468:CK478" ca="1" si="8450">CK467-1</f>
        <v>#N/A</v>
      </c>
      <c r="CL468" s="4" t="e">
        <f ca="1">IF(AND(INDEX(WSM,CK468,4)&gt;=$AB467,INDEX(WSM,CK468,5)&gt;=$S467,INDEX(WSM,CK468,6)&gt;=$R467),1,0)</f>
        <v>#N/A</v>
      </c>
      <c r="CM468" s="4" t="e">
        <f t="shared" ref="CM468" ca="1" si="8451">MATCH(1,OFFSET(CL467:CL478,CN467,0,COUNT(CL467:CL478)-CN467),0)</f>
        <v>#REF!</v>
      </c>
      <c r="CN468" s="4" t="e">
        <f t="shared" ref="CN468:CN478" ca="1" si="8452">CM468+CN467</f>
        <v>#REF!</v>
      </c>
      <c r="CO468" s="692" t="str">
        <f ca="1">IFERROR(VLOOKUP(INDEX(CK467:CK478,CN468),WSM,2,FALSE),"----")</f>
        <v>----</v>
      </c>
      <c r="CP468" s="691" t="e">
        <f t="shared" ref="CP468:CP478" ca="1" si="8453">CP467-1</f>
        <v>#N/A</v>
      </c>
      <c r="CQ468" s="4" t="e">
        <f ca="1">IF(AND(INDEX(STM,CP468,4)&gt;=$AB467,INDEX(STM,CP468,5)&gt;=$S467,INDEX(STM,CP468,6)&gt;=$R467),1,0)</f>
        <v>#N/A</v>
      </c>
      <c r="CR468" s="4" t="e">
        <f t="shared" ref="CR468" ca="1" si="8454">MATCH(1,OFFSET(CQ467:CQ478,CS467,0,COUNT(CQ467:CQ478)-CS467),0)</f>
        <v>#REF!</v>
      </c>
      <c r="CS468" s="4" t="e">
        <f t="shared" ref="CS468:CS478" ca="1" si="8455">CR468+CS467</f>
        <v>#REF!</v>
      </c>
      <c r="CT468" s="692" t="str">
        <f ca="1">IFERROR(VLOOKUP(INDEX(CP467:CP478,CS468),STM,2,FALSE),"----")</f>
        <v>----</v>
      </c>
      <c r="CU468" s="691" t="e">
        <f t="shared" ref="CU468:CU478" ca="1" si="8456">CU467-1</f>
        <v>#N/A</v>
      </c>
      <c r="CV468" s="4" t="e">
        <f ca="1">IF(AND(INDEX(ELM,CU468,4)&gt;=$AB467,INDEX(ELM,CU468,5)&gt;=$S467,INDEX(ELM,CU468,6)&gt;=$R467),1,0)</f>
        <v>#N/A</v>
      </c>
      <c r="CW468" s="4" t="e">
        <f t="shared" ref="CW468" ca="1" si="8457">MATCH(1,OFFSET(CV467:CV478,CX467,0,COUNT(CV467:CV478)-CX467),0)</f>
        <v>#REF!</v>
      </c>
      <c r="CX468" s="4" t="e">
        <f t="shared" ref="CX468:CX478" ca="1" si="8458">CW468+CX467</f>
        <v>#REF!</v>
      </c>
      <c r="CY468" s="692" t="str">
        <f ca="1">IFERROR(VLOOKUP(INDEX(CU467:CU478,CX468),ELM,2,FALSE),"----")</f>
        <v>----</v>
      </c>
      <c r="CZ468" s="691" t="e">
        <f t="shared" ref="CZ468:CZ478" ca="1" si="8459">CZ467-1</f>
        <v>#N/A</v>
      </c>
      <c r="DA468" s="4" t="e">
        <f ca="1">IF(LEFT($J467,7)="Clad Wo",IF(AND(INDEX(SPPWS,CZ468,4)&gt;=$AB467,INDEX(SPPWS,CZ468,5)&gt;=$S467,INDEX(SPPWS,CZ468,6)&gt;=$R467),1,0),IF(AND(INDEX(SPM,CZ468,4)&gt;=$AB467,INDEX(SPM,CZ468,5)&gt;=$S467,INDEX(SPM,CZ468,6)&gt;=$R467),1,0))</f>
        <v>#N/A</v>
      </c>
      <c r="DB468" s="4" t="e">
        <f t="shared" ref="DB468" ca="1" si="8460">MATCH(1,OFFSET(DA467:DA478,DC467,0,COUNT(DA467:DA478)-DC467),0)</f>
        <v>#REF!</v>
      </c>
      <c r="DC468" s="4" t="e">
        <f t="shared" ref="DC468:DC478" ca="1" si="8461">DC467+DB468</f>
        <v>#REF!</v>
      </c>
      <c r="DD468" s="693" t="str">
        <f ca="1">IF(LEFT($J467,7)="Clad Wo",IFERROR(VLOOKUP(INDEX(CZ467:CZ478,DC468),SPPWS,2,FALSE),"----"),IFERROR(VLOOKUP(INDEX(CZ467:CZ478,DC468),SPM,2,FALSE),"----"))</f>
        <v>----</v>
      </c>
      <c r="DE468" s="691" t="e">
        <f t="shared" ref="DE468:DE478" ca="1" si="8462">DE467-1</f>
        <v>#REF!</v>
      </c>
      <c r="DF468" s="4" t="e" cm="1">
        <f t="array" aca="1" ref="DF468" ca="1">IF(AND(INDEX(INDIRECT(BY467),DE468,4)&gt;=$AB473,INDEX(INDIRECT(BY467),DE468,5)&gt;=$S467,INDEX(INDIRECT(BY467),DE468,6)&gt;=$R467),1,0)</f>
        <v>#REF!</v>
      </c>
      <c r="DG468" s="4" t="e">
        <f t="shared" ref="DG468" ca="1" si="8463">MATCH(1,OFFSET(DF467:DF478,DH467,0,COUNT(DF467:DF478)-DH467),0)</f>
        <v>#REF!</v>
      </c>
      <c r="DH468" s="4" t="e">
        <f t="shared" ref="DH468:DH478" ca="1" si="8464">DH467+DG468</f>
        <v>#REF!</v>
      </c>
      <c r="DI468" s="692" t="str" cm="1">
        <f t="array" aca="1" ref="DI468" ca="1">IFERROR(VLOOKUP(INDEX(DE467:DE478,DH468),INDIRECT(BY467),2,FALSE),"----")</f>
        <v>----</v>
      </c>
      <c r="DJ468" s="691" t="e">
        <f t="shared" ref="DJ468:DJ478" ca="1" si="8465">DJ467-1</f>
        <v>#N/A</v>
      </c>
      <c r="DK468" s="4" t="e">
        <f ca="1">IF(AND(INDEX(SSM,DJ468,4)&gt;=$AB473,INDEX(SSM,DJ468,5)&gt;=$S467,INDEX(SSM,DJ468,6)&gt;=$R467),1,0)</f>
        <v>#N/A</v>
      </c>
      <c r="DL468" s="4" t="e">
        <f t="shared" ref="DL468" ca="1" si="8466">MATCH(1,OFFSET(DK467:DK478,DM467,0,COUNT(DK467:DK478)-DM467),0)</f>
        <v>#REF!</v>
      </c>
      <c r="DM468" s="4" t="e">
        <f t="shared" ref="DM468:DM478" ca="1" si="8467">DL468+DM467</f>
        <v>#REF!</v>
      </c>
      <c r="DN468" s="692" t="str">
        <f ca="1">IFERROR(IF(AD474="Nested Steel Stud (wood infill)",VLOOKUP(INDEX(DJ467:DJ478,DM468),SSW,2,FALSE),VLOOKUP(INDEX(DJ467:DJ478,DM468),SSM,2,FALSE)),"----")</f>
        <v>----</v>
      </c>
      <c r="DO468" s="691" t="e">
        <f t="shared" ref="DO468:DO478" ca="1" si="8468">DO467-1</f>
        <v>#N/A</v>
      </c>
      <c r="DP468" s="4" t="e">
        <f ca="1">IF(AND(INDEX(WSM,DO468,4)&gt;=$AB473,INDEX(WSM,DO468,5)&gt;=$S467,INDEX(WSM,DO468,6)&gt;=$R467),1,0)</f>
        <v>#N/A</v>
      </c>
      <c r="DQ468" s="4" t="e">
        <f t="shared" ref="DQ468" ca="1" si="8469">MATCH(1,OFFSET(DP467:DP478,DR467,0,COUNT(DP467:DP478)-DR467),0)</f>
        <v>#REF!</v>
      </c>
      <c r="DR468" s="4" t="e">
        <f t="shared" ref="DR468:DR478" ca="1" si="8470">DQ468+DR467</f>
        <v>#REF!</v>
      </c>
      <c r="DS468" s="692" t="str">
        <f ca="1">IFERROR(VLOOKUP(INDEX(DO467:DO478,DR468),WSM,2,FALSE),"----")</f>
        <v>----</v>
      </c>
      <c r="DT468" s="691" t="e">
        <f t="shared" ref="DT468:DT478" ca="1" si="8471">DT467-1</f>
        <v>#N/A</v>
      </c>
      <c r="DU468" s="4" t="e">
        <f ca="1">IF(AND(INDEX(STM,DT468,4)&gt;=$AB473,INDEX(STM,DT468,5)&gt;=$S467,INDEX(STM,DT468,6)&gt;=$R467),1,0)</f>
        <v>#N/A</v>
      </c>
      <c r="DV468" s="4" t="e">
        <f t="shared" ref="DV468" ca="1" si="8472">MATCH(1,OFFSET(DU467:DU478,DW467,0,COUNT(DU467:DU478)-DW467),0)</f>
        <v>#REF!</v>
      </c>
      <c r="DW468" s="4" t="e">
        <f t="shared" ref="DW468:DW478" ca="1" si="8473">DV468+DW467</f>
        <v>#REF!</v>
      </c>
      <c r="DX468" s="692" t="str">
        <f ca="1">IFERROR(VLOOKUP(INDEX(DT467:DT478,DW468),STM,2,FALSE),"----")</f>
        <v>----</v>
      </c>
      <c r="DY468" s="691" t="e">
        <f t="shared" ref="DY468:DY478" ca="1" si="8474">DY467-1</f>
        <v>#N/A</v>
      </c>
      <c r="DZ468" s="4" t="e">
        <f ca="1">IF(AND(INDEX(ELM,DY468,4)&gt;=$AB473,INDEX(ELM,DY468,5)&gt;=$S467,INDEX(ELM,DY468,6)&gt;=$R467),1,0)</f>
        <v>#N/A</v>
      </c>
      <c r="EA468" s="4" t="e">
        <f t="shared" ref="EA468" ca="1" si="8475">MATCH(1,OFFSET(DZ467:DZ478,EB467,0,COUNT(DZ467:DZ478)-EB467),0)</f>
        <v>#REF!</v>
      </c>
      <c r="EB468" s="4" t="e">
        <f t="shared" ref="EB468:EB478" ca="1" si="8476">EA468+EB467</f>
        <v>#REF!</v>
      </c>
      <c r="EC468" s="692" t="str">
        <f ca="1">IFERROR(VLOOKUP(INDEX(DY467:DY478,EB468),ELM,2,FALSE),"----")</f>
        <v>----</v>
      </c>
      <c r="ED468" s="691" t="e">
        <f t="shared" ref="ED468:ED478" ca="1" si="8477">ED467-1</f>
        <v>#N/A</v>
      </c>
      <c r="EE468" s="4" t="e">
        <f ca="1">IF(LEFT($J467,7)="Clad Wo",IF(AND(INDEX(SPPWS,ED468,4)&gt;=$AB473,INDEX(SPPWS,ED468,5)&gt;=$S467,INDEX(SPPWS,ED468,6)&gt;=$R467),1,0),IF(AND(INDEX(SPM,ED468,4)&gt;=$AB473,INDEX(SPM,ED468,5)&gt;=$S467,INDEX(SPM,ED468,6)&gt;=$R467),1,0))</f>
        <v>#N/A</v>
      </c>
      <c r="EF468" s="4" t="e">
        <f t="shared" ref="EF468" ca="1" si="8478">MATCH(1,OFFSET(EE467:EE478,EG467,0,COUNT(EE467:EE478)-EG467),0)</f>
        <v>#REF!</v>
      </c>
      <c r="EG468" s="4" t="e">
        <f t="shared" ref="EG468:EG478" ca="1" si="8479">EG467+EF468</f>
        <v>#REF!</v>
      </c>
      <c r="EH468" s="692" t="str">
        <f ca="1">IF(LEFT($J467,7)="Clad Wo",IFERROR(VLOOKUP(INDEX(ED467:ED478,EG468),SPPWS,2,FALSE),"----"),IFERROR(VLOOKUP(INDEX(ED467:ED478,EG468),SPM,2,FALSE),"----"))</f>
        <v>----</v>
      </c>
    </row>
    <row r="469" spans="1:138" ht="15" customHeight="1" x14ac:dyDescent="0.25">
      <c r="A469" s="1085"/>
      <c r="B469" s="925"/>
      <c r="C469" s="926"/>
      <c r="D469" s="927"/>
      <c r="E469" s="995"/>
      <c r="F469" s="996"/>
      <c r="G469" s="997"/>
      <c r="H469" s="1062"/>
      <c r="I469" s="990"/>
      <c r="J469" s="908"/>
      <c r="K469" s="909"/>
      <c r="L469" s="1002"/>
      <c r="M469" s="923"/>
      <c r="N469" s="1042"/>
      <c r="O469" s="1018"/>
      <c r="P469" s="987"/>
      <c r="Q469" s="1015"/>
      <c r="R469" s="1012"/>
      <c r="S469" s="1006"/>
      <c r="T469" s="1007"/>
      <c r="U469" s="878"/>
      <c r="V469" s="881"/>
      <c r="W469" s="884"/>
      <c r="X469" s="884"/>
      <c r="Y469" s="887"/>
      <c r="Z469" s="887"/>
      <c r="AA469" s="887"/>
      <c r="AB469" s="1081"/>
      <c r="AC469" s="1078"/>
      <c r="AD469" s="1070" t="s">
        <v>333</v>
      </c>
      <c r="AE469" s="1071"/>
      <c r="AF469" s="1052"/>
      <c r="AG469" s="1053"/>
      <c r="AH469" s="1053"/>
      <c r="AI469" s="1066"/>
      <c r="AJ469" s="1067"/>
      <c r="AK469" s="154" t="str">
        <f t="shared" ca="1" si="7482"/>
        <v/>
      </c>
      <c r="AL469" s="1039"/>
      <c r="AM469" s="344" t="str">
        <f ca="1">IFERROR(Q467/12*ROUND(VLOOKUP(AF469,OFFSET(WSM,0,1),6,FALSE),2),"")</f>
        <v/>
      </c>
      <c r="AN469" t="str">
        <f t="shared" ca="1" si="7532"/>
        <v/>
      </c>
      <c r="AP469" s="122" t="str">
        <f t="shared" ref="AP469" si="8480">_xlfn.CONCAT(AR469,AS472)</f>
        <v/>
      </c>
      <c r="AQ469" s="683" t="str">
        <f t="shared" si="7698"/>
        <v/>
      </c>
      <c r="AR469" s="4" t="str">
        <f t="shared" si="7457"/>
        <v/>
      </c>
      <c r="AS469" s="4"/>
      <c r="AT469" s="697" t="str">
        <f>AL467</f>
        <v/>
      </c>
      <c r="AU469" s="694" t="e">
        <f t="shared" ca="1" si="7724"/>
        <v>#REF!</v>
      </c>
      <c r="AV469" s="686" t="str">
        <f ca="1">IFERROR(VLOOKUP(AU469,INDIRECT(AQ467),2,FALSE),"----")</f>
        <v>----</v>
      </c>
      <c r="AW469" s="694" t="e">
        <f t="shared" ca="1" si="8433"/>
        <v>#REF!</v>
      </c>
      <c r="AX469" s="686" t="str">
        <f ca="1">IFERROR(VLOOKUP(AW469,INDIRECT(AQ468),2,FALSE),"----")</f>
        <v>----</v>
      </c>
      <c r="AY469" s="694" t="e">
        <f t="shared" ca="1" si="8434"/>
        <v>#REF!</v>
      </c>
      <c r="AZ469" s="686" t="str">
        <f ca="1">IFERROR(VLOOKUP(AY469,INDIRECT(AQ469),2,FALSE),"----")</f>
        <v>----</v>
      </c>
      <c r="BA469" s="694" t="e">
        <f t="shared" ca="1" si="8435"/>
        <v>#REF!</v>
      </c>
      <c r="BB469" s="686" t="str">
        <f ca="1">IFERROR(VLOOKUP(BA469,INDIRECT(AQ470),2,FALSE),"----")</f>
        <v>----</v>
      </c>
      <c r="BC469" s="694" t="e">
        <f t="shared" ca="1" si="8436"/>
        <v>#REF!</v>
      </c>
      <c r="BD469" s="686" t="str">
        <f ca="1">IFERROR(VLOOKUP(BC469,INDIRECT(AQ471),2,FALSE),"----")</f>
        <v>----</v>
      </c>
      <c r="BE469" s="694" t="e">
        <f t="shared" ca="1" si="7729"/>
        <v>#REF!</v>
      </c>
      <c r="BF469" s="686" t="str">
        <f ca="1">IFERROR(VLOOKUP(BE469,INDIRECT(AQ472),2,FALSE),"----")</f>
        <v>----</v>
      </c>
      <c r="BG469" s="694" t="e">
        <f t="shared" ca="1" si="7730"/>
        <v>#REF!</v>
      </c>
      <c r="BH469" s="686" t="str">
        <f ca="1">IFERROR(VLOOKUP(BG469,INDIRECT(AQ473),2,FALSE),"----")</f>
        <v>----</v>
      </c>
      <c r="BI469" s="694" t="e">
        <f t="shared" ca="1" si="8439"/>
        <v>#REF!</v>
      </c>
      <c r="BJ469" s="686" t="str">
        <f ca="1">IFERROR(VLOOKUP(BI469,INDIRECT(AQ474),2,FALSE),"----")</f>
        <v>----</v>
      </c>
      <c r="BK469" s="694" t="e">
        <f t="shared" ca="1" si="8440"/>
        <v>#REF!</v>
      </c>
      <c r="BL469" s="686" t="str">
        <f ca="1">IFERROR(VLOOKUP(BK469,INDIRECT(AQ475),2,FALSE),"----")</f>
        <v>----</v>
      </c>
      <c r="BM469" s="694" t="e">
        <f t="shared" ca="1" si="8441"/>
        <v>#REF!</v>
      </c>
      <c r="BN469" s="686" t="str">
        <f ca="1">IFERROR(VLOOKUP(BM469,INDIRECT(AQ476),2,FALSE),"----")</f>
        <v>----</v>
      </c>
      <c r="BO469" s="694" t="e">
        <f t="shared" ca="1" si="8442"/>
        <v>#REF!</v>
      </c>
      <c r="BP469" s="686" t="str">
        <f ca="1">IFERROR(VLOOKUP(BO469,INDIRECT(AQ477),2,FALSE),"----")</f>
        <v>----</v>
      </c>
      <c r="BQ469" s="694" t="e">
        <f t="shared" ca="1" si="7735"/>
        <v>#REF!</v>
      </c>
      <c r="BR469" s="686" t="str">
        <f ca="1">IFERROR(VLOOKUP(BQ469,INDIRECT(AQ478),2,FALSE),"----")</f>
        <v>----</v>
      </c>
      <c r="BS469" s="695">
        <f>IF(AI469="",1,IF(COUNTIF(AZ467:AZ478,AI469)=0,2,1))</f>
        <v>1</v>
      </c>
      <c r="BT469" s="696">
        <f>IF(AF469="",1,IF(AZ467=".",2,1))</f>
        <v>1</v>
      </c>
      <c r="BU469" s="706"/>
      <c r="BV469" s="155">
        <f ca="1">IF(COUNTIF(CO467:CO478,AF469)=0,IF(AF469&lt;&gt;"",0,1),1)</f>
        <v>1</v>
      </c>
      <c r="BW469" s="157">
        <f ca="1">IFERROR(MATCH(AF469,CO467:CO478,0),1)</f>
        <v>1</v>
      </c>
      <c r="BX469" s="769"/>
      <c r="BY469" s="769"/>
      <c r="BZ469" s="1110"/>
      <c r="CA469" s="691" t="e">
        <f t="shared" ca="1" si="8444"/>
        <v>#REF!</v>
      </c>
      <c r="CB469" s="4" t="e" cm="1">
        <f t="array" aca="1" ref="CB469" ca="1">IF(AND(INDEX(INDIRECT(BY467),CA469,4)&gt;=$AB467,INDEX(INDIRECT(BY467),CA469,5)&gt;=$S467,INDEX(INDIRECT(BY467),CA469,6)&gt;=$R467),1,0)</f>
        <v>#REF!</v>
      </c>
      <c r="CC469" s="4" t="e">
        <f t="shared" ref="CC469" ca="1" si="8481">MATCH(1,OFFSET(CB467:CB478,CD468,0,COUNT(CB467:CB478)-CD468),0)</f>
        <v>#REF!</v>
      </c>
      <c r="CD469" s="4" t="e">
        <f t="shared" ca="1" si="8446"/>
        <v>#REF!</v>
      </c>
      <c r="CE469" s="692" t="str" cm="1">
        <f t="array" aca="1" ref="CE469" ca="1">IFERROR(VLOOKUP(INDEX(CA467:CA478,CD469),INDIRECT(BY467),2,FALSE),"----")</f>
        <v>----</v>
      </c>
      <c r="CF469" s="691" t="e">
        <f t="shared" ca="1" si="8447"/>
        <v>#N/A</v>
      </c>
      <c r="CG469" s="4" t="e">
        <f ca="1">IF(AND(INDEX(SSM,CF469,4)&gt;=$AB467,INDEX(SSM,CF469,5)&gt;=$S467,INDEX(SSM,CF469,6)&gt;=$R467),1,0)</f>
        <v>#N/A</v>
      </c>
      <c r="CH469" s="4" t="e">
        <f t="shared" ref="CH469" ca="1" si="8482">MATCH(1,OFFSET(CG467:CG478,CI468,0,COUNT(CG467:CG478)-CI468),0)</f>
        <v>#REF!</v>
      </c>
      <c r="CI469" s="4" t="e">
        <f t="shared" ca="1" si="8449"/>
        <v>#REF!</v>
      </c>
      <c r="CJ469" s="692" t="str">
        <f ca="1">IFERROR(IF(AD468="Nested Steel Stud (wood infill)",VLOOKUP(INDEX(CF467:CF478,CI469),SSW,2,FALSE),VLOOKUP(INDEX(CF467:CF478,CI469),SSM,2,FALSE)),"----")</f>
        <v>----</v>
      </c>
      <c r="CK469" s="691" t="e">
        <f t="shared" ca="1" si="8450"/>
        <v>#N/A</v>
      </c>
      <c r="CL469" s="4" t="e">
        <f ca="1">IF(AND(INDEX(WSM,CK469,4)&gt;=$AB467,INDEX(WSM,CK469,5)&gt;=$S467,INDEX(WSM,CK469,6)&gt;=$R467),1,0)</f>
        <v>#N/A</v>
      </c>
      <c r="CM469" s="4" t="e">
        <f t="shared" ref="CM469" ca="1" si="8483">MATCH(1,OFFSET(CL467:CL478,CN468,0,COUNT(CL467:CL478)-CN468),0)</f>
        <v>#REF!</v>
      </c>
      <c r="CN469" s="4" t="e">
        <f t="shared" ca="1" si="8452"/>
        <v>#REF!</v>
      </c>
      <c r="CO469" s="692" t="str">
        <f ca="1">IFERROR(VLOOKUP(INDEX(CK467:CK478,CN469),WSM,2,FALSE),"----")</f>
        <v>----</v>
      </c>
      <c r="CP469" s="691" t="e">
        <f t="shared" ca="1" si="8453"/>
        <v>#N/A</v>
      </c>
      <c r="CQ469" s="4" t="e">
        <f ca="1">IF(AND(INDEX(STM,CP469,4)&gt;=$AB467,INDEX(STM,CP469,5)&gt;=$S467,INDEX(STM,CP469,6)&gt;=$R467),1,0)</f>
        <v>#N/A</v>
      </c>
      <c r="CR469" s="4" t="e">
        <f t="shared" ref="CR469" ca="1" si="8484">MATCH(1,OFFSET(CQ467:CQ478,CS468,0,COUNT(CQ467:CQ478)-CS468),0)</f>
        <v>#REF!</v>
      </c>
      <c r="CS469" s="4" t="e">
        <f t="shared" ca="1" si="8455"/>
        <v>#REF!</v>
      </c>
      <c r="CT469" s="692" t="str">
        <f ca="1">IFERROR(VLOOKUP(INDEX(CP467:CP478,CS469),STM,2,FALSE),"----")</f>
        <v>----</v>
      </c>
      <c r="CU469" s="691" t="e">
        <f t="shared" ca="1" si="8456"/>
        <v>#N/A</v>
      </c>
      <c r="CV469" s="4" t="e">
        <f ca="1">IF(AND(INDEX(ELM,CU469,4)&gt;=$AB467,INDEX(ELM,CU469,5)&gt;=$S467,INDEX(ELM,CU469,6)&gt;=$R467),1,0)</f>
        <v>#N/A</v>
      </c>
      <c r="CW469" s="4" t="e">
        <f t="shared" ref="CW469" ca="1" si="8485">MATCH(1,OFFSET(CV467:CV478,CX468,0,COUNT(CV467:CV478)-CX468),0)</f>
        <v>#REF!</v>
      </c>
      <c r="CX469" s="4" t="e">
        <f t="shared" ca="1" si="8458"/>
        <v>#REF!</v>
      </c>
      <c r="CY469" s="692" t="str">
        <f ca="1">IFERROR(VLOOKUP(INDEX(CU467:CU478,CX469),ELM,2,FALSE),"----")</f>
        <v>----</v>
      </c>
      <c r="CZ469" s="691" t="e">
        <f t="shared" ca="1" si="8459"/>
        <v>#N/A</v>
      </c>
      <c r="DA469" s="4" t="e">
        <f ca="1">IF(LEFT($J467,7)="Clad Wo",IF(AND(INDEX(SPPWS,CZ469,4)&gt;=$AB467,INDEX(SPPWS,CZ469,5)&gt;=$S467,INDEX(SPPWS,CZ469,6)&gt;=$R467),1,0),IF(AND(INDEX(SPM,CZ469,4)&gt;=$AB467,INDEX(SPM,CZ469,5)&gt;=$S467,INDEX(SPM,CZ469,6)&gt;=$R467),1,0))</f>
        <v>#N/A</v>
      </c>
      <c r="DB469" s="4" t="e">
        <f t="shared" ref="DB469" ca="1" si="8486">MATCH(1,OFFSET(DA467:DA478,DC468,0,COUNT(DA467:DA478)-DC468),0)</f>
        <v>#REF!</v>
      </c>
      <c r="DC469" s="4" t="e">
        <f t="shared" ca="1" si="8461"/>
        <v>#REF!</v>
      </c>
      <c r="DD469" s="693" t="str">
        <f ca="1">IF(LEFT($J467,7)="Clad Wo",IFERROR(VLOOKUP(INDEX(CZ467:CZ478,DC469),SPPWS,2,FALSE),"----"),IFERROR(VLOOKUP(INDEX(CZ467:CZ478,DC469),SPM,2,FALSE),"----"))</f>
        <v>----</v>
      </c>
      <c r="DE469" s="691" t="e">
        <f t="shared" ca="1" si="8462"/>
        <v>#REF!</v>
      </c>
      <c r="DF469" s="4" t="e" cm="1">
        <f t="array" aca="1" ref="DF469" ca="1">IF(AND(INDEX(INDIRECT(BY467),DE469,4)&gt;=$AB473,INDEX(INDIRECT(BY467),DE469,5)&gt;=$S467,INDEX(INDIRECT(BY467),DE469,6)&gt;=$R467),1,0)</f>
        <v>#REF!</v>
      </c>
      <c r="DG469" s="4" t="e">
        <f t="shared" ref="DG469" ca="1" si="8487">MATCH(1,OFFSET(DF467:DF478,DH468,0,COUNT(DF467:DF478)-DH468),0)</f>
        <v>#REF!</v>
      </c>
      <c r="DH469" s="4" t="e">
        <f t="shared" ca="1" si="8464"/>
        <v>#REF!</v>
      </c>
      <c r="DI469" s="692" t="str" cm="1">
        <f t="array" aca="1" ref="DI469" ca="1">IFERROR(VLOOKUP(INDEX(DE467:DE478,DH469),INDIRECT(BY467),2,FALSE),"----")</f>
        <v>----</v>
      </c>
      <c r="DJ469" s="691" t="e">
        <f t="shared" ca="1" si="8465"/>
        <v>#N/A</v>
      </c>
      <c r="DK469" s="4" t="e">
        <f ca="1">IF(AND(INDEX(SSM,DJ469,4)&gt;=$AB473,INDEX(SSM,DJ469,5)&gt;=$S467,INDEX(SSM,DJ469,6)&gt;=$R467),1,0)</f>
        <v>#N/A</v>
      </c>
      <c r="DL469" s="4" t="e">
        <f t="shared" ref="DL469" ca="1" si="8488">MATCH(1,OFFSET(DK467:DK478,DM468,0,COUNT(DK467:DK478)-DM468),0)</f>
        <v>#REF!</v>
      </c>
      <c r="DM469" s="4" t="e">
        <f t="shared" ca="1" si="8467"/>
        <v>#REF!</v>
      </c>
      <c r="DN469" s="692" t="str">
        <f ca="1">IFERROR(IF(AD474="Nested Steel Stud (wood infill)",VLOOKUP(INDEX(DJ467:DJ478,DM469),SSW,2,FALSE),VLOOKUP(INDEX(DJ467:DJ478,DM469),SSM,2,FALSE)),"----")</f>
        <v>----</v>
      </c>
      <c r="DO469" s="691" t="e">
        <f t="shared" ca="1" si="8468"/>
        <v>#N/A</v>
      </c>
      <c r="DP469" s="4" t="e">
        <f ca="1">IF(AND(INDEX(WSM,DO469,4)&gt;=$AB473,INDEX(WSM,DO469,5)&gt;=$S467,INDEX(WSM,DO469,6)&gt;=$R467),1,0)</f>
        <v>#N/A</v>
      </c>
      <c r="DQ469" s="4" t="e">
        <f t="shared" ref="DQ469" ca="1" si="8489">MATCH(1,OFFSET(DP467:DP478,DR468,0,COUNT(DP467:DP478)-DR468),0)</f>
        <v>#REF!</v>
      </c>
      <c r="DR469" s="4" t="e">
        <f t="shared" ca="1" si="8470"/>
        <v>#REF!</v>
      </c>
      <c r="DS469" s="692" t="str">
        <f ca="1">IFERROR(VLOOKUP(INDEX(DO467:DO478,DR469),WSM,2,FALSE),"----")</f>
        <v>----</v>
      </c>
      <c r="DT469" s="691" t="e">
        <f t="shared" ca="1" si="8471"/>
        <v>#N/A</v>
      </c>
      <c r="DU469" s="4" t="e">
        <f ca="1">IF(AND(INDEX(STM,DT469,4)&gt;=$AB473,INDEX(STM,DT469,5)&gt;=$S467,INDEX(STM,DT469,6)&gt;=$R467),1,0)</f>
        <v>#N/A</v>
      </c>
      <c r="DV469" s="4" t="e">
        <f t="shared" ref="DV469" ca="1" si="8490">MATCH(1,OFFSET(DU467:DU478,DW468,0,COUNT(DU467:DU478)-DW468),0)</f>
        <v>#REF!</v>
      </c>
      <c r="DW469" s="4" t="e">
        <f t="shared" ca="1" si="8473"/>
        <v>#REF!</v>
      </c>
      <c r="DX469" s="692" t="str">
        <f ca="1">IFERROR(VLOOKUP(INDEX(DT467:DT478,DW469),STM,2,FALSE),"----")</f>
        <v>----</v>
      </c>
      <c r="DY469" s="691" t="e">
        <f t="shared" ca="1" si="8474"/>
        <v>#N/A</v>
      </c>
      <c r="DZ469" s="4" t="e">
        <f ca="1">IF(AND(INDEX(ELM,DY469,4)&gt;=$AB473,INDEX(ELM,DY469,5)&gt;=$S467,INDEX(ELM,DY469,6)&gt;=$R467),1,0)</f>
        <v>#N/A</v>
      </c>
      <c r="EA469" s="4" t="e">
        <f t="shared" ref="EA469" ca="1" si="8491">MATCH(1,OFFSET(DZ467:DZ478,EB468,0,COUNT(DZ467:DZ478)-EB468),0)</f>
        <v>#REF!</v>
      </c>
      <c r="EB469" s="4" t="e">
        <f t="shared" ca="1" si="8476"/>
        <v>#REF!</v>
      </c>
      <c r="EC469" s="692" t="str">
        <f ca="1">IFERROR(VLOOKUP(INDEX(DY467:DY478,EB469),ELM,2,FALSE),"----")</f>
        <v>----</v>
      </c>
      <c r="ED469" s="691" t="e">
        <f t="shared" ca="1" si="8477"/>
        <v>#N/A</v>
      </c>
      <c r="EE469" s="4" t="e">
        <f ca="1">IF(LEFT($J467,7)="Clad Wo",IF(AND(INDEX(SPPWS,ED469,4)&gt;=$AB473,INDEX(SPPWS,ED469,5)&gt;=$S467,INDEX(SPPWS,ED469,6)&gt;=$R467),1,0),IF(AND(INDEX(SPM,ED469,4)&gt;=$AB473,INDEX(SPM,ED469,5)&gt;=$S467,INDEX(SPM,ED469,6)&gt;=$R467),1,0))</f>
        <v>#N/A</v>
      </c>
      <c r="EF469" s="4" t="e">
        <f t="shared" ref="EF469" ca="1" si="8492">MATCH(1,OFFSET(EE467:EE478,EG468,0,COUNT(EE467:EE478)-EG468),0)</f>
        <v>#REF!</v>
      </c>
      <c r="EG469" s="4" t="e">
        <f t="shared" ca="1" si="8479"/>
        <v>#REF!</v>
      </c>
      <c r="EH469" s="692" t="str">
        <f ca="1">IF(LEFT($J467,7)="Clad Wo",IFERROR(VLOOKUP(INDEX(ED467:ED478,EG469),SPPWS,2,FALSE),"----"),IFERROR(VLOOKUP(INDEX(ED467:ED478,EG469),SPM,2,FALSE),"----"))</f>
        <v>----</v>
      </c>
    </row>
    <row r="470" spans="1:138" ht="15" customHeight="1" x14ac:dyDescent="0.25">
      <c r="A470" s="1085"/>
      <c r="B470" s="925"/>
      <c r="C470" s="926"/>
      <c r="D470" s="927"/>
      <c r="E470" s="995"/>
      <c r="F470" s="996"/>
      <c r="G470" s="997"/>
      <c r="H470" s="1062"/>
      <c r="I470" s="990"/>
      <c r="J470" s="908"/>
      <c r="K470" s="909"/>
      <c r="L470" s="1002"/>
      <c r="M470" s="923"/>
      <c r="N470" s="1042"/>
      <c r="O470" s="1018"/>
      <c r="P470" s="987"/>
      <c r="Q470" s="1015"/>
      <c r="R470" s="1012"/>
      <c r="S470" s="1006"/>
      <c r="T470" s="1007"/>
      <c r="U470" s="878"/>
      <c r="V470" s="881"/>
      <c r="W470" s="884"/>
      <c r="X470" s="884"/>
      <c r="Y470" s="887"/>
      <c r="Z470" s="887"/>
      <c r="AA470" s="887"/>
      <c r="AB470" s="1081"/>
      <c r="AC470" s="1078"/>
      <c r="AD470" s="1070" t="s">
        <v>37</v>
      </c>
      <c r="AE470" s="1071"/>
      <c r="AF470" s="1052"/>
      <c r="AG470" s="1053"/>
      <c r="AH470" s="1053"/>
      <c r="AI470" s="1066"/>
      <c r="AJ470" s="1067"/>
      <c r="AK470" s="156" t="str">
        <f t="shared" ca="1" si="7482"/>
        <v/>
      </c>
      <c r="AL470" s="1039"/>
      <c r="AM470" s="343" t="str">
        <f ca="1">IFERROR(Q467/12*ROUND(VLOOKUP(AF470,OFFSET(STM,0,1),6,FALSE),2),"")</f>
        <v/>
      </c>
      <c r="AN470" t="str">
        <f t="shared" ca="1" si="7532"/>
        <v/>
      </c>
      <c r="AP470" s="122" t="str">
        <f t="shared" ref="AP470" si="8493">_xlfn.CONCAT(AR470,AS472)</f>
        <v/>
      </c>
      <c r="AQ470" s="683" t="str">
        <f t="shared" si="7698"/>
        <v/>
      </c>
      <c r="AR470" s="4" t="str">
        <f t="shared" si="7457"/>
        <v/>
      </c>
      <c r="AS470" s="4"/>
      <c r="AT470" s="697" t="str">
        <f>AL467</f>
        <v/>
      </c>
      <c r="AU470" s="694" t="e">
        <f t="shared" ca="1" si="7724"/>
        <v>#REF!</v>
      </c>
      <c r="AV470" s="686" t="str">
        <f ca="1">IFERROR(VLOOKUP(AU470,INDIRECT(AQ467),2,FALSE),"----")</f>
        <v>----</v>
      </c>
      <c r="AW470" s="694" t="e">
        <f t="shared" ca="1" si="7725"/>
        <v>#REF!</v>
      </c>
      <c r="AX470" s="686" t="str">
        <f ca="1">IFERROR(VLOOKUP(AW470,INDIRECT(AQ468),2,FALSE),"----")</f>
        <v>----</v>
      </c>
      <c r="AY470" s="694" t="e">
        <f t="shared" ref="AY470" ca="1" si="8494">AY469-1</f>
        <v>#REF!</v>
      </c>
      <c r="AZ470" s="686" t="str">
        <f ca="1">IFERROR(VLOOKUP(AY470,INDIRECT(AQ469),2,FALSE),"----")</f>
        <v>----</v>
      </c>
      <c r="BA470" s="694" t="e">
        <f t="shared" ref="BA470" ca="1" si="8495">BA469-1</f>
        <v>#REF!</v>
      </c>
      <c r="BB470" s="686" t="str">
        <f ca="1">IFERROR(VLOOKUP(BA470,INDIRECT(AQ470),2,FALSE),"----")</f>
        <v>----</v>
      </c>
      <c r="BC470" s="694" t="e">
        <f t="shared" ca="1" si="7728"/>
        <v>#REF!</v>
      </c>
      <c r="BD470" s="686" t="str">
        <f ca="1">IFERROR(VLOOKUP(BC470,INDIRECT(AQ471),2,FALSE),"----")</f>
        <v>----</v>
      </c>
      <c r="BE470" s="694" t="e">
        <f t="shared" ca="1" si="7729"/>
        <v>#REF!</v>
      </c>
      <c r="BF470" s="686" t="str">
        <f ca="1">IFERROR(VLOOKUP(BE470,INDIRECT(AQ472),2,FALSE),"----")</f>
        <v>----</v>
      </c>
      <c r="BG470" s="694" t="e">
        <f t="shared" ca="1" si="7730"/>
        <v>#REF!</v>
      </c>
      <c r="BH470" s="686" t="str">
        <f ca="1">IFERROR(VLOOKUP(BG470,INDIRECT(AQ473),2,FALSE),"----")</f>
        <v>----</v>
      </c>
      <c r="BI470" s="694" t="e">
        <f t="shared" ca="1" si="7731"/>
        <v>#REF!</v>
      </c>
      <c r="BJ470" s="686" t="str">
        <f ca="1">IFERROR(VLOOKUP(BI470,INDIRECT(AQ474),2,FALSE),"----")</f>
        <v>----</v>
      </c>
      <c r="BK470" s="694" t="e">
        <f t="shared" ca="1" si="7732"/>
        <v>#REF!</v>
      </c>
      <c r="BL470" s="686" t="str">
        <f ca="1">IFERROR(VLOOKUP(BK470,INDIRECT(AQ475),2,FALSE),"----")</f>
        <v>----</v>
      </c>
      <c r="BM470" s="694" t="e">
        <f t="shared" ca="1" si="7733"/>
        <v>#REF!</v>
      </c>
      <c r="BN470" s="686" t="str">
        <f ca="1">IFERROR(VLOOKUP(BM470,INDIRECT(AQ476),2,FALSE),"----")</f>
        <v>----</v>
      </c>
      <c r="BO470" s="694" t="e">
        <f t="shared" ca="1" si="7734"/>
        <v>#REF!</v>
      </c>
      <c r="BP470" s="686" t="str">
        <f ca="1">IFERROR(VLOOKUP(BO470,INDIRECT(AQ477),2,FALSE),"----")</f>
        <v>----</v>
      </c>
      <c r="BQ470" s="694" t="e">
        <f t="shared" ca="1" si="7735"/>
        <v>#REF!</v>
      </c>
      <c r="BR470" s="686" t="str">
        <f ca="1">IFERROR(VLOOKUP(BQ470,INDIRECT(AQ478),2,FALSE),"----")</f>
        <v>----</v>
      </c>
      <c r="BS470" s="695">
        <f>IF(AI470="",1,IF(COUNTIF(BB467:BB478,AI470)=0,2,1))</f>
        <v>1</v>
      </c>
      <c r="BT470" s="696">
        <f>IF(AF470="",1,IF(BB467=".",2,1))</f>
        <v>1</v>
      </c>
      <c r="BU470" s="706"/>
      <c r="BV470" s="155">
        <f ca="1">IF(COUNTIF(CT467:CT478,AF470)=0,IF(AF470&lt;&gt;"",0,1),1)</f>
        <v>1</v>
      </c>
      <c r="BW470" s="157">
        <f ca="1">IFERROR(MATCH(AF470,CT467:CT478,0),1)</f>
        <v>1</v>
      </c>
      <c r="BX470" s="769"/>
      <c r="BY470" s="769"/>
      <c r="BZ470" s="1110"/>
      <c r="CA470" s="691" t="e">
        <f t="shared" ca="1" si="8444"/>
        <v>#REF!</v>
      </c>
      <c r="CB470" s="4" t="e" cm="1">
        <f t="array" aca="1" ref="CB470" ca="1">IF(AND(INDEX(INDIRECT(BY467),CA470,4)&gt;=$AB467,INDEX(INDIRECT(BY467),CA470,5)&gt;=$S467,INDEX(INDIRECT(BY467),CA470,6)&gt;=$R467),1,0)</f>
        <v>#REF!</v>
      </c>
      <c r="CC470" s="4" t="e">
        <f t="shared" ref="CC470" ca="1" si="8496">MATCH(1,OFFSET(CB467:CB478,CD469,0,COUNT(CB467:CB478)-CD469),0)</f>
        <v>#REF!</v>
      </c>
      <c r="CD470" s="4" t="e">
        <f t="shared" ca="1" si="8446"/>
        <v>#REF!</v>
      </c>
      <c r="CE470" s="692" t="str" cm="1">
        <f t="array" aca="1" ref="CE470" ca="1">IFERROR(VLOOKUP(INDEX(CA467:CA478,CD470),INDIRECT(BY467),2,FALSE),"----")</f>
        <v>----</v>
      </c>
      <c r="CF470" s="691" t="e">
        <f t="shared" ca="1" si="8447"/>
        <v>#N/A</v>
      </c>
      <c r="CG470" s="4" t="e">
        <f ca="1">IF(AND(INDEX(SSM,CF470,4)&gt;=$AB467,INDEX(SSM,CF470,5)&gt;=$S467,INDEX(SSM,CF470,6)&gt;=$R467),1,0)</f>
        <v>#N/A</v>
      </c>
      <c r="CH470" s="4" t="e">
        <f t="shared" ref="CH470" ca="1" si="8497">MATCH(1,OFFSET(CG467:CG478,CI469,0,COUNT(CG467:CG478)-CI469),0)</f>
        <v>#REF!</v>
      </c>
      <c r="CI470" s="4" t="e">
        <f t="shared" ca="1" si="8449"/>
        <v>#REF!</v>
      </c>
      <c r="CJ470" s="692" t="str">
        <f ca="1">IFERROR(IF(AD468="Nested Steel Stud (wood infill)",VLOOKUP(INDEX(CF467:CF478,CI470),SSW,2,FALSE),VLOOKUP(INDEX(CF467:CF478,CI470),SSM,2,FALSE)),"----")</f>
        <v>----</v>
      </c>
      <c r="CK470" s="691" t="e">
        <f t="shared" ca="1" si="8450"/>
        <v>#N/A</v>
      </c>
      <c r="CL470" s="4" t="e">
        <f ca="1">IF(AND(INDEX(WSM,CK470,4)&gt;=$AB467,INDEX(WSM,CK470,5)&gt;=$S467,INDEX(WSM,CK470,6)&gt;=$R467),1,0)</f>
        <v>#N/A</v>
      </c>
      <c r="CM470" s="4" t="e">
        <f t="shared" ref="CM470" ca="1" si="8498">MATCH(1,OFFSET(CL467:CL478,CN469,0,COUNT(CL467:CL478)-CN469),0)</f>
        <v>#REF!</v>
      </c>
      <c r="CN470" s="4" t="e">
        <f t="shared" ca="1" si="8452"/>
        <v>#REF!</v>
      </c>
      <c r="CO470" s="692" t="str">
        <f ca="1">IFERROR(VLOOKUP(INDEX(CK467:CK478,CN470),WSM,2,FALSE),"----")</f>
        <v>----</v>
      </c>
      <c r="CP470" s="691" t="e">
        <f t="shared" ca="1" si="8453"/>
        <v>#N/A</v>
      </c>
      <c r="CQ470" s="4" t="e">
        <f ca="1">IF(AND(INDEX(STM,CP470,4)&gt;=$AB467,INDEX(STM,CP470,5)&gt;=$S467,INDEX(STM,CP470,6)&gt;=$R467),1,0)</f>
        <v>#N/A</v>
      </c>
      <c r="CR470" s="4" t="e">
        <f t="shared" ref="CR470" ca="1" si="8499">MATCH(1,OFFSET(CQ467:CQ478,CS469,0,COUNT(CQ467:CQ478)-CS469),0)</f>
        <v>#REF!</v>
      </c>
      <c r="CS470" s="4" t="e">
        <f t="shared" ca="1" si="8455"/>
        <v>#REF!</v>
      </c>
      <c r="CT470" s="692" t="str">
        <f ca="1">IFERROR(VLOOKUP(INDEX(CP467:CP478,CS470),STM,2,FALSE),"----")</f>
        <v>----</v>
      </c>
      <c r="CU470" s="691" t="e">
        <f t="shared" ca="1" si="8456"/>
        <v>#N/A</v>
      </c>
      <c r="CV470" s="4" t="e">
        <f ca="1">IF(AND(INDEX(ELM,CU470,4)&gt;=$AB467,INDEX(ELM,CU470,5)&gt;=$S467,INDEX(ELM,CU470,6)&gt;=$R467),1,0)</f>
        <v>#N/A</v>
      </c>
      <c r="CW470" s="4" t="e">
        <f t="shared" ref="CW470" ca="1" si="8500">MATCH(1,OFFSET(CV467:CV478,CX469,0,COUNT(CV467:CV478)-CX469),0)</f>
        <v>#REF!</v>
      </c>
      <c r="CX470" s="4" t="e">
        <f t="shared" ca="1" si="8458"/>
        <v>#REF!</v>
      </c>
      <c r="CY470" s="692" t="str">
        <f ca="1">IFERROR(VLOOKUP(INDEX(CU467:CU478,CX470),ELM,2,FALSE),"----")</f>
        <v>----</v>
      </c>
      <c r="CZ470" s="691" t="e">
        <f t="shared" ca="1" si="8459"/>
        <v>#N/A</v>
      </c>
      <c r="DA470" s="4" t="e">
        <f ca="1">IF(LEFT($J467,7)="Clad Wo",IF(AND(INDEX(SPPWS,CZ470,4)&gt;=$AB467,INDEX(SPPWS,CZ470,5)&gt;=$S467,INDEX(SPPWS,CZ470,6)&gt;=$R467),1,0),IF(AND(INDEX(SPM,CZ470,4)&gt;=$AB467,INDEX(SPM,CZ470,5)&gt;=$S467,INDEX(SPM,CZ470,6)&gt;=$R467),1,0))</f>
        <v>#N/A</v>
      </c>
      <c r="DB470" s="4" t="e">
        <f t="shared" ref="DB470" ca="1" si="8501">MATCH(1,OFFSET(DA467:DA478,DC469,0,COUNT(DA467:DA478)-DC469),0)</f>
        <v>#REF!</v>
      </c>
      <c r="DC470" s="4" t="e">
        <f t="shared" ca="1" si="8461"/>
        <v>#REF!</v>
      </c>
      <c r="DD470" s="693" t="str">
        <f ca="1">IF(LEFT($J467,7)="Clad Wo",IFERROR(VLOOKUP(INDEX(CZ467:CZ478,DC470),SPPWS,2,FALSE),"----"),IFERROR(VLOOKUP(INDEX(CZ467:CZ478,DC470),SPM,2,FALSE),"----"))</f>
        <v>----</v>
      </c>
      <c r="DE470" s="691" t="e">
        <f t="shared" ca="1" si="8462"/>
        <v>#REF!</v>
      </c>
      <c r="DF470" s="4" t="e" cm="1">
        <f t="array" aca="1" ref="DF470" ca="1">IF(AND(INDEX(INDIRECT(BY467),DE470,4)&gt;=$AB473,INDEX(INDIRECT(BY467),DE470,5)&gt;=$S467,INDEX(INDIRECT(BY467),DE470,6)&gt;=$R467),1,0)</f>
        <v>#REF!</v>
      </c>
      <c r="DG470" s="4" t="e">
        <f t="shared" ref="DG470" ca="1" si="8502">MATCH(1,OFFSET(DF467:DF478,DH469,0,COUNT(DF467:DF478)-DH469),0)</f>
        <v>#REF!</v>
      </c>
      <c r="DH470" s="4" t="e">
        <f t="shared" ca="1" si="8464"/>
        <v>#REF!</v>
      </c>
      <c r="DI470" s="692" t="str" cm="1">
        <f t="array" aca="1" ref="DI470" ca="1">IFERROR(VLOOKUP(INDEX(DE467:DE478,DH470),INDIRECT(BY467),2,FALSE),"----")</f>
        <v>----</v>
      </c>
      <c r="DJ470" s="691" t="e">
        <f t="shared" ca="1" si="8465"/>
        <v>#N/A</v>
      </c>
      <c r="DK470" s="4" t="e">
        <f ca="1">IF(AND(INDEX(SSM,DJ470,4)&gt;=$AB473,INDEX(SSM,DJ470,5)&gt;=$S467,INDEX(SSM,DJ470,6)&gt;=$R467),1,0)</f>
        <v>#N/A</v>
      </c>
      <c r="DL470" s="4" t="e">
        <f t="shared" ref="DL470" ca="1" si="8503">MATCH(1,OFFSET(DK467:DK478,DM469,0,COUNT(DK467:DK478)-DM469),0)</f>
        <v>#REF!</v>
      </c>
      <c r="DM470" s="4" t="e">
        <f t="shared" ca="1" si="8467"/>
        <v>#REF!</v>
      </c>
      <c r="DN470" s="692" t="str">
        <f ca="1">IFERROR(IF(AD474="Nested Steel Stud (wood infill)",VLOOKUP(INDEX(DJ467:DJ478,DM470),SSW,2,FALSE),VLOOKUP(INDEX(DJ467:DJ478,DM470),SSM,2,FALSE)),"----")</f>
        <v>----</v>
      </c>
      <c r="DO470" s="691" t="e">
        <f t="shared" ca="1" si="8468"/>
        <v>#N/A</v>
      </c>
      <c r="DP470" s="4" t="e">
        <f ca="1">IF(AND(INDEX(WSM,DO470,4)&gt;=$AB473,INDEX(WSM,DO470,5)&gt;=$S467,INDEX(WSM,DO470,6)&gt;=$R467),1,0)</f>
        <v>#N/A</v>
      </c>
      <c r="DQ470" s="4" t="e">
        <f t="shared" ref="DQ470" ca="1" si="8504">MATCH(1,OFFSET(DP467:DP478,DR469,0,COUNT(DP467:DP478)-DR469),0)</f>
        <v>#REF!</v>
      </c>
      <c r="DR470" s="4" t="e">
        <f t="shared" ca="1" si="8470"/>
        <v>#REF!</v>
      </c>
      <c r="DS470" s="692" t="str">
        <f ca="1">IFERROR(VLOOKUP(INDEX(DO467:DO478,DR470),WSM,2,FALSE),"----")</f>
        <v>----</v>
      </c>
      <c r="DT470" s="691" t="e">
        <f t="shared" ca="1" si="8471"/>
        <v>#N/A</v>
      </c>
      <c r="DU470" s="4" t="e">
        <f ca="1">IF(AND(INDEX(STM,DT470,4)&gt;=$AB473,INDEX(STM,DT470,5)&gt;=$S467,INDEX(STM,DT470,6)&gt;=$R467),1,0)</f>
        <v>#N/A</v>
      </c>
      <c r="DV470" s="4" t="e">
        <f t="shared" ref="DV470" ca="1" si="8505">MATCH(1,OFFSET(DU467:DU478,DW469,0,COUNT(DU467:DU478)-DW469),0)</f>
        <v>#REF!</v>
      </c>
      <c r="DW470" s="4" t="e">
        <f t="shared" ca="1" si="8473"/>
        <v>#REF!</v>
      </c>
      <c r="DX470" s="692" t="str">
        <f ca="1">IFERROR(VLOOKUP(INDEX(DT467:DT478,DW470),STM,2,FALSE),"----")</f>
        <v>----</v>
      </c>
      <c r="DY470" s="691" t="e">
        <f t="shared" ca="1" si="8474"/>
        <v>#N/A</v>
      </c>
      <c r="DZ470" s="4" t="e">
        <f ca="1">IF(AND(INDEX(ELM,DY470,4)&gt;=$AB473,INDEX(ELM,DY470,5)&gt;=$S467,INDEX(ELM,DY470,6)&gt;=$R467),1,0)</f>
        <v>#N/A</v>
      </c>
      <c r="EA470" s="4" t="e">
        <f t="shared" ref="EA470" ca="1" si="8506">MATCH(1,OFFSET(DZ467:DZ478,EB469,0,COUNT(DZ467:DZ478)-EB469),0)</f>
        <v>#REF!</v>
      </c>
      <c r="EB470" s="4" t="e">
        <f t="shared" ca="1" si="8476"/>
        <v>#REF!</v>
      </c>
      <c r="EC470" s="692" t="str">
        <f ca="1">IFERROR(VLOOKUP(INDEX(DY467:DY478,EB470),ELM,2,FALSE),"----")</f>
        <v>----</v>
      </c>
      <c r="ED470" s="691" t="e">
        <f t="shared" ca="1" si="8477"/>
        <v>#N/A</v>
      </c>
      <c r="EE470" s="4" t="e">
        <f ca="1">IF(LEFT($J467,7)="Clad Wo",IF(AND(INDEX(SPPWS,ED470,4)&gt;=$AB473,INDEX(SPPWS,ED470,5)&gt;=$S467,INDEX(SPPWS,ED470,6)&gt;=$R467),1,0),IF(AND(INDEX(SPM,ED470,4)&gt;=$AB473,INDEX(SPM,ED470,5)&gt;=$S467,INDEX(SPM,ED470,6)&gt;=$R467),1,0))</f>
        <v>#N/A</v>
      </c>
      <c r="EF470" s="4" t="e">
        <f t="shared" ref="EF470" ca="1" si="8507">MATCH(1,OFFSET(EE467:EE478,EG469,0,COUNT(EE467:EE478)-EG469),0)</f>
        <v>#REF!</v>
      </c>
      <c r="EG470" s="4" t="e">
        <f t="shared" ca="1" si="8479"/>
        <v>#REF!</v>
      </c>
      <c r="EH470" s="692" t="str">
        <f ca="1">IF(LEFT($J467,7)="Clad Wo",IFERROR(VLOOKUP(INDEX(ED467:ED478,EG470),SPPWS,2,FALSE),"----"),IFERROR(VLOOKUP(INDEX(ED467:ED478,EG470),SPM,2,FALSE),"----"))</f>
        <v>----</v>
      </c>
    </row>
    <row r="471" spans="1:138" ht="15" customHeight="1" x14ac:dyDescent="0.25">
      <c r="A471" s="1085"/>
      <c r="B471" s="925"/>
      <c r="C471" s="926"/>
      <c r="D471" s="927"/>
      <c r="E471" s="995"/>
      <c r="F471" s="996"/>
      <c r="G471" s="997"/>
      <c r="H471" s="1062"/>
      <c r="I471" s="990"/>
      <c r="J471" s="910"/>
      <c r="K471" s="911"/>
      <c r="L471" s="1002"/>
      <c r="M471" s="923"/>
      <c r="N471" s="1042"/>
      <c r="O471" s="1018"/>
      <c r="P471" s="987"/>
      <c r="Q471" s="1015"/>
      <c r="R471" s="1012"/>
      <c r="S471" s="1006"/>
      <c r="T471" s="1007"/>
      <c r="U471" s="878"/>
      <c r="V471" s="881"/>
      <c r="W471" s="884"/>
      <c r="X471" s="884"/>
      <c r="Y471" s="887"/>
      <c r="Z471" s="887"/>
      <c r="AA471" s="887"/>
      <c r="AB471" s="1081"/>
      <c r="AC471" s="1078"/>
      <c r="AD471" s="1070" t="s">
        <v>39</v>
      </c>
      <c r="AE471" s="1071"/>
      <c r="AF471" s="1052"/>
      <c r="AG471" s="1053"/>
      <c r="AH471" s="1053"/>
      <c r="AI471" s="1068"/>
      <c r="AJ471" s="1069"/>
      <c r="AK471" s="154" t="str">
        <f t="shared" ca="1" si="7482"/>
        <v/>
      </c>
      <c r="AL471" s="1039"/>
      <c r="AM471" s="344" t="str">
        <f ca="1">IFERROR(Q467/12*ROUND(VLOOKUP(AF471,OFFSET(ELM,0,1),6,FALSE),2),"")</f>
        <v/>
      </c>
      <c r="AN471" t="str">
        <f t="shared" ca="1" si="7532"/>
        <v/>
      </c>
      <c r="AP471" s="122" t="str">
        <f t="shared" ref="AP471" si="8508">_xlfn.CONCAT(AR471,AS472)</f>
        <v/>
      </c>
      <c r="AQ471" s="683" t="str">
        <f t="shared" si="7698"/>
        <v/>
      </c>
      <c r="AR471" s="4" t="str">
        <f t="shared" si="7457"/>
        <v/>
      </c>
      <c r="AS471" s="4"/>
      <c r="AT471" s="697" t="str">
        <f>AL467</f>
        <v/>
      </c>
      <c r="AU471" s="694" t="e">
        <f t="shared" ca="1" si="7724"/>
        <v>#REF!</v>
      </c>
      <c r="AV471" s="698" t="str">
        <f ca="1">IFERROR(VLOOKUP(AU471,INDIRECT(AQ467),2,FALSE),"----")</f>
        <v>----</v>
      </c>
      <c r="AW471" s="694" t="e">
        <f t="shared" ca="1" si="7725"/>
        <v>#REF!</v>
      </c>
      <c r="AX471" s="698" t="str">
        <f ca="1">IFERROR(VLOOKUP(AW471,INDIRECT(AQ468),2,FALSE),"----")</f>
        <v>----</v>
      </c>
      <c r="AY471" s="694" t="e">
        <f t="shared" ref="AY471" ca="1" si="8509">AY470-1</f>
        <v>#REF!</v>
      </c>
      <c r="AZ471" s="698" t="str">
        <f ca="1">IFERROR(VLOOKUP(AY471,INDIRECT(AQ469),2,FALSE),"----")</f>
        <v>----</v>
      </c>
      <c r="BA471" s="694" t="e">
        <f t="shared" ref="BA471" ca="1" si="8510">BA470-1</f>
        <v>#REF!</v>
      </c>
      <c r="BB471" s="698" t="str">
        <f ca="1">IFERROR(VLOOKUP(BA471,INDIRECT(AQ470),2,FALSE),"----")</f>
        <v>----</v>
      </c>
      <c r="BC471" s="694" t="e">
        <f t="shared" ca="1" si="7728"/>
        <v>#REF!</v>
      </c>
      <c r="BD471" s="698" t="str">
        <f ca="1">IFERROR(VLOOKUP(BC471,INDIRECT(AQ471),2,FALSE),"----")</f>
        <v>----</v>
      </c>
      <c r="BE471" s="694" t="e">
        <f t="shared" ca="1" si="7729"/>
        <v>#REF!</v>
      </c>
      <c r="BF471" s="698" t="str">
        <f ca="1">IFERROR(VLOOKUP(BE471,INDIRECT(AQ472),2,FALSE),"----")</f>
        <v>----</v>
      </c>
      <c r="BG471" s="694" t="e">
        <f t="shared" ca="1" si="7730"/>
        <v>#REF!</v>
      </c>
      <c r="BH471" s="686" t="str">
        <f ca="1">IFERROR(VLOOKUP(BG471,INDIRECT(AQ473),2,FALSE),"----")</f>
        <v>----</v>
      </c>
      <c r="BI471" s="694" t="e">
        <f t="shared" ca="1" si="7731"/>
        <v>#REF!</v>
      </c>
      <c r="BJ471" s="686" t="str">
        <f ca="1">IFERROR(VLOOKUP(BI471,INDIRECT(AQ474),2,FALSE),"----")</f>
        <v>----</v>
      </c>
      <c r="BK471" s="694" t="e">
        <f t="shared" ca="1" si="7732"/>
        <v>#REF!</v>
      </c>
      <c r="BL471" s="686" t="str">
        <f ca="1">IFERROR(VLOOKUP(BK471,INDIRECT(AQ475),2,FALSE),"----")</f>
        <v>----</v>
      </c>
      <c r="BM471" s="694" t="e">
        <f t="shared" ca="1" si="7733"/>
        <v>#REF!</v>
      </c>
      <c r="BN471" s="686" t="str">
        <f ca="1">IFERROR(VLOOKUP(BM471,INDIRECT(AQ476),2,FALSE),"----")</f>
        <v>----</v>
      </c>
      <c r="BO471" s="694" t="e">
        <f t="shared" ca="1" si="7734"/>
        <v>#REF!</v>
      </c>
      <c r="BP471" s="686" t="str">
        <f ca="1">IFERROR(VLOOKUP(BO471,INDIRECT(AQ477),2,FALSE),"----")</f>
        <v>----</v>
      </c>
      <c r="BQ471" s="694" t="e">
        <f t="shared" ca="1" si="7735"/>
        <v>#REF!</v>
      </c>
      <c r="BR471" s="686" t="str">
        <f ca="1">IFERROR(VLOOKUP(BQ471,INDIRECT(AQ478),2,FALSE),"----")</f>
        <v>----</v>
      </c>
      <c r="BS471" s="695">
        <f>IF(AI471="",1,IF(COUNTIF(BD467:BD478,AI471)=0,2,1))</f>
        <v>1</v>
      </c>
      <c r="BT471" s="696">
        <f>IF(AF471="",1,IF(BD467=".",2,1))</f>
        <v>1</v>
      </c>
      <c r="BU471" s="706"/>
      <c r="BV471" s="155">
        <f ca="1">IF(COUNTIF(CY467:CY478,AF471)=0,IF(AF471&lt;&gt;"",0,1),1)</f>
        <v>1</v>
      </c>
      <c r="BW471" s="157">
        <f ca="1">IFERROR(MATCH(AF471,CY467:CY478,0),1)</f>
        <v>1</v>
      </c>
      <c r="BX471" s="769"/>
      <c r="BY471" s="769"/>
      <c r="BZ471" s="1110"/>
      <c r="CA471" s="691" t="e">
        <f t="shared" ca="1" si="8444"/>
        <v>#REF!</v>
      </c>
      <c r="CB471" s="4" t="e" cm="1">
        <f t="array" aca="1" ref="CB471" ca="1">IF(AND(INDEX(INDIRECT(BY467),CA471,4)&gt;=$AB467,INDEX(INDIRECT(BY467),CA471,5)&gt;=$S467,INDEX(INDIRECT(BY467),CA471,6)&gt;=$R467),1,0)</f>
        <v>#REF!</v>
      </c>
      <c r="CC471" s="4" t="e">
        <f t="shared" ref="CC471" ca="1" si="8511">MATCH(1,OFFSET(CB467:CB478,CD470,0,COUNT(CB467:CB478)-CD470),0)</f>
        <v>#REF!</v>
      </c>
      <c r="CD471" s="4" t="e">
        <f t="shared" ca="1" si="8446"/>
        <v>#REF!</v>
      </c>
      <c r="CE471" s="692" t="str" cm="1">
        <f t="array" aca="1" ref="CE471" ca="1">IFERROR(VLOOKUP(INDEX(CA467:CA478,CD471),INDIRECT(BY467),2,FALSE),"----")</f>
        <v>----</v>
      </c>
      <c r="CF471" s="691" t="e">
        <f t="shared" ca="1" si="8447"/>
        <v>#N/A</v>
      </c>
      <c r="CG471" s="4" t="e">
        <f ca="1">IF(AND(INDEX(SSM,CF471,4)&gt;=$AB467,INDEX(SSM,CF471,5)&gt;=$S467,INDEX(SSM,CF471,6)&gt;=$R467),1,0)</f>
        <v>#N/A</v>
      </c>
      <c r="CH471" s="4" t="e">
        <f t="shared" ref="CH471" ca="1" si="8512">MATCH(1,OFFSET(CG467:CG478,CI470,0,COUNT(CG467:CG478)-CI470),0)</f>
        <v>#REF!</v>
      </c>
      <c r="CI471" s="4" t="e">
        <f t="shared" ca="1" si="8449"/>
        <v>#REF!</v>
      </c>
      <c r="CJ471" s="692" t="str">
        <f ca="1">IFERROR(IF(AD468="Nested Steel Stud (wood infill)",VLOOKUP(INDEX(CF467:CF478,CI471),SSW,2,FALSE),VLOOKUP(INDEX(CF467:CF478,CI471),SSM,2,FALSE)),"----")</f>
        <v>----</v>
      </c>
      <c r="CK471" s="691" t="e">
        <f t="shared" ca="1" si="8450"/>
        <v>#N/A</v>
      </c>
      <c r="CL471" s="4" t="e">
        <f ca="1">IF(AND(INDEX(WSM,CK471,4)&gt;=$AB467,INDEX(WSM,CK471,5)&gt;=$S467,INDEX(WSM,CK471,6)&gt;=$R467),1,0)</f>
        <v>#N/A</v>
      </c>
      <c r="CM471" s="4" t="e">
        <f t="shared" ref="CM471" ca="1" si="8513">MATCH(1,OFFSET(CL467:CL478,CN470,0,COUNT(CL467:CL478)-CN470),0)</f>
        <v>#REF!</v>
      </c>
      <c r="CN471" s="4" t="e">
        <f t="shared" ca="1" si="8452"/>
        <v>#REF!</v>
      </c>
      <c r="CO471" s="692" t="str">
        <f ca="1">IFERROR(VLOOKUP(INDEX(CK467:CK478,CN471),WSM,2,FALSE),"----")</f>
        <v>----</v>
      </c>
      <c r="CP471" s="691" t="e">
        <f t="shared" ca="1" si="8453"/>
        <v>#N/A</v>
      </c>
      <c r="CQ471" s="4" t="e">
        <f ca="1">IF(AND(INDEX(STM,CP471,4)&gt;=$AB467,INDEX(STM,CP471,5)&gt;=$S467,INDEX(STM,CP471,6)&gt;=$R467),1,0)</f>
        <v>#N/A</v>
      </c>
      <c r="CR471" s="4" t="e">
        <f t="shared" ref="CR471" ca="1" si="8514">MATCH(1,OFFSET(CQ467:CQ478,CS470,0,COUNT(CQ467:CQ478)-CS470),0)</f>
        <v>#REF!</v>
      </c>
      <c r="CS471" s="4" t="e">
        <f t="shared" ca="1" si="8455"/>
        <v>#REF!</v>
      </c>
      <c r="CT471" s="692" t="str">
        <f ca="1">IFERROR(VLOOKUP(INDEX(CP467:CP478,CS471),STM,2,FALSE),"----")</f>
        <v>----</v>
      </c>
      <c r="CU471" s="691" t="e">
        <f t="shared" ca="1" si="8456"/>
        <v>#N/A</v>
      </c>
      <c r="CV471" s="4" t="e">
        <f ca="1">IF(AND(INDEX(ELM,CU471,4)&gt;=$AB467,INDEX(ELM,CU471,5)&gt;=$S467,INDEX(ELM,CU471,6)&gt;=$R467),1,0)</f>
        <v>#N/A</v>
      </c>
      <c r="CW471" s="4" t="e">
        <f t="shared" ref="CW471" ca="1" si="8515">MATCH(1,OFFSET(CV467:CV478,CX470,0,COUNT(CV467:CV478)-CX470),0)</f>
        <v>#REF!</v>
      </c>
      <c r="CX471" s="4" t="e">
        <f t="shared" ca="1" si="8458"/>
        <v>#REF!</v>
      </c>
      <c r="CY471" s="692" t="str">
        <f ca="1">IFERROR(VLOOKUP(INDEX(CU467:CU478,CX471),ELM,2,FALSE),"----")</f>
        <v>----</v>
      </c>
      <c r="CZ471" s="691" t="e">
        <f t="shared" ca="1" si="8459"/>
        <v>#N/A</v>
      </c>
      <c r="DA471" s="4" t="e">
        <f ca="1">IF(LEFT($J467,7)="Clad Wo",IF(AND(INDEX(SPPWS,CZ471,4)&gt;=$AB467,INDEX(SPPWS,CZ471,5)&gt;=$S467,INDEX(SPPWS,CZ471,6)&gt;=$R467),1,0),IF(AND(INDEX(SPM,CZ471,4)&gt;=$AB467,INDEX(SPM,CZ471,5)&gt;=$S467,INDEX(SPM,CZ471,6)&gt;=$R467),1,0))</f>
        <v>#N/A</v>
      </c>
      <c r="DB471" s="4" t="e">
        <f t="shared" ref="DB471" ca="1" si="8516">MATCH(1,OFFSET(DA467:DA478,DC470,0,COUNT(DA467:DA478)-DC470),0)</f>
        <v>#REF!</v>
      </c>
      <c r="DC471" s="4" t="e">
        <f t="shared" ca="1" si="8461"/>
        <v>#REF!</v>
      </c>
      <c r="DD471" s="693" t="str">
        <f ca="1">IF(LEFT($J467,7)="Clad Wo",IFERROR(VLOOKUP(INDEX(CZ467:CZ478,DC471),SPPWS,2,FALSE),"----"),IFERROR(VLOOKUP(INDEX(CZ467:CZ478,DC471),SPM,2,FALSE),"----"))</f>
        <v>----</v>
      </c>
      <c r="DE471" s="691" t="e">
        <f t="shared" ca="1" si="8462"/>
        <v>#REF!</v>
      </c>
      <c r="DF471" s="4" t="e" cm="1">
        <f t="array" aca="1" ref="DF471" ca="1">IF(AND(INDEX(INDIRECT(BY467),DE471,4)&gt;=$AB473,INDEX(INDIRECT(BY467),DE471,5)&gt;=$S467,INDEX(INDIRECT(BY467),DE471,6)&gt;=$R467),1,0)</f>
        <v>#REF!</v>
      </c>
      <c r="DG471" s="4" t="e">
        <f t="shared" ref="DG471" ca="1" si="8517">MATCH(1,OFFSET(DF467:DF478,DH470,0,COUNT(DF467:DF478)-DH470),0)</f>
        <v>#REF!</v>
      </c>
      <c r="DH471" s="4" t="e">
        <f t="shared" ca="1" si="8464"/>
        <v>#REF!</v>
      </c>
      <c r="DI471" s="692" t="str" cm="1">
        <f t="array" aca="1" ref="DI471" ca="1">IFERROR(VLOOKUP(INDEX(DE467:DE478,DH471),INDIRECT(BY467),2,FALSE),"----")</f>
        <v>----</v>
      </c>
      <c r="DJ471" s="691" t="e">
        <f t="shared" ca="1" si="8465"/>
        <v>#N/A</v>
      </c>
      <c r="DK471" s="4" t="e">
        <f ca="1">IF(AND(INDEX(SSM,DJ471,4)&gt;=$AB473,INDEX(SSM,DJ471,5)&gt;=$S467,INDEX(SSM,DJ471,6)&gt;=$R467),1,0)</f>
        <v>#N/A</v>
      </c>
      <c r="DL471" s="4" t="e">
        <f t="shared" ref="DL471" ca="1" si="8518">MATCH(1,OFFSET(DK467:DK478,DM470,0,COUNT(DK467:DK478)-DM470),0)</f>
        <v>#REF!</v>
      </c>
      <c r="DM471" s="4" t="e">
        <f t="shared" ca="1" si="8467"/>
        <v>#REF!</v>
      </c>
      <c r="DN471" s="692" t="str">
        <f ca="1">IFERROR(IF(AD474="Nested Steel Stud (wood infill)",VLOOKUP(INDEX(DJ467:DJ478,DM471),SSW,2,FALSE),VLOOKUP(INDEX(DJ467:DJ478,DM471),SSM,2,FALSE)),"----")</f>
        <v>----</v>
      </c>
      <c r="DO471" s="691" t="e">
        <f t="shared" ca="1" si="8468"/>
        <v>#N/A</v>
      </c>
      <c r="DP471" s="4" t="e">
        <f ca="1">IF(AND(INDEX(WSM,DO471,4)&gt;=$AB473,INDEX(WSM,DO471,5)&gt;=$S467,INDEX(WSM,DO471,6)&gt;=$R467),1,0)</f>
        <v>#N/A</v>
      </c>
      <c r="DQ471" s="4" t="e">
        <f t="shared" ref="DQ471" ca="1" si="8519">MATCH(1,OFFSET(DP467:DP478,DR470,0,COUNT(DP467:DP478)-DR470),0)</f>
        <v>#REF!</v>
      </c>
      <c r="DR471" s="4" t="e">
        <f t="shared" ca="1" si="8470"/>
        <v>#REF!</v>
      </c>
      <c r="DS471" s="692" t="str">
        <f ca="1">IFERROR(VLOOKUP(INDEX(DO467:DO478,DR471),WSM,2,FALSE),"----")</f>
        <v>----</v>
      </c>
      <c r="DT471" s="691" t="e">
        <f t="shared" ca="1" si="8471"/>
        <v>#N/A</v>
      </c>
      <c r="DU471" s="4" t="e">
        <f ca="1">IF(AND(INDEX(STM,DT471,4)&gt;=$AB473,INDEX(STM,DT471,5)&gt;=$S467,INDEX(STM,DT471,6)&gt;=$R467),1,0)</f>
        <v>#N/A</v>
      </c>
      <c r="DV471" s="4" t="e">
        <f t="shared" ref="DV471" ca="1" si="8520">MATCH(1,OFFSET(DU467:DU478,DW470,0,COUNT(DU467:DU478)-DW470),0)</f>
        <v>#REF!</v>
      </c>
      <c r="DW471" s="4" t="e">
        <f t="shared" ca="1" si="8473"/>
        <v>#REF!</v>
      </c>
      <c r="DX471" s="692" t="str">
        <f ca="1">IFERROR(VLOOKUP(INDEX(DT467:DT478,DW471),STM,2,FALSE),"----")</f>
        <v>----</v>
      </c>
      <c r="DY471" s="691" t="e">
        <f t="shared" ca="1" si="8474"/>
        <v>#N/A</v>
      </c>
      <c r="DZ471" s="4" t="e">
        <f ca="1">IF(AND(INDEX(ELM,DY471,4)&gt;=$AB473,INDEX(ELM,DY471,5)&gt;=$S467,INDEX(ELM,DY471,6)&gt;=$R467),1,0)</f>
        <v>#N/A</v>
      </c>
      <c r="EA471" s="4" t="e">
        <f t="shared" ref="EA471" ca="1" si="8521">MATCH(1,OFFSET(DZ467:DZ478,EB470,0,COUNT(DZ467:DZ478)-EB470),0)</f>
        <v>#REF!</v>
      </c>
      <c r="EB471" s="4" t="e">
        <f t="shared" ca="1" si="8476"/>
        <v>#REF!</v>
      </c>
      <c r="EC471" s="692" t="str">
        <f ca="1">IFERROR(VLOOKUP(INDEX(DY467:DY478,EB471),ELM,2,FALSE),"----")</f>
        <v>----</v>
      </c>
      <c r="ED471" s="691" t="e">
        <f t="shared" ca="1" si="8477"/>
        <v>#N/A</v>
      </c>
      <c r="EE471" s="4" t="e">
        <f ca="1">IF(LEFT($J467,7)="Clad Wo",IF(AND(INDEX(SPPWS,ED471,4)&gt;=$AB473,INDEX(SPPWS,ED471,5)&gt;=$S467,INDEX(SPPWS,ED471,6)&gt;=$R467),1,0),IF(AND(INDEX(SPM,ED471,4)&gt;=$AB473,INDEX(SPM,ED471,5)&gt;=$S467,INDEX(SPM,ED471,6)&gt;=$R467),1,0))</f>
        <v>#N/A</v>
      </c>
      <c r="EF471" s="4" t="e">
        <f t="shared" ref="EF471" ca="1" si="8522">MATCH(1,OFFSET(EE467:EE478,EG470,0,COUNT(EE467:EE478)-EG470),0)</f>
        <v>#REF!</v>
      </c>
      <c r="EG471" s="4" t="e">
        <f t="shared" ca="1" si="8479"/>
        <v>#REF!</v>
      </c>
      <c r="EH471" s="692" t="str">
        <f ca="1">IF(LEFT($J467,7)="Clad Wo",IFERROR(VLOOKUP(INDEX(ED467:ED478,EG471),SPPWS,2,FALSE),"----"),IFERROR(VLOOKUP(INDEX(ED467:ED478,EG471),SPM,2,FALSE),"----"))</f>
        <v>----</v>
      </c>
    </row>
    <row r="472" spans="1:138" ht="15" customHeight="1" thickBot="1" x14ac:dyDescent="0.3">
      <c r="A472" s="1085"/>
      <c r="B472" s="934"/>
      <c r="C472" s="935"/>
      <c r="D472" s="936"/>
      <c r="E472" s="995"/>
      <c r="F472" s="996"/>
      <c r="G472" s="997"/>
      <c r="H472" s="1062"/>
      <c r="I472" s="990"/>
      <c r="J472" s="908"/>
      <c r="K472" s="909"/>
      <c r="L472" s="1010"/>
      <c r="M472" s="924"/>
      <c r="N472" s="1044"/>
      <c r="O472" s="1018"/>
      <c r="P472" s="987"/>
      <c r="Q472" s="1015"/>
      <c r="R472" s="1012"/>
      <c r="S472" s="1006"/>
      <c r="T472" s="1007"/>
      <c r="U472" s="878"/>
      <c r="V472" s="881"/>
      <c r="W472" s="889"/>
      <c r="X472" s="884"/>
      <c r="Y472" s="890"/>
      <c r="Z472" s="890"/>
      <c r="AA472" s="887"/>
      <c r="AB472" s="1084"/>
      <c r="AC472" s="1079"/>
      <c r="AD472" s="1072" t="str">
        <f t="shared" ref="AD472" si="8523">IF(LEFT(J467,7)="Clad Wo","Pella Wood Spr / Steel Pte","Steel Plate")</f>
        <v>Steel Plate</v>
      </c>
      <c r="AE472" s="1073"/>
      <c r="AF472" s="1054"/>
      <c r="AG472" s="1055"/>
      <c r="AH472" s="1055"/>
      <c r="AI472" s="1092"/>
      <c r="AJ472" s="1093"/>
      <c r="AK472" s="159" t="str">
        <f t="shared" ca="1" si="7482"/>
        <v/>
      </c>
      <c r="AL472" s="1040"/>
      <c r="AM472" s="345" t="str">
        <f ca="1">IFERROR(Q467/12*ROUND(VLOOKUP(AF472,OFFSET(SPM,0,1),6,FALSE),2),"")</f>
        <v/>
      </c>
      <c r="AN472" t="str">
        <f t="shared" ca="1" si="7532"/>
        <v/>
      </c>
      <c r="AP472" s="699" t="str">
        <f t="shared" ref="AP472" si="8524">_xlfn.CONCAT(AR472,AS472)</f>
        <v/>
      </c>
      <c r="AQ472" s="700" t="str">
        <f t="shared" si="7698"/>
        <v/>
      </c>
      <c r="AR472" s="160" t="str">
        <f t="shared" si="7457"/>
        <v/>
      </c>
      <c r="AS472" s="160" t="str">
        <f>IFERROR(VLOOKUP(J475, WallType,2,FALSE),"")</f>
        <v/>
      </c>
      <c r="AT472" s="701" t="str">
        <f>AL467</f>
        <v/>
      </c>
      <c r="AU472" s="694" t="e">
        <f t="shared" ca="1" si="7724"/>
        <v>#REF!</v>
      </c>
      <c r="AV472" s="698" t="str">
        <f ca="1">IFERROR(VLOOKUP(AU472,INDIRECT(AQ467),2,FALSE),"----")</f>
        <v>----</v>
      </c>
      <c r="AW472" s="702" t="e">
        <f t="shared" ca="1" si="7725"/>
        <v>#REF!</v>
      </c>
      <c r="AX472" s="698" t="str">
        <f ca="1">IFERROR(VLOOKUP(AW472,INDIRECT(AQ468),2,FALSE),"----")</f>
        <v>----</v>
      </c>
      <c r="AY472" s="702" t="e">
        <f t="shared" ref="AY472" ca="1" si="8525">AY471-1</f>
        <v>#REF!</v>
      </c>
      <c r="AZ472" s="698" t="str">
        <f ca="1">IFERROR(VLOOKUP(AY472,INDIRECT(AQ469),2,FALSE),"----")</f>
        <v>----</v>
      </c>
      <c r="BA472" s="702" t="e">
        <f t="shared" ref="BA472" ca="1" si="8526">BA471-1</f>
        <v>#REF!</v>
      </c>
      <c r="BB472" s="698" t="str">
        <f ca="1">IFERROR(VLOOKUP(BA472,INDIRECT(AQ470),2,FALSE),"----")</f>
        <v>----</v>
      </c>
      <c r="BC472" s="702" t="e">
        <f t="shared" ca="1" si="7728"/>
        <v>#REF!</v>
      </c>
      <c r="BD472" s="698" t="str">
        <f ca="1">IFERROR(VLOOKUP(BC472,INDIRECT(AQ471),2,FALSE),"----")</f>
        <v>----</v>
      </c>
      <c r="BE472" s="702" t="e">
        <f t="shared" ca="1" si="7729"/>
        <v>#REF!</v>
      </c>
      <c r="BF472" s="698" t="str">
        <f ca="1">IFERROR(VLOOKUP(BE472,INDIRECT(AQ472),2,FALSE),"----")</f>
        <v>----</v>
      </c>
      <c r="BG472" s="702" t="e">
        <f t="shared" ca="1" si="7730"/>
        <v>#REF!</v>
      </c>
      <c r="BH472" s="686" t="str">
        <f ca="1">IFERROR(VLOOKUP(BG472,INDIRECT(AQ473),2,FALSE),"----")</f>
        <v>----</v>
      </c>
      <c r="BI472" s="702" t="e">
        <f t="shared" ca="1" si="7731"/>
        <v>#REF!</v>
      </c>
      <c r="BJ472" s="686" t="str">
        <f ca="1">IFERROR(VLOOKUP(BI472,INDIRECT(AQ474),2,FALSE),"----")</f>
        <v>----</v>
      </c>
      <c r="BK472" s="702" t="e">
        <f t="shared" ca="1" si="7732"/>
        <v>#REF!</v>
      </c>
      <c r="BL472" s="686" t="str">
        <f ca="1">IFERROR(VLOOKUP(BK472,INDIRECT(AQ475),2,FALSE),"----")</f>
        <v>----</v>
      </c>
      <c r="BM472" s="702" t="e">
        <f t="shared" ca="1" si="7733"/>
        <v>#REF!</v>
      </c>
      <c r="BN472" s="686" t="str">
        <f ca="1">IFERROR(VLOOKUP(BM472,INDIRECT(AQ476),2,FALSE),"----")</f>
        <v>----</v>
      </c>
      <c r="BO472" s="702" t="e">
        <f t="shared" ca="1" si="7734"/>
        <v>#REF!</v>
      </c>
      <c r="BP472" s="686" t="str">
        <f ca="1">IFERROR(VLOOKUP(BO472,INDIRECT(AQ477),2,FALSE),"----")</f>
        <v>----</v>
      </c>
      <c r="BQ472" s="702" t="e">
        <f t="shared" ca="1" si="7735"/>
        <v>#REF!</v>
      </c>
      <c r="BR472" s="686" t="str">
        <f ca="1">IFERROR(VLOOKUP(BQ472,INDIRECT(AQ478),2,FALSE),"----")</f>
        <v>----</v>
      </c>
      <c r="BS472" s="703">
        <f>IF(AI472="",1,IF(COUNTIF(BF467:BF478,AI472)=0,2,1))</f>
        <v>1</v>
      </c>
      <c r="BT472" s="704">
        <f>IF(AF472="",1,IF(BF467=".",2,1))</f>
        <v>1</v>
      </c>
      <c r="BV472" s="155">
        <f ca="1">IF(COUNTIF(DD467:DD478,AF472)=0,IF(AF472&lt;&gt;"",0,1),1)</f>
        <v>1</v>
      </c>
      <c r="BW472" s="157">
        <f ca="1">IFERROR(MATCH(AF472,DD467:DD478,0),1)</f>
        <v>1</v>
      </c>
      <c r="BX472" s="875" t="s">
        <v>1594</v>
      </c>
      <c r="BY472" s="876"/>
      <c r="BZ472" s="1110"/>
      <c r="CA472" s="691" t="e">
        <f t="shared" ca="1" si="8444"/>
        <v>#REF!</v>
      </c>
      <c r="CB472" s="4" t="e" cm="1">
        <f t="array" aca="1" ref="CB472" ca="1">IF(AND(INDEX(INDIRECT(BY467),CA472,4)&gt;=$AB467,INDEX(INDIRECT(BY467),CA472,5)&gt;=$S467,INDEX(INDIRECT(BY467),CA472,6)&gt;=$R467),1,0)</f>
        <v>#REF!</v>
      </c>
      <c r="CC472" s="4" t="e">
        <f t="shared" ref="CC472" ca="1" si="8527">MATCH(1,OFFSET(CB467:CB478,CD471,0,COUNT(CB467:CB478)-CD471),0)</f>
        <v>#REF!</v>
      </c>
      <c r="CD472" s="4" t="e">
        <f t="shared" ca="1" si="8446"/>
        <v>#REF!</v>
      </c>
      <c r="CE472" s="692" t="str" cm="1">
        <f t="array" aca="1" ref="CE472" ca="1">IFERROR(VLOOKUP(INDEX(CA467:CA478,CD472),INDIRECT(BY467),2,FALSE),"----")</f>
        <v>----</v>
      </c>
      <c r="CF472" s="691" t="e">
        <f t="shared" ca="1" si="8447"/>
        <v>#N/A</v>
      </c>
      <c r="CG472" s="4" t="e">
        <f ca="1">IF(AND(INDEX(SSM,CF472,4)&gt;=$AB467,INDEX(SSM,CF472,5)&gt;=$S467,INDEX(SSM,CF472,6)&gt;=$R467),1,0)</f>
        <v>#N/A</v>
      </c>
      <c r="CH472" s="4" t="e">
        <f t="shared" ref="CH472" ca="1" si="8528">MATCH(1,OFFSET(CG467:CG478,CI471,0,COUNT(CG467:CG478)-CI471),0)</f>
        <v>#REF!</v>
      </c>
      <c r="CI472" s="4" t="e">
        <f t="shared" ca="1" si="8449"/>
        <v>#REF!</v>
      </c>
      <c r="CJ472" s="692" t="str">
        <f ca="1">IFERROR(IF(AD468="Nested Steel Stud (wood infill)",VLOOKUP(INDEX(CF467:CF478,CI472),SSW,2,FALSE),VLOOKUP(INDEX(CF467:CF478,CI472),SSM,2,FALSE)),"----")</f>
        <v>----</v>
      </c>
      <c r="CK472" s="691" t="e">
        <f t="shared" ca="1" si="8450"/>
        <v>#N/A</v>
      </c>
      <c r="CL472" s="4" t="e">
        <f ca="1">IF(AND(INDEX(WSM,CK472,4)&gt;=$AB467,INDEX(WSM,CK472,5)&gt;=$S467,INDEX(WSM,CK472,6)&gt;=$R467),1,0)</f>
        <v>#N/A</v>
      </c>
      <c r="CM472" s="4" t="e">
        <f t="shared" ref="CM472" ca="1" si="8529">MATCH(1,OFFSET(CL467:CL478,CN471,0,COUNT(CL467:CL478)-CN471),0)</f>
        <v>#REF!</v>
      </c>
      <c r="CN472" s="4" t="e">
        <f t="shared" ca="1" si="8452"/>
        <v>#REF!</v>
      </c>
      <c r="CO472" s="692" t="str">
        <f ca="1">IFERROR(VLOOKUP(INDEX(CK467:CK478,CN472),WSM,2,FALSE),"----")</f>
        <v>----</v>
      </c>
      <c r="CP472" s="691" t="e">
        <f t="shared" ca="1" si="8453"/>
        <v>#N/A</v>
      </c>
      <c r="CQ472" s="4" t="e">
        <f ca="1">IF(AND(INDEX(STM,CP472,4)&gt;=$AB467,INDEX(STM,CP472,5)&gt;=$S467,INDEX(STM,CP472,6)&gt;=$R467),1,0)</f>
        <v>#N/A</v>
      </c>
      <c r="CR472" s="4" t="e">
        <f t="shared" ref="CR472" ca="1" si="8530">MATCH(1,OFFSET(CQ467:CQ478,CS471,0,COUNT(CQ467:CQ478)-CS471),0)</f>
        <v>#REF!</v>
      </c>
      <c r="CS472" s="4" t="e">
        <f t="shared" ca="1" si="8455"/>
        <v>#REF!</v>
      </c>
      <c r="CT472" s="692" t="str">
        <f ca="1">IFERROR(VLOOKUP(INDEX(CP467:CP478,CS472),STM,2,FALSE),"----")</f>
        <v>----</v>
      </c>
      <c r="CU472" s="691" t="e">
        <f t="shared" ca="1" si="8456"/>
        <v>#N/A</v>
      </c>
      <c r="CV472" s="4" t="e">
        <f ca="1">IF(AND(INDEX(ELM,CU472,4)&gt;=$AB467,INDEX(ELM,CU472,5)&gt;=$S467,INDEX(ELM,CU472,6)&gt;=$R467),1,0)</f>
        <v>#N/A</v>
      </c>
      <c r="CW472" s="4" t="e">
        <f t="shared" ref="CW472" ca="1" si="8531">MATCH(1,OFFSET(CV467:CV478,CX471,0,COUNT(CV467:CV478)-CX471),0)</f>
        <v>#REF!</v>
      </c>
      <c r="CX472" s="4" t="e">
        <f t="shared" ca="1" si="8458"/>
        <v>#REF!</v>
      </c>
      <c r="CY472" s="692" t="str">
        <f ca="1">IFERROR(VLOOKUP(INDEX(CU467:CU478,CX472),ELM,2,FALSE),"----")</f>
        <v>----</v>
      </c>
      <c r="CZ472" s="691" t="e">
        <f t="shared" ca="1" si="8459"/>
        <v>#N/A</v>
      </c>
      <c r="DA472" s="4" t="e">
        <f ca="1">IF(LEFT($J467,7)="Clad Wo",IF(AND(INDEX(SPPWS,CZ472,4)&gt;=$AB467,INDEX(SPPWS,CZ472,5)&gt;=$S467,INDEX(SPPWS,CZ472,6)&gt;=$R467),1,0),IF(AND(INDEX(SPM,CZ472,4)&gt;=$AB467,INDEX(SPM,CZ472,5)&gt;=$S467,INDEX(SPM,CZ472,6)&gt;=$R467),1,0))</f>
        <v>#N/A</v>
      </c>
      <c r="DB472" s="4" t="e">
        <f t="shared" ref="DB472" ca="1" si="8532">MATCH(1,OFFSET(DA467:DA478,DC471,0,COUNT(DA467:DA478)-DC471),0)</f>
        <v>#REF!</v>
      </c>
      <c r="DC472" s="4" t="e">
        <f t="shared" ca="1" si="8461"/>
        <v>#REF!</v>
      </c>
      <c r="DD472" s="693" t="str">
        <f ca="1">IF(LEFT($J467,7)="Clad Wo",IFERROR(VLOOKUP(INDEX(CZ467:CZ478,DC472),SPPWS,2,FALSE),"----"),IFERROR(VLOOKUP(INDEX(CZ467:CZ478,DC472),SPM,2,FALSE),"----"))</f>
        <v>----</v>
      </c>
      <c r="DE472" s="691" t="e">
        <f t="shared" ca="1" si="8462"/>
        <v>#REF!</v>
      </c>
      <c r="DF472" s="4" t="e" cm="1">
        <f t="array" aca="1" ref="DF472" ca="1">IF(AND(INDEX(INDIRECT(BY467),DE472,4)&gt;=$AB473,INDEX(INDIRECT(BY467),DE472,5)&gt;=$S467,INDEX(INDIRECT(BY467),DE472,6)&gt;=$R467),1,0)</f>
        <v>#REF!</v>
      </c>
      <c r="DG472" s="4" t="e">
        <f t="shared" ref="DG472" ca="1" si="8533">MATCH(1,OFFSET(DF467:DF478,DH471,0,COUNT(DF467:DF478)-DH471),0)</f>
        <v>#REF!</v>
      </c>
      <c r="DH472" s="4" t="e">
        <f t="shared" ca="1" si="8464"/>
        <v>#REF!</v>
      </c>
      <c r="DI472" s="692" t="str" cm="1">
        <f t="array" aca="1" ref="DI472" ca="1">IFERROR(VLOOKUP(INDEX(DE467:DE478,DH472),INDIRECT(BY467),2,FALSE),"----")</f>
        <v>----</v>
      </c>
      <c r="DJ472" s="691" t="e">
        <f t="shared" ca="1" si="8465"/>
        <v>#N/A</v>
      </c>
      <c r="DK472" s="4" t="e">
        <f ca="1">IF(AND(INDEX(SSM,DJ472,4)&gt;=$AB473,INDEX(SSM,DJ472,5)&gt;=$S467,INDEX(SSM,DJ472,6)&gt;=$R467),1,0)</f>
        <v>#N/A</v>
      </c>
      <c r="DL472" s="4" t="e">
        <f t="shared" ref="DL472" ca="1" si="8534">MATCH(1,OFFSET(DK467:DK478,DM471,0,COUNT(DK467:DK478)-DM471),0)</f>
        <v>#REF!</v>
      </c>
      <c r="DM472" s="4" t="e">
        <f t="shared" ca="1" si="8467"/>
        <v>#REF!</v>
      </c>
      <c r="DN472" s="692" t="str">
        <f ca="1">IFERROR(IF(AD474="Nested Steel Stud (wood infill)",VLOOKUP(INDEX(DJ467:DJ478,DM472),SSW,2,FALSE),VLOOKUP(INDEX(DJ467:DJ478,DM472),SSM,2,FALSE)),"----")</f>
        <v>----</v>
      </c>
      <c r="DO472" s="691" t="e">
        <f t="shared" ca="1" si="8468"/>
        <v>#N/A</v>
      </c>
      <c r="DP472" s="4" t="e">
        <f ca="1">IF(AND(INDEX(WSM,DO472,4)&gt;=$AB473,INDEX(WSM,DO472,5)&gt;=$S467,INDEX(WSM,DO472,6)&gt;=$R467),1,0)</f>
        <v>#N/A</v>
      </c>
      <c r="DQ472" s="4" t="e">
        <f t="shared" ref="DQ472" ca="1" si="8535">MATCH(1,OFFSET(DP467:DP478,DR471,0,COUNT(DP467:DP478)-DR471),0)</f>
        <v>#REF!</v>
      </c>
      <c r="DR472" s="4" t="e">
        <f t="shared" ca="1" si="8470"/>
        <v>#REF!</v>
      </c>
      <c r="DS472" s="692" t="str">
        <f ca="1">IFERROR(VLOOKUP(INDEX(DO467:DO478,DR472),WSM,2,FALSE),"----")</f>
        <v>----</v>
      </c>
      <c r="DT472" s="691" t="e">
        <f t="shared" ca="1" si="8471"/>
        <v>#N/A</v>
      </c>
      <c r="DU472" s="4" t="e">
        <f ca="1">IF(AND(INDEX(STM,DT472,4)&gt;=$AB473,INDEX(STM,DT472,5)&gt;=$S467,INDEX(STM,DT472,6)&gt;=$R467),1,0)</f>
        <v>#N/A</v>
      </c>
      <c r="DV472" s="4" t="e">
        <f t="shared" ref="DV472" ca="1" si="8536">MATCH(1,OFFSET(DU467:DU478,DW471,0,COUNT(DU467:DU478)-DW471),0)</f>
        <v>#REF!</v>
      </c>
      <c r="DW472" s="4" t="e">
        <f t="shared" ca="1" si="8473"/>
        <v>#REF!</v>
      </c>
      <c r="DX472" s="692" t="str">
        <f ca="1">IFERROR(VLOOKUP(INDEX(DT467:DT478,DW472),STM,2,FALSE),"----")</f>
        <v>----</v>
      </c>
      <c r="DY472" s="691" t="e">
        <f t="shared" ca="1" si="8474"/>
        <v>#N/A</v>
      </c>
      <c r="DZ472" s="4" t="e">
        <f ca="1">IF(AND(INDEX(ELM,DY472,4)&gt;=$AB473,INDEX(ELM,DY472,5)&gt;=$S467,INDEX(ELM,DY472,6)&gt;=$R467),1,0)</f>
        <v>#N/A</v>
      </c>
      <c r="EA472" s="4" t="e">
        <f t="shared" ref="EA472" ca="1" si="8537">MATCH(1,OFFSET(DZ467:DZ478,EB471,0,COUNT(DZ467:DZ478)-EB471),0)</f>
        <v>#REF!</v>
      </c>
      <c r="EB472" s="4" t="e">
        <f t="shared" ca="1" si="8476"/>
        <v>#REF!</v>
      </c>
      <c r="EC472" s="692" t="str">
        <f ca="1">IFERROR(VLOOKUP(INDEX(DY467:DY478,EB472),ELM,2,FALSE),"----")</f>
        <v>----</v>
      </c>
      <c r="ED472" s="691" t="e">
        <f t="shared" ca="1" si="8477"/>
        <v>#N/A</v>
      </c>
      <c r="EE472" s="4" t="e">
        <f ca="1">IF(LEFT($J467,7)="Clad Wo",IF(AND(INDEX(SPPWS,ED472,4)&gt;=$AB473,INDEX(SPPWS,ED472,5)&gt;=$S467,INDEX(SPPWS,ED472,6)&gt;=$R467),1,0),IF(AND(INDEX(SPM,ED472,4)&gt;=$AB473,INDEX(SPM,ED472,5)&gt;=$S467,INDEX(SPM,ED472,6)&gt;=$R467),1,0))</f>
        <v>#N/A</v>
      </c>
      <c r="EF472" s="4" t="e">
        <f t="shared" ref="EF472" ca="1" si="8538">MATCH(1,OFFSET(EE467:EE478,EG471,0,COUNT(EE467:EE478)-EG471),0)</f>
        <v>#REF!</v>
      </c>
      <c r="EG472" s="4" t="e">
        <f t="shared" ca="1" si="8479"/>
        <v>#REF!</v>
      </c>
      <c r="EH472" s="692" t="str">
        <f ca="1">IF(LEFT($J467,7)="Clad Wo",IFERROR(VLOOKUP(INDEX(ED467:ED478,EG472),SPPWS,2,FALSE),"----"),IFERROR(VLOOKUP(INDEX(ED467:ED478,EG472),SPM,2,FALSE),"----"))</f>
        <v>----</v>
      </c>
    </row>
    <row r="473" spans="1:138" ht="15" customHeight="1" x14ac:dyDescent="0.25">
      <c r="A473" s="1085"/>
      <c r="B473" s="925" t="s">
        <v>409</v>
      </c>
      <c r="C473" s="926"/>
      <c r="D473" s="927"/>
      <c r="E473" s="995"/>
      <c r="F473" s="996"/>
      <c r="G473" s="997"/>
      <c r="H473" s="1062"/>
      <c r="I473" s="990"/>
      <c r="J473" s="908"/>
      <c r="K473" s="909"/>
      <c r="L473" s="1001">
        <f>L467+1</f>
        <v>5</v>
      </c>
      <c r="M473" s="1064" t="str">
        <f t="shared" ref="M473" si="8539">IFERROR(IF($AE$17="",IF($AG$19="Wind Loading",MIN($V$31,IF(E$11="ASCE 7-05",$U$26,$V$7)*$V$9*(IF($E$12&lt;60,0.156*LN(MAX(MIN(500,O467),10)) -1.7618,IF($E$11="ASCE 7-22", 0.2026*LN(MAX(MIN(500,O467),20))-2.2638,0.2503*LN(MAX(MIN(500,O467),20)) -2.5526))-$V$8)),$V$7*IF(E$12&lt;60,$V$13*($V$15*(0.156*LN(MAX(MIN(500,O467),10)) -1.7618)-$V$16),$V$13*$V$15*((0.2026*LN(MAX(MIN(500,O467),20))-2.2638)-$V$16))),-ABS($AE$17)),"")</f>
        <v/>
      </c>
      <c r="N473" s="1041" t="str">
        <f t="shared" ref="N473" si="8540">IFERROR(IF($AE$19="",IF($AG$19="Wind Loading",MAX($U$31,IF(E$11="ASCE 7-05",$U$26,$V$7)*$V$9*((IF($E$12&lt;60,-0.077*LN(MAX(MIN(500,O467),10))+1.1737,IF($E$11="ASCE 7-22",-0.077*LN(MAX(MIN(500,O467),20))+1.0798,-0.093*LN(MAX(MIN(500,O467),20))+1.1776)))+$V$8)),$V$7*IF(E$12&lt;60,$V$13*($V$15*(-0.077*LN(MAX(MIN(500,O467),10))+1.1737)-$V$17),$V$13*$V$15*((-0.077*LN(MAX(MIN(500,O467),20))+1.0798)-$V$17))),ABS($AE$19)),"")</f>
        <v/>
      </c>
      <c r="O473" s="1018"/>
      <c r="P473" s="987"/>
      <c r="Q473" s="1015"/>
      <c r="R473" s="1012">
        <f>P473*Q473/8</f>
        <v>0</v>
      </c>
      <c r="S473" s="1006"/>
      <c r="T473" s="1007"/>
      <c r="U473" s="878"/>
      <c r="V473" s="881"/>
      <c r="W473" s="883" t="e">
        <f t="shared" ref="W473" si="8541">MAX(-M473,N473)*O467</f>
        <v>#VALUE!</v>
      </c>
      <c r="X473" s="884"/>
      <c r="Y473" s="886">
        <f>IFERROR(IF(AG$14="Trapezoidal",BY476,BX476)+IF($E$17="4",(400*E467^3)/(48*X467),0),0)</f>
        <v>0</v>
      </c>
      <c r="Z473" s="886" t="e">
        <f t="shared" ref="Z473" si="8542">+($V467*MAX(-$M473,$N473)*$E467^2)/(144*8)+IF($E$17=4,(400*$E467)/4,0)</f>
        <v>#VALUE!</v>
      </c>
      <c r="AA473" s="887"/>
      <c r="AB473" s="1080" t="str">
        <f t="shared" ref="AB473" ca="1" si="8543">IFERROR(Z473-AA467,"")</f>
        <v/>
      </c>
      <c r="AC473" s="1086" t="str">
        <f t="shared" ref="AC473" ca="1" si="8544">IFERROR(Y473-U467,"")</f>
        <v/>
      </c>
      <c r="AD473" s="1074" t="str">
        <f t="shared" ref="AD473" si="8545">AD467</f>
        <v/>
      </c>
      <c r="AE473" s="1075"/>
      <c r="AF473" s="1056"/>
      <c r="AG473" s="1057"/>
      <c r="AH473" s="1057"/>
      <c r="AI473" s="1088"/>
      <c r="AJ473" s="1089"/>
      <c r="AK473" s="162" t="str">
        <f t="shared" ca="1" si="7482"/>
        <v/>
      </c>
      <c r="AL473" s="1058" t="str">
        <f t="shared" ref="AL473" si="8546">IFERROR(ROUND(SQRT(P467^2+(W473/2+IF($E$17=4,200,0))^2),0),"")</f>
        <v/>
      </c>
      <c r="AM473" s="342" t="s">
        <v>669</v>
      </c>
      <c r="AN473" t="str">
        <f t="shared" ca="1" si="7532"/>
        <v/>
      </c>
      <c r="AP473" s="122" t="str">
        <f t="shared" ref="AP473" si="8547">_xlfn.CONCAT(AR473,AS478)</f>
        <v/>
      </c>
      <c r="AQ473" s="683" t="str">
        <f t="shared" si="7698"/>
        <v/>
      </c>
      <c r="AR473" s="96" t="str">
        <f t="shared" si="7457"/>
        <v/>
      </c>
      <c r="AS473" s="96" t="str">
        <f>IF(COUNTIF(imp_1,AF473)=1,"imp_1",IF(COUNTIF(imp_2,AF473)=1,"imp_2",IF(COUNTIF(imp_3,AF473)=1,"imp_3",IF(COUNTIF(impdoor,AF473)=1,"impdoor",""))))</f>
        <v/>
      </c>
      <c r="AT473" s="684" t="str">
        <f>AL473</f>
        <v/>
      </c>
      <c r="AU473" s="685" t="e">
        <f t="shared" ca="1" si="7724"/>
        <v>#REF!</v>
      </c>
      <c r="AV473" s="686" t="str">
        <f ca="1">IFERROR(VLOOKUP(AU473,INDIRECT(AQ467),2,FALSE),"----")</f>
        <v>----</v>
      </c>
      <c r="AW473" s="685" t="e">
        <f t="shared" ca="1" si="7725"/>
        <v>#REF!</v>
      </c>
      <c r="AX473" s="686" t="str">
        <f ca="1">IFERROR(VLOOKUP(AW473,INDIRECT(AQ468),2,FALSE),"----")</f>
        <v>----</v>
      </c>
      <c r="AY473" s="685" t="e">
        <f t="shared" ca="1" si="8289"/>
        <v>#REF!</v>
      </c>
      <c r="AZ473" s="686" t="str">
        <f ca="1">IFERROR(VLOOKUP(AY473,INDIRECT(AQ469),2,FALSE),"----")</f>
        <v>----</v>
      </c>
      <c r="BA473" s="685" t="e">
        <f t="shared" ca="1" si="8290"/>
        <v>#REF!</v>
      </c>
      <c r="BB473" s="686" t="str">
        <f ca="1">IFERROR(VLOOKUP(BA473,INDIRECT(AQ470),2,FALSE),"----")</f>
        <v>----</v>
      </c>
      <c r="BC473" s="685" t="e">
        <f t="shared" ca="1" si="7728"/>
        <v>#REF!</v>
      </c>
      <c r="BD473" s="686" t="str">
        <f ca="1">IFERROR(VLOOKUP(BC473,INDIRECT(AQ471),2,FALSE),"----")</f>
        <v>----</v>
      </c>
      <c r="BE473" s="685" t="e">
        <f t="shared" ca="1" si="7729"/>
        <v>#REF!</v>
      </c>
      <c r="BF473" s="686" t="str">
        <f ca="1">IFERROR(VLOOKUP(BE473,INDIRECT(AQ472),2,FALSE),"----")</f>
        <v>----</v>
      </c>
      <c r="BG473" s="702" t="e">
        <f t="shared" ca="1" si="7730"/>
        <v>#REF!</v>
      </c>
      <c r="BH473" s="686" t="str">
        <f ca="1">IFERROR(VLOOKUP(BG473,INDIRECT(AQ473),2,FALSE),"----")</f>
        <v>----</v>
      </c>
      <c r="BI473" s="702" t="e">
        <f t="shared" ca="1" si="7731"/>
        <v>#REF!</v>
      </c>
      <c r="BJ473" s="686" t="str">
        <f ca="1">IFERROR(VLOOKUP(BI473,INDIRECT(AQ474),2,FALSE),"----")</f>
        <v>----</v>
      </c>
      <c r="BK473" s="702" t="e">
        <f t="shared" ca="1" si="7732"/>
        <v>#REF!</v>
      </c>
      <c r="BL473" s="686" t="str">
        <f ca="1">IFERROR(VLOOKUP(BK473,INDIRECT(AQ475),2,FALSE),"----")</f>
        <v>----</v>
      </c>
      <c r="BM473" s="702" t="e">
        <f t="shared" ca="1" si="7733"/>
        <v>#REF!</v>
      </c>
      <c r="BN473" s="686" t="str">
        <f ca="1">IFERROR(VLOOKUP(BM473,INDIRECT(AQ476),2,FALSE),"----")</f>
        <v>----</v>
      </c>
      <c r="BO473" s="702" t="e">
        <f t="shared" ca="1" si="7734"/>
        <v>#REF!</v>
      </c>
      <c r="BP473" s="686" t="str">
        <f ca="1">IFERROR(VLOOKUP(BO473,INDIRECT(AQ477),2,FALSE),"----")</f>
        <v>----</v>
      </c>
      <c r="BQ473" s="702" t="e">
        <f t="shared" ca="1" si="7735"/>
        <v>#REF!</v>
      </c>
      <c r="BR473" s="686" t="str">
        <f ca="1">IFERROR(VLOOKUP(BQ473,INDIRECT(AQ478),2,FALSE),"----")</f>
        <v>----</v>
      </c>
      <c r="BS473" s="695">
        <f>IF(AI473="",1,IF(COUNTIF(BH467:BH478,AI473)=0,2,1))</f>
        <v>1</v>
      </c>
      <c r="BT473" s="696">
        <f>IF(AP473="1",1,IF(AF473="",1,IF(BH467=".",2,1)))</f>
        <v>1</v>
      </c>
      <c r="BU473" s="706"/>
      <c r="BV473" s="155">
        <f ca="1">IF(COUNTIF(DI467:DI478,AF473)=0,IF(AF473&lt;&gt;"",0,1),1)</f>
        <v>1</v>
      </c>
      <c r="BW473" s="157">
        <f ca="1">IFERROR(MATCH(AF473,DI467:DI478,0),1)</f>
        <v>1</v>
      </c>
      <c r="BX473" s="769" t="s">
        <v>1593</v>
      </c>
      <c r="BY473" s="769" t="s">
        <v>1629</v>
      </c>
      <c r="BZ473" s="1110"/>
      <c r="CA473" s="691" t="e">
        <f t="shared" ca="1" si="8444"/>
        <v>#REF!</v>
      </c>
      <c r="CB473" s="4" t="e" cm="1">
        <f t="array" aca="1" ref="CB473" ca="1">IF(AND(INDEX(INDIRECT(BY467),CA473,4)&gt;=$AB467,INDEX(INDIRECT(BY467),CA473,5)&gt;=$S467,INDEX(INDIRECT(BY467),CA473,6)&gt;=$R467),1,0)</f>
        <v>#REF!</v>
      </c>
      <c r="CC473" s="4" t="e">
        <f t="shared" ref="CC473" ca="1" si="8548">MATCH(1,OFFSET(CB467:CB478,CD472,0,COUNT(CB467:CB478)-CD472),0)</f>
        <v>#REF!</v>
      </c>
      <c r="CD473" s="4" t="e">
        <f t="shared" ca="1" si="8446"/>
        <v>#REF!</v>
      </c>
      <c r="CE473" s="692" t="str" cm="1">
        <f t="array" aca="1" ref="CE473" ca="1">IFERROR(VLOOKUP(INDEX(CA467:CA478,CD473),INDIRECT(BY467),2,FALSE),"----")</f>
        <v>----</v>
      </c>
      <c r="CF473" s="691" t="e">
        <f t="shared" ca="1" si="8447"/>
        <v>#N/A</v>
      </c>
      <c r="CG473" s="4" t="e">
        <f ca="1">IF(AND(INDEX(SSM,CF473,4)&gt;=$AB467,INDEX(SSM,CF473,5)&gt;=$S467,INDEX(SSM,CF473,6)&gt;=$R467),1,0)</f>
        <v>#N/A</v>
      </c>
      <c r="CH473" s="4" t="e">
        <f t="shared" ref="CH473" ca="1" si="8549">MATCH(1,OFFSET(CG467:CG478,CI472,0,COUNT(CG467:CG478)-CI472),0)</f>
        <v>#REF!</v>
      </c>
      <c r="CI473" s="4" t="e">
        <f t="shared" ca="1" si="8449"/>
        <v>#REF!</v>
      </c>
      <c r="CJ473" s="692" t="str">
        <f ca="1">IFERROR(IF(AD468="Nested Steel Stud (wood infill)",VLOOKUP(INDEX(CF467:CF478,CI473),SSW,2,FALSE),VLOOKUP(INDEX(CF467:CF478,CI473),SSM,2,FALSE)),"----")</f>
        <v>----</v>
      </c>
      <c r="CK473" s="691" t="e">
        <f t="shared" ca="1" si="8450"/>
        <v>#N/A</v>
      </c>
      <c r="CL473" s="4" t="e">
        <f ca="1">IF(AND(INDEX(WSM,CK473,4)&gt;=$AB467,INDEX(WSM,CK473,5)&gt;=$S467,INDEX(WSM,CK473,6)&gt;=$R467),1,0)</f>
        <v>#N/A</v>
      </c>
      <c r="CM473" s="4" t="e">
        <f t="shared" ref="CM473" ca="1" si="8550">MATCH(1,OFFSET(CL467:CL478,CN472,0,COUNT(CL467:CL478)-CN472),0)</f>
        <v>#REF!</v>
      </c>
      <c r="CN473" s="4" t="e">
        <f t="shared" ca="1" si="8452"/>
        <v>#REF!</v>
      </c>
      <c r="CO473" s="692" t="str">
        <f ca="1">IFERROR(VLOOKUP(INDEX(CK467:CK478,CN473),WSM,2,FALSE),"----")</f>
        <v>----</v>
      </c>
      <c r="CP473" s="691" t="e">
        <f t="shared" ca="1" si="8453"/>
        <v>#N/A</v>
      </c>
      <c r="CQ473" s="4" t="e">
        <f ca="1">IF(AND(INDEX(STM,CP473,4)&gt;=$AB467,INDEX(STM,CP473,5)&gt;=$S467,INDEX(STM,CP473,6)&gt;=$R467),1,0)</f>
        <v>#N/A</v>
      </c>
      <c r="CR473" s="4" t="e">
        <f t="shared" ref="CR473" ca="1" si="8551">MATCH(1,OFFSET(CQ467:CQ478,CS472,0,COUNT(CQ467:CQ478)-CS472),0)</f>
        <v>#REF!</v>
      </c>
      <c r="CS473" s="4" t="e">
        <f t="shared" ca="1" si="8455"/>
        <v>#REF!</v>
      </c>
      <c r="CT473" s="692" t="str">
        <f ca="1">IFERROR(VLOOKUP(INDEX(CP467:CP478,CS473),STM,2,FALSE),"----")</f>
        <v>----</v>
      </c>
      <c r="CU473" s="691" t="e">
        <f t="shared" ca="1" si="8456"/>
        <v>#N/A</v>
      </c>
      <c r="CV473" s="4" t="e">
        <f ca="1">IF(AND(INDEX(ELM,CU473,4)&gt;=$AB467,INDEX(ELM,CU473,5)&gt;=$S467,INDEX(ELM,CU473,6)&gt;=$R467),1,0)</f>
        <v>#N/A</v>
      </c>
      <c r="CW473" s="4" t="e">
        <f t="shared" ref="CW473" ca="1" si="8552">MATCH(1,OFFSET(CV467:CV478,CX472,0,COUNT(CV467:CV478)-CX472),0)</f>
        <v>#REF!</v>
      </c>
      <c r="CX473" s="4" t="e">
        <f t="shared" ca="1" si="8458"/>
        <v>#REF!</v>
      </c>
      <c r="CY473" s="692" t="str">
        <f ca="1">IFERROR(VLOOKUP(INDEX(CU467:CU478,CX473),ELM,2,FALSE),"----")</f>
        <v>----</v>
      </c>
      <c r="CZ473" s="691" t="e">
        <f t="shared" ca="1" si="8459"/>
        <v>#N/A</v>
      </c>
      <c r="DA473" s="4" t="e">
        <f ca="1">IF(LEFT($J467,7)="Clad Wo",IF(AND(INDEX(SPPWS,CZ473,4)&gt;=$AB467,INDEX(SPPWS,CZ473,5)&gt;=$S467,INDEX(SPPWS,CZ473,6)&gt;=$R467),1,0),IF(AND(INDEX(SPM,CZ473,4)&gt;=$AB467,INDEX(SPM,CZ473,5)&gt;=$S467,INDEX(SPM,CZ473,6)&gt;=$R467),1,0))</f>
        <v>#N/A</v>
      </c>
      <c r="DB473" s="4" t="e">
        <f t="shared" ref="DB473" ca="1" si="8553">MATCH(1,OFFSET(DA467:DA478,DC472,0,COUNT(DA467:DA478)-DC472),0)</f>
        <v>#REF!</v>
      </c>
      <c r="DC473" s="4" t="e">
        <f t="shared" ca="1" si="8461"/>
        <v>#REF!</v>
      </c>
      <c r="DD473" s="693" t="str">
        <f ca="1">IF(LEFT($J467,7)="Clad Wo",IFERROR(VLOOKUP(INDEX(CZ467:CZ478,DC473),SPPWS,2,FALSE),"----"),IFERROR(VLOOKUP(INDEX(CZ467:CZ478,DC473),SPM,2,FALSE),"----"))</f>
        <v>----</v>
      </c>
      <c r="DE473" s="691" t="e">
        <f t="shared" ca="1" si="8462"/>
        <v>#REF!</v>
      </c>
      <c r="DF473" s="4" t="e" cm="1">
        <f t="array" aca="1" ref="DF473" ca="1">IF(AND(INDEX(INDIRECT(BY467),DE473,4)&gt;=$AB473,INDEX(INDIRECT(BY467),DE473,5)&gt;=$S467,INDEX(INDIRECT(BY467),DE473,6)&gt;=$R467),1,0)</f>
        <v>#REF!</v>
      </c>
      <c r="DG473" s="4" t="e">
        <f t="shared" ref="DG473" ca="1" si="8554">MATCH(1,OFFSET(DF467:DF478,DH472,0,COUNT(DF467:DF478)-DH472),0)</f>
        <v>#REF!</v>
      </c>
      <c r="DH473" s="4" t="e">
        <f t="shared" ca="1" si="8464"/>
        <v>#REF!</v>
      </c>
      <c r="DI473" s="692" t="str" cm="1">
        <f t="array" aca="1" ref="DI473" ca="1">IFERROR(VLOOKUP(INDEX(DE467:DE478,DH473),INDIRECT(BY467),2,FALSE),"----")</f>
        <v>----</v>
      </c>
      <c r="DJ473" s="691" t="e">
        <f t="shared" ca="1" si="8465"/>
        <v>#N/A</v>
      </c>
      <c r="DK473" s="4" t="e">
        <f ca="1">IF(AND(INDEX(SSM,DJ473,4)&gt;=$AB473,INDEX(SSM,DJ473,5)&gt;=$S467,INDEX(SSM,DJ473,6)&gt;=$R467),1,0)</f>
        <v>#N/A</v>
      </c>
      <c r="DL473" s="4" t="e">
        <f t="shared" ref="DL473" ca="1" si="8555">MATCH(1,OFFSET(DK467:DK478,DM472,0,COUNT(DK467:DK478)-DM472),0)</f>
        <v>#REF!</v>
      </c>
      <c r="DM473" s="4" t="e">
        <f t="shared" ca="1" si="8467"/>
        <v>#REF!</v>
      </c>
      <c r="DN473" s="692" t="str">
        <f ca="1">IFERROR(IF(AD474="Nested Steel Stud (wood infill)",VLOOKUP(INDEX(DJ467:DJ478,DM473),SSW,2,FALSE),VLOOKUP(INDEX(DJ467:DJ478,DM473),SSM,2,FALSE)),"----")</f>
        <v>----</v>
      </c>
      <c r="DO473" s="691" t="e">
        <f t="shared" ca="1" si="8468"/>
        <v>#N/A</v>
      </c>
      <c r="DP473" s="4" t="e">
        <f ca="1">IF(AND(INDEX(WSM,DO473,4)&gt;=$AB473,INDEX(WSM,DO473,5)&gt;=$S467,INDEX(WSM,DO473,6)&gt;=$R467),1,0)</f>
        <v>#N/A</v>
      </c>
      <c r="DQ473" s="4" t="e">
        <f t="shared" ref="DQ473" ca="1" si="8556">MATCH(1,OFFSET(DP467:DP478,DR472,0,COUNT(DP467:DP478)-DR472),0)</f>
        <v>#REF!</v>
      </c>
      <c r="DR473" s="4" t="e">
        <f t="shared" ca="1" si="8470"/>
        <v>#REF!</v>
      </c>
      <c r="DS473" s="692" t="str">
        <f ca="1">IFERROR(VLOOKUP(INDEX(DO467:DO478,DR473),WSM,2,FALSE),"----")</f>
        <v>----</v>
      </c>
      <c r="DT473" s="691" t="e">
        <f t="shared" ca="1" si="8471"/>
        <v>#N/A</v>
      </c>
      <c r="DU473" s="4" t="e">
        <f ca="1">IF(AND(INDEX(STM,DT473,4)&gt;=$AB473,INDEX(STM,DT473,5)&gt;=$S467,INDEX(STM,DT473,6)&gt;=$R467),1,0)</f>
        <v>#N/A</v>
      </c>
      <c r="DV473" s="4" t="e">
        <f t="shared" ref="DV473" ca="1" si="8557">MATCH(1,OFFSET(DU467:DU478,DW472,0,COUNT(DU467:DU478)-DW472),0)</f>
        <v>#REF!</v>
      </c>
      <c r="DW473" s="4" t="e">
        <f t="shared" ca="1" si="8473"/>
        <v>#REF!</v>
      </c>
      <c r="DX473" s="692" t="str">
        <f ca="1">IFERROR(VLOOKUP(INDEX(DT467:DT478,DW473),STM,2,FALSE),"----")</f>
        <v>----</v>
      </c>
      <c r="DY473" s="691" t="e">
        <f t="shared" ca="1" si="8474"/>
        <v>#N/A</v>
      </c>
      <c r="DZ473" s="4" t="e">
        <f ca="1">IF(AND(INDEX(ELM,DY473,4)&gt;=$AB473,INDEX(ELM,DY473,5)&gt;=$S467,INDEX(ELM,DY473,6)&gt;=$R467),1,0)</f>
        <v>#N/A</v>
      </c>
      <c r="EA473" s="4" t="e">
        <f t="shared" ref="EA473" ca="1" si="8558">MATCH(1,OFFSET(DZ467:DZ478,EB472,0,COUNT(DZ467:DZ478)-EB472),0)</f>
        <v>#REF!</v>
      </c>
      <c r="EB473" s="4" t="e">
        <f t="shared" ca="1" si="8476"/>
        <v>#REF!</v>
      </c>
      <c r="EC473" s="692" t="str">
        <f ca="1">IFERROR(VLOOKUP(INDEX(DY467:DY478,EB473),ELM,2,FALSE),"----")</f>
        <v>----</v>
      </c>
      <c r="ED473" s="691" t="e">
        <f t="shared" ca="1" si="8477"/>
        <v>#N/A</v>
      </c>
      <c r="EE473" s="4" t="e">
        <f ca="1">IF(LEFT($J467,7)="Clad Wo",IF(AND(INDEX(SPPWS,ED473,4)&gt;=$AB473,INDEX(SPPWS,ED473,5)&gt;=$S467,INDEX(SPPWS,ED473,6)&gt;=$R467),1,0),IF(AND(INDEX(SPM,ED473,4)&gt;=$AB473,INDEX(SPM,ED473,5)&gt;=$S467,INDEX(SPM,ED473,6)&gt;=$R467),1,0))</f>
        <v>#N/A</v>
      </c>
      <c r="EF473" s="4" t="e">
        <f t="shared" ref="EF473" ca="1" si="8559">MATCH(1,OFFSET(EE467:EE478,EG472,0,COUNT(EE467:EE478)-EG472),0)</f>
        <v>#REF!</v>
      </c>
      <c r="EG473" s="4" t="e">
        <f t="shared" ca="1" si="8479"/>
        <v>#REF!</v>
      </c>
      <c r="EH473" s="692" t="str">
        <f ca="1">IF(LEFT($J467,7)="Clad Wo",IFERROR(VLOOKUP(INDEX(ED467:ED478,EG473),SPPWS,2,FALSE),"----"),IFERROR(VLOOKUP(INDEX(ED467:ED478,EG473),SPM,2,FALSE),"----"))</f>
        <v>----</v>
      </c>
    </row>
    <row r="474" spans="1:138" ht="15" customHeight="1" x14ac:dyDescent="0.25">
      <c r="A474" s="1085"/>
      <c r="B474" s="925"/>
      <c r="C474" s="926"/>
      <c r="D474" s="927"/>
      <c r="E474" s="995"/>
      <c r="F474" s="996"/>
      <c r="G474" s="997"/>
      <c r="H474" s="1062"/>
      <c r="I474" s="990"/>
      <c r="J474" s="912"/>
      <c r="K474" s="913"/>
      <c r="L474" s="1002"/>
      <c r="M474" s="923"/>
      <c r="N474" s="1042"/>
      <c r="O474" s="1018"/>
      <c r="P474" s="987"/>
      <c r="Q474" s="1015"/>
      <c r="R474" s="1012"/>
      <c r="S474" s="1006"/>
      <c r="T474" s="1007"/>
      <c r="U474" s="878"/>
      <c r="V474" s="881"/>
      <c r="W474" s="884"/>
      <c r="X474" s="884"/>
      <c r="Y474" s="887"/>
      <c r="Z474" s="887"/>
      <c r="AA474" s="887"/>
      <c r="AB474" s="1081"/>
      <c r="AC474" s="1078"/>
      <c r="AD474" s="1070" t="str">
        <f t="shared" ref="AD474" si="8560">IF(ISBLANK(AD468)=TRUE,"",AD468)</f>
        <v>Nested Steel Stud</v>
      </c>
      <c r="AE474" s="1071"/>
      <c r="AF474" s="1052"/>
      <c r="AG474" s="1053"/>
      <c r="AH474" s="1053"/>
      <c r="AI474" s="1066"/>
      <c r="AJ474" s="1067"/>
      <c r="AK474" s="156" t="str">
        <f t="shared" ca="1" si="7482"/>
        <v/>
      </c>
      <c r="AL474" s="1059"/>
      <c r="AM474" s="343" t="str">
        <f ca="1">IFERROR(Q467/12*ROUND(VLOOKUP(AF474,OFFSET(SSM,0,1),6,FALSE),2),"")</f>
        <v/>
      </c>
      <c r="AN474" t="str">
        <f t="shared" ca="1" si="7532"/>
        <v/>
      </c>
      <c r="AP474" s="122" t="str">
        <f t="shared" ref="AP474" si="8561">_xlfn.CONCAT(AR474,AS478)</f>
        <v/>
      </c>
      <c r="AQ474" s="683" t="str">
        <f t="shared" si="7698"/>
        <v/>
      </c>
      <c r="AR474" s="96" t="str">
        <f t="shared" si="7457"/>
        <v/>
      </c>
      <c r="AS474" s="96" t="str">
        <f>IF(COUNTIF(Vista_1,AF473)=1,"Vista_1",IF(COUNTIF(Vista_2,AF473)=1,"Vista_2",""))</f>
        <v/>
      </c>
      <c r="AT474" s="684" t="str">
        <f>AL473</f>
        <v/>
      </c>
      <c r="AU474" s="694" t="e">
        <f t="shared" ca="1" si="7724"/>
        <v>#REF!</v>
      </c>
      <c r="AV474" s="686" t="str">
        <f ca="1">IFERROR(VLOOKUP(AU474,INDIRECT(AQ467),2,FALSE),"----")</f>
        <v>----</v>
      </c>
      <c r="AW474" s="694" t="e">
        <f t="shared" ca="1" si="7725"/>
        <v>#REF!</v>
      </c>
      <c r="AX474" s="686" t="str">
        <f ca="1">IFERROR(VLOOKUP(AW474,INDIRECT(AQ468),2,FALSE),"----")</f>
        <v>----</v>
      </c>
      <c r="AY474" s="694" t="e">
        <f t="shared" ca="1" si="8289"/>
        <v>#REF!</v>
      </c>
      <c r="AZ474" s="686" t="str">
        <f ca="1">IFERROR(VLOOKUP(AY474,INDIRECT(AQ469),2,FALSE),"----")</f>
        <v>----</v>
      </c>
      <c r="BA474" s="694" t="e">
        <f t="shared" ca="1" si="8290"/>
        <v>#REF!</v>
      </c>
      <c r="BB474" s="686" t="str">
        <f ca="1">IFERROR(VLOOKUP(BA474,INDIRECT(AQ470),2,FALSE),"----")</f>
        <v>----</v>
      </c>
      <c r="BC474" s="694" t="e">
        <f t="shared" ca="1" si="7728"/>
        <v>#REF!</v>
      </c>
      <c r="BD474" s="686" t="str">
        <f ca="1">IFERROR(VLOOKUP(BC474,INDIRECT(AQ471),2,FALSE),"----")</f>
        <v>----</v>
      </c>
      <c r="BE474" s="694" t="e">
        <f t="shared" ca="1" si="7729"/>
        <v>#REF!</v>
      </c>
      <c r="BF474" s="686" t="str">
        <f ca="1">IFERROR(VLOOKUP(BE474,INDIRECT(AQ472),2,FALSE),"----")</f>
        <v>----</v>
      </c>
      <c r="BG474" s="702" t="e">
        <f t="shared" ca="1" si="7730"/>
        <v>#REF!</v>
      </c>
      <c r="BH474" s="686" t="str">
        <f ca="1">IFERROR(VLOOKUP(BG474,INDIRECT(AQ473),2,FALSE),"----")</f>
        <v>----</v>
      </c>
      <c r="BI474" s="702" t="e">
        <f t="shared" ca="1" si="7731"/>
        <v>#REF!</v>
      </c>
      <c r="BJ474" s="686" t="str">
        <f ca="1">IFERROR(VLOOKUP(BI474,INDIRECT(AQ474),2,FALSE),"----")</f>
        <v>----</v>
      </c>
      <c r="BK474" s="702" t="e">
        <f t="shared" ca="1" si="7732"/>
        <v>#REF!</v>
      </c>
      <c r="BL474" s="686" t="str">
        <f ca="1">IFERROR(VLOOKUP(BK474,INDIRECT(AQ475),2,FALSE),"----")</f>
        <v>----</v>
      </c>
      <c r="BM474" s="702" t="e">
        <f t="shared" ca="1" si="7733"/>
        <v>#REF!</v>
      </c>
      <c r="BN474" s="686" t="str">
        <f ca="1">IFERROR(VLOOKUP(BM474,INDIRECT(AQ476),2,FALSE),"----")</f>
        <v>----</v>
      </c>
      <c r="BO474" s="702" t="e">
        <f t="shared" ca="1" si="7734"/>
        <v>#REF!</v>
      </c>
      <c r="BP474" s="686" t="str">
        <f ca="1">IFERROR(VLOOKUP(BO474,INDIRECT(AQ477),2,FALSE),"----")</f>
        <v>----</v>
      </c>
      <c r="BQ474" s="702" t="e">
        <f t="shared" ca="1" si="7735"/>
        <v>#REF!</v>
      </c>
      <c r="BR474" s="686" t="str">
        <f ca="1">IFERROR(VLOOKUP(BQ474,INDIRECT(AQ478),2,FALSE),"----")</f>
        <v>----</v>
      </c>
      <c r="BS474" s="695">
        <f>IF(AI474="",1,IF(COUNTIF(BJ467:BJ478,AI474)=0,2,1))</f>
        <v>1</v>
      </c>
      <c r="BT474" s="696">
        <f>IF(AF474="",1,IF(BJ467=".",2,1))</f>
        <v>1</v>
      </c>
      <c r="BU474" s="706"/>
      <c r="BV474" s="155">
        <f ca="1">IF(COUNTIF(DN467:DN478,AF474)=0,IF(AF474&lt;&gt;"",0,1),1)</f>
        <v>1</v>
      </c>
      <c r="BW474" s="157">
        <f ca="1">IFERROR(MATCH(AF474,DN467:DN478,0),1)</f>
        <v>1</v>
      </c>
      <c r="BX474" s="769">
        <f t="shared" ref="BX474" si="8562">E467*(H467+I467)/144/2</f>
        <v>0</v>
      </c>
      <c r="BY474" s="769">
        <f>SUM(IF(H467&gt;E467,E467^2/4,(H467*E467/2)-(H467^2/4))/144,IF(I467&gt;E467,E467^2/4,(I467*E467/2)-(I467^2/4))/144)</f>
        <v>0</v>
      </c>
      <c r="BZ474" s="1110"/>
      <c r="CA474" s="691" t="e">
        <f t="shared" ca="1" si="8444"/>
        <v>#REF!</v>
      </c>
      <c r="CB474" s="4" t="e" cm="1">
        <f t="array" aca="1" ref="CB474" ca="1">IF(AND(INDEX(INDIRECT(BY467),CA474,4)&gt;=$AB467,INDEX(INDIRECT(BY467),CA474,5)&gt;=$S467,INDEX(INDIRECT(BY467),CA474,6)&gt;=$R467),1,0)</f>
        <v>#REF!</v>
      </c>
      <c r="CC474" s="4" t="e">
        <f t="shared" ref="CC474" ca="1" si="8563">MATCH(1,OFFSET(CB467:CB478,CD473,0,COUNT(CB467:CB478)-CD473),0)</f>
        <v>#REF!</v>
      </c>
      <c r="CD474" s="4" t="e">
        <f t="shared" ca="1" si="8446"/>
        <v>#REF!</v>
      </c>
      <c r="CE474" s="692" t="str" cm="1">
        <f t="array" aca="1" ref="CE474" ca="1">IFERROR(VLOOKUP(INDEX(CA467:CA478,CD474),INDIRECT(BY467),2,FALSE),"----")</f>
        <v>----</v>
      </c>
      <c r="CF474" s="691" t="e">
        <f t="shared" ca="1" si="8447"/>
        <v>#N/A</v>
      </c>
      <c r="CG474" s="4" t="e">
        <f ca="1">IF(AND(INDEX(SSM,CF474,4)&gt;=$AB467,INDEX(SSM,CF474,5)&gt;=$S467,INDEX(SSM,CF474,6)&gt;=$R467),1,0)</f>
        <v>#N/A</v>
      </c>
      <c r="CH474" s="4" t="e">
        <f t="shared" ref="CH474" ca="1" si="8564">MATCH(1,OFFSET(CG467:CG478,CI473,0,COUNT(CG467:CG478)-CI473),0)</f>
        <v>#REF!</v>
      </c>
      <c r="CI474" s="4" t="e">
        <f t="shared" ca="1" si="8449"/>
        <v>#REF!</v>
      </c>
      <c r="CJ474" s="692" t="str">
        <f ca="1">IFERROR(IF(AD468="Nested Steel Stud (wood infill)",VLOOKUP(INDEX(CF467:CF478,CI474),SSW,2,FALSE),VLOOKUP(INDEX(CF467:CF478,CI474),SSM,2,FALSE)),"----")</f>
        <v>----</v>
      </c>
      <c r="CK474" s="691" t="e">
        <f t="shared" ca="1" si="8450"/>
        <v>#N/A</v>
      </c>
      <c r="CL474" s="4" t="e">
        <f ca="1">IF(AND(INDEX(WSM,CK474,4)&gt;=$AB467,INDEX(WSM,CK474,5)&gt;=$S467,INDEX(WSM,CK474,6)&gt;=$R467),1,0)</f>
        <v>#N/A</v>
      </c>
      <c r="CM474" s="4" t="e">
        <f t="shared" ref="CM474" ca="1" si="8565">MATCH(1,OFFSET(CL467:CL478,CN473,0,COUNT(CL467:CL478)-CN473),0)</f>
        <v>#REF!</v>
      </c>
      <c r="CN474" s="4" t="e">
        <f t="shared" ca="1" si="8452"/>
        <v>#REF!</v>
      </c>
      <c r="CO474" s="692" t="str">
        <f ca="1">IFERROR(VLOOKUP(INDEX(CK467:CK478,CN474),WSM,2,FALSE),"----")</f>
        <v>----</v>
      </c>
      <c r="CP474" s="691" t="e">
        <f t="shared" ca="1" si="8453"/>
        <v>#N/A</v>
      </c>
      <c r="CQ474" s="4" t="e">
        <f ca="1">IF(AND(INDEX(STM,CP474,4)&gt;=$AB467,INDEX(STM,CP474,5)&gt;=$S467,INDEX(STM,CP474,6)&gt;=$R467),1,0)</f>
        <v>#N/A</v>
      </c>
      <c r="CR474" s="4" t="e">
        <f t="shared" ref="CR474" ca="1" si="8566">MATCH(1,OFFSET(CQ467:CQ478,CS473,0,COUNT(CQ467:CQ478)-CS473),0)</f>
        <v>#REF!</v>
      </c>
      <c r="CS474" s="4" t="e">
        <f t="shared" ca="1" si="8455"/>
        <v>#REF!</v>
      </c>
      <c r="CT474" s="692" t="str">
        <f ca="1">IFERROR(VLOOKUP(INDEX(CP467:CP478,CS474),STM,2,FALSE),"----")</f>
        <v>----</v>
      </c>
      <c r="CU474" s="691" t="e">
        <f t="shared" ca="1" si="8456"/>
        <v>#N/A</v>
      </c>
      <c r="CV474" s="4" t="e">
        <f ca="1">IF(AND(INDEX(ELM,CU474,4)&gt;=$AB467,INDEX(ELM,CU474,5)&gt;=$S467,INDEX(ELM,CU474,6)&gt;=$R467),1,0)</f>
        <v>#N/A</v>
      </c>
      <c r="CW474" s="4" t="e">
        <f t="shared" ref="CW474" ca="1" si="8567">MATCH(1,OFFSET(CV467:CV478,CX473,0,COUNT(CV467:CV478)-CX473),0)</f>
        <v>#REF!</v>
      </c>
      <c r="CX474" s="4" t="e">
        <f t="shared" ca="1" si="8458"/>
        <v>#REF!</v>
      </c>
      <c r="CY474" s="692" t="str">
        <f ca="1">IFERROR(VLOOKUP(INDEX(CU467:CU478,CX474),ELM,2,FALSE),"----")</f>
        <v>----</v>
      </c>
      <c r="CZ474" s="691" t="e">
        <f t="shared" ca="1" si="8459"/>
        <v>#N/A</v>
      </c>
      <c r="DA474" s="4" t="e">
        <f ca="1">IF(LEFT($J467,7)="Clad Wo",IF(AND(INDEX(SPPWS,CZ474,4)&gt;=$AB467,INDEX(SPPWS,CZ474,5)&gt;=$S467,INDEX(SPPWS,CZ474,6)&gt;=$R467),1,0),IF(AND(INDEX(SPM,CZ474,4)&gt;=$AB467,INDEX(SPM,CZ474,5)&gt;=$S467,INDEX(SPM,CZ474,6)&gt;=$R467),1,0))</f>
        <v>#N/A</v>
      </c>
      <c r="DB474" s="4" t="e">
        <f t="shared" ref="DB474" ca="1" si="8568">MATCH(1,OFFSET(DA467:DA478,DC473,0,COUNT(DA467:DA478)-DC473),0)</f>
        <v>#REF!</v>
      </c>
      <c r="DC474" s="4" t="e">
        <f t="shared" ca="1" si="8461"/>
        <v>#REF!</v>
      </c>
      <c r="DD474" s="693" t="str">
        <f ca="1">IF(LEFT($J467,7)="Clad Wo",IFERROR(VLOOKUP(INDEX(CZ467:CZ478,DC474),SPPWS,2,FALSE),"----"),IFERROR(VLOOKUP(INDEX(CZ467:CZ478,DC474),SPM,2,FALSE),"----"))</f>
        <v>----</v>
      </c>
      <c r="DE474" s="691" t="e">
        <f t="shared" ca="1" si="8462"/>
        <v>#REF!</v>
      </c>
      <c r="DF474" s="4" t="e" cm="1">
        <f t="array" aca="1" ref="DF474" ca="1">IF(AND(INDEX(INDIRECT(BY467),DE474,4)&gt;=$AB473,INDEX(INDIRECT(BY467),DE474,5)&gt;=$S467,INDEX(INDIRECT(BY467),DE474,6)&gt;=$R467),1,0)</f>
        <v>#REF!</v>
      </c>
      <c r="DG474" s="4" t="e">
        <f t="shared" ref="DG474" ca="1" si="8569">MATCH(1,OFFSET(DF467:DF478,DH473,0,COUNT(DF467:DF478)-DH473),0)</f>
        <v>#REF!</v>
      </c>
      <c r="DH474" s="4" t="e">
        <f t="shared" ca="1" si="8464"/>
        <v>#REF!</v>
      </c>
      <c r="DI474" s="692" t="str" cm="1">
        <f t="array" aca="1" ref="DI474" ca="1">IFERROR(VLOOKUP(INDEX(DE467:DE478,DH474),INDIRECT(BY467),2,FALSE),"----")</f>
        <v>----</v>
      </c>
      <c r="DJ474" s="691" t="e">
        <f t="shared" ca="1" si="8465"/>
        <v>#N/A</v>
      </c>
      <c r="DK474" s="4" t="e">
        <f ca="1">IF(AND(INDEX(SSM,DJ474,4)&gt;=$AB473,INDEX(SSM,DJ474,5)&gt;=$S467,INDEX(SSM,DJ474,6)&gt;=$R467),1,0)</f>
        <v>#N/A</v>
      </c>
      <c r="DL474" s="4" t="e">
        <f t="shared" ref="DL474" ca="1" si="8570">MATCH(1,OFFSET(DK467:DK478,DM473,0,COUNT(DK467:DK478)-DM473),0)</f>
        <v>#REF!</v>
      </c>
      <c r="DM474" s="4" t="e">
        <f t="shared" ca="1" si="8467"/>
        <v>#REF!</v>
      </c>
      <c r="DN474" s="692" t="str">
        <f ca="1">IFERROR(IF(AD474="Nested Steel Stud (wood infill)",VLOOKUP(INDEX(DJ467:DJ478,DM474),SSW,2,FALSE),VLOOKUP(INDEX(DJ467:DJ478,DM474),SSM,2,FALSE)),"----")</f>
        <v>----</v>
      </c>
      <c r="DO474" s="691" t="e">
        <f t="shared" ca="1" si="8468"/>
        <v>#N/A</v>
      </c>
      <c r="DP474" s="4" t="e">
        <f ca="1">IF(AND(INDEX(WSM,DO474,4)&gt;=$AB473,INDEX(WSM,DO474,5)&gt;=$S467,INDEX(WSM,DO474,6)&gt;=$R467),1,0)</f>
        <v>#N/A</v>
      </c>
      <c r="DQ474" s="4" t="e">
        <f t="shared" ref="DQ474" ca="1" si="8571">MATCH(1,OFFSET(DP467:DP478,DR473,0,COUNT(DP467:DP478)-DR473),0)</f>
        <v>#REF!</v>
      </c>
      <c r="DR474" s="4" t="e">
        <f t="shared" ca="1" si="8470"/>
        <v>#REF!</v>
      </c>
      <c r="DS474" s="692" t="str">
        <f ca="1">IFERROR(VLOOKUP(INDEX(DO467:DO478,DR474),WSM,2,FALSE),"----")</f>
        <v>----</v>
      </c>
      <c r="DT474" s="691" t="e">
        <f t="shared" ca="1" si="8471"/>
        <v>#N/A</v>
      </c>
      <c r="DU474" s="4" t="e">
        <f ca="1">IF(AND(INDEX(STM,DT474,4)&gt;=$AB473,INDEX(STM,DT474,5)&gt;=$S467,INDEX(STM,DT474,6)&gt;=$R467),1,0)</f>
        <v>#N/A</v>
      </c>
      <c r="DV474" s="4" t="e">
        <f t="shared" ref="DV474" ca="1" si="8572">MATCH(1,OFFSET(DU467:DU478,DW473,0,COUNT(DU467:DU478)-DW473),0)</f>
        <v>#REF!</v>
      </c>
      <c r="DW474" s="4" t="e">
        <f t="shared" ca="1" si="8473"/>
        <v>#REF!</v>
      </c>
      <c r="DX474" s="692" t="str">
        <f ca="1">IFERROR(VLOOKUP(INDEX(DT467:DT478,DW474),STM,2,FALSE),"----")</f>
        <v>----</v>
      </c>
      <c r="DY474" s="691" t="e">
        <f t="shared" ca="1" si="8474"/>
        <v>#N/A</v>
      </c>
      <c r="DZ474" s="4" t="e">
        <f ca="1">IF(AND(INDEX(ELM,DY474,4)&gt;=$AB473,INDEX(ELM,DY474,5)&gt;=$S467,INDEX(ELM,DY474,6)&gt;=$R467),1,0)</f>
        <v>#N/A</v>
      </c>
      <c r="EA474" s="4" t="e">
        <f t="shared" ref="EA474" ca="1" si="8573">MATCH(1,OFFSET(DZ467:DZ478,EB473,0,COUNT(DZ467:DZ478)-EB473),0)</f>
        <v>#REF!</v>
      </c>
      <c r="EB474" s="4" t="e">
        <f t="shared" ca="1" si="8476"/>
        <v>#REF!</v>
      </c>
      <c r="EC474" s="692" t="str">
        <f ca="1">IFERROR(VLOOKUP(INDEX(DY467:DY478,EB474),ELM,2,FALSE),"----")</f>
        <v>----</v>
      </c>
      <c r="ED474" s="691" t="e">
        <f t="shared" ca="1" si="8477"/>
        <v>#N/A</v>
      </c>
      <c r="EE474" s="4" t="e">
        <f ca="1">IF(LEFT($J467,7)="Clad Wo",IF(AND(INDEX(SPPWS,ED474,4)&gt;=$AB473,INDEX(SPPWS,ED474,5)&gt;=$S467,INDEX(SPPWS,ED474,6)&gt;=$R467),1,0),IF(AND(INDEX(SPM,ED474,4)&gt;=$AB473,INDEX(SPM,ED474,5)&gt;=$S467,INDEX(SPM,ED474,6)&gt;=$R467),1,0))</f>
        <v>#N/A</v>
      </c>
      <c r="EF474" s="4" t="e">
        <f t="shared" ref="EF474" ca="1" si="8574">MATCH(1,OFFSET(EE467:EE478,EG473,0,COUNT(EE467:EE478)-EG473),0)</f>
        <v>#REF!</v>
      </c>
      <c r="EG474" s="4" t="e">
        <f t="shared" ca="1" si="8479"/>
        <v>#REF!</v>
      </c>
      <c r="EH474" s="692" t="str">
        <f ca="1">IF(LEFT($J467,7)="Clad Wo",IFERROR(VLOOKUP(INDEX(ED467:ED478,EG474),SPPWS,2,FALSE),"----"),IFERROR(VLOOKUP(INDEX(ED467:ED478,EG474),SPM,2,FALSE),"----"))</f>
        <v>----</v>
      </c>
    </row>
    <row r="475" spans="1:138" ht="15" customHeight="1" x14ac:dyDescent="0.25">
      <c r="A475" s="1085"/>
      <c r="B475" s="925"/>
      <c r="C475" s="926"/>
      <c r="D475" s="927"/>
      <c r="E475" s="995"/>
      <c r="F475" s="996"/>
      <c r="G475" s="997"/>
      <c r="H475" s="1062"/>
      <c r="I475" s="990"/>
      <c r="J475" s="902"/>
      <c r="K475" s="903"/>
      <c r="L475" s="1002"/>
      <c r="M475" s="923"/>
      <c r="N475" s="1042"/>
      <c r="O475" s="1018"/>
      <c r="P475" s="987"/>
      <c r="Q475" s="1015"/>
      <c r="R475" s="1012"/>
      <c r="S475" s="1006"/>
      <c r="T475" s="1007"/>
      <c r="U475" s="878"/>
      <c r="V475" s="881"/>
      <c r="W475" s="884"/>
      <c r="X475" s="884"/>
      <c r="Y475" s="887"/>
      <c r="Z475" s="887"/>
      <c r="AA475" s="887"/>
      <c r="AB475" s="1081"/>
      <c r="AC475" s="1078"/>
      <c r="AD475" s="1070" t="str">
        <f t="shared" si="7388"/>
        <v>Wood Stud Framing</v>
      </c>
      <c r="AE475" s="1071"/>
      <c r="AF475" s="1052"/>
      <c r="AG475" s="1053"/>
      <c r="AH475" s="1053"/>
      <c r="AI475" s="1066"/>
      <c r="AJ475" s="1067"/>
      <c r="AK475" s="156" t="str">
        <f t="shared" ca="1" si="7482"/>
        <v/>
      </c>
      <c r="AL475" s="1059"/>
      <c r="AM475" s="344" t="str">
        <f ca="1">IFERROR(Q467/12*ROUND(VLOOKUP(AF475,OFFSET(WSM,0,1),6,FALSE),2),"")</f>
        <v/>
      </c>
      <c r="AN475" t="str">
        <f t="shared" ca="1" si="7532"/>
        <v/>
      </c>
      <c r="AP475" s="122" t="str">
        <f t="shared" ref="AP475" si="8575">_xlfn.CONCAT(AR475,AS478)</f>
        <v/>
      </c>
      <c r="AQ475" s="683" t="str">
        <f t="shared" si="7698"/>
        <v/>
      </c>
      <c r="AR475" s="4" t="str">
        <f t="shared" si="7457"/>
        <v/>
      </c>
      <c r="AS475" s="4"/>
      <c r="AT475" s="697" t="str">
        <f>AL473</f>
        <v/>
      </c>
      <c r="AU475" s="694" t="e">
        <f t="shared" ca="1" si="7724"/>
        <v>#REF!</v>
      </c>
      <c r="AV475" s="686" t="str">
        <f ca="1">IFERROR(VLOOKUP(AU475,INDIRECT(AQ467),2,FALSE),"----")</f>
        <v>----</v>
      </c>
      <c r="AW475" s="694" t="e">
        <f t="shared" ca="1" si="7725"/>
        <v>#REF!</v>
      </c>
      <c r="AX475" s="686" t="str">
        <f ca="1">IFERROR(VLOOKUP(AW475,INDIRECT(AQ468),2,FALSE),"----")</f>
        <v>----</v>
      </c>
      <c r="AY475" s="694" t="e">
        <f t="shared" ca="1" si="8289"/>
        <v>#REF!</v>
      </c>
      <c r="AZ475" s="686" t="str">
        <f ca="1">IFERROR(VLOOKUP(AY475,INDIRECT(AQ469),2,FALSE),"----")</f>
        <v>----</v>
      </c>
      <c r="BA475" s="694" t="e">
        <f t="shared" ca="1" si="8290"/>
        <v>#REF!</v>
      </c>
      <c r="BB475" s="686" t="str">
        <f ca="1">IFERROR(VLOOKUP(BA475,INDIRECT(AQ470),2,FALSE),"----")</f>
        <v>----</v>
      </c>
      <c r="BC475" s="694" t="e">
        <f t="shared" ca="1" si="7728"/>
        <v>#REF!</v>
      </c>
      <c r="BD475" s="686" t="str">
        <f ca="1">IFERROR(VLOOKUP(BC475,INDIRECT(AQ471),2,FALSE),"----")</f>
        <v>----</v>
      </c>
      <c r="BE475" s="694" t="e">
        <f t="shared" ca="1" si="7729"/>
        <v>#REF!</v>
      </c>
      <c r="BF475" s="686" t="str">
        <f ca="1">IFERROR(VLOOKUP(BE475,INDIRECT(AQ472),2,FALSE),"----")</f>
        <v>----</v>
      </c>
      <c r="BG475" s="702" t="e">
        <f t="shared" ca="1" si="7730"/>
        <v>#REF!</v>
      </c>
      <c r="BH475" s="686" t="str">
        <f ca="1">IFERROR(VLOOKUP(BG475,INDIRECT(AQ473),2,FALSE),"----")</f>
        <v>----</v>
      </c>
      <c r="BI475" s="702" t="e">
        <f t="shared" ca="1" si="7731"/>
        <v>#REF!</v>
      </c>
      <c r="BJ475" s="686" t="str">
        <f ca="1">IFERROR(VLOOKUP(BI475,INDIRECT(AQ474),2,FALSE),"----")</f>
        <v>----</v>
      </c>
      <c r="BK475" s="702" t="e">
        <f t="shared" ca="1" si="7732"/>
        <v>#REF!</v>
      </c>
      <c r="BL475" s="686" t="str">
        <f ca="1">IFERROR(VLOOKUP(BK475,INDIRECT(AQ475),2,FALSE),"----")</f>
        <v>----</v>
      </c>
      <c r="BM475" s="702" t="e">
        <f t="shared" ca="1" si="7733"/>
        <v>#REF!</v>
      </c>
      <c r="BN475" s="686" t="str">
        <f ca="1">IFERROR(VLOOKUP(BM475,INDIRECT(AQ476),2,FALSE),"----")</f>
        <v>----</v>
      </c>
      <c r="BO475" s="702" t="e">
        <f t="shared" ca="1" si="7734"/>
        <v>#REF!</v>
      </c>
      <c r="BP475" s="686" t="str">
        <f ca="1">IFERROR(VLOOKUP(BO475,INDIRECT(AQ477),2,FALSE),"----")</f>
        <v>----</v>
      </c>
      <c r="BQ475" s="702" t="e">
        <f t="shared" ca="1" si="7735"/>
        <v>#REF!</v>
      </c>
      <c r="BR475" s="686" t="str">
        <f ca="1">IFERROR(VLOOKUP(BQ475,INDIRECT(AQ478),2,FALSE),"----")</f>
        <v>----</v>
      </c>
      <c r="BS475" s="695">
        <f>IF(AI475="",1,IF(COUNTIF(BL467:BL478,AI475)=0,2,1))</f>
        <v>1</v>
      </c>
      <c r="BT475" s="696">
        <f>IF(AF475="",1,IF(BL467=".",2,1))</f>
        <v>1</v>
      </c>
      <c r="BU475" s="706"/>
      <c r="BV475" s="155">
        <f ca="1">IF(COUNTIF(DS467:DS478,AF475)=0,IF(AF475&lt;&gt;"",0,1),1)</f>
        <v>1</v>
      </c>
      <c r="BW475" s="157">
        <f ca="1">IFERROR(MATCH(AF475,DS467:DS478,0),1)</f>
        <v>1</v>
      </c>
      <c r="BX475" s="769" t="e">
        <f t="shared" ref="BX475" si="8576">5*E467^3*W467/(384*X467)</f>
        <v>#VALUE!</v>
      </c>
      <c r="BY475" s="769" t="e">
        <f t="shared" ref="BY475" si="8577">W467*E467^3/(60*X467)</f>
        <v>#VALUE!</v>
      </c>
      <c r="BZ475" s="1110"/>
      <c r="CA475" s="691" t="e">
        <f t="shared" ca="1" si="8444"/>
        <v>#REF!</v>
      </c>
      <c r="CB475" s="4" t="e" cm="1">
        <f t="array" aca="1" ref="CB475" ca="1">IF(AND(INDEX(INDIRECT(BY467),CA475,4)&gt;=$AB467,INDEX(INDIRECT(BY467),CA475,5)&gt;=$S467,INDEX(INDIRECT(BY467),CA475,6)&gt;=$R467),1,0)</f>
        <v>#REF!</v>
      </c>
      <c r="CC475" s="4" t="e">
        <f t="shared" ref="CC475" ca="1" si="8578">MATCH(1,OFFSET(CB467:CB478,CD474,0,COUNT(CB467:CB478)-CD474),0)</f>
        <v>#REF!</v>
      </c>
      <c r="CD475" s="4" t="e">
        <f t="shared" ca="1" si="8446"/>
        <v>#REF!</v>
      </c>
      <c r="CE475" s="692" t="str" cm="1">
        <f t="array" aca="1" ref="CE475" ca="1">IFERROR(VLOOKUP(INDEX(CA467:CA478,CD475),INDIRECT(BY467),2,FALSE),"----")</f>
        <v>----</v>
      </c>
      <c r="CF475" s="691" t="e">
        <f t="shared" ca="1" si="8447"/>
        <v>#N/A</v>
      </c>
      <c r="CG475" s="4" t="e">
        <f ca="1">IF(AND(INDEX(SSM,CF475,4)&gt;=$AB467,INDEX(SSM,CF475,5)&gt;=$S467,INDEX(SSM,CF475,6)&gt;=$R467),1,0)</f>
        <v>#N/A</v>
      </c>
      <c r="CH475" s="4" t="e">
        <f t="shared" ref="CH475" ca="1" si="8579">MATCH(1,OFFSET(CG467:CG478,CI474,0,COUNT(CG467:CG478)-CI474),0)</f>
        <v>#REF!</v>
      </c>
      <c r="CI475" s="4" t="e">
        <f t="shared" ca="1" si="8449"/>
        <v>#REF!</v>
      </c>
      <c r="CJ475" s="692" t="str">
        <f ca="1">IFERROR(IF(AD468="Nested Steel Stud (wood infill)",VLOOKUP(INDEX(CF467:CF478,CI475),SSW,2,FALSE),VLOOKUP(INDEX(CF467:CF478,CI475),SSM,2,FALSE)),"----")</f>
        <v>----</v>
      </c>
      <c r="CK475" s="691" t="e">
        <f t="shared" ca="1" si="8450"/>
        <v>#N/A</v>
      </c>
      <c r="CL475" s="4" t="e">
        <f ca="1">IF(AND(INDEX(WSM,CK475,4)&gt;=$AB467,INDEX(WSM,CK475,5)&gt;=$S467,INDEX(WSM,CK475,6)&gt;=$R467),1,0)</f>
        <v>#N/A</v>
      </c>
      <c r="CM475" s="4" t="e">
        <f t="shared" ref="CM475" ca="1" si="8580">MATCH(1,OFFSET(CL467:CL478,CN474,0,COUNT(CL467:CL478)-CN474),0)</f>
        <v>#REF!</v>
      </c>
      <c r="CN475" s="4" t="e">
        <f t="shared" ca="1" si="8452"/>
        <v>#REF!</v>
      </c>
      <c r="CO475" s="692" t="str">
        <f ca="1">IFERROR(VLOOKUP(INDEX(CK467:CK478,CN475),WSM,2,FALSE),"----")</f>
        <v>----</v>
      </c>
      <c r="CP475" s="691" t="e">
        <f t="shared" ca="1" si="8453"/>
        <v>#N/A</v>
      </c>
      <c r="CQ475" s="4" t="e">
        <f ca="1">IF(AND(INDEX(STM,CP475,4)&gt;=$AB467,INDEX(STM,CP475,5)&gt;=$S467,INDEX(STM,CP475,6)&gt;=$R467),1,0)</f>
        <v>#N/A</v>
      </c>
      <c r="CR475" s="4" t="e">
        <f t="shared" ref="CR475" ca="1" si="8581">MATCH(1,OFFSET(CQ467:CQ478,CS474,0,COUNT(CQ467:CQ478)-CS474),0)</f>
        <v>#REF!</v>
      </c>
      <c r="CS475" s="4" t="e">
        <f t="shared" ca="1" si="8455"/>
        <v>#REF!</v>
      </c>
      <c r="CT475" s="692" t="str">
        <f ca="1">IFERROR(VLOOKUP(INDEX(CP467:CP478,CS475),STM,2,FALSE),"----")</f>
        <v>----</v>
      </c>
      <c r="CU475" s="691" t="e">
        <f t="shared" ca="1" si="8456"/>
        <v>#N/A</v>
      </c>
      <c r="CV475" s="4" t="e">
        <f ca="1">IF(AND(INDEX(ELM,CU475,4)&gt;=$AB467,INDEX(ELM,CU475,5)&gt;=$S467,INDEX(ELM,CU475,6)&gt;=$R467),1,0)</f>
        <v>#N/A</v>
      </c>
      <c r="CW475" s="4" t="e">
        <f t="shared" ref="CW475" ca="1" si="8582">MATCH(1,OFFSET(CV467:CV478,CX474,0,COUNT(CV467:CV478)-CX474),0)</f>
        <v>#REF!</v>
      </c>
      <c r="CX475" s="4" t="e">
        <f t="shared" ca="1" si="8458"/>
        <v>#REF!</v>
      </c>
      <c r="CY475" s="692" t="str">
        <f ca="1">IFERROR(VLOOKUP(INDEX(CU467:CU478,CX475),ELM,2,FALSE),"----")</f>
        <v>----</v>
      </c>
      <c r="CZ475" s="691" t="e">
        <f t="shared" ca="1" si="8459"/>
        <v>#N/A</v>
      </c>
      <c r="DA475" s="4" t="e">
        <f ca="1">IF(LEFT($J467,7)="Clad Wo",IF(AND(INDEX(SPPWS,CZ475,4)&gt;=$AB467,INDEX(SPPWS,CZ475,5)&gt;=$S467,INDEX(SPPWS,CZ475,6)&gt;=$R467),1,0),IF(AND(INDEX(SPM,CZ475,4)&gt;=$AB467,INDEX(SPM,CZ475,5)&gt;=$S467,INDEX(SPM,CZ475,6)&gt;=$R467),1,0))</f>
        <v>#N/A</v>
      </c>
      <c r="DB475" s="4" t="e">
        <f t="shared" ref="DB475" ca="1" si="8583">MATCH(1,OFFSET(DA467:DA478,DC474,0,COUNT(DA467:DA478)-DC474),0)</f>
        <v>#REF!</v>
      </c>
      <c r="DC475" s="4" t="e">
        <f t="shared" ca="1" si="8461"/>
        <v>#REF!</v>
      </c>
      <c r="DD475" s="693" t="str">
        <f ca="1">IF(LEFT($J467,7)="Clad Wo",IFERROR(VLOOKUP(INDEX(CZ467:CZ478,DC475),SPPWS,2,FALSE),"----"),IFERROR(VLOOKUP(INDEX(CZ467:CZ478,DC475),SPM,2,FALSE),"----"))</f>
        <v>----</v>
      </c>
      <c r="DE475" s="691" t="e">
        <f t="shared" ca="1" si="8462"/>
        <v>#REF!</v>
      </c>
      <c r="DF475" s="4" t="e" cm="1">
        <f t="array" aca="1" ref="DF475" ca="1">IF(AND(INDEX(INDIRECT(BY467),DE475,4)&gt;=$AB473,INDEX(INDIRECT(BY467),DE475,5)&gt;=$S467,INDEX(INDIRECT(BY467),DE475,6)&gt;=$R467),1,0)</f>
        <v>#REF!</v>
      </c>
      <c r="DG475" s="4" t="e">
        <f t="shared" ref="DG475" ca="1" si="8584">MATCH(1,OFFSET(DF467:DF478,DH474,0,COUNT(DF467:DF478)-DH474),0)</f>
        <v>#REF!</v>
      </c>
      <c r="DH475" s="4" t="e">
        <f t="shared" ca="1" si="8464"/>
        <v>#REF!</v>
      </c>
      <c r="DI475" s="692" t="str" cm="1">
        <f t="array" aca="1" ref="DI475" ca="1">IFERROR(VLOOKUP(INDEX(DE467:DE478,DH475),INDIRECT(BY467),2,FALSE),"----")</f>
        <v>----</v>
      </c>
      <c r="DJ475" s="691" t="e">
        <f t="shared" ca="1" si="8465"/>
        <v>#N/A</v>
      </c>
      <c r="DK475" s="4" t="e">
        <f ca="1">IF(AND(INDEX(SSM,DJ475,4)&gt;=$AB473,INDEX(SSM,DJ475,5)&gt;=$S467,INDEX(SSM,DJ475,6)&gt;=$R467),1,0)</f>
        <v>#N/A</v>
      </c>
      <c r="DL475" s="4" t="e">
        <f t="shared" ref="DL475" ca="1" si="8585">MATCH(1,OFFSET(DK467:DK478,DM474,0,COUNT(DK467:DK478)-DM474),0)</f>
        <v>#REF!</v>
      </c>
      <c r="DM475" s="4" t="e">
        <f t="shared" ca="1" si="8467"/>
        <v>#REF!</v>
      </c>
      <c r="DN475" s="692" t="str">
        <f ca="1">IFERROR(IF(AD474="Nested Steel Stud (wood infill)",VLOOKUP(INDEX(DJ467:DJ478,DM475),SSW,2,FALSE),VLOOKUP(INDEX(DJ467:DJ478,DM475),SSM,2,FALSE)),"----")</f>
        <v>----</v>
      </c>
      <c r="DO475" s="691" t="e">
        <f t="shared" ca="1" si="8468"/>
        <v>#N/A</v>
      </c>
      <c r="DP475" s="4" t="e">
        <f ca="1">IF(AND(INDEX(WSM,DO475,4)&gt;=$AB473,INDEX(WSM,DO475,5)&gt;=$S467,INDEX(WSM,DO475,6)&gt;=$R467),1,0)</f>
        <v>#N/A</v>
      </c>
      <c r="DQ475" s="4" t="e">
        <f t="shared" ref="DQ475" ca="1" si="8586">MATCH(1,OFFSET(DP467:DP478,DR474,0,COUNT(DP467:DP478)-DR474),0)</f>
        <v>#REF!</v>
      </c>
      <c r="DR475" s="4" t="e">
        <f t="shared" ca="1" si="8470"/>
        <v>#REF!</v>
      </c>
      <c r="DS475" s="692" t="str">
        <f ca="1">IFERROR(VLOOKUP(INDEX(DO467:DO478,DR475),WSM,2,FALSE),"----")</f>
        <v>----</v>
      </c>
      <c r="DT475" s="691" t="e">
        <f t="shared" ca="1" si="8471"/>
        <v>#N/A</v>
      </c>
      <c r="DU475" s="4" t="e">
        <f ca="1">IF(AND(INDEX(STM,DT475,4)&gt;=$AB473,INDEX(STM,DT475,5)&gt;=$S467,INDEX(STM,DT475,6)&gt;=$R467),1,0)</f>
        <v>#N/A</v>
      </c>
      <c r="DV475" s="4" t="e">
        <f t="shared" ref="DV475" ca="1" si="8587">MATCH(1,OFFSET(DU467:DU478,DW474,0,COUNT(DU467:DU478)-DW474),0)</f>
        <v>#REF!</v>
      </c>
      <c r="DW475" s="4" t="e">
        <f t="shared" ca="1" si="8473"/>
        <v>#REF!</v>
      </c>
      <c r="DX475" s="692" t="str">
        <f ca="1">IFERROR(VLOOKUP(INDEX(DT467:DT478,DW475),STM,2,FALSE),"----")</f>
        <v>----</v>
      </c>
      <c r="DY475" s="691" t="e">
        <f t="shared" ca="1" si="8474"/>
        <v>#N/A</v>
      </c>
      <c r="DZ475" s="4" t="e">
        <f ca="1">IF(AND(INDEX(ELM,DY475,4)&gt;=$AB473,INDEX(ELM,DY475,5)&gt;=$S467,INDEX(ELM,DY475,6)&gt;=$R467),1,0)</f>
        <v>#N/A</v>
      </c>
      <c r="EA475" s="4" t="e">
        <f t="shared" ref="EA475" ca="1" si="8588">MATCH(1,OFFSET(DZ467:DZ478,EB474,0,COUNT(DZ467:DZ478)-EB474),0)</f>
        <v>#REF!</v>
      </c>
      <c r="EB475" s="4" t="e">
        <f t="shared" ca="1" si="8476"/>
        <v>#REF!</v>
      </c>
      <c r="EC475" s="692" t="str">
        <f ca="1">IFERROR(VLOOKUP(INDEX(DY467:DY478,EB475),ELM,2,FALSE),"----")</f>
        <v>----</v>
      </c>
      <c r="ED475" s="691" t="e">
        <f t="shared" ca="1" si="8477"/>
        <v>#N/A</v>
      </c>
      <c r="EE475" s="4" t="e">
        <f ca="1">IF(LEFT($J467,7)="Clad Wo",IF(AND(INDEX(SPPWS,ED475,4)&gt;=$AB473,INDEX(SPPWS,ED475,5)&gt;=$S467,INDEX(SPPWS,ED475,6)&gt;=$R467),1,0),IF(AND(INDEX(SPM,ED475,4)&gt;=$AB473,INDEX(SPM,ED475,5)&gt;=$S467,INDEX(SPM,ED475,6)&gt;=$R467),1,0))</f>
        <v>#N/A</v>
      </c>
      <c r="EF475" s="4" t="e">
        <f t="shared" ref="EF475" ca="1" si="8589">MATCH(1,OFFSET(EE467:EE478,EG474,0,COUNT(EE467:EE478)-EG474),0)</f>
        <v>#REF!</v>
      </c>
      <c r="EG475" s="4" t="e">
        <f t="shared" ca="1" si="8479"/>
        <v>#REF!</v>
      </c>
      <c r="EH475" s="692" t="str">
        <f ca="1">IF(LEFT($J467,7)="Clad Wo",IFERROR(VLOOKUP(INDEX(ED467:ED478,EG475),SPPWS,2,FALSE),"----"),IFERROR(VLOOKUP(INDEX(ED467:ED478,EG475),SPM,2,FALSE),"----"))</f>
        <v>----</v>
      </c>
    </row>
    <row r="476" spans="1:138" ht="15" customHeight="1" x14ac:dyDescent="0.25">
      <c r="A476" s="1085"/>
      <c r="B476" s="925"/>
      <c r="C476" s="926"/>
      <c r="D476" s="927"/>
      <c r="E476" s="995"/>
      <c r="F476" s="996"/>
      <c r="G476" s="997"/>
      <c r="H476" s="1062"/>
      <c r="I476" s="990"/>
      <c r="J476" s="902"/>
      <c r="K476" s="903"/>
      <c r="L476" s="1002"/>
      <c r="M476" s="923"/>
      <c r="N476" s="1042"/>
      <c r="O476" s="1018"/>
      <c r="P476" s="987"/>
      <c r="Q476" s="1015"/>
      <c r="R476" s="1012"/>
      <c r="S476" s="1006"/>
      <c r="T476" s="1007"/>
      <c r="U476" s="878"/>
      <c r="V476" s="881"/>
      <c r="W476" s="884"/>
      <c r="X476" s="884"/>
      <c r="Y476" s="887"/>
      <c r="Z476" s="887"/>
      <c r="AA476" s="887"/>
      <c r="AB476" s="1081"/>
      <c r="AC476" s="1078"/>
      <c r="AD476" s="1070" t="str">
        <f t="shared" si="7388"/>
        <v>Steel Tube</v>
      </c>
      <c r="AE476" s="1071"/>
      <c r="AF476" s="1052"/>
      <c r="AG476" s="1053"/>
      <c r="AH476" s="1053"/>
      <c r="AI476" s="1066"/>
      <c r="AJ476" s="1067"/>
      <c r="AK476" s="156" t="str">
        <f t="shared" ca="1" si="7482"/>
        <v/>
      </c>
      <c r="AL476" s="1059"/>
      <c r="AM476" s="343" t="str">
        <f ca="1">IFERROR(Q467/12*ROUND(VLOOKUP(AF476,OFFSET(STM,0,1),6,FALSE),2),"")</f>
        <v/>
      </c>
      <c r="AN476" t="str">
        <f t="shared" ca="1" si="7532"/>
        <v/>
      </c>
      <c r="AP476" s="122" t="str">
        <f t="shared" ref="AP476" si="8590">_xlfn.CONCAT(AR476,AS478)</f>
        <v/>
      </c>
      <c r="AQ476" s="683" t="str">
        <f t="shared" si="7698"/>
        <v/>
      </c>
      <c r="AR476" s="4" t="str">
        <f t="shared" si="7457"/>
        <v/>
      </c>
      <c r="AS476" s="4"/>
      <c r="AT476" s="697" t="str">
        <f>AL473</f>
        <v/>
      </c>
      <c r="AU476" s="694" t="e">
        <f t="shared" ca="1" si="7724"/>
        <v>#REF!</v>
      </c>
      <c r="AV476" s="686" t="str">
        <f ca="1">IFERROR(VLOOKUP(AU476,INDIRECT(AQ467),2,FALSE),"----")</f>
        <v>----</v>
      </c>
      <c r="AW476" s="694" t="e">
        <f t="shared" ca="1" si="7725"/>
        <v>#REF!</v>
      </c>
      <c r="AX476" s="686" t="str">
        <f ca="1">IFERROR(VLOOKUP(AW476,INDIRECT(AQ468),2,FALSE),"----")</f>
        <v>----</v>
      </c>
      <c r="AY476" s="694" t="e">
        <f t="shared" ca="1" si="7644"/>
        <v>#REF!</v>
      </c>
      <c r="AZ476" s="686" t="str">
        <f ca="1">IFERROR(VLOOKUP(AY476,INDIRECT(AQ469),2,FALSE),"----")</f>
        <v>----</v>
      </c>
      <c r="BA476" s="694" t="e">
        <f t="shared" ca="1" si="7645"/>
        <v>#REF!</v>
      </c>
      <c r="BB476" s="686" t="str">
        <f ca="1">IFERROR(VLOOKUP(BA476,INDIRECT(AQ470),2,FALSE),"----")</f>
        <v>----</v>
      </c>
      <c r="BC476" s="694" t="e">
        <f t="shared" ca="1" si="7728"/>
        <v>#REF!</v>
      </c>
      <c r="BD476" s="686" t="str">
        <f ca="1">IFERROR(VLOOKUP(BC476,INDIRECT(AQ471),2,FALSE),"----")</f>
        <v>----</v>
      </c>
      <c r="BE476" s="694" t="e">
        <f t="shared" ca="1" si="7729"/>
        <v>#REF!</v>
      </c>
      <c r="BF476" s="686" t="str">
        <f ca="1">IFERROR(VLOOKUP(BE476,INDIRECT(AQ472),2,FALSE),"----")</f>
        <v>----</v>
      </c>
      <c r="BG476" s="702" t="e">
        <f t="shared" ca="1" si="7730"/>
        <v>#REF!</v>
      </c>
      <c r="BH476" s="686" t="str">
        <f ca="1">IFERROR(VLOOKUP(BG476,INDIRECT(AQ473),2,FALSE),"----")</f>
        <v>----</v>
      </c>
      <c r="BI476" s="702" t="e">
        <f t="shared" ca="1" si="7731"/>
        <v>#REF!</v>
      </c>
      <c r="BJ476" s="686" t="str">
        <f ca="1">IFERROR(VLOOKUP(BI476,INDIRECT(AQ474),2,FALSE),"----")</f>
        <v>----</v>
      </c>
      <c r="BK476" s="702" t="e">
        <f t="shared" ca="1" si="7732"/>
        <v>#REF!</v>
      </c>
      <c r="BL476" s="686" t="str">
        <f ca="1">IFERROR(VLOOKUP(BK476,INDIRECT(AQ475),2,FALSE),"----")</f>
        <v>----</v>
      </c>
      <c r="BM476" s="702" t="e">
        <f t="shared" ca="1" si="7733"/>
        <v>#REF!</v>
      </c>
      <c r="BN476" s="686" t="str">
        <f ca="1">IFERROR(VLOOKUP(BM476,INDIRECT(AQ476),2,FALSE),"----")</f>
        <v>----</v>
      </c>
      <c r="BO476" s="702" t="e">
        <f t="shared" ca="1" si="7734"/>
        <v>#REF!</v>
      </c>
      <c r="BP476" s="686" t="str">
        <f ca="1">IFERROR(VLOOKUP(BO476,INDIRECT(AQ477),2,FALSE),"----")</f>
        <v>----</v>
      </c>
      <c r="BQ476" s="702" t="e">
        <f t="shared" ca="1" si="7735"/>
        <v>#REF!</v>
      </c>
      <c r="BR476" s="686" t="str">
        <f ca="1">IFERROR(VLOOKUP(BQ476,INDIRECT(AQ478),2,FALSE),"----")</f>
        <v>----</v>
      </c>
      <c r="BS476" s="695">
        <f>IF(AI476="",1,IF(COUNTIF(BN467:BN478,AI476)=0,2,1))</f>
        <v>1</v>
      </c>
      <c r="BT476" s="696">
        <f>IF(AF476="",1,IF(BN467=".",2,1))</f>
        <v>1</v>
      </c>
      <c r="BU476" s="706"/>
      <c r="BV476" s="155">
        <f ca="1">IF(COUNTIF(DX467:DX478,AF476)=0,IF(AF476&lt;&gt;"",0,1),1)</f>
        <v>1</v>
      </c>
      <c r="BW476" s="157">
        <f ca="1">IFERROR(MATCH(AF476,DX467:DX478,0),1)</f>
        <v>1</v>
      </c>
      <c r="BX476" s="769" t="e">
        <f t="shared" ref="BX476" si="8591">5*E467^3*W473/(384*X467)</f>
        <v>#VALUE!</v>
      </c>
      <c r="BY476" s="769" t="e">
        <f t="shared" ref="BY476" si="8592">E467^3*W473/(60*X467)</f>
        <v>#VALUE!</v>
      </c>
      <c r="BZ476" s="1110"/>
      <c r="CA476" s="691" t="e">
        <f t="shared" ca="1" si="8444"/>
        <v>#REF!</v>
      </c>
      <c r="CB476" s="4" t="e" cm="1">
        <f t="array" aca="1" ref="CB476" ca="1">IF(AND(INDEX(INDIRECT(BY467),CA476,4)&gt;=$AB467,INDEX(INDIRECT(BY467),CA476,5)&gt;=$S467,INDEX(INDIRECT(BY467),CA476,6)&gt;=$R467),1,0)</f>
        <v>#REF!</v>
      </c>
      <c r="CC476" s="4" t="e">
        <f t="shared" ref="CC476" ca="1" si="8593">MATCH(1,OFFSET(CB467:CB478,CD475,0,COUNT(CB467:CB478)-CD475),0)</f>
        <v>#REF!</v>
      </c>
      <c r="CD476" s="4" t="e">
        <f t="shared" ca="1" si="8446"/>
        <v>#REF!</v>
      </c>
      <c r="CE476" s="692" t="str" cm="1">
        <f t="array" aca="1" ref="CE476" ca="1">IFERROR(VLOOKUP(INDEX(CA467:CA478,CD476),INDIRECT(BY467),2,FALSE),"----")</f>
        <v>----</v>
      </c>
      <c r="CF476" s="691" t="e">
        <f t="shared" ca="1" si="8447"/>
        <v>#N/A</v>
      </c>
      <c r="CG476" s="4" t="e">
        <f ca="1">IF(AND(INDEX(SSM,CF476,4)&gt;=$AB467,INDEX(SSM,CF476,5)&gt;=$S467,INDEX(SSM,CF476,6)&gt;=$R467),1,0)</f>
        <v>#N/A</v>
      </c>
      <c r="CH476" s="4" t="e">
        <f t="shared" ref="CH476" ca="1" si="8594">MATCH(1,OFFSET(CG467:CG478,CI475,0,COUNT(CG467:CG478)-CI475),0)</f>
        <v>#REF!</v>
      </c>
      <c r="CI476" s="4" t="e">
        <f t="shared" ca="1" si="8449"/>
        <v>#REF!</v>
      </c>
      <c r="CJ476" s="692" t="str">
        <f ca="1">IFERROR(IF(AD468="Nested Steel Stud (wood infill)",VLOOKUP(INDEX(CF467:CF478,CI476),SSW,2,FALSE),VLOOKUP(INDEX(CF467:CF478,CI476),SSM,2,FALSE)),"----")</f>
        <v>----</v>
      </c>
      <c r="CK476" s="691" t="e">
        <f t="shared" ca="1" si="8450"/>
        <v>#N/A</v>
      </c>
      <c r="CL476" s="4" t="e">
        <f ca="1">IF(AND(INDEX(WSM,CK476,4)&gt;=$AB467,INDEX(WSM,CK476,5)&gt;=$S467,INDEX(WSM,CK476,6)&gt;=$R467),1,0)</f>
        <v>#N/A</v>
      </c>
      <c r="CM476" s="4" t="e">
        <f t="shared" ref="CM476" ca="1" si="8595">MATCH(1,OFFSET(CL467:CL478,CN475,0,COUNT(CL467:CL478)-CN475),0)</f>
        <v>#REF!</v>
      </c>
      <c r="CN476" s="4" t="e">
        <f t="shared" ca="1" si="8452"/>
        <v>#REF!</v>
      </c>
      <c r="CO476" s="692" t="str">
        <f ca="1">IFERROR(VLOOKUP(INDEX(CK467:CK478,CN476),WSM,2,FALSE),"----")</f>
        <v>----</v>
      </c>
      <c r="CP476" s="691" t="e">
        <f t="shared" ca="1" si="8453"/>
        <v>#N/A</v>
      </c>
      <c r="CQ476" s="4" t="e">
        <f ca="1">IF(AND(INDEX(STM,CP476,4)&gt;=$AB467,INDEX(STM,CP476,5)&gt;=$S467,INDEX(STM,CP476,6)&gt;=$R467),1,0)</f>
        <v>#N/A</v>
      </c>
      <c r="CR476" s="4" t="e">
        <f t="shared" ref="CR476" ca="1" si="8596">MATCH(1,OFFSET(CQ467:CQ478,CS475,0,COUNT(CQ467:CQ478)-CS475),0)</f>
        <v>#REF!</v>
      </c>
      <c r="CS476" s="4" t="e">
        <f t="shared" ca="1" si="8455"/>
        <v>#REF!</v>
      </c>
      <c r="CT476" s="692" t="str">
        <f ca="1">IFERROR(VLOOKUP(INDEX(CP467:CP478,CS476),STM,2,FALSE),"----")</f>
        <v>----</v>
      </c>
      <c r="CU476" s="691" t="e">
        <f t="shared" ca="1" si="8456"/>
        <v>#N/A</v>
      </c>
      <c r="CV476" s="4" t="e">
        <f ca="1">IF(AND(INDEX(ELM,CU476,4)&gt;=$AB467,INDEX(ELM,CU476,5)&gt;=$S467,INDEX(ELM,CU476,6)&gt;=$R467),1,0)</f>
        <v>#N/A</v>
      </c>
      <c r="CW476" s="4" t="e">
        <f t="shared" ref="CW476" ca="1" si="8597">MATCH(1,OFFSET(CV467:CV478,CX475,0,COUNT(CV467:CV478)-CX475),0)</f>
        <v>#REF!</v>
      </c>
      <c r="CX476" s="4" t="e">
        <f t="shared" ca="1" si="8458"/>
        <v>#REF!</v>
      </c>
      <c r="CY476" s="692" t="str">
        <f ca="1">IFERROR(VLOOKUP(INDEX(CU467:CU478,CX476),ELM,2,FALSE),"----")</f>
        <v>----</v>
      </c>
      <c r="CZ476" s="691" t="e">
        <f t="shared" ca="1" si="8459"/>
        <v>#N/A</v>
      </c>
      <c r="DA476" s="4" t="e">
        <f ca="1">IF(LEFT($J467,7)="Clad Wo",IF(AND(INDEX(SPPWS,CZ476,4)&gt;=$AB467,INDEX(SPPWS,CZ476,5)&gt;=$S467,INDEX(SPPWS,CZ476,6)&gt;=$R467),1,0),IF(AND(INDEX(SPM,CZ476,4)&gt;=$AB467,INDEX(SPM,CZ476,5)&gt;=$S467,INDEX(SPM,CZ476,6)&gt;=$R467),1,0))</f>
        <v>#N/A</v>
      </c>
      <c r="DB476" s="4" t="e">
        <f t="shared" ref="DB476" ca="1" si="8598">MATCH(1,OFFSET(DA467:DA478,DC475,0,COUNT(DA467:DA478)-DC475),0)</f>
        <v>#REF!</v>
      </c>
      <c r="DC476" s="4" t="e">
        <f t="shared" ca="1" si="8461"/>
        <v>#REF!</v>
      </c>
      <c r="DD476" s="693" t="str">
        <f ca="1">IF(LEFT($J467,7)="Clad Wo",IFERROR(VLOOKUP(INDEX(CZ467:CZ478,DC476),SPPWS,2,FALSE),"----"),IFERROR(VLOOKUP(INDEX(CZ467:CZ478,DC476),SPM,2,FALSE),"----"))</f>
        <v>----</v>
      </c>
      <c r="DE476" s="691" t="e">
        <f t="shared" ca="1" si="8462"/>
        <v>#REF!</v>
      </c>
      <c r="DF476" s="4" t="e" cm="1">
        <f t="array" aca="1" ref="DF476" ca="1">IF(AND(INDEX(INDIRECT(BY467),DE476,4)&gt;=$AB473,INDEX(INDIRECT(BY467),DE476,5)&gt;=$S467,INDEX(INDIRECT(BY467),DE476,6)&gt;=$R467),1,0)</f>
        <v>#REF!</v>
      </c>
      <c r="DG476" s="4" t="e">
        <f t="shared" ref="DG476" ca="1" si="8599">MATCH(1,OFFSET(DF467:DF478,DH475,0,COUNT(DF467:DF478)-DH475),0)</f>
        <v>#REF!</v>
      </c>
      <c r="DH476" s="4" t="e">
        <f t="shared" ca="1" si="8464"/>
        <v>#REF!</v>
      </c>
      <c r="DI476" s="692" t="str" cm="1">
        <f t="array" aca="1" ref="DI476" ca="1">IFERROR(VLOOKUP(INDEX(DE467:DE478,DH476),INDIRECT(BY467),2,FALSE),"----")</f>
        <v>----</v>
      </c>
      <c r="DJ476" s="691" t="e">
        <f t="shared" ca="1" si="8465"/>
        <v>#N/A</v>
      </c>
      <c r="DK476" s="4" t="e">
        <f ca="1">IF(AND(INDEX(SSM,DJ476,4)&gt;=$AB473,INDEX(SSM,DJ476,5)&gt;=$S467,INDEX(SSM,DJ476,6)&gt;=$R467),1,0)</f>
        <v>#N/A</v>
      </c>
      <c r="DL476" s="4" t="e">
        <f t="shared" ref="DL476" ca="1" si="8600">MATCH(1,OFFSET(DK467:DK478,DM475,0,COUNT(DK467:DK478)-DM475),0)</f>
        <v>#REF!</v>
      </c>
      <c r="DM476" s="4" t="e">
        <f t="shared" ca="1" si="8467"/>
        <v>#REF!</v>
      </c>
      <c r="DN476" s="692" t="str">
        <f ca="1">IFERROR(IF(AD474="Nested Steel Stud (wood infill)",VLOOKUP(INDEX(DJ467:DJ478,DM476),SSW,2,FALSE),VLOOKUP(INDEX(DJ467:DJ478,DM476),SSM,2,FALSE)),"----")</f>
        <v>----</v>
      </c>
      <c r="DO476" s="691" t="e">
        <f t="shared" ca="1" si="8468"/>
        <v>#N/A</v>
      </c>
      <c r="DP476" s="4" t="e">
        <f ca="1">IF(AND(INDEX(WSM,DO476,4)&gt;=$AB473,INDEX(WSM,DO476,5)&gt;=$S467,INDEX(WSM,DO476,6)&gt;=$R467),1,0)</f>
        <v>#N/A</v>
      </c>
      <c r="DQ476" s="4" t="e">
        <f t="shared" ref="DQ476" ca="1" si="8601">MATCH(1,OFFSET(DP467:DP478,DR475,0,COUNT(DP467:DP478)-DR475),0)</f>
        <v>#REF!</v>
      </c>
      <c r="DR476" s="4" t="e">
        <f t="shared" ca="1" si="8470"/>
        <v>#REF!</v>
      </c>
      <c r="DS476" s="692" t="str">
        <f ca="1">IFERROR(VLOOKUP(INDEX(DO467:DO478,DR476),WSM,2,FALSE),"----")</f>
        <v>----</v>
      </c>
      <c r="DT476" s="691" t="e">
        <f t="shared" ca="1" si="8471"/>
        <v>#N/A</v>
      </c>
      <c r="DU476" s="4" t="e">
        <f ca="1">IF(AND(INDEX(STM,DT476,4)&gt;=$AB473,INDEX(STM,DT476,5)&gt;=$S467,INDEX(STM,DT476,6)&gt;=$R467),1,0)</f>
        <v>#N/A</v>
      </c>
      <c r="DV476" s="4" t="e">
        <f t="shared" ref="DV476" ca="1" si="8602">MATCH(1,OFFSET(DU467:DU478,DW475,0,COUNT(DU467:DU478)-DW475),0)</f>
        <v>#REF!</v>
      </c>
      <c r="DW476" s="4" t="e">
        <f t="shared" ca="1" si="8473"/>
        <v>#REF!</v>
      </c>
      <c r="DX476" s="692" t="str">
        <f ca="1">IFERROR(VLOOKUP(INDEX(DT467:DT478,DW476),STM,2,FALSE),"----")</f>
        <v>----</v>
      </c>
      <c r="DY476" s="691" t="e">
        <f t="shared" ca="1" si="8474"/>
        <v>#N/A</v>
      </c>
      <c r="DZ476" s="4" t="e">
        <f ca="1">IF(AND(INDEX(ELM,DY476,4)&gt;=$AB473,INDEX(ELM,DY476,5)&gt;=$S467,INDEX(ELM,DY476,6)&gt;=$R467),1,0)</f>
        <v>#N/A</v>
      </c>
      <c r="EA476" s="4" t="e">
        <f t="shared" ref="EA476" ca="1" si="8603">MATCH(1,OFFSET(DZ467:DZ478,EB475,0,COUNT(DZ467:DZ478)-EB475),0)</f>
        <v>#REF!</v>
      </c>
      <c r="EB476" s="4" t="e">
        <f t="shared" ca="1" si="8476"/>
        <v>#REF!</v>
      </c>
      <c r="EC476" s="692" t="str">
        <f ca="1">IFERROR(VLOOKUP(INDEX(DY467:DY478,EB476),ELM,2,FALSE),"----")</f>
        <v>----</v>
      </c>
      <c r="ED476" s="691" t="e">
        <f t="shared" ca="1" si="8477"/>
        <v>#N/A</v>
      </c>
      <c r="EE476" s="4" t="e">
        <f ca="1">IF(LEFT($J467,7)="Clad Wo",IF(AND(INDEX(SPPWS,ED476,4)&gt;=$AB473,INDEX(SPPWS,ED476,5)&gt;=$S467,INDEX(SPPWS,ED476,6)&gt;=$R467),1,0),IF(AND(INDEX(SPM,ED476,4)&gt;=$AB473,INDEX(SPM,ED476,5)&gt;=$S467,INDEX(SPM,ED476,6)&gt;=$R467),1,0))</f>
        <v>#N/A</v>
      </c>
      <c r="EF476" s="4" t="e">
        <f t="shared" ref="EF476" ca="1" si="8604">MATCH(1,OFFSET(EE467:EE478,EG475,0,COUNT(EE467:EE478)-EG475),0)</f>
        <v>#REF!</v>
      </c>
      <c r="EG476" s="4" t="e">
        <f t="shared" ca="1" si="8479"/>
        <v>#REF!</v>
      </c>
      <c r="EH476" s="692" t="str">
        <f ca="1">IF(LEFT($J467,7)="Clad Wo",IFERROR(VLOOKUP(INDEX(ED467:ED478,EG476),SPPWS,2,FALSE),"----"),IFERROR(VLOOKUP(INDEX(ED467:ED478,EG476),SPM,2,FALSE),"----"))</f>
        <v>----</v>
      </c>
    </row>
    <row r="477" spans="1:138" ht="15" customHeight="1" x14ac:dyDescent="0.25">
      <c r="A477" s="1085"/>
      <c r="B477" s="925"/>
      <c r="C477" s="926"/>
      <c r="D477" s="927"/>
      <c r="E477" s="995"/>
      <c r="F477" s="996"/>
      <c r="G477" s="997"/>
      <c r="H477" s="1062"/>
      <c r="I477" s="990"/>
      <c r="J477" s="902"/>
      <c r="K477" s="903"/>
      <c r="L477" s="1002"/>
      <c r="M477" s="923"/>
      <c r="N477" s="1042"/>
      <c r="O477" s="1018"/>
      <c r="P477" s="987"/>
      <c r="Q477" s="1015"/>
      <c r="R477" s="1012"/>
      <c r="S477" s="1006"/>
      <c r="T477" s="1007"/>
      <c r="U477" s="878"/>
      <c r="V477" s="881"/>
      <c r="W477" s="884"/>
      <c r="X477" s="884"/>
      <c r="Y477" s="887"/>
      <c r="Z477" s="887"/>
      <c r="AA477" s="887"/>
      <c r="AB477" s="1081"/>
      <c r="AC477" s="1078"/>
      <c r="AD477" s="1070" t="str">
        <f t="shared" si="7388"/>
        <v>Engineered Lumber</v>
      </c>
      <c r="AE477" s="1071"/>
      <c r="AF477" s="1052"/>
      <c r="AG477" s="1053"/>
      <c r="AH477" s="1053"/>
      <c r="AI477" s="1068"/>
      <c r="AJ477" s="1069"/>
      <c r="AK477" s="154" t="str">
        <f t="shared" ca="1" si="7482"/>
        <v/>
      </c>
      <c r="AL477" s="1059"/>
      <c r="AM477" s="344" t="str">
        <f ca="1">IFERROR(Q467/12*ROUND(VLOOKUP(AF477,OFFSET(ELM,0,1),6,FALSE),2),"")</f>
        <v/>
      </c>
      <c r="AN477" t="str">
        <f t="shared" ca="1" si="7532"/>
        <v/>
      </c>
      <c r="AP477" s="122" t="str">
        <f t="shared" ref="AP477" si="8605">_xlfn.CONCAT(AR477,AS478)</f>
        <v/>
      </c>
      <c r="AQ477" s="683" t="str">
        <f t="shared" si="7698"/>
        <v/>
      </c>
      <c r="AR477" s="4" t="str">
        <f t="shared" si="7457"/>
        <v/>
      </c>
      <c r="AS477" s="4"/>
      <c r="AT477" s="697" t="str">
        <f>AL473</f>
        <v/>
      </c>
      <c r="AU477" s="694" t="e">
        <f t="shared" ca="1" si="7724"/>
        <v>#REF!</v>
      </c>
      <c r="AV477" s="698" t="str">
        <f ca="1">IFERROR(VLOOKUP(AU477,INDIRECT(AQ467),2,FALSE),"----")</f>
        <v>----</v>
      </c>
      <c r="AW477" s="694" t="e">
        <f t="shared" ca="1" si="7725"/>
        <v>#REF!</v>
      </c>
      <c r="AX477" s="698" t="str">
        <f ca="1">IFERROR(VLOOKUP(AW477,INDIRECT(AQ468),2,FALSE),"----")</f>
        <v>----</v>
      </c>
      <c r="AY477" s="694" t="e">
        <f t="shared" ca="1" si="7644"/>
        <v>#REF!</v>
      </c>
      <c r="AZ477" s="698" t="str">
        <f ca="1">IFERROR(VLOOKUP(AY477,INDIRECT(AQ469),2,FALSE),"----")</f>
        <v>----</v>
      </c>
      <c r="BA477" s="694" t="e">
        <f t="shared" ca="1" si="7645"/>
        <v>#REF!</v>
      </c>
      <c r="BB477" s="698" t="str">
        <f ca="1">IFERROR(VLOOKUP(BA477,INDIRECT(AQ470),2,FALSE),"----")</f>
        <v>----</v>
      </c>
      <c r="BC477" s="694" t="e">
        <f t="shared" ca="1" si="7728"/>
        <v>#REF!</v>
      </c>
      <c r="BD477" s="698" t="str">
        <f ca="1">IFERROR(VLOOKUP(BC477,INDIRECT(AQ471),2,FALSE),"----")</f>
        <v>----</v>
      </c>
      <c r="BE477" s="694" t="e">
        <f t="shared" ca="1" si="7729"/>
        <v>#REF!</v>
      </c>
      <c r="BF477" s="698" t="str">
        <f ca="1">IFERROR(VLOOKUP(BE477,INDIRECT(AQ472),2,FALSE),"----")</f>
        <v>----</v>
      </c>
      <c r="BG477" s="702" t="e">
        <f t="shared" ca="1" si="7730"/>
        <v>#REF!</v>
      </c>
      <c r="BH477" s="686" t="str">
        <f ca="1">IFERROR(VLOOKUP(BG477,INDIRECT(AQ473),2,FALSE),"----")</f>
        <v>----</v>
      </c>
      <c r="BI477" s="702" t="e">
        <f t="shared" ca="1" si="7731"/>
        <v>#REF!</v>
      </c>
      <c r="BJ477" s="686" t="str">
        <f ca="1">IFERROR(VLOOKUP(BI477,INDIRECT(AQ474),2,FALSE),"----")</f>
        <v>----</v>
      </c>
      <c r="BK477" s="702" t="e">
        <f t="shared" ca="1" si="7732"/>
        <v>#REF!</v>
      </c>
      <c r="BL477" s="686" t="str">
        <f ca="1">IFERROR(VLOOKUP(BK477,INDIRECT(AQ475),2,FALSE),"----")</f>
        <v>----</v>
      </c>
      <c r="BM477" s="702" t="e">
        <f t="shared" ca="1" si="7733"/>
        <v>#REF!</v>
      </c>
      <c r="BN477" s="686" t="str">
        <f ca="1">IFERROR(VLOOKUP(BM477,INDIRECT(AQ476),2,FALSE),"----")</f>
        <v>----</v>
      </c>
      <c r="BO477" s="702" t="e">
        <f t="shared" ca="1" si="7734"/>
        <v>#REF!</v>
      </c>
      <c r="BP477" s="686" t="str">
        <f ca="1">IFERROR(VLOOKUP(BO477,INDIRECT(AQ477),2,FALSE),"----")</f>
        <v>----</v>
      </c>
      <c r="BQ477" s="702" t="e">
        <f t="shared" ca="1" si="7735"/>
        <v>#REF!</v>
      </c>
      <c r="BR477" s="686" t="str">
        <f ca="1">IFERROR(VLOOKUP(BQ477,INDIRECT(AQ478),2,FALSE),"----")</f>
        <v>----</v>
      </c>
      <c r="BS477" s="695">
        <f>IF(AI477="",1,IF(COUNTIF(BP467:BP478,AI477)=0,2,1))</f>
        <v>1</v>
      </c>
      <c r="BT477" s="696">
        <f>IF(AF477="",1,IF(BP467=".",2,1))</f>
        <v>1</v>
      </c>
      <c r="BU477" s="706"/>
      <c r="BV477" s="155">
        <f ca="1">IF(COUNTIF(EC467:EC478,AF477)=0,IF(AF477&lt;&gt;"",0,1),1)</f>
        <v>1</v>
      </c>
      <c r="BW477" s="157">
        <f ca="1">IFERROR(MATCH(AF477,EC467:EC478,0),1)</f>
        <v>1</v>
      </c>
      <c r="BX477" s="769"/>
      <c r="BY477" s="769"/>
      <c r="BZ477" s="1110"/>
      <c r="CA477" s="691" t="e">
        <f t="shared" ca="1" si="8444"/>
        <v>#REF!</v>
      </c>
      <c r="CB477" s="4" t="e" cm="1">
        <f t="array" aca="1" ref="CB477" ca="1">IF(AND(INDEX(INDIRECT(BY467),CA477,4)&gt;=$AB467,INDEX(INDIRECT(BY467),CA477,5)&gt;=$S467,INDEX(INDIRECT(BY467),CA477,6)&gt;=$R467),1,0)</f>
        <v>#REF!</v>
      </c>
      <c r="CC477" s="4" t="e">
        <f t="shared" ref="CC477" ca="1" si="8606">MATCH(1,OFFSET(CB467:CB478,CD476,0,COUNT(CB467:CB478)-CD476),0)</f>
        <v>#REF!</v>
      </c>
      <c r="CD477" s="4" t="e">
        <f t="shared" ca="1" si="8446"/>
        <v>#REF!</v>
      </c>
      <c r="CE477" s="692" t="str" cm="1">
        <f t="array" aca="1" ref="CE477" ca="1">IFERROR(VLOOKUP(INDEX(CA467:CA478,CD477),INDIRECT(BY467),2,FALSE),"----")</f>
        <v>----</v>
      </c>
      <c r="CF477" s="691" t="e">
        <f t="shared" ca="1" si="8447"/>
        <v>#N/A</v>
      </c>
      <c r="CG477" s="4" t="e">
        <f ca="1">IF(AND(INDEX(SSM,CF477,4)&gt;=$AB467,INDEX(SSM,CF477,5)&gt;=$S467,INDEX(SSM,CF477,6)&gt;=$R467),1,0)</f>
        <v>#N/A</v>
      </c>
      <c r="CH477" s="4" t="e">
        <f t="shared" ref="CH477" ca="1" si="8607">MATCH(1,OFFSET(CG467:CG478,CI476,0,COUNT(CG467:CG478)-CI476),0)</f>
        <v>#REF!</v>
      </c>
      <c r="CI477" s="4" t="e">
        <f t="shared" ca="1" si="8449"/>
        <v>#REF!</v>
      </c>
      <c r="CJ477" s="692" t="str">
        <f ca="1">IFERROR(IF(AD468="Nested Steel Stud (wood infill)",VLOOKUP(INDEX(CF467:CF478,CI477),SSW,2,FALSE),VLOOKUP(INDEX(CF467:CF478,CI477),SSM,2,FALSE)),"----")</f>
        <v>----</v>
      </c>
      <c r="CK477" s="691" t="e">
        <f t="shared" ca="1" si="8450"/>
        <v>#N/A</v>
      </c>
      <c r="CL477" s="4" t="e">
        <f ca="1">IF(AND(INDEX(WSM,CK477,4)&gt;=$AB467,INDEX(WSM,CK477,5)&gt;=$S467,INDEX(WSM,CK477,6)&gt;=$R467),1,0)</f>
        <v>#N/A</v>
      </c>
      <c r="CM477" s="4" t="e">
        <f t="shared" ref="CM477" ca="1" si="8608">MATCH(1,OFFSET(CL467:CL478,CN476,0,COUNT(CL467:CL478)-CN476),0)</f>
        <v>#REF!</v>
      </c>
      <c r="CN477" s="4" t="e">
        <f t="shared" ca="1" si="8452"/>
        <v>#REF!</v>
      </c>
      <c r="CO477" s="692" t="str">
        <f ca="1">IFERROR(VLOOKUP(INDEX(CK467:CK478,CN477),WSM,2,FALSE),"----")</f>
        <v>----</v>
      </c>
      <c r="CP477" s="691" t="e">
        <f t="shared" ca="1" si="8453"/>
        <v>#N/A</v>
      </c>
      <c r="CQ477" s="4" t="e">
        <f ca="1">IF(AND(INDEX(STM,CP477,4)&gt;=$AB467,INDEX(STM,CP477,5)&gt;=$S467,INDEX(STM,CP477,6)&gt;=$R467),1,0)</f>
        <v>#N/A</v>
      </c>
      <c r="CR477" s="4" t="e">
        <f t="shared" ref="CR477" ca="1" si="8609">MATCH(1,OFFSET(CQ467:CQ478,CS476,0,COUNT(CQ467:CQ478)-CS476),0)</f>
        <v>#REF!</v>
      </c>
      <c r="CS477" s="4" t="e">
        <f t="shared" ca="1" si="8455"/>
        <v>#REF!</v>
      </c>
      <c r="CT477" s="692" t="str">
        <f ca="1">IFERROR(VLOOKUP(INDEX(CP467:CP478,CS477),STM,2,FALSE),"----")</f>
        <v>----</v>
      </c>
      <c r="CU477" s="691" t="e">
        <f t="shared" ca="1" si="8456"/>
        <v>#N/A</v>
      </c>
      <c r="CV477" s="4" t="e">
        <f ca="1">IF(AND(INDEX(ELM,CU477,4)&gt;=$AB467,INDEX(ELM,CU477,5)&gt;=$S467,INDEX(ELM,CU477,6)&gt;=$R467),1,0)</f>
        <v>#N/A</v>
      </c>
      <c r="CW477" s="4" t="e">
        <f t="shared" ref="CW477" ca="1" si="8610">MATCH(1,OFFSET(CV467:CV478,CX476,0,COUNT(CV467:CV478)-CX476),0)</f>
        <v>#REF!</v>
      </c>
      <c r="CX477" s="4" t="e">
        <f t="shared" ca="1" si="8458"/>
        <v>#REF!</v>
      </c>
      <c r="CY477" s="692" t="str">
        <f ca="1">IFERROR(VLOOKUP(INDEX(CU467:CU478,CX477),ELM,2,FALSE),"----")</f>
        <v>----</v>
      </c>
      <c r="CZ477" s="691" t="e">
        <f t="shared" ca="1" si="8459"/>
        <v>#N/A</v>
      </c>
      <c r="DA477" s="4" t="e">
        <f ca="1">IF(LEFT($J467,7)="Clad Wo",IF(AND(INDEX(SPPWS,CZ477,4)&gt;=$AB467,INDEX(SPPWS,CZ477,5)&gt;=$S467,INDEX(SPPWS,CZ477,6)&gt;=$R467),1,0),IF(AND(INDEX(SPM,CZ477,4)&gt;=$AB467,INDEX(SPM,CZ477,5)&gt;=$S467,INDEX(SPM,CZ477,6)&gt;=$R467),1,0))</f>
        <v>#N/A</v>
      </c>
      <c r="DB477" s="4" t="e">
        <f t="shared" ref="DB477" ca="1" si="8611">MATCH(1,OFFSET(DA467:DA478,DC476,0,COUNT(DA467:DA478)-DC476),0)</f>
        <v>#REF!</v>
      </c>
      <c r="DC477" s="4" t="e">
        <f t="shared" ca="1" si="8461"/>
        <v>#REF!</v>
      </c>
      <c r="DD477" s="693" t="str">
        <f ca="1">IF(LEFT($J467,7)="Clad Wo",IFERROR(VLOOKUP(INDEX(CZ467:CZ478,DC477),SPPWS,2,FALSE),"----"),IFERROR(VLOOKUP(INDEX(CZ467:CZ478,DC477),SPM,2,FALSE),"----"))</f>
        <v>----</v>
      </c>
      <c r="DE477" s="691" t="e">
        <f t="shared" ca="1" si="8462"/>
        <v>#REF!</v>
      </c>
      <c r="DF477" s="4" t="e" cm="1">
        <f t="array" aca="1" ref="DF477" ca="1">IF(AND(INDEX(INDIRECT(BY467),DE477,4)&gt;=$AB473,INDEX(INDIRECT(BY467),DE477,5)&gt;=$S467,INDEX(INDIRECT(BY467),DE477,6)&gt;=$R467),1,0)</f>
        <v>#REF!</v>
      </c>
      <c r="DG477" s="4" t="e">
        <f t="shared" ref="DG477" ca="1" si="8612">MATCH(1,OFFSET(DF467:DF478,DH476,0,COUNT(DF467:DF478)-DH476),0)</f>
        <v>#REF!</v>
      </c>
      <c r="DH477" s="4" t="e">
        <f t="shared" ca="1" si="8464"/>
        <v>#REF!</v>
      </c>
      <c r="DI477" s="692" t="str" cm="1">
        <f t="array" aca="1" ref="DI477" ca="1">IFERROR(VLOOKUP(INDEX(DE467:DE478,DH477),INDIRECT(BY467),2,FALSE),"----")</f>
        <v>----</v>
      </c>
      <c r="DJ477" s="691" t="e">
        <f t="shared" ca="1" si="8465"/>
        <v>#N/A</v>
      </c>
      <c r="DK477" s="4" t="e">
        <f ca="1">IF(AND(INDEX(SSM,DJ477,4)&gt;=$AB473,INDEX(SSM,DJ477,5)&gt;=$S467,INDEX(SSM,DJ477,6)&gt;=$R467),1,0)</f>
        <v>#N/A</v>
      </c>
      <c r="DL477" s="4" t="e">
        <f t="shared" ref="DL477" ca="1" si="8613">MATCH(1,OFFSET(DK467:DK478,DM476,0,COUNT(DK467:DK478)-DM476),0)</f>
        <v>#REF!</v>
      </c>
      <c r="DM477" s="4" t="e">
        <f t="shared" ca="1" si="8467"/>
        <v>#REF!</v>
      </c>
      <c r="DN477" s="692" t="str">
        <f ca="1">IFERROR(IF(AD474="Nested Steel Stud (wood infill)",VLOOKUP(INDEX(DJ467:DJ478,DM477),SSW,2,FALSE),VLOOKUP(INDEX(DJ467:DJ478,DM477),SSM,2,FALSE)),"----")</f>
        <v>----</v>
      </c>
      <c r="DO477" s="691" t="e">
        <f t="shared" ca="1" si="8468"/>
        <v>#N/A</v>
      </c>
      <c r="DP477" s="4" t="e">
        <f ca="1">IF(AND(INDEX(WSM,DO477,4)&gt;=$AB473,INDEX(WSM,DO477,5)&gt;=$S467,INDEX(WSM,DO477,6)&gt;=$R467),1,0)</f>
        <v>#N/A</v>
      </c>
      <c r="DQ477" s="4" t="e">
        <f t="shared" ref="DQ477" ca="1" si="8614">MATCH(1,OFFSET(DP467:DP478,DR476,0,COUNT(DP467:DP478)-DR476),0)</f>
        <v>#REF!</v>
      </c>
      <c r="DR477" s="4" t="e">
        <f t="shared" ca="1" si="8470"/>
        <v>#REF!</v>
      </c>
      <c r="DS477" s="692" t="str">
        <f ca="1">IFERROR(VLOOKUP(INDEX(DO467:DO478,DR477),WSM,2,FALSE),"----")</f>
        <v>----</v>
      </c>
      <c r="DT477" s="691" t="e">
        <f t="shared" ca="1" si="8471"/>
        <v>#N/A</v>
      </c>
      <c r="DU477" s="4" t="e">
        <f ca="1">IF(AND(INDEX(STM,DT477,4)&gt;=$AB473,INDEX(STM,DT477,5)&gt;=$S467,INDEX(STM,DT477,6)&gt;=$R467),1,0)</f>
        <v>#N/A</v>
      </c>
      <c r="DV477" s="4" t="e">
        <f t="shared" ref="DV477" ca="1" si="8615">MATCH(1,OFFSET(DU467:DU478,DW476,0,COUNT(DU467:DU478)-DW476),0)</f>
        <v>#REF!</v>
      </c>
      <c r="DW477" s="4" t="e">
        <f t="shared" ca="1" si="8473"/>
        <v>#REF!</v>
      </c>
      <c r="DX477" s="692" t="str">
        <f ca="1">IFERROR(VLOOKUP(INDEX(DT467:DT478,DW477),STM,2,FALSE),"----")</f>
        <v>----</v>
      </c>
      <c r="DY477" s="691" t="e">
        <f t="shared" ca="1" si="8474"/>
        <v>#N/A</v>
      </c>
      <c r="DZ477" s="4" t="e">
        <f ca="1">IF(AND(INDEX(ELM,DY477,4)&gt;=$AB473,INDEX(ELM,DY477,5)&gt;=$S467,INDEX(ELM,DY477,6)&gt;=$R467),1,0)</f>
        <v>#N/A</v>
      </c>
      <c r="EA477" s="4" t="e">
        <f t="shared" ref="EA477" ca="1" si="8616">MATCH(1,OFFSET(DZ467:DZ478,EB476,0,COUNT(DZ467:DZ478)-EB476),0)</f>
        <v>#REF!</v>
      </c>
      <c r="EB477" s="4" t="e">
        <f t="shared" ca="1" si="8476"/>
        <v>#REF!</v>
      </c>
      <c r="EC477" s="692" t="str">
        <f ca="1">IFERROR(VLOOKUP(INDEX(DY467:DY478,EB477),ELM,2,FALSE),"----")</f>
        <v>----</v>
      </c>
      <c r="ED477" s="691" t="e">
        <f t="shared" ca="1" si="8477"/>
        <v>#N/A</v>
      </c>
      <c r="EE477" s="4" t="e">
        <f ca="1">IF(LEFT($J467,7)="Clad Wo",IF(AND(INDEX(SPPWS,ED477,4)&gt;=$AB473,INDEX(SPPWS,ED477,5)&gt;=$S467,INDEX(SPPWS,ED477,6)&gt;=$R467),1,0),IF(AND(INDEX(SPM,ED477,4)&gt;=$AB473,INDEX(SPM,ED477,5)&gt;=$S467,INDEX(SPM,ED477,6)&gt;=$R467),1,0))</f>
        <v>#N/A</v>
      </c>
      <c r="EF477" s="4" t="e">
        <f t="shared" ref="EF477" ca="1" si="8617">MATCH(1,OFFSET(EE467:EE478,EG476,0,COUNT(EE467:EE478)-EG476),0)</f>
        <v>#REF!</v>
      </c>
      <c r="EG477" s="4" t="e">
        <f t="shared" ca="1" si="8479"/>
        <v>#REF!</v>
      </c>
      <c r="EH477" s="692" t="str">
        <f ca="1">IF(LEFT($J467,7)="Clad Wo",IFERROR(VLOOKUP(INDEX(ED467:ED478,EG477),SPPWS,2,FALSE),"----"),IFERROR(VLOOKUP(INDEX(ED467:ED478,EG477),SPM,2,FALSE),"----"))</f>
        <v>----</v>
      </c>
    </row>
    <row r="478" spans="1:138" ht="15" customHeight="1" thickBot="1" x14ac:dyDescent="0.3">
      <c r="A478" s="1085"/>
      <c r="B478" s="928"/>
      <c r="C478" s="929"/>
      <c r="D478" s="930"/>
      <c r="E478" s="998"/>
      <c r="F478" s="999"/>
      <c r="G478" s="1000"/>
      <c r="H478" s="1063"/>
      <c r="I478" s="991"/>
      <c r="J478" s="904"/>
      <c r="K478" s="905"/>
      <c r="L478" s="1003"/>
      <c r="M478" s="1065"/>
      <c r="N478" s="1043"/>
      <c r="O478" s="1019"/>
      <c r="P478" s="988"/>
      <c r="Q478" s="1016"/>
      <c r="R478" s="1013"/>
      <c r="S478" s="1008"/>
      <c r="T478" s="1009"/>
      <c r="U478" s="879"/>
      <c r="V478" s="882"/>
      <c r="W478" s="885"/>
      <c r="X478" s="885"/>
      <c r="Y478" s="888"/>
      <c r="Z478" s="888"/>
      <c r="AA478" s="888"/>
      <c r="AB478" s="1082"/>
      <c r="AC478" s="1087"/>
      <c r="AD478" s="1098" t="str">
        <f t="shared" ref="AD478" si="8618">IF(LEFT(J467,7)="Clad Wo","Pella Wood Spr / Steel Pte","Steel Plate")</f>
        <v>Steel Plate</v>
      </c>
      <c r="AE478" s="1099"/>
      <c r="AF478" s="1096"/>
      <c r="AG478" s="1097"/>
      <c r="AH478" s="1097"/>
      <c r="AI478" s="1094"/>
      <c r="AJ478" s="1095"/>
      <c r="AK478" s="163" t="str">
        <f t="shared" ca="1" si="7482"/>
        <v/>
      </c>
      <c r="AL478" s="1060"/>
      <c r="AM478" s="345" t="str">
        <f ca="1">IFERROR(Q467/12*ROUND(VLOOKUP(AF478,OFFSET(SPM,0,1),6,FALSE),2),"")</f>
        <v/>
      </c>
      <c r="AN478" t="str">
        <f t="shared" ca="1" si="7532"/>
        <v/>
      </c>
      <c r="AP478" s="699" t="str">
        <f t="shared" ref="AP478" si="8619">_xlfn.CONCAT(AR478,AS478)</f>
        <v/>
      </c>
      <c r="AQ478" s="700" t="str">
        <f t="shared" si="7698"/>
        <v/>
      </c>
      <c r="AR478" s="160" t="str">
        <f t="shared" si="7457"/>
        <v/>
      </c>
      <c r="AS478" s="160" t="str">
        <f>IFERROR(VLOOKUP(J475, WallType,2,FALSE),"")</f>
        <v/>
      </c>
      <c r="AT478" s="707" t="str">
        <f>AL473</f>
        <v/>
      </c>
      <c r="AU478" s="708" t="e">
        <f t="shared" ca="1" si="7724"/>
        <v>#REF!</v>
      </c>
      <c r="AV478" s="709" t="str">
        <f ca="1">IFERROR(VLOOKUP(AU478,INDIRECT(AQ467),2,FALSE),"----")</f>
        <v>----</v>
      </c>
      <c r="AW478" s="710" t="e">
        <f t="shared" ca="1" si="7725"/>
        <v>#REF!</v>
      </c>
      <c r="AX478" s="709" t="str">
        <f ca="1">IFERROR(VLOOKUP(AW478,INDIRECT(AQ468),2,FALSE),"----")</f>
        <v>----</v>
      </c>
      <c r="AY478" s="710" t="e">
        <f t="shared" ca="1" si="7644"/>
        <v>#REF!</v>
      </c>
      <c r="AZ478" s="709" t="str">
        <f ca="1">IFERROR(VLOOKUP(AY478,INDIRECT(AQ469),2,FALSE),"----")</f>
        <v>----</v>
      </c>
      <c r="BA478" s="710" t="e">
        <f t="shared" ca="1" si="7645"/>
        <v>#REF!</v>
      </c>
      <c r="BB478" s="709" t="str">
        <f ca="1">IFERROR(VLOOKUP(BA478,INDIRECT(AQ470),2,FALSE),"----")</f>
        <v>----</v>
      </c>
      <c r="BC478" s="710" t="e">
        <f t="shared" ca="1" si="7728"/>
        <v>#REF!</v>
      </c>
      <c r="BD478" s="709" t="str">
        <f ca="1">IFERROR(VLOOKUP(BC478,INDIRECT(AQ471),2,FALSE),"----")</f>
        <v>----</v>
      </c>
      <c r="BE478" s="710" t="e">
        <f t="shared" ca="1" si="7729"/>
        <v>#REF!</v>
      </c>
      <c r="BF478" s="709" t="str">
        <f ca="1">IFERROR(VLOOKUP(BE478,INDIRECT(AQ472),2,FALSE),"----")</f>
        <v>----</v>
      </c>
      <c r="BG478" s="710" t="e">
        <f t="shared" ca="1" si="7730"/>
        <v>#REF!</v>
      </c>
      <c r="BH478" s="711" t="str">
        <f ca="1">IFERROR(VLOOKUP(BG478,INDIRECT(AQ473),2,FALSE),"----")</f>
        <v>----</v>
      </c>
      <c r="BI478" s="710" t="e">
        <f t="shared" ca="1" si="7731"/>
        <v>#REF!</v>
      </c>
      <c r="BJ478" s="711" t="str">
        <f ca="1">IFERROR(VLOOKUP(BI478,INDIRECT(AQ474),2,FALSE),"----")</f>
        <v>----</v>
      </c>
      <c r="BK478" s="710" t="e">
        <f t="shared" ca="1" si="7732"/>
        <v>#REF!</v>
      </c>
      <c r="BL478" s="711" t="str">
        <f ca="1">IFERROR(VLOOKUP(BK478,INDIRECT(AQ475),2,FALSE),"----")</f>
        <v>----</v>
      </c>
      <c r="BM478" s="710" t="e">
        <f t="shared" ca="1" si="7733"/>
        <v>#REF!</v>
      </c>
      <c r="BN478" s="711" t="str">
        <f ca="1">IFERROR(VLOOKUP(BM478,INDIRECT(AQ476),2,FALSE),"----")</f>
        <v>----</v>
      </c>
      <c r="BO478" s="710" t="e">
        <f t="shared" ca="1" si="7734"/>
        <v>#REF!</v>
      </c>
      <c r="BP478" s="711" t="str">
        <f ca="1">IFERROR(VLOOKUP(BO478,INDIRECT(AQ477),2,FALSE),"----")</f>
        <v>----</v>
      </c>
      <c r="BQ478" s="710" t="e">
        <f t="shared" ca="1" si="7735"/>
        <v>#REF!</v>
      </c>
      <c r="BR478" s="712" t="str">
        <f ca="1">IFERROR(VLOOKUP(BQ478,INDIRECT(AQ478),2,FALSE),"----")</f>
        <v>----</v>
      </c>
      <c r="BS478" s="695">
        <f>IF(AI478="",1,IF(COUNTIF(BR467:BR478,AI478)=0,2,1))</f>
        <v>1</v>
      </c>
      <c r="BT478" s="713">
        <f>IF(AF478="",1,IF(BR467=".",2,1))</f>
        <v>1</v>
      </c>
      <c r="BV478" s="155">
        <f ca="1">IF(COUNTIF(EH467:EH478,AF478)=0,IF(AF478&lt;&gt;"",0,1),1)</f>
        <v>1</v>
      </c>
      <c r="BW478" s="157">
        <f ca="1">IFERROR(MATCH(AF478,EH467:EH478,0),1)</f>
        <v>1</v>
      </c>
      <c r="BX478" s="718"/>
      <c r="BY478" s="777"/>
      <c r="BZ478" s="1110"/>
      <c r="CA478" s="714" t="e">
        <f t="shared" ca="1" si="8444"/>
        <v>#REF!</v>
      </c>
      <c r="CB478" s="715" t="e" cm="1">
        <f t="array" aca="1" ref="CB478" ca="1">IF(AND(INDEX(INDIRECT(BY467),CA478,4)&gt;=$AB467,INDEX(INDIRECT(BY467),CA478,5)&gt;=$S467,INDEX(INDIRECT(BY467),CA478,6)&gt;=$R467),1,0)</f>
        <v>#REF!</v>
      </c>
      <c r="CC478" s="715" t="e">
        <f t="shared" ref="CC478" ca="1" si="8620">MATCH(1,OFFSET(CB467:CB478,CD477,0,COUNT(CB467:CB478)-CD477),0)</f>
        <v>#REF!</v>
      </c>
      <c r="CD478" s="715" t="e">
        <f t="shared" ca="1" si="8446"/>
        <v>#REF!</v>
      </c>
      <c r="CE478" s="716" t="str" cm="1">
        <f t="array" aca="1" ref="CE478" ca="1">IFERROR(VLOOKUP(INDEX(CA467:CA478,CD478),INDIRECT(BY467),2,FALSE),"----")</f>
        <v>----</v>
      </c>
      <c r="CF478" s="714" t="e">
        <f t="shared" ca="1" si="8447"/>
        <v>#N/A</v>
      </c>
      <c r="CG478" s="715" t="e">
        <f ca="1">IF(AND(INDEX(SSM,CF478,4)&gt;=$AB467,INDEX(SSM,CF478,5)&gt;=$S467,INDEX(SSM,CF478,6)&gt;=$R467),1,0)</f>
        <v>#N/A</v>
      </c>
      <c r="CH478" s="715" t="e">
        <f t="shared" ref="CH478" ca="1" si="8621">MATCH(1,OFFSET(CG467:CG478,CI477,0,COUNT(CG467:CG478)-CI477),0)</f>
        <v>#REF!</v>
      </c>
      <c r="CI478" s="715" t="e">
        <f t="shared" ca="1" si="8449"/>
        <v>#REF!</v>
      </c>
      <c r="CJ478" s="716" t="str">
        <f ca="1">IFERROR(IF(AD468="Nested Steel Stud (wood infill)",VLOOKUP(INDEX(CF467:CF478,CI478),SSW,2,FALSE),VLOOKUP(INDEX(CF467:CF478,CI478),SSM,2,FALSE)),"----")</f>
        <v>----</v>
      </c>
      <c r="CK478" s="714" t="e">
        <f t="shared" ca="1" si="8450"/>
        <v>#N/A</v>
      </c>
      <c r="CL478" s="715" t="e">
        <f ca="1">IF(AND(INDEX(WSM,CK478,4)&gt;=$AB467,INDEX(WSM,CK478,5)&gt;=$S467,INDEX(WSM,CK478,6)&gt;=$R467),1,0)</f>
        <v>#N/A</v>
      </c>
      <c r="CM478" s="715" t="e">
        <f t="shared" ref="CM478" ca="1" si="8622">MATCH(1,OFFSET(CL467:CL478,CN477,0,COUNT(CL467:CL478)-CN477),0)</f>
        <v>#REF!</v>
      </c>
      <c r="CN478" s="715" t="e">
        <f t="shared" ca="1" si="8452"/>
        <v>#REF!</v>
      </c>
      <c r="CO478" s="716" t="str">
        <f ca="1">IFERROR(VLOOKUP(INDEX(CK467:CK478,CN478),WSM,2,FALSE),"----")</f>
        <v>----</v>
      </c>
      <c r="CP478" s="714" t="e">
        <f t="shared" ca="1" si="8453"/>
        <v>#N/A</v>
      </c>
      <c r="CQ478" s="715" t="e">
        <f ca="1">IF(AND(INDEX(STM,CP478,4)&gt;=$AB467,INDEX(STM,CP478,5)&gt;=$S467,INDEX(STM,CP478,6)&gt;=$R467),1,0)</f>
        <v>#N/A</v>
      </c>
      <c r="CR478" s="715" t="e">
        <f t="shared" ref="CR478" ca="1" si="8623">MATCH(1,OFFSET(CQ467:CQ478,CS477,0,COUNT(CQ467:CQ478)-CS477),0)</f>
        <v>#REF!</v>
      </c>
      <c r="CS478" s="715" t="e">
        <f t="shared" ca="1" si="8455"/>
        <v>#REF!</v>
      </c>
      <c r="CT478" s="716" t="str">
        <f ca="1">IFERROR(VLOOKUP(INDEX(CP467:CP478,CS478),STM,2,FALSE),"----")</f>
        <v>----</v>
      </c>
      <c r="CU478" s="714" t="e">
        <f t="shared" ca="1" si="8456"/>
        <v>#N/A</v>
      </c>
      <c r="CV478" s="715" t="e">
        <f ca="1">IF(AND(INDEX(ELM,CU478,4)&gt;=$AB467,INDEX(ELM,CU478,5)&gt;=$S467,INDEX(ELM,CU478,6)&gt;=$R467),1,0)</f>
        <v>#N/A</v>
      </c>
      <c r="CW478" s="715" t="e">
        <f t="shared" ref="CW478" ca="1" si="8624">MATCH(1,OFFSET(CV467:CV478,CX477,0,COUNT(CV467:CV478)-CX477),0)</f>
        <v>#REF!</v>
      </c>
      <c r="CX478" s="715" t="e">
        <f t="shared" ca="1" si="8458"/>
        <v>#REF!</v>
      </c>
      <c r="CY478" s="716" t="str">
        <f ca="1">IFERROR(VLOOKUP(INDEX(CU467:CU478,CX478),ELM,2,FALSE),"----")</f>
        <v>----</v>
      </c>
      <c r="CZ478" s="714" t="e">
        <f t="shared" ca="1" si="8459"/>
        <v>#N/A</v>
      </c>
      <c r="DA478" s="715" t="e">
        <f ca="1">IF(LEFT($J467,7)="Clad Wo",IF(AND(INDEX(SPPWS,CZ478,4)&gt;=$AB467,INDEX(SPPWS,CZ478,5)&gt;=$S467,INDEX(SPPWS,CZ478,6)&gt;=$R467),1,0),IF(AND(INDEX(SPM,CZ478,4)&gt;=$AB467,INDEX(SPM,CZ478,5)&gt;=$S467,INDEX(SPM,CZ478,6)&gt;=$R467),1,0))</f>
        <v>#N/A</v>
      </c>
      <c r="DB478" s="715" t="e">
        <f t="shared" ref="DB478" ca="1" si="8625">MATCH(1,OFFSET(DA467:DA478,DC477,0,COUNT(DA467:DA478)-DC477),0)</f>
        <v>#REF!</v>
      </c>
      <c r="DC478" s="715" t="e">
        <f t="shared" ca="1" si="8461"/>
        <v>#REF!</v>
      </c>
      <c r="DD478" s="717" t="str">
        <f ca="1">IF(LEFT($J467,7)="Clad Wo",IFERROR(VLOOKUP(INDEX(CZ467:CZ478,DC478),SPPWS,2,FALSE),"----"),IFERROR(VLOOKUP(INDEX(CZ467:CZ478,DC478),SPM,2,FALSE),"----"))</f>
        <v>----</v>
      </c>
      <c r="DE478" s="714" t="e">
        <f t="shared" ca="1" si="8462"/>
        <v>#REF!</v>
      </c>
      <c r="DF478" s="715" t="e" cm="1">
        <f t="array" aca="1" ref="DF478" ca="1">IF(AND(INDEX(INDIRECT(BY467),DE478,4)&gt;=$AB473,INDEX(INDIRECT(BY467),DE478,5)&gt;=$S467,INDEX(INDIRECT(BY467),DE478,6)&gt;=$R467),1,0)</f>
        <v>#REF!</v>
      </c>
      <c r="DG478" s="715" t="e">
        <f t="shared" ref="DG478" ca="1" si="8626">MATCH(1,OFFSET(DF467:DF478,DH477,0,COUNT(DF467:DF478)-DH477),0)</f>
        <v>#REF!</v>
      </c>
      <c r="DH478" s="715" t="e">
        <f t="shared" ca="1" si="8464"/>
        <v>#REF!</v>
      </c>
      <c r="DI478" s="716" t="str" cm="1">
        <f t="array" aca="1" ref="DI478" ca="1">IFERROR(VLOOKUP(INDEX(DE467:DE478,DH478),INDIRECT(BY467),2,FALSE),"----")</f>
        <v>----</v>
      </c>
      <c r="DJ478" s="714" t="e">
        <f t="shared" ca="1" si="8465"/>
        <v>#N/A</v>
      </c>
      <c r="DK478" s="715" t="e">
        <f ca="1">IF(AND(INDEX(SSM,DJ478,4)&gt;=$AB473,INDEX(SSM,DJ478,5)&gt;=$S467,INDEX(SSM,DJ478,6)&gt;=$R467),1,0)</f>
        <v>#N/A</v>
      </c>
      <c r="DL478" s="715" t="e">
        <f t="shared" ref="DL478" ca="1" si="8627">MATCH(1,OFFSET(DK467:DK478,DM477,0,COUNT(DK467:DK478)-DM477),0)</f>
        <v>#REF!</v>
      </c>
      <c r="DM478" s="715" t="e">
        <f t="shared" ca="1" si="8467"/>
        <v>#REF!</v>
      </c>
      <c r="DN478" s="716" t="str">
        <f ca="1">IFERROR(IF(AD474="Nested Steel Stud (wood infill)",VLOOKUP(INDEX(DJ467:DJ478,DM478),SSW,2,FALSE),VLOOKUP(INDEX(DJ467:DJ478,DM478),SSM,2,FALSE)),"----")</f>
        <v>----</v>
      </c>
      <c r="DO478" s="714" t="e">
        <f t="shared" ca="1" si="8468"/>
        <v>#N/A</v>
      </c>
      <c r="DP478" s="715" t="e">
        <f ca="1">IF(AND(INDEX(WSM,DO478,4)&gt;=$AB473,INDEX(WSM,DO478,5)&gt;=$S467,INDEX(WSM,DO478,6)&gt;=$R467),1,0)</f>
        <v>#N/A</v>
      </c>
      <c r="DQ478" s="715" t="e">
        <f t="shared" ref="DQ478" ca="1" si="8628">MATCH(1,OFFSET(DP467:DP478,DR477,0,COUNT(DP467:DP478)-DR477),0)</f>
        <v>#REF!</v>
      </c>
      <c r="DR478" s="715" t="e">
        <f t="shared" ca="1" si="8470"/>
        <v>#REF!</v>
      </c>
      <c r="DS478" s="716" t="str">
        <f ca="1">IFERROR(VLOOKUP(INDEX(DO467:DO478,DR478),WSM,2,FALSE),"----")</f>
        <v>----</v>
      </c>
      <c r="DT478" s="714" t="e">
        <f t="shared" ca="1" si="8471"/>
        <v>#N/A</v>
      </c>
      <c r="DU478" s="715" t="e">
        <f ca="1">IF(AND(INDEX(STM,DT478,4)&gt;=$AB473,INDEX(STM,DT478,5)&gt;=$S467,INDEX(STM,DT478,6)&gt;=$R467),1,0)</f>
        <v>#N/A</v>
      </c>
      <c r="DV478" s="715" t="e">
        <f t="shared" ref="DV478" ca="1" si="8629">MATCH(1,OFFSET(DU467:DU478,DW477,0,COUNT(DU467:DU478)-DW477),0)</f>
        <v>#REF!</v>
      </c>
      <c r="DW478" s="715" t="e">
        <f t="shared" ca="1" si="8473"/>
        <v>#REF!</v>
      </c>
      <c r="DX478" s="716" t="str">
        <f ca="1">IFERROR(VLOOKUP(INDEX(DT467:DT478,DW478),STM,2,FALSE),"----")</f>
        <v>----</v>
      </c>
      <c r="DY478" s="714" t="e">
        <f t="shared" ca="1" si="8474"/>
        <v>#N/A</v>
      </c>
      <c r="DZ478" s="715" t="e">
        <f ca="1">IF(AND(INDEX(ELM,DY478,4)&gt;=$AB473,INDEX(ELM,DY478,5)&gt;=$S467,INDEX(ELM,DY478,6)&gt;=$R467),1,0)</f>
        <v>#N/A</v>
      </c>
      <c r="EA478" s="715" t="e">
        <f t="shared" ref="EA478" ca="1" si="8630">MATCH(1,OFFSET(DZ467:DZ478,EB477,0,COUNT(DZ467:DZ478)-EB477),0)</f>
        <v>#REF!</v>
      </c>
      <c r="EB478" s="715" t="e">
        <f t="shared" ca="1" si="8476"/>
        <v>#REF!</v>
      </c>
      <c r="EC478" s="716" t="str">
        <f ca="1">IFERROR(VLOOKUP(INDEX(DY467:DY478,EB478),ELM,2,FALSE),"----")</f>
        <v>----</v>
      </c>
      <c r="ED478" s="714" t="e">
        <f t="shared" ca="1" si="8477"/>
        <v>#N/A</v>
      </c>
      <c r="EE478" s="715" t="e">
        <f ca="1">IF(LEFT($J467,7)="Clad Wo",IF(AND(INDEX(SPPWS,ED478,4)&gt;=$AB473,INDEX(SPPWS,ED478,5)&gt;=$S467,INDEX(SPPWS,ED478,6)&gt;=$R467),1,0),IF(AND(INDEX(SPM,ED478,4)&gt;=$AB473,INDEX(SPM,ED478,5)&gt;=$S467,INDEX(SPM,ED478,6)&gt;=$R467),1,0))</f>
        <v>#N/A</v>
      </c>
      <c r="EF478" s="715" t="e">
        <f t="shared" ref="EF478" ca="1" si="8631">MATCH(1,OFFSET(EE467:EE478,EG477,0,COUNT(EE467:EE478)-EG477),0)</f>
        <v>#REF!</v>
      </c>
      <c r="EG478" s="715" t="e">
        <f t="shared" ca="1" si="8479"/>
        <v>#REF!</v>
      </c>
      <c r="EH478" s="716" t="str">
        <f ca="1">IF(LEFT($J467,7)="Clad Wo",IFERROR(VLOOKUP(INDEX(ED467:ED478,EG478),SPPWS,2,FALSE),"----"),IFERROR(VLOOKUP(INDEX(ED467:ED478,EG478),SPM,2,FALSE),"----"))</f>
        <v>----</v>
      </c>
    </row>
    <row r="479" spans="1:138" ht="15" customHeight="1" thickTop="1" x14ac:dyDescent="0.25">
      <c r="A479" s="1085"/>
      <c r="B479" s="931" t="s">
        <v>92</v>
      </c>
      <c r="C479" s="932"/>
      <c r="D479" s="933"/>
      <c r="E479" s="992"/>
      <c r="F479" s="993"/>
      <c r="G479" s="994"/>
      <c r="H479" s="1061"/>
      <c r="I479" s="989"/>
      <c r="J479" s="906"/>
      <c r="K479" s="907"/>
      <c r="L479" s="1001">
        <f>$W$3</f>
        <v>4</v>
      </c>
      <c r="M479" s="923" t="str">
        <f t="shared" ref="M479" si="8632">IFERROR(IF($AE$13="",IF($AG$19="Wind Loading",MIN($V$31,IF(E$11="ASCE 7-05",$U$26,$V$7)*$V$9*(IF($E$12&lt;60,0.0771*LN(MAX(MIN(500,O479),10)) -1.2737,IF($E$11="ASCE 7-22",0.0524*LN(MAX(MIN(500,O479),50))-1.0278,0.0614*LN(MAX(MIN(500,O479),20)) -1.0829))-$V$8)),$V$7*IF(E$12&lt;60,$V$13*($V$15*0.0771*LN(MAX(MIN(500,O479),10))-1.2737-$V$16),$V$13*$V$15*((0.0524*LN(MAX(MIN(500,O479),20))-1.0278)-$V$16))),-ABS($AE$13)),"")</f>
        <v/>
      </c>
      <c r="N479" s="1042" t="str">
        <f t="shared" ref="N479" si="8633">IFERROR(IF($AE$15="",IF($AG$19="Wind Loading",MAX($U$31,IF(E$11="ASCE 7-05",$U$26,$V$7)*$V$9*((IF($E$12&lt;60,-0.077*LN(MAX(MIN(500,O479),10))+1.1737,IF($E$11="ASCE 7-22",-0.077*LN(MAX(MIN(500,O479),20))+1.0798,-0.093*LN(MAX(MIN(500,O479),20))+1.1776)))+$V$8)),$V$7*IF(E$12&lt;60,$V$13*($V$15*(-0.077*LN(MAX(MIN(500,O479),10))+1.1737)-$V$17),$V$13*$V$15*((-0.077*LN(MAX(MIN(500,O479),20))+1.0798)-$V$17))),ABS($AE$15)),"")</f>
        <v/>
      </c>
      <c r="O479" s="1017" t="str">
        <f>IF(BX486=0,"",IF(AG$14="Trapezoidal",BY486,BX486))</f>
        <v/>
      </c>
      <c r="P479" s="986"/>
      <c r="Q479" s="1014"/>
      <c r="R479" s="1011">
        <f>P479*Q479/8</f>
        <v>0</v>
      </c>
      <c r="S479" s="1004">
        <f t="shared" ref="S479" si="8634">IF(5*(P479*Q479^3/(384*0.125))=0,0,5*(P479*Q479^3/(384*0.125)))</f>
        <v>0</v>
      </c>
      <c r="T479" s="1005"/>
      <c r="U479" s="877" t="e">
        <f ca="1">VLOOKUP(J483,INDIRECT(VLOOKUP(J479,FrameStrength,2,FALSE)),3,FALSE)</f>
        <v>#N/A</v>
      </c>
      <c r="V479" s="880">
        <f t="shared" ref="V479" si="8635">(H479+I479)/2</f>
        <v>0</v>
      </c>
      <c r="W479" s="883" t="e">
        <f t="shared" ref="W479" si="8636">MAX(-M479,N479)*O479</f>
        <v>#VALUE!</v>
      </c>
      <c r="X479" s="883">
        <f t="shared" ref="X479" si="8637">IF(E479&gt;162,(E479/240+0.25),IF(AND(E479&lt;162,E479/175&lt;0.75),E479/175,0.75))</f>
        <v>0</v>
      </c>
      <c r="Y479" s="886">
        <f>IFERROR(IF(AG$14="Trapezoidal",BY487,BX487)+IF($E$17="4",(400*E479^3)/(48*X479),0),0)</f>
        <v>0</v>
      </c>
      <c r="Z479" s="886" t="e">
        <f t="shared" ref="Z479" si="8638">+($V479*MAX(-$M479,$N479)*$E479^2)/(144*8)+IF($E$17=4,(400*$E479)/4,0)</f>
        <v>#VALUE!</v>
      </c>
      <c r="AA479" s="886" t="e">
        <f ca="1">VLOOKUP(J483,INDIRECT(VLOOKUP(J479,FrameStrength,2,FALSE)),2,FALSE)</f>
        <v>#N/A</v>
      </c>
      <c r="AB479" s="1083" t="str">
        <f t="shared" ref="AB479" ca="1" si="8639">IFERROR(Z479-AA479,"")</f>
        <v/>
      </c>
      <c r="AC479" s="1077" t="str">
        <f t="shared" ref="AC479" ca="1" si="8640">IFERROR(Y479-U479,"")</f>
        <v/>
      </c>
      <c r="AD479" s="1100" t="str">
        <f>IFERROR(IF(LEFT(J483,2)="As",VLOOKUP(J483,EIMM,4,FALSE),VLOOKUP(J479,EIMM,4,FALSE)),IF(AND(ISNUMBER(SEARCH("Impervia",J479)),ISNUMBER(SEARCH("door",J483))),'New Lookup Cells'!AF$10,IF(ISNUMBER(SEARCH("Impervia",J479)),'New Lookup Cells'!AF$7,IF(AND(ISNUMBER(SEARCH("250",J479)),ISNUMBER(SEARCH("door",J483))),'New Lookup Cells'!AF$14,IF(ISNUMBER(SEARCH("250",J479)),'New Lookup Cells'!AF$13,"")))))</f>
        <v/>
      </c>
      <c r="AE479" s="1101"/>
      <c r="AF479" s="1050"/>
      <c r="AG479" s="1051"/>
      <c r="AH479" s="1051"/>
      <c r="AI479" s="1088"/>
      <c r="AJ479" s="1089"/>
      <c r="AK479" s="154" t="str">
        <f t="shared" ca="1" si="7482"/>
        <v/>
      </c>
      <c r="AL479" s="1038" t="str">
        <f t="shared" ref="AL479" si="8641">IFERROR(ROUND(SQRT(P479^2+(W479/2+IF($E$17=4,200,0))^2),0),"")</f>
        <v/>
      </c>
      <c r="AM479" s="342" t="s">
        <v>669</v>
      </c>
      <c r="AN479" t="str">
        <f t="shared" ca="1" si="7532"/>
        <v/>
      </c>
      <c r="AP479" s="122" t="str">
        <f t="shared" ref="AP479" si="8642">_xlfn.CONCAT(AR479,AS484)</f>
        <v/>
      </c>
      <c r="AQ479" s="683" t="str">
        <f t="shared" si="7698"/>
        <v/>
      </c>
      <c r="AR479" s="96" t="str">
        <f t="shared" si="7457"/>
        <v/>
      </c>
      <c r="AS479" s="96" t="str">
        <f>IF(COUNTIF(imp_1,AF479)=1,"imp_1",IF(COUNTIF(imp_2,AF479)=1,"imp_2",IF(COUNTIF(imp_3,AF479)=1,"imp_3",IF(COUNTIF(impdoor,AF479)=1,"impdoor",""))))</f>
        <v/>
      </c>
      <c r="AT479" s="684" t="str">
        <f>AL479</f>
        <v/>
      </c>
      <c r="AU479" s="685" t="e">
        <f ca="1">MATCH(AL479,INDIRECT(AP479),-1)</f>
        <v>#REF!</v>
      </c>
      <c r="AV479" s="686" t="str">
        <f ca="1">IFERROR(VLOOKUP(AU479,INDIRECT(AQ479),2,FALSE),"----")</f>
        <v>----</v>
      </c>
      <c r="AW479" s="685" t="e">
        <f ca="1">MATCH(AL479,INDIRECT(AP480),-1)</f>
        <v>#REF!</v>
      </c>
      <c r="AX479" s="686" t="str">
        <f ca="1">IFERROR(VLOOKUP(AW479,INDIRECT(AQ480),2,FALSE),"----")</f>
        <v>----</v>
      </c>
      <c r="AY479" s="685" t="e">
        <f ca="1">MATCH(AL479,INDIRECT(AP481),-1)</f>
        <v>#REF!</v>
      </c>
      <c r="AZ479" s="686" t="str">
        <f ca="1">IFERROR(VLOOKUP(AY479,INDIRECT(AQ481),2,FALSE),"----")</f>
        <v>----</v>
      </c>
      <c r="BA479" s="685" t="e">
        <f ca="1">MATCH(AL479,INDIRECT(AP482),-1)</f>
        <v>#REF!</v>
      </c>
      <c r="BB479" s="686" t="str">
        <f ca="1">IFERROR(VLOOKUP(BA479,INDIRECT(AQ482),2,FALSE),"----")</f>
        <v>----</v>
      </c>
      <c r="BC479" s="685" t="e">
        <f ca="1">MATCH(AL479,INDIRECT(AP483),-1)</f>
        <v>#REF!</v>
      </c>
      <c r="BD479" s="686" t="str">
        <f ca="1">IFERROR(VLOOKUP(BC479,INDIRECT(AQ483),2,FALSE),"----")</f>
        <v>----</v>
      </c>
      <c r="BE479" s="685" t="e">
        <f ca="1">MATCH(AL479,INDIRECT(AP484),-1)</f>
        <v>#REF!</v>
      </c>
      <c r="BF479" s="686" t="str">
        <f ca="1">IFERROR(VLOOKUP(BE479,INDIRECT(AQ484),2,FALSE),"----")</f>
        <v>----</v>
      </c>
      <c r="BG479" s="685" t="e">
        <f ca="1">MATCH(AL485,INDIRECT(AP485),-1)</f>
        <v>#REF!</v>
      </c>
      <c r="BH479" s="686" t="str">
        <f ca="1">IFERROR(VLOOKUP(BG479,INDIRECT(AQ485),2,FALSE),"----")</f>
        <v>----</v>
      </c>
      <c r="BI479" s="685" t="e">
        <f ca="1">MATCH(AL485,INDIRECT(AP486),-1)</f>
        <v>#REF!</v>
      </c>
      <c r="BJ479" s="686" t="str">
        <f ca="1">IFERROR(VLOOKUP(BI479,INDIRECT(AQ486),2,FALSE),"----")</f>
        <v>----</v>
      </c>
      <c r="BK479" s="685" t="e">
        <f ca="1">MATCH(AL485,INDIRECT(AP487),-1)</f>
        <v>#REF!</v>
      </c>
      <c r="BL479" s="686" t="str">
        <f ca="1">IFERROR(VLOOKUP(BK479,INDIRECT(AQ487),2,FALSE),"----")</f>
        <v>----</v>
      </c>
      <c r="BM479" s="685" t="e">
        <f ca="1">MATCH(AL485,INDIRECT(AP488),-1)</f>
        <v>#REF!</v>
      </c>
      <c r="BN479" s="686" t="str">
        <f ca="1">IFERROR(VLOOKUP(BM479,INDIRECT(AQ488),2,FALSE),"----")</f>
        <v>----</v>
      </c>
      <c r="BO479" s="685" t="e">
        <f ca="1">MATCH(AL485,INDIRECT(AP489),-1)</f>
        <v>#REF!</v>
      </c>
      <c r="BP479" s="686" t="str">
        <f ca="1">IFERROR(VLOOKUP(BO479,INDIRECT(AQ489),2,FALSE),"----")</f>
        <v>----</v>
      </c>
      <c r="BQ479" s="685" t="e">
        <f ca="1">MATCH(AL485,INDIRECT(AP490),-1)</f>
        <v>#REF!</v>
      </c>
      <c r="BR479" s="686" t="str">
        <f ca="1">IFERROR(VLOOKUP(BQ479,INDIRECT(AQ490),2,FALSE),"----")</f>
        <v>----</v>
      </c>
      <c r="BS479" s="687">
        <f>IF(AI479="",1,IF(COUNTIF(AV479:AV490,AI479)=0,2,1))</f>
        <v>1</v>
      </c>
      <c r="BT479" s="688">
        <f>IF(AP479="1",1,IF(AF479="",1,IF(AV479=".",2,1)))</f>
        <v>1</v>
      </c>
      <c r="BU479" s="706"/>
      <c r="BV479" s="155">
        <f ca="1">IF(COUNTIF(CE479:CE490,AF479)=0,IF(AF479&lt;&gt;"",0,1),1)</f>
        <v>1</v>
      </c>
      <c r="BW479" s="157">
        <f ca="1">IFERROR(MATCH(AF479,CE479:CE490,0),1)</f>
        <v>1</v>
      </c>
      <c r="BX479" s="769" t="str">
        <f>IFERROR(IF(LEFT(J483,2)="As",VLOOKUP(J483,EIMM,2,FALSE),IF(AND(ISNUMBER(SEARCH("Impervia",J479)),ISNUMBER(SEARCH("door",J483))),VLOOKUP("Impervia Door",EIMM,2,FALSE),IF(AND(ISNUMBER(SEARCH("250",J479)),ISNUMBER(SEARCH("door",J483))),VLOOKUP("250 Series Door",EIMM,2,FALSE),VLOOKUP(J479,EIMM,2,FALSE)))),"")</f>
        <v/>
      </c>
      <c r="BY479" s="769" t="str">
        <f ca="1">IFERROR(VLOOKUP(BX479,OFFSET(EIMM,0,1),2,FALSE),"")</f>
        <v/>
      </c>
      <c r="BZ479" s="1110" t="e">
        <f ca="1">IF((COUNTIF(INDIRECT(SUBSTITUTE(J479," ","_")),J483))=0,IF(J483="",1,0),1)</f>
        <v>#REF!</v>
      </c>
      <c r="CA479" s="691" t="e">
        <f ca="1">MATCH(AC479,INDIRECT(BX479),-1)</f>
        <v>#REF!</v>
      </c>
      <c r="CB479" s="4" t="e" cm="1">
        <f t="array" aca="1" ref="CB479" ca="1">IF(AND(INDEX(INDIRECT(BY479),CA479,4)&gt;=$AB479,INDEX(INDIRECT(BY479),CA479,5)&gt;=$S479,INDEX(INDIRECT(BY479),CA479,6)&gt;=$R479),1,0)</f>
        <v>#REF!</v>
      </c>
      <c r="CC479" s="4" t="e">
        <f t="shared" ref="CC479" ca="1" si="8643">MATCH(1,OFFSET(CB479:CB490,$W$2,0,COUNT(CB479:CB490)-$W$2),0)</f>
        <v>#REF!</v>
      </c>
      <c r="CD479" s="4" t="e">
        <f t="shared" ref="CD479" ca="1" si="8644">$W$2+CC479</f>
        <v>#REF!</v>
      </c>
      <c r="CE479" s="692" t="str" cm="1">
        <f t="array" aca="1" ref="CE479" ca="1">IFERROR(VLOOKUP(INDEX(CA479:CA490,CD479),INDIRECT(BY479),2,FALSE),"----")</f>
        <v>----</v>
      </c>
      <c r="CF479" s="691" t="e">
        <f ca="1">MATCH($AC479,SSEI,-1)</f>
        <v>#N/A</v>
      </c>
      <c r="CG479" s="4" t="e">
        <f ca="1">IF(AND(INDEX(SSM,CF479,4)&gt;=$AB479,INDEX(SSM,CF479,5)&gt;=$S479,INDEX(SSM,CF479,6)&gt;=$R479),1,0)</f>
        <v>#N/A</v>
      </c>
      <c r="CH479" s="4" t="e">
        <f t="shared" ref="CH479" ca="1" si="8645">MATCH(1,OFFSET(CG479:CG490,$W$2,0,COUNT(CG479:CG490)-$W$2),0)</f>
        <v>#REF!</v>
      </c>
      <c r="CI479" s="4" t="e">
        <f t="shared" ref="CI479" ca="1" si="8646">$W$2+CH479</f>
        <v>#REF!</v>
      </c>
      <c r="CJ479" s="692" t="str">
        <f ca="1">IFERROR(IF(AD480="Nested Steel Stud (wood infill)",VLOOKUP(INDEX(CF479:CF490,CI479),SSW,2,FALSE),VLOOKUP(INDEX(CF479:CF490,CI479),SSM,2,FALSE)),"----")</f>
        <v>----</v>
      </c>
      <c r="CK479" s="691" t="e">
        <f ca="1">MATCH($AC479,WSEI,-1)</f>
        <v>#N/A</v>
      </c>
      <c r="CL479" s="4" t="e">
        <f ca="1">IF(AND(INDEX(WSM,CK479,4)&gt;=$AB479,INDEX(WSM,CK479,5)&gt;=$S479,INDEX(WSM,CK479,6)&gt;=$R479),1,0)</f>
        <v>#N/A</v>
      </c>
      <c r="CM479" s="4" t="e">
        <f t="shared" ref="CM479" ca="1" si="8647">MATCH(1,OFFSET(CL479:CL490,$W$2,0,COUNT(CL479:CL490)-$W$2),0)</f>
        <v>#REF!</v>
      </c>
      <c r="CN479" s="4" t="e">
        <f t="shared" ref="CN479" ca="1" si="8648">$W$2+CM479</f>
        <v>#REF!</v>
      </c>
      <c r="CO479" s="692" t="str">
        <f ca="1">IFERROR(VLOOKUP(INDEX(CK479:CK490,CN479),WSM,2,FALSE),"----")</f>
        <v>----</v>
      </c>
      <c r="CP479" s="691" t="e">
        <f ca="1">MATCH($AC479,STEI,-1)</f>
        <v>#N/A</v>
      </c>
      <c r="CQ479" s="4" t="e">
        <f ca="1">IF(AND(INDEX(STM,CP479,4)&gt;=$AB479,INDEX(STM,CP479,5)&gt;=$S479,INDEX(STM,CP479,6)&gt;=$R479),1,0)</f>
        <v>#N/A</v>
      </c>
      <c r="CR479" s="4" t="e">
        <f t="shared" ref="CR479" ca="1" si="8649">MATCH(1,OFFSET(CQ479:CQ490,$W$2,0,COUNT(CQ479:CQ490)-$W$2),0)</f>
        <v>#REF!</v>
      </c>
      <c r="CS479" s="4" t="e">
        <f t="shared" ref="CS479" ca="1" si="8650">$W$2+CR479</f>
        <v>#REF!</v>
      </c>
      <c r="CT479" s="692" t="str">
        <f ca="1">IFERROR(VLOOKUP(INDEX(CP479:CP490,CS479),STM,2,FALSE),"----")</f>
        <v>----</v>
      </c>
      <c r="CU479" s="691" t="e">
        <f ca="1">MATCH($AC479,ELEI,-1)</f>
        <v>#N/A</v>
      </c>
      <c r="CV479" s="4" t="e">
        <f ca="1">IF(AND(INDEX(ELM,CU479,4)&gt;=$AB479,INDEX(ELM,CU479,5)&gt;=$S479,INDEX(ELM,CU479,6)&gt;=$R479),1,0)</f>
        <v>#N/A</v>
      </c>
      <c r="CW479" s="4" t="e">
        <f t="shared" ref="CW479" ca="1" si="8651">MATCH(1,OFFSET(CV479:CV490,$W$2,0,COUNT(CV479:CV490)-$W$2),0)</f>
        <v>#REF!</v>
      </c>
      <c r="CX479" s="4" t="e">
        <f t="shared" ref="CX479" ca="1" si="8652">$W$2+CW479</f>
        <v>#REF!</v>
      </c>
      <c r="CY479" s="692" t="str">
        <f ca="1">IFERROR(VLOOKUP(INDEX(CU479:CU490,CX479),ELM,2,FALSE),"----")</f>
        <v>----</v>
      </c>
      <c r="CZ479" s="691" t="e">
        <f ca="1">IF(LEFT($J479,7)="Clad Wo",MATCH($AC479,SPEIW,-1),MATCH($AC479,SPEI,-1))</f>
        <v>#N/A</v>
      </c>
      <c r="DA479" s="4" t="e">
        <f ca="1">IF(LEFT($J479,7)="Clad Wo",IF(AND(INDEX(SPPWS,CZ479,4)&gt;=$AB479,INDEX(SPPWS,CZ479,5)&gt;=$S479,INDEX(SPPWS,CZ479,6)&gt;=$R479),1,0),IF(AND(INDEX(SPM,CZ479,4)&gt;=$AB479,INDEX(SPM,CZ479,5)&gt;=$S479,INDEX(SPM,CZ479,6)&gt;=$R479),1,0))</f>
        <v>#N/A</v>
      </c>
      <c r="DB479" s="4" t="e">
        <f t="shared" ref="DB479" ca="1" si="8653">MATCH(1,OFFSET(DA479:DA490,$W$2,0,COUNT(DA479:DA490)-$W$2),0)</f>
        <v>#REF!</v>
      </c>
      <c r="DC479" s="4" t="e">
        <f t="shared" ref="DC479" ca="1" si="8654">$W$2+DB479</f>
        <v>#REF!</v>
      </c>
      <c r="DD479" s="693" t="str">
        <f ca="1">IF(LEFT($J479,7)="Clad Wo",IFERROR(VLOOKUP(INDEX(CZ479:CZ490,DC479),SPPWS,2,FALSE),"----"),IFERROR(VLOOKUP(INDEX(CZ479:CZ490,DC479),SPM,2,FALSE),"----"))</f>
        <v>----</v>
      </c>
      <c r="DE479" s="691" t="e">
        <f ca="1">MATCH(AC485,INDIRECT(BX479),-1)</f>
        <v>#REF!</v>
      </c>
      <c r="DF479" s="4" t="e" cm="1">
        <f t="array" aca="1" ref="DF479" ca="1">IF(AND(INDEX(INDIRECT(BY479),DE479,4)&gt;=$AB485,INDEX(INDIRECT(BY479),DE479,5)&gt;=$S479,INDEX(INDIRECT(BY479),DE479,6)&gt;=$R479),1,0)</f>
        <v>#REF!</v>
      </c>
      <c r="DG479" s="4" t="e">
        <f t="shared" ref="DG479" ca="1" si="8655">MATCH(1,OFFSET(DF479:DF490,$W$2,0,COUNT(DF479:DF490)-$W$2),0)</f>
        <v>#REF!</v>
      </c>
      <c r="DH479" s="4" t="e">
        <f t="shared" ref="DH479" ca="1" si="8656">$W$2+DG479</f>
        <v>#REF!</v>
      </c>
      <c r="DI479" s="692" t="str" cm="1">
        <f t="array" aca="1" ref="DI479" ca="1">IFERROR(VLOOKUP(INDEX(DE479:DE490,DH479),INDIRECT(BY479),2,FALSE),"----")</f>
        <v>----</v>
      </c>
      <c r="DJ479" s="691" t="e">
        <f ca="1">MATCH($AC485,SSEI,-1)</f>
        <v>#N/A</v>
      </c>
      <c r="DK479" s="4" t="e">
        <f ca="1">IF(AND(INDEX(SSM,DJ479,4)&gt;=$AB485,INDEX(SSM,DJ479,5)&gt;=$S479,INDEX(SSM,DJ479,6)&gt;=$R479),1,0)</f>
        <v>#N/A</v>
      </c>
      <c r="DL479" s="4" t="e">
        <f t="shared" ref="DL479" ca="1" si="8657">MATCH(1,OFFSET(DK479:DK490,$W$2,0,COUNT(DK479:DK490)-$W$2),0)</f>
        <v>#REF!</v>
      </c>
      <c r="DM479" s="4" t="e">
        <f t="shared" ref="DM479" ca="1" si="8658">$W$2+DL479</f>
        <v>#REF!</v>
      </c>
      <c r="DN479" s="692" t="str">
        <f ca="1">IFERROR(IF(AD486="Nested Steel Stud (wood infill)",VLOOKUP(INDEX(DJ479:DJ490,DM479),SSW,2,FALSE),VLOOKUP(INDEX(DJ479:DJ490,DM479),SSM,2,FALSE)),"----")</f>
        <v>----</v>
      </c>
      <c r="DO479" s="691" t="e">
        <f ca="1">MATCH($AC485,WSEI,-1)</f>
        <v>#N/A</v>
      </c>
      <c r="DP479" s="4" t="e">
        <f ca="1">IF(AND(INDEX(WSM,DO479,4)&gt;=$AB485,INDEX(WSM,DO479,5)&gt;=$S479,INDEX(WSM,DO479,6)&gt;=$R479),1,0)</f>
        <v>#N/A</v>
      </c>
      <c r="DQ479" s="4" t="e">
        <f t="shared" ref="DQ479" ca="1" si="8659">MATCH(1,OFFSET(DP479:DP490,$W$2,0,COUNT(DP479:DP490)-$W$2),0)</f>
        <v>#REF!</v>
      </c>
      <c r="DR479" s="4" t="e">
        <f t="shared" ref="DR479" ca="1" si="8660">$W$2+DQ479</f>
        <v>#REF!</v>
      </c>
      <c r="DS479" s="692" t="str">
        <f ca="1">IFERROR(VLOOKUP(INDEX(DO479:DO490,DR479),WSM,2,FALSE),"----")</f>
        <v>----</v>
      </c>
      <c r="DT479" s="691" t="e">
        <f ca="1">MATCH($AC485,STEI,-1)</f>
        <v>#N/A</v>
      </c>
      <c r="DU479" s="4" t="e">
        <f ca="1">IF(AND(INDEX(STM,DT479,4)&gt;=$AB485,INDEX(STM,DT479,5)&gt;=$S479,INDEX(STM,DT479,6)&gt;=$R479),1,0)</f>
        <v>#N/A</v>
      </c>
      <c r="DV479" s="4" t="e">
        <f t="shared" ref="DV479" ca="1" si="8661">MATCH(1,OFFSET(DU479:DU490,$W$2,0,COUNT(DU479:DU490)-$W$2),0)</f>
        <v>#REF!</v>
      </c>
      <c r="DW479" s="4" t="e">
        <f t="shared" ref="DW479" ca="1" si="8662">$W$2+DV479</f>
        <v>#REF!</v>
      </c>
      <c r="DX479" s="692" t="str">
        <f ca="1">IFERROR(VLOOKUP(INDEX(DT479:DT490,DW479),STM,2,FALSE),"----")</f>
        <v>----</v>
      </c>
      <c r="DY479" s="691" t="e">
        <f ca="1">MATCH($AC485,ELEI,-1)</f>
        <v>#N/A</v>
      </c>
      <c r="DZ479" s="4" t="e">
        <f ca="1">IF(AND(INDEX(ELM,DY479,4)&gt;=$AB485,INDEX(ELM,DY479,5)&gt;=$S479,INDEX(ELM,DY479,6)&gt;=$R479),1,0)</f>
        <v>#N/A</v>
      </c>
      <c r="EA479" s="4" t="e">
        <f t="shared" ref="EA479" ca="1" si="8663">MATCH(1,OFFSET(DZ479:DZ490,$W$2,0,COUNT(DZ479:DZ490)-$W$2),0)</f>
        <v>#REF!</v>
      </c>
      <c r="EB479" s="4" t="e">
        <f t="shared" ref="EB479" ca="1" si="8664">EA479+$W$2</f>
        <v>#REF!</v>
      </c>
      <c r="EC479" s="692" t="str">
        <f ca="1">IFERROR(VLOOKUP(INDEX(DY479:DY490,EB479),ELM,2,FALSE),"----")</f>
        <v>----</v>
      </c>
      <c r="ED479" s="691" t="e">
        <f ca="1">IF(LEFT($J479,7)="Clad Wo",MATCH($AC485,SPEIW,-1),MATCH($AC485,SPEI,-1))</f>
        <v>#N/A</v>
      </c>
      <c r="EE479" s="4" t="e">
        <f ca="1">IF(LEFT($J479,7)="Clad Wo",IF(AND(INDEX(SPPWS,ED479,4)&gt;=$AB485,INDEX(SPPWS,ED479,5)&gt;=$S479,INDEX(SPPWS,ED479,6)&gt;=$R479),1,0),IF(AND(INDEX(SPM,ED479,4)&gt;=$AB485,INDEX(SPM,ED479,5)&gt;=$S479,INDEX(SPM,ED479,6)&gt;=$R479),1,0))</f>
        <v>#N/A</v>
      </c>
      <c r="EF479" s="4" t="e">
        <f t="shared" ref="EF479" ca="1" si="8665">MATCH(1,OFFSET(EE479:EE490,$W$2,0,COUNT(EE479:EE490)-$W$2),0)</f>
        <v>#REF!</v>
      </c>
      <c r="EG479" s="4" t="e">
        <f t="shared" ref="EG479" ca="1" si="8666">$W$2+EF479</f>
        <v>#REF!</v>
      </c>
      <c r="EH479" s="692" t="str">
        <f ca="1">IF(LEFT($J479,7)="Clad Wo",IFERROR(VLOOKUP(INDEX(ED479:ED490,EG479),SPPWS,2,FALSE),"----"),IFERROR(VLOOKUP(INDEX(ED479:ED490,EG479),SPM,2,FALSE),"----"))</f>
        <v>----</v>
      </c>
    </row>
    <row r="480" spans="1:138" ht="15" customHeight="1" x14ac:dyDescent="0.25">
      <c r="A480" s="1085"/>
      <c r="B480" s="925"/>
      <c r="C480" s="926"/>
      <c r="D480" s="927"/>
      <c r="E480" s="995"/>
      <c r="F480" s="996"/>
      <c r="G480" s="997"/>
      <c r="H480" s="1062"/>
      <c r="I480" s="990"/>
      <c r="J480" s="908"/>
      <c r="K480" s="909"/>
      <c r="L480" s="1002"/>
      <c r="M480" s="923"/>
      <c r="N480" s="1042"/>
      <c r="O480" s="1018"/>
      <c r="P480" s="987"/>
      <c r="Q480" s="1015"/>
      <c r="R480" s="1012"/>
      <c r="S480" s="1006"/>
      <c r="T480" s="1007"/>
      <c r="U480" s="878"/>
      <c r="V480" s="881"/>
      <c r="W480" s="884"/>
      <c r="X480" s="884"/>
      <c r="Y480" s="887"/>
      <c r="Z480" s="887"/>
      <c r="AA480" s="887"/>
      <c r="AB480" s="1081"/>
      <c r="AC480" s="1078"/>
      <c r="AD480" s="1102" t="s">
        <v>38</v>
      </c>
      <c r="AE480" s="1103"/>
      <c r="AF480" s="1052"/>
      <c r="AG480" s="1053"/>
      <c r="AH480" s="1053"/>
      <c r="AI480" s="1066"/>
      <c r="AJ480" s="1067"/>
      <c r="AK480" s="156" t="str">
        <f t="shared" ca="1" si="7482"/>
        <v/>
      </c>
      <c r="AL480" s="1039"/>
      <c r="AM480" s="343" t="str">
        <f ca="1">IFERROR(Q479/12*ROUND(VLOOKUP(AF480,OFFSET(SSM,0,1),6,FALSE),2),"")</f>
        <v/>
      </c>
      <c r="AN480" t="str">
        <f t="shared" ca="1" si="7532"/>
        <v/>
      </c>
      <c r="AP480" s="122" t="str">
        <f t="shared" ref="AP480" si="8667">_xlfn.CONCAT(AR480,AS484)</f>
        <v/>
      </c>
      <c r="AQ480" s="683" t="str">
        <f t="shared" si="7698"/>
        <v/>
      </c>
      <c r="AR480" s="96" t="str">
        <f t="shared" si="7457"/>
        <v/>
      </c>
      <c r="AS480" s="96" t="str">
        <f>IF(COUNTIF(Vista_1,AF479)=1,"Vista_1",IF(COUNTIF(Vista_2,AF479)=1,"Vista_2",""))</f>
        <v/>
      </c>
      <c r="AT480" s="684" t="str">
        <f>AL479</f>
        <v/>
      </c>
      <c r="AU480" s="694" t="e">
        <f t="shared" ref="AU480" ca="1" si="8668">AU479-1</f>
        <v>#REF!</v>
      </c>
      <c r="AV480" s="686" t="str">
        <f ca="1">IFERROR(VLOOKUP(AU480,INDIRECT(AQ479),2,FALSE),"----")</f>
        <v>----</v>
      </c>
      <c r="AW480" s="694" t="e">
        <f t="shared" ref="AW480:AW481" ca="1" si="8669">AW479-1</f>
        <v>#REF!</v>
      </c>
      <c r="AX480" s="686" t="str">
        <f ca="1">IFERROR(VLOOKUP(AW480,INDIRECT(AQ480),2,FALSE),"----")</f>
        <v>----</v>
      </c>
      <c r="AY480" s="694" t="e">
        <f t="shared" ref="AY480:AY481" ca="1" si="8670">AY479-1</f>
        <v>#REF!</v>
      </c>
      <c r="AZ480" s="686" t="str">
        <f ca="1">IFERROR(VLOOKUP(AY480,INDIRECT(AQ481),2,FALSE),"----")</f>
        <v>----</v>
      </c>
      <c r="BA480" s="694" t="e">
        <f t="shared" ref="BA480:BA481" ca="1" si="8671">BA479-1</f>
        <v>#REF!</v>
      </c>
      <c r="BB480" s="686" t="str">
        <f ca="1">IFERROR(VLOOKUP(BA480,INDIRECT(AQ482),2,FALSE),"----")</f>
        <v>----</v>
      </c>
      <c r="BC480" s="694" t="e">
        <f t="shared" ref="BC480:BC481" ca="1" si="8672">BC479-1</f>
        <v>#REF!</v>
      </c>
      <c r="BD480" s="686" t="str">
        <f ca="1">IFERROR(VLOOKUP(BC480,INDIRECT(AQ483),2,FALSE),"----")</f>
        <v>----</v>
      </c>
      <c r="BE480" s="694" t="e">
        <f t="shared" ref="BE480" ca="1" si="8673">BE479-1</f>
        <v>#REF!</v>
      </c>
      <c r="BF480" s="686" t="str">
        <f ca="1">IFERROR(VLOOKUP(BE480,INDIRECT(AQ484),2,FALSE),"----")</f>
        <v>----</v>
      </c>
      <c r="BG480" s="694" t="e">
        <f t="shared" ref="BG480" ca="1" si="8674">BG479-1</f>
        <v>#REF!</v>
      </c>
      <c r="BH480" s="686" t="str">
        <f ca="1">IFERROR(VLOOKUP(BG480,INDIRECT(AQ485),2,FALSE),"----")</f>
        <v>----</v>
      </c>
      <c r="BI480" s="694" t="e">
        <f t="shared" ref="BI480:BI481" ca="1" si="8675">BI479-1</f>
        <v>#REF!</v>
      </c>
      <c r="BJ480" s="686" t="str">
        <f ca="1">IFERROR(VLOOKUP(BI480,INDIRECT(AQ486),2,FALSE),"----")</f>
        <v>----</v>
      </c>
      <c r="BK480" s="694" t="e">
        <f t="shared" ref="BK480:BK481" ca="1" si="8676">BK479-1</f>
        <v>#REF!</v>
      </c>
      <c r="BL480" s="686" t="str">
        <f ca="1">IFERROR(VLOOKUP(BK480,INDIRECT(AQ487),2,FALSE),"----")</f>
        <v>----</v>
      </c>
      <c r="BM480" s="694" t="e">
        <f t="shared" ref="BM480:BM481" ca="1" si="8677">BM479-1</f>
        <v>#REF!</v>
      </c>
      <c r="BN480" s="686" t="str">
        <f ca="1">IFERROR(VLOOKUP(BM480,INDIRECT(AQ488),2,FALSE),"----")</f>
        <v>----</v>
      </c>
      <c r="BO480" s="694" t="e">
        <f t="shared" ref="BO480:BO481" ca="1" si="8678">BO479-1</f>
        <v>#REF!</v>
      </c>
      <c r="BP480" s="686" t="str">
        <f ca="1">IFERROR(VLOOKUP(BO480,INDIRECT(AQ489),2,FALSE),"----")</f>
        <v>----</v>
      </c>
      <c r="BQ480" s="694" t="e">
        <f t="shared" ref="BQ480" ca="1" si="8679">BQ479-1</f>
        <v>#REF!</v>
      </c>
      <c r="BR480" s="686" t="str">
        <f ca="1">IFERROR(VLOOKUP(BQ480,INDIRECT(AQ490),2,FALSE),"----")</f>
        <v>----</v>
      </c>
      <c r="BS480" s="695">
        <f>IF(AI480="",1,IF(COUNTIF(AX479:AX490,AI480)=0,2,1))</f>
        <v>1</v>
      </c>
      <c r="BT480" s="696">
        <f>IF(AF480="",1,IF(AX479=".",2,1))</f>
        <v>1</v>
      </c>
      <c r="BU480" s="706"/>
      <c r="BV480" s="155">
        <f ca="1">IF(COUNTIF(CJ479:CJ490,AF480)=0,IF(AF480&lt;&gt;"",0,1),1)</f>
        <v>1</v>
      </c>
      <c r="BW480" s="157">
        <f ca="1">IFERROR(MATCH(AF480,CJ479:CJ490,0),1)</f>
        <v>1</v>
      </c>
      <c r="BX480" s="769"/>
      <c r="BY480" s="769"/>
      <c r="BZ480" s="1110"/>
      <c r="CA480" s="691" t="e">
        <f t="shared" ref="CA480:CA490" ca="1" si="8680">CA479-1</f>
        <v>#REF!</v>
      </c>
      <c r="CB480" s="4" t="e" cm="1">
        <f t="array" aca="1" ref="CB480" ca="1">IF(AND(INDEX(INDIRECT(BY479),CA480,4)&gt;=$AB479,INDEX(INDIRECT(BY479),CA480,5)&gt;=$S479,INDEX(INDIRECT(BY479),CA480,6)&gt;=$R479),1,0)</f>
        <v>#REF!</v>
      </c>
      <c r="CC480" s="4" t="e">
        <f t="shared" ref="CC480" ca="1" si="8681">MATCH(1,OFFSET(CB479:CB490,CD479,0,COUNT(CB479:CB490)-CD479),0)</f>
        <v>#REF!</v>
      </c>
      <c r="CD480" s="4" t="e">
        <f t="shared" ref="CD480:CD490" ca="1" si="8682">CD479+CC480</f>
        <v>#REF!</v>
      </c>
      <c r="CE480" s="692" t="str" cm="1">
        <f t="array" aca="1" ref="CE480" ca="1">IFERROR(VLOOKUP(INDEX(CA479:CA490,CD480),INDIRECT(BY479),2,FALSE),"----")</f>
        <v>----</v>
      </c>
      <c r="CF480" s="691" t="e">
        <f t="shared" ref="CF480:CF490" ca="1" si="8683">CF479-1</f>
        <v>#N/A</v>
      </c>
      <c r="CG480" s="4" t="e">
        <f ca="1">IF(AND(INDEX(SSM,CF480,4)&gt;=$AB479,INDEX(SSM,CF480,5)&gt;=$S479,INDEX(SSM,CF480,6)&gt;=$R479),1,0)</f>
        <v>#N/A</v>
      </c>
      <c r="CH480" s="4" t="e">
        <f t="shared" ref="CH480" ca="1" si="8684">MATCH(1,OFFSET(CG479:CG490,CI479,0,COUNT(CG479:CG490)-CI479),0)</f>
        <v>#REF!</v>
      </c>
      <c r="CI480" s="4" t="e">
        <f t="shared" ref="CI480:CI490" ca="1" si="8685">CI479+CH480</f>
        <v>#REF!</v>
      </c>
      <c r="CJ480" s="692" t="str">
        <f ca="1">IFERROR(IF(AD480="Nested Steel Stud (wood infill)",VLOOKUP(INDEX(CF479:CF490,CI480),SSW,2,FALSE),VLOOKUP(INDEX(CF479:CF490,CI480),SSM,2,FALSE)),"----")</f>
        <v>----</v>
      </c>
      <c r="CK480" s="691" t="e">
        <f t="shared" ref="CK480:CK490" ca="1" si="8686">CK479-1</f>
        <v>#N/A</v>
      </c>
      <c r="CL480" s="4" t="e">
        <f ca="1">IF(AND(INDEX(WSM,CK480,4)&gt;=$AB479,INDEX(WSM,CK480,5)&gt;=$S479,INDEX(WSM,CK480,6)&gt;=$R479),1,0)</f>
        <v>#N/A</v>
      </c>
      <c r="CM480" s="4" t="e">
        <f t="shared" ref="CM480" ca="1" si="8687">MATCH(1,OFFSET(CL479:CL490,CN479,0,COUNT(CL479:CL490)-CN479),0)</f>
        <v>#REF!</v>
      </c>
      <c r="CN480" s="4" t="e">
        <f t="shared" ref="CN480:CN490" ca="1" si="8688">CM480+CN479</f>
        <v>#REF!</v>
      </c>
      <c r="CO480" s="692" t="str">
        <f ca="1">IFERROR(VLOOKUP(INDEX(CK479:CK490,CN480),WSM,2,FALSE),"----")</f>
        <v>----</v>
      </c>
      <c r="CP480" s="691" t="e">
        <f t="shared" ref="CP480:CP490" ca="1" si="8689">CP479-1</f>
        <v>#N/A</v>
      </c>
      <c r="CQ480" s="4" t="e">
        <f ca="1">IF(AND(INDEX(STM,CP480,4)&gt;=$AB479,INDEX(STM,CP480,5)&gt;=$S479,INDEX(STM,CP480,6)&gt;=$R479),1,0)</f>
        <v>#N/A</v>
      </c>
      <c r="CR480" s="4" t="e">
        <f t="shared" ref="CR480" ca="1" si="8690">MATCH(1,OFFSET(CQ479:CQ490,CS479,0,COUNT(CQ479:CQ490)-CS479),0)</f>
        <v>#REF!</v>
      </c>
      <c r="CS480" s="4" t="e">
        <f t="shared" ref="CS480:CS490" ca="1" si="8691">CR480+CS479</f>
        <v>#REF!</v>
      </c>
      <c r="CT480" s="692" t="str">
        <f ca="1">IFERROR(VLOOKUP(INDEX(CP479:CP490,CS480),STM,2,FALSE),"----")</f>
        <v>----</v>
      </c>
      <c r="CU480" s="691" t="e">
        <f t="shared" ref="CU480:CU490" ca="1" si="8692">CU479-1</f>
        <v>#N/A</v>
      </c>
      <c r="CV480" s="4" t="e">
        <f ca="1">IF(AND(INDEX(ELM,CU480,4)&gt;=$AB479,INDEX(ELM,CU480,5)&gt;=$S479,INDEX(ELM,CU480,6)&gt;=$R479),1,0)</f>
        <v>#N/A</v>
      </c>
      <c r="CW480" s="4" t="e">
        <f t="shared" ref="CW480" ca="1" si="8693">MATCH(1,OFFSET(CV479:CV490,CX479,0,COUNT(CV479:CV490)-CX479),0)</f>
        <v>#REF!</v>
      </c>
      <c r="CX480" s="4" t="e">
        <f t="shared" ref="CX480:CX490" ca="1" si="8694">CW480+CX479</f>
        <v>#REF!</v>
      </c>
      <c r="CY480" s="692" t="str">
        <f ca="1">IFERROR(VLOOKUP(INDEX(CU479:CU490,CX480),ELM,2,FALSE),"----")</f>
        <v>----</v>
      </c>
      <c r="CZ480" s="691" t="e">
        <f t="shared" ref="CZ480:CZ490" ca="1" si="8695">CZ479-1</f>
        <v>#N/A</v>
      </c>
      <c r="DA480" s="4" t="e">
        <f ca="1">IF(LEFT($J479,7)="Clad Wo",IF(AND(INDEX(SPPWS,CZ480,4)&gt;=$AB479,INDEX(SPPWS,CZ480,5)&gt;=$S479,INDEX(SPPWS,CZ480,6)&gt;=$R479),1,0),IF(AND(INDEX(SPM,CZ480,4)&gt;=$AB479,INDEX(SPM,CZ480,5)&gt;=$S479,INDEX(SPM,CZ480,6)&gt;=$R479),1,0))</f>
        <v>#N/A</v>
      </c>
      <c r="DB480" s="4" t="e">
        <f t="shared" ref="DB480" ca="1" si="8696">MATCH(1,OFFSET(DA479:DA490,DC479,0,COUNT(DA479:DA490)-DC479),0)</f>
        <v>#REF!</v>
      </c>
      <c r="DC480" s="4" t="e">
        <f t="shared" ref="DC480:DC490" ca="1" si="8697">DC479+DB480</f>
        <v>#REF!</v>
      </c>
      <c r="DD480" s="693" t="str">
        <f ca="1">IF(LEFT($J479,7)="Clad Wo",IFERROR(VLOOKUP(INDEX(CZ479:CZ490,DC480),SPPWS,2,FALSE),"----"),IFERROR(VLOOKUP(INDEX(CZ479:CZ490,DC480),SPM,2,FALSE),"----"))</f>
        <v>----</v>
      </c>
      <c r="DE480" s="691" t="e">
        <f t="shared" ref="DE480:DE490" ca="1" si="8698">DE479-1</f>
        <v>#REF!</v>
      </c>
      <c r="DF480" s="4" t="e" cm="1">
        <f t="array" aca="1" ref="DF480" ca="1">IF(AND(INDEX(INDIRECT(BY479),DE480,4)&gt;=$AB485,INDEX(INDIRECT(BY479),DE480,5)&gt;=$S479,INDEX(INDIRECT(BY479),DE480,6)&gt;=$R479),1,0)</f>
        <v>#REF!</v>
      </c>
      <c r="DG480" s="4" t="e">
        <f t="shared" ref="DG480" ca="1" si="8699">MATCH(1,OFFSET(DF479:DF490,DH479,0,COUNT(DF479:DF490)-DH479),0)</f>
        <v>#REF!</v>
      </c>
      <c r="DH480" s="4" t="e">
        <f t="shared" ref="DH480:DH490" ca="1" si="8700">DH479+DG480</f>
        <v>#REF!</v>
      </c>
      <c r="DI480" s="692" t="str" cm="1">
        <f t="array" aca="1" ref="DI480" ca="1">IFERROR(VLOOKUP(INDEX(DE479:DE490,DH480),INDIRECT(BY479),2,FALSE),"----")</f>
        <v>----</v>
      </c>
      <c r="DJ480" s="691" t="e">
        <f t="shared" ref="DJ480:DJ490" ca="1" si="8701">DJ479-1</f>
        <v>#N/A</v>
      </c>
      <c r="DK480" s="4" t="e">
        <f ca="1">IF(AND(INDEX(SSM,DJ480,4)&gt;=$AB485,INDEX(SSM,DJ480,5)&gt;=$S479,INDEX(SSM,DJ480,6)&gt;=$R479),1,0)</f>
        <v>#N/A</v>
      </c>
      <c r="DL480" s="4" t="e">
        <f t="shared" ref="DL480" ca="1" si="8702">MATCH(1,OFFSET(DK479:DK490,DM479,0,COUNT(DK479:DK490)-DM479),0)</f>
        <v>#REF!</v>
      </c>
      <c r="DM480" s="4" t="e">
        <f t="shared" ref="DM480:DM490" ca="1" si="8703">DL480+DM479</f>
        <v>#REF!</v>
      </c>
      <c r="DN480" s="692" t="str">
        <f ca="1">IFERROR(IF(AD486="Nested Steel Stud (wood infill)",VLOOKUP(INDEX(DJ479:DJ490,DM480),SSW,2,FALSE),VLOOKUP(INDEX(DJ479:DJ490,DM480),SSM,2,FALSE)),"----")</f>
        <v>----</v>
      </c>
      <c r="DO480" s="691" t="e">
        <f t="shared" ref="DO480:DO490" ca="1" si="8704">DO479-1</f>
        <v>#N/A</v>
      </c>
      <c r="DP480" s="4" t="e">
        <f ca="1">IF(AND(INDEX(WSM,DO480,4)&gt;=$AB485,INDEX(WSM,DO480,5)&gt;=$S479,INDEX(WSM,DO480,6)&gt;=$R479),1,0)</f>
        <v>#N/A</v>
      </c>
      <c r="DQ480" s="4" t="e">
        <f t="shared" ref="DQ480" ca="1" si="8705">MATCH(1,OFFSET(DP479:DP490,DR479,0,COUNT(DP479:DP490)-DR479),0)</f>
        <v>#REF!</v>
      </c>
      <c r="DR480" s="4" t="e">
        <f t="shared" ref="DR480:DR490" ca="1" si="8706">DQ480+DR479</f>
        <v>#REF!</v>
      </c>
      <c r="DS480" s="692" t="str">
        <f ca="1">IFERROR(VLOOKUP(INDEX(DO479:DO490,DR480),WSM,2,FALSE),"----")</f>
        <v>----</v>
      </c>
      <c r="DT480" s="691" t="e">
        <f t="shared" ref="DT480:DT490" ca="1" si="8707">DT479-1</f>
        <v>#N/A</v>
      </c>
      <c r="DU480" s="4" t="e">
        <f ca="1">IF(AND(INDEX(STM,DT480,4)&gt;=$AB485,INDEX(STM,DT480,5)&gt;=$S479,INDEX(STM,DT480,6)&gt;=$R479),1,0)</f>
        <v>#N/A</v>
      </c>
      <c r="DV480" s="4" t="e">
        <f t="shared" ref="DV480" ca="1" si="8708">MATCH(1,OFFSET(DU479:DU490,DW479,0,COUNT(DU479:DU490)-DW479),0)</f>
        <v>#REF!</v>
      </c>
      <c r="DW480" s="4" t="e">
        <f t="shared" ref="DW480:DW490" ca="1" si="8709">DV480+DW479</f>
        <v>#REF!</v>
      </c>
      <c r="DX480" s="692" t="str">
        <f ca="1">IFERROR(VLOOKUP(INDEX(DT479:DT490,DW480),STM,2,FALSE),"----")</f>
        <v>----</v>
      </c>
      <c r="DY480" s="691" t="e">
        <f t="shared" ref="DY480:DY490" ca="1" si="8710">DY479-1</f>
        <v>#N/A</v>
      </c>
      <c r="DZ480" s="4" t="e">
        <f ca="1">IF(AND(INDEX(ELM,DY480,4)&gt;=$AB485,INDEX(ELM,DY480,5)&gt;=$S479,INDEX(ELM,DY480,6)&gt;=$R479),1,0)</f>
        <v>#N/A</v>
      </c>
      <c r="EA480" s="4" t="e">
        <f t="shared" ref="EA480" ca="1" si="8711">MATCH(1,OFFSET(DZ479:DZ490,EB479,0,COUNT(DZ479:DZ490)-EB479),0)</f>
        <v>#REF!</v>
      </c>
      <c r="EB480" s="4" t="e">
        <f t="shared" ref="EB480:EB490" ca="1" si="8712">EA480+EB479</f>
        <v>#REF!</v>
      </c>
      <c r="EC480" s="692" t="str">
        <f ca="1">IFERROR(VLOOKUP(INDEX(DY479:DY490,EB480),ELM,2,FALSE),"----")</f>
        <v>----</v>
      </c>
      <c r="ED480" s="691" t="e">
        <f t="shared" ref="ED480:ED490" ca="1" si="8713">ED479-1</f>
        <v>#N/A</v>
      </c>
      <c r="EE480" s="4" t="e">
        <f ca="1">IF(LEFT($J479,7)="Clad Wo",IF(AND(INDEX(SPPWS,ED480,4)&gt;=$AB485,INDEX(SPPWS,ED480,5)&gt;=$S479,INDEX(SPPWS,ED480,6)&gt;=$R479),1,0),IF(AND(INDEX(SPM,ED480,4)&gt;=$AB485,INDEX(SPM,ED480,5)&gt;=$S479,INDEX(SPM,ED480,6)&gt;=$R479),1,0))</f>
        <v>#N/A</v>
      </c>
      <c r="EF480" s="4" t="e">
        <f t="shared" ref="EF480" ca="1" si="8714">MATCH(1,OFFSET(EE479:EE490,EG479,0,COUNT(EE479:EE490)-EG479),0)</f>
        <v>#REF!</v>
      </c>
      <c r="EG480" s="4" t="e">
        <f t="shared" ref="EG480:EG490" ca="1" si="8715">EG479+EF480</f>
        <v>#REF!</v>
      </c>
      <c r="EH480" s="692" t="str">
        <f ca="1">IF(LEFT($J479,7)="Clad Wo",IFERROR(VLOOKUP(INDEX(ED479:ED490,EG480),SPPWS,2,FALSE),"----"),IFERROR(VLOOKUP(INDEX(ED479:ED490,EG480),SPM,2,FALSE),"----"))</f>
        <v>----</v>
      </c>
    </row>
    <row r="481" spans="1:138" ht="15" customHeight="1" x14ac:dyDescent="0.25">
      <c r="A481" s="1085"/>
      <c r="B481" s="925"/>
      <c r="C481" s="926"/>
      <c r="D481" s="927"/>
      <c r="E481" s="995"/>
      <c r="F481" s="996"/>
      <c r="G481" s="997"/>
      <c r="H481" s="1062"/>
      <c r="I481" s="990"/>
      <c r="J481" s="908"/>
      <c r="K481" s="909"/>
      <c r="L481" s="1002"/>
      <c r="M481" s="923"/>
      <c r="N481" s="1042"/>
      <c r="O481" s="1018"/>
      <c r="P481" s="987"/>
      <c r="Q481" s="1015"/>
      <c r="R481" s="1012"/>
      <c r="S481" s="1006"/>
      <c r="T481" s="1007"/>
      <c r="U481" s="878"/>
      <c r="V481" s="881"/>
      <c r="W481" s="884"/>
      <c r="X481" s="884"/>
      <c r="Y481" s="887"/>
      <c r="Z481" s="887"/>
      <c r="AA481" s="887"/>
      <c r="AB481" s="1081"/>
      <c r="AC481" s="1078"/>
      <c r="AD481" s="1070" t="s">
        <v>333</v>
      </c>
      <c r="AE481" s="1071"/>
      <c r="AF481" s="1052"/>
      <c r="AG481" s="1053"/>
      <c r="AH481" s="1053"/>
      <c r="AI481" s="1066"/>
      <c r="AJ481" s="1067"/>
      <c r="AK481" s="154" t="str">
        <f t="shared" ca="1" si="7482"/>
        <v/>
      </c>
      <c r="AL481" s="1039"/>
      <c r="AM481" s="344" t="str">
        <f ca="1">IFERROR(Q479/12*ROUND(VLOOKUP(AF481,OFFSET(WSM,0,1),6,FALSE),2),"")</f>
        <v/>
      </c>
      <c r="AN481" t="str">
        <f t="shared" ca="1" si="7532"/>
        <v/>
      </c>
      <c r="AP481" s="122" t="str">
        <f t="shared" ref="AP481" si="8716">_xlfn.CONCAT(AR481,AS484)</f>
        <v/>
      </c>
      <c r="AQ481" s="683" t="str">
        <f t="shared" si="7698"/>
        <v/>
      </c>
      <c r="AR481" s="4" t="str">
        <f t="shared" si="7457"/>
        <v/>
      </c>
      <c r="AS481" s="4"/>
      <c r="AT481" s="697" t="str">
        <f>AL479</f>
        <v/>
      </c>
      <c r="AU481" s="694" t="e">
        <f t="shared" ca="1" si="7724"/>
        <v>#REF!</v>
      </c>
      <c r="AV481" s="686" t="str">
        <f ca="1">IFERROR(VLOOKUP(AU481,INDIRECT(AQ479),2,FALSE),"----")</f>
        <v>----</v>
      </c>
      <c r="AW481" s="694" t="e">
        <f t="shared" ca="1" si="8669"/>
        <v>#REF!</v>
      </c>
      <c r="AX481" s="686" t="str">
        <f ca="1">IFERROR(VLOOKUP(AW481,INDIRECT(AQ480),2,FALSE),"----")</f>
        <v>----</v>
      </c>
      <c r="AY481" s="694" t="e">
        <f t="shared" ca="1" si="8670"/>
        <v>#REF!</v>
      </c>
      <c r="AZ481" s="686" t="str">
        <f ca="1">IFERROR(VLOOKUP(AY481,INDIRECT(AQ481),2,FALSE),"----")</f>
        <v>----</v>
      </c>
      <c r="BA481" s="694" t="e">
        <f t="shared" ca="1" si="8671"/>
        <v>#REF!</v>
      </c>
      <c r="BB481" s="686" t="str">
        <f ca="1">IFERROR(VLOOKUP(BA481,INDIRECT(AQ482),2,FALSE),"----")</f>
        <v>----</v>
      </c>
      <c r="BC481" s="694" t="e">
        <f t="shared" ca="1" si="8672"/>
        <v>#REF!</v>
      </c>
      <c r="BD481" s="686" t="str">
        <f ca="1">IFERROR(VLOOKUP(BC481,INDIRECT(AQ483),2,FALSE),"----")</f>
        <v>----</v>
      </c>
      <c r="BE481" s="694" t="e">
        <f t="shared" ca="1" si="7729"/>
        <v>#REF!</v>
      </c>
      <c r="BF481" s="686" t="str">
        <f ca="1">IFERROR(VLOOKUP(BE481,INDIRECT(AQ484),2,FALSE),"----")</f>
        <v>----</v>
      </c>
      <c r="BG481" s="694" t="e">
        <f t="shared" ca="1" si="7730"/>
        <v>#REF!</v>
      </c>
      <c r="BH481" s="686" t="str">
        <f ca="1">IFERROR(VLOOKUP(BG481,INDIRECT(AQ485),2,FALSE),"----")</f>
        <v>----</v>
      </c>
      <c r="BI481" s="694" t="e">
        <f t="shared" ca="1" si="8675"/>
        <v>#REF!</v>
      </c>
      <c r="BJ481" s="686" t="str">
        <f ca="1">IFERROR(VLOOKUP(BI481,INDIRECT(AQ486),2,FALSE),"----")</f>
        <v>----</v>
      </c>
      <c r="BK481" s="694" t="e">
        <f t="shared" ca="1" si="8676"/>
        <v>#REF!</v>
      </c>
      <c r="BL481" s="686" t="str">
        <f ca="1">IFERROR(VLOOKUP(BK481,INDIRECT(AQ487),2,FALSE),"----")</f>
        <v>----</v>
      </c>
      <c r="BM481" s="694" t="e">
        <f t="shared" ca="1" si="8677"/>
        <v>#REF!</v>
      </c>
      <c r="BN481" s="686" t="str">
        <f ca="1">IFERROR(VLOOKUP(BM481,INDIRECT(AQ488),2,FALSE),"----")</f>
        <v>----</v>
      </c>
      <c r="BO481" s="694" t="e">
        <f t="shared" ca="1" si="8678"/>
        <v>#REF!</v>
      </c>
      <c r="BP481" s="686" t="str">
        <f ca="1">IFERROR(VLOOKUP(BO481,INDIRECT(AQ489),2,FALSE),"----")</f>
        <v>----</v>
      </c>
      <c r="BQ481" s="694" t="e">
        <f t="shared" ca="1" si="7735"/>
        <v>#REF!</v>
      </c>
      <c r="BR481" s="686" t="str">
        <f ca="1">IFERROR(VLOOKUP(BQ481,INDIRECT(AQ490),2,FALSE),"----")</f>
        <v>----</v>
      </c>
      <c r="BS481" s="695">
        <f>IF(AI481="",1,IF(COUNTIF(AZ479:AZ490,AI481)=0,2,1))</f>
        <v>1</v>
      </c>
      <c r="BT481" s="696">
        <f>IF(AF481="",1,IF(AZ479=".",2,1))</f>
        <v>1</v>
      </c>
      <c r="BU481" s="706"/>
      <c r="BV481" s="155">
        <f ca="1">IF(COUNTIF(CO479:CO490,AF481)=0,IF(AF481&lt;&gt;"",0,1),1)</f>
        <v>1</v>
      </c>
      <c r="BW481" s="157">
        <f ca="1">IFERROR(MATCH(AF481,CO479:CO490,0),1)</f>
        <v>1</v>
      </c>
      <c r="BX481" s="769"/>
      <c r="BY481" s="769"/>
      <c r="BZ481" s="1110"/>
      <c r="CA481" s="691" t="e">
        <f t="shared" ca="1" si="8680"/>
        <v>#REF!</v>
      </c>
      <c r="CB481" s="4" t="e" cm="1">
        <f t="array" aca="1" ref="CB481" ca="1">IF(AND(INDEX(INDIRECT(BY479),CA481,4)&gt;=$AB479,INDEX(INDIRECT(BY479),CA481,5)&gt;=$S479,INDEX(INDIRECT(BY479),CA481,6)&gt;=$R479),1,0)</f>
        <v>#REF!</v>
      </c>
      <c r="CC481" s="4" t="e">
        <f t="shared" ref="CC481" ca="1" si="8717">MATCH(1,OFFSET(CB479:CB490,CD480,0,COUNT(CB479:CB490)-CD480),0)</f>
        <v>#REF!</v>
      </c>
      <c r="CD481" s="4" t="e">
        <f t="shared" ca="1" si="8682"/>
        <v>#REF!</v>
      </c>
      <c r="CE481" s="692" t="str" cm="1">
        <f t="array" aca="1" ref="CE481" ca="1">IFERROR(VLOOKUP(INDEX(CA479:CA490,CD481),INDIRECT(BY479),2,FALSE),"----")</f>
        <v>----</v>
      </c>
      <c r="CF481" s="691" t="e">
        <f t="shared" ca="1" si="8683"/>
        <v>#N/A</v>
      </c>
      <c r="CG481" s="4" t="e">
        <f ca="1">IF(AND(INDEX(SSM,CF481,4)&gt;=$AB479,INDEX(SSM,CF481,5)&gt;=$S479,INDEX(SSM,CF481,6)&gt;=$R479),1,0)</f>
        <v>#N/A</v>
      </c>
      <c r="CH481" s="4" t="e">
        <f t="shared" ref="CH481" ca="1" si="8718">MATCH(1,OFFSET(CG479:CG490,CI480,0,COUNT(CG479:CG490)-CI480),0)</f>
        <v>#REF!</v>
      </c>
      <c r="CI481" s="4" t="e">
        <f t="shared" ca="1" si="8685"/>
        <v>#REF!</v>
      </c>
      <c r="CJ481" s="692" t="str">
        <f ca="1">IFERROR(IF(AD480="Nested Steel Stud (wood infill)",VLOOKUP(INDEX(CF479:CF490,CI481),SSW,2,FALSE),VLOOKUP(INDEX(CF479:CF490,CI481),SSM,2,FALSE)),"----")</f>
        <v>----</v>
      </c>
      <c r="CK481" s="691" t="e">
        <f t="shared" ca="1" si="8686"/>
        <v>#N/A</v>
      </c>
      <c r="CL481" s="4" t="e">
        <f ca="1">IF(AND(INDEX(WSM,CK481,4)&gt;=$AB479,INDEX(WSM,CK481,5)&gt;=$S479,INDEX(WSM,CK481,6)&gt;=$R479),1,0)</f>
        <v>#N/A</v>
      </c>
      <c r="CM481" s="4" t="e">
        <f t="shared" ref="CM481" ca="1" si="8719">MATCH(1,OFFSET(CL479:CL490,CN480,0,COUNT(CL479:CL490)-CN480),0)</f>
        <v>#REF!</v>
      </c>
      <c r="CN481" s="4" t="e">
        <f t="shared" ca="1" si="8688"/>
        <v>#REF!</v>
      </c>
      <c r="CO481" s="692" t="str">
        <f ca="1">IFERROR(VLOOKUP(INDEX(CK479:CK490,CN481),WSM,2,FALSE),"----")</f>
        <v>----</v>
      </c>
      <c r="CP481" s="691" t="e">
        <f t="shared" ca="1" si="8689"/>
        <v>#N/A</v>
      </c>
      <c r="CQ481" s="4" t="e">
        <f ca="1">IF(AND(INDEX(STM,CP481,4)&gt;=$AB479,INDEX(STM,CP481,5)&gt;=$S479,INDEX(STM,CP481,6)&gt;=$R479),1,0)</f>
        <v>#N/A</v>
      </c>
      <c r="CR481" s="4" t="e">
        <f t="shared" ref="CR481" ca="1" si="8720">MATCH(1,OFFSET(CQ479:CQ490,CS480,0,COUNT(CQ479:CQ490)-CS480),0)</f>
        <v>#REF!</v>
      </c>
      <c r="CS481" s="4" t="e">
        <f t="shared" ca="1" si="8691"/>
        <v>#REF!</v>
      </c>
      <c r="CT481" s="692" t="str">
        <f ca="1">IFERROR(VLOOKUP(INDEX(CP479:CP490,CS481),STM,2,FALSE),"----")</f>
        <v>----</v>
      </c>
      <c r="CU481" s="691" t="e">
        <f t="shared" ca="1" si="8692"/>
        <v>#N/A</v>
      </c>
      <c r="CV481" s="4" t="e">
        <f ca="1">IF(AND(INDEX(ELM,CU481,4)&gt;=$AB479,INDEX(ELM,CU481,5)&gt;=$S479,INDEX(ELM,CU481,6)&gt;=$R479),1,0)</f>
        <v>#N/A</v>
      </c>
      <c r="CW481" s="4" t="e">
        <f t="shared" ref="CW481" ca="1" si="8721">MATCH(1,OFFSET(CV479:CV490,CX480,0,COUNT(CV479:CV490)-CX480),0)</f>
        <v>#REF!</v>
      </c>
      <c r="CX481" s="4" t="e">
        <f t="shared" ca="1" si="8694"/>
        <v>#REF!</v>
      </c>
      <c r="CY481" s="692" t="str">
        <f ca="1">IFERROR(VLOOKUP(INDEX(CU479:CU490,CX481),ELM,2,FALSE),"----")</f>
        <v>----</v>
      </c>
      <c r="CZ481" s="691" t="e">
        <f t="shared" ca="1" si="8695"/>
        <v>#N/A</v>
      </c>
      <c r="DA481" s="4" t="e">
        <f ca="1">IF(LEFT($J479,7)="Clad Wo",IF(AND(INDEX(SPPWS,CZ481,4)&gt;=$AB479,INDEX(SPPWS,CZ481,5)&gt;=$S479,INDEX(SPPWS,CZ481,6)&gt;=$R479),1,0),IF(AND(INDEX(SPM,CZ481,4)&gt;=$AB479,INDEX(SPM,CZ481,5)&gt;=$S479,INDEX(SPM,CZ481,6)&gt;=$R479),1,0))</f>
        <v>#N/A</v>
      </c>
      <c r="DB481" s="4" t="e">
        <f t="shared" ref="DB481" ca="1" si="8722">MATCH(1,OFFSET(DA479:DA490,DC480,0,COUNT(DA479:DA490)-DC480),0)</f>
        <v>#REF!</v>
      </c>
      <c r="DC481" s="4" t="e">
        <f t="shared" ca="1" si="8697"/>
        <v>#REF!</v>
      </c>
      <c r="DD481" s="693" t="str">
        <f ca="1">IF(LEFT($J479,7)="Clad Wo",IFERROR(VLOOKUP(INDEX(CZ479:CZ490,DC481),SPPWS,2,FALSE),"----"),IFERROR(VLOOKUP(INDEX(CZ479:CZ490,DC481),SPM,2,FALSE),"----"))</f>
        <v>----</v>
      </c>
      <c r="DE481" s="691" t="e">
        <f t="shared" ca="1" si="8698"/>
        <v>#REF!</v>
      </c>
      <c r="DF481" s="4" t="e" cm="1">
        <f t="array" aca="1" ref="DF481" ca="1">IF(AND(INDEX(INDIRECT(BY479),DE481,4)&gt;=$AB485,INDEX(INDIRECT(BY479),DE481,5)&gt;=$S479,INDEX(INDIRECT(BY479),DE481,6)&gt;=$R479),1,0)</f>
        <v>#REF!</v>
      </c>
      <c r="DG481" s="4" t="e">
        <f t="shared" ref="DG481" ca="1" si="8723">MATCH(1,OFFSET(DF479:DF490,DH480,0,COUNT(DF479:DF490)-DH480),0)</f>
        <v>#REF!</v>
      </c>
      <c r="DH481" s="4" t="e">
        <f t="shared" ca="1" si="8700"/>
        <v>#REF!</v>
      </c>
      <c r="DI481" s="692" t="str" cm="1">
        <f t="array" aca="1" ref="DI481" ca="1">IFERROR(VLOOKUP(INDEX(DE479:DE490,DH481),INDIRECT(BY479),2,FALSE),"----")</f>
        <v>----</v>
      </c>
      <c r="DJ481" s="691" t="e">
        <f t="shared" ca="1" si="8701"/>
        <v>#N/A</v>
      </c>
      <c r="DK481" s="4" t="e">
        <f ca="1">IF(AND(INDEX(SSM,DJ481,4)&gt;=$AB485,INDEX(SSM,DJ481,5)&gt;=$S479,INDEX(SSM,DJ481,6)&gt;=$R479),1,0)</f>
        <v>#N/A</v>
      </c>
      <c r="DL481" s="4" t="e">
        <f t="shared" ref="DL481" ca="1" si="8724">MATCH(1,OFFSET(DK479:DK490,DM480,0,COUNT(DK479:DK490)-DM480),0)</f>
        <v>#REF!</v>
      </c>
      <c r="DM481" s="4" t="e">
        <f t="shared" ca="1" si="8703"/>
        <v>#REF!</v>
      </c>
      <c r="DN481" s="692" t="str">
        <f ca="1">IFERROR(IF(AD486="Nested Steel Stud (wood infill)",VLOOKUP(INDEX(DJ479:DJ490,DM481),SSW,2,FALSE),VLOOKUP(INDEX(DJ479:DJ490,DM481),SSM,2,FALSE)),"----")</f>
        <v>----</v>
      </c>
      <c r="DO481" s="691" t="e">
        <f t="shared" ca="1" si="8704"/>
        <v>#N/A</v>
      </c>
      <c r="DP481" s="4" t="e">
        <f ca="1">IF(AND(INDEX(WSM,DO481,4)&gt;=$AB485,INDEX(WSM,DO481,5)&gt;=$S479,INDEX(WSM,DO481,6)&gt;=$R479),1,0)</f>
        <v>#N/A</v>
      </c>
      <c r="DQ481" s="4" t="e">
        <f t="shared" ref="DQ481" ca="1" si="8725">MATCH(1,OFFSET(DP479:DP490,DR480,0,COUNT(DP479:DP490)-DR480),0)</f>
        <v>#REF!</v>
      </c>
      <c r="DR481" s="4" t="e">
        <f t="shared" ca="1" si="8706"/>
        <v>#REF!</v>
      </c>
      <c r="DS481" s="692" t="str">
        <f ca="1">IFERROR(VLOOKUP(INDEX(DO479:DO490,DR481),WSM,2,FALSE),"----")</f>
        <v>----</v>
      </c>
      <c r="DT481" s="691" t="e">
        <f t="shared" ca="1" si="8707"/>
        <v>#N/A</v>
      </c>
      <c r="DU481" s="4" t="e">
        <f ca="1">IF(AND(INDEX(STM,DT481,4)&gt;=$AB485,INDEX(STM,DT481,5)&gt;=$S479,INDEX(STM,DT481,6)&gt;=$R479),1,0)</f>
        <v>#N/A</v>
      </c>
      <c r="DV481" s="4" t="e">
        <f t="shared" ref="DV481" ca="1" si="8726">MATCH(1,OFFSET(DU479:DU490,DW480,0,COUNT(DU479:DU490)-DW480),0)</f>
        <v>#REF!</v>
      </c>
      <c r="DW481" s="4" t="e">
        <f t="shared" ca="1" si="8709"/>
        <v>#REF!</v>
      </c>
      <c r="DX481" s="692" t="str">
        <f ca="1">IFERROR(VLOOKUP(INDEX(DT479:DT490,DW481),STM,2,FALSE),"----")</f>
        <v>----</v>
      </c>
      <c r="DY481" s="691" t="e">
        <f t="shared" ca="1" si="8710"/>
        <v>#N/A</v>
      </c>
      <c r="DZ481" s="4" t="e">
        <f ca="1">IF(AND(INDEX(ELM,DY481,4)&gt;=$AB485,INDEX(ELM,DY481,5)&gt;=$S479,INDEX(ELM,DY481,6)&gt;=$R479),1,0)</f>
        <v>#N/A</v>
      </c>
      <c r="EA481" s="4" t="e">
        <f t="shared" ref="EA481" ca="1" si="8727">MATCH(1,OFFSET(DZ479:DZ490,EB480,0,COUNT(DZ479:DZ490)-EB480),0)</f>
        <v>#REF!</v>
      </c>
      <c r="EB481" s="4" t="e">
        <f t="shared" ca="1" si="8712"/>
        <v>#REF!</v>
      </c>
      <c r="EC481" s="692" t="str">
        <f ca="1">IFERROR(VLOOKUP(INDEX(DY479:DY490,EB481),ELM,2,FALSE),"----")</f>
        <v>----</v>
      </c>
      <c r="ED481" s="691" t="e">
        <f t="shared" ca="1" si="8713"/>
        <v>#N/A</v>
      </c>
      <c r="EE481" s="4" t="e">
        <f ca="1">IF(LEFT($J479,7)="Clad Wo",IF(AND(INDEX(SPPWS,ED481,4)&gt;=$AB485,INDEX(SPPWS,ED481,5)&gt;=$S479,INDEX(SPPWS,ED481,6)&gt;=$R479),1,0),IF(AND(INDEX(SPM,ED481,4)&gt;=$AB485,INDEX(SPM,ED481,5)&gt;=$S479,INDEX(SPM,ED481,6)&gt;=$R479),1,0))</f>
        <v>#N/A</v>
      </c>
      <c r="EF481" s="4" t="e">
        <f t="shared" ref="EF481" ca="1" si="8728">MATCH(1,OFFSET(EE479:EE490,EG480,0,COUNT(EE479:EE490)-EG480),0)</f>
        <v>#REF!</v>
      </c>
      <c r="EG481" s="4" t="e">
        <f t="shared" ca="1" si="8715"/>
        <v>#REF!</v>
      </c>
      <c r="EH481" s="692" t="str">
        <f ca="1">IF(LEFT($J479,7)="Clad Wo",IFERROR(VLOOKUP(INDEX(ED479:ED490,EG481),SPPWS,2,FALSE),"----"),IFERROR(VLOOKUP(INDEX(ED479:ED490,EG481),SPM,2,FALSE),"----"))</f>
        <v>----</v>
      </c>
    </row>
    <row r="482" spans="1:138" ht="15" customHeight="1" x14ac:dyDescent="0.25">
      <c r="A482" s="1085"/>
      <c r="B482" s="925"/>
      <c r="C482" s="926"/>
      <c r="D482" s="927"/>
      <c r="E482" s="995"/>
      <c r="F482" s="996"/>
      <c r="G482" s="997"/>
      <c r="H482" s="1062"/>
      <c r="I482" s="990"/>
      <c r="J482" s="908"/>
      <c r="K482" s="909"/>
      <c r="L482" s="1002"/>
      <c r="M482" s="923"/>
      <c r="N482" s="1042"/>
      <c r="O482" s="1018"/>
      <c r="P482" s="987"/>
      <c r="Q482" s="1015"/>
      <c r="R482" s="1012"/>
      <c r="S482" s="1006"/>
      <c r="T482" s="1007"/>
      <c r="U482" s="878"/>
      <c r="V482" s="881"/>
      <c r="W482" s="884"/>
      <c r="X482" s="884"/>
      <c r="Y482" s="887"/>
      <c r="Z482" s="887"/>
      <c r="AA482" s="887"/>
      <c r="AB482" s="1081"/>
      <c r="AC482" s="1078"/>
      <c r="AD482" s="1070" t="s">
        <v>37</v>
      </c>
      <c r="AE482" s="1071"/>
      <c r="AF482" s="1052"/>
      <c r="AG482" s="1053"/>
      <c r="AH482" s="1053"/>
      <c r="AI482" s="1066"/>
      <c r="AJ482" s="1067"/>
      <c r="AK482" s="156" t="str">
        <f t="shared" ca="1" si="7482"/>
        <v/>
      </c>
      <c r="AL482" s="1039"/>
      <c r="AM482" s="343" t="str">
        <f ca="1">IFERROR(Q479/12*ROUND(VLOOKUP(AF482,OFFSET(STM,0,1),6,FALSE),2),"")</f>
        <v/>
      </c>
      <c r="AN482" t="str">
        <f t="shared" ca="1" si="7532"/>
        <v/>
      </c>
      <c r="AP482" s="122" t="str">
        <f t="shared" ref="AP482" si="8729">_xlfn.CONCAT(AR482,AS484)</f>
        <v/>
      </c>
      <c r="AQ482" s="683" t="str">
        <f t="shared" si="7698"/>
        <v/>
      </c>
      <c r="AR482" s="4" t="str">
        <f t="shared" si="7457"/>
        <v/>
      </c>
      <c r="AS482" s="4"/>
      <c r="AT482" s="697" t="str">
        <f>AL479</f>
        <v/>
      </c>
      <c r="AU482" s="694" t="e">
        <f t="shared" ca="1" si="7724"/>
        <v>#REF!</v>
      </c>
      <c r="AV482" s="686" t="str">
        <f ca="1">IFERROR(VLOOKUP(AU482,INDIRECT(AQ479),2,FALSE),"----")</f>
        <v>----</v>
      </c>
      <c r="AW482" s="694" t="e">
        <f t="shared" ca="1" si="7725"/>
        <v>#REF!</v>
      </c>
      <c r="AX482" s="686" t="str">
        <f ca="1">IFERROR(VLOOKUP(AW482,INDIRECT(AQ480),2,FALSE),"----")</f>
        <v>----</v>
      </c>
      <c r="AY482" s="694" t="e">
        <f t="shared" ref="AY482" ca="1" si="8730">AY481-1</f>
        <v>#REF!</v>
      </c>
      <c r="AZ482" s="686" t="str">
        <f ca="1">IFERROR(VLOOKUP(AY482,INDIRECT(AQ481),2,FALSE),"----")</f>
        <v>----</v>
      </c>
      <c r="BA482" s="694" t="e">
        <f t="shared" ref="BA482" ca="1" si="8731">BA481-1</f>
        <v>#REF!</v>
      </c>
      <c r="BB482" s="686" t="str">
        <f ca="1">IFERROR(VLOOKUP(BA482,INDIRECT(AQ482),2,FALSE),"----")</f>
        <v>----</v>
      </c>
      <c r="BC482" s="694" t="e">
        <f t="shared" ca="1" si="7728"/>
        <v>#REF!</v>
      </c>
      <c r="BD482" s="686" t="str">
        <f ca="1">IFERROR(VLOOKUP(BC482,INDIRECT(AQ483),2,FALSE),"----")</f>
        <v>----</v>
      </c>
      <c r="BE482" s="694" t="e">
        <f t="shared" ca="1" si="7729"/>
        <v>#REF!</v>
      </c>
      <c r="BF482" s="686" t="str">
        <f ca="1">IFERROR(VLOOKUP(BE482,INDIRECT(AQ484),2,FALSE),"----")</f>
        <v>----</v>
      </c>
      <c r="BG482" s="694" t="e">
        <f t="shared" ca="1" si="7730"/>
        <v>#REF!</v>
      </c>
      <c r="BH482" s="686" t="str">
        <f ca="1">IFERROR(VLOOKUP(BG482,INDIRECT(AQ485),2,FALSE),"----")</f>
        <v>----</v>
      </c>
      <c r="BI482" s="694" t="e">
        <f t="shared" ca="1" si="7731"/>
        <v>#REF!</v>
      </c>
      <c r="BJ482" s="686" t="str">
        <f ca="1">IFERROR(VLOOKUP(BI482,INDIRECT(AQ486),2,FALSE),"----")</f>
        <v>----</v>
      </c>
      <c r="BK482" s="694" t="e">
        <f t="shared" ca="1" si="7732"/>
        <v>#REF!</v>
      </c>
      <c r="BL482" s="686" t="str">
        <f ca="1">IFERROR(VLOOKUP(BK482,INDIRECT(AQ487),2,FALSE),"----")</f>
        <v>----</v>
      </c>
      <c r="BM482" s="694" t="e">
        <f t="shared" ca="1" si="7733"/>
        <v>#REF!</v>
      </c>
      <c r="BN482" s="686" t="str">
        <f ca="1">IFERROR(VLOOKUP(BM482,INDIRECT(AQ488),2,FALSE),"----")</f>
        <v>----</v>
      </c>
      <c r="BO482" s="694" t="e">
        <f t="shared" ca="1" si="7734"/>
        <v>#REF!</v>
      </c>
      <c r="BP482" s="686" t="str">
        <f ca="1">IFERROR(VLOOKUP(BO482,INDIRECT(AQ489),2,FALSE),"----")</f>
        <v>----</v>
      </c>
      <c r="BQ482" s="694" t="e">
        <f t="shared" ca="1" si="7735"/>
        <v>#REF!</v>
      </c>
      <c r="BR482" s="686" t="str">
        <f ca="1">IFERROR(VLOOKUP(BQ482,INDIRECT(AQ490),2,FALSE),"----")</f>
        <v>----</v>
      </c>
      <c r="BS482" s="695">
        <f>IF(AI482="",1,IF(COUNTIF(BB479:BB490,AI482)=0,2,1))</f>
        <v>1</v>
      </c>
      <c r="BT482" s="696">
        <f>IF(AF482="",1,IF(BB479=".",2,1))</f>
        <v>1</v>
      </c>
      <c r="BU482" s="706"/>
      <c r="BV482" s="155">
        <f ca="1">IF(COUNTIF(CT479:CT490,AF482)=0,IF(AF482&lt;&gt;"",0,1),1)</f>
        <v>1</v>
      </c>
      <c r="BW482" s="157">
        <f ca="1">IFERROR(MATCH(AF482,CT479:CT490,0),1)</f>
        <v>1</v>
      </c>
      <c r="BX482" s="769"/>
      <c r="BY482" s="769"/>
      <c r="BZ482" s="1110"/>
      <c r="CA482" s="691" t="e">
        <f t="shared" ca="1" si="8680"/>
        <v>#REF!</v>
      </c>
      <c r="CB482" s="4" t="e" cm="1">
        <f t="array" aca="1" ref="CB482" ca="1">IF(AND(INDEX(INDIRECT(BY479),CA482,4)&gt;=$AB479,INDEX(INDIRECT(BY479),CA482,5)&gt;=$S479,INDEX(INDIRECT(BY479),CA482,6)&gt;=$R479),1,0)</f>
        <v>#REF!</v>
      </c>
      <c r="CC482" s="4" t="e">
        <f t="shared" ref="CC482" ca="1" si="8732">MATCH(1,OFFSET(CB479:CB490,CD481,0,COUNT(CB479:CB490)-CD481),0)</f>
        <v>#REF!</v>
      </c>
      <c r="CD482" s="4" t="e">
        <f t="shared" ca="1" si="8682"/>
        <v>#REF!</v>
      </c>
      <c r="CE482" s="692" t="str" cm="1">
        <f t="array" aca="1" ref="CE482" ca="1">IFERROR(VLOOKUP(INDEX(CA479:CA490,CD482),INDIRECT(BY479),2,FALSE),"----")</f>
        <v>----</v>
      </c>
      <c r="CF482" s="691" t="e">
        <f t="shared" ca="1" si="8683"/>
        <v>#N/A</v>
      </c>
      <c r="CG482" s="4" t="e">
        <f ca="1">IF(AND(INDEX(SSM,CF482,4)&gt;=$AB479,INDEX(SSM,CF482,5)&gt;=$S479,INDEX(SSM,CF482,6)&gt;=$R479),1,0)</f>
        <v>#N/A</v>
      </c>
      <c r="CH482" s="4" t="e">
        <f t="shared" ref="CH482" ca="1" si="8733">MATCH(1,OFFSET(CG479:CG490,CI481,0,COUNT(CG479:CG490)-CI481),0)</f>
        <v>#REF!</v>
      </c>
      <c r="CI482" s="4" t="e">
        <f t="shared" ca="1" si="8685"/>
        <v>#REF!</v>
      </c>
      <c r="CJ482" s="692" t="str">
        <f ca="1">IFERROR(IF(AD480="Nested Steel Stud (wood infill)",VLOOKUP(INDEX(CF479:CF490,CI482),SSW,2,FALSE),VLOOKUP(INDEX(CF479:CF490,CI482),SSM,2,FALSE)),"----")</f>
        <v>----</v>
      </c>
      <c r="CK482" s="691" t="e">
        <f t="shared" ca="1" si="8686"/>
        <v>#N/A</v>
      </c>
      <c r="CL482" s="4" t="e">
        <f ca="1">IF(AND(INDEX(WSM,CK482,4)&gt;=$AB479,INDEX(WSM,CK482,5)&gt;=$S479,INDEX(WSM,CK482,6)&gt;=$R479),1,0)</f>
        <v>#N/A</v>
      </c>
      <c r="CM482" s="4" t="e">
        <f t="shared" ref="CM482" ca="1" si="8734">MATCH(1,OFFSET(CL479:CL490,CN481,0,COUNT(CL479:CL490)-CN481),0)</f>
        <v>#REF!</v>
      </c>
      <c r="CN482" s="4" t="e">
        <f t="shared" ca="1" si="8688"/>
        <v>#REF!</v>
      </c>
      <c r="CO482" s="692" t="str">
        <f ca="1">IFERROR(VLOOKUP(INDEX(CK479:CK490,CN482),WSM,2,FALSE),"----")</f>
        <v>----</v>
      </c>
      <c r="CP482" s="691" t="e">
        <f t="shared" ca="1" si="8689"/>
        <v>#N/A</v>
      </c>
      <c r="CQ482" s="4" t="e">
        <f ca="1">IF(AND(INDEX(STM,CP482,4)&gt;=$AB479,INDEX(STM,CP482,5)&gt;=$S479,INDEX(STM,CP482,6)&gt;=$R479),1,0)</f>
        <v>#N/A</v>
      </c>
      <c r="CR482" s="4" t="e">
        <f t="shared" ref="CR482" ca="1" si="8735">MATCH(1,OFFSET(CQ479:CQ490,CS481,0,COUNT(CQ479:CQ490)-CS481),0)</f>
        <v>#REF!</v>
      </c>
      <c r="CS482" s="4" t="e">
        <f t="shared" ca="1" si="8691"/>
        <v>#REF!</v>
      </c>
      <c r="CT482" s="692" t="str">
        <f ca="1">IFERROR(VLOOKUP(INDEX(CP479:CP490,CS482),STM,2,FALSE),"----")</f>
        <v>----</v>
      </c>
      <c r="CU482" s="691" t="e">
        <f t="shared" ca="1" si="8692"/>
        <v>#N/A</v>
      </c>
      <c r="CV482" s="4" t="e">
        <f ca="1">IF(AND(INDEX(ELM,CU482,4)&gt;=$AB479,INDEX(ELM,CU482,5)&gt;=$S479,INDEX(ELM,CU482,6)&gt;=$R479),1,0)</f>
        <v>#N/A</v>
      </c>
      <c r="CW482" s="4" t="e">
        <f t="shared" ref="CW482" ca="1" si="8736">MATCH(1,OFFSET(CV479:CV490,CX481,0,COUNT(CV479:CV490)-CX481),0)</f>
        <v>#REF!</v>
      </c>
      <c r="CX482" s="4" t="e">
        <f t="shared" ca="1" si="8694"/>
        <v>#REF!</v>
      </c>
      <c r="CY482" s="692" t="str">
        <f ca="1">IFERROR(VLOOKUP(INDEX(CU479:CU490,CX482),ELM,2,FALSE),"----")</f>
        <v>----</v>
      </c>
      <c r="CZ482" s="691" t="e">
        <f t="shared" ca="1" si="8695"/>
        <v>#N/A</v>
      </c>
      <c r="DA482" s="4" t="e">
        <f ca="1">IF(LEFT($J479,7)="Clad Wo",IF(AND(INDEX(SPPWS,CZ482,4)&gt;=$AB479,INDEX(SPPWS,CZ482,5)&gt;=$S479,INDEX(SPPWS,CZ482,6)&gt;=$R479),1,0),IF(AND(INDEX(SPM,CZ482,4)&gt;=$AB479,INDEX(SPM,CZ482,5)&gt;=$S479,INDEX(SPM,CZ482,6)&gt;=$R479),1,0))</f>
        <v>#N/A</v>
      </c>
      <c r="DB482" s="4" t="e">
        <f t="shared" ref="DB482" ca="1" si="8737">MATCH(1,OFFSET(DA479:DA490,DC481,0,COUNT(DA479:DA490)-DC481),0)</f>
        <v>#REF!</v>
      </c>
      <c r="DC482" s="4" t="e">
        <f t="shared" ca="1" si="8697"/>
        <v>#REF!</v>
      </c>
      <c r="DD482" s="693" t="str">
        <f ca="1">IF(LEFT($J479,7)="Clad Wo",IFERROR(VLOOKUP(INDEX(CZ479:CZ490,DC482),SPPWS,2,FALSE),"----"),IFERROR(VLOOKUP(INDEX(CZ479:CZ490,DC482),SPM,2,FALSE),"----"))</f>
        <v>----</v>
      </c>
      <c r="DE482" s="691" t="e">
        <f t="shared" ca="1" si="8698"/>
        <v>#REF!</v>
      </c>
      <c r="DF482" s="4" t="e" cm="1">
        <f t="array" aca="1" ref="DF482" ca="1">IF(AND(INDEX(INDIRECT(BY479),DE482,4)&gt;=$AB485,INDEX(INDIRECT(BY479),DE482,5)&gt;=$S479,INDEX(INDIRECT(BY479),DE482,6)&gt;=$R479),1,0)</f>
        <v>#REF!</v>
      </c>
      <c r="DG482" s="4" t="e">
        <f t="shared" ref="DG482" ca="1" si="8738">MATCH(1,OFFSET(DF479:DF490,DH481,0,COUNT(DF479:DF490)-DH481),0)</f>
        <v>#REF!</v>
      </c>
      <c r="DH482" s="4" t="e">
        <f t="shared" ca="1" si="8700"/>
        <v>#REF!</v>
      </c>
      <c r="DI482" s="692" t="str" cm="1">
        <f t="array" aca="1" ref="DI482" ca="1">IFERROR(VLOOKUP(INDEX(DE479:DE490,DH482),INDIRECT(BY479),2,FALSE),"----")</f>
        <v>----</v>
      </c>
      <c r="DJ482" s="691" t="e">
        <f t="shared" ca="1" si="8701"/>
        <v>#N/A</v>
      </c>
      <c r="DK482" s="4" t="e">
        <f ca="1">IF(AND(INDEX(SSM,DJ482,4)&gt;=$AB485,INDEX(SSM,DJ482,5)&gt;=$S479,INDEX(SSM,DJ482,6)&gt;=$R479),1,0)</f>
        <v>#N/A</v>
      </c>
      <c r="DL482" s="4" t="e">
        <f t="shared" ref="DL482" ca="1" si="8739">MATCH(1,OFFSET(DK479:DK490,DM481,0,COUNT(DK479:DK490)-DM481),0)</f>
        <v>#REF!</v>
      </c>
      <c r="DM482" s="4" t="e">
        <f t="shared" ca="1" si="8703"/>
        <v>#REF!</v>
      </c>
      <c r="DN482" s="692" t="str">
        <f ca="1">IFERROR(IF(AD486="Nested Steel Stud (wood infill)",VLOOKUP(INDEX(DJ479:DJ490,DM482),SSW,2,FALSE),VLOOKUP(INDEX(DJ479:DJ490,DM482),SSM,2,FALSE)),"----")</f>
        <v>----</v>
      </c>
      <c r="DO482" s="691" t="e">
        <f t="shared" ca="1" si="8704"/>
        <v>#N/A</v>
      </c>
      <c r="DP482" s="4" t="e">
        <f ca="1">IF(AND(INDEX(WSM,DO482,4)&gt;=$AB485,INDEX(WSM,DO482,5)&gt;=$S479,INDEX(WSM,DO482,6)&gt;=$R479),1,0)</f>
        <v>#N/A</v>
      </c>
      <c r="DQ482" s="4" t="e">
        <f t="shared" ref="DQ482" ca="1" si="8740">MATCH(1,OFFSET(DP479:DP490,DR481,0,COUNT(DP479:DP490)-DR481),0)</f>
        <v>#REF!</v>
      </c>
      <c r="DR482" s="4" t="e">
        <f t="shared" ca="1" si="8706"/>
        <v>#REF!</v>
      </c>
      <c r="DS482" s="692" t="str">
        <f ca="1">IFERROR(VLOOKUP(INDEX(DO479:DO490,DR482),WSM,2,FALSE),"----")</f>
        <v>----</v>
      </c>
      <c r="DT482" s="691" t="e">
        <f t="shared" ca="1" si="8707"/>
        <v>#N/A</v>
      </c>
      <c r="DU482" s="4" t="e">
        <f ca="1">IF(AND(INDEX(STM,DT482,4)&gt;=$AB485,INDEX(STM,DT482,5)&gt;=$S479,INDEX(STM,DT482,6)&gt;=$R479),1,0)</f>
        <v>#N/A</v>
      </c>
      <c r="DV482" s="4" t="e">
        <f t="shared" ref="DV482" ca="1" si="8741">MATCH(1,OFFSET(DU479:DU490,DW481,0,COUNT(DU479:DU490)-DW481),0)</f>
        <v>#REF!</v>
      </c>
      <c r="DW482" s="4" t="e">
        <f t="shared" ca="1" si="8709"/>
        <v>#REF!</v>
      </c>
      <c r="DX482" s="692" t="str">
        <f ca="1">IFERROR(VLOOKUP(INDEX(DT479:DT490,DW482),STM,2,FALSE),"----")</f>
        <v>----</v>
      </c>
      <c r="DY482" s="691" t="e">
        <f t="shared" ca="1" si="8710"/>
        <v>#N/A</v>
      </c>
      <c r="DZ482" s="4" t="e">
        <f ca="1">IF(AND(INDEX(ELM,DY482,4)&gt;=$AB485,INDEX(ELM,DY482,5)&gt;=$S479,INDEX(ELM,DY482,6)&gt;=$R479),1,0)</f>
        <v>#N/A</v>
      </c>
      <c r="EA482" s="4" t="e">
        <f t="shared" ref="EA482" ca="1" si="8742">MATCH(1,OFFSET(DZ479:DZ490,EB481,0,COUNT(DZ479:DZ490)-EB481),0)</f>
        <v>#REF!</v>
      </c>
      <c r="EB482" s="4" t="e">
        <f t="shared" ca="1" si="8712"/>
        <v>#REF!</v>
      </c>
      <c r="EC482" s="692" t="str">
        <f ca="1">IFERROR(VLOOKUP(INDEX(DY479:DY490,EB482),ELM,2,FALSE),"----")</f>
        <v>----</v>
      </c>
      <c r="ED482" s="691" t="e">
        <f t="shared" ca="1" si="8713"/>
        <v>#N/A</v>
      </c>
      <c r="EE482" s="4" t="e">
        <f ca="1">IF(LEFT($J479,7)="Clad Wo",IF(AND(INDEX(SPPWS,ED482,4)&gt;=$AB485,INDEX(SPPWS,ED482,5)&gt;=$S479,INDEX(SPPWS,ED482,6)&gt;=$R479),1,0),IF(AND(INDEX(SPM,ED482,4)&gt;=$AB485,INDEX(SPM,ED482,5)&gt;=$S479,INDEX(SPM,ED482,6)&gt;=$R479),1,0))</f>
        <v>#N/A</v>
      </c>
      <c r="EF482" s="4" t="e">
        <f t="shared" ref="EF482" ca="1" si="8743">MATCH(1,OFFSET(EE479:EE490,EG481,0,COUNT(EE479:EE490)-EG481),0)</f>
        <v>#REF!</v>
      </c>
      <c r="EG482" s="4" t="e">
        <f t="shared" ca="1" si="8715"/>
        <v>#REF!</v>
      </c>
      <c r="EH482" s="692" t="str">
        <f ca="1">IF(LEFT($J479,7)="Clad Wo",IFERROR(VLOOKUP(INDEX(ED479:ED490,EG482),SPPWS,2,FALSE),"----"),IFERROR(VLOOKUP(INDEX(ED479:ED490,EG482),SPM,2,FALSE),"----"))</f>
        <v>----</v>
      </c>
    </row>
    <row r="483" spans="1:138" ht="15" customHeight="1" x14ac:dyDescent="0.25">
      <c r="A483" s="1085"/>
      <c r="B483" s="925"/>
      <c r="C483" s="926"/>
      <c r="D483" s="927"/>
      <c r="E483" s="995"/>
      <c r="F483" s="996"/>
      <c r="G483" s="997"/>
      <c r="H483" s="1062"/>
      <c r="I483" s="990"/>
      <c r="J483" s="910"/>
      <c r="K483" s="911"/>
      <c r="L483" s="1002"/>
      <c r="M483" s="923"/>
      <c r="N483" s="1042"/>
      <c r="O483" s="1018"/>
      <c r="P483" s="987"/>
      <c r="Q483" s="1015"/>
      <c r="R483" s="1012"/>
      <c r="S483" s="1006"/>
      <c r="T483" s="1007"/>
      <c r="U483" s="878"/>
      <c r="V483" s="881"/>
      <c r="W483" s="884"/>
      <c r="X483" s="884"/>
      <c r="Y483" s="887"/>
      <c r="Z483" s="887"/>
      <c r="AA483" s="887"/>
      <c r="AB483" s="1081"/>
      <c r="AC483" s="1078"/>
      <c r="AD483" s="1070" t="s">
        <v>39</v>
      </c>
      <c r="AE483" s="1071"/>
      <c r="AF483" s="1052"/>
      <c r="AG483" s="1053"/>
      <c r="AH483" s="1053"/>
      <c r="AI483" s="1068"/>
      <c r="AJ483" s="1069"/>
      <c r="AK483" s="154" t="str">
        <f t="shared" ca="1" si="7482"/>
        <v/>
      </c>
      <c r="AL483" s="1039"/>
      <c r="AM483" s="344" t="str">
        <f ca="1">IFERROR(Q479/12*ROUND(VLOOKUP(AF483,OFFSET(ELM,0,1),6,FALSE),2),"")</f>
        <v/>
      </c>
      <c r="AN483" t="str">
        <f t="shared" ca="1" si="7532"/>
        <v/>
      </c>
      <c r="AP483" s="122" t="str">
        <f t="shared" ref="AP483" si="8744">_xlfn.CONCAT(AR483,AS484)</f>
        <v/>
      </c>
      <c r="AQ483" s="683" t="str">
        <f t="shared" si="7698"/>
        <v/>
      </c>
      <c r="AR483" s="4" t="str">
        <f t="shared" ref="AR483:AR546" si="8745">IFERROR(VLOOKUP(AF483,MullList,2,FALSE),"")</f>
        <v/>
      </c>
      <c r="AS483" s="4"/>
      <c r="AT483" s="697" t="str">
        <f>AL479</f>
        <v/>
      </c>
      <c r="AU483" s="694" t="e">
        <f t="shared" ca="1" si="7724"/>
        <v>#REF!</v>
      </c>
      <c r="AV483" s="698" t="str">
        <f ca="1">IFERROR(VLOOKUP(AU483,INDIRECT(AQ479),2,FALSE),"----")</f>
        <v>----</v>
      </c>
      <c r="AW483" s="694" t="e">
        <f t="shared" ca="1" si="7725"/>
        <v>#REF!</v>
      </c>
      <c r="AX483" s="698" t="str">
        <f ca="1">IFERROR(VLOOKUP(AW483,INDIRECT(AQ480),2,FALSE),"----")</f>
        <v>----</v>
      </c>
      <c r="AY483" s="694" t="e">
        <f t="shared" ref="AY483" ca="1" si="8746">AY482-1</f>
        <v>#REF!</v>
      </c>
      <c r="AZ483" s="698" t="str">
        <f ca="1">IFERROR(VLOOKUP(AY483,INDIRECT(AQ481),2,FALSE),"----")</f>
        <v>----</v>
      </c>
      <c r="BA483" s="694" t="e">
        <f t="shared" ref="BA483" ca="1" si="8747">BA482-1</f>
        <v>#REF!</v>
      </c>
      <c r="BB483" s="698" t="str">
        <f ca="1">IFERROR(VLOOKUP(BA483,INDIRECT(AQ482),2,FALSE),"----")</f>
        <v>----</v>
      </c>
      <c r="BC483" s="694" t="e">
        <f t="shared" ca="1" si="7728"/>
        <v>#REF!</v>
      </c>
      <c r="BD483" s="698" t="str">
        <f ca="1">IFERROR(VLOOKUP(BC483,INDIRECT(AQ483),2,FALSE),"----")</f>
        <v>----</v>
      </c>
      <c r="BE483" s="694" t="e">
        <f t="shared" ca="1" si="7729"/>
        <v>#REF!</v>
      </c>
      <c r="BF483" s="698" t="str">
        <f ca="1">IFERROR(VLOOKUP(BE483,INDIRECT(AQ484),2,FALSE),"----")</f>
        <v>----</v>
      </c>
      <c r="BG483" s="694" t="e">
        <f t="shared" ca="1" si="7730"/>
        <v>#REF!</v>
      </c>
      <c r="BH483" s="686" t="str">
        <f ca="1">IFERROR(VLOOKUP(BG483,INDIRECT(AQ485),2,FALSE),"----")</f>
        <v>----</v>
      </c>
      <c r="BI483" s="694" t="e">
        <f t="shared" ca="1" si="7731"/>
        <v>#REF!</v>
      </c>
      <c r="BJ483" s="686" t="str">
        <f ca="1">IFERROR(VLOOKUP(BI483,INDIRECT(AQ486),2,FALSE),"----")</f>
        <v>----</v>
      </c>
      <c r="BK483" s="694" t="e">
        <f t="shared" ca="1" si="7732"/>
        <v>#REF!</v>
      </c>
      <c r="BL483" s="686" t="str">
        <f ca="1">IFERROR(VLOOKUP(BK483,INDIRECT(AQ487),2,FALSE),"----")</f>
        <v>----</v>
      </c>
      <c r="BM483" s="694" t="e">
        <f t="shared" ca="1" si="7733"/>
        <v>#REF!</v>
      </c>
      <c r="BN483" s="686" t="str">
        <f ca="1">IFERROR(VLOOKUP(BM483,INDIRECT(AQ488),2,FALSE),"----")</f>
        <v>----</v>
      </c>
      <c r="BO483" s="694" t="e">
        <f t="shared" ca="1" si="7734"/>
        <v>#REF!</v>
      </c>
      <c r="BP483" s="686" t="str">
        <f ca="1">IFERROR(VLOOKUP(BO483,INDIRECT(AQ489),2,FALSE),"----")</f>
        <v>----</v>
      </c>
      <c r="BQ483" s="694" t="e">
        <f t="shared" ca="1" si="7735"/>
        <v>#REF!</v>
      </c>
      <c r="BR483" s="686" t="str">
        <f ca="1">IFERROR(VLOOKUP(BQ483,INDIRECT(AQ490),2,FALSE),"----")</f>
        <v>----</v>
      </c>
      <c r="BS483" s="695">
        <f>IF(AI483="",1,IF(COUNTIF(BD479:BD490,AI483)=0,2,1))</f>
        <v>1</v>
      </c>
      <c r="BT483" s="696">
        <f>IF(AF483="",1,IF(BD479=".",2,1))</f>
        <v>1</v>
      </c>
      <c r="BU483" s="706"/>
      <c r="BV483" s="155">
        <f ca="1">IF(COUNTIF(CY479:CY490,AF483)=0,IF(AF483&lt;&gt;"",0,1),1)</f>
        <v>1</v>
      </c>
      <c r="BW483" s="157">
        <f ca="1">IFERROR(MATCH(AF483,CY479:CY490,0),1)</f>
        <v>1</v>
      </c>
      <c r="BX483" s="769"/>
      <c r="BY483" s="769"/>
      <c r="BZ483" s="1110"/>
      <c r="CA483" s="691" t="e">
        <f t="shared" ca="1" si="8680"/>
        <v>#REF!</v>
      </c>
      <c r="CB483" s="4" t="e" cm="1">
        <f t="array" aca="1" ref="CB483" ca="1">IF(AND(INDEX(INDIRECT(BY479),CA483,4)&gt;=$AB479,INDEX(INDIRECT(BY479),CA483,5)&gt;=$S479,INDEX(INDIRECT(BY479),CA483,6)&gt;=$R479),1,0)</f>
        <v>#REF!</v>
      </c>
      <c r="CC483" s="4" t="e">
        <f t="shared" ref="CC483" ca="1" si="8748">MATCH(1,OFFSET(CB479:CB490,CD482,0,COUNT(CB479:CB490)-CD482),0)</f>
        <v>#REF!</v>
      </c>
      <c r="CD483" s="4" t="e">
        <f t="shared" ca="1" si="8682"/>
        <v>#REF!</v>
      </c>
      <c r="CE483" s="692" t="str" cm="1">
        <f t="array" aca="1" ref="CE483" ca="1">IFERROR(VLOOKUP(INDEX(CA479:CA490,CD483),INDIRECT(BY479),2,FALSE),"----")</f>
        <v>----</v>
      </c>
      <c r="CF483" s="691" t="e">
        <f t="shared" ca="1" si="8683"/>
        <v>#N/A</v>
      </c>
      <c r="CG483" s="4" t="e">
        <f ca="1">IF(AND(INDEX(SSM,CF483,4)&gt;=$AB479,INDEX(SSM,CF483,5)&gt;=$S479,INDEX(SSM,CF483,6)&gt;=$R479),1,0)</f>
        <v>#N/A</v>
      </c>
      <c r="CH483" s="4" t="e">
        <f t="shared" ref="CH483" ca="1" si="8749">MATCH(1,OFFSET(CG479:CG490,CI482,0,COUNT(CG479:CG490)-CI482),0)</f>
        <v>#REF!</v>
      </c>
      <c r="CI483" s="4" t="e">
        <f t="shared" ca="1" si="8685"/>
        <v>#REF!</v>
      </c>
      <c r="CJ483" s="692" t="str">
        <f ca="1">IFERROR(IF(AD480="Nested Steel Stud (wood infill)",VLOOKUP(INDEX(CF479:CF490,CI483),SSW,2,FALSE),VLOOKUP(INDEX(CF479:CF490,CI483),SSM,2,FALSE)),"----")</f>
        <v>----</v>
      </c>
      <c r="CK483" s="691" t="e">
        <f t="shared" ca="1" si="8686"/>
        <v>#N/A</v>
      </c>
      <c r="CL483" s="4" t="e">
        <f ca="1">IF(AND(INDEX(WSM,CK483,4)&gt;=$AB479,INDEX(WSM,CK483,5)&gt;=$S479,INDEX(WSM,CK483,6)&gt;=$R479),1,0)</f>
        <v>#N/A</v>
      </c>
      <c r="CM483" s="4" t="e">
        <f t="shared" ref="CM483" ca="1" si="8750">MATCH(1,OFFSET(CL479:CL490,CN482,0,COUNT(CL479:CL490)-CN482),0)</f>
        <v>#REF!</v>
      </c>
      <c r="CN483" s="4" t="e">
        <f t="shared" ca="1" si="8688"/>
        <v>#REF!</v>
      </c>
      <c r="CO483" s="692" t="str">
        <f ca="1">IFERROR(VLOOKUP(INDEX(CK479:CK490,CN483),WSM,2,FALSE),"----")</f>
        <v>----</v>
      </c>
      <c r="CP483" s="691" t="e">
        <f t="shared" ca="1" si="8689"/>
        <v>#N/A</v>
      </c>
      <c r="CQ483" s="4" t="e">
        <f ca="1">IF(AND(INDEX(STM,CP483,4)&gt;=$AB479,INDEX(STM,CP483,5)&gt;=$S479,INDEX(STM,CP483,6)&gt;=$R479),1,0)</f>
        <v>#N/A</v>
      </c>
      <c r="CR483" s="4" t="e">
        <f t="shared" ref="CR483" ca="1" si="8751">MATCH(1,OFFSET(CQ479:CQ490,CS482,0,COUNT(CQ479:CQ490)-CS482),0)</f>
        <v>#REF!</v>
      </c>
      <c r="CS483" s="4" t="e">
        <f t="shared" ca="1" si="8691"/>
        <v>#REF!</v>
      </c>
      <c r="CT483" s="692" t="str">
        <f ca="1">IFERROR(VLOOKUP(INDEX(CP479:CP490,CS483),STM,2,FALSE),"----")</f>
        <v>----</v>
      </c>
      <c r="CU483" s="691" t="e">
        <f t="shared" ca="1" si="8692"/>
        <v>#N/A</v>
      </c>
      <c r="CV483" s="4" t="e">
        <f ca="1">IF(AND(INDEX(ELM,CU483,4)&gt;=$AB479,INDEX(ELM,CU483,5)&gt;=$S479,INDEX(ELM,CU483,6)&gt;=$R479),1,0)</f>
        <v>#N/A</v>
      </c>
      <c r="CW483" s="4" t="e">
        <f t="shared" ref="CW483" ca="1" si="8752">MATCH(1,OFFSET(CV479:CV490,CX482,0,COUNT(CV479:CV490)-CX482),0)</f>
        <v>#REF!</v>
      </c>
      <c r="CX483" s="4" t="e">
        <f t="shared" ca="1" si="8694"/>
        <v>#REF!</v>
      </c>
      <c r="CY483" s="692" t="str">
        <f ca="1">IFERROR(VLOOKUP(INDEX(CU479:CU490,CX483),ELM,2,FALSE),"----")</f>
        <v>----</v>
      </c>
      <c r="CZ483" s="691" t="e">
        <f t="shared" ca="1" si="8695"/>
        <v>#N/A</v>
      </c>
      <c r="DA483" s="4" t="e">
        <f ca="1">IF(LEFT($J479,7)="Clad Wo",IF(AND(INDEX(SPPWS,CZ483,4)&gt;=$AB479,INDEX(SPPWS,CZ483,5)&gt;=$S479,INDEX(SPPWS,CZ483,6)&gt;=$R479),1,0),IF(AND(INDEX(SPM,CZ483,4)&gt;=$AB479,INDEX(SPM,CZ483,5)&gt;=$S479,INDEX(SPM,CZ483,6)&gt;=$R479),1,0))</f>
        <v>#N/A</v>
      </c>
      <c r="DB483" s="4" t="e">
        <f t="shared" ref="DB483" ca="1" si="8753">MATCH(1,OFFSET(DA479:DA490,DC482,0,COUNT(DA479:DA490)-DC482),0)</f>
        <v>#REF!</v>
      </c>
      <c r="DC483" s="4" t="e">
        <f t="shared" ca="1" si="8697"/>
        <v>#REF!</v>
      </c>
      <c r="DD483" s="693" t="str">
        <f ca="1">IF(LEFT($J479,7)="Clad Wo",IFERROR(VLOOKUP(INDEX(CZ479:CZ490,DC483),SPPWS,2,FALSE),"----"),IFERROR(VLOOKUP(INDEX(CZ479:CZ490,DC483),SPM,2,FALSE),"----"))</f>
        <v>----</v>
      </c>
      <c r="DE483" s="691" t="e">
        <f t="shared" ca="1" si="8698"/>
        <v>#REF!</v>
      </c>
      <c r="DF483" s="4" t="e" cm="1">
        <f t="array" aca="1" ref="DF483" ca="1">IF(AND(INDEX(INDIRECT(BY479),DE483,4)&gt;=$AB485,INDEX(INDIRECT(BY479),DE483,5)&gt;=$S479,INDEX(INDIRECT(BY479),DE483,6)&gt;=$R479),1,0)</f>
        <v>#REF!</v>
      </c>
      <c r="DG483" s="4" t="e">
        <f t="shared" ref="DG483" ca="1" si="8754">MATCH(1,OFFSET(DF479:DF490,DH482,0,COUNT(DF479:DF490)-DH482),0)</f>
        <v>#REF!</v>
      </c>
      <c r="DH483" s="4" t="e">
        <f t="shared" ca="1" si="8700"/>
        <v>#REF!</v>
      </c>
      <c r="DI483" s="692" t="str" cm="1">
        <f t="array" aca="1" ref="DI483" ca="1">IFERROR(VLOOKUP(INDEX(DE479:DE490,DH483),INDIRECT(BY479),2,FALSE),"----")</f>
        <v>----</v>
      </c>
      <c r="DJ483" s="691" t="e">
        <f t="shared" ca="1" si="8701"/>
        <v>#N/A</v>
      </c>
      <c r="DK483" s="4" t="e">
        <f ca="1">IF(AND(INDEX(SSM,DJ483,4)&gt;=$AB485,INDEX(SSM,DJ483,5)&gt;=$S479,INDEX(SSM,DJ483,6)&gt;=$R479),1,0)</f>
        <v>#N/A</v>
      </c>
      <c r="DL483" s="4" t="e">
        <f t="shared" ref="DL483" ca="1" si="8755">MATCH(1,OFFSET(DK479:DK490,DM482,0,COUNT(DK479:DK490)-DM482),0)</f>
        <v>#REF!</v>
      </c>
      <c r="DM483" s="4" t="e">
        <f t="shared" ca="1" si="8703"/>
        <v>#REF!</v>
      </c>
      <c r="DN483" s="692" t="str">
        <f ca="1">IFERROR(IF(AD486="Nested Steel Stud (wood infill)",VLOOKUP(INDEX(DJ479:DJ490,DM483),SSW,2,FALSE),VLOOKUP(INDEX(DJ479:DJ490,DM483),SSM,2,FALSE)),"----")</f>
        <v>----</v>
      </c>
      <c r="DO483" s="691" t="e">
        <f t="shared" ca="1" si="8704"/>
        <v>#N/A</v>
      </c>
      <c r="DP483" s="4" t="e">
        <f ca="1">IF(AND(INDEX(WSM,DO483,4)&gt;=$AB485,INDEX(WSM,DO483,5)&gt;=$S479,INDEX(WSM,DO483,6)&gt;=$R479),1,0)</f>
        <v>#N/A</v>
      </c>
      <c r="DQ483" s="4" t="e">
        <f t="shared" ref="DQ483" ca="1" si="8756">MATCH(1,OFFSET(DP479:DP490,DR482,0,COUNT(DP479:DP490)-DR482),0)</f>
        <v>#REF!</v>
      </c>
      <c r="DR483" s="4" t="e">
        <f t="shared" ca="1" si="8706"/>
        <v>#REF!</v>
      </c>
      <c r="DS483" s="692" t="str">
        <f ca="1">IFERROR(VLOOKUP(INDEX(DO479:DO490,DR483),WSM,2,FALSE),"----")</f>
        <v>----</v>
      </c>
      <c r="DT483" s="691" t="e">
        <f t="shared" ca="1" si="8707"/>
        <v>#N/A</v>
      </c>
      <c r="DU483" s="4" t="e">
        <f ca="1">IF(AND(INDEX(STM,DT483,4)&gt;=$AB485,INDEX(STM,DT483,5)&gt;=$S479,INDEX(STM,DT483,6)&gt;=$R479),1,0)</f>
        <v>#N/A</v>
      </c>
      <c r="DV483" s="4" t="e">
        <f t="shared" ref="DV483" ca="1" si="8757">MATCH(1,OFFSET(DU479:DU490,DW482,0,COUNT(DU479:DU490)-DW482),0)</f>
        <v>#REF!</v>
      </c>
      <c r="DW483" s="4" t="e">
        <f t="shared" ca="1" si="8709"/>
        <v>#REF!</v>
      </c>
      <c r="DX483" s="692" t="str">
        <f ca="1">IFERROR(VLOOKUP(INDEX(DT479:DT490,DW483),STM,2,FALSE),"----")</f>
        <v>----</v>
      </c>
      <c r="DY483" s="691" t="e">
        <f t="shared" ca="1" si="8710"/>
        <v>#N/A</v>
      </c>
      <c r="DZ483" s="4" t="e">
        <f ca="1">IF(AND(INDEX(ELM,DY483,4)&gt;=$AB485,INDEX(ELM,DY483,5)&gt;=$S479,INDEX(ELM,DY483,6)&gt;=$R479),1,0)</f>
        <v>#N/A</v>
      </c>
      <c r="EA483" s="4" t="e">
        <f t="shared" ref="EA483" ca="1" si="8758">MATCH(1,OFFSET(DZ479:DZ490,EB482,0,COUNT(DZ479:DZ490)-EB482),0)</f>
        <v>#REF!</v>
      </c>
      <c r="EB483" s="4" t="e">
        <f t="shared" ca="1" si="8712"/>
        <v>#REF!</v>
      </c>
      <c r="EC483" s="692" t="str">
        <f ca="1">IFERROR(VLOOKUP(INDEX(DY479:DY490,EB483),ELM,2,FALSE),"----")</f>
        <v>----</v>
      </c>
      <c r="ED483" s="691" t="e">
        <f t="shared" ca="1" si="8713"/>
        <v>#N/A</v>
      </c>
      <c r="EE483" s="4" t="e">
        <f ca="1">IF(LEFT($J479,7)="Clad Wo",IF(AND(INDEX(SPPWS,ED483,4)&gt;=$AB485,INDEX(SPPWS,ED483,5)&gt;=$S479,INDEX(SPPWS,ED483,6)&gt;=$R479),1,0),IF(AND(INDEX(SPM,ED483,4)&gt;=$AB485,INDEX(SPM,ED483,5)&gt;=$S479,INDEX(SPM,ED483,6)&gt;=$R479),1,0))</f>
        <v>#N/A</v>
      </c>
      <c r="EF483" s="4" t="e">
        <f t="shared" ref="EF483" ca="1" si="8759">MATCH(1,OFFSET(EE479:EE490,EG482,0,COUNT(EE479:EE490)-EG482),0)</f>
        <v>#REF!</v>
      </c>
      <c r="EG483" s="4" t="e">
        <f t="shared" ca="1" si="8715"/>
        <v>#REF!</v>
      </c>
      <c r="EH483" s="692" t="str">
        <f ca="1">IF(LEFT($J479,7)="Clad Wo",IFERROR(VLOOKUP(INDEX(ED479:ED490,EG483),SPPWS,2,FALSE),"----"),IFERROR(VLOOKUP(INDEX(ED479:ED490,EG483),SPM,2,FALSE),"----"))</f>
        <v>----</v>
      </c>
    </row>
    <row r="484" spans="1:138" ht="15" customHeight="1" thickBot="1" x14ac:dyDescent="0.3">
      <c r="A484" s="1085"/>
      <c r="B484" s="934"/>
      <c r="C484" s="935"/>
      <c r="D484" s="936"/>
      <c r="E484" s="995"/>
      <c r="F484" s="996"/>
      <c r="G484" s="997"/>
      <c r="H484" s="1062"/>
      <c r="I484" s="990"/>
      <c r="J484" s="908"/>
      <c r="K484" s="909"/>
      <c r="L484" s="1010"/>
      <c r="M484" s="924"/>
      <c r="N484" s="1044"/>
      <c r="O484" s="1018"/>
      <c r="P484" s="987"/>
      <c r="Q484" s="1015"/>
      <c r="R484" s="1012"/>
      <c r="S484" s="1006"/>
      <c r="T484" s="1007"/>
      <c r="U484" s="878"/>
      <c r="V484" s="881"/>
      <c r="W484" s="889"/>
      <c r="X484" s="884"/>
      <c r="Y484" s="890"/>
      <c r="Z484" s="890"/>
      <c r="AA484" s="887"/>
      <c r="AB484" s="1084"/>
      <c r="AC484" s="1079"/>
      <c r="AD484" s="1072" t="str">
        <f t="shared" ref="AD484" si="8760">IF(LEFT(J479,7)="Clad Wo","Pella Wood Spr / Steel Pte","Steel Plate")</f>
        <v>Steel Plate</v>
      </c>
      <c r="AE484" s="1073"/>
      <c r="AF484" s="1054"/>
      <c r="AG484" s="1055"/>
      <c r="AH484" s="1055"/>
      <c r="AI484" s="1092"/>
      <c r="AJ484" s="1093"/>
      <c r="AK484" s="159" t="str">
        <f t="shared" ref="AK484:AK547" ca="1" si="8761">IFERROR(VLOOKUP(AI484,OFFSET(INDIRECT(AQ484),0,1),2,FALSE),"")</f>
        <v/>
      </c>
      <c r="AL484" s="1040"/>
      <c r="AM484" s="345" t="str">
        <f ca="1">IFERROR(Q479/12*ROUND(VLOOKUP(AF484,OFFSET(SPM,0,1),6,FALSE),2),"")</f>
        <v/>
      </c>
      <c r="AN484" t="str">
        <f t="shared" ca="1" si="7532"/>
        <v/>
      </c>
      <c r="AP484" s="699" t="str">
        <f t="shared" ref="AP484" si="8762">_xlfn.CONCAT(AR484,AS484)</f>
        <v/>
      </c>
      <c r="AQ484" s="700" t="str">
        <f t="shared" si="7698"/>
        <v/>
      </c>
      <c r="AR484" s="160" t="str">
        <f t="shared" si="8745"/>
        <v/>
      </c>
      <c r="AS484" s="160" t="str">
        <f>IFERROR(VLOOKUP(J487, WallType,2,FALSE),"")</f>
        <v/>
      </c>
      <c r="AT484" s="701" t="str">
        <f>AL479</f>
        <v/>
      </c>
      <c r="AU484" s="694" t="e">
        <f t="shared" ca="1" si="7724"/>
        <v>#REF!</v>
      </c>
      <c r="AV484" s="698" t="str">
        <f ca="1">IFERROR(VLOOKUP(AU484,INDIRECT(AQ479),2,FALSE),"----")</f>
        <v>----</v>
      </c>
      <c r="AW484" s="702" t="e">
        <f t="shared" ca="1" si="7725"/>
        <v>#REF!</v>
      </c>
      <c r="AX484" s="698" t="str">
        <f ca="1">IFERROR(VLOOKUP(AW484,INDIRECT(AQ480),2,FALSE),"----")</f>
        <v>----</v>
      </c>
      <c r="AY484" s="702" t="e">
        <f t="shared" ref="AY484:AY499" ca="1" si="8763">AY483-1</f>
        <v>#REF!</v>
      </c>
      <c r="AZ484" s="698" t="str">
        <f ca="1">IFERROR(VLOOKUP(AY484,INDIRECT(AQ481),2,FALSE),"----")</f>
        <v>----</v>
      </c>
      <c r="BA484" s="702" t="e">
        <f t="shared" ref="BA484:BA499" ca="1" si="8764">BA483-1</f>
        <v>#REF!</v>
      </c>
      <c r="BB484" s="698" t="str">
        <f ca="1">IFERROR(VLOOKUP(BA484,INDIRECT(AQ482),2,FALSE),"----")</f>
        <v>----</v>
      </c>
      <c r="BC484" s="702" t="e">
        <f t="shared" ca="1" si="7728"/>
        <v>#REF!</v>
      </c>
      <c r="BD484" s="698" t="str">
        <f ca="1">IFERROR(VLOOKUP(BC484,INDIRECT(AQ483),2,FALSE),"----")</f>
        <v>----</v>
      </c>
      <c r="BE484" s="702" t="e">
        <f t="shared" ca="1" si="7729"/>
        <v>#REF!</v>
      </c>
      <c r="BF484" s="698" t="str">
        <f ca="1">IFERROR(VLOOKUP(BE484,INDIRECT(AQ484),2,FALSE),"----")</f>
        <v>----</v>
      </c>
      <c r="BG484" s="702" t="e">
        <f t="shared" ca="1" si="7730"/>
        <v>#REF!</v>
      </c>
      <c r="BH484" s="686" t="str">
        <f ca="1">IFERROR(VLOOKUP(BG484,INDIRECT(AQ485),2,FALSE),"----")</f>
        <v>----</v>
      </c>
      <c r="BI484" s="702" t="e">
        <f t="shared" ca="1" si="7731"/>
        <v>#REF!</v>
      </c>
      <c r="BJ484" s="686" t="str">
        <f ca="1">IFERROR(VLOOKUP(BI484,INDIRECT(AQ486),2,FALSE),"----")</f>
        <v>----</v>
      </c>
      <c r="BK484" s="702" t="e">
        <f t="shared" ca="1" si="7732"/>
        <v>#REF!</v>
      </c>
      <c r="BL484" s="686" t="str">
        <f ca="1">IFERROR(VLOOKUP(BK484,INDIRECT(AQ487),2,FALSE),"----")</f>
        <v>----</v>
      </c>
      <c r="BM484" s="702" t="e">
        <f t="shared" ca="1" si="7733"/>
        <v>#REF!</v>
      </c>
      <c r="BN484" s="686" t="str">
        <f ca="1">IFERROR(VLOOKUP(BM484,INDIRECT(AQ488),2,FALSE),"----")</f>
        <v>----</v>
      </c>
      <c r="BO484" s="702" t="e">
        <f t="shared" ca="1" si="7734"/>
        <v>#REF!</v>
      </c>
      <c r="BP484" s="686" t="str">
        <f ca="1">IFERROR(VLOOKUP(BO484,INDIRECT(AQ489),2,FALSE),"----")</f>
        <v>----</v>
      </c>
      <c r="BQ484" s="702" t="e">
        <f t="shared" ca="1" si="7735"/>
        <v>#REF!</v>
      </c>
      <c r="BR484" s="686" t="str">
        <f ca="1">IFERROR(VLOOKUP(BQ484,INDIRECT(AQ490),2,FALSE),"----")</f>
        <v>----</v>
      </c>
      <c r="BS484" s="703">
        <f>IF(AI484="",1,IF(COUNTIF(BF479:BF490,AI484)=0,2,1))</f>
        <v>1</v>
      </c>
      <c r="BT484" s="704">
        <f>IF(AF484="",1,IF(BF479=".",2,1))</f>
        <v>1</v>
      </c>
      <c r="BV484" s="155">
        <f ca="1">IF(COUNTIF(DD479:DD490,AF484)=0,IF(AF484&lt;&gt;"",0,1),1)</f>
        <v>1</v>
      </c>
      <c r="BW484" s="157">
        <f ca="1">IFERROR(MATCH(AF484,DD479:DD490,0),1)</f>
        <v>1</v>
      </c>
      <c r="BX484" s="875" t="s">
        <v>1594</v>
      </c>
      <c r="BY484" s="876"/>
      <c r="BZ484" s="1110"/>
      <c r="CA484" s="691" t="e">
        <f t="shared" ca="1" si="8680"/>
        <v>#REF!</v>
      </c>
      <c r="CB484" s="4" t="e" cm="1">
        <f t="array" aca="1" ref="CB484" ca="1">IF(AND(INDEX(INDIRECT(BY479),CA484,4)&gt;=$AB479,INDEX(INDIRECT(BY479),CA484,5)&gt;=$S479,INDEX(INDIRECT(BY479),CA484,6)&gt;=$R479),1,0)</f>
        <v>#REF!</v>
      </c>
      <c r="CC484" s="4" t="e">
        <f t="shared" ref="CC484" ca="1" si="8765">MATCH(1,OFFSET(CB479:CB490,CD483,0,COUNT(CB479:CB490)-CD483),0)</f>
        <v>#REF!</v>
      </c>
      <c r="CD484" s="4" t="e">
        <f t="shared" ca="1" si="8682"/>
        <v>#REF!</v>
      </c>
      <c r="CE484" s="692" t="str" cm="1">
        <f t="array" aca="1" ref="CE484" ca="1">IFERROR(VLOOKUP(INDEX(CA479:CA490,CD484),INDIRECT(BY479),2,FALSE),"----")</f>
        <v>----</v>
      </c>
      <c r="CF484" s="691" t="e">
        <f t="shared" ca="1" si="8683"/>
        <v>#N/A</v>
      </c>
      <c r="CG484" s="4" t="e">
        <f ca="1">IF(AND(INDEX(SSM,CF484,4)&gt;=$AB479,INDEX(SSM,CF484,5)&gt;=$S479,INDEX(SSM,CF484,6)&gt;=$R479),1,0)</f>
        <v>#N/A</v>
      </c>
      <c r="CH484" s="4" t="e">
        <f t="shared" ref="CH484" ca="1" si="8766">MATCH(1,OFFSET(CG479:CG490,CI483,0,COUNT(CG479:CG490)-CI483),0)</f>
        <v>#REF!</v>
      </c>
      <c r="CI484" s="4" t="e">
        <f t="shared" ca="1" si="8685"/>
        <v>#REF!</v>
      </c>
      <c r="CJ484" s="692" t="str">
        <f ca="1">IFERROR(IF(AD480="Nested Steel Stud (wood infill)",VLOOKUP(INDEX(CF479:CF490,CI484),SSW,2,FALSE),VLOOKUP(INDEX(CF479:CF490,CI484),SSM,2,FALSE)),"----")</f>
        <v>----</v>
      </c>
      <c r="CK484" s="691" t="e">
        <f t="shared" ca="1" si="8686"/>
        <v>#N/A</v>
      </c>
      <c r="CL484" s="4" t="e">
        <f ca="1">IF(AND(INDEX(WSM,CK484,4)&gt;=$AB479,INDEX(WSM,CK484,5)&gt;=$S479,INDEX(WSM,CK484,6)&gt;=$R479),1,0)</f>
        <v>#N/A</v>
      </c>
      <c r="CM484" s="4" t="e">
        <f t="shared" ref="CM484" ca="1" si="8767">MATCH(1,OFFSET(CL479:CL490,CN483,0,COUNT(CL479:CL490)-CN483),0)</f>
        <v>#REF!</v>
      </c>
      <c r="CN484" s="4" t="e">
        <f t="shared" ca="1" si="8688"/>
        <v>#REF!</v>
      </c>
      <c r="CO484" s="692" t="str">
        <f ca="1">IFERROR(VLOOKUP(INDEX(CK479:CK490,CN484),WSM,2,FALSE),"----")</f>
        <v>----</v>
      </c>
      <c r="CP484" s="691" t="e">
        <f t="shared" ca="1" si="8689"/>
        <v>#N/A</v>
      </c>
      <c r="CQ484" s="4" t="e">
        <f ca="1">IF(AND(INDEX(STM,CP484,4)&gt;=$AB479,INDEX(STM,CP484,5)&gt;=$S479,INDEX(STM,CP484,6)&gt;=$R479),1,0)</f>
        <v>#N/A</v>
      </c>
      <c r="CR484" s="4" t="e">
        <f t="shared" ref="CR484" ca="1" si="8768">MATCH(1,OFFSET(CQ479:CQ490,CS483,0,COUNT(CQ479:CQ490)-CS483),0)</f>
        <v>#REF!</v>
      </c>
      <c r="CS484" s="4" t="e">
        <f t="shared" ca="1" si="8691"/>
        <v>#REF!</v>
      </c>
      <c r="CT484" s="692" t="str">
        <f ca="1">IFERROR(VLOOKUP(INDEX(CP479:CP490,CS484),STM,2,FALSE),"----")</f>
        <v>----</v>
      </c>
      <c r="CU484" s="691" t="e">
        <f t="shared" ca="1" si="8692"/>
        <v>#N/A</v>
      </c>
      <c r="CV484" s="4" t="e">
        <f ca="1">IF(AND(INDEX(ELM,CU484,4)&gt;=$AB479,INDEX(ELM,CU484,5)&gt;=$S479,INDEX(ELM,CU484,6)&gt;=$R479),1,0)</f>
        <v>#N/A</v>
      </c>
      <c r="CW484" s="4" t="e">
        <f t="shared" ref="CW484" ca="1" si="8769">MATCH(1,OFFSET(CV479:CV490,CX483,0,COUNT(CV479:CV490)-CX483),0)</f>
        <v>#REF!</v>
      </c>
      <c r="CX484" s="4" t="e">
        <f t="shared" ca="1" si="8694"/>
        <v>#REF!</v>
      </c>
      <c r="CY484" s="692" t="str">
        <f ca="1">IFERROR(VLOOKUP(INDEX(CU479:CU490,CX484),ELM,2,FALSE),"----")</f>
        <v>----</v>
      </c>
      <c r="CZ484" s="691" t="e">
        <f t="shared" ca="1" si="8695"/>
        <v>#N/A</v>
      </c>
      <c r="DA484" s="4" t="e">
        <f ca="1">IF(LEFT($J479,7)="Clad Wo",IF(AND(INDEX(SPPWS,CZ484,4)&gt;=$AB479,INDEX(SPPWS,CZ484,5)&gt;=$S479,INDEX(SPPWS,CZ484,6)&gt;=$R479),1,0),IF(AND(INDEX(SPM,CZ484,4)&gt;=$AB479,INDEX(SPM,CZ484,5)&gt;=$S479,INDEX(SPM,CZ484,6)&gt;=$R479),1,0))</f>
        <v>#N/A</v>
      </c>
      <c r="DB484" s="4" t="e">
        <f t="shared" ref="DB484" ca="1" si="8770">MATCH(1,OFFSET(DA479:DA490,DC483,0,COUNT(DA479:DA490)-DC483),0)</f>
        <v>#REF!</v>
      </c>
      <c r="DC484" s="4" t="e">
        <f t="shared" ca="1" si="8697"/>
        <v>#REF!</v>
      </c>
      <c r="DD484" s="693" t="str">
        <f ca="1">IF(LEFT($J479,7)="Clad Wo",IFERROR(VLOOKUP(INDEX(CZ479:CZ490,DC484),SPPWS,2,FALSE),"----"),IFERROR(VLOOKUP(INDEX(CZ479:CZ490,DC484),SPM,2,FALSE),"----"))</f>
        <v>----</v>
      </c>
      <c r="DE484" s="691" t="e">
        <f t="shared" ca="1" si="8698"/>
        <v>#REF!</v>
      </c>
      <c r="DF484" s="4" t="e" cm="1">
        <f t="array" aca="1" ref="DF484" ca="1">IF(AND(INDEX(INDIRECT(BY479),DE484,4)&gt;=$AB485,INDEX(INDIRECT(BY479),DE484,5)&gt;=$S479,INDEX(INDIRECT(BY479),DE484,6)&gt;=$R479),1,0)</f>
        <v>#REF!</v>
      </c>
      <c r="DG484" s="4" t="e">
        <f t="shared" ref="DG484" ca="1" si="8771">MATCH(1,OFFSET(DF479:DF490,DH483,0,COUNT(DF479:DF490)-DH483),0)</f>
        <v>#REF!</v>
      </c>
      <c r="DH484" s="4" t="e">
        <f t="shared" ca="1" si="8700"/>
        <v>#REF!</v>
      </c>
      <c r="DI484" s="692" t="str" cm="1">
        <f t="array" aca="1" ref="DI484" ca="1">IFERROR(VLOOKUP(INDEX(DE479:DE490,DH484),INDIRECT(BY479),2,FALSE),"----")</f>
        <v>----</v>
      </c>
      <c r="DJ484" s="691" t="e">
        <f t="shared" ca="1" si="8701"/>
        <v>#N/A</v>
      </c>
      <c r="DK484" s="4" t="e">
        <f ca="1">IF(AND(INDEX(SSM,DJ484,4)&gt;=$AB485,INDEX(SSM,DJ484,5)&gt;=$S479,INDEX(SSM,DJ484,6)&gt;=$R479),1,0)</f>
        <v>#N/A</v>
      </c>
      <c r="DL484" s="4" t="e">
        <f t="shared" ref="DL484" ca="1" si="8772">MATCH(1,OFFSET(DK479:DK490,DM483,0,COUNT(DK479:DK490)-DM483),0)</f>
        <v>#REF!</v>
      </c>
      <c r="DM484" s="4" t="e">
        <f t="shared" ca="1" si="8703"/>
        <v>#REF!</v>
      </c>
      <c r="DN484" s="692" t="str">
        <f ca="1">IFERROR(IF(AD486="Nested Steel Stud (wood infill)",VLOOKUP(INDEX(DJ479:DJ490,DM484),SSW,2,FALSE),VLOOKUP(INDEX(DJ479:DJ490,DM484),SSM,2,FALSE)),"----")</f>
        <v>----</v>
      </c>
      <c r="DO484" s="691" t="e">
        <f t="shared" ca="1" si="8704"/>
        <v>#N/A</v>
      </c>
      <c r="DP484" s="4" t="e">
        <f ca="1">IF(AND(INDEX(WSM,DO484,4)&gt;=$AB485,INDEX(WSM,DO484,5)&gt;=$S479,INDEX(WSM,DO484,6)&gt;=$R479),1,0)</f>
        <v>#N/A</v>
      </c>
      <c r="DQ484" s="4" t="e">
        <f t="shared" ref="DQ484" ca="1" si="8773">MATCH(1,OFFSET(DP479:DP490,DR483,0,COUNT(DP479:DP490)-DR483),0)</f>
        <v>#REF!</v>
      </c>
      <c r="DR484" s="4" t="e">
        <f t="shared" ca="1" si="8706"/>
        <v>#REF!</v>
      </c>
      <c r="DS484" s="692" t="str">
        <f ca="1">IFERROR(VLOOKUP(INDEX(DO479:DO490,DR484),WSM,2,FALSE),"----")</f>
        <v>----</v>
      </c>
      <c r="DT484" s="691" t="e">
        <f t="shared" ca="1" si="8707"/>
        <v>#N/A</v>
      </c>
      <c r="DU484" s="4" t="e">
        <f ca="1">IF(AND(INDEX(STM,DT484,4)&gt;=$AB485,INDEX(STM,DT484,5)&gt;=$S479,INDEX(STM,DT484,6)&gt;=$R479),1,0)</f>
        <v>#N/A</v>
      </c>
      <c r="DV484" s="4" t="e">
        <f t="shared" ref="DV484" ca="1" si="8774">MATCH(1,OFFSET(DU479:DU490,DW483,0,COUNT(DU479:DU490)-DW483),0)</f>
        <v>#REF!</v>
      </c>
      <c r="DW484" s="4" t="e">
        <f t="shared" ca="1" si="8709"/>
        <v>#REF!</v>
      </c>
      <c r="DX484" s="692" t="str">
        <f ca="1">IFERROR(VLOOKUP(INDEX(DT479:DT490,DW484),STM,2,FALSE),"----")</f>
        <v>----</v>
      </c>
      <c r="DY484" s="691" t="e">
        <f t="shared" ca="1" si="8710"/>
        <v>#N/A</v>
      </c>
      <c r="DZ484" s="4" t="e">
        <f ca="1">IF(AND(INDEX(ELM,DY484,4)&gt;=$AB485,INDEX(ELM,DY484,5)&gt;=$S479,INDEX(ELM,DY484,6)&gt;=$R479),1,0)</f>
        <v>#N/A</v>
      </c>
      <c r="EA484" s="4" t="e">
        <f t="shared" ref="EA484" ca="1" si="8775">MATCH(1,OFFSET(DZ479:DZ490,EB483,0,COUNT(DZ479:DZ490)-EB483),0)</f>
        <v>#REF!</v>
      </c>
      <c r="EB484" s="4" t="e">
        <f t="shared" ca="1" si="8712"/>
        <v>#REF!</v>
      </c>
      <c r="EC484" s="692" t="str">
        <f ca="1">IFERROR(VLOOKUP(INDEX(DY479:DY490,EB484),ELM,2,FALSE),"----")</f>
        <v>----</v>
      </c>
      <c r="ED484" s="691" t="e">
        <f t="shared" ca="1" si="8713"/>
        <v>#N/A</v>
      </c>
      <c r="EE484" s="4" t="e">
        <f ca="1">IF(LEFT($J479,7)="Clad Wo",IF(AND(INDEX(SPPWS,ED484,4)&gt;=$AB485,INDEX(SPPWS,ED484,5)&gt;=$S479,INDEX(SPPWS,ED484,6)&gt;=$R479),1,0),IF(AND(INDEX(SPM,ED484,4)&gt;=$AB485,INDEX(SPM,ED484,5)&gt;=$S479,INDEX(SPM,ED484,6)&gt;=$R479),1,0))</f>
        <v>#N/A</v>
      </c>
      <c r="EF484" s="4" t="e">
        <f t="shared" ref="EF484" ca="1" si="8776">MATCH(1,OFFSET(EE479:EE490,EG483,0,COUNT(EE479:EE490)-EG483),0)</f>
        <v>#REF!</v>
      </c>
      <c r="EG484" s="4" t="e">
        <f t="shared" ca="1" si="8715"/>
        <v>#REF!</v>
      </c>
      <c r="EH484" s="692" t="str">
        <f ca="1">IF(LEFT($J479,7)="Clad Wo",IFERROR(VLOOKUP(INDEX(ED479:ED490,EG484),SPPWS,2,FALSE),"----"),IFERROR(VLOOKUP(INDEX(ED479:ED490,EG484),SPM,2,FALSE),"----"))</f>
        <v>----</v>
      </c>
    </row>
    <row r="485" spans="1:138" ht="15" customHeight="1" x14ac:dyDescent="0.25">
      <c r="A485" s="1085"/>
      <c r="B485" s="925" t="s">
        <v>409</v>
      </c>
      <c r="C485" s="926"/>
      <c r="D485" s="927"/>
      <c r="E485" s="995"/>
      <c r="F485" s="996"/>
      <c r="G485" s="997"/>
      <c r="H485" s="1062"/>
      <c r="I485" s="990"/>
      <c r="J485" s="908"/>
      <c r="K485" s="909"/>
      <c r="L485" s="1001">
        <f>L479+1</f>
        <v>5</v>
      </c>
      <c r="M485" s="1064" t="str">
        <f t="shared" ref="M485" si="8777">IFERROR(IF($AE$17="",IF($AG$19="Wind Loading",MIN($V$31,IF(E$11="ASCE 7-05",$U$26,$V$7)*$V$9*(IF($E$12&lt;60,0.156*LN(MAX(MIN(500,O479),10)) -1.7618,IF($E$11="ASCE 7-22", 0.2026*LN(MAX(MIN(500,O479),20))-2.2638,0.2503*LN(MAX(MIN(500,O479),20)) -2.5526))-$V$8)),$V$7*IF(E$12&lt;60,$V$13*($V$15*(0.156*LN(MAX(MIN(500,O479),10)) -1.7618)-$V$16),$V$13*$V$15*((0.2026*LN(MAX(MIN(500,O479),20))-2.2638)-$V$16))),-ABS($AE$17)),"")</f>
        <v/>
      </c>
      <c r="N485" s="1041" t="str">
        <f t="shared" ref="N485" si="8778">IFERROR(IF($AE$19="",IF($AG$19="Wind Loading",MAX($U$31,IF(E$11="ASCE 7-05",$U$26,$V$7)*$V$9*((IF($E$12&lt;60,-0.077*LN(MAX(MIN(500,O479),10))+1.1737,IF($E$11="ASCE 7-22",-0.077*LN(MAX(MIN(500,O479),20))+1.0798,-0.093*LN(MAX(MIN(500,O479),20))+1.1776)))+$V$8)),$V$7*IF(E$12&lt;60,$V$13*($V$15*(-0.077*LN(MAX(MIN(500,O479),10))+1.1737)-$V$17),$V$13*$V$15*((-0.077*LN(MAX(MIN(500,O479),20))+1.0798)-$V$17))),ABS($AE$19)),"")</f>
        <v/>
      </c>
      <c r="O485" s="1018"/>
      <c r="P485" s="987"/>
      <c r="Q485" s="1015"/>
      <c r="R485" s="1012">
        <f>P485*Q485/8</f>
        <v>0</v>
      </c>
      <c r="S485" s="1006"/>
      <c r="T485" s="1007"/>
      <c r="U485" s="878"/>
      <c r="V485" s="881"/>
      <c r="W485" s="883" t="e">
        <f t="shared" ref="W485" si="8779">MAX(-M485,N485)*O479</f>
        <v>#VALUE!</v>
      </c>
      <c r="X485" s="884"/>
      <c r="Y485" s="886">
        <f>IFERROR(IF(AG$14="Trapezoidal",BY488,BX488)+IF($E$17="4",(400*E479^3)/(48*X479),0),0)</f>
        <v>0</v>
      </c>
      <c r="Z485" s="886" t="e">
        <f t="shared" ref="Z485" si="8780">+($V479*MAX(-$M485,$N485)*$E479^2)/(144*8)+IF($E$17=4,(400*$E479)/4,0)</f>
        <v>#VALUE!</v>
      </c>
      <c r="AA485" s="887"/>
      <c r="AB485" s="1080" t="str">
        <f t="shared" ref="AB485" ca="1" si="8781">IFERROR(Z485-AA479,"")</f>
        <v/>
      </c>
      <c r="AC485" s="1086" t="str">
        <f t="shared" ref="AC485" ca="1" si="8782">IFERROR(Y485-U479,"")</f>
        <v/>
      </c>
      <c r="AD485" s="1074" t="str">
        <f t="shared" ref="AD485" si="8783">AD479</f>
        <v/>
      </c>
      <c r="AE485" s="1075"/>
      <c r="AF485" s="1056"/>
      <c r="AG485" s="1057"/>
      <c r="AH485" s="1057"/>
      <c r="AI485" s="1088"/>
      <c r="AJ485" s="1089"/>
      <c r="AK485" s="162" t="str">
        <f t="shared" ca="1" si="8761"/>
        <v/>
      </c>
      <c r="AL485" s="1058" t="str">
        <f t="shared" ref="AL485" si="8784">IFERROR(ROUND(SQRT(P479^2+(W485/2+IF($E$17=4,200,0))^2),0),"")</f>
        <v/>
      </c>
      <c r="AM485" s="342" t="s">
        <v>669</v>
      </c>
      <c r="AN485" t="str">
        <f t="shared" ref="AN485:AN548" ca="1" si="8785">IF(BW485&gt;1,"Lighter Reinforcement Options Available","")</f>
        <v/>
      </c>
      <c r="AP485" s="122" t="str">
        <f t="shared" ref="AP485" si="8786">_xlfn.CONCAT(AR485,AS490)</f>
        <v/>
      </c>
      <c r="AQ485" s="683" t="str">
        <f t="shared" si="7698"/>
        <v/>
      </c>
      <c r="AR485" s="96" t="str">
        <f t="shared" si="8745"/>
        <v/>
      </c>
      <c r="AS485" s="96" t="str">
        <f>IF(COUNTIF(imp_1,AF485)=1,"imp_1",IF(COUNTIF(imp_2,AF485)=1,"imp_2",IF(COUNTIF(imp_3,AF485)=1,"imp_3",IF(COUNTIF(impdoor,AF485)=1,"impdoor",""))))</f>
        <v/>
      </c>
      <c r="AT485" s="684" t="str">
        <f>AL485</f>
        <v/>
      </c>
      <c r="AU485" s="685" t="e">
        <f t="shared" ca="1" si="7724"/>
        <v>#REF!</v>
      </c>
      <c r="AV485" s="686" t="str">
        <f ca="1">IFERROR(VLOOKUP(AU485,INDIRECT(AQ479),2,FALSE),"----")</f>
        <v>----</v>
      </c>
      <c r="AW485" s="685" t="e">
        <f t="shared" ca="1" si="7725"/>
        <v>#REF!</v>
      </c>
      <c r="AX485" s="686" t="str">
        <f ca="1">IFERROR(VLOOKUP(AW485,INDIRECT(AQ480),2,FALSE),"----")</f>
        <v>----</v>
      </c>
      <c r="AY485" s="685" t="e">
        <f t="shared" ca="1" si="8763"/>
        <v>#REF!</v>
      </c>
      <c r="AZ485" s="686" t="str">
        <f ca="1">IFERROR(VLOOKUP(AY485,INDIRECT(AQ481),2,FALSE),"----")</f>
        <v>----</v>
      </c>
      <c r="BA485" s="685" t="e">
        <f t="shared" ca="1" si="8764"/>
        <v>#REF!</v>
      </c>
      <c r="BB485" s="686" t="str">
        <f ca="1">IFERROR(VLOOKUP(BA485,INDIRECT(AQ482),2,FALSE),"----")</f>
        <v>----</v>
      </c>
      <c r="BC485" s="685" t="e">
        <f t="shared" ca="1" si="7728"/>
        <v>#REF!</v>
      </c>
      <c r="BD485" s="686" t="str">
        <f ca="1">IFERROR(VLOOKUP(BC485,INDIRECT(AQ483),2,FALSE),"----")</f>
        <v>----</v>
      </c>
      <c r="BE485" s="685" t="e">
        <f t="shared" ca="1" si="7729"/>
        <v>#REF!</v>
      </c>
      <c r="BF485" s="686" t="str">
        <f ca="1">IFERROR(VLOOKUP(BE485,INDIRECT(AQ484),2,FALSE),"----")</f>
        <v>----</v>
      </c>
      <c r="BG485" s="702" t="e">
        <f t="shared" ca="1" si="7730"/>
        <v>#REF!</v>
      </c>
      <c r="BH485" s="686" t="str">
        <f ca="1">IFERROR(VLOOKUP(BG485,INDIRECT(AQ485),2,FALSE),"----")</f>
        <v>----</v>
      </c>
      <c r="BI485" s="702" t="e">
        <f t="shared" ca="1" si="7731"/>
        <v>#REF!</v>
      </c>
      <c r="BJ485" s="686" t="str">
        <f ca="1">IFERROR(VLOOKUP(BI485,INDIRECT(AQ486),2,FALSE),"----")</f>
        <v>----</v>
      </c>
      <c r="BK485" s="702" t="e">
        <f t="shared" ca="1" si="7732"/>
        <v>#REF!</v>
      </c>
      <c r="BL485" s="686" t="str">
        <f ca="1">IFERROR(VLOOKUP(BK485,INDIRECT(AQ487),2,FALSE),"----")</f>
        <v>----</v>
      </c>
      <c r="BM485" s="702" t="e">
        <f t="shared" ca="1" si="7733"/>
        <v>#REF!</v>
      </c>
      <c r="BN485" s="686" t="str">
        <f ca="1">IFERROR(VLOOKUP(BM485,INDIRECT(AQ488),2,FALSE),"----")</f>
        <v>----</v>
      </c>
      <c r="BO485" s="702" t="e">
        <f t="shared" ca="1" si="7734"/>
        <v>#REF!</v>
      </c>
      <c r="BP485" s="686" t="str">
        <f ca="1">IFERROR(VLOOKUP(BO485,INDIRECT(AQ489),2,FALSE),"----")</f>
        <v>----</v>
      </c>
      <c r="BQ485" s="702" t="e">
        <f t="shared" ca="1" si="7735"/>
        <v>#REF!</v>
      </c>
      <c r="BR485" s="686" t="str">
        <f ca="1">IFERROR(VLOOKUP(BQ485,INDIRECT(AQ490),2,FALSE),"----")</f>
        <v>----</v>
      </c>
      <c r="BS485" s="695">
        <f>IF(AI485="",1,IF(COUNTIF(BH479:BH490,AI485)=0,2,1))</f>
        <v>1</v>
      </c>
      <c r="BT485" s="696">
        <f>IF(AP485="1",1,IF(AF485="",1,IF(BH479=".",2,1)))</f>
        <v>1</v>
      </c>
      <c r="BU485" s="706"/>
      <c r="BV485" s="155">
        <f ca="1">IF(COUNTIF(DI479:DI490,AF485)=0,IF(AF485&lt;&gt;"",0,1),1)</f>
        <v>1</v>
      </c>
      <c r="BW485" s="157">
        <f ca="1">IFERROR(MATCH(AF485,DI479:DI490,0),1)</f>
        <v>1</v>
      </c>
      <c r="BX485" s="769" t="s">
        <v>1593</v>
      </c>
      <c r="BY485" s="769" t="s">
        <v>1629</v>
      </c>
      <c r="BZ485" s="1110"/>
      <c r="CA485" s="691" t="e">
        <f t="shared" ca="1" si="8680"/>
        <v>#REF!</v>
      </c>
      <c r="CB485" s="4" t="e" cm="1">
        <f t="array" aca="1" ref="CB485" ca="1">IF(AND(INDEX(INDIRECT(BY479),CA485,4)&gt;=$AB479,INDEX(INDIRECT(BY479),CA485,5)&gt;=$S479,INDEX(INDIRECT(BY479),CA485,6)&gt;=$R479),1,0)</f>
        <v>#REF!</v>
      </c>
      <c r="CC485" s="4" t="e">
        <f t="shared" ref="CC485" ca="1" si="8787">MATCH(1,OFFSET(CB479:CB490,CD484,0,COUNT(CB479:CB490)-CD484),0)</f>
        <v>#REF!</v>
      </c>
      <c r="CD485" s="4" t="e">
        <f t="shared" ca="1" si="8682"/>
        <v>#REF!</v>
      </c>
      <c r="CE485" s="692" t="str" cm="1">
        <f t="array" aca="1" ref="CE485" ca="1">IFERROR(VLOOKUP(INDEX(CA479:CA490,CD485),INDIRECT(BY479),2,FALSE),"----")</f>
        <v>----</v>
      </c>
      <c r="CF485" s="691" t="e">
        <f t="shared" ca="1" si="8683"/>
        <v>#N/A</v>
      </c>
      <c r="CG485" s="4" t="e">
        <f ca="1">IF(AND(INDEX(SSM,CF485,4)&gt;=$AB479,INDEX(SSM,CF485,5)&gt;=$S479,INDEX(SSM,CF485,6)&gt;=$R479),1,0)</f>
        <v>#N/A</v>
      </c>
      <c r="CH485" s="4" t="e">
        <f t="shared" ref="CH485" ca="1" si="8788">MATCH(1,OFFSET(CG479:CG490,CI484,0,COUNT(CG479:CG490)-CI484),0)</f>
        <v>#REF!</v>
      </c>
      <c r="CI485" s="4" t="e">
        <f t="shared" ca="1" si="8685"/>
        <v>#REF!</v>
      </c>
      <c r="CJ485" s="692" t="str">
        <f ca="1">IFERROR(IF(AD480="Nested Steel Stud (wood infill)",VLOOKUP(INDEX(CF479:CF490,CI485),SSW,2,FALSE),VLOOKUP(INDEX(CF479:CF490,CI485),SSM,2,FALSE)),"----")</f>
        <v>----</v>
      </c>
      <c r="CK485" s="691" t="e">
        <f t="shared" ca="1" si="8686"/>
        <v>#N/A</v>
      </c>
      <c r="CL485" s="4" t="e">
        <f ca="1">IF(AND(INDEX(WSM,CK485,4)&gt;=$AB479,INDEX(WSM,CK485,5)&gt;=$S479,INDEX(WSM,CK485,6)&gt;=$R479),1,0)</f>
        <v>#N/A</v>
      </c>
      <c r="CM485" s="4" t="e">
        <f t="shared" ref="CM485" ca="1" si="8789">MATCH(1,OFFSET(CL479:CL490,CN484,0,COUNT(CL479:CL490)-CN484),0)</f>
        <v>#REF!</v>
      </c>
      <c r="CN485" s="4" t="e">
        <f t="shared" ca="1" si="8688"/>
        <v>#REF!</v>
      </c>
      <c r="CO485" s="692" t="str">
        <f ca="1">IFERROR(VLOOKUP(INDEX(CK479:CK490,CN485),WSM,2,FALSE),"----")</f>
        <v>----</v>
      </c>
      <c r="CP485" s="691" t="e">
        <f t="shared" ca="1" si="8689"/>
        <v>#N/A</v>
      </c>
      <c r="CQ485" s="4" t="e">
        <f ca="1">IF(AND(INDEX(STM,CP485,4)&gt;=$AB479,INDEX(STM,CP485,5)&gt;=$S479,INDEX(STM,CP485,6)&gt;=$R479),1,0)</f>
        <v>#N/A</v>
      </c>
      <c r="CR485" s="4" t="e">
        <f t="shared" ref="CR485" ca="1" si="8790">MATCH(1,OFFSET(CQ479:CQ490,CS484,0,COUNT(CQ479:CQ490)-CS484),0)</f>
        <v>#REF!</v>
      </c>
      <c r="CS485" s="4" t="e">
        <f t="shared" ca="1" si="8691"/>
        <v>#REF!</v>
      </c>
      <c r="CT485" s="692" t="str">
        <f ca="1">IFERROR(VLOOKUP(INDEX(CP479:CP490,CS485),STM,2,FALSE),"----")</f>
        <v>----</v>
      </c>
      <c r="CU485" s="691" t="e">
        <f t="shared" ca="1" si="8692"/>
        <v>#N/A</v>
      </c>
      <c r="CV485" s="4" t="e">
        <f ca="1">IF(AND(INDEX(ELM,CU485,4)&gt;=$AB479,INDEX(ELM,CU485,5)&gt;=$S479,INDEX(ELM,CU485,6)&gt;=$R479),1,0)</f>
        <v>#N/A</v>
      </c>
      <c r="CW485" s="4" t="e">
        <f t="shared" ref="CW485" ca="1" si="8791">MATCH(1,OFFSET(CV479:CV490,CX484,0,COUNT(CV479:CV490)-CX484),0)</f>
        <v>#REF!</v>
      </c>
      <c r="CX485" s="4" t="e">
        <f t="shared" ca="1" si="8694"/>
        <v>#REF!</v>
      </c>
      <c r="CY485" s="692" t="str">
        <f ca="1">IFERROR(VLOOKUP(INDEX(CU479:CU490,CX485),ELM,2,FALSE),"----")</f>
        <v>----</v>
      </c>
      <c r="CZ485" s="691" t="e">
        <f t="shared" ca="1" si="8695"/>
        <v>#N/A</v>
      </c>
      <c r="DA485" s="4" t="e">
        <f ca="1">IF(LEFT($J479,7)="Clad Wo",IF(AND(INDEX(SPPWS,CZ485,4)&gt;=$AB479,INDEX(SPPWS,CZ485,5)&gt;=$S479,INDEX(SPPWS,CZ485,6)&gt;=$R479),1,0),IF(AND(INDEX(SPM,CZ485,4)&gt;=$AB479,INDEX(SPM,CZ485,5)&gt;=$S479,INDEX(SPM,CZ485,6)&gt;=$R479),1,0))</f>
        <v>#N/A</v>
      </c>
      <c r="DB485" s="4" t="e">
        <f t="shared" ref="DB485" ca="1" si="8792">MATCH(1,OFFSET(DA479:DA490,DC484,0,COUNT(DA479:DA490)-DC484),0)</f>
        <v>#REF!</v>
      </c>
      <c r="DC485" s="4" t="e">
        <f t="shared" ca="1" si="8697"/>
        <v>#REF!</v>
      </c>
      <c r="DD485" s="693" t="str">
        <f ca="1">IF(LEFT($J479,7)="Clad Wo",IFERROR(VLOOKUP(INDEX(CZ479:CZ490,DC485),SPPWS,2,FALSE),"----"),IFERROR(VLOOKUP(INDEX(CZ479:CZ490,DC485),SPM,2,FALSE),"----"))</f>
        <v>----</v>
      </c>
      <c r="DE485" s="691" t="e">
        <f t="shared" ca="1" si="8698"/>
        <v>#REF!</v>
      </c>
      <c r="DF485" s="4" t="e" cm="1">
        <f t="array" aca="1" ref="DF485" ca="1">IF(AND(INDEX(INDIRECT(BY479),DE485,4)&gt;=$AB485,INDEX(INDIRECT(BY479),DE485,5)&gt;=$S479,INDEX(INDIRECT(BY479),DE485,6)&gt;=$R479),1,0)</f>
        <v>#REF!</v>
      </c>
      <c r="DG485" s="4" t="e">
        <f t="shared" ref="DG485" ca="1" si="8793">MATCH(1,OFFSET(DF479:DF490,DH484,0,COUNT(DF479:DF490)-DH484),0)</f>
        <v>#REF!</v>
      </c>
      <c r="DH485" s="4" t="e">
        <f t="shared" ca="1" si="8700"/>
        <v>#REF!</v>
      </c>
      <c r="DI485" s="692" t="str" cm="1">
        <f t="array" aca="1" ref="DI485" ca="1">IFERROR(VLOOKUP(INDEX(DE479:DE490,DH485),INDIRECT(BY479),2,FALSE),"----")</f>
        <v>----</v>
      </c>
      <c r="DJ485" s="691" t="e">
        <f t="shared" ca="1" si="8701"/>
        <v>#N/A</v>
      </c>
      <c r="DK485" s="4" t="e">
        <f ca="1">IF(AND(INDEX(SSM,DJ485,4)&gt;=$AB485,INDEX(SSM,DJ485,5)&gt;=$S479,INDEX(SSM,DJ485,6)&gt;=$R479),1,0)</f>
        <v>#N/A</v>
      </c>
      <c r="DL485" s="4" t="e">
        <f t="shared" ref="DL485" ca="1" si="8794">MATCH(1,OFFSET(DK479:DK490,DM484,0,COUNT(DK479:DK490)-DM484),0)</f>
        <v>#REF!</v>
      </c>
      <c r="DM485" s="4" t="e">
        <f t="shared" ca="1" si="8703"/>
        <v>#REF!</v>
      </c>
      <c r="DN485" s="692" t="str">
        <f ca="1">IFERROR(IF(AD486="Nested Steel Stud (wood infill)",VLOOKUP(INDEX(DJ479:DJ490,DM485),SSW,2,FALSE),VLOOKUP(INDEX(DJ479:DJ490,DM485),SSM,2,FALSE)),"----")</f>
        <v>----</v>
      </c>
      <c r="DO485" s="691" t="e">
        <f t="shared" ca="1" si="8704"/>
        <v>#N/A</v>
      </c>
      <c r="DP485" s="4" t="e">
        <f ca="1">IF(AND(INDEX(WSM,DO485,4)&gt;=$AB485,INDEX(WSM,DO485,5)&gt;=$S479,INDEX(WSM,DO485,6)&gt;=$R479),1,0)</f>
        <v>#N/A</v>
      </c>
      <c r="DQ485" s="4" t="e">
        <f t="shared" ref="DQ485" ca="1" si="8795">MATCH(1,OFFSET(DP479:DP490,DR484,0,COUNT(DP479:DP490)-DR484),0)</f>
        <v>#REF!</v>
      </c>
      <c r="DR485" s="4" t="e">
        <f t="shared" ca="1" si="8706"/>
        <v>#REF!</v>
      </c>
      <c r="DS485" s="692" t="str">
        <f ca="1">IFERROR(VLOOKUP(INDEX(DO479:DO490,DR485),WSM,2,FALSE),"----")</f>
        <v>----</v>
      </c>
      <c r="DT485" s="691" t="e">
        <f t="shared" ca="1" si="8707"/>
        <v>#N/A</v>
      </c>
      <c r="DU485" s="4" t="e">
        <f ca="1">IF(AND(INDEX(STM,DT485,4)&gt;=$AB485,INDEX(STM,DT485,5)&gt;=$S479,INDEX(STM,DT485,6)&gt;=$R479),1,0)</f>
        <v>#N/A</v>
      </c>
      <c r="DV485" s="4" t="e">
        <f t="shared" ref="DV485" ca="1" si="8796">MATCH(1,OFFSET(DU479:DU490,DW484,0,COUNT(DU479:DU490)-DW484),0)</f>
        <v>#REF!</v>
      </c>
      <c r="DW485" s="4" t="e">
        <f t="shared" ca="1" si="8709"/>
        <v>#REF!</v>
      </c>
      <c r="DX485" s="692" t="str">
        <f ca="1">IFERROR(VLOOKUP(INDEX(DT479:DT490,DW485),STM,2,FALSE),"----")</f>
        <v>----</v>
      </c>
      <c r="DY485" s="691" t="e">
        <f t="shared" ca="1" si="8710"/>
        <v>#N/A</v>
      </c>
      <c r="DZ485" s="4" t="e">
        <f ca="1">IF(AND(INDEX(ELM,DY485,4)&gt;=$AB485,INDEX(ELM,DY485,5)&gt;=$S479,INDEX(ELM,DY485,6)&gt;=$R479),1,0)</f>
        <v>#N/A</v>
      </c>
      <c r="EA485" s="4" t="e">
        <f t="shared" ref="EA485" ca="1" si="8797">MATCH(1,OFFSET(DZ479:DZ490,EB484,0,COUNT(DZ479:DZ490)-EB484),0)</f>
        <v>#REF!</v>
      </c>
      <c r="EB485" s="4" t="e">
        <f t="shared" ca="1" si="8712"/>
        <v>#REF!</v>
      </c>
      <c r="EC485" s="692" t="str">
        <f ca="1">IFERROR(VLOOKUP(INDEX(DY479:DY490,EB485),ELM,2,FALSE),"----")</f>
        <v>----</v>
      </c>
      <c r="ED485" s="691" t="e">
        <f t="shared" ca="1" si="8713"/>
        <v>#N/A</v>
      </c>
      <c r="EE485" s="4" t="e">
        <f ca="1">IF(LEFT($J479,7)="Clad Wo",IF(AND(INDEX(SPPWS,ED485,4)&gt;=$AB485,INDEX(SPPWS,ED485,5)&gt;=$S479,INDEX(SPPWS,ED485,6)&gt;=$R479),1,0),IF(AND(INDEX(SPM,ED485,4)&gt;=$AB485,INDEX(SPM,ED485,5)&gt;=$S479,INDEX(SPM,ED485,6)&gt;=$R479),1,0))</f>
        <v>#N/A</v>
      </c>
      <c r="EF485" s="4" t="e">
        <f t="shared" ref="EF485" ca="1" si="8798">MATCH(1,OFFSET(EE479:EE490,EG484,0,COUNT(EE479:EE490)-EG484),0)</f>
        <v>#REF!</v>
      </c>
      <c r="EG485" s="4" t="e">
        <f t="shared" ca="1" si="8715"/>
        <v>#REF!</v>
      </c>
      <c r="EH485" s="692" t="str">
        <f ca="1">IF(LEFT($J479,7)="Clad Wo",IFERROR(VLOOKUP(INDEX(ED479:ED490,EG485),SPPWS,2,FALSE),"----"),IFERROR(VLOOKUP(INDEX(ED479:ED490,EG485),SPM,2,FALSE),"----"))</f>
        <v>----</v>
      </c>
    </row>
    <row r="486" spans="1:138" ht="15" customHeight="1" x14ac:dyDescent="0.25">
      <c r="A486" s="1085"/>
      <c r="B486" s="925"/>
      <c r="C486" s="926"/>
      <c r="D486" s="927"/>
      <c r="E486" s="995"/>
      <c r="F486" s="996"/>
      <c r="G486" s="997"/>
      <c r="H486" s="1062"/>
      <c r="I486" s="990"/>
      <c r="J486" s="912"/>
      <c r="K486" s="913"/>
      <c r="L486" s="1002"/>
      <c r="M486" s="923"/>
      <c r="N486" s="1042"/>
      <c r="O486" s="1018"/>
      <c r="P486" s="987"/>
      <c r="Q486" s="1015"/>
      <c r="R486" s="1012"/>
      <c r="S486" s="1006"/>
      <c r="T486" s="1007"/>
      <c r="U486" s="878"/>
      <c r="V486" s="881"/>
      <c r="W486" s="884"/>
      <c r="X486" s="884"/>
      <c r="Y486" s="887"/>
      <c r="Z486" s="887"/>
      <c r="AA486" s="887"/>
      <c r="AB486" s="1081"/>
      <c r="AC486" s="1078"/>
      <c r="AD486" s="1070" t="str">
        <f t="shared" ref="AD486" si="8799">IF(ISBLANK(AD480)=TRUE,"",AD480)</f>
        <v>Nested Steel Stud</v>
      </c>
      <c r="AE486" s="1071"/>
      <c r="AF486" s="1052"/>
      <c r="AG486" s="1053"/>
      <c r="AH486" s="1053"/>
      <c r="AI486" s="1066"/>
      <c r="AJ486" s="1067"/>
      <c r="AK486" s="156" t="str">
        <f t="shared" ca="1" si="8761"/>
        <v/>
      </c>
      <c r="AL486" s="1059"/>
      <c r="AM486" s="343" t="str">
        <f ca="1">IFERROR(Q479/12*ROUND(VLOOKUP(AF486,OFFSET(SSM,0,1),6,FALSE),2),"")</f>
        <v/>
      </c>
      <c r="AN486" t="str">
        <f t="shared" ca="1" si="8785"/>
        <v/>
      </c>
      <c r="AP486" s="122" t="str">
        <f t="shared" ref="AP486" si="8800">_xlfn.CONCAT(AR486,AS490)</f>
        <v/>
      </c>
      <c r="AQ486" s="683" t="str">
        <f t="shared" si="7698"/>
        <v/>
      </c>
      <c r="AR486" s="96" t="str">
        <f t="shared" si="8745"/>
        <v/>
      </c>
      <c r="AS486" s="96" t="str">
        <f>IF(COUNTIF(Vista_1,AF485)=1,"Vista_1",IF(COUNTIF(Vista_2,AF485)=1,"Vista_2",""))</f>
        <v/>
      </c>
      <c r="AT486" s="684" t="str">
        <f>AL485</f>
        <v/>
      </c>
      <c r="AU486" s="694" t="e">
        <f t="shared" ca="1" si="7724"/>
        <v>#REF!</v>
      </c>
      <c r="AV486" s="686" t="str">
        <f ca="1">IFERROR(VLOOKUP(AU486,INDIRECT(AQ479),2,FALSE),"----")</f>
        <v>----</v>
      </c>
      <c r="AW486" s="694" t="e">
        <f t="shared" ca="1" si="7725"/>
        <v>#REF!</v>
      </c>
      <c r="AX486" s="686" t="str">
        <f ca="1">IFERROR(VLOOKUP(AW486,INDIRECT(AQ480),2,FALSE),"----")</f>
        <v>----</v>
      </c>
      <c r="AY486" s="694" t="e">
        <f t="shared" ca="1" si="8763"/>
        <v>#REF!</v>
      </c>
      <c r="AZ486" s="686" t="str">
        <f ca="1">IFERROR(VLOOKUP(AY486,INDIRECT(AQ481),2,FALSE),"----")</f>
        <v>----</v>
      </c>
      <c r="BA486" s="694" t="e">
        <f t="shared" ca="1" si="8764"/>
        <v>#REF!</v>
      </c>
      <c r="BB486" s="686" t="str">
        <f ca="1">IFERROR(VLOOKUP(BA486,INDIRECT(AQ482),2,FALSE),"----")</f>
        <v>----</v>
      </c>
      <c r="BC486" s="694" t="e">
        <f t="shared" ca="1" si="7728"/>
        <v>#REF!</v>
      </c>
      <c r="BD486" s="686" t="str">
        <f ca="1">IFERROR(VLOOKUP(BC486,INDIRECT(AQ483),2,FALSE),"----")</f>
        <v>----</v>
      </c>
      <c r="BE486" s="694" t="e">
        <f t="shared" ca="1" si="7729"/>
        <v>#REF!</v>
      </c>
      <c r="BF486" s="686" t="str">
        <f ca="1">IFERROR(VLOOKUP(BE486,INDIRECT(AQ484),2,FALSE),"----")</f>
        <v>----</v>
      </c>
      <c r="BG486" s="702" t="e">
        <f t="shared" ca="1" si="7730"/>
        <v>#REF!</v>
      </c>
      <c r="BH486" s="686" t="str">
        <f ca="1">IFERROR(VLOOKUP(BG486,INDIRECT(AQ485),2,FALSE),"----")</f>
        <v>----</v>
      </c>
      <c r="BI486" s="702" t="e">
        <f t="shared" ca="1" si="7731"/>
        <v>#REF!</v>
      </c>
      <c r="BJ486" s="686" t="str">
        <f ca="1">IFERROR(VLOOKUP(BI486,INDIRECT(AQ486),2,FALSE),"----")</f>
        <v>----</v>
      </c>
      <c r="BK486" s="702" t="e">
        <f t="shared" ca="1" si="7732"/>
        <v>#REF!</v>
      </c>
      <c r="BL486" s="686" t="str">
        <f ca="1">IFERROR(VLOOKUP(BK486,INDIRECT(AQ487),2,FALSE),"----")</f>
        <v>----</v>
      </c>
      <c r="BM486" s="702" t="e">
        <f t="shared" ca="1" si="7733"/>
        <v>#REF!</v>
      </c>
      <c r="BN486" s="686" t="str">
        <f ca="1">IFERROR(VLOOKUP(BM486,INDIRECT(AQ488),2,FALSE),"----")</f>
        <v>----</v>
      </c>
      <c r="BO486" s="702" t="e">
        <f t="shared" ca="1" si="7734"/>
        <v>#REF!</v>
      </c>
      <c r="BP486" s="686" t="str">
        <f ca="1">IFERROR(VLOOKUP(BO486,INDIRECT(AQ489),2,FALSE),"----")</f>
        <v>----</v>
      </c>
      <c r="BQ486" s="702" t="e">
        <f t="shared" ca="1" si="7735"/>
        <v>#REF!</v>
      </c>
      <c r="BR486" s="686" t="str">
        <f ca="1">IFERROR(VLOOKUP(BQ486,INDIRECT(AQ490),2,FALSE),"----")</f>
        <v>----</v>
      </c>
      <c r="BS486" s="695">
        <f>IF(AI486="",1,IF(COUNTIF(BJ479:BJ490,AI486)=0,2,1))</f>
        <v>1</v>
      </c>
      <c r="BT486" s="696">
        <f>IF(AF486="",1,IF(BJ479=".",2,1))</f>
        <v>1</v>
      </c>
      <c r="BU486" s="706"/>
      <c r="BV486" s="155">
        <f ca="1">IF(COUNTIF(DN479:DN490,AF486)=0,IF(AF486&lt;&gt;"",0,1),1)</f>
        <v>1</v>
      </c>
      <c r="BW486" s="157">
        <f ca="1">IFERROR(MATCH(AF486,DN479:DN490,0),1)</f>
        <v>1</v>
      </c>
      <c r="BX486" s="769">
        <f t="shared" ref="BX486" si="8801">E479*(H479+I479)/144/2</f>
        <v>0</v>
      </c>
      <c r="BY486" s="769">
        <f>SUM(IF(H479&gt;E479,E479^2/4,(H479*E479/2)-(H479^2/4))/144,IF(I479&gt;E479,E479^2/4,(I479*E479/2)-(I479^2/4))/144)</f>
        <v>0</v>
      </c>
      <c r="BZ486" s="1110"/>
      <c r="CA486" s="691" t="e">
        <f t="shared" ca="1" si="8680"/>
        <v>#REF!</v>
      </c>
      <c r="CB486" s="4" t="e" cm="1">
        <f t="array" aca="1" ref="CB486" ca="1">IF(AND(INDEX(INDIRECT(BY479),CA486,4)&gt;=$AB479,INDEX(INDIRECT(BY479),CA486,5)&gt;=$S479,INDEX(INDIRECT(BY479),CA486,6)&gt;=$R479),1,0)</f>
        <v>#REF!</v>
      </c>
      <c r="CC486" s="4" t="e">
        <f t="shared" ref="CC486" ca="1" si="8802">MATCH(1,OFFSET(CB479:CB490,CD485,0,COUNT(CB479:CB490)-CD485),0)</f>
        <v>#REF!</v>
      </c>
      <c r="CD486" s="4" t="e">
        <f t="shared" ca="1" si="8682"/>
        <v>#REF!</v>
      </c>
      <c r="CE486" s="692" t="str" cm="1">
        <f t="array" aca="1" ref="CE486" ca="1">IFERROR(VLOOKUP(INDEX(CA479:CA490,CD486),INDIRECT(BY479),2,FALSE),"----")</f>
        <v>----</v>
      </c>
      <c r="CF486" s="691" t="e">
        <f t="shared" ca="1" si="8683"/>
        <v>#N/A</v>
      </c>
      <c r="CG486" s="4" t="e">
        <f ca="1">IF(AND(INDEX(SSM,CF486,4)&gt;=$AB479,INDEX(SSM,CF486,5)&gt;=$S479,INDEX(SSM,CF486,6)&gt;=$R479),1,0)</f>
        <v>#N/A</v>
      </c>
      <c r="CH486" s="4" t="e">
        <f t="shared" ref="CH486" ca="1" si="8803">MATCH(1,OFFSET(CG479:CG490,CI485,0,COUNT(CG479:CG490)-CI485),0)</f>
        <v>#REF!</v>
      </c>
      <c r="CI486" s="4" t="e">
        <f t="shared" ca="1" si="8685"/>
        <v>#REF!</v>
      </c>
      <c r="CJ486" s="692" t="str">
        <f ca="1">IFERROR(IF(AD480="Nested Steel Stud (wood infill)",VLOOKUP(INDEX(CF479:CF490,CI486),SSW,2,FALSE),VLOOKUP(INDEX(CF479:CF490,CI486),SSM,2,FALSE)),"----")</f>
        <v>----</v>
      </c>
      <c r="CK486" s="691" t="e">
        <f t="shared" ca="1" si="8686"/>
        <v>#N/A</v>
      </c>
      <c r="CL486" s="4" t="e">
        <f ca="1">IF(AND(INDEX(WSM,CK486,4)&gt;=$AB479,INDEX(WSM,CK486,5)&gt;=$S479,INDEX(WSM,CK486,6)&gt;=$R479),1,0)</f>
        <v>#N/A</v>
      </c>
      <c r="CM486" s="4" t="e">
        <f t="shared" ref="CM486" ca="1" si="8804">MATCH(1,OFFSET(CL479:CL490,CN485,0,COUNT(CL479:CL490)-CN485),0)</f>
        <v>#REF!</v>
      </c>
      <c r="CN486" s="4" t="e">
        <f t="shared" ca="1" si="8688"/>
        <v>#REF!</v>
      </c>
      <c r="CO486" s="692" t="str">
        <f ca="1">IFERROR(VLOOKUP(INDEX(CK479:CK490,CN486),WSM,2,FALSE),"----")</f>
        <v>----</v>
      </c>
      <c r="CP486" s="691" t="e">
        <f t="shared" ca="1" si="8689"/>
        <v>#N/A</v>
      </c>
      <c r="CQ486" s="4" t="e">
        <f ca="1">IF(AND(INDEX(STM,CP486,4)&gt;=$AB479,INDEX(STM,CP486,5)&gt;=$S479,INDEX(STM,CP486,6)&gt;=$R479),1,0)</f>
        <v>#N/A</v>
      </c>
      <c r="CR486" s="4" t="e">
        <f t="shared" ref="CR486" ca="1" si="8805">MATCH(1,OFFSET(CQ479:CQ490,CS485,0,COUNT(CQ479:CQ490)-CS485),0)</f>
        <v>#REF!</v>
      </c>
      <c r="CS486" s="4" t="e">
        <f t="shared" ca="1" si="8691"/>
        <v>#REF!</v>
      </c>
      <c r="CT486" s="692" t="str">
        <f ca="1">IFERROR(VLOOKUP(INDEX(CP479:CP490,CS486),STM,2,FALSE),"----")</f>
        <v>----</v>
      </c>
      <c r="CU486" s="691" t="e">
        <f t="shared" ca="1" si="8692"/>
        <v>#N/A</v>
      </c>
      <c r="CV486" s="4" t="e">
        <f ca="1">IF(AND(INDEX(ELM,CU486,4)&gt;=$AB479,INDEX(ELM,CU486,5)&gt;=$S479,INDEX(ELM,CU486,6)&gt;=$R479),1,0)</f>
        <v>#N/A</v>
      </c>
      <c r="CW486" s="4" t="e">
        <f t="shared" ref="CW486" ca="1" si="8806">MATCH(1,OFFSET(CV479:CV490,CX485,0,COUNT(CV479:CV490)-CX485),0)</f>
        <v>#REF!</v>
      </c>
      <c r="CX486" s="4" t="e">
        <f t="shared" ca="1" si="8694"/>
        <v>#REF!</v>
      </c>
      <c r="CY486" s="692" t="str">
        <f ca="1">IFERROR(VLOOKUP(INDEX(CU479:CU490,CX486),ELM,2,FALSE),"----")</f>
        <v>----</v>
      </c>
      <c r="CZ486" s="691" t="e">
        <f t="shared" ca="1" si="8695"/>
        <v>#N/A</v>
      </c>
      <c r="DA486" s="4" t="e">
        <f ca="1">IF(LEFT($J479,7)="Clad Wo",IF(AND(INDEX(SPPWS,CZ486,4)&gt;=$AB479,INDEX(SPPWS,CZ486,5)&gt;=$S479,INDEX(SPPWS,CZ486,6)&gt;=$R479),1,0),IF(AND(INDEX(SPM,CZ486,4)&gt;=$AB479,INDEX(SPM,CZ486,5)&gt;=$S479,INDEX(SPM,CZ486,6)&gt;=$R479),1,0))</f>
        <v>#N/A</v>
      </c>
      <c r="DB486" s="4" t="e">
        <f t="shared" ref="DB486" ca="1" si="8807">MATCH(1,OFFSET(DA479:DA490,DC485,0,COUNT(DA479:DA490)-DC485),0)</f>
        <v>#REF!</v>
      </c>
      <c r="DC486" s="4" t="e">
        <f t="shared" ca="1" si="8697"/>
        <v>#REF!</v>
      </c>
      <c r="DD486" s="693" t="str">
        <f ca="1">IF(LEFT($J479,7)="Clad Wo",IFERROR(VLOOKUP(INDEX(CZ479:CZ490,DC486),SPPWS,2,FALSE),"----"),IFERROR(VLOOKUP(INDEX(CZ479:CZ490,DC486),SPM,2,FALSE),"----"))</f>
        <v>----</v>
      </c>
      <c r="DE486" s="691" t="e">
        <f t="shared" ca="1" si="8698"/>
        <v>#REF!</v>
      </c>
      <c r="DF486" s="4" t="e" cm="1">
        <f t="array" aca="1" ref="DF486" ca="1">IF(AND(INDEX(INDIRECT(BY479),DE486,4)&gt;=$AB485,INDEX(INDIRECT(BY479),DE486,5)&gt;=$S479,INDEX(INDIRECT(BY479),DE486,6)&gt;=$R479),1,0)</f>
        <v>#REF!</v>
      </c>
      <c r="DG486" s="4" t="e">
        <f t="shared" ref="DG486" ca="1" si="8808">MATCH(1,OFFSET(DF479:DF490,DH485,0,COUNT(DF479:DF490)-DH485),0)</f>
        <v>#REF!</v>
      </c>
      <c r="DH486" s="4" t="e">
        <f t="shared" ca="1" si="8700"/>
        <v>#REF!</v>
      </c>
      <c r="DI486" s="692" t="str" cm="1">
        <f t="array" aca="1" ref="DI486" ca="1">IFERROR(VLOOKUP(INDEX(DE479:DE490,DH486),INDIRECT(BY479),2,FALSE),"----")</f>
        <v>----</v>
      </c>
      <c r="DJ486" s="691" t="e">
        <f t="shared" ca="1" si="8701"/>
        <v>#N/A</v>
      </c>
      <c r="DK486" s="4" t="e">
        <f ca="1">IF(AND(INDEX(SSM,DJ486,4)&gt;=$AB485,INDEX(SSM,DJ486,5)&gt;=$S479,INDEX(SSM,DJ486,6)&gt;=$R479),1,0)</f>
        <v>#N/A</v>
      </c>
      <c r="DL486" s="4" t="e">
        <f t="shared" ref="DL486" ca="1" si="8809">MATCH(1,OFFSET(DK479:DK490,DM485,0,COUNT(DK479:DK490)-DM485),0)</f>
        <v>#REF!</v>
      </c>
      <c r="DM486" s="4" t="e">
        <f t="shared" ca="1" si="8703"/>
        <v>#REF!</v>
      </c>
      <c r="DN486" s="692" t="str">
        <f ca="1">IFERROR(IF(AD486="Nested Steel Stud (wood infill)",VLOOKUP(INDEX(DJ479:DJ490,DM486),SSW,2,FALSE),VLOOKUP(INDEX(DJ479:DJ490,DM486),SSM,2,FALSE)),"----")</f>
        <v>----</v>
      </c>
      <c r="DO486" s="691" t="e">
        <f t="shared" ca="1" si="8704"/>
        <v>#N/A</v>
      </c>
      <c r="DP486" s="4" t="e">
        <f ca="1">IF(AND(INDEX(WSM,DO486,4)&gt;=$AB485,INDEX(WSM,DO486,5)&gt;=$S479,INDEX(WSM,DO486,6)&gt;=$R479),1,0)</f>
        <v>#N/A</v>
      </c>
      <c r="DQ486" s="4" t="e">
        <f t="shared" ref="DQ486" ca="1" si="8810">MATCH(1,OFFSET(DP479:DP490,DR485,0,COUNT(DP479:DP490)-DR485),0)</f>
        <v>#REF!</v>
      </c>
      <c r="DR486" s="4" t="e">
        <f t="shared" ca="1" si="8706"/>
        <v>#REF!</v>
      </c>
      <c r="DS486" s="692" t="str">
        <f ca="1">IFERROR(VLOOKUP(INDEX(DO479:DO490,DR486),WSM,2,FALSE),"----")</f>
        <v>----</v>
      </c>
      <c r="DT486" s="691" t="e">
        <f t="shared" ca="1" si="8707"/>
        <v>#N/A</v>
      </c>
      <c r="DU486" s="4" t="e">
        <f ca="1">IF(AND(INDEX(STM,DT486,4)&gt;=$AB485,INDEX(STM,DT486,5)&gt;=$S479,INDEX(STM,DT486,6)&gt;=$R479),1,0)</f>
        <v>#N/A</v>
      </c>
      <c r="DV486" s="4" t="e">
        <f t="shared" ref="DV486" ca="1" si="8811">MATCH(1,OFFSET(DU479:DU490,DW485,0,COUNT(DU479:DU490)-DW485),0)</f>
        <v>#REF!</v>
      </c>
      <c r="DW486" s="4" t="e">
        <f t="shared" ca="1" si="8709"/>
        <v>#REF!</v>
      </c>
      <c r="DX486" s="692" t="str">
        <f ca="1">IFERROR(VLOOKUP(INDEX(DT479:DT490,DW486),STM,2,FALSE),"----")</f>
        <v>----</v>
      </c>
      <c r="DY486" s="691" t="e">
        <f t="shared" ca="1" si="8710"/>
        <v>#N/A</v>
      </c>
      <c r="DZ486" s="4" t="e">
        <f ca="1">IF(AND(INDEX(ELM,DY486,4)&gt;=$AB485,INDEX(ELM,DY486,5)&gt;=$S479,INDEX(ELM,DY486,6)&gt;=$R479),1,0)</f>
        <v>#N/A</v>
      </c>
      <c r="EA486" s="4" t="e">
        <f t="shared" ref="EA486" ca="1" si="8812">MATCH(1,OFFSET(DZ479:DZ490,EB485,0,COUNT(DZ479:DZ490)-EB485),0)</f>
        <v>#REF!</v>
      </c>
      <c r="EB486" s="4" t="e">
        <f t="shared" ca="1" si="8712"/>
        <v>#REF!</v>
      </c>
      <c r="EC486" s="692" t="str">
        <f ca="1">IFERROR(VLOOKUP(INDEX(DY479:DY490,EB486),ELM,2,FALSE),"----")</f>
        <v>----</v>
      </c>
      <c r="ED486" s="691" t="e">
        <f t="shared" ca="1" si="8713"/>
        <v>#N/A</v>
      </c>
      <c r="EE486" s="4" t="e">
        <f ca="1">IF(LEFT($J479,7)="Clad Wo",IF(AND(INDEX(SPPWS,ED486,4)&gt;=$AB485,INDEX(SPPWS,ED486,5)&gt;=$S479,INDEX(SPPWS,ED486,6)&gt;=$R479),1,0),IF(AND(INDEX(SPM,ED486,4)&gt;=$AB485,INDEX(SPM,ED486,5)&gt;=$S479,INDEX(SPM,ED486,6)&gt;=$R479),1,0))</f>
        <v>#N/A</v>
      </c>
      <c r="EF486" s="4" t="e">
        <f t="shared" ref="EF486" ca="1" si="8813">MATCH(1,OFFSET(EE479:EE490,EG485,0,COUNT(EE479:EE490)-EG485),0)</f>
        <v>#REF!</v>
      </c>
      <c r="EG486" s="4" t="e">
        <f t="shared" ca="1" si="8715"/>
        <v>#REF!</v>
      </c>
      <c r="EH486" s="692" t="str">
        <f ca="1">IF(LEFT($J479,7)="Clad Wo",IFERROR(VLOOKUP(INDEX(ED479:ED490,EG486),SPPWS,2,FALSE),"----"),IFERROR(VLOOKUP(INDEX(ED479:ED490,EG486),SPM,2,FALSE),"----"))</f>
        <v>----</v>
      </c>
    </row>
    <row r="487" spans="1:138" ht="15" customHeight="1" x14ac:dyDescent="0.25">
      <c r="A487" s="1085"/>
      <c r="B487" s="925"/>
      <c r="C487" s="926"/>
      <c r="D487" s="927"/>
      <c r="E487" s="995"/>
      <c r="F487" s="996"/>
      <c r="G487" s="997"/>
      <c r="H487" s="1062"/>
      <c r="I487" s="990"/>
      <c r="J487" s="902"/>
      <c r="K487" s="903"/>
      <c r="L487" s="1002"/>
      <c r="M487" s="923"/>
      <c r="N487" s="1042"/>
      <c r="O487" s="1018"/>
      <c r="P487" s="987"/>
      <c r="Q487" s="1015"/>
      <c r="R487" s="1012"/>
      <c r="S487" s="1006"/>
      <c r="T487" s="1007"/>
      <c r="U487" s="878"/>
      <c r="V487" s="881"/>
      <c r="W487" s="884"/>
      <c r="X487" s="884"/>
      <c r="Y487" s="887"/>
      <c r="Z487" s="887"/>
      <c r="AA487" s="887"/>
      <c r="AB487" s="1081"/>
      <c r="AC487" s="1078"/>
      <c r="AD487" s="1070" t="str">
        <f t="shared" ref="AD487:AD549" si="8814">AD481</f>
        <v>Wood Stud Framing</v>
      </c>
      <c r="AE487" s="1071"/>
      <c r="AF487" s="1052"/>
      <c r="AG487" s="1053"/>
      <c r="AH487" s="1053"/>
      <c r="AI487" s="1066"/>
      <c r="AJ487" s="1067"/>
      <c r="AK487" s="156" t="str">
        <f t="shared" ca="1" si="8761"/>
        <v/>
      </c>
      <c r="AL487" s="1059"/>
      <c r="AM487" s="344" t="str">
        <f ca="1">IFERROR(Q479/12*ROUND(VLOOKUP(AF487,OFFSET(WSM,0,1),6,FALSE),2),"")</f>
        <v/>
      </c>
      <c r="AN487" t="str">
        <f t="shared" ca="1" si="8785"/>
        <v/>
      </c>
      <c r="AP487" s="122" t="str">
        <f t="shared" ref="AP487" si="8815">_xlfn.CONCAT(AR487,AS490)</f>
        <v/>
      </c>
      <c r="AQ487" s="683" t="str">
        <f t="shared" si="7698"/>
        <v/>
      </c>
      <c r="AR487" s="4" t="str">
        <f t="shared" si="8745"/>
        <v/>
      </c>
      <c r="AS487" s="4"/>
      <c r="AT487" s="697" t="str">
        <f>AL485</f>
        <v/>
      </c>
      <c r="AU487" s="694" t="e">
        <f t="shared" ca="1" si="7724"/>
        <v>#REF!</v>
      </c>
      <c r="AV487" s="686" t="str">
        <f ca="1">IFERROR(VLOOKUP(AU487,INDIRECT(AQ479),2,FALSE),"----")</f>
        <v>----</v>
      </c>
      <c r="AW487" s="694" t="e">
        <f t="shared" ca="1" si="7725"/>
        <v>#REF!</v>
      </c>
      <c r="AX487" s="686" t="str">
        <f ca="1">IFERROR(VLOOKUP(AW487,INDIRECT(AQ480),2,FALSE),"----")</f>
        <v>----</v>
      </c>
      <c r="AY487" s="694" t="e">
        <f t="shared" ca="1" si="8763"/>
        <v>#REF!</v>
      </c>
      <c r="AZ487" s="686" t="str">
        <f ca="1">IFERROR(VLOOKUP(AY487,INDIRECT(AQ481),2,FALSE),"----")</f>
        <v>----</v>
      </c>
      <c r="BA487" s="694" t="e">
        <f t="shared" ca="1" si="8764"/>
        <v>#REF!</v>
      </c>
      <c r="BB487" s="686" t="str">
        <f ca="1">IFERROR(VLOOKUP(BA487,INDIRECT(AQ482),2,FALSE),"----")</f>
        <v>----</v>
      </c>
      <c r="BC487" s="694" t="e">
        <f t="shared" ca="1" si="7728"/>
        <v>#REF!</v>
      </c>
      <c r="BD487" s="686" t="str">
        <f ca="1">IFERROR(VLOOKUP(BC487,INDIRECT(AQ483),2,FALSE),"----")</f>
        <v>----</v>
      </c>
      <c r="BE487" s="694" t="e">
        <f t="shared" ca="1" si="7729"/>
        <v>#REF!</v>
      </c>
      <c r="BF487" s="686" t="str">
        <f ca="1">IFERROR(VLOOKUP(BE487,INDIRECT(AQ484),2,FALSE),"----")</f>
        <v>----</v>
      </c>
      <c r="BG487" s="702" t="e">
        <f t="shared" ca="1" si="7730"/>
        <v>#REF!</v>
      </c>
      <c r="BH487" s="686" t="str">
        <f ca="1">IFERROR(VLOOKUP(BG487,INDIRECT(AQ485),2,FALSE),"----")</f>
        <v>----</v>
      </c>
      <c r="BI487" s="702" t="e">
        <f t="shared" ca="1" si="7731"/>
        <v>#REF!</v>
      </c>
      <c r="BJ487" s="686" t="str">
        <f ca="1">IFERROR(VLOOKUP(BI487,INDIRECT(AQ486),2,FALSE),"----")</f>
        <v>----</v>
      </c>
      <c r="BK487" s="702" t="e">
        <f t="shared" ca="1" si="7732"/>
        <v>#REF!</v>
      </c>
      <c r="BL487" s="686" t="str">
        <f ca="1">IFERROR(VLOOKUP(BK487,INDIRECT(AQ487),2,FALSE),"----")</f>
        <v>----</v>
      </c>
      <c r="BM487" s="702" t="e">
        <f t="shared" ca="1" si="7733"/>
        <v>#REF!</v>
      </c>
      <c r="BN487" s="686" t="str">
        <f ca="1">IFERROR(VLOOKUP(BM487,INDIRECT(AQ488),2,FALSE),"----")</f>
        <v>----</v>
      </c>
      <c r="BO487" s="702" t="e">
        <f t="shared" ca="1" si="7734"/>
        <v>#REF!</v>
      </c>
      <c r="BP487" s="686" t="str">
        <f ca="1">IFERROR(VLOOKUP(BO487,INDIRECT(AQ489),2,FALSE),"----")</f>
        <v>----</v>
      </c>
      <c r="BQ487" s="702" t="e">
        <f t="shared" ca="1" si="7735"/>
        <v>#REF!</v>
      </c>
      <c r="BR487" s="686" t="str">
        <f ca="1">IFERROR(VLOOKUP(BQ487,INDIRECT(AQ490),2,FALSE),"----")</f>
        <v>----</v>
      </c>
      <c r="BS487" s="695">
        <f>IF(AI487="",1,IF(COUNTIF(BL479:BL490,AI487)=0,2,1))</f>
        <v>1</v>
      </c>
      <c r="BT487" s="696">
        <f>IF(AF487="",1,IF(BL479=".",2,1))</f>
        <v>1</v>
      </c>
      <c r="BU487" s="706"/>
      <c r="BV487" s="155">
        <f ca="1">IF(COUNTIF(DS479:DS490,AF487)=0,IF(AF487&lt;&gt;"",0,1),1)</f>
        <v>1</v>
      </c>
      <c r="BW487" s="157">
        <f ca="1">IFERROR(MATCH(AF487,DS479:DS490,0),1)</f>
        <v>1</v>
      </c>
      <c r="BX487" s="769" t="e">
        <f t="shared" ref="BX487" si="8816">5*E479^3*W479/(384*X479)</f>
        <v>#VALUE!</v>
      </c>
      <c r="BY487" s="769" t="e">
        <f t="shared" ref="BY487" si="8817">W479*E479^3/(60*X479)</f>
        <v>#VALUE!</v>
      </c>
      <c r="BZ487" s="1110"/>
      <c r="CA487" s="691" t="e">
        <f t="shared" ca="1" si="8680"/>
        <v>#REF!</v>
      </c>
      <c r="CB487" s="4" t="e" cm="1">
        <f t="array" aca="1" ref="CB487" ca="1">IF(AND(INDEX(INDIRECT(BY479),CA487,4)&gt;=$AB479,INDEX(INDIRECT(BY479),CA487,5)&gt;=$S479,INDEX(INDIRECT(BY479),CA487,6)&gt;=$R479),1,0)</f>
        <v>#REF!</v>
      </c>
      <c r="CC487" s="4" t="e">
        <f t="shared" ref="CC487" ca="1" si="8818">MATCH(1,OFFSET(CB479:CB490,CD486,0,COUNT(CB479:CB490)-CD486),0)</f>
        <v>#REF!</v>
      </c>
      <c r="CD487" s="4" t="e">
        <f t="shared" ca="1" si="8682"/>
        <v>#REF!</v>
      </c>
      <c r="CE487" s="692" t="str" cm="1">
        <f t="array" aca="1" ref="CE487" ca="1">IFERROR(VLOOKUP(INDEX(CA479:CA490,CD487),INDIRECT(BY479),2,FALSE),"----")</f>
        <v>----</v>
      </c>
      <c r="CF487" s="691" t="e">
        <f t="shared" ca="1" si="8683"/>
        <v>#N/A</v>
      </c>
      <c r="CG487" s="4" t="e">
        <f ca="1">IF(AND(INDEX(SSM,CF487,4)&gt;=$AB479,INDEX(SSM,CF487,5)&gt;=$S479,INDEX(SSM,CF487,6)&gt;=$R479),1,0)</f>
        <v>#N/A</v>
      </c>
      <c r="CH487" s="4" t="e">
        <f t="shared" ref="CH487" ca="1" si="8819">MATCH(1,OFFSET(CG479:CG490,CI486,0,COUNT(CG479:CG490)-CI486),0)</f>
        <v>#REF!</v>
      </c>
      <c r="CI487" s="4" t="e">
        <f t="shared" ca="1" si="8685"/>
        <v>#REF!</v>
      </c>
      <c r="CJ487" s="692" t="str">
        <f ca="1">IFERROR(IF(AD480="Nested Steel Stud (wood infill)",VLOOKUP(INDEX(CF479:CF490,CI487),SSW,2,FALSE),VLOOKUP(INDEX(CF479:CF490,CI487),SSM,2,FALSE)),"----")</f>
        <v>----</v>
      </c>
      <c r="CK487" s="691" t="e">
        <f t="shared" ca="1" si="8686"/>
        <v>#N/A</v>
      </c>
      <c r="CL487" s="4" t="e">
        <f ca="1">IF(AND(INDEX(WSM,CK487,4)&gt;=$AB479,INDEX(WSM,CK487,5)&gt;=$S479,INDEX(WSM,CK487,6)&gt;=$R479),1,0)</f>
        <v>#N/A</v>
      </c>
      <c r="CM487" s="4" t="e">
        <f t="shared" ref="CM487" ca="1" si="8820">MATCH(1,OFFSET(CL479:CL490,CN486,0,COUNT(CL479:CL490)-CN486),0)</f>
        <v>#REF!</v>
      </c>
      <c r="CN487" s="4" t="e">
        <f t="shared" ca="1" si="8688"/>
        <v>#REF!</v>
      </c>
      <c r="CO487" s="692" t="str">
        <f ca="1">IFERROR(VLOOKUP(INDEX(CK479:CK490,CN487),WSM,2,FALSE),"----")</f>
        <v>----</v>
      </c>
      <c r="CP487" s="691" t="e">
        <f t="shared" ca="1" si="8689"/>
        <v>#N/A</v>
      </c>
      <c r="CQ487" s="4" t="e">
        <f ca="1">IF(AND(INDEX(STM,CP487,4)&gt;=$AB479,INDEX(STM,CP487,5)&gt;=$S479,INDEX(STM,CP487,6)&gt;=$R479),1,0)</f>
        <v>#N/A</v>
      </c>
      <c r="CR487" s="4" t="e">
        <f t="shared" ref="CR487" ca="1" si="8821">MATCH(1,OFFSET(CQ479:CQ490,CS486,0,COUNT(CQ479:CQ490)-CS486),0)</f>
        <v>#REF!</v>
      </c>
      <c r="CS487" s="4" t="e">
        <f t="shared" ca="1" si="8691"/>
        <v>#REF!</v>
      </c>
      <c r="CT487" s="692" t="str">
        <f ca="1">IFERROR(VLOOKUP(INDEX(CP479:CP490,CS487),STM,2,FALSE),"----")</f>
        <v>----</v>
      </c>
      <c r="CU487" s="691" t="e">
        <f t="shared" ca="1" si="8692"/>
        <v>#N/A</v>
      </c>
      <c r="CV487" s="4" t="e">
        <f ca="1">IF(AND(INDEX(ELM,CU487,4)&gt;=$AB479,INDEX(ELM,CU487,5)&gt;=$S479,INDEX(ELM,CU487,6)&gt;=$R479),1,0)</f>
        <v>#N/A</v>
      </c>
      <c r="CW487" s="4" t="e">
        <f t="shared" ref="CW487" ca="1" si="8822">MATCH(1,OFFSET(CV479:CV490,CX486,0,COUNT(CV479:CV490)-CX486),0)</f>
        <v>#REF!</v>
      </c>
      <c r="CX487" s="4" t="e">
        <f t="shared" ca="1" si="8694"/>
        <v>#REF!</v>
      </c>
      <c r="CY487" s="692" t="str">
        <f ca="1">IFERROR(VLOOKUP(INDEX(CU479:CU490,CX487),ELM,2,FALSE),"----")</f>
        <v>----</v>
      </c>
      <c r="CZ487" s="691" t="e">
        <f t="shared" ca="1" si="8695"/>
        <v>#N/A</v>
      </c>
      <c r="DA487" s="4" t="e">
        <f ca="1">IF(LEFT($J479,7)="Clad Wo",IF(AND(INDEX(SPPWS,CZ487,4)&gt;=$AB479,INDEX(SPPWS,CZ487,5)&gt;=$S479,INDEX(SPPWS,CZ487,6)&gt;=$R479),1,0),IF(AND(INDEX(SPM,CZ487,4)&gt;=$AB479,INDEX(SPM,CZ487,5)&gt;=$S479,INDEX(SPM,CZ487,6)&gt;=$R479),1,0))</f>
        <v>#N/A</v>
      </c>
      <c r="DB487" s="4" t="e">
        <f t="shared" ref="DB487" ca="1" si="8823">MATCH(1,OFFSET(DA479:DA490,DC486,0,COUNT(DA479:DA490)-DC486),0)</f>
        <v>#REF!</v>
      </c>
      <c r="DC487" s="4" t="e">
        <f t="shared" ca="1" si="8697"/>
        <v>#REF!</v>
      </c>
      <c r="DD487" s="693" t="str">
        <f ca="1">IF(LEFT($J479,7)="Clad Wo",IFERROR(VLOOKUP(INDEX(CZ479:CZ490,DC487),SPPWS,2,FALSE),"----"),IFERROR(VLOOKUP(INDEX(CZ479:CZ490,DC487),SPM,2,FALSE),"----"))</f>
        <v>----</v>
      </c>
      <c r="DE487" s="691" t="e">
        <f t="shared" ca="1" si="8698"/>
        <v>#REF!</v>
      </c>
      <c r="DF487" s="4" t="e" cm="1">
        <f t="array" aca="1" ref="DF487" ca="1">IF(AND(INDEX(INDIRECT(BY479),DE487,4)&gt;=$AB485,INDEX(INDIRECT(BY479),DE487,5)&gt;=$S479,INDEX(INDIRECT(BY479),DE487,6)&gt;=$R479),1,0)</f>
        <v>#REF!</v>
      </c>
      <c r="DG487" s="4" t="e">
        <f t="shared" ref="DG487" ca="1" si="8824">MATCH(1,OFFSET(DF479:DF490,DH486,0,COUNT(DF479:DF490)-DH486),0)</f>
        <v>#REF!</v>
      </c>
      <c r="DH487" s="4" t="e">
        <f t="shared" ca="1" si="8700"/>
        <v>#REF!</v>
      </c>
      <c r="DI487" s="692" t="str" cm="1">
        <f t="array" aca="1" ref="DI487" ca="1">IFERROR(VLOOKUP(INDEX(DE479:DE490,DH487),INDIRECT(BY479),2,FALSE),"----")</f>
        <v>----</v>
      </c>
      <c r="DJ487" s="691" t="e">
        <f t="shared" ca="1" si="8701"/>
        <v>#N/A</v>
      </c>
      <c r="DK487" s="4" t="e">
        <f ca="1">IF(AND(INDEX(SSM,DJ487,4)&gt;=$AB485,INDEX(SSM,DJ487,5)&gt;=$S479,INDEX(SSM,DJ487,6)&gt;=$R479),1,0)</f>
        <v>#N/A</v>
      </c>
      <c r="DL487" s="4" t="e">
        <f t="shared" ref="DL487" ca="1" si="8825">MATCH(1,OFFSET(DK479:DK490,DM486,0,COUNT(DK479:DK490)-DM486),0)</f>
        <v>#REF!</v>
      </c>
      <c r="DM487" s="4" t="e">
        <f t="shared" ca="1" si="8703"/>
        <v>#REF!</v>
      </c>
      <c r="DN487" s="692" t="str">
        <f ca="1">IFERROR(IF(AD486="Nested Steel Stud (wood infill)",VLOOKUP(INDEX(DJ479:DJ490,DM487),SSW,2,FALSE),VLOOKUP(INDEX(DJ479:DJ490,DM487),SSM,2,FALSE)),"----")</f>
        <v>----</v>
      </c>
      <c r="DO487" s="691" t="e">
        <f t="shared" ca="1" si="8704"/>
        <v>#N/A</v>
      </c>
      <c r="DP487" s="4" t="e">
        <f ca="1">IF(AND(INDEX(WSM,DO487,4)&gt;=$AB485,INDEX(WSM,DO487,5)&gt;=$S479,INDEX(WSM,DO487,6)&gt;=$R479),1,0)</f>
        <v>#N/A</v>
      </c>
      <c r="DQ487" s="4" t="e">
        <f t="shared" ref="DQ487" ca="1" si="8826">MATCH(1,OFFSET(DP479:DP490,DR486,0,COUNT(DP479:DP490)-DR486),0)</f>
        <v>#REF!</v>
      </c>
      <c r="DR487" s="4" t="e">
        <f t="shared" ca="1" si="8706"/>
        <v>#REF!</v>
      </c>
      <c r="DS487" s="692" t="str">
        <f ca="1">IFERROR(VLOOKUP(INDEX(DO479:DO490,DR487),WSM,2,FALSE),"----")</f>
        <v>----</v>
      </c>
      <c r="DT487" s="691" t="e">
        <f t="shared" ca="1" si="8707"/>
        <v>#N/A</v>
      </c>
      <c r="DU487" s="4" t="e">
        <f ca="1">IF(AND(INDEX(STM,DT487,4)&gt;=$AB485,INDEX(STM,DT487,5)&gt;=$S479,INDEX(STM,DT487,6)&gt;=$R479),1,0)</f>
        <v>#N/A</v>
      </c>
      <c r="DV487" s="4" t="e">
        <f t="shared" ref="DV487" ca="1" si="8827">MATCH(1,OFFSET(DU479:DU490,DW486,0,COUNT(DU479:DU490)-DW486),0)</f>
        <v>#REF!</v>
      </c>
      <c r="DW487" s="4" t="e">
        <f t="shared" ca="1" si="8709"/>
        <v>#REF!</v>
      </c>
      <c r="DX487" s="692" t="str">
        <f ca="1">IFERROR(VLOOKUP(INDEX(DT479:DT490,DW487),STM,2,FALSE),"----")</f>
        <v>----</v>
      </c>
      <c r="DY487" s="691" t="e">
        <f t="shared" ca="1" si="8710"/>
        <v>#N/A</v>
      </c>
      <c r="DZ487" s="4" t="e">
        <f ca="1">IF(AND(INDEX(ELM,DY487,4)&gt;=$AB485,INDEX(ELM,DY487,5)&gt;=$S479,INDEX(ELM,DY487,6)&gt;=$R479),1,0)</f>
        <v>#N/A</v>
      </c>
      <c r="EA487" s="4" t="e">
        <f t="shared" ref="EA487" ca="1" si="8828">MATCH(1,OFFSET(DZ479:DZ490,EB486,0,COUNT(DZ479:DZ490)-EB486),0)</f>
        <v>#REF!</v>
      </c>
      <c r="EB487" s="4" t="e">
        <f t="shared" ca="1" si="8712"/>
        <v>#REF!</v>
      </c>
      <c r="EC487" s="692" t="str">
        <f ca="1">IFERROR(VLOOKUP(INDEX(DY479:DY490,EB487),ELM,2,FALSE),"----")</f>
        <v>----</v>
      </c>
      <c r="ED487" s="691" t="e">
        <f t="shared" ca="1" si="8713"/>
        <v>#N/A</v>
      </c>
      <c r="EE487" s="4" t="e">
        <f ca="1">IF(LEFT($J479,7)="Clad Wo",IF(AND(INDEX(SPPWS,ED487,4)&gt;=$AB485,INDEX(SPPWS,ED487,5)&gt;=$S479,INDEX(SPPWS,ED487,6)&gt;=$R479),1,0),IF(AND(INDEX(SPM,ED487,4)&gt;=$AB485,INDEX(SPM,ED487,5)&gt;=$S479,INDEX(SPM,ED487,6)&gt;=$R479),1,0))</f>
        <v>#N/A</v>
      </c>
      <c r="EF487" s="4" t="e">
        <f t="shared" ref="EF487" ca="1" si="8829">MATCH(1,OFFSET(EE479:EE490,EG486,0,COUNT(EE479:EE490)-EG486),0)</f>
        <v>#REF!</v>
      </c>
      <c r="EG487" s="4" t="e">
        <f t="shared" ca="1" si="8715"/>
        <v>#REF!</v>
      </c>
      <c r="EH487" s="692" t="str">
        <f ca="1">IF(LEFT($J479,7)="Clad Wo",IFERROR(VLOOKUP(INDEX(ED479:ED490,EG487),SPPWS,2,FALSE),"----"),IFERROR(VLOOKUP(INDEX(ED479:ED490,EG487),SPM,2,FALSE),"----"))</f>
        <v>----</v>
      </c>
    </row>
    <row r="488" spans="1:138" ht="15" customHeight="1" x14ac:dyDescent="0.25">
      <c r="A488" s="1085"/>
      <c r="B488" s="925"/>
      <c r="C488" s="926"/>
      <c r="D488" s="927"/>
      <c r="E488" s="995"/>
      <c r="F488" s="996"/>
      <c r="G488" s="997"/>
      <c r="H488" s="1062"/>
      <c r="I488" s="990"/>
      <c r="J488" s="902"/>
      <c r="K488" s="903"/>
      <c r="L488" s="1002"/>
      <c r="M488" s="923"/>
      <c r="N488" s="1042"/>
      <c r="O488" s="1018"/>
      <c r="P488" s="987"/>
      <c r="Q488" s="1015"/>
      <c r="R488" s="1012"/>
      <c r="S488" s="1006"/>
      <c r="T488" s="1007"/>
      <c r="U488" s="878"/>
      <c r="V488" s="881"/>
      <c r="W488" s="884"/>
      <c r="X488" s="884"/>
      <c r="Y488" s="887"/>
      <c r="Z488" s="887"/>
      <c r="AA488" s="887"/>
      <c r="AB488" s="1081"/>
      <c r="AC488" s="1078"/>
      <c r="AD488" s="1070" t="str">
        <f t="shared" si="8814"/>
        <v>Steel Tube</v>
      </c>
      <c r="AE488" s="1071"/>
      <c r="AF488" s="1052"/>
      <c r="AG488" s="1053"/>
      <c r="AH488" s="1053"/>
      <c r="AI488" s="1066"/>
      <c r="AJ488" s="1067"/>
      <c r="AK488" s="156" t="str">
        <f t="shared" ca="1" si="8761"/>
        <v/>
      </c>
      <c r="AL488" s="1059"/>
      <c r="AM488" s="343" t="str">
        <f ca="1">IFERROR(Q479/12*ROUND(VLOOKUP(AF488,OFFSET(STM,0,1),6,FALSE),2),"")</f>
        <v/>
      </c>
      <c r="AN488" t="str">
        <f t="shared" ca="1" si="8785"/>
        <v/>
      </c>
      <c r="AP488" s="122" t="str">
        <f t="shared" ref="AP488" si="8830">_xlfn.CONCAT(AR488,AS490)</f>
        <v/>
      </c>
      <c r="AQ488" s="683" t="str">
        <f t="shared" si="7698"/>
        <v/>
      </c>
      <c r="AR488" s="4" t="str">
        <f t="shared" si="8745"/>
        <v/>
      </c>
      <c r="AS488" s="4"/>
      <c r="AT488" s="697" t="str">
        <f>AL485</f>
        <v/>
      </c>
      <c r="AU488" s="694" t="e">
        <f t="shared" ca="1" si="7724"/>
        <v>#REF!</v>
      </c>
      <c r="AV488" s="686" t="str">
        <f ca="1">IFERROR(VLOOKUP(AU488,INDIRECT(AQ479),2,FALSE),"----")</f>
        <v>----</v>
      </c>
      <c r="AW488" s="694" t="e">
        <f t="shared" ca="1" si="7725"/>
        <v>#REF!</v>
      </c>
      <c r="AX488" s="686" t="str">
        <f ca="1">IFERROR(VLOOKUP(AW488,INDIRECT(AQ480),2,FALSE),"----")</f>
        <v>----</v>
      </c>
      <c r="AY488" s="694" t="e">
        <f t="shared" ca="1" si="7644"/>
        <v>#REF!</v>
      </c>
      <c r="AZ488" s="686" t="str">
        <f ca="1">IFERROR(VLOOKUP(AY488,INDIRECT(AQ481),2,FALSE),"----")</f>
        <v>----</v>
      </c>
      <c r="BA488" s="694" t="e">
        <f t="shared" ca="1" si="7645"/>
        <v>#REF!</v>
      </c>
      <c r="BB488" s="686" t="str">
        <f ca="1">IFERROR(VLOOKUP(BA488,INDIRECT(AQ482),2,FALSE),"----")</f>
        <v>----</v>
      </c>
      <c r="BC488" s="694" t="e">
        <f t="shared" ca="1" si="7728"/>
        <v>#REF!</v>
      </c>
      <c r="BD488" s="686" t="str">
        <f ca="1">IFERROR(VLOOKUP(BC488,INDIRECT(AQ483),2,FALSE),"----")</f>
        <v>----</v>
      </c>
      <c r="BE488" s="694" t="e">
        <f t="shared" ca="1" si="7729"/>
        <v>#REF!</v>
      </c>
      <c r="BF488" s="686" t="str">
        <f ca="1">IFERROR(VLOOKUP(BE488,INDIRECT(AQ484),2,FALSE),"----")</f>
        <v>----</v>
      </c>
      <c r="BG488" s="702" t="e">
        <f t="shared" ca="1" si="7730"/>
        <v>#REF!</v>
      </c>
      <c r="BH488" s="686" t="str">
        <f ca="1">IFERROR(VLOOKUP(BG488,INDIRECT(AQ485),2,FALSE),"----")</f>
        <v>----</v>
      </c>
      <c r="BI488" s="702" t="e">
        <f t="shared" ca="1" si="7731"/>
        <v>#REF!</v>
      </c>
      <c r="BJ488" s="686" t="str">
        <f ca="1">IFERROR(VLOOKUP(BI488,INDIRECT(AQ486),2,FALSE),"----")</f>
        <v>----</v>
      </c>
      <c r="BK488" s="702" t="e">
        <f t="shared" ca="1" si="7732"/>
        <v>#REF!</v>
      </c>
      <c r="BL488" s="686" t="str">
        <f ca="1">IFERROR(VLOOKUP(BK488,INDIRECT(AQ487),2,FALSE),"----")</f>
        <v>----</v>
      </c>
      <c r="BM488" s="702" t="e">
        <f t="shared" ca="1" si="7733"/>
        <v>#REF!</v>
      </c>
      <c r="BN488" s="686" t="str">
        <f ca="1">IFERROR(VLOOKUP(BM488,INDIRECT(AQ488),2,FALSE),"----")</f>
        <v>----</v>
      </c>
      <c r="BO488" s="702" t="e">
        <f t="shared" ca="1" si="7734"/>
        <v>#REF!</v>
      </c>
      <c r="BP488" s="686" t="str">
        <f ca="1">IFERROR(VLOOKUP(BO488,INDIRECT(AQ489),2,FALSE),"----")</f>
        <v>----</v>
      </c>
      <c r="BQ488" s="702" t="e">
        <f t="shared" ca="1" si="7735"/>
        <v>#REF!</v>
      </c>
      <c r="BR488" s="686" t="str">
        <f ca="1">IFERROR(VLOOKUP(BQ488,INDIRECT(AQ490),2,FALSE),"----")</f>
        <v>----</v>
      </c>
      <c r="BS488" s="695">
        <f>IF(AI488="",1,IF(COUNTIF(BN479:BN490,AI488)=0,2,1))</f>
        <v>1</v>
      </c>
      <c r="BT488" s="696">
        <f>IF(AF488="",1,IF(BN479=".",2,1))</f>
        <v>1</v>
      </c>
      <c r="BU488" s="706"/>
      <c r="BV488" s="155">
        <f ca="1">IF(COUNTIF(DX479:DX490,AF488)=0,IF(AF488&lt;&gt;"",0,1),1)</f>
        <v>1</v>
      </c>
      <c r="BW488" s="157">
        <f ca="1">IFERROR(MATCH(AF488,DX479:DX490,0),1)</f>
        <v>1</v>
      </c>
      <c r="BX488" s="769" t="e">
        <f t="shared" ref="BX488" si="8831">5*E479^3*W485/(384*X479)</f>
        <v>#VALUE!</v>
      </c>
      <c r="BY488" s="769" t="e">
        <f t="shared" ref="BY488" si="8832">E479^3*W485/(60*X479)</f>
        <v>#VALUE!</v>
      </c>
      <c r="BZ488" s="1110"/>
      <c r="CA488" s="691" t="e">
        <f t="shared" ca="1" si="8680"/>
        <v>#REF!</v>
      </c>
      <c r="CB488" s="4" t="e" cm="1">
        <f t="array" aca="1" ref="CB488" ca="1">IF(AND(INDEX(INDIRECT(BY479),CA488,4)&gt;=$AB479,INDEX(INDIRECT(BY479),CA488,5)&gt;=$S479,INDEX(INDIRECT(BY479),CA488,6)&gt;=$R479),1,0)</f>
        <v>#REF!</v>
      </c>
      <c r="CC488" s="4" t="e">
        <f t="shared" ref="CC488" ca="1" si="8833">MATCH(1,OFFSET(CB479:CB490,CD487,0,COUNT(CB479:CB490)-CD487),0)</f>
        <v>#REF!</v>
      </c>
      <c r="CD488" s="4" t="e">
        <f t="shared" ca="1" si="8682"/>
        <v>#REF!</v>
      </c>
      <c r="CE488" s="692" t="str" cm="1">
        <f t="array" aca="1" ref="CE488" ca="1">IFERROR(VLOOKUP(INDEX(CA479:CA490,CD488),INDIRECT(BY479),2,FALSE),"----")</f>
        <v>----</v>
      </c>
      <c r="CF488" s="691" t="e">
        <f t="shared" ca="1" si="8683"/>
        <v>#N/A</v>
      </c>
      <c r="CG488" s="4" t="e">
        <f ca="1">IF(AND(INDEX(SSM,CF488,4)&gt;=$AB479,INDEX(SSM,CF488,5)&gt;=$S479,INDEX(SSM,CF488,6)&gt;=$R479),1,0)</f>
        <v>#N/A</v>
      </c>
      <c r="CH488" s="4" t="e">
        <f t="shared" ref="CH488" ca="1" si="8834">MATCH(1,OFFSET(CG479:CG490,CI487,0,COUNT(CG479:CG490)-CI487),0)</f>
        <v>#REF!</v>
      </c>
      <c r="CI488" s="4" t="e">
        <f t="shared" ca="1" si="8685"/>
        <v>#REF!</v>
      </c>
      <c r="CJ488" s="692" t="str">
        <f ca="1">IFERROR(IF(AD480="Nested Steel Stud (wood infill)",VLOOKUP(INDEX(CF479:CF490,CI488),SSW,2,FALSE),VLOOKUP(INDEX(CF479:CF490,CI488),SSM,2,FALSE)),"----")</f>
        <v>----</v>
      </c>
      <c r="CK488" s="691" t="e">
        <f t="shared" ca="1" si="8686"/>
        <v>#N/A</v>
      </c>
      <c r="CL488" s="4" t="e">
        <f ca="1">IF(AND(INDEX(WSM,CK488,4)&gt;=$AB479,INDEX(WSM,CK488,5)&gt;=$S479,INDEX(WSM,CK488,6)&gt;=$R479),1,0)</f>
        <v>#N/A</v>
      </c>
      <c r="CM488" s="4" t="e">
        <f t="shared" ref="CM488" ca="1" si="8835">MATCH(1,OFFSET(CL479:CL490,CN487,0,COUNT(CL479:CL490)-CN487),0)</f>
        <v>#REF!</v>
      </c>
      <c r="CN488" s="4" t="e">
        <f t="shared" ca="1" si="8688"/>
        <v>#REF!</v>
      </c>
      <c r="CO488" s="692" t="str">
        <f ca="1">IFERROR(VLOOKUP(INDEX(CK479:CK490,CN488),WSM,2,FALSE),"----")</f>
        <v>----</v>
      </c>
      <c r="CP488" s="691" t="e">
        <f t="shared" ca="1" si="8689"/>
        <v>#N/A</v>
      </c>
      <c r="CQ488" s="4" t="e">
        <f ca="1">IF(AND(INDEX(STM,CP488,4)&gt;=$AB479,INDEX(STM,CP488,5)&gt;=$S479,INDEX(STM,CP488,6)&gt;=$R479),1,0)</f>
        <v>#N/A</v>
      </c>
      <c r="CR488" s="4" t="e">
        <f t="shared" ref="CR488" ca="1" si="8836">MATCH(1,OFFSET(CQ479:CQ490,CS487,0,COUNT(CQ479:CQ490)-CS487),0)</f>
        <v>#REF!</v>
      </c>
      <c r="CS488" s="4" t="e">
        <f t="shared" ca="1" si="8691"/>
        <v>#REF!</v>
      </c>
      <c r="CT488" s="692" t="str">
        <f ca="1">IFERROR(VLOOKUP(INDEX(CP479:CP490,CS488),STM,2,FALSE),"----")</f>
        <v>----</v>
      </c>
      <c r="CU488" s="691" t="e">
        <f t="shared" ca="1" si="8692"/>
        <v>#N/A</v>
      </c>
      <c r="CV488" s="4" t="e">
        <f ca="1">IF(AND(INDEX(ELM,CU488,4)&gt;=$AB479,INDEX(ELM,CU488,5)&gt;=$S479,INDEX(ELM,CU488,6)&gt;=$R479),1,0)</f>
        <v>#N/A</v>
      </c>
      <c r="CW488" s="4" t="e">
        <f t="shared" ref="CW488" ca="1" si="8837">MATCH(1,OFFSET(CV479:CV490,CX487,0,COUNT(CV479:CV490)-CX487),0)</f>
        <v>#REF!</v>
      </c>
      <c r="CX488" s="4" t="e">
        <f t="shared" ca="1" si="8694"/>
        <v>#REF!</v>
      </c>
      <c r="CY488" s="692" t="str">
        <f ca="1">IFERROR(VLOOKUP(INDEX(CU479:CU490,CX488),ELM,2,FALSE),"----")</f>
        <v>----</v>
      </c>
      <c r="CZ488" s="691" t="e">
        <f t="shared" ca="1" si="8695"/>
        <v>#N/A</v>
      </c>
      <c r="DA488" s="4" t="e">
        <f ca="1">IF(LEFT($J479,7)="Clad Wo",IF(AND(INDEX(SPPWS,CZ488,4)&gt;=$AB479,INDEX(SPPWS,CZ488,5)&gt;=$S479,INDEX(SPPWS,CZ488,6)&gt;=$R479),1,0),IF(AND(INDEX(SPM,CZ488,4)&gt;=$AB479,INDEX(SPM,CZ488,5)&gt;=$S479,INDEX(SPM,CZ488,6)&gt;=$R479),1,0))</f>
        <v>#N/A</v>
      </c>
      <c r="DB488" s="4" t="e">
        <f t="shared" ref="DB488" ca="1" si="8838">MATCH(1,OFFSET(DA479:DA490,DC487,0,COUNT(DA479:DA490)-DC487),0)</f>
        <v>#REF!</v>
      </c>
      <c r="DC488" s="4" t="e">
        <f t="shared" ca="1" si="8697"/>
        <v>#REF!</v>
      </c>
      <c r="DD488" s="693" t="str">
        <f ca="1">IF(LEFT($J479,7)="Clad Wo",IFERROR(VLOOKUP(INDEX(CZ479:CZ490,DC488),SPPWS,2,FALSE),"----"),IFERROR(VLOOKUP(INDEX(CZ479:CZ490,DC488),SPM,2,FALSE),"----"))</f>
        <v>----</v>
      </c>
      <c r="DE488" s="691" t="e">
        <f t="shared" ca="1" si="8698"/>
        <v>#REF!</v>
      </c>
      <c r="DF488" s="4" t="e" cm="1">
        <f t="array" aca="1" ref="DF488" ca="1">IF(AND(INDEX(INDIRECT(BY479),DE488,4)&gt;=$AB485,INDEX(INDIRECT(BY479),DE488,5)&gt;=$S479,INDEX(INDIRECT(BY479),DE488,6)&gt;=$R479),1,0)</f>
        <v>#REF!</v>
      </c>
      <c r="DG488" s="4" t="e">
        <f t="shared" ref="DG488" ca="1" si="8839">MATCH(1,OFFSET(DF479:DF490,DH487,0,COUNT(DF479:DF490)-DH487),0)</f>
        <v>#REF!</v>
      </c>
      <c r="DH488" s="4" t="e">
        <f t="shared" ca="1" si="8700"/>
        <v>#REF!</v>
      </c>
      <c r="DI488" s="692" t="str" cm="1">
        <f t="array" aca="1" ref="DI488" ca="1">IFERROR(VLOOKUP(INDEX(DE479:DE490,DH488),INDIRECT(BY479),2,FALSE),"----")</f>
        <v>----</v>
      </c>
      <c r="DJ488" s="691" t="e">
        <f t="shared" ca="1" si="8701"/>
        <v>#N/A</v>
      </c>
      <c r="DK488" s="4" t="e">
        <f ca="1">IF(AND(INDEX(SSM,DJ488,4)&gt;=$AB485,INDEX(SSM,DJ488,5)&gt;=$S479,INDEX(SSM,DJ488,6)&gt;=$R479),1,0)</f>
        <v>#N/A</v>
      </c>
      <c r="DL488" s="4" t="e">
        <f t="shared" ref="DL488" ca="1" si="8840">MATCH(1,OFFSET(DK479:DK490,DM487,0,COUNT(DK479:DK490)-DM487),0)</f>
        <v>#REF!</v>
      </c>
      <c r="DM488" s="4" t="e">
        <f t="shared" ca="1" si="8703"/>
        <v>#REF!</v>
      </c>
      <c r="DN488" s="692" t="str">
        <f ca="1">IFERROR(IF(AD486="Nested Steel Stud (wood infill)",VLOOKUP(INDEX(DJ479:DJ490,DM488),SSW,2,FALSE),VLOOKUP(INDEX(DJ479:DJ490,DM488),SSM,2,FALSE)),"----")</f>
        <v>----</v>
      </c>
      <c r="DO488" s="691" t="e">
        <f t="shared" ca="1" si="8704"/>
        <v>#N/A</v>
      </c>
      <c r="DP488" s="4" t="e">
        <f ca="1">IF(AND(INDEX(WSM,DO488,4)&gt;=$AB485,INDEX(WSM,DO488,5)&gt;=$S479,INDEX(WSM,DO488,6)&gt;=$R479),1,0)</f>
        <v>#N/A</v>
      </c>
      <c r="DQ488" s="4" t="e">
        <f t="shared" ref="DQ488" ca="1" si="8841">MATCH(1,OFFSET(DP479:DP490,DR487,0,COUNT(DP479:DP490)-DR487),0)</f>
        <v>#REF!</v>
      </c>
      <c r="DR488" s="4" t="e">
        <f t="shared" ca="1" si="8706"/>
        <v>#REF!</v>
      </c>
      <c r="DS488" s="692" t="str">
        <f ca="1">IFERROR(VLOOKUP(INDEX(DO479:DO490,DR488),WSM,2,FALSE),"----")</f>
        <v>----</v>
      </c>
      <c r="DT488" s="691" t="e">
        <f t="shared" ca="1" si="8707"/>
        <v>#N/A</v>
      </c>
      <c r="DU488" s="4" t="e">
        <f ca="1">IF(AND(INDEX(STM,DT488,4)&gt;=$AB485,INDEX(STM,DT488,5)&gt;=$S479,INDEX(STM,DT488,6)&gt;=$R479),1,0)</f>
        <v>#N/A</v>
      </c>
      <c r="DV488" s="4" t="e">
        <f t="shared" ref="DV488" ca="1" si="8842">MATCH(1,OFFSET(DU479:DU490,DW487,0,COUNT(DU479:DU490)-DW487),0)</f>
        <v>#REF!</v>
      </c>
      <c r="DW488" s="4" t="e">
        <f t="shared" ca="1" si="8709"/>
        <v>#REF!</v>
      </c>
      <c r="DX488" s="692" t="str">
        <f ca="1">IFERROR(VLOOKUP(INDEX(DT479:DT490,DW488),STM,2,FALSE),"----")</f>
        <v>----</v>
      </c>
      <c r="DY488" s="691" t="e">
        <f t="shared" ca="1" si="8710"/>
        <v>#N/A</v>
      </c>
      <c r="DZ488" s="4" t="e">
        <f ca="1">IF(AND(INDEX(ELM,DY488,4)&gt;=$AB485,INDEX(ELM,DY488,5)&gt;=$S479,INDEX(ELM,DY488,6)&gt;=$R479),1,0)</f>
        <v>#N/A</v>
      </c>
      <c r="EA488" s="4" t="e">
        <f t="shared" ref="EA488" ca="1" si="8843">MATCH(1,OFFSET(DZ479:DZ490,EB487,0,COUNT(DZ479:DZ490)-EB487),0)</f>
        <v>#REF!</v>
      </c>
      <c r="EB488" s="4" t="e">
        <f t="shared" ca="1" si="8712"/>
        <v>#REF!</v>
      </c>
      <c r="EC488" s="692" t="str">
        <f ca="1">IFERROR(VLOOKUP(INDEX(DY479:DY490,EB488),ELM,2,FALSE),"----")</f>
        <v>----</v>
      </c>
      <c r="ED488" s="691" t="e">
        <f t="shared" ca="1" si="8713"/>
        <v>#N/A</v>
      </c>
      <c r="EE488" s="4" t="e">
        <f ca="1">IF(LEFT($J479,7)="Clad Wo",IF(AND(INDEX(SPPWS,ED488,4)&gt;=$AB485,INDEX(SPPWS,ED488,5)&gt;=$S479,INDEX(SPPWS,ED488,6)&gt;=$R479),1,0),IF(AND(INDEX(SPM,ED488,4)&gt;=$AB485,INDEX(SPM,ED488,5)&gt;=$S479,INDEX(SPM,ED488,6)&gt;=$R479),1,0))</f>
        <v>#N/A</v>
      </c>
      <c r="EF488" s="4" t="e">
        <f t="shared" ref="EF488" ca="1" si="8844">MATCH(1,OFFSET(EE479:EE490,EG487,0,COUNT(EE479:EE490)-EG487),0)</f>
        <v>#REF!</v>
      </c>
      <c r="EG488" s="4" t="e">
        <f t="shared" ca="1" si="8715"/>
        <v>#REF!</v>
      </c>
      <c r="EH488" s="692" t="str">
        <f ca="1">IF(LEFT($J479,7)="Clad Wo",IFERROR(VLOOKUP(INDEX(ED479:ED490,EG488),SPPWS,2,FALSE),"----"),IFERROR(VLOOKUP(INDEX(ED479:ED490,EG488),SPM,2,FALSE),"----"))</f>
        <v>----</v>
      </c>
    </row>
    <row r="489" spans="1:138" ht="15" customHeight="1" x14ac:dyDescent="0.25">
      <c r="A489" s="1085"/>
      <c r="B489" s="925"/>
      <c r="C489" s="926"/>
      <c r="D489" s="927"/>
      <c r="E489" s="995"/>
      <c r="F489" s="996"/>
      <c r="G489" s="997"/>
      <c r="H489" s="1062"/>
      <c r="I489" s="990"/>
      <c r="J489" s="902"/>
      <c r="K489" s="903"/>
      <c r="L489" s="1002"/>
      <c r="M489" s="923"/>
      <c r="N489" s="1042"/>
      <c r="O489" s="1018"/>
      <c r="P489" s="987"/>
      <c r="Q489" s="1015"/>
      <c r="R489" s="1012"/>
      <c r="S489" s="1006"/>
      <c r="T489" s="1007"/>
      <c r="U489" s="878"/>
      <c r="V489" s="881"/>
      <c r="W489" s="884"/>
      <c r="X489" s="884"/>
      <c r="Y489" s="887"/>
      <c r="Z489" s="887"/>
      <c r="AA489" s="887"/>
      <c r="AB489" s="1081"/>
      <c r="AC489" s="1078"/>
      <c r="AD489" s="1070" t="str">
        <f t="shared" si="8814"/>
        <v>Engineered Lumber</v>
      </c>
      <c r="AE489" s="1071"/>
      <c r="AF489" s="1052"/>
      <c r="AG489" s="1053"/>
      <c r="AH489" s="1053"/>
      <c r="AI489" s="1068"/>
      <c r="AJ489" s="1069"/>
      <c r="AK489" s="154" t="str">
        <f t="shared" ca="1" si="8761"/>
        <v/>
      </c>
      <c r="AL489" s="1059"/>
      <c r="AM489" s="344" t="str">
        <f ca="1">IFERROR(Q479/12*ROUND(VLOOKUP(AF489,OFFSET(ELM,0,1),6,FALSE),2),"")</f>
        <v/>
      </c>
      <c r="AN489" t="str">
        <f t="shared" ca="1" si="8785"/>
        <v/>
      </c>
      <c r="AP489" s="122" t="str">
        <f t="shared" ref="AP489" si="8845">_xlfn.CONCAT(AR489,AS490)</f>
        <v/>
      </c>
      <c r="AQ489" s="683" t="str">
        <f t="shared" si="7698"/>
        <v/>
      </c>
      <c r="AR489" s="4" t="str">
        <f t="shared" si="8745"/>
        <v/>
      </c>
      <c r="AS489" s="4"/>
      <c r="AT489" s="697" t="str">
        <f>AL485</f>
        <v/>
      </c>
      <c r="AU489" s="694" t="e">
        <f t="shared" ca="1" si="7724"/>
        <v>#REF!</v>
      </c>
      <c r="AV489" s="698" t="str">
        <f ca="1">IFERROR(VLOOKUP(AU489,INDIRECT(AQ479),2,FALSE),"----")</f>
        <v>----</v>
      </c>
      <c r="AW489" s="694" t="e">
        <f t="shared" ca="1" si="7725"/>
        <v>#REF!</v>
      </c>
      <c r="AX489" s="698" t="str">
        <f ca="1">IFERROR(VLOOKUP(AW489,INDIRECT(AQ480),2,FALSE),"----")</f>
        <v>----</v>
      </c>
      <c r="AY489" s="694" t="e">
        <f t="shared" ca="1" si="7644"/>
        <v>#REF!</v>
      </c>
      <c r="AZ489" s="698" t="str">
        <f ca="1">IFERROR(VLOOKUP(AY489,INDIRECT(AQ481),2,FALSE),"----")</f>
        <v>----</v>
      </c>
      <c r="BA489" s="694" t="e">
        <f t="shared" ca="1" si="7645"/>
        <v>#REF!</v>
      </c>
      <c r="BB489" s="698" t="str">
        <f ca="1">IFERROR(VLOOKUP(BA489,INDIRECT(AQ482),2,FALSE),"----")</f>
        <v>----</v>
      </c>
      <c r="BC489" s="694" t="e">
        <f t="shared" ca="1" si="7728"/>
        <v>#REF!</v>
      </c>
      <c r="BD489" s="698" t="str">
        <f ca="1">IFERROR(VLOOKUP(BC489,INDIRECT(AQ483),2,FALSE),"----")</f>
        <v>----</v>
      </c>
      <c r="BE489" s="694" t="e">
        <f t="shared" ca="1" si="7729"/>
        <v>#REF!</v>
      </c>
      <c r="BF489" s="698" t="str">
        <f ca="1">IFERROR(VLOOKUP(BE489,INDIRECT(AQ484),2,FALSE),"----")</f>
        <v>----</v>
      </c>
      <c r="BG489" s="702" t="e">
        <f t="shared" ca="1" si="7730"/>
        <v>#REF!</v>
      </c>
      <c r="BH489" s="686" t="str">
        <f ca="1">IFERROR(VLOOKUP(BG489,INDIRECT(AQ485),2,FALSE),"----")</f>
        <v>----</v>
      </c>
      <c r="BI489" s="702" t="e">
        <f t="shared" ca="1" si="7731"/>
        <v>#REF!</v>
      </c>
      <c r="BJ489" s="686" t="str">
        <f ca="1">IFERROR(VLOOKUP(BI489,INDIRECT(AQ486),2,FALSE),"----")</f>
        <v>----</v>
      </c>
      <c r="BK489" s="702" t="e">
        <f t="shared" ca="1" si="7732"/>
        <v>#REF!</v>
      </c>
      <c r="BL489" s="686" t="str">
        <f ca="1">IFERROR(VLOOKUP(BK489,INDIRECT(AQ487),2,FALSE),"----")</f>
        <v>----</v>
      </c>
      <c r="BM489" s="702" t="e">
        <f t="shared" ca="1" si="7733"/>
        <v>#REF!</v>
      </c>
      <c r="BN489" s="686" t="str">
        <f ca="1">IFERROR(VLOOKUP(BM489,INDIRECT(AQ488),2,FALSE),"----")</f>
        <v>----</v>
      </c>
      <c r="BO489" s="702" t="e">
        <f t="shared" ca="1" si="7734"/>
        <v>#REF!</v>
      </c>
      <c r="BP489" s="686" t="str">
        <f ca="1">IFERROR(VLOOKUP(BO489,INDIRECT(AQ489),2,FALSE),"----")</f>
        <v>----</v>
      </c>
      <c r="BQ489" s="702" t="e">
        <f t="shared" ca="1" si="7735"/>
        <v>#REF!</v>
      </c>
      <c r="BR489" s="686" t="str">
        <f ca="1">IFERROR(VLOOKUP(BQ489,INDIRECT(AQ490),2,FALSE),"----")</f>
        <v>----</v>
      </c>
      <c r="BS489" s="695">
        <f>IF(AI489="",1,IF(COUNTIF(BP479:BP490,AI489)=0,2,1))</f>
        <v>1</v>
      </c>
      <c r="BT489" s="696">
        <f>IF(AF489="",1,IF(BP479=".",2,1))</f>
        <v>1</v>
      </c>
      <c r="BU489" s="706"/>
      <c r="BV489" s="155">
        <f ca="1">IF(COUNTIF(EC479:EC490,AF489)=0,IF(AF489&lt;&gt;"",0,1),1)</f>
        <v>1</v>
      </c>
      <c r="BW489" s="157">
        <f ca="1">IFERROR(MATCH(AF489,EC479:EC490,0),1)</f>
        <v>1</v>
      </c>
      <c r="BX489" s="769"/>
      <c r="BY489" s="769"/>
      <c r="BZ489" s="1110"/>
      <c r="CA489" s="691" t="e">
        <f t="shared" ca="1" si="8680"/>
        <v>#REF!</v>
      </c>
      <c r="CB489" s="4" t="e" cm="1">
        <f t="array" aca="1" ref="CB489" ca="1">IF(AND(INDEX(INDIRECT(BY479),CA489,4)&gt;=$AB479,INDEX(INDIRECT(BY479),CA489,5)&gt;=$S479,INDEX(INDIRECT(BY479),CA489,6)&gt;=$R479),1,0)</f>
        <v>#REF!</v>
      </c>
      <c r="CC489" s="4" t="e">
        <f t="shared" ref="CC489" ca="1" si="8846">MATCH(1,OFFSET(CB479:CB490,CD488,0,COUNT(CB479:CB490)-CD488),0)</f>
        <v>#REF!</v>
      </c>
      <c r="CD489" s="4" t="e">
        <f t="shared" ca="1" si="8682"/>
        <v>#REF!</v>
      </c>
      <c r="CE489" s="692" t="str" cm="1">
        <f t="array" aca="1" ref="CE489" ca="1">IFERROR(VLOOKUP(INDEX(CA479:CA490,CD489),INDIRECT(BY479),2,FALSE),"----")</f>
        <v>----</v>
      </c>
      <c r="CF489" s="691" t="e">
        <f t="shared" ca="1" si="8683"/>
        <v>#N/A</v>
      </c>
      <c r="CG489" s="4" t="e">
        <f ca="1">IF(AND(INDEX(SSM,CF489,4)&gt;=$AB479,INDEX(SSM,CF489,5)&gt;=$S479,INDEX(SSM,CF489,6)&gt;=$R479),1,0)</f>
        <v>#N/A</v>
      </c>
      <c r="CH489" s="4" t="e">
        <f t="shared" ref="CH489" ca="1" si="8847">MATCH(1,OFFSET(CG479:CG490,CI488,0,COUNT(CG479:CG490)-CI488),0)</f>
        <v>#REF!</v>
      </c>
      <c r="CI489" s="4" t="e">
        <f t="shared" ca="1" si="8685"/>
        <v>#REF!</v>
      </c>
      <c r="CJ489" s="692" t="str">
        <f ca="1">IFERROR(IF(AD480="Nested Steel Stud (wood infill)",VLOOKUP(INDEX(CF479:CF490,CI489),SSW,2,FALSE),VLOOKUP(INDEX(CF479:CF490,CI489),SSM,2,FALSE)),"----")</f>
        <v>----</v>
      </c>
      <c r="CK489" s="691" t="e">
        <f t="shared" ca="1" si="8686"/>
        <v>#N/A</v>
      </c>
      <c r="CL489" s="4" t="e">
        <f ca="1">IF(AND(INDEX(WSM,CK489,4)&gt;=$AB479,INDEX(WSM,CK489,5)&gt;=$S479,INDEX(WSM,CK489,6)&gt;=$R479),1,0)</f>
        <v>#N/A</v>
      </c>
      <c r="CM489" s="4" t="e">
        <f t="shared" ref="CM489" ca="1" si="8848">MATCH(1,OFFSET(CL479:CL490,CN488,0,COUNT(CL479:CL490)-CN488),0)</f>
        <v>#REF!</v>
      </c>
      <c r="CN489" s="4" t="e">
        <f t="shared" ca="1" si="8688"/>
        <v>#REF!</v>
      </c>
      <c r="CO489" s="692" t="str">
        <f ca="1">IFERROR(VLOOKUP(INDEX(CK479:CK490,CN489),WSM,2,FALSE),"----")</f>
        <v>----</v>
      </c>
      <c r="CP489" s="691" t="e">
        <f t="shared" ca="1" si="8689"/>
        <v>#N/A</v>
      </c>
      <c r="CQ489" s="4" t="e">
        <f ca="1">IF(AND(INDEX(STM,CP489,4)&gt;=$AB479,INDEX(STM,CP489,5)&gt;=$S479,INDEX(STM,CP489,6)&gt;=$R479),1,0)</f>
        <v>#N/A</v>
      </c>
      <c r="CR489" s="4" t="e">
        <f t="shared" ref="CR489" ca="1" si="8849">MATCH(1,OFFSET(CQ479:CQ490,CS488,0,COUNT(CQ479:CQ490)-CS488),0)</f>
        <v>#REF!</v>
      </c>
      <c r="CS489" s="4" t="e">
        <f t="shared" ca="1" si="8691"/>
        <v>#REF!</v>
      </c>
      <c r="CT489" s="692" t="str">
        <f ca="1">IFERROR(VLOOKUP(INDEX(CP479:CP490,CS489),STM,2,FALSE),"----")</f>
        <v>----</v>
      </c>
      <c r="CU489" s="691" t="e">
        <f t="shared" ca="1" si="8692"/>
        <v>#N/A</v>
      </c>
      <c r="CV489" s="4" t="e">
        <f ca="1">IF(AND(INDEX(ELM,CU489,4)&gt;=$AB479,INDEX(ELM,CU489,5)&gt;=$S479,INDEX(ELM,CU489,6)&gt;=$R479),1,0)</f>
        <v>#N/A</v>
      </c>
      <c r="CW489" s="4" t="e">
        <f t="shared" ref="CW489" ca="1" si="8850">MATCH(1,OFFSET(CV479:CV490,CX488,0,COUNT(CV479:CV490)-CX488),0)</f>
        <v>#REF!</v>
      </c>
      <c r="CX489" s="4" t="e">
        <f t="shared" ca="1" si="8694"/>
        <v>#REF!</v>
      </c>
      <c r="CY489" s="692" t="str">
        <f ca="1">IFERROR(VLOOKUP(INDEX(CU479:CU490,CX489),ELM,2,FALSE),"----")</f>
        <v>----</v>
      </c>
      <c r="CZ489" s="691" t="e">
        <f t="shared" ca="1" si="8695"/>
        <v>#N/A</v>
      </c>
      <c r="DA489" s="4" t="e">
        <f ca="1">IF(LEFT($J479,7)="Clad Wo",IF(AND(INDEX(SPPWS,CZ489,4)&gt;=$AB479,INDEX(SPPWS,CZ489,5)&gt;=$S479,INDEX(SPPWS,CZ489,6)&gt;=$R479),1,0),IF(AND(INDEX(SPM,CZ489,4)&gt;=$AB479,INDEX(SPM,CZ489,5)&gt;=$S479,INDEX(SPM,CZ489,6)&gt;=$R479),1,0))</f>
        <v>#N/A</v>
      </c>
      <c r="DB489" s="4" t="e">
        <f t="shared" ref="DB489" ca="1" si="8851">MATCH(1,OFFSET(DA479:DA490,DC488,0,COUNT(DA479:DA490)-DC488),0)</f>
        <v>#REF!</v>
      </c>
      <c r="DC489" s="4" t="e">
        <f t="shared" ca="1" si="8697"/>
        <v>#REF!</v>
      </c>
      <c r="DD489" s="693" t="str">
        <f ca="1">IF(LEFT($J479,7)="Clad Wo",IFERROR(VLOOKUP(INDEX(CZ479:CZ490,DC489),SPPWS,2,FALSE),"----"),IFERROR(VLOOKUP(INDEX(CZ479:CZ490,DC489),SPM,2,FALSE),"----"))</f>
        <v>----</v>
      </c>
      <c r="DE489" s="691" t="e">
        <f t="shared" ca="1" si="8698"/>
        <v>#REF!</v>
      </c>
      <c r="DF489" s="4" t="e" cm="1">
        <f t="array" aca="1" ref="DF489" ca="1">IF(AND(INDEX(INDIRECT(BY479),DE489,4)&gt;=$AB485,INDEX(INDIRECT(BY479),DE489,5)&gt;=$S479,INDEX(INDIRECT(BY479),DE489,6)&gt;=$R479),1,0)</f>
        <v>#REF!</v>
      </c>
      <c r="DG489" s="4" t="e">
        <f t="shared" ref="DG489" ca="1" si="8852">MATCH(1,OFFSET(DF479:DF490,DH488,0,COUNT(DF479:DF490)-DH488),0)</f>
        <v>#REF!</v>
      </c>
      <c r="DH489" s="4" t="e">
        <f t="shared" ca="1" si="8700"/>
        <v>#REF!</v>
      </c>
      <c r="DI489" s="692" t="str" cm="1">
        <f t="array" aca="1" ref="DI489" ca="1">IFERROR(VLOOKUP(INDEX(DE479:DE490,DH489),INDIRECT(BY479),2,FALSE),"----")</f>
        <v>----</v>
      </c>
      <c r="DJ489" s="691" t="e">
        <f t="shared" ca="1" si="8701"/>
        <v>#N/A</v>
      </c>
      <c r="DK489" s="4" t="e">
        <f ca="1">IF(AND(INDEX(SSM,DJ489,4)&gt;=$AB485,INDEX(SSM,DJ489,5)&gt;=$S479,INDEX(SSM,DJ489,6)&gt;=$R479),1,0)</f>
        <v>#N/A</v>
      </c>
      <c r="DL489" s="4" t="e">
        <f t="shared" ref="DL489" ca="1" si="8853">MATCH(1,OFFSET(DK479:DK490,DM488,0,COUNT(DK479:DK490)-DM488),0)</f>
        <v>#REF!</v>
      </c>
      <c r="DM489" s="4" t="e">
        <f t="shared" ca="1" si="8703"/>
        <v>#REF!</v>
      </c>
      <c r="DN489" s="692" t="str">
        <f ca="1">IFERROR(IF(AD486="Nested Steel Stud (wood infill)",VLOOKUP(INDEX(DJ479:DJ490,DM489),SSW,2,FALSE),VLOOKUP(INDEX(DJ479:DJ490,DM489),SSM,2,FALSE)),"----")</f>
        <v>----</v>
      </c>
      <c r="DO489" s="691" t="e">
        <f t="shared" ca="1" si="8704"/>
        <v>#N/A</v>
      </c>
      <c r="DP489" s="4" t="e">
        <f ca="1">IF(AND(INDEX(WSM,DO489,4)&gt;=$AB485,INDEX(WSM,DO489,5)&gt;=$S479,INDEX(WSM,DO489,6)&gt;=$R479),1,0)</f>
        <v>#N/A</v>
      </c>
      <c r="DQ489" s="4" t="e">
        <f t="shared" ref="DQ489" ca="1" si="8854">MATCH(1,OFFSET(DP479:DP490,DR488,0,COUNT(DP479:DP490)-DR488),0)</f>
        <v>#REF!</v>
      </c>
      <c r="DR489" s="4" t="e">
        <f t="shared" ca="1" si="8706"/>
        <v>#REF!</v>
      </c>
      <c r="DS489" s="692" t="str">
        <f ca="1">IFERROR(VLOOKUP(INDEX(DO479:DO490,DR489),WSM,2,FALSE),"----")</f>
        <v>----</v>
      </c>
      <c r="DT489" s="691" t="e">
        <f t="shared" ca="1" si="8707"/>
        <v>#N/A</v>
      </c>
      <c r="DU489" s="4" t="e">
        <f ca="1">IF(AND(INDEX(STM,DT489,4)&gt;=$AB485,INDEX(STM,DT489,5)&gt;=$S479,INDEX(STM,DT489,6)&gt;=$R479),1,0)</f>
        <v>#N/A</v>
      </c>
      <c r="DV489" s="4" t="e">
        <f t="shared" ref="DV489" ca="1" si="8855">MATCH(1,OFFSET(DU479:DU490,DW488,0,COUNT(DU479:DU490)-DW488),0)</f>
        <v>#REF!</v>
      </c>
      <c r="DW489" s="4" t="e">
        <f t="shared" ca="1" si="8709"/>
        <v>#REF!</v>
      </c>
      <c r="DX489" s="692" t="str">
        <f ca="1">IFERROR(VLOOKUP(INDEX(DT479:DT490,DW489),STM,2,FALSE),"----")</f>
        <v>----</v>
      </c>
      <c r="DY489" s="691" t="e">
        <f t="shared" ca="1" si="8710"/>
        <v>#N/A</v>
      </c>
      <c r="DZ489" s="4" t="e">
        <f ca="1">IF(AND(INDEX(ELM,DY489,4)&gt;=$AB485,INDEX(ELM,DY489,5)&gt;=$S479,INDEX(ELM,DY489,6)&gt;=$R479),1,0)</f>
        <v>#N/A</v>
      </c>
      <c r="EA489" s="4" t="e">
        <f t="shared" ref="EA489" ca="1" si="8856">MATCH(1,OFFSET(DZ479:DZ490,EB488,0,COUNT(DZ479:DZ490)-EB488),0)</f>
        <v>#REF!</v>
      </c>
      <c r="EB489" s="4" t="e">
        <f t="shared" ca="1" si="8712"/>
        <v>#REF!</v>
      </c>
      <c r="EC489" s="692" t="str">
        <f ca="1">IFERROR(VLOOKUP(INDEX(DY479:DY490,EB489),ELM,2,FALSE),"----")</f>
        <v>----</v>
      </c>
      <c r="ED489" s="691" t="e">
        <f t="shared" ca="1" si="8713"/>
        <v>#N/A</v>
      </c>
      <c r="EE489" s="4" t="e">
        <f ca="1">IF(LEFT($J479,7)="Clad Wo",IF(AND(INDEX(SPPWS,ED489,4)&gt;=$AB485,INDEX(SPPWS,ED489,5)&gt;=$S479,INDEX(SPPWS,ED489,6)&gt;=$R479),1,0),IF(AND(INDEX(SPM,ED489,4)&gt;=$AB485,INDEX(SPM,ED489,5)&gt;=$S479,INDEX(SPM,ED489,6)&gt;=$R479),1,0))</f>
        <v>#N/A</v>
      </c>
      <c r="EF489" s="4" t="e">
        <f t="shared" ref="EF489" ca="1" si="8857">MATCH(1,OFFSET(EE479:EE490,EG488,0,COUNT(EE479:EE490)-EG488),0)</f>
        <v>#REF!</v>
      </c>
      <c r="EG489" s="4" t="e">
        <f t="shared" ca="1" si="8715"/>
        <v>#REF!</v>
      </c>
      <c r="EH489" s="692" t="str">
        <f ca="1">IF(LEFT($J479,7)="Clad Wo",IFERROR(VLOOKUP(INDEX(ED479:ED490,EG489),SPPWS,2,FALSE),"----"),IFERROR(VLOOKUP(INDEX(ED479:ED490,EG489),SPM,2,FALSE),"----"))</f>
        <v>----</v>
      </c>
    </row>
    <row r="490" spans="1:138" ht="15" customHeight="1" thickBot="1" x14ac:dyDescent="0.3">
      <c r="A490" s="1085"/>
      <c r="B490" s="928"/>
      <c r="C490" s="929"/>
      <c r="D490" s="930"/>
      <c r="E490" s="998"/>
      <c r="F490" s="999"/>
      <c r="G490" s="1000"/>
      <c r="H490" s="1063"/>
      <c r="I490" s="991"/>
      <c r="J490" s="904"/>
      <c r="K490" s="905"/>
      <c r="L490" s="1003"/>
      <c r="M490" s="1065"/>
      <c r="N490" s="1043"/>
      <c r="O490" s="1019"/>
      <c r="P490" s="988"/>
      <c r="Q490" s="1016"/>
      <c r="R490" s="1013"/>
      <c r="S490" s="1008"/>
      <c r="T490" s="1009"/>
      <c r="U490" s="879"/>
      <c r="V490" s="882"/>
      <c r="W490" s="885"/>
      <c r="X490" s="885"/>
      <c r="Y490" s="888"/>
      <c r="Z490" s="888"/>
      <c r="AA490" s="888"/>
      <c r="AB490" s="1082"/>
      <c r="AC490" s="1087"/>
      <c r="AD490" s="1098" t="str">
        <f t="shared" ref="AD490" si="8858">IF(LEFT(J479,7)="Clad Wo","Pella Wood Spr / Steel Pte","Steel Plate")</f>
        <v>Steel Plate</v>
      </c>
      <c r="AE490" s="1099"/>
      <c r="AF490" s="1096"/>
      <c r="AG490" s="1097"/>
      <c r="AH490" s="1097"/>
      <c r="AI490" s="1094"/>
      <c r="AJ490" s="1095"/>
      <c r="AK490" s="163" t="str">
        <f t="shared" ca="1" si="8761"/>
        <v/>
      </c>
      <c r="AL490" s="1060"/>
      <c r="AM490" s="345" t="str">
        <f ca="1">IFERROR(Q479/12*ROUND(VLOOKUP(AF490,OFFSET(SPM,0,1),6,FALSE),2),"")</f>
        <v/>
      </c>
      <c r="AN490" t="str">
        <f t="shared" ca="1" si="8785"/>
        <v/>
      </c>
      <c r="AP490" s="699" t="str">
        <f t="shared" ref="AP490" si="8859">_xlfn.CONCAT(AR490,AS490)</f>
        <v/>
      </c>
      <c r="AQ490" s="700" t="str">
        <f t="shared" si="7698"/>
        <v/>
      </c>
      <c r="AR490" s="160" t="str">
        <f t="shared" si="8745"/>
        <v/>
      </c>
      <c r="AS490" s="160" t="str">
        <f>IFERROR(VLOOKUP(J487, WallType,2,FALSE),"")</f>
        <v/>
      </c>
      <c r="AT490" s="707" t="str">
        <f>AL485</f>
        <v/>
      </c>
      <c r="AU490" s="708" t="e">
        <f t="shared" ca="1" si="7724"/>
        <v>#REF!</v>
      </c>
      <c r="AV490" s="709" t="str">
        <f ca="1">IFERROR(VLOOKUP(AU490,INDIRECT(AQ479),2,FALSE),"----")</f>
        <v>----</v>
      </c>
      <c r="AW490" s="710" t="e">
        <f t="shared" ca="1" si="7725"/>
        <v>#REF!</v>
      </c>
      <c r="AX490" s="709" t="str">
        <f ca="1">IFERROR(VLOOKUP(AW490,INDIRECT(AQ480),2,FALSE),"----")</f>
        <v>----</v>
      </c>
      <c r="AY490" s="710" t="e">
        <f t="shared" ca="1" si="7644"/>
        <v>#REF!</v>
      </c>
      <c r="AZ490" s="709" t="str">
        <f ca="1">IFERROR(VLOOKUP(AY490,INDIRECT(AQ481),2,FALSE),"----")</f>
        <v>----</v>
      </c>
      <c r="BA490" s="710" t="e">
        <f t="shared" ca="1" si="7645"/>
        <v>#REF!</v>
      </c>
      <c r="BB490" s="709" t="str">
        <f ca="1">IFERROR(VLOOKUP(BA490,INDIRECT(AQ482),2,FALSE),"----")</f>
        <v>----</v>
      </c>
      <c r="BC490" s="710" t="e">
        <f t="shared" ca="1" si="7728"/>
        <v>#REF!</v>
      </c>
      <c r="BD490" s="709" t="str">
        <f ca="1">IFERROR(VLOOKUP(BC490,INDIRECT(AQ483),2,FALSE),"----")</f>
        <v>----</v>
      </c>
      <c r="BE490" s="710" t="e">
        <f t="shared" ca="1" si="7729"/>
        <v>#REF!</v>
      </c>
      <c r="BF490" s="709" t="str">
        <f ca="1">IFERROR(VLOOKUP(BE490,INDIRECT(AQ484),2,FALSE),"----")</f>
        <v>----</v>
      </c>
      <c r="BG490" s="710" t="e">
        <f t="shared" ca="1" si="7730"/>
        <v>#REF!</v>
      </c>
      <c r="BH490" s="711" t="str">
        <f ca="1">IFERROR(VLOOKUP(BG490,INDIRECT(AQ485),2,FALSE),"----")</f>
        <v>----</v>
      </c>
      <c r="BI490" s="710" t="e">
        <f t="shared" ca="1" si="7731"/>
        <v>#REF!</v>
      </c>
      <c r="BJ490" s="711" t="str">
        <f ca="1">IFERROR(VLOOKUP(BI490,INDIRECT(AQ486),2,FALSE),"----")</f>
        <v>----</v>
      </c>
      <c r="BK490" s="710" t="e">
        <f t="shared" ca="1" si="7732"/>
        <v>#REF!</v>
      </c>
      <c r="BL490" s="711" t="str">
        <f ca="1">IFERROR(VLOOKUP(BK490,INDIRECT(AQ487),2,FALSE),"----")</f>
        <v>----</v>
      </c>
      <c r="BM490" s="710" t="e">
        <f t="shared" ca="1" si="7733"/>
        <v>#REF!</v>
      </c>
      <c r="BN490" s="711" t="str">
        <f ca="1">IFERROR(VLOOKUP(BM490,INDIRECT(AQ488),2,FALSE),"----")</f>
        <v>----</v>
      </c>
      <c r="BO490" s="710" t="e">
        <f t="shared" ca="1" si="7734"/>
        <v>#REF!</v>
      </c>
      <c r="BP490" s="711" t="str">
        <f ca="1">IFERROR(VLOOKUP(BO490,INDIRECT(AQ489),2,FALSE),"----")</f>
        <v>----</v>
      </c>
      <c r="BQ490" s="710" t="e">
        <f t="shared" ca="1" si="7735"/>
        <v>#REF!</v>
      </c>
      <c r="BR490" s="712" t="str">
        <f ca="1">IFERROR(VLOOKUP(BQ490,INDIRECT(AQ490),2,FALSE),"----")</f>
        <v>----</v>
      </c>
      <c r="BS490" s="695">
        <f>IF(AI490="",1,IF(COUNTIF(BR479:BR490,AI490)=0,2,1))</f>
        <v>1</v>
      </c>
      <c r="BT490" s="713">
        <f>IF(AF490="",1,IF(BR479=".",2,1))</f>
        <v>1</v>
      </c>
      <c r="BV490" s="155">
        <f ca="1">IF(COUNTIF(EH479:EH490,AF490)=0,IF(AF490&lt;&gt;"",0,1),1)</f>
        <v>1</v>
      </c>
      <c r="BW490" s="157">
        <f ca="1">IFERROR(MATCH(AF490,EH479:EH490,0),1)</f>
        <v>1</v>
      </c>
      <c r="BX490" s="718"/>
      <c r="BY490" s="777"/>
      <c r="BZ490" s="1110"/>
      <c r="CA490" s="714" t="e">
        <f t="shared" ca="1" si="8680"/>
        <v>#REF!</v>
      </c>
      <c r="CB490" s="715" t="e" cm="1">
        <f t="array" aca="1" ref="CB490" ca="1">IF(AND(INDEX(INDIRECT(BY479),CA490,4)&gt;=$AB479,INDEX(INDIRECT(BY479),CA490,5)&gt;=$S479,INDEX(INDIRECT(BY479),CA490,6)&gt;=$R479),1,0)</f>
        <v>#REF!</v>
      </c>
      <c r="CC490" s="715" t="e">
        <f t="shared" ref="CC490" ca="1" si="8860">MATCH(1,OFFSET(CB479:CB490,CD489,0,COUNT(CB479:CB490)-CD489),0)</f>
        <v>#REF!</v>
      </c>
      <c r="CD490" s="715" t="e">
        <f t="shared" ca="1" si="8682"/>
        <v>#REF!</v>
      </c>
      <c r="CE490" s="716" t="str" cm="1">
        <f t="array" aca="1" ref="CE490" ca="1">IFERROR(VLOOKUP(INDEX(CA479:CA490,CD490),INDIRECT(BY479),2,FALSE),"----")</f>
        <v>----</v>
      </c>
      <c r="CF490" s="714" t="e">
        <f t="shared" ca="1" si="8683"/>
        <v>#N/A</v>
      </c>
      <c r="CG490" s="715" t="e">
        <f ca="1">IF(AND(INDEX(SSM,CF490,4)&gt;=$AB479,INDEX(SSM,CF490,5)&gt;=$S479,INDEX(SSM,CF490,6)&gt;=$R479),1,0)</f>
        <v>#N/A</v>
      </c>
      <c r="CH490" s="715" t="e">
        <f t="shared" ref="CH490" ca="1" si="8861">MATCH(1,OFFSET(CG479:CG490,CI489,0,COUNT(CG479:CG490)-CI489),0)</f>
        <v>#REF!</v>
      </c>
      <c r="CI490" s="715" t="e">
        <f t="shared" ca="1" si="8685"/>
        <v>#REF!</v>
      </c>
      <c r="CJ490" s="716" t="str">
        <f ca="1">IFERROR(IF(AD480="Nested Steel Stud (wood infill)",VLOOKUP(INDEX(CF479:CF490,CI490),SSW,2,FALSE),VLOOKUP(INDEX(CF479:CF490,CI490),SSM,2,FALSE)),"----")</f>
        <v>----</v>
      </c>
      <c r="CK490" s="714" t="e">
        <f t="shared" ca="1" si="8686"/>
        <v>#N/A</v>
      </c>
      <c r="CL490" s="715" t="e">
        <f ca="1">IF(AND(INDEX(WSM,CK490,4)&gt;=$AB479,INDEX(WSM,CK490,5)&gt;=$S479,INDEX(WSM,CK490,6)&gt;=$R479),1,0)</f>
        <v>#N/A</v>
      </c>
      <c r="CM490" s="715" t="e">
        <f t="shared" ref="CM490" ca="1" si="8862">MATCH(1,OFFSET(CL479:CL490,CN489,0,COUNT(CL479:CL490)-CN489),0)</f>
        <v>#REF!</v>
      </c>
      <c r="CN490" s="715" t="e">
        <f t="shared" ca="1" si="8688"/>
        <v>#REF!</v>
      </c>
      <c r="CO490" s="716" t="str">
        <f ca="1">IFERROR(VLOOKUP(INDEX(CK479:CK490,CN490),WSM,2,FALSE),"----")</f>
        <v>----</v>
      </c>
      <c r="CP490" s="714" t="e">
        <f t="shared" ca="1" si="8689"/>
        <v>#N/A</v>
      </c>
      <c r="CQ490" s="715" t="e">
        <f ca="1">IF(AND(INDEX(STM,CP490,4)&gt;=$AB479,INDEX(STM,CP490,5)&gt;=$S479,INDEX(STM,CP490,6)&gt;=$R479),1,0)</f>
        <v>#N/A</v>
      </c>
      <c r="CR490" s="715" t="e">
        <f t="shared" ref="CR490" ca="1" si="8863">MATCH(1,OFFSET(CQ479:CQ490,CS489,0,COUNT(CQ479:CQ490)-CS489),0)</f>
        <v>#REF!</v>
      </c>
      <c r="CS490" s="715" t="e">
        <f t="shared" ca="1" si="8691"/>
        <v>#REF!</v>
      </c>
      <c r="CT490" s="716" t="str">
        <f ca="1">IFERROR(VLOOKUP(INDEX(CP479:CP490,CS490),STM,2,FALSE),"----")</f>
        <v>----</v>
      </c>
      <c r="CU490" s="714" t="e">
        <f t="shared" ca="1" si="8692"/>
        <v>#N/A</v>
      </c>
      <c r="CV490" s="715" t="e">
        <f ca="1">IF(AND(INDEX(ELM,CU490,4)&gt;=$AB479,INDEX(ELM,CU490,5)&gt;=$S479,INDEX(ELM,CU490,6)&gt;=$R479),1,0)</f>
        <v>#N/A</v>
      </c>
      <c r="CW490" s="715" t="e">
        <f t="shared" ref="CW490" ca="1" si="8864">MATCH(1,OFFSET(CV479:CV490,CX489,0,COUNT(CV479:CV490)-CX489),0)</f>
        <v>#REF!</v>
      </c>
      <c r="CX490" s="715" t="e">
        <f t="shared" ca="1" si="8694"/>
        <v>#REF!</v>
      </c>
      <c r="CY490" s="716" t="str">
        <f ca="1">IFERROR(VLOOKUP(INDEX(CU479:CU490,CX490),ELM,2,FALSE),"----")</f>
        <v>----</v>
      </c>
      <c r="CZ490" s="714" t="e">
        <f t="shared" ca="1" si="8695"/>
        <v>#N/A</v>
      </c>
      <c r="DA490" s="715" t="e">
        <f ca="1">IF(LEFT($J479,7)="Clad Wo",IF(AND(INDEX(SPPWS,CZ490,4)&gt;=$AB479,INDEX(SPPWS,CZ490,5)&gt;=$S479,INDEX(SPPWS,CZ490,6)&gt;=$R479),1,0),IF(AND(INDEX(SPM,CZ490,4)&gt;=$AB479,INDEX(SPM,CZ490,5)&gt;=$S479,INDEX(SPM,CZ490,6)&gt;=$R479),1,0))</f>
        <v>#N/A</v>
      </c>
      <c r="DB490" s="715" t="e">
        <f t="shared" ref="DB490" ca="1" si="8865">MATCH(1,OFFSET(DA479:DA490,DC489,0,COUNT(DA479:DA490)-DC489),0)</f>
        <v>#REF!</v>
      </c>
      <c r="DC490" s="715" t="e">
        <f t="shared" ca="1" si="8697"/>
        <v>#REF!</v>
      </c>
      <c r="DD490" s="717" t="str">
        <f ca="1">IF(LEFT($J479,7)="Clad Wo",IFERROR(VLOOKUP(INDEX(CZ479:CZ490,DC490),SPPWS,2,FALSE),"----"),IFERROR(VLOOKUP(INDEX(CZ479:CZ490,DC490),SPM,2,FALSE),"----"))</f>
        <v>----</v>
      </c>
      <c r="DE490" s="714" t="e">
        <f t="shared" ca="1" si="8698"/>
        <v>#REF!</v>
      </c>
      <c r="DF490" s="715" t="e" cm="1">
        <f t="array" aca="1" ref="DF490" ca="1">IF(AND(INDEX(INDIRECT(BY479),DE490,4)&gt;=$AB485,INDEX(INDIRECT(BY479),DE490,5)&gt;=$S479,INDEX(INDIRECT(BY479),DE490,6)&gt;=$R479),1,0)</f>
        <v>#REF!</v>
      </c>
      <c r="DG490" s="715" t="e">
        <f t="shared" ref="DG490" ca="1" si="8866">MATCH(1,OFFSET(DF479:DF490,DH489,0,COUNT(DF479:DF490)-DH489),0)</f>
        <v>#REF!</v>
      </c>
      <c r="DH490" s="715" t="e">
        <f t="shared" ca="1" si="8700"/>
        <v>#REF!</v>
      </c>
      <c r="DI490" s="716" t="str" cm="1">
        <f t="array" aca="1" ref="DI490" ca="1">IFERROR(VLOOKUP(INDEX(DE479:DE490,DH490),INDIRECT(BY479),2,FALSE),"----")</f>
        <v>----</v>
      </c>
      <c r="DJ490" s="714" t="e">
        <f t="shared" ca="1" si="8701"/>
        <v>#N/A</v>
      </c>
      <c r="DK490" s="715" t="e">
        <f ca="1">IF(AND(INDEX(SSM,DJ490,4)&gt;=$AB485,INDEX(SSM,DJ490,5)&gt;=$S479,INDEX(SSM,DJ490,6)&gt;=$R479),1,0)</f>
        <v>#N/A</v>
      </c>
      <c r="DL490" s="715" t="e">
        <f t="shared" ref="DL490" ca="1" si="8867">MATCH(1,OFFSET(DK479:DK490,DM489,0,COUNT(DK479:DK490)-DM489),0)</f>
        <v>#REF!</v>
      </c>
      <c r="DM490" s="715" t="e">
        <f t="shared" ca="1" si="8703"/>
        <v>#REF!</v>
      </c>
      <c r="DN490" s="716" t="str">
        <f ca="1">IFERROR(IF(AD486="Nested Steel Stud (wood infill)",VLOOKUP(INDEX(DJ479:DJ490,DM490),SSW,2,FALSE),VLOOKUP(INDEX(DJ479:DJ490,DM490),SSM,2,FALSE)),"----")</f>
        <v>----</v>
      </c>
      <c r="DO490" s="714" t="e">
        <f t="shared" ca="1" si="8704"/>
        <v>#N/A</v>
      </c>
      <c r="DP490" s="715" t="e">
        <f ca="1">IF(AND(INDEX(WSM,DO490,4)&gt;=$AB485,INDEX(WSM,DO490,5)&gt;=$S479,INDEX(WSM,DO490,6)&gt;=$R479),1,0)</f>
        <v>#N/A</v>
      </c>
      <c r="DQ490" s="715" t="e">
        <f t="shared" ref="DQ490" ca="1" si="8868">MATCH(1,OFFSET(DP479:DP490,DR489,0,COUNT(DP479:DP490)-DR489),0)</f>
        <v>#REF!</v>
      </c>
      <c r="DR490" s="715" t="e">
        <f t="shared" ca="1" si="8706"/>
        <v>#REF!</v>
      </c>
      <c r="DS490" s="716" t="str">
        <f ca="1">IFERROR(VLOOKUP(INDEX(DO479:DO490,DR490),WSM,2,FALSE),"----")</f>
        <v>----</v>
      </c>
      <c r="DT490" s="714" t="e">
        <f t="shared" ca="1" si="8707"/>
        <v>#N/A</v>
      </c>
      <c r="DU490" s="715" t="e">
        <f ca="1">IF(AND(INDEX(STM,DT490,4)&gt;=$AB485,INDEX(STM,DT490,5)&gt;=$S479,INDEX(STM,DT490,6)&gt;=$R479),1,0)</f>
        <v>#N/A</v>
      </c>
      <c r="DV490" s="715" t="e">
        <f t="shared" ref="DV490" ca="1" si="8869">MATCH(1,OFFSET(DU479:DU490,DW489,0,COUNT(DU479:DU490)-DW489),0)</f>
        <v>#REF!</v>
      </c>
      <c r="DW490" s="715" t="e">
        <f t="shared" ca="1" si="8709"/>
        <v>#REF!</v>
      </c>
      <c r="DX490" s="716" t="str">
        <f ca="1">IFERROR(VLOOKUP(INDEX(DT479:DT490,DW490),STM,2,FALSE),"----")</f>
        <v>----</v>
      </c>
      <c r="DY490" s="714" t="e">
        <f t="shared" ca="1" si="8710"/>
        <v>#N/A</v>
      </c>
      <c r="DZ490" s="715" t="e">
        <f ca="1">IF(AND(INDEX(ELM,DY490,4)&gt;=$AB485,INDEX(ELM,DY490,5)&gt;=$S479,INDEX(ELM,DY490,6)&gt;=$R479),1,0)</f>
        <v>#N/A</v>
      </c>
      <c r="EA490" s="715" t="e">
        <f t="shared" ref="EA490" ca="1" si="8870">MATCH(1,OFFSET(DZ479:DZ490,EB489,0,COUNT(DZ479:DZ490)-EB489),0)</f>
        <v>#REF!</v>
      </c>
      <c r="EB490" s="715" t="e">
        <f t="shared" ca="1" si="8712"/>
        <v>#REF!</v>
      </c>
      <c r="EC490" s="716" t="str">
        <f ca="1">IFERROR(VLOOKUP(INDEX(DY479:DY490,EB490),ELM,2,FALSE),"----")</f>
        <v>----</v>
      </c>
      <c r="ED490" s="714" t="e">
        <f t="shared" ca="1" si="8713"/>
        <v>#N/A</v>
      </c>
      <c r="EE490" s="715" t="e">
        <f ca="1">IF(LEFT($J479,7)="Clad Wo",IF(AND(INDEX(SPPWS,ED490,4)&gt;=$AB485,INDEX(SPPWS,ED490,5)&gt;=$S479,INDEX(SPPWS,ED490,6)&gt;=$R479),1,0),IF(AND(INDEX(SPM,ED490,4)&gt;=$AB485,INDEX(SPM,ED490,5)&gt;=$S479,INDEX(SPM,ED490,6)&gt;=$R479),1,0))</f>
        <v>#N/A</v>
      </c>
      <c r="EF490" s="715" t="e">
        <f t="shared" ref="EF490" ca="1" si="8871">MATCH(1,OFFSET(EE479:EE490,EG489,0,COUNT(EE479:EE490)-EG489),0)</f>
        <v>#REF!</v>
      </c>
      <c r="EG490" s="715" t="e">
        <f t="shared" ca="1" si="8715"/>
        <v>#REF!</v>
      </c>
      <c r="EH490" s="716" t="str">
        <f ca="1">IF(LEFT($J479,7)="Clad Wo",IFERROR(VLOOKUP(INDEX(ED479:ED490,EG490),SPPWS,2,FALSE),"----"),IFERROR(VLOOKUP(INDEX(ED479:ED490,EG490),SPM,2,FALSE),"----"))</f>
        <v>----</v>
      </c>
    </row>
    <row r="491" spans="1:138" ht="15" customHeight="1" thickTop="1" x14ac:dyDescent="0.25">
      <c r="A491" s="1085"/>
      <c r="B491" s="931" t="s">
        <v>92</v>
      </c>
      <c r="C491" s="932"/>
      <c r="D491" s="933"/>
      <c r="E491" s="992"/>
      <c r="F491" s="993"/>
      <c r="G491" s="994"/>
      <c r="H491" s="1061"/>
      <c r="I491" s="989"/>
      <c r="J491" s="906"/>
      <c r="K491" s="907"/>
      <c r="L491" s="1001">
        <f>$W$3</f>
        <v>4</v>
      </c>
      <c r="M491" s="923" t="str">
        <f t="shared" ref="M491" si="8872">IFERROR(IF($AE$13="",IF($AG$19="Wind Loading",MIN($V$31,IF(E$11="ASCE 7-05",$U$26,$V$7)*$V$9*(IF($E$12&lt;60,0.0771*LN(MAX(MIN(500,O491),10)) -1.2737,IF($E$11="ASCE 7-22",0.0524*LN(MAX(MIN(500,O491),50))-1.0278,0.0614*LN(MAX(MIN(500,O491),20)) -1.0829))-$V$8)),$V$7*IF(E$12&lt;60,$V$13*($V$15*0.0771*LN(MAX(MIN(500,O491),10))-1.2737-$V$16),$V$13*$V$15*((0.0524*LN(MAX(MIN(500,O491),20))-1.0278)-$V$16))),-ABS($AE$13)),"")</f>
        <v/>
      </c>
      <c r="N491" s="1042" t="str">
        <f t="shared" ref="N491" si="8873">IFERROR(IF($AE$15="",IF($AG$19="Wind Loading",MAX($U$31,IF(E$11="ASCE 7-05",$U$26,$V$7)*$V$9*((IF($E$12&lt;60,-0.077*LN(MAX(MIN(500,O491),10))+1.1737,IF($E$11="ASCE 7-22",-0.077*LN(MAX(MIN(500,O491),20))+1.0798,-0.093*LN(MAX(MIN(500,O491),20))+1.1776)))+$V$8)),$V$7*IF(E$12&lt;60,$V$13*($V$15*(-0.077*LN(MAX(MIN(500,O491),10))+1.1737)-$V$17),$V$13*$V$15*((-0.077*LN(MAX(MIN(500,O491),20))+1.0798)-$V$17))),ABS($AE$15)),"")</f>
        <v/>
      </c>
      <c r="O491" s="1017" t="str">
        <f>IF(BX498=0,"",IF(AG$14="Trapezoidal",BY498,BX498))</f>
        <v/>
      </c>
      <c r="P491" s="986"/>
      <c r="Q491" s="1014"/>
      <c r="R491" s="1011">
        <f>P491*Q491/8</f>
        <v>0</v>
      </c>
      <c r="S491" s="1004">
        <f t="shared" ref="S491" si="8874">IF(5*(P491*Q491^3/(384*0.125))=0,0,5*(P491*Q491^3/(384*0.125)))</f>
        <v>0</v>
      </c>
      <c r="T491" s="1005"/>
      <c r="U491" s="877" t="e">
        <f ca="1">VLOOKUP(J495,INDIRECT(VLOOKUP(J491,FrameStrength,2,FALSE)),3,FALSE)</f>
        <v>#N/A</v>
      </c>
      <c r="V491" s="880">
        <f t="shared" ref="V491" si="8875">(H491+I491)/2</f>
        <v>0</v>
      </c>
      <c r="W491" s="883" t="e">
        <f t="shared" ref="W491" si="8876">MAX(-M491,N491)*O491</f>
        <v>#VALUE!</v>
      </c>
      <c r="X491" s="883">
        <f t="shared" ref="X491" si="8877">IF(E491&gt;162,(E491/240+0.25),IF(AND(E491&lt;162,E491/175&lt;0.75),E491/175,0.75))</f>
        <v>0</v>
      </c>
      <c r="Y491" s="886">
        <f>IFERROR(IF(AG$14="Trapezoidal",BY499,BX499)+IF($E$17="4",(400*E491^3)/(48*X491),0),0)</f>
        <v>0</v>
      </c>
      <c r="Z491" s="886" t="e">
        <f t="shared" ref="Z491" si="8878">+($V491*MAX(-$M491,$N491)*$E491^2)/(144*8)+IF($E$17=4,(400*$E491)/4,0)</f>
        <v>#VALUE!</v>
      </c>
      <c r="AA491" s="886" t="e">
        <f ca="1">VLOOKUP(J495,INDIRECT(VLOOKUP(J491,FrameStrength,2,FALSE)),2,FALSE)</f>
        <v>#N/A</v>
      </c>
      <c r="AB491" s="1083" t="str">
        <f t="shared" ref="AB491" ca="1" si="8879">IFERROR(Z491-AA491,"")</f>
        <v/>
      </c>
      <c r="AC491" s="1077" t="str">
        <f t="shared" ref="AC491" ca="1" si="8880">IFERROR(Y491-U491,"")</f>
        <v/>
      </c>
      <c r="AD491" s="1100" t="str">
        <f>IFERROR(IF(LEFT(J495,2)="As",VLOOKUP(J495,EIMM,4,FALSE),VLOOKUP(J491,EIMM,4,FALSE)),IF(AND(ISNUMBER(SEARCH("Impervia",J491)),ISNUMBER(SEARCH("door",J495))),'New Lookup Cells'!AF$10,IF(ISNUMBER(SEARCH("Impervia",J491)),'New Lookup Cells'!AF$7,IF(AND(ISNUMBER(SEARCH("250",J491)),ISNUMBER(SEARCH("door",J495))),'New Lookup Cells'!AF$14,IF(ISNUMBER(SEARCH("250",J491)),'New Lookup Cells'!AF$13,"")))))</f>
        <v/>
      </c>
      <c r="AE491" s="1101"/>
      <c r="AF491" s="1050"/>
      <c r="AG491" s="1051"/>
      <c r="AH491" s="1051"/>
      <c r="AI491" s="1088"/>
      <c r="AJ491" s="1089"/>
      <c r="AK491" s="154" t="str">
        <f t="shared" ca="1" si="8761"/>
        <v/>
      </c>
      <c r="AL491" s="1038" t="str">
        <f t="shared" ref="AL491" si="8881">IFERROR(ROUND(SQRT(P491^2+(W491/2+IF($E$17=4,200,0))^2),0),"")</f>
        <v/>
      </c>
      <c r="AM491" s="342" t="s">
        <v>669</v>
      </c>
      <c r="AN491" t="str">
        <f t="shared" ca="1" si="8785"/>
        <v/>
      </c>
      <c r="AP491" s="122" t="str">
        <f t="shared" ref="AP491" si="8882">_xlfn.CONCAT(AR491,AS496)</f>
        <v/>
      </c>
      <c r="AQ491" s="683" t="str">
        <f t="shared" si="7698"/>
        <v/>
      </c>
      <c r="AR491" s="96" t="str">
        <f t="shared" si="8745"/>
        <v/>
      </c>
      <c r="AS491" s="96" t="str">
        <f>IF(COUNTIF(imp_1,AF491)=1,"imp_1",IF(COUNTIF(imp_2,AF491)=1,"imp_2",IF(COUNTIF(imp_3,AF491)=1,"imp_3",IF(COUNTIF(impdoor,AF491)=1,"impdoor",""))))</f>
        <v/>
      </c>
      <c r="AT491" s="684" t="str">
        <f>AL491</f>
        <v/>
      </c>
      <c r="AU491" s="685" t="e">
        <f ca="1">MATCH(AL491,INDIRECT(AP491),-1)</f>
        <v>#REF!</v>
      </c>
      <c r="AV491" s="686" t="str">
        <f ca="1">IFERROR(VLOOKUP(AU491,INDIRECT(AQ491),2,FALSE),"----")</f>
        <v>----</v>
      </c>
      <c r="AW491" s="685" t="e">
        <f ca="1">MATCH(AL491,INDIRECT(AP492),-1)</f>
        <v>#REF!</v>
      </c>
      <c r="AX491" s="686" t="str">
        <f ca="1">IFERROR(VLOOKUP(AW491,INDIRECT(AQ492),2,FALSE),"----")</f>
        <v>----</v>
      </c>
      <c r="AY491" s="685" t="e">
        <f ca="1">MATCH(AL491,INDIRECT(AP493),-1)</f>
        <v>#REF!</v>
      </c>
      <c r="AZ491" s="686" t="str">
        <f ca="1">IFERROR(VLOOKUP(AY491,INDIRECT(AQ493),2,FALSE),"----")</f>
        <v>----</v>
      </c>
      <c r="BA491" s="685" t="e">
        <f ca="1">MATCH(AL491,INDIRECT(AP494),-1)</f>
        <v>#REF!</v>
      </c>
      <c r="BB491" s="686" t="str">
        <f ca="1">IFERROR(VLOOKUP(BA491,INDIRECT(AQ494),2,FALSE),"----")</f>
        <v>----</v>
      </c>
      <c r="BC491" s="685" t="e">
        <f ca="1">MATCH(AL491,INDIRECT(AP495),-1)</f>
        <v>#REF!</v>
      </c>
      <c r="BD491" s="686" t="str">
        <f ca="1">IFERROR(VLOOKUP(BC491,INDIRECT(AQ495),2,FALSE),"----")</f>
        <v>----</v>
      </c>
      <c r="BE491" s="685" t="e">
        <f ca="1">MATCH(AL491,INDIRECT(AP496),-1)</f>
        <v>#REF!</v>
      </c>
      <c r="BF491" s="686" t="str">
        <f ca="1">IFERROR(VLOOKUP(BE491,INDIRECT(AQ496),2,FALSE),"----")</f>
        <v>----</v>
      </c>
      <c r="BG491" s="685" t="e">
        <f ca="1">MATCH(AL497,INDIRECT(AP497),-1)</f>
        <v>#REF!</v>
      </c>
      <c r="BH491" s="686" t="str">
        <f ca="1">IFERROR(VLOOKUP(BG491,INDIRECT(AQ497),2,FALSE),"----")</f>
        <v>----</v>
      </c>
      <c r="BI491" s="685" t="e">
        <f ca="1">MATCH(AL497,INDIRECT(AP498),-1)</f>
        <v>#REF!</v>
      </c>
      <c r="BJ491" s="686" t="str">
        <f ca="1">IFERROR(VLOOKUP(BI491,INDIRECT(AQ498),2,FALSE),"----")</f>
        <v>----</v>
      </c>
      <c r="BK491" s="685" t="e">
        <f ca="1">MATCH(AL497,INDIRECT(AP499),-1)</f>
        <v>#REF!</v>
      </c>
      <c r="BL491" s="686" t="str">
        <f ca="1">IFERROR(VLOOKUP(BK491,INDIRECT(AQ499),2,FALSE),"----")</f>
        <v>----</v>
      </c>
      <c r="BM491" s="685" t="e">
        <f ca="1">MATCH(AL497,INDIRECT(AP500),-1)</f>
        <v>#REF!</v>
      </c>
      <c r="BN491" s="686" t="str">
        <f ca="1">IFERROR(VLOOKUP(BM491,INDIRECT(AQ500),2,FALSE),"----")</f>
        <v>----</v>
      </c>
      <c r="BO491" s="685" t="e">
        <f ca="1">MATCH(AL497,INDIRECT(AP501),-1)</f>
        <v>#REF!</v>
      </c>
      <c r="BP491" s="686" t="str">
        <f ca="1">IFERROR(VLOOKUP(BO491,INDIRECT(AQ501),2,FALSE),"----")</f>
        <v>----</v>
      </c>
      <c r="BQ491" s="685" t="e">
        <f ca="1">MATCH(AL497,INDIRECT(AP502),-1)</f>
        <v>#REF!</v>
      </c>
      <c r="BR491" s="686" t="str">
        <f ca="1">IFERROR(VLOOKUP(BQ491,INDIRECT(AQ502),2,FALSE),"----")</f>
        <v>----</v>
      </c>
      <c r="BS491" s="687">
        <f>IF(AI491="",1,IF(COUNTIF(AV491:AV502,AI491)=0,2,1))</f>
        <v>1</v>
      </c>
      <c r="BT491" s="688">
        <f>IF(AP491="1",1,IF(AF491="",1,IF(AV491=".",2,1)))</f>
        <v>1</v>
      </c>
      <c r="BU491" s="706"/>
      <c r="BV491" s="155">
        <f ca="1">IF(COUNTIF(CE491:CE502,AF491)=0,IF(AF491&lt;&gt;"",0,1),1)</f>
        <v>1</v>
      </c>
      <c r="BW491" s="157">
        <f ca="1">IFERROR(MATCH(AF491,CE491:CE502,0),1)</f>
        <v>1</v>
      </c>
      <c r="BX491" s="769" t="str">
        <f>IFERROR(IF(LEFT(J495,2)="As",VLOOKUP(J495,EIMM,2,FALSE),IF(AND(ISNUMBER(SEARCH("Impervia",J491)),ISNUMBER(SEARCH("door",J495))),VLOOKUP("Impervia Door",EIMM,2,FALSE),IF(AND(ISNUMBER(SEARCH("250",J491)),ISNUMBER(SEARCH("door",J495))),VLOOKUP("250 Series Door",EIMM,2,FALSE),VLOOKUP(J491,EIMM,2,FALSE)))),"")</f>
        <v/>
      </c>
      <c r="BY491" s="769" t="str">
        <f ca="1">IFERROR(VLOOKUP(BX491,OFFSET(EIMM,0,1),2,FALSE),"")</f>
        <v/>
      </c>
      <c r="BZ491" s="1110" t="e">
        <f ca="1">IF((COUNTIF(INDIRECT(SUBSTITUTE(J491," ","_")),J495))=0,IF(J495="",1,0),1)</f>
        <v>#REF!</v>
      </c>
      <c r="CA491" s="691" t="e">
        <f ca="1">MATCH(AC491,INDIRECT(BX491),-1)</f>
        <v>#REF!</v>
      </c>
      <c r="CB491" s="4" t="e" cm="1">
        <f t="array" aca="1" ref="CB491" ca="1">IF(AND(INDEX(INDIRECT(BY491),CA491,4)&gt;=$AB491,INDEX(INDIRECT(BY491),CA491,5)&gt;=$S491,INDEX(INDIRECT(BY491),CA491,6)&gt;=$R491),1,0)</f>
        <v>#REF!</v>
      </c>
      <c r="CC491" s="4" t="e">
        <f t="shared" ref="CC491" ca="1" si="8883">MATCH(1,OFFSET(CB491:CB502,$W$2,0,COUNT(CB491:CB502)-$W$2),0)</f>
        <v>#REF!</v>
      </c>
      <c r="CD491" s="4" t="e">
        <f t="shared" ref="CD491" ca="1" si="8884">$W$2+CC491</f>
        <v>#REF!</v>
      </c>
      <c r="CE491" s="692" t="str" cm="1">
        <f t="array" aca="1" ref="CE491" ca="1">IFERROR(VLOOKUP(INDEX(CA491:CA502,CD491),INDIRECT(BY491),2,FALSE),"----")</f>
        <v>----</v>
      </c>
      <c r="CF491" s="691" t="e">
        <f ca="1">MATCH($AC491,SSEI,-1)</f>
        <v>#N/A</v>
      </c>
      <c r="CG491" s="4" t="e">
        <f ca="1">IF(AND(INDEX(SSM,CF491,4)&gt;=$AB491,INDEX(SSM,CF491,5)&gt;=$S491,INDEX(SSM,CF491,6)&gt;=$R491),1,0)</f>
        <v>#N/A</v>
      </c>
      <c r="CH491" s="4" t="e">
        <f t="shared" ref="CH491" ca="1" si="8885">MATCH(1,OFFSET(CG491:CG502,$W$2,0,COUNT(CG491:CG502)-$W$2),0)</f>
        <v>#REF!</v>
      </c>
      <c r="CI491" s="4" t="e">
        <f t="shared" ref="CI491" ca="1" si="8886">$W$2+CH491</f>
        <v>#REF!</v>
      </c>
      <c r="CJ491" s="692" t="str">
        <f ca="1">IFERROR(IF(AD492="Nested Steel Stud (wood infill)",VLOOKUP(INDEX(CF491:CF502,CI491),SSW,2,FALSE),VLOOKUP(INDEX(CF491:CF502,CI491),SSM,2,FALSE)),"----")</f>
        <v>----</v>
      </c>
      <c r="CK491" s="691" t="e">
        <f ca="1">MATCH($AC491,WSEI,-1)</f>
        <v>#N/A</v>
      </c>
      <c r="CL491" s="4" t="e">
        <f ca="1">IF(AND(INDEX(WSM,CK491,4)&gt;=$AB491,INDEX(WSM,CK491,5)&gt;=$S491,INDEX(WSM,CK491,6)&gt;=$R491),1,0)</f>
        <v>#N/A</v>
      </c>
      <c r="CM491" s="4" t="e">
        <f t="shared" ref="CM491" ca="1" si="8887">MATCH(1,OFFSET(CL491:CL502,$W$2,0,COUNT(CL491:CL502)-$W$2),0)</f>
        <v>#REF!</v>
      </c>
      <c r="CN491" s="4" t="e">
        <f t="shared" ref="CN491" ca="1" si="8888">$W$2+CM491</f>
        <v>#REF!</v>
      </c>
      <c r="CO491" s="692" t="str">
        <f ca="1">IFERROR(VLOOKUP(INDEX(CK491:CK502,CN491),WSM,2,FALSE),"----")</f>
        <v>----</v>
      </c>
      <c r="CP491" s="691" t="e">
        <f ca="1">MATCH($AC491,STEI,-1)</f>
        <v>#N/A</v>
      </c>
      <c r="CQ491" s="4" t="e">
        <f ca="1">IF(AND(INDEX(STM,CP491,4)&gt;=$AB491,INDEX(STM,CP491,5)&gt;=$S491,INDEX(STM,CP491,6)&gt;=$R491),1,0)</f>
        <v>#N/A</v>
      </c>
      <c r="CR491" s="4" t="e">
        <f t="shared" ref="CR491" ca="1" si="8889">MATCH(1,OFFSET(CQ491:CQ502,$W$2,0,COUNT(CQ491:CQ502)-$W$2),0)</f>
        <v>#REF!</v>
      </c>
      <c r="CS491" s="4" t="e">
        <f t="shared" ref="CS491" ca="1" si="8890">$W$2+CR491</f>
        <v>#REF!</v>
      </c>
      <c r="CT491" s="692" t="str">
        <f ca="1">IFERROR(VLOOKUP(INDEX(CP491:CP502,CS491),STM,2,FALSE),"----")</f>
        <v>----</v>
      </c>
      <c r="CU491" s="691" t="e">
        <f ca="1">MATCH($AC491,ELEI,-1)</f>
        <v>#N/A</v>
      </c>
      <c r="CV491" s="4" t="e">
        <f ca="1">IF(AND(INDEX(ELM,CU491,4)&gt;=$AB491,INDEX(ELM,CU491,5)&gt;=$S491,INDEX(ELM,CU491,6)&gt;=$R491),1,0)</f>
        <v>#N/A</v>
      </c>
      <c r="CW491" s="4" t="e">
        <f t="shared" ref="CW491" ca="1" si="8891">MATCH(1,OFFSET(CV491:CV502,$W$2,0,COUNT(CV491:CV502)-$W$2),0)</f>
        <v>#REF!</v>
      </c>
      <c r="CX491" s="4" t="e">
        <f t="shared" ref="CX491" ca="1" si="8892">$W$2+CW491</f>
        <v>#REF!</v>
      </c>
      <c r="CY491" s="692" t="str">
        <f ca="1">IFERROR(VLOOKUP(INDEX(CU491:CU502,CX491),ELM,2,FALSE),"----")</f>
        <v>----</v>
      </c>
      <c r="CZ491" s="691" t="e">
        <f ca="1">IF(LEFT($J491,7)="Clad Wo",MATCH($AC491,SPEIW,-1),MATCH($AC491,SPEI,-1))</f>
        <v>#N/A</v>
      </c>
      <c r="DA491" s="4" t="e">
        <f ca="1">IF(LEFT($J491,7)="Clad Wo",IF(AND(INDEX(SPPWS,CZ491,4)&gt;=$AB491,INDEX(SPPWS,CZ491,5)&gt;=$S491,INDEX(SPPWS,CZ491,6)&gt;=$R491),1,0),IF(AND(INDEX(SPM,CZ491,4)&gt;=$AB491,INDEX(SPM,CZ491,5)&gt;=$S491,INDEX(SPM,CZ491,6)&gt;=$R491),1,0))</f>
        <v>#N/A</v>
      </c>
      <c r="DB491" s="4" t="e">
        <f t="shared" ref="DB491" ca="1" si="8893">MATCH(1,OFFSET(DA491:DA502,$W$2,0,COUNT(DA491:DA502)-$W$2),0)</f>
        <v>#REF!</v>
      </c>
      <c r="DC491" s="4" t="e">
        <f t="shared" ref="DC491" ca="1" si="8894">$W$2+DB491</f>
        <v>#REF!</v>
      </c>
      <c r="DD491" s="693" t="str">
        <f ca="1">IF(LEFT($J491,7)="Clad Wo",IFERROR(VLOOKUP(INDEX(CZ491:CZ502,DC491),SPPWS,2,FALSE),"----"),IFERROR(VLOOKUP(INDEX(CZ491:CZ502,DC491),SPM,2,FALSE),"----"))</f>
        <v>----</v>
      </c>
      <c r="DE491" s="691" t="e">
        <f ca="1">MATCH(AC497,INDIRECT(BX491),-1)</f>
        <v>#REF!</v>
      </c>
      <c r="DF491" s="4" t="e" cm="1">
        <f t="array" aca="1" ref="DF491" ca="1">IF(AND(INDEX(INDIRECT(BY491),DE491,4)&gt;=$AB497,INDEX(INDIRECT(BY491),DE491,5)&gt;=$S491,INDEX(INDIRECT(BY491),DE491,6)&gt;=$R491),1,0)</f>
        <v>#REF!</v>
      </c>
      <c r="DG491" s="4" t="e">
        <f t="shared" ref="DG491" ca="1" si="8895">MATCH(1,OFFSET(DF491:DF502,$W$2,0,COUNT(DF491:DF502)-$W$2),0)</f>
        <v>#REF!</v>
      </c>
      <c r="DH491" s="4" t="e">
        <f t="shared" ref="DH491" ca="1" si="8896">$W$2+DG491</f>
        <v>#REF!</v>
      </c>
      <c r="DI491" s="692" t="str" cm="1">
        <f t="array" aca="1" ref="DI491" ca="1">IFERROR(VLOOKUP(INDEX(DE491:DE502,DH491),INDIRECT(BY491),2,FALSE),"----")</f>
        <v>----</v>
      </c>
      <c r="DJ491" s="691" t="e">
        <f ca="1">MATCH($AC497,SSEI,-1)</f>
        <v>#N/A</v>
      </c>
      <c r="DK491" s="4" t="e">
        <f ca="1">IF(AND(INDEX(SSM,DJ491,4)&gt;=$AB497,INDEX(SSM,DJ491,5)&gt;=$S491,INDEX(SSM,DJ491,6)&gt;=$R491),1,0)</f>
        <v>#N/A</v>
      </c>
      <c r="DL491" s="4" t="e">
        <f t="shared" ref="DL491" ca="1" si="8897">MATCH(1,OFFSET(DK491:DK502,$W$2,0,COUNT(DK491:DK502)-$W$2),0)</f>
        <v>#REF!</v>
      </c>
      <c r="DM491" s="4" t="e">
        <f t="shared" ref="DM491" ca="1" si="8898">$W$2+DL491</f>
        <v>#REF!</v>
      </c>
      <c r="DN491" s="692" t="str">
        <f ca="1">IFERROR(IF(AD498="Nested Steel Stud (wood infill)",VLOOKUP(INDEX(DJ491:DJ502,DM491),SSW,2,FALSE),VLOOKUP(INDEX(DJ491:DJ502,DM491),SSM,2,FALSE)),"----")</f>
        <v>----</v>
      </c>
      <c r="DO491" s="691" t="e">
        <f ca="1">MATCH($AC497,WSEI,-1)</f>
        <v>#N/A</v>
      </c>
      <c r="DP491" s="4" t="e">
        <f ca="1">IF(AND(INDEX(WSM,DO491,4)&gt;=$AB497,INDEX(WSM,DO491,5)&gt;=$S491,INDEX(WSM,DO491,6)&gt;=$R491),1,0)</f>
        <v>#N/A</v>
      </c>
      <c r="DQ491" s="4" t="e">
        <f t="shared" ref="DQ491" ca="1" si="8899">MATCH(1,OFFSET(DP491:DP502,$W$2,0,COUNT(DP491:DP502)-$W$2),0)</f>
        <v>#REF!</v>
      </c>
      <c r="DR491" s="4" t="e">
        <f t="shared" ref="DR491" ca="1" si="8900">$W$2+DQ491</f>
        <v>#REF!</v>
      </c>
      <c r="DS491" s="692" t="str">
        <f ca="1">IFERROR(VLOOKUP(INDEX(DO491:DO502,DR491),WSM,2,FALSE),"----")</f>
        <v>----</v>
      </c>
      <c r="DT491" s="691" t="e">
        <f ca="1">MATCH($AC497,STEI,-1)</f>
        <v>#N/A</v>
      </c>
      <c r="DU491" s="4" t="e">
        <f ca="1">IF(AND(INDEX(STM,DT491,4)&gt;=$AB497,INDEX(STM,DT491,5)&gt;=$S491,INDEX(STM,DT491,6)&gt;=$R491),1,0)</f>
        <v>#N/A</v>
      </c>
      <c r="DV491" s="4" t="e">
        <f t="shared" ref="DV491" ca="1" si="8901">MATCH(1,OFFSET(DU491:DU502,$W$2,0,COUNT(DU491:DU502)-$W$2),0)</f>
        <v>#REF!</v>
      </c>
      <c r="DW491" s="4" t="e">
        <f t="shared" ref="DW491" ca="1" si="8902">$W$2+DV491</f>
        <v>#REF!</v>
      </c>
      <c r="DX491" s="692" t="str">
        <f ca="1">IFERROR(VLOOKUP(INDEX(DT491:DT502,DW491),STM,2,FALSE),"----")</f>
        <v>----</v>
      </c>
      <c r="DY491" s="691" t="e">
        <f ca="1">MATCH($AC497,ELEI,-1)</f>
        <v>#N/A</v>
      </c>
      <c r="DZ491" s="4" t="e">
        <f ca="1">IF(AND(INDEX(ELM,DY491,4)&gt;=$AB497,INDEX(ELM,DY491,5)&gt;=$S491,INDEX(ELM,DY491,6)&gt;=$R491),1,0)</f>
        <v>#N/A</v>
      </c>
      <c r="EA491" s="4" t="e">
        <f t="shared" ref="EA491" ca="1" si="8903">MATCH(1,OFFSET(DZ491:DZ502,$W$2,0,COUNT(DZ491:DZ502)-$W$2),0)</f>
        <v>#REF!</v>
      </c>
      <c r="EB491" s="4" t="e">
        <f t="shared" ref="EB491" ca="1" si="8904">EA491+$W$2</f>
        <v>#REF!</v>
      </c>
      <c r="EC491" s="692" t="str">
        <f ca="1">IFERROR(VLOOKUP(INDEX(DY491:DY502,EB491),ELM,2,FALSE),"----")</f>
        <v>----</v>
      </c>
      <c r="ED491" s="691" t="e">
        <f ca="1">IF(LEFT($J491,7)="Clad Wo",MATCH($AC497,SPEIW,-1),MATCH($AC497,SPEI,-1))</f>
        <v>#N/A</v>
      </c>
      <c r="EE491" s="4" t="e">
        <f ca="1">IF(LEFT($J491,7)="Clad Wo",IF(AND(INDEX(SPPWS,ED491,4)&gt;=$AB497,INDEX(SPPWS,ED491,5)&gt;=$S491,INDEX(SPPWS,ED491,6)&gt;=$R491),1,0),IF(AND(INDEX(SPM,ED491,4)&gt;=$AB497,INDEX(SPM,ED491,5)&gt;=$S491,INDEX(SPM,ED491,6)&gt;=$R491),1,0))</f>
        <v>#N/A</v>
      </c>
      <c r="EF491" s="4" t="e">
        <f t="shared" ref="EF491" ca="1" si="8905">MATCH(1,OFFSET(EE491:EE502,$W$2,0,COUNT(EE491:EE502)-$W$2),0)</f>
        <v>#REF!</v>
      </c>
      <c r="EG491" s="4" t="e">
        <f t="shared" ref="EG491" ca="1" si="8906">$W$2+EF491</f>
        <v>#REF!</v>
      </c>
      <c r="EH491" s="692" t="str">
        <f ca="1">IF(LEFT($J491,7)="Clad Wo",IFERROR(VLOOKUP(INDEX(ED491:ED502,EG491),SPPWS,2,FALSE),"----"),IFERROR(VLOOKUP(INDEX(ED491:ED502,EG491),SPM,2,FALSE),"----"))</f>
        <v>----</v>
      </c>
    </row>
    <row r="492" spans="1:138" ht="15" customHeight="1" x14ac:dyDescent="0.25">
      <c r="A492" s="1085"/>
      <c r="B492" s="925"/>
      <c r="C492" s="926"/>
      <c r="D492" s="927"/>
      <c r="E492" s="995"/>
      <c r="F492" s="996"/>
      <c r="G492" s="997"/>
      <c r="H492" s="1062"/>
      <c r="I492" s="990"/>
      <c r="J492" s="908"/>
      <c r="K492" s="909"/>
      <c r="L492" s="1002"/>
      <c r="M492" s="923"/>
      <c r="N492" s="1042"/>
      <c r="O492" s="1018"/>
      <c r="P492" s="987"/>
      <c r="Q492" s="1015"/>
      <c r="R492" s="1012"/>
      <c r="S492" s="1006"/>
      <c r="T492" s="1007"/>
      <c r="U492" s="878"/>
      <c r="V492" s="881"/>
      <c r="W492" s="884"/>
      <c r="X492" s="884"/>
      <c r="Y492" s="887"/>
      <c r="Z492" s="887"/>
      <c r="AA492" s="887"/>
      <c r="AB492" s="1081"/>
      <c r="AC492" s="1078"/>
      <c r="AD492" s="1102" t="s">
        <v>38</v>
      </c>
      <c r="AE492" s="1103"/>
      <c r="AF492" s="1052"/>
      <c r="AG492" s="1053"/>
      <c r="AH492" s="1053"/>
      <c r="AI492" s="1066"/>
      <c r="AJ492" s="1067"/>
      <c r="AK492" s="156" t="str">
        <f t="shared" ca="1" si="8761"/>
        <v/>
      </c>
      <c r="AL492" s="1039"/>
      <c r="AM492" s="343" t="str">
        <f ca="1">IFERROR(Q491/12*ROUND(VLOOKUP(AF492,OFFSET(SSM,0,1),6,FALSE),2),"")</f>
        <v/>
      </c>
      <c r="AN492" t="str">
        <f t="shared" ca="1" si="8785"/>
        <v/>
      </c>
      <c r="AP492" s="122" t="str">
        <f t="shared" ref="AP492" si="8907">_xlfn.CONCAT(AR492,AS496)</f>
        <v/>
      </c>
      <c r="AQ492" s="683" t="str">
        <f t="shared" si="7698"/>
        <v/>
      </c>
      <c r="AR492" s="96" t="str">
        <f t="shared" si="8745"/>
        <v/>
      </c>
      <c r="AS492" s="96" t="str">
        <f>IF(COUNTIF(Vista_1,AF491)=1,"Vista_1",IF(COUNTIF(Vista_2,AF491)=1,"Vista_2",""))</f>
        <v/>
      </c>
      <c r="AT492" s="684" t="str">
        <f>AL491</f>
        <v/>
      </c>
      <c r="AU492" s="694" t="e">
        <f t="shared" ref="AU492" ca="1" si="8908">AU491-1</f>
        <v>#REF!</v>
      </c>
      <c r="AV492" s="686" t="str">
        <f ca="1">IFERROR(VLOOKUP(AU492,INDIRECT(AQ491),2,FALSE),"----")</f>
        <v>----</v>
      </c>
      <c r="AW492" s="694" t="e">
        <f t="shared" ref="AW492:AW493" ca="1" si="8909">AW491-1</f>
        <v>#REF!</v>
      </c>
      <c r="AX492" s="686" t="str">
        <f ca="1">IFERROR(VLOOKUP(AW492,INDIRECT(AQ492),2,FALSE),"----")</f>
        <v>----</v>
      </c>
      <c r="AY492" s="694" t="e">
        <f t="shared" ref="AY492:AY493" ca="1" si="8910">AY491-1</f>
        <v>#REF!</v>
      </c>
      <c r="AZ492" s="686" t="str">
        <f ca="1">IFERROR(VLOOKUP(AY492,INDIRECT(AQ493),2,FALSE),"----")</f>
        <v>----</v>
      </c>
      <c r="BA492" s="694" t="e">
        <f t="shared" ref="BA492:BA493" ca="1" si="8911">BA491-1</f>
        <v>#REF!</v>
      </c>
      <c r="BB492" s="686" t="str">
        <f ca="1">IFERROR(VLOOKUP(BA492,INDIRECT(AQ494),2,FALSE),"----")</f>
        <v>----</v>
      </c>
      <c r="BC492" s="694" t="e">
        <f t="shared" ref="BC492:BC493" ca="1" si="8912">BC491-1</f>
        <v>#REF!</v>
      </c>
      <c r="BD492" s="686" t="str">
        <f ca="1">IFERROR(VLOOKUP(BC492,INDIRECT(AQ495),2,FALSE),"----")</f>
        <v>----</v>
      </c>
      <c r="BE492" s="694" t="e">
        <f t="shared" ref="BE492" ca="1" si="8913">BE491-1</f>
        <v>#REF!</v>
      </c>
      <c r="BF492" s="686" t="str">
        <f ca="1">IFERROR(VLOOKUP(BE492,INDIRECT(AQ496),2,FALSE),"----")</f>
        <v>----</v>
      </c>
      <c r="BG492" s="694" t="e">
        <f t="shared" ref="BG492" ca="1" si="8914">BG491-1</f>
        <v>#REF!</v>
      </c>
      <c r="BH492" s="686" t="str">
        <f ca="1">IFERROR(VLOOKUP(BG492,INDIRECT(AQ497),2,FALSE),"----")</f>
        <v>----</v>
      </c>
      <c r="BI492" s="694" t="e">
        <f t="shared" ref="BI492:BI493" ca="1" si="8915">BI491-1</f>
        <v>#REF!</v>
      </c>
      <c r="BJ492" s="686" t="str">
        <f ca="1">IFERROR(VLOOKUP(BI492,INDIRECT(AQ498),2,FALSE),"----")</f>
        <v>----</v>
      </c>
      <c r="BK492" s="694" t="e">
        <f t="shared" ref="BK492:BK493" ca="1" si="8916">BK491-1</f>
        <v>#REF!</v>
      </c>
      <c r="BL492" s="686" t="str">
        <f ca="1">IFERROR(VLOOKUP(BK492,INDIRECT(AQ499),2,FALSE),"----")</f>
        <v>----</v>
      </c>
      <c r="BM492" s="694" t="e">
        <f t="shared" ref="BM492:BM493" ca="1" si="8917">BM491-1</f>
        <v>#REF!</v>
      </c>
      <c r="BN492" s="686" t="str">
        <f ca="1">IFERROR(VLOOKUP(BM492,INDIRECT(AQ500),2,FALSE),"----")</f>
        <v>----</v>
      </c>
      <c r="BO492" s="694" t="e">
        <f t="shared" ref="BO492:BO493" ca="1" si="8918">BO491-1</f>
        <v>#REF!</v>
      </c>
      <c r="BP492" s="686" t="str">
        <f ca="1">IFERROR(VLOOKUP(BO492,INDIRECT(AQ501),2,FALSE),"----")</f>
        <v>----</v>
      </c>
      <c r="BQ492" s="694" t="e">
        <f t="shared" ref="BQ492" ca="1" si="8919">BQ491-1</f>
        <v>#REF!</v>
      </c>
      <c r="BR492" s="686" t="str">
        <f ca="1">IFERROR(VLOOKUP(BQ492,INDIRECT(AQ502),2,FALSE),"----")</f>
        <v>----</v>
      </c>
      <c r="BS492" s="695">
        <f>IF(AI492="",1,IF(COUNTIF(AX491:AX502,AI492)=0,2,1))</f>
        <v>1</v>
      </c>
      <c r="BT492" s="696">
        <f>IF(AF492="",1,IF(AX491=".",2,1))</f>
        <v>1</v>
      </c>
      <c r="BU492" s="706"/>
      <c r="BV492" s="155">
        <f ca="1">IF(COUNTIF(CJ491:CJ502,AF492)=0,IF(AF492&lt;&gt;"",0,1),1)</f>
        <v>1</v>
      </c>
      <c r="BW492" s="157">
        <f ca="1">IFERROR(MATCH(AF492,CJ491:CJ502,0),1)</f>
        <v>1</v>
      </c>
      <c r="BX492" s="769"/>
      <c r="BY492" s="769"/>
      <c r="BZ492" s="1110"/>
      <c r="CA492" s="691" t="e">
        <f t="shared" ref="CA492:CA502" ca="1" si="8920">CA491-1</f>
        <v>#REF!</v>
      </c>
      <c r="CB492" s="4" t="e" cm="1">
        <f t="array" aca="1" ref="CB492" ca="1">IF(AND(INDEX(INDIRECT(BY491),CA492,4)&gt;=$AB491,INDEX(INDIRECT(BY491),CA492,5)&gt;=$S491,INDEX(INDIRECT(BY491),CA492,6)&gt;=$R491),1,0)</f>
        <v>#REF!</v>
      </c>
      <c r="CC492" s="4" t="e">
        <f t="shared" ref="CC492" ca="1" si="8921">MATCH(1,OFFSET(CB491:CB502,CD491,0,COUNT(CB491:CB502)-CD491),0)</f>
        <v>#REF!</v>
      </c>
      <c r="CD492" s="4" t="e">
        <f t="shared" ref="CD492:CD502" ca="1" si="8922">CD491+CC492</f>
        <v>#REF!</v>
      </c>
      <c r="CE492" s="692" t="str" cm="1">
        <f t="array" aca="1" ref="CE492" ca="1">IFERROR(VLOOKUP(INDEX(CA491:CA502,CD492),INDIRECT(BY491),2,FALSE),"----")</f>
        <v>----</v>
      </c>
      <c r="CF492" s="691" t="e">
        <f t="shared" ref="CF492:CF502" ca="1" si="8923">CF491-1</f>
        <v>#N/A</v>
      </c>
      <c r="CG492" s="4" t="e">
        <f ca="1">IF(AND(INDEX(SSM,CF492,4)&gt;=$AB491,INDEX(SSM,CF492,5)&gt;=$S491,INDEX(SSM,CF492,6)&gt;=$R491),1,0)</f>
        <v>#N/A</v>
      </c>
      <c r="CH492" s="4" t="e">
        <f t="shared" ref="CH492" ca="1" si="8924">MATCH(1,OFFSET(CG491:CG502,CI491,0,COUNT(CG491:CG502)-CI491),0)</f>
        <v>#REF!</v>
      </c>
      <c r="CI492" s="4" t="e">
        <f t="shared" ref="CI492:CI502" ca="1" si="8925">CI491+CH492</f>
        <v>#REF!</v>
      </c>
      <c r="CJ492" s="692" t="str">
        <f ca="1">IFERROR(IF(AD492="Nested Steel Stud (wood infill)",VLOOKUP(INDEX(CF491:CF502,CI492),SSW,2,FALSE),VLOOKUP(INDEX(CF491:CF502,CI492),SSM,2,FALSE)),"----")</f>
        <v>----</v>
      </c>
      <c r="CK492" s="691" t="e">
        <f t="shared" ref="CK492:CK502" ca="1" si="8926">CK491-1</f>
        <v>#N/A</v>
      </c>
      <c r="CL492" s="4" t="e">
        <f ca="1">IF(AND(INDEX(WSM,CK492,4)&gt;=$AB491,INDEX(WSM,CK492,5)&gt;=$S491,INDEX(WSM,CK492,6)&gt;=$R491),1,0)</f>
        <v>#N/A</v>
      </c>
      <c r="CM492" s="4" t="e">
        <f t="shared" ref="CM492" ca="1" si="8927">MATCH(1,OFFSET(CL491:CL502,CN491,0,COUNT(CL491:CL502)-CN491),0)</f>
        <v>#REF!</v>
      </c>
      <c r="CN492" s="4" t="e">
        <f t="shared" ref="CN492:CN502" ca="1" si="8928">CM492+CN491</f>
        <v>#REF!</v>
      </c>
      <c r="CO492" s="692" t="str">
        <f ca="1">IFERROR(VLOOKUP(INDEX(CK491:CK502,CN492),WSM,2,FALSE),"----")</f>
        <v>----</v>
      </c>
      <c r="CP492" s="691" t="e">
        <f t="shared" ref="CP492:CP502" ca="1" si="8929">CP491-1</f>
        <v>#N/A</v>
      </c>
      <c r="CQ492" s="4" t="e">
        <f ca="1">IF(AND(INDEX(STM,CP492,4)&gt;=$AB491,INDEX(STM,CP492,5)&gt;=$S491,INDEX(STM,CP492,6)&gt;=$R491),1,0)</f>
        <v>#N/A</v>
      </c>
      <c r="CR492" s="4" t="e">
        <f t="shared" ref="CR492" ca="1" si="8930">MATCH(1,OFFSET(CQ491:CQ502,CS491,0,COUNT(CQ491:CQ502)-CS491),0)</f>
        <v>#REF!</v>
      </c>
      <c r="CS492" s="4" t="e">
        <f t="shared" ref="CS492:CS502" ca="1" si="8931">CR492+CS491</f>
        <v>#REF!</v>
      </c>
      <c r="CT492" s="692" t="str">
        <f ca="1">IFERROR(VLOOKUP(INDEX(CP491:CP502,CS492),STM,2,FALSE),"----")</f>
        <v>----</v>
      </c>
      <c r="CU492" s="691" t="e">
        <f t="shared" ref="CU492:CU502" ca="1" si="8932">CU491-1</f>
        <v>#N/A</v>
      </c>
      <c r="CV492" s="4" t="e">
        <f ca="1">IF(AND(INDEX(ELM,CU492,4)&gt;=$AB491,INDEX(ELM,CU492,5)&gt;=$S491,INDEX(ELM,CU492,6)&gt;=$R491),1,0)</f>
        <v>#N/A</v>
      </c>
      <c r="CW492" s="4" t="e">
        <f t="shared" ref="CW492" ca="1" si="8933">MATCH(1,OFFSET(CV491:CV502,CX491,0,COUNT(CV491:CV502)-CX491),0)</f>
        <v>#REF!</v>
      </c>
      <c r="CX492" s="4" t="e">
        <f t="shared" ref="CX492:CX502" ca="1" si="8934">CW492+CX491</f>
        <v>#REF!</v>
      </c>
      <c r="CY492" s="692" t="str">
        <f ca="1">IFERROR(VLOOKUP(INDEX(CU491:CU502,CX492),ELM,2,FALSE),"----")</f>
        <v>----</v>
      </c>
      <c r="CZ492" s="691" t="e">
        <f t="shared" ref="CZ492:CZ502" ca="1" si="8935">CZ491-1</f>
        <v>#N/A</v>
      </c>
      <c r="DA492" s="4" t="e">
        <f ca="1">IF(LEFT($J491,7)="Clad Wo",IF(AND(INDEX(SPPWS,CZ492,4)&gt;=$AB491,INDEX(SPPWS,CZ492,5)&gt;=$S491,INDEX(SPPWS,CZ492,6)&gt;=$R491),1,0),IF(AND(INDEX(SPM,CZ492,4)&gt;=$AB491,INDEX(SPM,CZ492,5)&gt;=$S491,INDEX(SPM,CZ492,6)&gt;=$R491),1,0))</f>
        <v>#N/A</v>
      </c>
      <c r="DB492" s="4" t="e">
        <f t="shared" ref="DB492" ca="1" si="8936">MATCH(1,OFFSET(DA491:DA502,DC491,0,COUNT(DA491:DA502)-DC491),0)</f>
        <v>#REF!</v>
      </c>
      <c r="DC492" s="4" t="e">
        <f t="shared" ref="DC492:DC502" ca="1" si="8937">DC491+DB492</f>
        <v>#REF!</v>
      </c>
      <c r="DD492" s="693" t="str">
        <f ca="1">IF(LEFT($J491,7)="Clad Wo",IFERROR(VLOOKUP(INDEX(CZ491:CZ502,DC492),SPPWS,2,FALSE),"----"),IFERROR(VLOOKUP(INDEX(CZ491:CZ502,DC492),SPM,2,FALSE),"----"))</f>
        <v>----</v>
      </c>
      <c r="DE492" s="691" t="e">
        <f t="shared" ref="DE492:DE502" ca="1" si="8938">DE491-1</f>
        <v>#REF!</v>
      </c>
      <c r="DF492" s="4" t="e" cm="1">
        <f t="array" aca="1" ref="DF492" ca="1">IF(AND(INDEX(INDIRECT(BY491),DE492,4)&gt;=$AB497,INDEX(INDIRECT(BY491),DE492,5)&gt;=$S491,INDEX(INDIRECT(BY491),DE492,6)&gt;=$R491),1,0)</f>
        <v>#REF!</v>
      </c>
      <c r="DG492" s="4" t="e">
        <f t="shared" ref="DG492" ca="1" si="8939">MATCH(1,OFFSET(DF491:DF502,DH491,0,COUNT(DF491:DF502)-DH491),0)</f>
        <v>#REF!</v>
      </c>
      <c r="DH492" s="4" t="e">
        <f t="shared" ref="DH492:DH502" ca="1" si="8940">DH491+DG492</f>
        <v>#REF!</v>
      </c>
      <c r="DI492" s="692" t="str" cm="1">
        <f t="array" aca="1" ref="DI492" ca="1">IFERROR(VLOOKUP(INDEX(DE491:DE502,DH492),INDIRECT(BY491),2,FALSE),"----")</f>
        <v>----</v>
      </c>
      <c r="DJ492" s="691" t="e">
        <f t="shared" ref="DJ492:DJ502" ca="1" si="8941">DJ491-1</f>
        <v>#N/A</v>
      </c>
      <c r="DK492" s="4" t="e">
        <f ca="1">IF(AND(INDEX(SSM,DJ492,4)&gt;=$AB497,INDEX(SSM,DJ492,5)&gt;=$S491,INDEX(SSM,DJ492,6)&gt;=$R491),1,0)</f>
        <v>#N/A</v>
      </c>
      <c r="DL492" s="4" t="e">
        <f t="shared" ref="DL492" ca="1" si="8942">MATCH(1,OFFSET(DK491:DK502,DM491,0,COUNT(DK491:DK502)-DM491),0)</f>
        <v>#REF!</v>
      </c>
      <c r="DM492" s="4" t="e">
        <f t="shared" ref="DM492:DM502" ca="1" si="8943">DL492+DM491</f>
        <v>#REF!</v>
      </c>
      <c r="DN492" s="692" t="str">
        <f ca="1">IFERROR(IF(AD498="Nested Steel Stud (wood infill)",VLOOKUP(INDEX(DJ491:DJ502,DM492),SSW,2,FALSE),VLOOKUP(INDEX(DJ491:DJ502,DM492),SSM,2,FALSE)),"----")</f>
        <v>----</v>
      </c>
      <c r="DO492" s="691" t="e">
        <f t="shared" ref="DO492:DO502" ca="1" si="8944">DO491-1</f>
        <v>#N/A</v>
      </c>
      <c r="DP492" s="4" t="e">
        <f ca="1">IF(AND(INDEX(WSM,DO492,4)&gt;=$AB497,INDEX(WSM,DO492,5)&gt;=$S491,INDEX(WSM,DO492,6)&gt;=$R491),1,0)</f>
        <v>#N/A</v>
      </c>
      <c r="DQ492" s="4" t="e">
        <f t="shared" ref="DQ492" ca="1" si="8945">MATCH(1,OFFSET(DP491:DP502,DR491,0,COUNT(DP491:DP502)-DR491),0)</f>
        <v>#REF!</v>
      </c>
      <c r="DR492" s="4" t="e">
        <f t="shared" ref="DR492:DR502" ca="1" si="8946">DQ492+DR491</f>
        <v>#REF!</v>
      </c>
      <c r="DS492" s="692" t="str">
        <f ca="1">IFERROR(VLOOKUP(INDEX(DO491:DO502,DR492),WSM,2,FALSE),"----")</f>
        <v>----</v>
      </c>
      <c r="DT492" s="691" t="e">
        <f t="shared" ref="DT492:DT502" ca="1" si="8947">DT491-1</f>
        <v>#N/A</v>
      </c>
      <c r="DU492" s="4" t="e">
        <f ca="1">IF(AND(INDEX(STM,DT492,4)&gt;=$AB497,INDEX(STM,DT492,5)&gt;=$S491,INDEX(STM,DT492,6)&gt;=$R491),1,0)</f>
        <v>#N/A</v>
      </c>
      <c r="DV492" s="4" t="e">
        <f t="shared" ref="DV492" ca="1" si="8948">MATCH(1,OFFSET(DU491:DU502,DW491,0,COUNT(DU491:DU502)-DW491),0)</f>
        <v>#REF!</v>
      </c>
      <c r="DW492" s="4" t="e">
        <f t="shared" ref="DW492:DW502" ca="1" si="8949">DV492+DW491</f>
        <v>#REF!</v>
      </c>
      <c r="DX492" s="692" t="str">
        <f ca="1">IFERROR(VLOOKUP(INDEX(DT491:DT502,DW492),STM,2,FALSE),"----")</f>
        <v>----</v>
      </c>
      <c r="DY492" s="691" t="e">
        <f t="shared" ref="DY492:DY502" ca="1" si="8950">DY491-1</f>
        <v>#N/A</v>
      </c>
      <c r="DZ492" s="4" t="e">
        <f ca="1">IF(AND(INDEX(ELM,DY492,4)&gt;=$AB497,INDEX(ELM,DY492,5)&gt;=$S491,INDEX(ELM,DY492,6)&gt;=$R491),1,0)</f>
        <v>#N/A</v>
      </c>
      <c r="EA492" s="4" t="e">
        <f t="shared" ref="EA492" ca="1" si="8951">MATCH(1,OFFSET(DZ491:DZ502,EB491,0,COUNT(DZ491:DZ502)-EB491),0)</f>
        <v>#REF!</v>
      </c>
      <c r="EB492" s="4" t="e">
        <f t="shared" ref="EB492:EB502" ca="1" si="8952">EA492+EB491</f>
        <v>#REF!</v>
      </c>
      <c r="EC492" s="692" t="str">
        <f ca="1">IFERROR(VLOOKUP(INDEX(DY491:DY502,EB492),ELM,2,FALSE),"----")</f>
        <v>----</v>
      </c>
      <c r="ED492" s="691" t="e">
        <f t="shared" ref="ED492:ED502" ca="1" si="8953">ED491-1</f>
        <v>#N/A</v>
      </c>
      <c r="EE492" s="4" t="e">
        <f ca="1">IF(LEFT($J491,7)="Clad Wo",IF(AND(INDEX(SPPWS,ED492,4)&gt;=$AB497,INDEX(SPPWS,ED492,5)&gt;=$S491,INDEX(SPPWS,ED492,6)&gt;=$R491),1,0),IF(AND(INDEX(SPM,ED492,4)&gt;=$AB497,INDEX(SPM,ED492,5)&gt;=$S491,INDEX(SPM,ED492,6)&gt;=$R491),1,0))</f>
        <v>#N/A</v>
      </c>
      <c r="EF492" s="4" t="e">
        <f t="shared" ref="EF492" ca="1" si="8954">MATCH(1,OFFSET(EE491:EE502,EG491,0,COUNT(EE491:EE502)-EG491),0)</f>
        <v>#REF!</v>
      </c>
      <c r="EG492" s="4" t="e">
        <f t="shared" ref="EG492:EG502" ca="1" si="8955">EG491+EF492</f>
        <v>#REF!</v>
      </c>
      <c r="EH492" s="692" t="str">
        <f ca="1">IF(LEFT($J491,7)="Clad Wo",IFERROR(VLOOKUP(INDEX(ED491:ED502,EG492),SPPWS,2,FALSE),"----"),IFERROR(VLOOKUP(INDEX(ED491:ED502,EG492),SPM,2,FALSE),"----"))</f>
        <v>----</v>
      </c>
    </row>
    <row r="493" spans="1:138" ht="15" customHeight="1" x14ac:dyDescent="0.25">
      <c r="A493" s="1085"/>
      <c r="B493" s="925"/>
      <c r="C493" s="926"/>
      <c r="D493" s="927"/>
      <c r="E493" s="995"/>
      <c r="F493" s="996"/>
      <c r="G493" s="997"/>
      <c r="H493" s="1062"/>
      <c r="I493" s="990"/>
      <c r="J493" s="908"/>
      <c r="K493" s="909"/>
      <c r="L493" s="1002"/>
      <c r="M493" s="923"/>
      <c r="N493" s="1042"/>
      <c r="O493" s="1018"/>
      <c r="P493" s="987"/>
      <c r="Q493" s="1015"/>
      <c r="R493" s="1012"/>
      <c r="S493" s="1006"/>
      <c r="T493" s="1007"/>
      <c r="U493" s="878"/>
      <c r="V493" s="881"/>
      <c r="W493" s="884"/>
      <c r="X493" s="884"/>
      <c r="Y493" s="887"/>
      <c r="Z493" s="887"/>
      <c r="AA493" s="887"/>
      <c r="AB493" s="1081"/>
      <c r="AC493" s="1078"/>
      <c r="AD493" s="1070" t="s">
        <v>333</v>
      </c>
      <c r="AE493" s="1071"/>
      <c r="AF493" s="1052"/>
      <c r="AG493" s="1053"/>
      <c r="AH493" s="1053"/>
      <c r="AI493" s="1066"/>
      <c r="AJ493" s="1067"/>
      <c r="AK493" s="154" t="str">
        <f t="shared" ca="1" si="8761"/>
        <v/>
      </c>
      <c r="AL493" s="1039"/>
      <c r="AM493" s="344" t="str">
        <f ca="1">IFERROR(Q491/12*ROUND(VLOOKUP(AF493,OFFSET(WSM,0,1),6,FALSE),2),"")</f>
        <v/>
      </c>
      <c r="AN493" t="str">
        <f t="shared" ca="1" si="8785"/>
        <v/>
      </c>
      <c r="AP493" s="122" t="str">
        <f t="shared" ref="AP493" si="8956">_xlfn.CONCAT(AR493,AS496)</f>
        <v/>
      </c>
      <c r="AQ493" s="683" t="str">
        <f t="shared" si="7698"/>
        <v/>
      </c>
      <c r="AR493" s="4" t="str">
        <f t="shared" si="8745"/>
        <v/>
      </c>
      <c r="AS493" s="4"/>
      <c r="AT493" s="697" t="str">
        <f>AL491</f>
        <v/>
      </c>
      <c r="AU493" s="694" t="e">
        <f t="shared" ca="1" si="7724"/>
        <v>#REF!</v>
      </c>
      <c r="AV493" s="686" t="str">
        <f ca="1">IFERROR(VLOOKUP(AU493,INDIRECT(AQ491),2,FALSE),"----")</f>
        <v>----</v>
      </c>
      <c r="AW493" s="694" t="e">
        <f t="shared" ca="1" si="8909"/>
        <v>#REF!</v>
      </c>
      <c r="AX493" s="686" t="str">
        <f ca="1">IFERROR(VLOOKUP(AW493,INDIRECT(AQ492),2,FALSE),"----")</f>
        <v>----</v>
      </c>
      <c r="AY493" s="694" t="e">
        <f t="shared" ca="1" si="8910"/>
        <v>#REF!</v>
      </c>
      <c r="AZ493" s="686" t="str">
        <f ca="1">IFERROR(VLOOKUP(AY493,INDIRECT(AQ493),2,FALSE),"----")</f>
        <v>----</v>
      </c>
      <c r="BA493" s="694" t="e">
        <f t="shared" ca="1" si="8911"/>
        <v>#REF!</v>
      </c>
      <c r="BB493" s="686" t="str">
        <f ca="1">IFERROR(VLOOKUP(BA493,INDIRECT(AQ494),2,FALSE),"----")</f>
        <v>----</v>
      </c>
      <c r="BC493" s="694" t="e">
        <f t="shared" ca="1" si="8912"/>
        <v>#REF!</v>
      </c>
      <c r="BD493" s="686" t="str">
        <f ca="1">IFERROR(VLOOKUP(BC493,INDIRECT(AQ495),2,FALSE),"----")</f>
        <v>----</v>
      </c>
      <c r="BE493" s="694" t="e">
        <f t="shared" ca="1" si="7729"/>
        <v>#REF!</v>
      </c>
      <c r="BF493" s="686" t="str">
        <f ca="1">IFERROR(VLOOKUP(BE493,INDIRECT(AQ496),2,FALSE),"----")</f>
        <v>----</v>
      </c>
      <c r="BG493" s="694" t="e">
        <f t="shared" ca="1" si="7730"/>
        <v>#REF!</v>
      </c>
      <c r="BH493" s="686" t="str">
        <f ca="1">IFERROR(VLOOKUP(BG493,INDIRECT(AQ497),2,FALSE),"----")</f>
        <v>----</v>
      </c>
      <c r="BI493" s="694" t="e">
        <f t="shared" ca="1" si="8915"/>
        <v>#REF!</v>
      </c>
      <c r="BJ493" s="686" t="str">
        <f ca="1">IFERROR(VLOOKUP(BI493,INDIRECT(AQ498),2,FALSE),"----")</f>
        <v>----</v>
      </c>
      <c r="BK493" s="694" t="e">
        <f t="shared" ca="1" si="8916"/>
        <v>#REF!</v>
      </c>
      <c r="BL493" s="686" t="str">
        <f ca="1">IFERROR(VLOOKUP(BK493,INDIRECT(AQ499),2,FALSE),"----")</f>
        <v>----</v>
      </c>
      <c r="BM493" s="694" t="e">
        <f t="shared" ca="1" si="8917"/>
        <v>#REF!</v>
      </c>
      <c r="BN493" s="686" t="str">
        <f ca="1">IFERROR(VLOOKUP(BM493,INDIRECT(AQ500),2,FALSE),"----")</f>
        <v>----</v>
      </c>
      <c r="BO493" s="694" t="e">
        <f t="shared" ca="1" si="8918"/>
        <v>#REF!</v>
      </c>
      <c r="BP493" s="686" t="str">
        <f ca="1">IFERROR(VLOOKUP(BO493,INDIRECT(AQ501),2,FALSE),"----")</f>
        <v>----</v>
      </c>
      <c r="BQ493" s="694" t="e">
        <f t="shared" ca="1" si="7735"/>
        <v>#REF!</v>
      </c>
      <c r="BR493" s="686" t="str">
        <f ca="1">IFERROR(VLOOKUP(BQ493,INDIRECT(AQ502),2,FALSE),"----")</f>
        <v>----</v>
      </c>
      <c r="BS493" s="695">
        <f>IF(AI493="",1,IF(COUNTIF(AZ491:AZ502,AI493)=0,2,1))</f>
        <v>1</v>
      </c>
      <c r="BT493" s="696">
        <f>IF(AF493="",1,IF(AZ491=".",2,1))</f>
        <v>1</v>
      </c>
      <c r="BU493" s="706"/>
      <c r="BV493" s="155">
        <f ca="1">IF(COUNTIF(CO491:CO502,AF493)=0,IF(AF493&lt;&gt;"",0,1),1)</f>
        <v>1</v>
      </c>
      <c r="BW493" s="157">
        <f ca="1">IFERROR(MATCH(AF493,CO491:CO502,0),1)</f>
        <v>1</v>
      </c>
      <c r="BX493" s="769"/>
      <c r="BY493" s="769"/>
      <c r="BZ493" s="1110"/>
      <c r="CA493" s="691" t="e">
        <f t="shared" ca="1" si="8920"/>
        <v>#REF!</v>
      </c>
      <c r="CB493" s="4" t="e" cm="1">
        <f t="array" aca="1" ref="CB493" ca="1">IF(AND(INDEX(INDIRECT(BY491),CA493,4)&gt;=$AB491,INDEX(INDIRECT(BY491),CA493,5)&gt;=$S491,INDEX(INDIRECT(BY491),CA493,6)&gt;=$R491),1,0)</f>
        <v>#REF!</v>
      </c>
      <c r="CC493" s="4" t="e">
        <f t="shared" ref="CC493" ca="1" si="8957">MATCH(1,OFFSET(CB491:CB502,CD492,0,COUNT(CB491:CB502)-CD492),0)</f>
        <v>#REF!</v>
      </c>
      <c r="CD493" s="4" t="e">
        <f t="shared" ca="1" si="8922"/>
        <v>#REF!</v>
      </c>
      <c r="CE493" s="692" t="str" cm="1">
        <f t="array" aca="1" ref="CE493" ca="1">IFERROR(VLOOKUP(INDEX(CA491:CA502,CD493),INDIRECT(BY491),2,FALSE),"----")</f>
        <v>----</v>
      </c>
      <c r="CF493" s="691" t="e">
        <f t="shared" ca="1" si="8923"/>
        <v>#N/A</v>
      </c>
      <c r="CG493" s="4" t="e">
        <f ca="1">IF(AND(INDEX(SSM,CF493,4)&gt;=$AB491,INDEX(SSM,CF493,5)&gt;=$S491,INDEX(SSM,CF493,6)&gt;=$R491),1,0)</f>
        <v>#N/A</v>
      </c>
      <c r="CH493" s="4" t="e">
        <f t="shared" ref="CH493" ca="1" si="8958">MATCH(1,OFFSET(CG491:CG502,CI492,0,COUNT(CG491:CG502)-CI492),0)</f>
        <v>#REF!</v>
      </c>
      <c r="CI493" s="4" t="e">
        <f t="shared" ca="1" si="8925"/>
        <v>#REF!</v>
      </c>
      <c r="CJ493" s="692" t="str">
        <f ca="1">IFERROR(IF(AD492="Nested Steel Stud (wood infill)",VLOOKUP(INDEX(CF491:CF502,CI493),SSW,2,FALSE),VLOOKUP(INDEX(CF491:CF502,CI493),SSM,2,FALSE)),"----")</f>
        <v>----</v>
      </c>
      <c r="CK493" s="691" t="e">
        <f t="shared" ca="1" si="8926"/>
        <v>#N/A</v>
      </c>
      <c r="CL493" s="4" t="e">
        <f ca="1">IF(AND(INDEX(WSM,CK493,4)&gt;=$AB491,INDEX(WSM,CK493,5)&gt;=$S491,INDEX(WSM,CK493,6)&gt;=$R491),1,0)</f>
        <v>#N/A</v>
      </c>
      <c r="CM493" s="4" t="e">
        <f t="shared" ref="CM493" ca="1" si="8959">MATCH(1,OFFSET(CL491:CL502,CN492,0,COUNT(CL491:CL502)-CN492),0)</f>
        <v>#REF!</v>
      </c>
      <c r="CN493" s="4" t="e">
        <f t="shared" ca="1" si="8928"/>
        <v>#REF!</v>
      </c>
      <c r="CO493" s="692" t="str">
        <f ca="1">IFERROR(VLOOKUP(INDEX(CK491:CK502,CN493),WSM,2,FALSE),"----")</f>
        <v>----</v>
      </c>
      <c r="CP493" s="691" t="e">
        <f t="shared" ca="1" si="8929"/>
        <v>#N/A</v>
      </c>
      <c r="CQ493" s="4" t="e">
        <f ca="1">IF(AND(INDEX(STM,CP493,4)&gt;=$AB491,INDEX(STM,CP493,5)&gt;=$S491,INDEX(STM,CP493,6)&gt;=$R491),1,0)</f>
        <v>#N/A</v>
      </c>
      <c r="CR493" s="4" t="e">
        <f t="shared" ref="CR493" ca="1" si="8960">MATCH(1,OFFSET(CQ491:CQ502,CS492,0,COUNT(CQ491:CQ502)-CS492),0)</f>
        <v>#REF!</v>
      </c>
      <c r="CS493" s="4" t="e">
        <f t="shared" ca="1" si="8931"/>
        <v>#REF!</v>
      </c>
      <c r="CT493" s="692" t="str">
        <f ca="1">IFERROR(VLOOKUP(INDEX(CP491:CP502,CS493),STM,2,FALSE),"----")</f>
        <v>----</v>
      </c>
      <c r="CU493" s="691" t="e">
        <f t="shared" ca="1" si="8932"/>
        <v>#N/A</v>
      </c>
      <c r="CV493" s="4" t="e">
        <f ca="1">IF(AND(INDEX(ELM,CU493,4)&gt;=$AB491,INDEX(ELM,CU493,5)&gt;=$S491,INDEX(ELM,CU493,6)&gt;=$R491),1,0)</f>
        <v>#N/A</v>
      </c>
      <c r="CW493" s="4" t="e">
        <f t="shared" ref="CW493" ca="1" si="8961">MATCH(1,OFFSET(CV491:CV502,CX492,0,COUNT(CV491:CV502)-CX492),0)</f>
        <v>#REF!</v>
      </c>
      <c r="CX493" s="4" t="e">
        <f t="shared" ca="1" si="8934"/>
        <v>#REF!</v>
      </c>
      <c r="CY493" s="692" t="str">
        <f ca="1">IFERROR(VLOOKUP(INDEX(CU491:CU502,CX493),ELM,2,FALSE),"----")</f>
        <v>----</v>
      </c>
      <c r="CZ493" s="691" t="e">
        <f t="shared" ca="1" si="8935"/>
        <v>#N/A</v>
      </c>
      <c r="DA493" s="4" t="e">
        <f ca="1">IF(LEFT($J491,7)="Clad Wo",IF(AND(INDEX(SPPWS,CZ493,4)&gt;=$AB491,INDEX(SPPWS,CZ493,5)&gt;=$S491,INDEX(SPPWS,CZ493,6)&gt;=$R491),1,0),IF(AND(INDEX(SPM,CZ493,4)&gt;=$AB491,INDEX(SPM,CZ493,5)&gt;=$S491,INDEX(SPM,CZ493,6)&gt;=$R491),1,0))</f>
        <v>#N/A</v>
      </c>
      <c r="DB493" s="4" t="e">
        <f t="shared" ref="DB493" ca="1" si="8962">MATCH(1,OFFSET(DA491:DA502,DC492,0,COUNT(DA491:DA502)-DC492),0)</f>
        <v>#REF!</v>
      </c>
      <c r="DC493" s="4" t="e">
        <f t="shared" ca="1" si="8937"/>
        <v>#REF!</v>
      </c>
      <c r="DD493" s="693" t="str">
        <f ca="1">IF(LEFT($J491,7)="Clad Wo",IFERROR(VLOOKUP(INDEX(CZ491:CZ502,DC493),SPPWS,2,FALSE),"----"),IFERROR(VLOOKUP(INDEX(CZ491:CZ502,DC493),SPM,2,FALSE),"----"))</f>
        <v>----</v>
      </c>
      <c r="DE493" s="691" t="e">
        <f t="shared" ca="1" si="8938"/>
        <v>#REF!</v>
      </c>
      <c r="DF493" s="4" t="e" cm="1">
        <f t="array" aca="1" ref="DF493" ca="1">IF(AND(INDEX(INDIRECT(BY491),DE493,4)&gt;=$AB497,INDEX(INDIRECT(BY491),DE493,5)&gt;=$S491,INDEX(INDIRECT(BY491),DE493,6)&gt;=$R491),1,0)</f>
        <v>#REF!</v>
      </c>
      <c r="DG493" s="4" t="e">
        <f t="shared" ref="DG493" ca="1" si="8963">MATCH(1,OFFSET(DF491:DF502,DH492,0,COUNT(DF491:DF502)-DH492),0)</f>
        <v>#REF!</v>
      </c>
      <c r="DH493" s="4" t="e">
        <f t="shared" ca="1" si="8940"/>
        <v>#REF!</v>
      </c>
      <c r="DI493" s="692" t="str" cm="1">
        <f t="array" aca="1" ref="DI493" ca="1">IFERROR(VLOOKUP(INDEX(DE491:DE502,DH493),INDIRECT(BY491),2,FALSE),"----")</f>
        <v>----</v>
      </c>
      <c r="DJ493" s="691" t="e">
        <f t="shared" ca="1" si="8941"/>
        <v>#N/A</v>
      </c>
      <c r="DK493" s="4" t="e">
        <f ca="1">IF(AND(INDEX(SSM,DJ493,4)&gt;=$AB497,INDEX(SSM,DJ493,5)&gt;=$S491,INDEX(SSM,DJ493,6)&gt;=$R491),1,0)</f>
        <v>#N/A</v>
      </c>
      <c r="DL493" s="4" t="e">
        <f t="shared" ref="DL493" ca="1" si="8964">MATCH(1,OFFSET(DK491:DK502,DM492,0,COUNT(DK491:DK502)-DM492),0)</f>
        <v>#REF!</v>
      </c>
      <c r="DM493" s="4" t="e">
        <f t="shared" ca="1" si="8943"/>
        <v>#REF!</v>
      </c>
      <c r="DN493" s="692" t="str">
        <f ca="1">IFERROR(IF(AD498="Nested Steel Stud (wood infill)",VLOOKUP(INDEX(DJ491:DJ502,DM493),SSW,2,FALSE),VLOOKUP(INDEX(DJ491:DJ502,DM493),SSM,2,FALSE)),"----")</f>
        <v>----</v>
      </c>
      <c r="DO493" s="691" t="e">
        <f t="shared" ca="1" si="8944"/>
        <v>#N/A</v>
      </c>
      <c r="DP493" s="4" t="e">
        <f ca="1">IF(AND(INDEX(WSM,DO493,4)&gt;=$AB497,INDEX(WSM,DO493,5)&gt;=$S491,INDEX(WSM,DO493,6)&gt;=$R491),1,0)</f>
        <v>#N/A</v>
      </c>
      <c r="DQ493" s="4" t="e">
        <f t="shared" ref="DQ493" ca="1" si="8965">MATCH(1,OFFSET(DP491:DP502,DR492,0,COUNT(DP491:DP502)-DR492),0)</f>
        <v>#REF!</v>
      </c>
      <c r="DR493" s="4" t="e">
        <f t="shared" ca="1" si="8946"/>
        <v>#REF!</v>
      </c>
      <c r="DS493" s="692" t="str">
        <f ca="1">IFERROR(VLOOKUP(INDEX(DO491:DO502,DR493),WSM,2,FALSE),"----")</f>
        <v>----</v>
      </c>
      <c r="DT493" s="691" t="e">
        <f t="shared" ca="1" si="8947"/>
        <v>#N/A</v>
      </c>
      <c r="DU493" s="4" t="e">
        <f ca="1">IF(AND(INDEX(STM,DT493,4)&gt;=$AB497,INDEX(STM,DT493,5)&gt;=$S491,INDEX(STM,DT493,6)&gt;=$R491),1,0)</f>
        <v>#N/A</v>
      </c>
      <c r="DV493" s="4" t="e">
        <f t="shared" ref="DV493" ca="1" si="8966">MATCH(1,OFFSET(DU491:DU502,DW492,0,COUNT(DU491:DU502)-DW492),0)</f>
        <v>#REF!</v>
      </c>
      <c r="DW493" s="4" t="e">
        <f t="shared" ca="1" si="8949"/>
        <v>#REF!</v>
      </c>
      <c r="DX493" s="692" t="str">
        <f ca="1">IFERROR(VLOOKUP(INDEX(DT491:DT502,DW493),STM,2,FALSE),"----")</f>
        <v>----</v>
      </c>
      <c r="DY493" s="691" t="e">
        <f t="shared" ca="1" si="8950"/>
        <v>#N/A</v>
      </c>
      <c r="DZ493" s="4" t="e">
        <f ca="1">IF(AND(INDEX(ELM,DY493,4)&gt;=$AB497,INDEX(ELM,DY493,5)&gt;=$S491,INDEX(ELM,DY493,6)&gt;=$R491),1,0)</f>
        <v>#N/A</v>
      </c>
      <c r="EA493" s="4" t="e">
        <f t="shared" ref="EA493" ca="1" si="8967">MATCH(1,OFFSET(DZ491:DZ502,EB492,0,COUNT(DZ491:DZ502)-EB492),0)</f>
        <v>#REF!</v>
      </c>
      <c r="EB493" s="4" t="e">
        <f t="shared" ca="1" si="8952"/>
        <v>#REF!</v>
      </c>
      <c r="EC493" s="692" t="str">
        <f ca="1">IFERROR(VLOOKUP(INDEX(DY491:DY502,EB493),ELM,2,FALSE),"----")</f>
        <v>----</v>
      </c>
      <c r="ED493" s="691" t="e">
        <f t="shared" ca="1" si="8953"/>
        <v>#N/A</v>
      </c>
      <c r="EE493" s="4" t="e">
        <f ca="1">IF(LEFT($J491,7)="Clad Wo",IF(AND(INDEX(SPPWS,ED493,4)&gt;=$AB497,INDEX(SPPWS,ED493,5)&gt;=$S491,INDEX(SPPWS,ED493,6)&gt;=$R491),1,0),IF(AND(INDEX(SPM,ED493,4)&gt;=$AB497,INDEX(SPM,ED493,5)&gt;=$S491,INDEX(SPM,ED493,6)&gt;=$R491),1,0))</f>
        <v>#N/A</v>
      </c>
      <c r="EF493" s="4" t="e">
        <f t="shared" ref="EF493" ca="1" si="8968">MATCH(1,OFFSET(EE491:EE502,EG492,0,COUNT(EE491:EE502)-EG492),0)</f>
        <v>#REF!</v>
      </c>
      <c r="EG493" s="4" t="e">
        <f t="shared" ca="1" si="8955"/>
        <v>#REF!</v>
      </c>
      <c r="EH493" s="692" t="str">
        <f ca="1">IF(LEFT($J491,7)="Clad Wo",IFERROR(VLOOKUP(INDEX(ED491:ED502,EG493),SPPWS,2,FALSE),"----"),IFERROR(VLOOKUP(INDEX(ED491:ED502,EG493),SPM,2,FALSE),"----"))</f>
        <v>----</v>
      </c>
    </row>
    <row r="494" spans="1:138" ht="15" customHeight="1" x14ac:dyDescent="0.25">
      <c r="A494" s="1085"/>
      <c r="B494" s="925"/>
      <c r="C494" s="926"/>
      <c r="D494" s="927"/>
      <c r="E494" s="995"/>
      <c r="F494" s="996"/>
      <c r="G494" s="997"/>
      <c r="H494" s="1062"/>
      <c r="I494" s="990"/>
      <c r="J494" s="908"/>
      <c r="K494" s="909"/>
      <c r="L494" s="1002"/>
      <c r="M494" s="923"/>
      <c r="N494" s="1042"/>
      <c r="O494" s="1018"/>
      <c r="P494" s="987"/>
      <c r="Q494" s="1015"/>
      <c r="R494" s="1012"/>
      <c r="S494" s="1006"/>
      <c r="T494" s="1007"/>
      <c r="U494" s="878"/>
      <c r="V494" s="881"/>
      <c r="W494" s="884"/>
      <c r="X494" s="884"/>
      <c r="Y494" s="887"/>
      <c r="Z494" s="887"/>
      <c r="AA494" s="887"/>
      <c r="AB494" s="1081"/>
      <c r="AC494" s="1078"/>
      <c r="AD494" s="1070" t="s">
        <v>37</v>
      </c>
      <c r="AE494" s="1071"/>
      <c r="AF494" s="1052"/>
      <c r="AG494" s="1053"/>
      <c r="AH494" s="1053"/>
      <c r="AI494" s="1066"/>
      <c r="AJ494" s="1067"/>
      <c r="AK494" s="156" t="str">
        <f t="shared" ca="1" si="8761"/>
        <v/>
      </c>
      <c r="AL494" s="1039"/>
      <c r="AM494" s="343" t="str">
        <f ca="1">IFERROR(Q491/12*ROUND(VLOOKUP(AF494,OFFSET(STM,0,1),6,FALSE),2),"")</f>
        <v/>
      </c>
      <c r="AN494" t="str">
        <f t="shared" ca="1" si="8785"/>
        <v/>
      </c>
      <c r="AP494" s="122" t="str">
        <f t="shared" ref="AP494" si="8969">_xlfn.CONCAT(AR494,AS496)</f>
        <v/>
      </c>
      <c r="AQ494" s="683" t="str">
        <f t="shared" si="7698"/>
        <v/>
      </c>
      <c r="AR494" s="4" t="str">
        <f t="shared" si="8745"/>
        <v/>
      </c>
      <c r="AS494" s="4"/>
      <c r="AT494" s="697" t="str">
        <f>AL491</f>
        <v/>
      </c>
      <c r="AU494" s="694" t="e">
        <f t="shared" ca="1" si="7724"/>
        <v>#REF!</v>
      </c>
      <c r="AV494" s="686" t="str">
        <f ca="1">IFERROR(VLOOKUP(AU494,INDIRECT(AQ491),2,FALSE),"----")</f>
        <v>----</v>
      </c>
      <c r="AW494" s="694" t="e">
        <f t="shared" ca="1" si="7725"/>
        <v>#REF!</v>
      </c>
      <c r="AX494" s="686" t="str">
        <f ca="1">IFERROR(VLOOKUP(AW494,INDIRECT(AQ492),2,FALSE),"----")</f>
        <v>----</v>
      </c>
      <c r="AY494" s="694" t="e">
        <f t="shared" ref="AY494" ca="1" si="8970">AY493-1</f>
        <v>#REF!</v>
      </c>
      <c r="AZ494" s="686" t="str">
        <f ca="1">IFERROR(VLOOKUP(AY494,INDIRECT(AQ493),2,FALSE),"----")</f>
        <v>----</v>
      </c>
      <c r="BA494" s="694" t="e">
        <f t="shared" ref="BA494" ca="1" si="8971">BA493-1</f>
        <v>#REF!</v>
      </c>
      <c r="BB494" s="686" t="str">
        <f ca="1">IFERROR(VLOOKUP(BA494,INDIRECT(AQ494),2,FALSE),"----")</f>
        <v>----</v>
      </c>
      <c r="BC494" s="694" t="e">
        <f t="shared" ca="1" si="7728"/>
        <v>#REF!</v>
      </c>
      <c r="BD494" s="686" t="str">
        <f ca="1">IFERROR(VLOOKUP(BC494,INDIRECT(AQ495),2,FALSE),"----")</f>
        <v>----</v>
      </c>
      <c r="BE494" s="694" t="e">
        <f t="shared" ca="1" si="7729"/>
        <v>#REF!</v>
      </c>
      <c r="BF494" s="686" t="str">
        <f ca="1">IFERROR(VLOOKUP(BE494,INDIRECT(AQ496),2,FALSE),"----")</f>
        <v>----</v>
      </c>
      <c r="BG494" s="694" t="e">
        <f t="shared" ca="1" si="7730"/>
        <v>#REF!</v>
      </c>
      <c r="BH494" s="686" t="str">
        <f ca="1">IFERROR(VLOOKUP(BG494,INDIRECT(AQ497),2,FALSE),"----")</f>
        <v>----</v>
      </c>
      <c r="BI494" s="694" t="e">
        <f t="shared" ca="1" si="7731"/>
        <v>#REF!</v>
      </c>
      <c r="BJ494" s="686" t="str">
        <f ca="1">IFERROR(VLOOKUP(BI494,INDIRECT(AQ498),2,FALSE),"----")</f>
        <v>----</v>
      </c>
      <c r="BK494" s="694" t="e">
        <f t="shared" ca="1" si="7732"/>
        <v>#REF!</v>
      </c>
      <c r="BL494" s="686" t="str">
        <f ca="1">IFERROR(VLOOKUP(BK494,INDIRECT(AQ499),2,FALSE),"----")</f>
        <v>----</v>
      </c>
      <c r="BM494" s="694" t="e">
        <f t="shared" ca="1" si="7733"/>
        <v>#REF!</v>
      </c>
      <c r="BN494" s="686" t="str">
        <f ca="1">IFERROR(VLOOKUP(BM494,INDIRECT(AQ500),2,FALSE),"----")</f>
        <v>----</v>
      </c>
      <c r="BO494" s="694" t="e">
        <f t="shared" ca="1" si="7734"/>
        <v>#REF!</v>
      </c>
      <c r="BP494" s="686" t="str">
        <f ca="1">IFERROR(VLOOKUP(BO494,INDIRECT(AQ501),2,FALSE),"----")</f>
        <v>----</v>
      </c>
      <c r="BQ494" s="694" t="e">
        <f t="shared" ca="1" si="7735"/>
        <v>#REF!</v>
      </c>
      <c r="BR494" s="686" t="str">
        <f ca="1">IFERROR(VLOOKUP(BQ494,INDIRECT(AQ502),2,FALSE),"----")</f>
        <v>----</v>
      </c>
      <c r="BS494" s="695">
        <f>IF(AI494="",1,IF(COUNTIF(BB491:BB502,AI494)=0,2,1))</f>
        <v>1</v>
      </c>
      <c r="BT494" s="696">
        <f>IF(AF494="",1,IF(BB491=".",2,1))</f>
        <v>1</v>
      </c>
      <c r="BU494" s="706"/>
      <c r="BV494" s="155">
        <f ca="1">IF(COUNTIF(CT491:CT502,AF494)=0,IF(AF494&lt;&gt;"",0,1),1)</f>
        <v>1</v>
      </c>
      <c r="BW494" s="157">
        <f ca="1">IFERROR(MATCH(AF494,CT491:CT502,0),1)</f>
        <v>1</v>
      </c>
      <c r="BX494" s="769"/>
      <c r="BY494" s="769"/>
      <c r="BZ494" s="1110"/>
      <c r="CA494" s="691" t="e">
        <f t="shared" ca="1" si="8920"/>
        <v>#REF!</v>
      </c>
      <c r="CB494" s="4" t="e" cm="1">
        <f t="array" aca="1" ref="CB494" ca="1">IF(AND(INDEX(INDIRECT(BY491),CA494,4)&gt;=$AB491,INDEX(INDIRECT(BY491),CA494,5)&gt;=$S491,INDEX(INDIRECT(BY491),CA494,6)&gt;=$R491),1,0)</f>
        <v>#REF!</v>
      </c>
      <c r="CC494" s="4" t="e">
        <f t="shared" ref="CC494" ca="1" si="8972">MATCH(1,OFFSET(CB491:CB502,CD493,0,COUNT(CB491:CB502)-CD493),0)</f>
        <v>#REF!</v>
      </c>
      <c r="CD494" s="4" t="e">
        <f t="shared" ca="1" si="8922"/>
        <v>#REF!</v>
      </c>
      <c r="CE494" s="692" t="str" cm="1">
        <f t="array" aca="1" ref="CE494" ca="1">IFERROR(VLOOKUP(INDEX(CA491:CA502,CD494),INDIRECT(BY491),2,FALSE),"----")</f>
        <v>----</v>
      </c>
      <c r="CF494" s="691" t="e">
        <f t="shared" ca="1" si="8923"/>
        <v>#N/A</v>
      </c>
      <c r="CG494" s="4" t="e">
        <f ca="1">IF(AND(INDEX(SSM,CF494,4)&gt;=$AB491,INDEX(SSM,CF494,5)&gt;=$S491,INDEX(SSM,CF494,6)&gt;=$R491),1,0)</f>
        <v>#N/A</v>
      </c>
      <c r="CH494" s="4" t="e">
        <f t="shared" ref="CH494" ca="1" si="8973">MATCH(1,OFFSET(CG491:CG502,CI493,0,COUNT(CG491:CG502)-CI493),0)</f>
        <v>#REF!</v>
      </c>
      <c r="CI494" s="4" t="e">
        <f t="shared" ca="1" si="8925"/>
        <v>#REF!</v>
      </c>
      <c r="CJ494" s="692" t="str">
        <f ca="1">IFERROR(IF(AD492="Nested Steel Stud (wood infill)",VLOOKUP(INDEX(CF491:CF502,CI494),SSW,2,FALSE),VLOOKUP(INDEX(CF491:CF502,CI494),SSM,2,FALSE)),"----")</f>
        <v>----</v>
      </c>
      <c r="CK494" s="691" t="e">
        <f t="shared" ca="1" si="8926"/>
        <v>#N/A</v>
      </c>
      <c r="CL494" s="4" t="e">
        <f ca="1">IF(AND(INDEX(WSM,CK494,4)&gt;=$AB491,INDEX(WSM,CK494,5)&gt;=$S491,INDEX(WSM,CK494,6)&gt;=$R491),1,0)</f>
        <v>#N/A</v>
      </c>
      <c r="CM494" s="4" t="e">
        <f t="shared" ref="CM494" ca="1" si="8974">MATCH(1,OFFSET(CL491:CL502,CN493,0,COUNT(CL491:CL502)-CN493),0)</f>
        <v>#REF!</v>
      </c>
      <c r="CN494" s="4" t="e">
        <f t="shared" ca="1" si="8928"/>
        <v>#REF!</v>
      </c>
      <c r="CO494" s="692" t="str">
        <f ca="1">IFERROR(VLOOKUP(INDEX(CK491:CK502,CN494),WSM,2,FALSE),"----")</f>
        <v>----</v>
      </c>
      <c r="CP494" s="691" t="e">
        <f t="shared" ca="1" si="8929"/>
        <v>#N/A</v>
      </c>
      <c r="CQ494" s="4" t="e">
        <f ca="1">IF(AND(INDEX(STM,CP494,4)&gt;=$AB491,INDEX(STM,CP494,5)&gt;=$S491,INDEX(STM,CP494,6)&gt;=$R491),1,0)</f>
        <v>#N/A</v>
      </c>
      <c r="CR494" s="4" t="e">
        <f t="shared" ref="CR494" ca="1" si="8975">MATCH(1,OFFSET(CQ491:CQ502,CS493,0,COUNT(CQ491:CQ502)-CS493),0)</f>
        <v>#REF!</v>
      </c>
      <c r="CS494" s="4" t="e">
        <f t="shared" ca="1" si="8931"/>
        <v>#REF!</v>
      </c>
      <c r="CT494" s="692" t="str">
        <f ca="1">IFERROR(VLOOKUP(INDEX(CP491:CP502,CS494),STM,2,FALSE),"----")</f>
        <v>----</v>
      </c>
      <c r="CU494" s="691" t="e">
        <f t="shared" ca="1" si="8932"/>
        <v>#N/A</v>
      </c>
      <c r="CV494" s="4" t="e">
        <f ca="1">IF(AND(INDEX(ELM,CU494,4)&gt;=$AB491,INDEX(ELM,CU494,5)&gt;=$S491,INDEX(ELM,CU494,6)&gt;=$R491),1,0)</f>
        <v>#N/A</v>
      </c>
      <c r="CW494" s="4" t="e">
        <f t="shared" ref="CW494" ca="1" si="8976">MATCH(1,OFFSET(CV491:CV502,CX493,0,COUNT(CV491:CV502)-CX493),0)</f>
        <v>#REF!</v>
      </c>
      <c r="CX494" s="4" t="e">
        <f t="shared" ca="1" si="8934"/>
        <v>#REF!</v>
      </c>
      <c r="CY494" s="692" t="str">
        <f ca="1">IFERROR(VLOOKUP(INDEX(CU491:CU502,CX494),ELM,2,FALSE),"----")</f>
        <v>----</v>
      </c>
      <c r="CZ494" s="691" t="e">
        <f t="shared" ca="1" si="8935"/>
        <v>#N/A</v>
      </c>
      <c r="DA494" s="4" t="e">
        <f ca="1">IF(LEFT($J491,7)="Clad Wo",IF(AND(INDEX(SPPWS,CZ494,4)&gt;=$AB491,INDEX(SPPWS,CZ494,5)&gt;=$S491,INDEX(SPPWS,CZ494,6)&gt;=$R491),1,0),IF(AND(INDEX(SPM,CZ494,4)&gt;=$AB491,INDEX(SPM,CZ494,5)&gt;=$S491,INDEX(SPM,CZ494,6)&gt;=$R491),1,0))</f>
        <v>#N/A</v>
      </c>
      <c r="DB494" s="4" t="e">
        <f t="shared" ref="DB494" ca="1" si="8977">MATCH(1,OFFSET(DA491:DA502,DC493,0,COUNT(DA491:DA502)-DC493),0)</f>
        <v>#REF!</v>
      </c>
      <c r="DC494" s="4" t="e">
        <f t="shared" ca="1" si="8937"/>
        <v>#REF!</v>
      </c>
      <c r="DD494" s="693" t="str">
        <f ca="1">IF(LEFT($J491,7)="Clad Wo",IFERROR(VLOOKUP(INDEX(CZ491:CZ502,DC494),SPPWS,2,FALSE),"----"),IFERROR(VLOOKUP(INDEX(CZ491:CZ502,DC494),SPM,2,FALSE),"----"))</f>
        <v>----</v>
      </c>
      <c r="DE494" s="691" t="e">
        <f t="shared" ca="1" si="8938"/>
        <v>#REF!</v>
      </c>
      <c r="DF494" s="4" t="e" cm="1">
        <f t="array" aca="1" ref="DF494" ca="1">IF(AND(INDEX(INDIRECT(BY491),DE494,4)&gt;=$AB497,INDEX(INDIRECT(BY491),DE494,5)&gt;=$S491,INDEX(INDIRECT(BY491),DE494,6)&gt;=$R491),1,0)</f>
        <v>#REF!</v>
      </c>
      <c r="DG494" s="4" t="e">
        <f t="shared" ref="DG494" ca="1" si="8978">MATCH(1,OFFSET(DF491:DF502,DH493,0,COUNT(DF491:DF502)-DH493),0)</f>
        <v>#REF!</v>
      </c>
      <c r="DH494" s="4" t="e">
        <f t="shared" ca="1" si="8940"/>
        <v>#REF!</v>
      </c>
      <c r="DI494" s="692" t="str" cm="1">
        <f t="array" aca="1" ref="DI494" ca="1">IFERROR(VLOOKUP(INDEX(DE491:DE502,DH494),INDIRECT(BY491),2,FALSE),"----")</f>
        <v>----</v>
      </c>
      <c r="DJ494" s="691" t="e">
        <f t="shared" ca="1" si="8941"/>
        <v>#N/A</v>
      </c>
      <c r="DK494" s="4" t="e">
        <f ca="1">IF(AND(INDEX(SSM,DJ494,4)&gt;=$AB497,INDEX(SSM,DJ494,5)&gt;=$S491,INDEX(SSM,DJ494,6)&gt;=$R491),1,0)</f>
        <v>#N/A</v>
      </c>
      <c r="DL494" s="4" t="e">
        <f t="shared" ref="DL494" ca="1" si="8979">MATCH(1,OFFSET(DK491:DK502,DM493,0,COUNT(DK491:DK502)-DM493),0)</f>
        <v>#REF!</v>
      </c>
      <c r="DM494" s="4" t="e">
        <f t="shared" ca="1" si="8943"/>
        <v>#REF!</v>
      </c>
      <c r="DN494" s="692" t="str">
        <f ca="1">IFERROR(IF(AD498="Nested Steel Stud (wood infill)",VLOOKUP(INDEX(DJ491:DJ502,DM494),SSW,2,FALSE),VLOOKUP(INDEX(DJ491:DJ502,DM494),SSM,2,FALSE)),"----")</f>
        <v>----</v>
      </c>
      <c r="DO494" s="691" t="e">
        <f t="shared" ca="1" si="8944"/>
        <v>#N/A</v>
      </c>
      <c r="DP494" s="4" t="e">
        <f ca="1">IF(AND(INDEX(WSM,DO494,4)&gt;=$AB497,INDEX(WSM,DO494,5)&gt;=$S491,INDEX(WSM,DO494,6)&gt;=$R491),1,0)</f>
        <v>#N/A</v>
      </c>
      <c r="DQ494" s="4" t="e">
        <f t="shared" ref="DQ494" ca="1" si="8980">MATCH(1,OFFSET(DP491:DP502,DR493,0,COUNT(DP491:DP502)-DR493),0)</f>
        <v>#REF!</v>
      </c>
      <c r="DR494" s="4" t="e">
        <f t="shared" ca="1" si="8946"/>
        <v>#REF!</v>
      </c>
      <c r="DS494" s="692" t="str">
        <f ca="1">IFERROR(VLOOKUP(INDEX(DO491:DO502,DR494),WSM,2,FALSE),"----")</f>
        <v>----</v>
      </c>
      <c r="DT494" s="691" t="e">
        <f t="shared" ca="1" si="8947"/>
        <v>#N/A</v>
      </c>
      <c r="DU494" s="4" t="e">
        <f ca="1">IF(AND(INDEX(STM,DT494,4)&gt;=$AB497,INDEX(STM,DT494,5)&gt;=$S491,INDEX(STM,DT494,6)&gt;=$R491),1,0)</f>
        <v>#N/A</v>
      </c>
      <c r="DV494" s="4" t="e">
        <f t="shared" ref="DV494" ca="1" si="8981">MATCH(1,OFFSET(DU491:DU502,DW493,0,COUNT(DU491:DU502)-DW493),0)</f>
        <v>#REF!</v>
      </c>
      <c r="DW494" s="4" t="e">
        <f t="shared" ca="1" si="8949"/>
        <v>#REF!</v>
      </c>
      <c r="DX494" s="692" t="str">
        <f ca="1">IFERROR(VLOOKUP(INDEX(DT491:DT502,DW494),STM,2,FALSE),"----")</f>
        <v>----</v>
      </c>
      <c r="DY494" s="691" t="e">
        <f t="shared" ca="1" si="8950"/>
        <v>#N/A</v>
      </c>
      <c r="DZ494" s="4" t="e">
        <f ca="1">IF(AND(INDEX(ELM,DY494,4)&gt;=$AB497,INDEX(ELM,DY494,5)&gt;=$S491,INDEX(ELM,DY494,6)&gt;=$R491),1,0)</f>
        <v>#N/A</v>
      </c>
      <c r="EA494" s="4" t="e">
        <f t="shared" ref="EA494" ca="1" si="8982">MATCH(1,OFFSET(DZ491:DZ502,EB493,0,COUNT(DZ491:DZ502)-EB493),0)</f>
        <v>#REF!</v>
      </c>
      <c r="EB494" s="4" t="e">
        <f t="shared" ca="1" si="8952"/>
        <v>#REF!</v>
      </c>
      <c r="EC494" s="692" t="str">
        <f ca="1">IFERROR(VLOOKUP(INDEX(DY491:DY502,EB494),ELM,2,FALSE),"----")</f>
        <v>----</v>
      </c>
      <c r="ED494" s="691" t="e">
        <f t="shared" ca="1" si="8953"/>
        <v>#N/A</v>
      </c>
      <c r="EE494" s="4" t="e">
        <f ca="1">IF(LEFT($J491,7)="Clad Wo",IF(AND(INDEX(SPPWS,ED494,4)&gt;=$AB497,INDEX(SPPWS,ED494,5)&gt;=$S491,INDEX(SPPWS,ED494,6)&gt;=$R491),1,0),IF(AND(INDEX(SPM,ED494,4)&gt;=$AB497,INDEX(SPM,ED494,5)&gt;=$S491,INDEX(SPM,ED494,6)&gt;=$R491),1,0))</f>
        <v>#N/A</v>
      </c>
      <c r="EF494" s="4" t="e">
        <f t="shared" ref="EF494" ca="1" si="8983">MATCH(1,OFFSET(EE491:EE502,EG493,0,COUNT(EE491:EE502)-EG493),0)</f>
        <v>#REF!</v>
      </c>
      <c r="EG494" s="4" t="e">
        <f t="shared" ca="1" si="8955"/>
        <v>#REF!</v>
      </c>
      <c r="EH494" s="692" t="str">
        <f ca="1">IF(LEFT($J491,7)="Clad Wo",IFERROR(VLOOKUP(INDEX(ED491:ED502,EG494),SPPWS,2,FALSE),"----"),IFERROR(VLOOKUP(INDEX(ED491:ED502,EG494),SPM,2,FALSE),"----"))</f>
        <v>----</v>
      </c>
    </row>
    <row r="495" spans="1:138" ht="15" customHeight="1" x14ac:dyDescent="0.25">
      <c r="A495" s="1085"/>
      <c r="B495" s="925"/>
      <c r="C495" s="926"/>
      <c r="D495" s="927"/>
      <c r="E495" s="995"/>
      <c r="F495" s="996"/>
      <c r="G495" s="997"/>
      <c r="H495" s="1062"/>
      <c r="I495" s="990"/>
      <c r="J495" s="910"/>
      <c r="K495" s="911"/>
      <c r="L495" s="1002"/>
      <c r="M495" s="923"/>
      <c r="N495" s="1042"/>
      <c r="O495" s="1018"/>
      <c r="P495" s="987"/>
      <c r="Q495" s="1015"/>
      <c r="R495" s="1012"/>
      <c r="S495" s="1006"/>
      <c r="T495" s="1007"/>
      <c r="U495" s="878"/>
      <c r="V495" s="881"/>
      <c r="W495" s="884"/>
      <c r="X495" s="884"/>
      <c r="Y495" s="887"/>
      <c r="Z495" s="887"/>
      <c r="AA495" s="887"/>
      <c r="AB495" s="1081"/>
      <c r="AC495" s="1078"/>
      <c r="AD495" s="1070" t="s">
        <v>39</v>
      </c>
      <c r="AE495" s="1071"/>
      <c r="AF495" s="1052"/>
      <c r="AG495" s="1053"/>
      <c r="AH495" s="1053"/>
      <c r="AI495" s="1068"/>
      <c r="AJ495" s="1069"/>
      <c r="AK495" s="154" t="str">
        <f t="shared" ca="1" si="8761"/>
        <v/>
      </c>
      <c r="AL495" s="1039"/>
      <c r="AM495" s="344" t="str">
        <f ca="1">IFERROR(Q491/12*ROUND(VLOOKUP(AF495,OFFSET(ELM,0,1),6,FALSE),2),"")</f>
        <v/>
      </c>
      <c r="AN495" t="str">
        <f t="shared" ca="1" si="8785"/>
        <v/>
      </c>
      <c r="AP495" s="122" t="str">
        <f t="shared" ref="AP495" si="8984">_xlfn.CONCAT(AR495,AS496)</f>
        <v/>
      </c>
      <c r="AQ495" s="683" t="str">
        <f t="shared" ref="AQ495:AQ558" si="8985">IFERROR(LEFT(AP495,LEN(AP495)-1),"")</f>
        <v/>
      </c>
      <c r="AR495" s="4" t="str">
        <f t="shared" si="8745"/>
        <v/>
      </c>
      <c r="AS495" s="4"/>
      <c r="AT495" s="697" t="str">
        <f>AL491</f>
        <v/>
      </c>
      <c r="AU495" s="694" t="e">
        <f t="shared" ca="1" si="7724"/>
        <v>#REF!</v>
      </c>
      <c r="AV495" s="698" t="str">
        <f ca="1">IFERROR(VLOOKUP(AU495,INDIRECT(AQ491),2,FALSE),"----")</f>
        <v>----</v>
      </c>
      <c r="AW495" s="694" t="e">
        <f t="shared" ca="1" si="7725"/>
        <v>#REF!</v>
      </c>
      <c r="AX495" s="698" t="str">
        <f ca="1">IFERROR(VLOOKUP(AW495,INDIRECT(AQ492),2,FALSE),"----")</f>
        <v>----</v>
      </c>
      <c r="AY495" s="694" t="e">
        <f t="shared" ref="AY495" ca="1" si="8986">AY494-1</f>
        <v>#REF!</v>
      </c>
      <c r="AZ495" s="698" t="str">
        <f ca="1">IFERROR(VLOOKUP(AY495,INDIRECT(AQ493),2,FALSE),"----")</f>
        <v>----</v>
      </c>
      <c r="BA495" s="694" t="e">
        <f t="shared" ref="BA495" ca="1" si="8987">BA494-1</f>
        <v>#REF!</v>
      </c>
      <c r="BB495" s="698" t="str">
        <f ca="1">IFERROR(VLOOKUP(BA495,INDIRECT(AQ494),2,FALSE),"----")</f>
        <v>----</v>
      </c>
      <c r="BC495" s="694" t="e">
        <f t="shared" ca="1" si="7728"/>
        <v>#REF!</v>
      </c>
      <c r="BD495" s="698" t="str">
        <f ca="1">IFERROR(VLOOKUP(BC495,INDIRECT(AQ495),2,FALSE),"----")</f>
        <v>----</v>
      </c>
      <c r="BE495" s="694" t="e">
        <f t="shared" ca="1" si="7729"/>
        <v>#REF!</v>
      </c>
      <c r="BF495" s="698" t="str">
        <f ca="1">IFERROR(VLOOKUP(BE495,INDIRECT(AQ496),2,FALSE),"----")</f>
        <v>----</v>
      </c>
      <c r="BG495" s="694" t="e">
        <f t="shared" ca="1" si="7730"/>
        <v>#REF!</v>
      </c>
      <c r="BH495" s="686" t="str">
        <f ca="1">IFERROR(VLOOKUP(BG495,INDIRECT(AQ497),2,FALSE),"----")</f>
        <v>----</v>
      </c>
      <c r="BI495" s="694" t="e">
        <f t="shared" ca="1" si="7731"/>
        <v>#REF!</v>
      </c>
      <c r="BJ495" s="686" t="str">
        <f ca="1">IFERROR(VLOOKUP(BI495,INDIRECT(AQ498),2,FALSE),"----")</f>
        <v>----</v>
      </c>
      <c r="BK495" s="694" t="e">
        <f t="shared" ca="1" si="7732"/>
        <v>#REF!</v>
      </c>
      <c r="BL495" s="686" t="str">
        <f ca="1">IFERROR(VLOOKUP(BK495,INDIRECT(AQ499),2,FALSE),"----")</f>
        <v>----</v>
      </c>
      <c r="BM495" s="694" t="e">
        <f t="shared" ca="1" si="7733"/>
        <v>#REF!</v>
      </c>
      <c r="BN495" s="686" t="str">
        <f ca="1">IFERROR(VLOOKUP(BM495,INDIRECT(AQ500),2,FALSE),"----")</f>
        <v>----</v>
      </c>
      <c r="BO495" s="694" t="e">
        <f t="shared" ca="1" si="7734"/>
        <v>#REF!</v>
      </c>
      <c r="BP495" s="686" t="str">
        <f ca="1">IFERROR(VLOOKUP(BO495,INDIRECT(AQ501),2,FALSE),"----")</f>
        <v>----</v>
      </c>
      <c r="BQ495" s="694" t="e">
        <f t="shared" ca="1" si="7735"/>
        <v>#REF!</v>
      </c>
      <c r="BR495" s="686" t="str">
        <f ca="1">IFERROR(VLOOKUP(BQ495,INDIRECT(AQ502),2,FALSE),"----")</f>
        <v>----</v>
      </c>
      <c r="BS495" s="695">
        <f>IF(AI495="",1,IF(COUNTIF(BD491:BD502,AI495)=0,2,1))</f>
        <v>1</v>
      </c>
      <c r="BT495" s="696">
        <f>IF(AF495="",1,IF(BD491=".",2,1))</f>
        <v>1</v>
      </c>
      <c r="BU495" s="706"/>
      <c r="BV495" s="155">
        <f ca="1">IF(COUNTIF(CY491:CY502,AF495)=0,IF(AF495&lt;&gt;"",0,1),1)</f>
        <v>1</v>
      </c>
      <c r="BW495" s="157">
        <f ca="1">IFERROR(MATCH(AF495,CY491:CY502,0),1)</f>
        <v>1</v>
      </c>
      <c r="BX495" s="769"/>
      <c r="BY495" s="769"/>
      <c r="BZ495" s="1110"/>
      <c r="CA495" s="691" t="e">
        <f t="shared" ca="1" si="8920"/>
        <v>#REF!</v>
      </c>
      <c r="CB495" s="4" t="e" cm="1">
        <f t="array" aca="1" ref="CB495" ca="1">IF(AND(INDEX(INDIRECT(BY491),CA495,4)&gt;=$AB491,INDEX(INDIRECT(BY491),CA495,5)&gt;=$S491,INDEX(INDIRECT(BY491),CA495,6)&gt;=$R491),1,0)</f>
        <v>#REF!</v>
      </c>
      <c r="CC495" s="4" t="e">
        <f t="shared" ref="CC495" ca="1" si="8988">MATCH(1,OFFSET(CB491:CB502,CD494,0,COUNT(CB491:CB502)-CD494),0)</f>
        <v>#REF!</v>
      </c>
      <c r="CD495" s="4" t="e">
        <f t="shared" ca="1" si="8922"/>
        <v>#REF!</v>
      </c>
      <c r="CE495" s="692" t="str" cm="1">
        <f t="array" aca="1" ref="CE495" ca="1">IFERROR(VLOOKUP(INDEX(CA491:CA502,CD495),INDIRECT(BY491),2,FALSE),"----")</f>
        <v>----</v>
      </c>
      <c r="CF495" s="691" t="e">
        <f t="shared" ca="1" si="8923"/>
        <v>#N/A</v>
      </c>
      <c r="CG495" s="4" t="e">
        <f ca="1">IF(AND(INDEX(SSM,CF495,4)&gt;=$AB491,INDEX(SSM,CF495,5)&gt;=$S491,INDEX(SSM,CF495,6)&gt;=$R491),1,0)</f>
        <v>#N/A</v>
      </c>
      <c r="CH495" s="4" t="e">
        <f t="shared" ref="CH495" ca="1" si="8989">MATCH(1,OFFSET(CG491:CG502,CI494,0,COUNT(CG491:CG502)-CI494),0)</f>
        <v>#REF!</v>
      </c>
      <c r="CI495" s="4" t="e">
        <f t="shared" ca="1" si="8925"/>
        <v>#REF!</v>
      </c>
      <c r="CJ495" s="692" t="str">
        <f ca="1">IFERROR(IF(AD492="Nested Steel Stud (wood infill)",VLOOKUP(INDEX(CF491:CF502,CI495),SSW,2,FALSE),VLOOKUP(INDEX(CF491:CF502,CI495),SSM,2,FALSE)),"----")</f>
        <v>----</v>
      </c>
      <c r="CK495" s="691" t="e">
        <f t="shared" ca="1" si="8926"/>
        <v>#N/A</v>
      </c>
      <c r="CL495" s="4" t="e">
        <f ca="1">IF(AND(INDEX(WSM,CK495,4)&gt;=$AB491,INDEX(WSM,CK495,5)&gt;=$S491,INDEX(WSM,CK495,6)&gt;=$R491),1,0)</f>
        <v>#N/A</v>
      </c>
      <c r="CM495" s="4" t="e">
        <f t="shared" ref="CM495" ca="1" si="8990">MATCH(1,OFFSET(CL491:CL502,CN494,0,COUNT(CL491:CL502)-CN494),0)</f>
        <v>#REF!</v>
      </c>
      <c r="CN495" s="4" t="e">
        <f t="shared" ca="1" si="8928"/>
        <v>#REF!</v>
      </c>
      <c r="CO495" s="692" t="str">
        <f ca="1">IFERROR(VLOOKUP(INDEX(CK491:CK502,CN495),WSM,2,FALSE),"----")</f>
        <v>----</v>
      </c>
      <c r="CP495" s="691" t="e">
        <f t="shared" ca="1" si="8929"/>
        <v>#N/A</v>
      </c>
      <c r="CQ495" s="4" t="e">
        <f ca="1">IF(AND(INDEX(STM,CP495,4)&gt;=$AB491,INDEX(STM,CP495,5)&gt;=$S491,INDEX(STM,CP495,6)&gt;=$R491),1,0)</f>
        <v>#N/A</v>
      </c>
      <c r="CR495" s="4" t="e">
        <f t="shared" ref="CR495" ca="1" si="8991">MATCH(1,OFFSET(CQ491:CQ502,CS494,0,COUNT(CQ491:CQ502)-CS494),0)</f>
        <v>#REF!</v>
      </c>
      <c r="CS495" s="4" t="e">
        <f t="shared" ca="1" si="8931"/>
        <v>#REF!</v>
      </c>
      <c r="CT495" s="692" t="str">
        <f ca="1">IFERROR(VLOOKUP(INDEX(CP491:CP502,CS495),STM,2,FALSE),"----")</f>
        <v>----</v>
      </c>
      <c r="CU495" s="691" t="e">
        <f t="shared" ca="1" si="8932"/>
        <v>#N/A</v>
      </c>
      <c r="CV495" s="4" t="e">
        <f ca="1">IF(AND(INDEX(ELM,CU495,4)&gt;=$AB491,INDEX(ELM,CU495,5)&gt;=$S491,INDEX(ELM,CU495,6)&gt;=$R491),1,0)</f>
        <v>#N/A</v>
      </c>
      <c r="CW495" s="4" t="e">
        <f t="shared" ref="CW495" ca="1" si="8992">MATCH(1,OFFSET(CV491:CV502,CX494,0,COUNT(CV491:CV502)-CX494),0)</f>
        <v>#REF!</v>
      </c>
      <c r="CX495" s="4" t="e">
        <f t="shared" ca="1" si="8934"/>
        <v>#REF!</v>
      </c>
      <c r="CY495" s="692" t="str">
        <f ca="1">IFERROR(VLOOKUP(INDEX(CU491:CU502,CX495),ELM,2,FALSE),"----")</f>
        <v>----</v>
      </c>
      <c r="CZ495" s="691" t="e">
        <f t="shared" ca="1" si="8935"/>
        <v>#N/A</v>
      </c>
      <c r="DA495" s="4" t="e">
        <f ca="1">IF(LEFT($J491,7)="Clad Wo",IF(AND(INDEX(SPPWS,CZ495,4)&gt;=$AB491,INDEX(SPPWS,CZ495,5)&gt;=$S491,INDEX(SPPWS,CZ495,6)&gt;=$R491),1,0),IF(AND(INDEX(SPM,CZ495,4)&gt;=$AB491,INDEX(SPM,CZ495,5)&gt;=$S491,INDEX(SPM,CZ495,6)&gt;=$R491),1,0))</f>
        <v>#N/A</v>
      </c>
      <c r="DB495" s="4" t="e">
        <f t="shared" ref="DB495" ca="1" si="8993">MATCH(1,OFFSET(DA491:DA502,DC494,0,COUNT(DA491:DA502)-DC494),0)</f>
        <v>#REF!</v>
      </c>
      <c r="DC495" s="4" t="e">
        <f t="shared" ca="1" si="8937"/>
        <v>#REF!</v>
      </c>
      <c r="DD495" s="693" t="str">
        <f ca="1">IF(LEFT($J491,7)="Clad Wo",IFERROR(VLOOKUP(INDEX(CZ491:CZ502,DC495),SPPWS,2,FALSE),"----"),IFERROR(VLOOKUP(INDEX(CZ491:CZ502,DC495),SPM,2,FALSE),"----"))</f>
        <v>----</v>
      </c>
      <c r="DE495" s="691" t="e">
        <f t="shared" ca="1" si="8938"/>
        <v>#REF!</v>
      </c>
      <c r="DF495" s="4" t="e" cm="1">
        <f t="array" aca="1" ref="DF495" ca="1">IF(AND(INDEX(INDIRECT(BY491),DE495,4)&gt;=$AB497,INDEX(INDIRECT(BY491),DE495,5)&gt;=$S491,INDEX(INDIRECT(BY491),DE495,6)&gt;=$R491),1,0)</f>
        <v>#REF!</v>
      </c>
      <c r="DG495" s="4" t="e">
        <f t="shared" ref="DG495" ca="1" si="8994">MATCH(1,OFFSET(DF491:DF502,DH494,0,COUNT(DF491:DF502)-DH494),0)</f>
        <v>#REF!</v>
      </c>
      <c r="DH495" s="4" t="e">
        <f t="shared" ca="1" si="8940"/>
        <v>#REF!</v>
      </c>
      <c r="DI495" s="692" t="str" cm="1">
        <f t="array" aca="1" ref="DI495" ca="1">IFERROR(VLOOKUP(INDEX(DE491:DE502,DH495),INDIRECT(BY491),2,FALSE),"----")</f>
        <v>----</v>
      </c>
      <c r="DJ495" s="691" t="e">
        <f t="shared" ca="1" si="8941"/>
        <v>#N/A</v>
      </c>
      <c r="DK495" s="4" t="e">
        <f ca="1">IF(AND(INDEX(SSM,DJ495,4)&gt;=$AB497,INDEX(SSM,DJ495,5)&gt;=$S491,INDEX(SSM,DJ495,6)&gt;=$R491),1,0)</f>
        <v>#N/A</v>
      </c>
      <c r="DL495" s="4" t="e">
        <f t="shared" ref="DL495" ca="1" si="8995">MATCH(1,OFFSET(DK491:DK502,DM494,0,COUNT(DK491:DK502)-DM494),0)</f>
        <v>#REF!</v>
      </c>
      <c r="DM495" s="4" t="e">
        <f t="shared" ca="1" si="8943"/>
        <v>#REF!</v>
      </c>
      <c r="DN495" s="692" t="str">
        <f ca="1">IFERROR(IF(AD498="Nested Steel Stud (wood infill)",VLOOKUP(INDEX(DJ491:DJ502,DM495),SSW,2,FALSE),VLOOKUP(INDEX(DJ491:DJ502,DM495),SSM,2,FALSE)),"----")</f>
        <v>----</v>
      </c>
      <c r="DO495" s="691" t="e">
        <f t="shared" ca="1" si="8944"/>
        <v>#N/A</v>
      </c>
      <c r="DP495" s="4" t="e">
        <f ca="1">IF(AND(INDEX(WSM,DO495,4)&gt;=$AB497,INDEX(WSM,DO495,5)&gt;=$S491,INDEX(WSM,DO495,6)&gt;=$R491),1,0)</f>
        <v>#N/A</v>
      </c>
      <c r="DQ495" s="4" t="e">
        <f t="shared" ref="DQ495" ca="1" si="8996">MATCH(1,OFFSET(DP491:DP502,DR494,0,COUNT(DP491:DP502)-DR494),0)</f>
        <v>#REF!</v>
      </c>
      <c r="DR495" s="4" t="e">
        <f t="shared" ca="1" si="8946"/>
        <v>#REF!</v>
      </c>
      <c r="DS495" s="692" t="str">
        <f ca="1">IFERROR(VLOOKUP(INDEX(DO491:DO502,DR495),WSM,2,FALSE),"----")</f>
        <v>----</v>
      </c>
      <c r="DT495" s="691" t="e">
        <f t="shared" ca="1" si="8947"/>
        <v>#N/A</v>
      </c>
      <c r="DU495" s="4" t="e">
        <f ca="1">IF(AND(INDEX(STM,DT495,4)&gt;=$AB497,INDEX(STM,DT495,5)&gt;=$S491,INDEX(STM,DT495,6)&gt;=$R491),1,0)</f>
        <v>#N/A</v>
      </c>
      <c r="DV495" s="4" t="e">
        <f t="shared" ref="DV495" ca="1" si="8997">MATCH(1,OFFSET(DU491:DU502,DW494,0,COUNT(DU491:DU502)-DW494),0)</f>
        <v>#REF!</v>
      </c>
      <c r="DW495" s="4" t="e">
        <f t="shared" ca="1" si="8949"/>
        <v>#REF!</v>
      </c>
      <c r="DX495" s="692" t="str">
        <f ca="1">IFERROR(VLOOKUP(INDEX(DT491:DT502,DW495),STM,2,FALSE),"----")</f>
        <v>----</v>
      </c>
      <c r="DY495" s="691" t="e">
        <f t="shared" ca="1" si="8950"/>
        <v>#N/A</v>
      </c>
      <c r="DZ495" s="4" t="e">
        <f ca="1">IF(AND(INDEX(ELM,DY495,4)&gt;=$AB497,INDEX(ELM,DY495,5)&gt;=$S491,INDEX(ELM,DY495,6)&gt;=$R491),1,0)</f>
        <v>#N/A</v>
      </c>
      <c r="EA495" s="4" t="e">
        <f t="shared" ref="EA495" ca="1" si="8998">MATCH(1,OFFSET(DZ491:DZ502,EB494,0,COUNT(DZ491:DZ502)-EB494),0)</f>
        <v>#REF!</v>
      </c>
      <c r="EB495" s="4" t="e">
        <f t="shared" ca="1" si="8952"/>
        <v>#REF!</v>
      </c>
      <c r="EC495" s="692" t="str">
        <f ca="1">IFERROR(VLOOKUP(INDEX(DY491:DY502,EB495),ELM,2,FALSE),"----")</f>
        <v>----</v>
      </c>
      <c r="ED495" s="691" t="e">
        <f t="shared" ca="1" si="8953"/>
        <v>#N/A</v>
      </c>
      <c r="EE495" s="4" t="e">
        <f ca="1">IF(LEFT($J491,7)="Clad Wo",IF(AND(INDEX(SPPWS,ED495,4)&gt;=$AB497,INDEX(SPPWS,ED495,5)&gt;=$S491,INDEX(SPPWS,ED495,6)&gt;=$R491),1,0),IF(AND(INDEX(SPM,ED495,4)&gt;=$AB497,INDEX(SPM,ED495,5)&gt;=$S491,INDEX(SPM,ED495,6)&gt;=$R491),1,0))</f>
        <v>#N/A</v>
      </c>
      <c r="EF495" s="4" t="e">
        <f t="shared" ref="EF495" ca="1" si="8999">MATCH(1,OFFSET(EE491:EE502,EG494,0,COUNT(EE491:EE502)-EG494),0)</f>
        <v>#REF!</v>
      </c>
      <c r="EG495" s="4" t="e">
        <f t="shared" ca="1" si="8955"/>
        <v>#REF!</v>
      </c>
      <c r="EH495" s="692" t="str">
        <f ca="1">IF(LEFT($J491,7)="Clad Wo",IFERROR(VLOOKUP(INDEX(ED491:ED502,EG495),SPPWS,2,FALSE),"----"),IFERROR(VLOOKUP(INDEX(ED491:ED502,EG495),SPM,2,FALSE),"----"))</f>
        <v>----</v>
      </c>
    </row>
    <row r="496" spans="1:138" ht="15" customHeight="1" thickBot="1" x14ac:dyDescent="0.3">
      <c r="A496" s="1085"/>
      <c r="B496" s="934"/>
      <c r="C496" s="935"/>
      <c r="D496" s="936"/>
      <c r="E496" s="995"/>
      <c r="F496" s="996"/>
      <c r="G496" s="997"/>
      <c r="H496" s="1062"/>
      <c r="I496" s="990"/>
      <c r="J496" s="908"/>
      <c r="K496" s="909"/>
      <c r="L496" s="1010"/>
      <c r="M496" s="924"/>
      <c r="N496" s="1044"/>
      <c r="O496" s="1018"/>
      <c r="P496" s="987"/>
      <c r="Q496" s="1015"/>
      <c r="R496" s="1012"/>
      <c r="S496" s="1006"/>
      <c r="T496" s="1007"/>
      <c r="U496" s="878"/>
      <c r="V496" s="881"/>
      <c r="W496" s="889"/>
      <c r="X496" s="884"/>
      <c r="Y496" s="890"/>
      <c r="Z496" s="890"/>
      <c r="AA496" s="887"/>
      <c r="AB496" s="1084"/>
      <c r="AC496" s="1079"/>
      <c r="AD496" s="1072" t="str">
        <f t="shared" ref="AD496" si="9000">IF(LEFT(J491,7)="Clad Wo","Pella Wood Spr / Steel Pte","Steel Plate")</f>
        <v>Steel Plate</v>
      </c>
      <c r="AE496" s="1073"/>
      <c r="AF496" s="1054"/>
      <c r="AG496" s="1055"/>
      <c r="AH496" s="1055"/>
      <c r="AI496" s="1092"/>
      <c r="AJ496" s="1093"/>
      <c r="AK496" s="159" t="str">
        <f t="shared" ca="1" si="8761"/>
        <v/>
      </c>
      <c r="AL496" s="1040"/>
      <c r="AM496" s="345" t="str">
        <f ca="1">IFERROR(Q491/12*ROUND(VLOOKUP(AF496,OFFSET(SPM,0,1),6,FALSE),2),"")</f>
        <v/>
      </c>
      <c r="AN496" t="str">
        <f t="shared" ca="1" si="8785"/>
        <v/>
      </c>
      <c r="AP496" s="699" t="str">
        <f t="shared" ref="AP496" si="9001">_xlfn.CONCAT(AR496,AS496)</f>
        <v/>
      </c>
      <c r="AQ496" s="700" t="str">
        <f t="shared" si="8985"/>
        <v/>
      </c>
      <c r="AR496" s="160" t="str">
        <f t="shared" si="8745"/>
        <v/>
      </c>
      <c r="AS496" s="160" t="str">
        <f>IFERROR(VLOOKUP(J499, WallType,2,FALSE),"")</f>
        <v/>
      </c>
      <c r="AT496" s="701" t="str">
        <f>AL491</f>
        <v/>
      </c>
      <c r="AU496" s="694" t="e">
        <f t="shared" ref="AU496:AU559" ca="1" si="9002">AU495-1</f>
        <v>#REF!</v>
      </c>
      <c r="AV496" s="698" t="str">
        <f ca="1">IFERROR(VLOOKUP(AU496,INDIRECT(AQ491),2,FALSE),"----")</f>
        <v>----</v>
      </c>
      <c r="AW496" s="702" t="e">
        <f t="shared" ref="AW496:AW559" ca="1" si="9003">AW495-1</f>
        <v>#REF!</v>
      </c>
      <c r="AX496" s="698" t="str">
        <f ca="1">IFERROR(VLOOKUP(AW496,INDIRECT(AQ492),2,FALSE),"----")</f>
        <v>----</v>
      </c>
      <c r="AY496" s="702" t="e">
        <f t="shared" ref="AY496" ca="1" si="9004">AY495-1</f>
        <v>#REF!</v>
      </c>
      <c r="AZ496" s="698" t="str">
        <f ca="1">IFERROR(VLOOKUP(AY496,INDIRECT(AQ493),2,FALSE),"----")</f>
        <v>----</v>
      </c>
      <c r="BA496" s="702" t="e">
        <f t="shared" ref="BA496" ca="1" si="9005">BA495-1</f>
        <v>#REF!</v>
      </c>
      <c r="BB496" s="698" t="str">
        <f ca="1">IFERROR(VLOOKUP(BA496,INDIRECT(AQ494),2,FALSE),"----")</f>
        <v>----</v>
      </c>
      <c r="BC496" s="702" t="e">
        <f t="shared" ref="BC496:BC559" ca="1" si="9006">BC495-1</f>
        <v>#REF!</v>
      </c>
      <c r="BD496" s="698" t="str">
        <f ca="1">IFERROR(VLOOKUP(BC496,INDIRECT(AQ495),2,FALSE),"----")</f>
        <v>----</v>
      </c>
      <c r="BE496" s="702" t="e">
        <f t="shared" ref="BE496:BE559" ca="1" si="9007">BE495-1</f>
        <v>#REF!</v>
      </c>
      <c r="BF496" s="698" t="str">
        <f ca="1">IFERROR(VLOOKUP(BE496,INDIRECT(AQ496),2,FALSE),"----")</f>
        <v>----</v>
      </c>
      <c r="BG496" s="702" t="e">
        <f t="shared" ref="BG496:BG559" ca="1" si="9008">BG495-1</f>
        <v>#REF!</v>
      </c>
      <c r="BH496" s="686" t="str">
        <f ca="1">IFERROR(VLOOKUP(BG496,INDIRECT(AQ497),2,FALSE),"----")</f>
        <v>----</v>
      </c>
      <c r="BI496" s="702" t="e">
        <f t="shared" ref="BI496:BI559" ca="1" si="9009">BI495-1</f>
        <v>#REF!</v>
      </c>
      <c r="BJ496" s="686" t="str">
        <f ca="1">IFERROR(VLOOKUP(BI496,INDIRECT(AQ498),2,FALSE),"----")</f>
        <v>----</v>
      </c>
      <c r="BK496" s="702" t="e">
        <f t="shared" ref="BK496:BK559" ca="1" si="9010">BK495-1</f>
        <v>#REF!</v>
      </c>
      <c r="BL496" s="686" t="str">
        <f ca="1">IFERROR(VLOOKUP(BK496,INDIRECT(AQ499),2,FALSE),"----")</f>
        <v>----</v>
      </c>
      <c r="BM496" s="702" t="e">
        <f t="shared" ref="BM496:BM559" ca="1" si="9011">BM495-1</f>
        <v>#REF!</v>
      </c>
      <c r="BN496" s="686" t="str">
        <f ca="1">IFERROR(VLOOKUP(BM496,INDIRECT(AQ500),2,FALSE),"----")</f>
        <v>----</v>
      </c>
      <c r="BO496" s="702" t="e">
        <f t="shared" ref="BO496:BO559" ca="1" si="9012">BO495-1</f>
        <v>#REF!</v>
      </c>
      <c r="BP496" s="686" t="str">
        <f ca="1">IFERROR(VLOOKUP(BO496,INDIRECT(AQ501),2,FALSE),"----")</f>
        <v>----</v>
      </c>
      <c r="BQ496" s="702" t="e">
        <f t="shared" ref="BQ496:BQ559" ca="1" si="9013">BQ495-1</f>
        <v>#REF!</v>
      </c>
      <c r="BR496" s="686" t="str">
        <f ca="1">IFERROR(VLOOKUP(BQ496,INDIRECT(AQ502),2,FALSE),"----")</f>
        <v>----</v>
      </c>
      <c r="BS496" s="703">
        <f>IF(AI496="",1,IF(COUNTIF(BF491:BF502,AI496)=0,2,1))</f>
        <v>1</v>
      </c>
      <c r="BT496" s="704">
        <f>IF(AF496="",1,IF(BF491=".",2,1))</f>
        <v>1</v>
      </c>
      <c r="BV496" s="155">
        <f ca="1">IF(COUNTIF(DD491:DD502,AF496)=0,IF(AF496&lt;&gt;"",0,1),1)</f>
        <v>1</v>
      </c>
      <c r="BW496" s="157">
        <f ca="1">IFERROR(MATCH(AF496,DD491:DD502,0),1)</f>
        <v>1</v>
      </c>
      <c r="BX496" s="875" t="s">
        <v>1594</v>
      </c>
      <c r="BY496" s="876"/>
      <c r="BZ496" s="1110"/>
      <c r="CA496" s="691" t="e">
        <f t="shared" ca="1" si="8920"/>
        <v>#REF!</v>
      </c>
      <c r="CB496" s="4" t="e" cm="1">
        <f t="array" aca="1" ref="CB496" ca="1">IF(AND(INDEX(INDIRECT(BY491),CA496,4)&gt;=$AB491,INDEX(INDIRECT(BY491),CA496,5)&gt;=$S491,INDEX(INDIRECT(BY491),CA496,6)&gt;=$R491),1,0)</f>
        <v>#REF!</v>
      </c>
      <c r="CC496" s="4" t="e">
        <f t="shared" ref="CC496" ca="1" si="9014">MATCH(1,OFFSET(CB491:CB502,CD495,0,COUNT(CB491:CB502)-CD495),0)</f>
        <v>#REF!</v>
      </c>
      <c r="CD496" s="4" t="e">
        <f t="shared" ca="1" si="8922"/>
        <v>#REF!</v>
      </c>
      <c r="CE496" s="692" t="str" cm="1">
        <f t="array" aca="1" ref="CE496" ca="1">IFERROR(VLOOKUP(INDEX(CA491:CA502,CD496),INDIRECT(BY491),2,FALSE),"----")</f>
        <v>----</v>
      </c>
      <c r="CF496" s="691" t="e">
        <f t="shared" ca="1" si="8923"/>
        <v>#N/A</v>
      </c>
      <c r="CG496" s="4" t="e">
        <f ca="1">IF(AND(INDEX(SSM,CF496,4)&gt;=$AB491,INDEX(SSM,CF496,5)&gt;=$S491,INDEX(SSM,CF496,6)&gt;=$R491),1,0)</f>
        <v>#N/A</v>
      </c>
      <c r="CH496" s="4" t="e">
        <f t="shared" ref="CH496" ca="1" si="9015">MATCH(1,OFFSET(CG491:CG502,CI495,0,COUNT(CG491:CG502)-CI495),0)</f>
        <v>#REF!</v>
      </c>
      <c r="CI496" s="4" t="e">
        <f t="shared" ca="1" si="8925"/>
        <v>#REF!</v>
      </c>
      <c r="CJ496" s="692" t="str">
        <f ca="1">IFERROR(IF(AD492="Nested Steel Stud (wood infill)",VLOOKUP(INDEX(CF491:CF502,CI496),SSW,2,FALSE),VLOOKUP(INDEX(CF491:CF502,CI496),SSM,2,FALSE)),"----")</f>
        <v>----</v>
      </c>
      <c r="CK496" s="691" t="e">
        <f t="shared" ca="1" si="8926"/>
        <v>#N/A</v>
      </c>
      <c r="CL496" s="4" t="e">
        <f ca="1">IF(AND(INDEX(WSM,CK496,4)&gt;=$AB491,INDEX(WSM,CK496,5)&gt;=$S491,INDEX(WSM,CK496,6)&gt;=$R491),1,0)</f>
        <v>#N/A</v>
      </c>
      <c r="CM496" s="4" t="e">
        <f t="shared" ref="CM496" ca="1" si="9016">MATCH(1,OFFSET(CL491:CL502,CN495,0,COUNT(CL491:CL502)-CN495),0)</f>
        <v>#REF!</v>
      </c>
      <c r="CN496" s="4" t="e">
        <f t="shared" ca="1" si="8928"/>
        <v>#REF!</v>
      </c>
      <c r="CO496" s="692" t="str">
        <f ca="1">IFERROR(VLOOKUP(INDEX(CK491:CK502,CN496),WSM,2,FALSE),"----")</f>
        <v>----</v>
      </c>
      <c r="CP496" s="691" t="e">
        <f t="shared" ca="1" si="8929"/>
        <v>#N/A</v>
      </c>
      <c r="CQ496" s="4" t="e">
        <f ca="1">IF(AND(INDEX(STM,CP496,4)&gt;=$AB491,INDEX(STM,CP496,5)&gt;=$S491,INDEX(STM,CP496,6)&gt;=$R491),1,0)</f>
        <v>#N/A</v>
      </c>
      <c r="CR496" s="4" t="e">
        <f t="shared" ref="CR496" ca="1" si="9017">MATCH(1,OFFSET(CQ491:CQ502,CS495,0,COUNT(CQ491:CQ502)-CS495),0)</f>
        <v>#REF!</v>
      </c>
      <c r="CS496" s="4" t="e">
        <f t="shared" ca="1" si="8931"/>
        <v>#REF!</v>
      </c>
      <c r="CT496" s="692" t="str">
        <f ca="1">IFERROR(VLOOKUP(INDEX(CP491:CP502,CS496),STM,2,FALSE),"----")</f>
        <v>----</v>
      </c>
      <c r="CU496" s="691" t="e">
        <f t="shared" ca="1" si="8932"/>
        <v>#N/A</v>
      </c>
      <c r="CV496" s="4" t="e">
        <f ca="1">IF(AND(INDEX(ELM,CU496,4)&gt;=$AB491,INDEX(ELM,CU496,5)&gt;=$S491,INDEX(ELM,CU496,6)&gt;=$R491),1,0)</f>
        <v>#N/A</v>
      </c>
      <c r="CW496" s="4" t="e">
        <f t="shared" ref="CW496" ca="1" si="9018">MATCH(1,OFFSET(CV491:CV502,CX495,0,COUNT(CV491:CV502)-CX495),0)</f>
        <v>#REF!</v>
      </c>
      <c r="CX496" s="4" t="e">
        <f t="shared" ca="1" si="8934"/>
        <v>#REF!</v>
      </c>
      <c r="CY496" s="692" t="str">
        <f ca="1">IFERROR(VLOOKUP(INDEX(CU491:CU502,CX496),ELM,2,FALSE),"----")</f>
        <v>----</v>
      </c>
      <c r="CZ496" s="691" t="e">
        <f t="shared" ca="1" si="8935"/>
        <v>#N/A</v>
      </c>
      <c r="DA496" s="4" t="e">
        <f ca="1">IF(LEFT($J491,7)="Clad Wo",IF(AND(INDEX(SPPWS,CZ496,4)&gt;=$AB491,INDEX(SPPWS,CZ496,5)&gt;=$S491,INDEX(SPPWS,CZ496,6)&gt;=$R491),1,0),IF(AND(INDEX(SPM,CZ496,4)&gt;=$AB491,INDEX(SPM,CZ496,5)&gt;=$S491,INDEX(SPM,CZ496,6)&gt;=$R491),1,0))</f>
        <v>#N/A</v>
      </c>
      <c r="DB496" s="4" t="e">
        <f t="shared" ref="DB496" ca="1" si="9019">MATCH(1,OFFSET(DA491:DA502,DC495,0,COUNT(DA491:DA502)-DC495),0)</f>
        <v>#REF!</v>
      </c>
      <c r="DC496" s="4" t="e">
        <f t="shared" ca="1" si="8937"/>
        <v>#REF!</v>
      </c>
      <c r="DD496" s="693" t="str">
        <f ca="1">IF(LEFT($J491,7)="Clad Wo",IFERROR(VLOOKUP(INDEX(CZ491:CZ502,DC496),SPPWS,2,FALSE),"----"),IFERROR(VLOOKUP(INDEX(CZ491:CZ502,DC496),SPM,2,FALSE),"----"))</f>
        <v>----</v>
      </c>
      <c r="DE496" s="691" t="e">
        <f t="shared" ca="1" si="8938"/>
        <v>#REF!</v>
      </c>
      <c r="DF496" s="4" t="e" cm="1">
        <f t="array" aca="1" ref="DF496" ca="1">IF(AND(INDEX(INDIRECT(BY491),DE496,4)&gt;=$AB497,INDEX(INDIRECT(BY491),DE496,5)&gt;=$S491,INDEX(INDIRECT(BY491),DE496,6)&gt;=$R491),1,0)</f>
        <v>#REF!</v>
      </c>
      <c r="DG496" s="4" t="e">
        <f t="shared" ref="DG496" ca="1" si="9020">MATCH(1,OFFSET(DF491:DF502,DH495,0,COUNT(DF491:DF502)-DH495),0)</f>
        <v>#REF!</v>
      </c>
      <c r="DH496" s="4" t="e">
        <f t="shared" ca="1" si="8940"/>
        <v>#REF!</v>
      </c>
      <c r="DI496" s="692" t="str" cm="1">
        <f t="array" aca="1" ref="DI496" ca="1">IFERROR(VLOOKUP(INDEX(DE491:DE502,DH496),INDIRECT(BY491),2,FALSE),"----")</f>
        <v>----</v>
      </c>
      <c r="DJ496" s="691" t="e">
        <f t="shared" ca="1" si="8941"/>
        <v>#N/A</v>
      </c>
      <c r="DK496" s="4" t="e">
        <f ca="1">IF(AND(INDEX(SSM,DJ496,4)&gt;=$AB497,INDEX(SSM,DJ496,5)&gt;=$S491,INDEX(SSM,DJ496,6)&gt;=$R491),1,0)</f>
        <v>#N/A</v>
      </c>
      <c r="DL496" s="4" t="e">
        <f t="shared" ref="DL496" ca="1" si="9021">MATCH(1,OFFSET(DK491:DK502,DM495,0,COUNT(DK491:DK502)-DM495),0)</f>
        <v>#REF!</v>
      </c>
      <c r="DM496" s="4" t="e">
        <f t="shared" ca="1" si="8943"/>
        <v>#REF!</v>
      </c>
      <c r="DN496" s="692" t="str">
        <f ca="1">IFERROR(IF(AD498="Nested Steel Stud (wood infill)",VLOOKUP(INDEX(DJ491:DJ502,DM496),SSW,2,FALSE),VLOOKUP(INDEX(DJ491:DJ502,DM496),SSM,2,FALSE)),"----")</f>
        <v>----</v>
      </c>
      <c r="DO496" s="691" t="e">
        <f t="shared" ca="1" si="8944"/>
        <v>#N/A</v>
      </c>
      <c r="DP496" s="4" t="e">
        <f ca="1">IF(AND(INDEX(WSM,DO496,4)&gt;=$AB497,INDEX(WSM,DO496,5)&gt;=$S491,INDEX(WSM,DO496,6)&gt;=$R491),1,0)</f>
        <v>#N/A</v>
      </c>
      <c r="DQ496" s="4" t="e">
        <f t="shared" ref="DQ496" ca="1" si="9022">MATCH(1,OFFSET(DP491:DP502,DR495,0,COUNT(DP491:DP502)-DR495),0)</f>
        <v>#REF!</v>
      </c>
      <c r="DR496" s="4" t="e">
        <f t="shared" ca="1" si="8946"/>
        <v>#REF!</v>
      </c>
      <c r="DS496" s="692" t="str">
        <f ca="1">IFERROR(VLOOKUP(INDEX(DO491:DO502,DR496),WSM,2,FALSE),"----")</f>
        <v>----</v>
      </c>
      <c r="DT496" s="691" t="e">
        <f t="shared" ca="1" si="8947"/>
        <v>#N/A</v>
      </c>
      <c r="DU496" s="4" t="e">
        <f ca="1">IF(AND(INDEX(STM,DT496,4)&gt;=$AB497,INDEX(STM,DT496,5)&gt;=$S491,INDEX(STM,DT496,6)&gt;=$R491),1,0)</f>
        <v>#N/A</v>
      </c>
      <c r="DV496" s="4" t="e">
        <f t="shared" ref="DV496" ca="1" si="9023">MATCH(1,OFFSET(DU491:DU502,DW495,0,COUNT(DU491:DU502)-DW495),0)</f>
        <v>#REF!</v>
      </c>
      <c r="DW496" s="4" t="e">
        <f t="shared" ca="1" si="8949"/>
        <v>#REF!</v>
      </c>
      <c r="DX496" s="692" t="str">
        <f ca="1">IFERROR(VLOOKUP(INDEX(DT491:DT502,DW496),STM,2,FALSE),"----")</f>
        <v>----</v>
      </c>
      <c r="DY496" s="691" t="e">
        <f t="shared" ca="1" si="8950"/>
        <v>#N/A</v>
      </c>
      <c r="DZ496" s="4" t="e">
        <f ca="1">IF(AND(INDEX(ELM,DY496,4)&gt;=$AB497,INDEX(ELM,DY496,5)&gt;=$S491,INDEX(ELM,DY496,6)&gt;=$R491),1,0)</f>
        <v>#N/A</v>
      </c>
      <c r="EA496" s="4" t="e">
        <f t="shared" ref="EA496" ca="1" si="9024">MATCH(1,OFFSET(DZ491:DZ502,EB495,0,COUNT(DZ491:DZ502)-EB495),0)</f>
        <v>#REF!</v>
      </c>
      <c r="EB496" s="4" t="e">
        <f t="shared" ca="1" si="8952"/>
        <v>#REF!</v>
      </c>
      <c r="EC496" s="692" t="str">
        <f ca="1">IFERROR(VLOOKUP(INDEX(DY491:DY502,EB496),ELM,2,FALSE),"----")</f>
        <v>----</v>
      </c>
      <c r="ED496" s="691" t="e">
        <f t="shared" ca="1" si="8953"/>
        <v>#N/A</v>
      </c>
      <c r="EE496" s="4" t="e">
        <f ca="1">IF(LEFT($J491,7)="Clad Wo",IF(AND(INDEX(SPPWS,ED496,4)&gt;=$AB497,INDEX(SPPWS,ED496,5)&gt;=$S491,INDEX(SPPWS,ED496,6)&gt;=$R491),1,0),IF(AND(INDEX(SPM,ED496,4)&gt;=$AB497,INDEX(SPM,ED496,5)&gt;=$S491,INDEX(SPM,ED496,6)&gt;=$R491),1,0))</f>
        <v>#N/A</v>
      </c>
      <c r="EF496" s="4" t="e">
        <f t="shared" ref="EF496" ca="1" si="9025">MATCH(1,OFFSET(EE491:EE502,EG495,0,COUNT(EE491:EE502)-EG495),0)</f>
        <v>#REF!</v>
      </c>
      <c r="EG496" s="4" t="e">
        <f t="shared" ca="1" si="8955"/>
        <v>#REF!</v>
      </c>
      <c r="EH496" s="692" t="str">
        <f ca="1">IF(LEFT($J491,7)="Clad Wo",IFERROR(VLOOKUP(INDEX(ED491:ED502,EG496),SPPWS,2,FALSE),"----"),IFERROR(VLOOKUP(INDEX(ED491:ED502,EG496),SPM,2,FALSE),"----"))</f>
        <v>----</v>
      </c>
    </row>
    <row r="497" spans="1:138" ht="15" customHeight="1" x14ac:dyDescent="0.25">
      <c r="A497" s="1085"/>
      <c r="B497" s="925" t="s">
        <v>409</v>
      </c>
      <c r="C497" s="926"/>
      <c r="D497" s="927"/>
      <c r="E497" s="995"/>
      <c r="F497" s="996"/>
      <c r="G497" s="997"/>
      <c r="H497" s="1062"/>
      <c r="I497" s="990"/>
      <c r="J497" s="908"/>
      <c r="K497" s="909"/>
      <c r="L497" s="1001">
        <f>L491+1</f>
        <v>5</v>
      </c>
      <c r="M497" s="1064" t="str">
        <f t="shared" ref="M497" si="9026">IFERROR(IF($AE$17="",IF($AG$19="Wind Loading",MIN($V$31,IF(E$11="ASCE 7-05",$U$26,$V$7)*$V$9*(IF($E$12&lt;60,0.156*LN(MAX(MIN(500,O491),10)) -1.7618,IF($E$11="ASCE 7-22", 0.2026*LN(MAX(MIN(500,O491),20))-2.2638,0.2503*LN(MAX(MIN(500,O491),20)) -2.5526))-$V$8)),$V$7*IF(E$12&lt;60,$V$13*($V$15*(0.156*LN(MAX(MIN(500,O491),10)) -1.7618)-$V$16),$V$13*$V$15*((0.2026*LN(MAX(MIN(500,O491),20))-2.2638)-$V$16))),-ABS($AE$17)),"")</f>
        <v/>
      </c>
      <c r="N497" s="1041" t="str">
        <f t="shared" ref="N497" si="9027">IFERROR(IF($AE$19="",IF($AG$19="Wind Loading",MAX($U$31,IF(E$11="ASCE 7-05",$U$26,$V$7)*$V$9*((IF($E$12&lt;60,-0.077*LN(MAX(MIN(500,O491),10))+1.1737,IF($E$11="ASCE 7-22",-0.077*LN(MAX(MIN(500,O491),20))+1.0798,-0.093*LN(MAX(MIN(500,O491),20))+1.1776)))+$V$8)),$V$7*IF(E$12&lt;60,$V$13*($V$15*(-0.077*LN(MAX(MIN(500,O491),10))+1.1737)-$V$17),$V$13*$V$15*((-0.077*LN(MAX(MIN(500,O491),20))+1.0798)-$V$17))),ABS($AE$19)),"")</f>
        <v/>
      </c>
      <c r="O497" s="1018"/>
      <c r="P497" s="987"/>
      <c r="Q497" s="1015"/>
      <c r="R497" s="1012">
        <f>P497*Q497/8</f>
        <v>0</v>
      </c>
      <c r="S497" s="1006"/>
      <c r="T497" s="1007"/>
      <c r="U497" s="878"/>
      <c r="V497" s="881"/>
      <c r="W497" s="883" t="e">
        <f t="shared" ref="W497" si="9028">MAX(-M497,N497)*O491</f>
        <v>#VALUE!</v>
      </c>
      <c r="X497" s="884"/>
      <c r="Y497" s="886">
        <f>IFERROR(IF(AG$14="Trapezoidal",BY500,BX500)+IF($E$17="4",(400*E491^3)/(48*X491),0),0)</f>
        <v>0</v>
      </c>
      <c r="Z497" s="886" t="e">
        <f t="shared" ref="Z497" si="9029">+($V491*MAX(-$M497,$N497)*$E491^2)/(144*8)+IF($E$17=4,(400*$E491)/4,0)</f>
        <v>#VALUE!</v>
      </c>
      <c r="AA497" s="887"/>
      <c r="AB497" s="1080" t="str">
        <f t="shared" ref="AB497" ca="1" si="9030">IFERROR(Z497-AA491,"")</f>
        <v/>
      </c>
      <c r="AC497" s="1086" t="str">
        <f t="shared" ref="AC497" ca="1" si="9031">IFERROR(Y497-U491,"")</f>
        <v/>
      </c>
      <c r="AD497" s="1074" t="str">
        <f t="shared" ref="AD497" si="9032">AD491</f>
        <v/>
      </c>
      <c r="AE497" s="1075"/>
      <c r="AF497" s="1056"/>
      <c r="AG497" s="1057"/>
      <c r="AH497" s="1057"/>
      <c r="AI497" s="1088"/>
      <c r="AJ497" s="1089"/>
      <c r="AK497" s="162" t="str">
        <f t="shared" ca="1" si="8761"/>
        <v/>
      </c>
      <c r="AL497" s="1058" t="str">
        <f t="shared" ref="AL497" si="9033">IFERROR(ROUND(SQRT(P491^2+(W497/2+IF($E$17=4,200,0))^2),0),"")</f>
        <v/>
      </c>
      <c r="AM497" s="342" t="s">
        <v>669</v>
      </c>
      <c r="AN497" t="str">
        <f t="shared" ca="1" si="8785"/>
        <v/>
      </c>
      <c r="AP497" s="122" t="str">
        <f t="shared" ref="AP497" si="9034">_xlfn.CONCAT(AR497,AS502)</f>
        <v/>
      </c>
      <c r="AQ497" s="683" t="str">
        <f t="shared" si="8985"/>
        <v/>
      </c>
      <c r="AR497" s="96" t="str">
        <f t="shared" si="8745"/>
        <v/>
      </c>
      <c r="AS497" s="96" t="str">
        <f>IF(COUNTIF(imp_1,AF497)=1,"imp_1",IF(COUNTIF(imp_2,AF497)=1,"imp_2",IF(COUNTIF(imp_3,AF497)=1,"imp_3",IF(COUNTIF(impdoor,AF497)=1,"impdoor",""))))</f>
        <v/>
      </c>
      <c r="AT497" s="684" t="str">
        <f>AL497</f>
        <v/>
      </c>
      <c r="AU497" s="685" t="e">
        <f t="shared" ca="1" si="9002"/>
        <v>#REF!</v>
      </c>
      <c r="AV497" s="686" t="str">
        <f ca="1">IFERROR(VLOOKUP(AU497,INDIRECT(AQ491),2,FALSE),"----")</f>
        <v>----</v>
      </c>
      <c r="AW497" s="685" t="e">
        <f t="shared" ca="1" si="9003"/>
        <v>#REF!</v>
      </c>
      <c r="AX497" s="686" t="str">
        <f ca="1">IFERROR(VLOOKUP(AW497,INDIRECT(AQ492),2,FALSE),"----")</f>
        <v>----</v>
      </c>
      <c r="AY497" s="685" t="e">
        <f t="shared" ca="1" si="8763"/>
        <v>#REF!</v>
      </c>
      <c r="AZ497" s="686" t="str">
        <f ca="1">IFERROR(VLOOKUP(AY497,INDIRECT(AQ493),2,FALSE),"----")</f>
        <v>----</v>
      </c>
      <c r="BA497" s="685" t="e">
        <f t="shared" ca="1" si="8764"/>
        <v>#REF!</v>
      </c>
      <c r="BB497" s="686" t="str">
        <f ca="1">IFERROR(VLOOKUP(BA497,INDIRECT(AQ494),2,FALSE),"----")</f>
        <v>----</v>
      </c>
      <c r="BC497" s="685" t="e">
        <f t="shared" ca="1" si="9006"/>
        <v>#REF!</v>
      </c>
      <c r="BD497" s="686" t="str">
        <f ca="1">IFERROR(VLOOKUP(BC497,INDIRECT(AQ495),2,FALSE),"----")</f>
        <v>----</v>
      </c>
      <c r="BE497" s="685" t="e">
        <f t="shared" ca="1" si="9007"/>
        <v>#REF!</v>
      </c>
      <c r="BF497" s="686" t="str">
        <f ca="1">IFERROR(VLOOKUP(BE497,INDIRECT(AQ496),2,FALSE),"----")</f>
        <v>----</v>
      </c>
      <c r="BG497" s="702" t="e">
        <f t="shared" ca="1" si="9008"/>
        <v>#REF!</v>
      </c>
      <c r="BH497" s="686" t="str">
        <f ca="1">IFERROR(VLOOKUP(BG497,INDIRECT(AQ497),2,FALSE),"----")</f>
        <v>----</v>
      </c>
      <c r="BI497" s="702" t="e">
        <f t="shared" ca="1" si="9009"/>
        <v>#REF!</v>
      </c>
      <c r="BJ497" s="686" t="str">
        <f ca="1">IFERROR(VLOOKUP(BI497,INDIRECT(AQ498),2,FALSE),"----")</f>
        <v>----</v>
      </c>
      <c r="BK497" s="702" t="e">
        <f t="shared" ca="1" si="9010"/>
        <v>#REF!</v>
      </c>
      <c r="BL497" s="686" t="str">
        <f ca="1">IFERROR(VLOOKUP(BK497,INDIRECT(AQ499),2,FALSE),"----")</f>
        <v>----</v>
      </c>
      <c r="BM497" s="702" t="e">
        <f t="shared" ca="1" si="9011"/>
        <v>#REF!</v>
      </c>
      <c r="BN497" s="686" t="str">
        <f ca="1">IFERROR(VLOOKUP(BM497,INDIRECT(AQ500),2,FALSE),"----")</f>
        <v>----</v>
      </c>
      <c r="BO497" s="702" t="e">
        <f t="shared" ca="1" si="9012"/>
        <v>#REF!</v>
      </c>
      <c r="BP497" s="686" t="str">
        <f ca="1">IFERROR(VLOOKUP(BO497,INDIRECT(AQ501),2,FALSE),"----")</f>
        <v>----</v>
      </c>
      <c r="BQ497" s="702" t="e">
        <f t="shared" ca="1" si="9013"/>
        <v>#REF!</v>
      </c>
      <c r="BR497" s="686" t="str">
        <f ca="1">IFERROR(VLOOKUP(BQ497,INDIRECT(AQ502),2,FALSE),"----")</f>
        <v>----</v>
      </c>
      <c r="BS497" s="695">
        <f>IF(AI497="",1,IF(COUNTIF(BH491:BH502,AI497)=0,2,1))</f>
        <v>1</v>
      </c>
      <c r="BT497" s="696">
        <f>IF(AP497="1",1,IF(AF497="",1,IF(BH491=".",2,1)))</f>
        <v>1</v>
      </c>
      <c r="BU497" s="706"/>
      <c r="BV497" s="155">
        <f ca="1">IF(COUNTIF(DI491:DI502,AF497)=0,IF(AF497&lt;&gt;"",0,1),1)</f>
        <v>1</v>
      </c>
      <c r="BW497" s="157">
        <f ca="1">IFERROR(MATCH(AF497,DI491:DI502,0),1)</f>
        <v>1</v>
      </c>
      <c r="BX497" s="769" t="s">
        <v>1593</v>
      </c>
      <c r="BY497" s="769" t="s">
        <v>1629</v>
      </c>
      <c r="BZ497" s="1110"/>
      <c r="CA497" s="691" t="e">
        <f t="shared" ca="1" si="8920"/>
        <v>#REF!</v>
      </c>
      <c r="CB497" s="4" t="e" cm="1">
        <f t="array" aca="1" ref="CB497" ca="1">IF(AND(INDEX(INDIRECT(BY491),CA497,4)&gt;=$AB491,INDEX(INDIRECT(BY491),CA497,5)&gt;=$S491,INDEX(INDIRECT(BY491),CA497,6)&gt;=$R491),1,0)</f>
        <v>#REF!</v>
      </c>
      <c r="CC497" s="4" t="e">
        <f t="shared" ref="CC497" ca="1" si="9035">MATCH(1,OFFSET(CB491:CB502,CD496,0,COUNT(CB491:CB502)-CD496),0)</f>
        <v>#REF!</v>
      </c>
      <c r="CD497" s="4" t="e">
        <f t="shared" ca="1" si="8922"/>
        <v>#REF!</v>
      </c>
      <c r="CE497" s="692" t="str" cm="1">
        <f t="array" aca="1" ref="CE497" ca="1">IFERROR(VLOOKUP(INDEX(CA491:CA502,CD497),INDIRECT(BY491),2,FALSE),"----")</f>
        <v>----</v>
      </c>
      <c r="CF497" s="691" t="e">
        <f t="shared" ca="1" si="8923"/>
        <v>#N/A</v>
      </c>
      <c r="CG497" s="4" t="e">
        <f ca="1">IF(AND(INDEX(SSM,CF497,4)&gt;=$AB491,INDEX(SSM,CF497,5)&gt;=$S491,INDEX(SSM,CF497,6)&gt;=$R491),1,0)</f>
        <v>#N/A</v>
      </c>
      <c r="CH497" s="4" t="e">
        <f t="shared" ref="CH497" ca="1" si="9036">MATCH(1,OFFSET(CG491:CG502,CI496,0,COUNT(CG491:CG502)-CI496),0)</f>
        <v>#REF!</v>
      </c>
      <c r="CI497" s="4" t="e">
        <f t="shared" ca="1" si="8925"/>
        <v>#REF!</v>
      </c>
      <c r="CJ497" s="692" t="str">
        <f ca="1">IFERROR(IF(AD492="Nested Steel Stud (wood infill)",VLOOKUP(INDEX(CF491:CF502,CI497),SSW,2,FALSE),VLOOKUP(INDEX(CF491:CF502,CI497),SSM,2,FALSE)),"----")</f>
        <v>----</v>
      </c>
      <c r="CK497" s="691" t="e">
        <f t="shared" ca="1" si="8926"/>
        <v>#N/A</v>
      </c>
      <c r="CL497" s="4" t="e">
        <f ca="1">IF(AND(INDEX(WSM,CK497,4)&gt;=$AB491,INDEX(WSM,CK497,5)&gt;=$S491,INDEX(WSM,CK497,6)&gt;=$R491),1,0)</f>
        <v>#N/A</v>
      </c>
      <c r="CM497" s="4" t="e">
        <f t="shared" ref="CM497" ca="1" si="9037">MATCH(1,OFFSET(CL491:CL502,CN496,0,COUNT(CL491:CL502)-CN496),0)</f>
        <v>#REF!</v>
      </c>
      <c r="CN497" s="4" t="e">
        <f t="shared" ca="1" si="8928"/>
        <v>#REF!</v>
      </c>
      <c r="CO497" s="692" t="str">
        <f ca="1">IFERROR(VLOOKUP(INDEX(CK491:CK502,CN497),WSM,2,FALSE),"----")</f>
        <v>----</v>
      </c>
      <c r="CP497" s="691" t="e">
        <f t="shared" ca="1" si="8929"/>
        <v>#N/A</v>
      </c>
      <c r="CQ497" s="4" t="e">
        <f ca="1">IF(AND(INDEX(STM,CP497,4)&gt;=$AB491,INDEX(STM,CP497,5)&gt;=$S491,INDEX(STM,CP497,6)&gt;=$R491),1,0)</f>
        <v>#N/A</v>
      </c>
      <c r="CR497" s="4" t="e">
        <f t="shared" ref="CR497" ca="1" si="9038">MATCH(1,OFFSET(CQ491:CQ502,CS496,0,COUNT(CQ491:CQ502)-CS496),0)</f>
        <v>#REF!</v>
      </c>
      <c r="CS497" s="4" t="e">
        <f t="shared" ca="1" si="8931"/>
        <v>#REF!</v>
      </c>
      <c r="CT497" s="692" t="str">
        <f ca="1">IFERROR(VLOOKUP(INDEX(CP491:CP502,CS497),STM,2,FALSE),"----")</f>
        <v>----</v>
      </c>
      <c r="CU497" s="691" t="e">
        <f t="shared" ca="1" si="8932"/>
        <v>#N/A</v>
      </c>
      <c r="CV497" s="4" t="e">
        <f ca="1">IF(AND(INDEX(ELM,CU497,4)&gt;=$AB491,INDEX(ELM,CU497,5)&gt;=$S491,INDEX(ELM,CU497,6)&gt;=$R491),1,0)</f>
        <v>#N/A</v>
      </c>
      <c r="CW497" s="4" t="e">
        <f t="shared" ref="CW497" ca="1" si="9039">MATCH(1,OFFSET(CV491:CV502,CX496,0,COUNT(CV491:CV502)-CX496),0)</f>
        <v>#REF!</v>
      </c>
      <c r="CX497" s="4" t="e">
        <f t="shared" ca="1" si="8934"/>
        <v>#REF!</v>
      </c>
      <c r="CY497" s="692" t="str">
        <f ca="1">IFERROR(VLOOKUP(INDEX(CU491:CU502,CX497),ELM,2,FALSE),"----")</f>
        <v>----</v>
      </c>
      <c r="CZ497" s="691" t="e">
        <f t="shared" ca="1" si="8935"/>
        <v>#N/A</v>
      </c>
      <c r="DA497" s="4" t="e">
        <f ca="1">IF(LEFT($J491,7)="Clad Wo",IF(AND(INDEX(SPPWS,CZ497,4)&gt;=$AB491,INDEX(SPPWS,CZ497,5)&gt;=$S491,INDEX(SPPWS,CZ497,6)&gt;=$R491),1,0),IF(AND(INDEX(SPM,CZ497,4)&gt;=$AB491,INDEX(SPM,CZ497,5)&gt;=$S491,INDEX(SPM,CZ497,6)&gt;=$R491),1,0))</f>
        <v>#N/A</v>
      </c>
      <c r="DB497" s="4" t="e">
        <f t="shared" ref="DB497" ca="1" si="9040">MATCH(1,OFFSET(DA491:DA502,DC496,0,COUNT(DA491:DA502)-DC496),0)</f>
        <v>#REF!</v>
      </c>
      <c r="DC497" s="4" t="e">
        <f t="shared" ca="1" si="8937"/>
        <v>#REF!</v>
      </c>
      <c r="DD497" s="693" t="str">
        <f ca="1">IF(LEFT($J491,7)="Clad Wo",IFERROR(VLOOKUP(INDEX(CZ491:CZ502,DC497),SPPWS,2,FALSE),"----"),IFERROR(VLOOKUP(INDEX(CZ491:CZ502,DC497),SPM,2,FALSE),"----"))</f>
        <v>----</v>
      </c>
      <c r="DE497" s="691" t="e">
        <f t="shared" ca="1" si="8938"/>
        <v>#REF!</v>
      </c>
      <c r="DF497" s="4" t="e" cm="1">
        <f t="array" aca="1" ref="DF497" ca="1">IF(AND(INDEX(INDIRECT(BY491),DE497,4)&gt;=$AB497,INDEX(INDIRECT(BY491),DE497,5)&gt;=$S491,INDEX(INDIRECT(BY491),DE497,6)&gt;=$R491),1,0)</f>
        <v>#REF!</v>
      </c>
      <c r="DG497" s="4" t="e">
        <f t="shared" ref="DG497" ca="1" si="9041">MATCH(1,OFFSET(DF491:DF502,DH496,0,COUNT(DF491:DF502)-DH496),0)</f>
        <v>#REF!</v>
      </c>
      <c r="DH497" s="4" t="e">
        <f t="shared" ca="1" si="8940"/>
        <v>#REF!</v>
      </c>
      <c r="DI497" s="692" t="str" cm="1">
        <f t="array" aca="1" ref="DI497" ca="1">IFERROR(VLOOKUP(INDEX(DE491:DE502,DH497),INDIRECT(BY491),2,FALSE),"----")</f>
        <v>----</v>
      </c>
      <c r="DJ497" s="691" t="e">
        <f t="shared" ca="1" si="8941"/>
        <v>#N/A</v>
      </c>
      <c r="DK497" s="4" t="e">
        <f ca="1">IF(AND(INDEX(SSM,DJ497,4)&gt;=$AB497,INDEX(SSM,DJ497,5)&gt;=$S491,INDEX(SSM,DJ497,6)&gt;=$R491),1,0)</f>
        <v>#N/A</v>
      </c>
      <c r="DL497" s="4" t="e">
        <f t="shared" ref="DL497" ca="1" si="9042">MATCH(1,OFFSET(DK491:DK502,DM496,0,COUNT(DK491:DK502)-DM496),0)</f>
        <v>#REF!</v>
      </c>
      <c r="DM497" s="4" t="e">
        <f t="shared" ca="1" si="8943"/>
        <v>#REF!</v>
      </c>
      <c r="DN497" s="692" t="str">
        <f ca="1">IFERROR(IF(AD498="Nested Steel Stud (wood infill)",VLOOKUP(INDEX(DJ491:DJ502,DM497),SSW,2,FALSE),VLOOKUP(INDEX(DJ491:DJ502,DM497),SSM,2,FALSE)),"----")</f>
        <v>----</v>
      </c>
      <c r="DO497" s="691" t="e">
        <f t="shared" ca="1" si="8944"/>
        <v>#N/A</v>
      </c>
      <c r="DP497" s="4" t="e">
        <f ca="1">IF(AND(INDEX(WSM,DO497,4)&gt;=$AB497,INDEX(WSM,DO497,5)&gt;=$S491,INDEX(WSM,DO497,6)&gt;=$R491),1,0)</f>
        <v>#N/A</v>
      </c>
      <c r="DQ497" s="4" t="e">
        <f t="shared" ref="DQ497" ca="1" si="9043">MATCH(1,OFFSET(DP491:DP502,DR496,0,COUNT(DP491:DP502)-DR496),0)</f>
        <v>#REF!</v>
      </c>
      <c r="DR497" s="4" t="e">
        <f t="shared" ca="1" si="8946"/>
        <v>#REF!</v>
      </c>
      <c r="DS497" s="692" t="str">
        <f ca="1">IFERROR(VLOOKUP(INDEX(DO491:DO502,DR497),WSM,2,FALSE),"----")</f>
        <v>----</v>
      </c>
      <c r="DT497" s="691" t="e">
        <f t="shared" ca="1" si="8947"/>
        <v>#N/A</v>
      </c>
      <c r="DU497" s="4" t="e">
        <f ca="1">IF(AND(INDEX(STM,DT497,4)&gt;=$AB497,INDEX(STM,DT497,5)&gt;=$S491,INDEX(STM,DT497,6)&gt;=$R491),1,0)</f>
        <v>#N/A</v>
      </c>
      <c r="DV497" s="4" t="e">
        <f t="shared" ref="DV497" ca="1" si="9044">MATCH(1,OFFSET(DU491:DU502,DW496,0,COUNT(DU491:DU502)-DW496),0)</f>
        <v>#REF!</v>
      </c>
      <c r="DW497" s="4" t="e">
        <f t="shared" ca="1" si="8949"/>
        <v>#REF!</v>
      </c>
      <c r="DX497" s="692" t="str">
        <f ca="1">IFERROR(VLOOKUP(INDEX(DT491:DT502,DW497),STM,2,FALSE),"----")</f>
        <v>----</v>
      </c>
      <c r="DY497" s="691" t="e">
        <f t="shared" ca="1" si="8950"/>
        <v>#N/A</v>
      </c>
      <c r="DZ497" s="4" t="e">
        <f ca="1">IF(AND(INDEX(ELM,DY497,4)&gt;=$AB497,INDEX(ELM,DY497,5)&gt;=$S491,INDEX(ELM,DY497,6)&gt;=$R491),1,0)</f>
        <v>#N/A</v>
      </c>
      <c r="EA497" s="4" t="e">
        <f t="shared" ref="EA497" ca="1" si="9045">MATCH(1,OFFSET(DZ491:DZ502,EB496,0,COUNT(DZ491:DZ502)-EB496),0)</f>
        <v>#REF!</v>
      </c>
      <c r="EB497" s="4" t="e">
        <f t="shared" ca="1" si="8952"/>
        <v>#REF!</v>
      </c>
      <c r="EC497" s="692" t="str">
        <f ca="1">IFERROR(VLOOKUP(INDEX(DY491:DY502,EB497),ELM,2,FALSE),"----")</f>
        <v>----</v>
      </c>
      <c r="ED497" s="691" t="e">
        <f t="shared" ca="1" si="8953"/>
        <v>#N/A</v>
      </c>
      <c r="EE497" s="4" t="e">
        <f ca="1">IF(LEFT($J491,7)="Clad Wo",IF(AND(INDEX(SPPWS,ED497,4)&gt;=$AB497,INDEX(SPPWS,ED497,5)&gt;=$S491,INDEX(SPPWS,ED497,6)&gt;=$R491),1,0),IF(AND(INDEX(SPM,ED497,4)&gt;=$AB497,INDEX(SPM,ED497,5)&gt;=$S491,INDEX(SPM,ED497,6)&gt;=$R491),1,0))</f>
        <v>#N/A</v>
      </c>
      <c r="EF497" s="4" t="e">
        <f t="shared" ref="EF497" ca="1" si="9046">MATCH(1,OFFSET(EE491:EE502,EG496,0,COUNT(EE491:EE502)-EG496),0)</f>
        <v>#REF!</v>
      </c>
      <c r="EG497" s="4" t="e">
        <f t="shared" ca="1" si="8955"/>
        <v>#REF!</v>
      </c>
      <c r="EH497" s="692" t="str">
        <f ca="1">IF(LEFT($J491,7)="Clad Wo",IFERROR(VLOOKUP(INDEX(ED491:ED502,EG497),SPPWS,2,FALSE),"----"),IFERROR(VLOOKUP(INDEX(ED491:ED502,EG497),SPM,2,FALSE),"----"))</f>
        <v>----</v>
      </c>
    </row>
    <row r="498" spans="1:138" ht="15" customHeight="1" x14ac:dyDescent="0.25">
      <c r="A498" s="1085"/>
      <c r="B498" s="925"/>
      <c r="C498" s="926"/>
      <c r="D498" s="927"/>
      <c r="E498" s="995"/>
      <c r="F498" s="996"/>
      <c r="G498" s="997"/>
      <c r="H498" s="1062"/>
      <c r="I498" s="990"/>
      <c r="J498" s="912"/>
      <c r="K498" s="913"/>
      <c r="L498" s="1002"/>
      <c r="M498" s="923"/>
      <c r="N498" s="1042"/>
      <c r="O498" s="1018"/>
      <c r="P498" s="987"/>
      <c r="Q498" s="1015"/>
      <c r="R498" s="1012"/>
      <c r="S498" s="1006"/>
      <c r="T498" s="1007"/>
      <c r="U498" s="878"/>
      <c r="V498" s="881"/>
      <c r="W498" s="884"/>
      <c r="X498" s="884"/>
      <c r="Y498" s="887"/>
      <c r="Z498" s="887"/>
      <c r="AA498" s="887"/>
      <c r="AB498" s="1081"/>
      <c r="AC498" s="1078"/>
      <c r="AD498" s="1070" t="str">
        <f t="shared" ref="AD498" si="9047">IF(ISBLANK(AD492)=TRUE,"",AD492)</f>
        <v>Nested Steel Stud</v>
      </c>
      <c r="AE498" s="1071"/>
      <c r="AF498" s="1052"/>
      <c r="AG498" s="1053"/>
      <c r="AH498" s="1053"/>
      <c r="AI498" s="1066"/>
      <c r="AJ498" s="1067"/>
      <c r="AK498" s="156" t="str">
        <f t="shared" ca="1" si="8761"/>
        <v/>
      </c>
      <c r="AL498" s="1059"/>
      <c r="AM498" s="343" t="str">
        <f ca="1">IFERROR(Q491/12*ROUND(VLOOKUP(AF498,OFFSET(SSM,0,1),6,FALSE),2),"")</f>
        <v/>
      </c>
      <c r="AN498" t="str">
        <f t="shared" ca="1" si="8785"/>
        <v/>
      </c>
      <c r="AP498" s="122" t="str">
        <f t="shared" ref="AP498" si="9048">_xlfn.CONCAT(AR498,AS502)</f>
        <v/>
      </c>
      <c r="AQ498" s="683" t="str">
        <f t="shared" si="8985"/>
        <v/>
      </c>
      <c r="AR498" s="96" t="str">
        <f t="shared" si="8745"/>
        <v/>
      </c>
      <c r="AS498" s="96" t="str">
        <f>IF(COUNTIF(Vista_1,AF497)=1,"Vista_1",IF(COUNTIF(Vista_2,AF497)=1,"Vista_2",""))</f>
        <v/>
      </c>
      <c r="AT498" s="684" t="str">
        <f>AL497</f>
        <v/>
      </c>
      <c r="AU498" s="694" t="e">
        <f t="shared" ca="1" si="9002"/>
        <v>#REF!</v>
      </c>
      <c r="AV498" s="686" t="str">
        <f ca="1">IFERROR(VLOOKUP(AU498,INDIRECT(AQ491),2,FALSE),"----")</f>
        <v>----</v>
      </c>
      <c r="AW498" s="694" t="e">
        <f t="shared" ca="1" si="9003"/>
        <v>#REF!</v>
      </c>
      <c r="AX498" s="686" t="str">
        <f ca="1">IFERROR(VLOOKUP(AW498,INDIRECT(AQ492),2,FALSE),"----")</f>
        <v>----</v>
      </c>
      <c r="AY498" s="694" t="e">
        <f t="shared" ca="1" si="8763"/>
        <v>#REF!</v>
      </c>
      <c r="AZ498" s="686" t="str">
        <f ca="1">IFERROR(VLOOKUP(AY498,INDIRECT(AQ493),2,FALSE),"----")</f>
        <v>----</v>
      </c>
      <c r="BA498" s="694" t="e">
        <f t="shared" ca="1" si="8764"/>
        <v>#REF!</v>
      </c>
      <c r="BB498" s="686" t="str">
        <f ca="1">IFERROR(VLOOKUP(BA498,INDIRECT(AQ494),2,FALSE),"----")</f>
        <v>----</v>
      </c>
      <c r="BC498" s="694" t="e">
        <f t="shared" ca="1" si="9006"/>
        <v>#REF!</v>
      </c>
      <c r="BD498" s="686" t="str">
        <f ca="1">IFERROR(VLOOKUP(BC498,INDIRECT(AQ495),2,FALSE),"----")</f>
        <v>----</v>
      </c>
      <c r="BE498" s="694" t="e">
        <f t="shared" ca="1" si="9007"/>
        <v>#REF!</v>
      </c>
      <c r="BF498" s="686" t="str">
        <f ca="1">IFERROR(VLOOKUP(BE498,INDIRECT(AQ496),2,FALSE),"----")</f>
        <v>----</v>
      </c>
      <c r="BG498" s="702" t="e">
        <f t="shared" ca="1" si="9008"/>
        <v>#REF!</v>
      </c>
      <c r="BH498" s="686" t="str">
        <f ca="1">IFERROR(VLOOKUP(BG498,INDIRECT(AQ497),2,FALSE),"----")</f>
        <v>----</v>
      </c>
      <c r="BI498" s="702" t="e">
        <f t="shared" ca="1" si="9009"/>
        <v>#REF!</v>
      </c>
      <c r="BJ498" s="686" t="str">
        <f ca="1">IFERROR(VLOOKUP(BI498,INDIRECT(AQ498),2,FALSE),"----")</f>
        <v>----</v>
      </c>
      <c r="BK498" s="702" t="e">
        <f t="shared" ca="1" si="9010"/>
        <v>#REF!</v>
      </c>
      <c r="BL498" s="686" t="str">
        <f ca="1">IFERROR(VLOOKUP(BK498,INDIRECT(AQ499),2,FALSE),"----")</f>
        <v>----</v>
      </c>
      <c r="BM498" s="702" t="e">
        <f t="shared" ca="1" si="9011"/>
        <v>#REF!</v>
      </c>
      <c r="BN498" s="686" t="str">
        <f ca="1">IFERROR(VLOOKUP(BM498,INDIRECT(AQ500),2,FALSE),"----")</f>
        <v>----</v>
      </c>
      <c r="BO498" s="702" t="e">
        <f t="shared" ca="1" si="9012"/>
        <v>#REF!</v>
      </c>
      <c r="BP498" s="686" t="str">
        <f ca="1">IFERROR(VLOOKUP(BO498,INDIRECT(AQ501),2,FALSE),"----")</f>
        <v>----</v>
      </c>
      <c r="BQ498" s="702" t="e">
        <f t="shared" ca="1" si="9013"/>
        <v>#REF!</v>
      </c>
      <c r="BR498" s="686" t="str">
        <f ca="1">IFERROR(VLOOKUP(BQ498,INDIRECT(AQ502),2,FALSE),"----")</f>
        <v>----</v>
      </c>
      <c r="BS498" s="695">
        <f>IF(AI498="",1,IF(COUNTIF(BJ491:BJ502,AI498)=0,2,1))</f>
        <v>1</v>
      </c>
      <c r="BT498" s="696">
        <f>IF(AF498="",1,IF(BJ491=".",2,1))</f>
        <v>1</v>
      </c>
      <c r="BU498" s="706"/>
      <c r="BV498" s="155">
        <f ca="1">IF(COUNTIF(DN491:DN502,AF498)=0,IF(AF498&lt;&gt;"",0,1),1)</f>
        <v>1</v>
      </c>
      <c r="BW498" s="157">
        <f ca="1">IFERROR(MATCH(AF498,DN491:DN502,0),1)</f>
        <v>1</v>
      </c>
      <c r="BX498" s="769">
        <f t="shared" ref="BX498" si="9049">E491*(H491+I491)/144/2</f>
        <v>0</v>
      </c>
      <c r="BY498" s="769">
        <f>SUM(IF(H491&gt;E491,E491^2/4,(H491*E491/2)-(H491^2/4))/144,IF(I491&gt;E491,E491^2/4,(I491*E491/2)-(I491^2/4))/144)</f>
        <v>0</v>
      </c>
      <c r="BZ498" s="1110"/>
      <c r="CA498" s="691" t="e">
        <f t="shared" ca="1" si="8920"/>
        <v>#REF!</v>
      </c>
      <c r="CB498" s="4" t="e" cm="1">
        <f t="array" aca="1" ref="CB498" ca="1">IF(AND(INDEX(INDIRECT(BY491),CA498,4)&gt;=$AB491,INDEX(INDIRECT(BY491),CA498,5)&gt;=$S491,INDEX(INDIRECT(BY491),CA498,6)&gt;=$R491),1,0)</f>
        <v>#REF!</v>
      </c>
      <c r="CC498" s="4" t="e">
        <f t="shared" ref="CC498" ca="1" si="9050">MATCH(1,OFFSET(CB491:CB502,CD497,0,COUNT(CB491:CB502)-CD497),0)</f>
        <v>#REF!</v>
      </c>
      <c r="CD498" s="4" t="e">
        <f t="shared" ca="1" si="8922"/>
        <v>#REF!</v>
      </c>
      <c r="CE498" s="692" t="str" cm="1">
        <f t="array" aca="1" ref="CE498" ca="1">IFERROR(VLOOKUP(INDEX(CA491:CA502,CD498),INDIRECT(BY491),2,FALSE),"----")</f>
        <v>----</v>
      </c>
      <c r="CF498" s="691" t="e">
        <f t="shared" ca="1" si="8923"/>
        <v>#N/A</v>
      </c>
      <c r="CG498" s="4" t="e">
        <f ca="1">IF(AND(INDEX(SSM,CF498,4)&gt;=$AB491,INDEX(SSM,CF498,5)&gt;=$S491,INDEX(SSM,CF498,6)&gt;=$R491),1,0)</f>
        <v>#N/A</v>
      </c>
      <c r="CH498" s="4" t="e">
        <f t="shared" ref="CH498" ca="1" si="9051">MATCH(1,OFFSET(CG491:CG502,CI497,0,COUNT(CG491:CG502)-CI497),0)</f>
        <v>#REF!</v>
      </c>
      <c r="CI498" s="4" t="e">
        <f t="shared" ca="1" si="8925"/>
        <v>#REF!</v>
      </c>
      <c r="CJ498" s="692" t="str">
        <f ca="1">IFERROR(IF(AD492="Nested Steel Stud (wood infill)",VLOOKUP(INDEX(CF491:CF502,CI498),SSW,2,FALSE),VLOOKUP(INDEX(CF491:CF502,CI498),SSM,2,FALSE)),"----")</f>
        <v>----</v>
      </c>
      <c r="CK498" s="691" t="e">
        <f t="shared" ca="1" si="8926"/>
        <v>#N/A</v>
      </c>
      <c r="CL498" s="4" t="e">
        <f ca="1">IF(AND(INDEX(WSM,CK498,4)&gt;=$AB491,INDEX(WSM,CK498,5)&gt;=$S491,INDEX(WSM,CK498,6)&gt;=$R491),1,0)</f>
        <v>#N/A</v>
      </c>
      <c r="CM498" s="4" t="e">
        <f t="shared" ref="CM498" ca="1" si="9052">MATCH(1,OFFSET(CL491:CL502,CN497,0,COUNT(CL491:CL502)-CN497),0)</f>
        <v>#REF!</v>
      </c>
      <c r="CN498" s="4" t="e">
        <f t="shared" ca="1" si="8928"/>
        <v>#REF!</v>
      </c>
      <c r="CO498" s="692" t="str">
        <f ca="1">IFERROR(VLOOKUP(INDEX(CK491:CK502,CN498),WSM,2,FALSE),"----")</f>
        <v>----</v>
      </c>
      <c r="CP498" s="691" t="e">
        <f t="shared" ca="1" si="8929"/>
        <v>#N/A</v>
      </c>
      <c r="CQ498" s="4" t="e">
        <f ca="1">IF(AND(INDEX(STM,CP498,4)&gt;=$AB491,INDEX(STM,CP498,5)&gt;=$S491,INDEX(STM,CP498,6)&gt;=$R491),1,0)</f>
        <v>#N/A</v>
      </c>
      <c r="CR498" s="4" t="e">
        <f t="shared" ref="CR498" ca="1" si="9053">MATCH(1,OFFSET(CQ491:CQ502,CS497,0,COUNT(CQ491:CQ502)-CS497),0)</f>
        <v>#REF!</v>
      </c>
      <c r="CS498" s="4" t="e">
        <f t="shared" ca="1" si="8931"/>
        <v>#REF!</v>
      </c>
      <c r="CT498" s="692" t="str">
        <f ca="1">IFERROR(VLOOKUP(INDEX(CP491:CP502,CS498),STM,2,FALSE),"----")</f>
        <v>----</v>
      </c>
      <c r="CU498" s="691" t="e">
        <f t="shared" ca="1" si="8932"/>
        <v>#N/A</v>
      </c>
      <c r="CV498" s="4" t="e">
        <f ca="1">IF(AND(INDEX(ELM,CU498,4)&gt;=$AB491,INDEX(ELM,CU498,5)&gt;=$S491,INDEX(ELM,CU498,6)&gt;=$R491),1,0)</f>
        <v>#N/A</v>
      </c>
      <c r="CW498" s="4" t="e">
        <f t="shared" ref="CW498" ca="1" si="9054">MATCH(1,OFFSET(CV491:CV502,CX497,0,COUNT(CV491:CV502)-CX497),0)</f>
        <v>#REF!</v>
      </c>
      <c r="CX498" s="4" t="e">
        <f t="shared" ca="1" si="8934"/>
        <v>#REF!</v>
      </c>
      <c r="CY498" s="692" t="str">
        <f ca="1">IFERROR(VLOOKUP(INDEX(CU491:CU502,CX498),ELM,2,FALSE),"----")</f>
        <v>----</v>
      </c>
      <c r="CZ498" s="691" t="e">
        <f t="shared" ca="1" si="8935"/>
        <v>#N/A</v>
      </c>
      <c r="DA498" s="4" t="e">
        <f ca="1">IF(LEFT($J491,7)="Clad Wo",IF(AND(INDEX(SPPWS,CZ498,4)&gt;=$AB491,INDEX(SPPWS,CZ498,5)&gt;=$S491,INDEX(SPPWS,CZ498,6)&gt;=$R491),1,0),IF(AND(INDEX(SPM,CZ498,4)&gt;=$AB491,INDEX(SPM,CZ498,5)&gt;=$S491,INDEX(SPM,CZ498,6)&gt;=$R491),1,0))</f>
        <v>#N/A</v>
      </c>
      <c r="DB498" s="4" t="e">
        <f t="shared" ref="DB498" ca="1" si="9055">MATCH(1,OFFSET(DA491:DA502,DC497,0,COUNT(DA491:DA502)-DC497),0)</f>
        <v>#REF!</v>
      </c>
      <c r="DC498" s="4" t="e">
        <f t="shared" ca="1" si="8937"/>
        <v>#REF!</v>
      </c>
      <c r="DD498" s="693" t="str">
        <f ca="1">IF(LEFT($J491,7)="Clad Wo",IFERROR(VLOOKUP(INDEX(CZ491:CZ502,DC498),SPPWS,2,FALSE),"----"),IFERROR(VLOOKUP(INDEX(CZ491:CZ502,DC498),SPM,2,FALSE),"----"))</f>
        <v>----</v>
      </c>
      <c r="DE498" s="691" t="e">
        <f t="shared" ca="1" si="8938"/>
        <v>#REF!</v>
      </c>
      <c r="DF498" s="4" t="e" cm="1">
        <f t="array" aca="1" ref="DF498" ca="1">IF(AND(INDEX(INDIRECT(BY491),DE498,4)&gt;=$AB497,INDEX(INDIRECT(BY491),DE498,5)&gt;=$S491,INDEX(INDIRECT(BY491),DE498,6)&gt;=$R491),1,0)</f>
        <v>#REF!</v>
      </c>
      <c r="DG498" s="4" t="e">
        <f t="shared" ref="DG498" ca="1" si="9056">MATCH(1,OFFSET(DF491:DF502,DH497,0,COUNT(DF491:DF502)-DH497),0)</f>
        <v>#REF!</v>
      </c>
      <c r="DH498" s="4" t="e">
        <f t="shared" ca="1" si="8940"/>
        <v>#REF!</v>
      </c>
      <c r="DI498" s="692" t="str" cm="1">
        <f t="array" aca="1" ref="DI498" ca="1">IFERROR(VLOOKUP(INDEX(DE491:DE502,DH498),INDIRECT(BY491),2,FALSE),"----")</f>
        <v>----</v>
      </c>
      <c r="DJ498" s="691" t="e">
        <f t="shared" ca="1" si="8941"/>
        <v>#N/A</v>
      </c>
      <c r="DK498" s="4" t="e">
        <f ca="1">IF(AND(INDEX(SSM,DJ498,4)&gt;=$AB497,INDEX(SSM,DJ498,5)&gt;=$S491,INDEX(SSM,DJ498,6)&gt;=$R491),1,0)</f>
        <v>#N/A</v>
      </c>
      <c r="DL498" s="4" t="e">
        <f t="shared" ref="DL498" ca="1" si="9057">MATCH(1,OFFSET(DK491:DK502,DM497,0,COUNT(DK491:DK502)-DM497),0)</f>
        <v>#REF!</v>
      </c>
      <c r="DM498" s="4" t="e">
        <f t="shared" ca="1" si="8943"/>
        <v>#REF!</v>
      </c>
      <c r="DN498" s="692" t="str">
        <f ca="1">IFERROR(IF(AD498="Nested Steel Stud (wood infill)",VLOOKUP(INDEX(DJ491:DJ502,DM498),SSW,2,FALSE),VLOOKUP(INDEX(DJ491:DJ502,DM498),SSM,2,FALSE)),"----")</f>
        <v>----</v>
      </c>
      <c r="DO498" s="691" t="e">
        <f t="shared" ca="1" si="8944"/>
        <v>#N/A</v>
      </c>
      <c r="DP498" s="4" t="e">
        <f ca="1">IF(AND(INDEX(WSM,DO498,4)&gt;=$AB497,INDEX(WSM,DO498,5)&gt;=$S491,INDEX(WSM,DO498,6)&gt;=$R491),1,0)</f>
        <v>#N/A</v>
      </c>
      <c r="DQ498" s="4" t="e">
        <f t="shared" ref="DQ498" ca="1" si="9058">MATCH(1,OFFSET(DP491:DP502,DR497,0,COUNT(DP491:DP502)-DR497),0)</f>
        <v>#REF!</v>
      </c>
      <c r="DR498" s="4" t="e">
        <f t="shared" ca="1" si="8946"/>
        <v>#REF!</v>
      </c>
      <c r="DS498" s="692" t="str">
        <f ca="1">IFERROR(VLOOKUP(INDEX(DO491:DO502,DR498),WSM,2,FALSE),"----")</f>
        <v>----</v>
      </c>
      <c r="DT498" s="691" t="e">
        <f t="shared" ca="1" si="8947"/>
        <v>#N/A</v>
      </c>
      <c r="DU498" s="4" t="e">
        <f ca="1">IF(AND(INDEX(STM,DT498,4)&gt;=$AB497,INDEX(STM,DT498,5)&gt;=$S491,INDEX(STM,DT498,6)&gt;=$R491),1,0)</f>
        <v>#N/A</v>
      </c>
      <c r="DV498" s="4" t="e">
        <f t="shared" ref="DV498" ca="1" si="9059">MATCH(1,OFFSET(DU491:DU502,DW497,0,COUNT(DU491:DU502)-DW497),0)</f>
        <v>#REF!</v>
      </c>
      <c r="DW498" s="4" t="e">
        <f t="shared" ca="1" si="8949"/>
        <v>#REF!</v>
      </c>
      <c r="DX498" s="692" t="str">
        <f ca="1">IFERROR(VLOOKUP(INDEX(DT491:DT502,DW498),STM,2,FALSE),"----")</f>
        <v>----</v>
      </c>
      <c r="DY498" s="691" t="e">
        <f t="shared" ca="1" si="8950"/>
        <v>#N/A</v>
      </c>
      <c r="DZ498" s="4" t="e">
        <f ca="1">IF(AND(INDEX(ELM,DY498,4)&gt;=$AB497,INDEX(ELM,DY498,5)&gt;=$S491,INDEX(ELM,DY498,6)&gt;=$R491),1,0)</f>
        <v>#N/A</v>
      </c>
      <c r="EA498" s="4" t="e">
        <f t="shared" ref="EA498" ca="1" si="9060">MATCH(1,OFFSET(DZ491:DZ502,EB497,0,COUNT(DZ491:DZ502)-EB497),0)</f>
        <v>#REF!</v>
      </c>
      <c r="EB498" s="4" t="e">
        <f t="shared" ca="1" si="8952"/>
        <v>#REF!</v>
      </c>
      <c r="EC498" s="692" t="str">
        <f ca="1">IFERROR(VLOOKUP(INDEX(DY491:DY502,EB498),ELM,2,FALSE),"----")</f>
        <v>----</v>
      </c>
      <c r="ED498" s="691" t="e">
        <f t="shared" ca="1" si="8953"/>
        <v>#N/A</v>
      </c>
      <c r="EE498" s="4" t="e">
        <f ca="1">IF(LEFT($J491,7)="Clad Wo",IF(AND(INDEX(SPPWS,ED498,4)&gt;=$AB497,INDEX(SPPWS,ED498,5)&gt;=$S491,INDEX(SPPWS,ED498,6)&gt;=$R491),1,0),IF(AND(INDEX(SPM,ED498,4)&gt;=$AB497,INDEX(SPM,ED498,5)&gt;=$S491,INDEX(SPM,ED498,6)&gt;=$R491),1,0))</f>
        <v>#N/A</v>
      </c>
      <c r="EF498" s="4" t="e">
        <f t="shared" ref="EF498" ca="1" si="9061">MATCH(1,OFFSET(EE491:EE502,EG497,0,COUNT(EE491:EE502)-EG497),0)</f>
        <v>#REF!</v>
      </c>
      <c r="EG498" s="4" t="e">
        <f t="shared" ca="1" si="8955"/>
        <v>#REF!</v>
      </c>
      <c r="EH498" s="692" t="str">
        <f ca="1">IF(LEFT($J491,7)="Clad Wo",IFERROR(VLOOKUP(INDEX(ED491:ED502,EG498),SPPWS,2,FALSE),"----"),IFERROR(VLOOKUP(INDEX(ED491:ED502,EG498),SPM,2,FALSE),"----"))</f>
        <v>----</v>
      </c>
    </row>
    <row r="499" spans="1:138" ht="15" customHeight="1" x14ac:dyDescent="0.25">
      <c r="A499" s="1085"/>
      <c r="B499" s="925"/>
      <c r="C499" s="926"/>
      <c r="D499" s="927"/>
      <c r="E499" s="995"/>
      <c r="F499" s="996"/>
      <c r="G499" s="997"/>
      <c r="H499" s="1062"/>
      <c r="I499" s="990"/>
      <c r="J499" s="902"/>
      <c r="K499" s="903"/>
      <c r="L499" s="1002"/>
      <c r="M499" s="923"/>
      <c r="N499" s="1042"/>
      <c r="O499" s="1018"/>
      <c r="P499" s="987"/>
      <c r="Q499" s="1015"/>
      <c r="R499" s="1012"/>
      <c r="S499" s="1006"/>
      <c r="T499" s="1007"/>
      <c r="U499" s="878"/>
      <c r="V499" s="881"/>
      <c r="W499" s="884"/>
      <c r="X499" s="884"/>
      <c r="Y499" s="887"/>
      <c r="Z499" s="887"/>
      <c r="AA499" s="887"/>
      <c r="AB499" s="1081"/>
      <c r="AC499" s="1078"/>
      <c r="AD499" s="1070" t="str">
        <f t="shared" si="8814"/>
        <v>Wood Stud Framing</v>
      </c>
      <c r="AE499" s="1071"/>
      <c r="AF499" s="1052"/>
      <c r="AG499" s="1053"/>
      <c r="AH499" s="1053"/>
      <c r="AI499" s="1066"/>
      <c r="AJ499" s="1067"/>
      <c r="AK499" s="156" t="str">
        <f t="shared" ca="1" si="8761"/>
        <v/>
      </c>
      <c r="AL499" s="1059"/>
      <c r="AM499" s="344" t="str">
        <f ca="1">IFERROR(Q491/12*ROUND(VLOOKUP(AF499,OFFSET(WSM,0,1),6,FALSE),2),"")</f>
        <v/>
      </c>
      <c r="AN499" t="str">
        <f t="shared" ca="1" si="8785"/>
        <v/>
      </c>
      <c r="AP499" s="122" t="str">
        <f t="shared" ref="AP499" si="9062">_xlfn.CONCAT(AR499,AS502)</f>
        <v/>
      </c>
      <c r="AQ499" s="683" t="str">
        <f t="shared" si="8985"/>
        <v/>
      </c>
      <c r="AR499" s="4" t="str">
        <f t="shared" si="8745"/>
        <v/>
      </c>
      <c r="AS499" s="4"/>
      <c r="AT499" s="697" t="str">
        <f>AL497</f>
        <v/>
      </c>
      <c r="AU499" s="694" t="e">
        <f t="shared" ca="1" si="9002"/>
        <v>#REF!</v>
      </c>
      <c r="AV499" s="686" t="str">
        <f ca="1">IFERROR(VLOOKUP(AU499,INDIRECT(AQ491),2,FALSE),"----")</f>
        <v>----</v>
      </c>
      <c r="AW499" s="694" t="e">
        <f t="shared" ca="1" si="9003"/>
        <v>#REF!</v>
      </c>
      <c r="AX499" s="686" t="str">
        <f ca="1">IFERROR(VLOOKUP(AW499,INDIRECT(AQ492),2,FALSE),"----")</f>
        <v>----</v>
      </c>
      <c r="AY499" s="694" t="e">
        <f t="shared" ca="1" si="8763"/>
        <v>#REF!</v>
      </c>
      <c r="AZ499" s="686" t="str">
        <f ca="1">IFERROR(VLOOKUP(AY499,INDIRECT(AQ493),2,FALSE),"----")</f>
        <v>----</v>
      </c>
      <c r="BA499" s="694" t="e">
        <f t="shared" ca="1" si="8764"/>
        <v>#REF!</v>
      </c>
      <c r="BB499" s="686" t="str">
        <f ca="1">IFERROR(VLOOKUP(BA499,INDIRECT(AQ494),2,FALSE),"----")</f>
        <v>----</v>
      </c>
      <c r="BC499" s="694" t="e">
        <f t="shared" ca="1" si="9006"/>
        <v>#REF!</v>
      </c>
      <c r="BD499" s="686" t="str">
        <f ca="1">IFERROR(VLOOKUP(BC499,INDIRECT(AQ495),2,FALSE),"----")</f>
        <v>----</v>
      </c>
      <c r="BE499" s="694" t="e">
        <f t="shared" ca="1" si="9007"/>
        <v>#REF!</v>
      </c>
      <c r="BF499" s="686" t="str">
        <f ca="1">IFERROR(VLOOKUP(BE499,INDIRECT(AQ496),2,FALSE),"----")</f>
        <v>----</v>
      </c>
      <c r="BG499" s="702" t="e">
        <f t="shared" ca="1" si="9008"/>
        <v>#REF!</v>
      </c>
      <c r="BH499" s="686" t="str">
        <f ca="1">IFERROR(VLOOKUP(BG499,INDIRECT(AQ497),2,FALSE),"----")</f>
        <v>----</v>
      </c>
      <c r="BI499" s="702" t="e">
        <f t="shared" ca="1" si="9009"/>
        <v>#REF!</v>
      </c>
      <c r="BJ499" s="686" t="str">
        <f ca="1">IFERROR(VLOOKUP(BI499,INDIRECT(AQ498),2,FALSE),"----")</f>
        <v>----</v>
      </c>
      <c r="BK499" s="702" t="e">
        <f t="shared" ca="1" si="9010"/>
        <v>#REF!</v>
      </c>
      <c r="BL499" s="686" t="str">
        <f ca="1">IFERROR(VLOOKUP(BK499,INDIRECT(AQ499),2,FALSE),"----")</f>
        <v>----</v>
      </c>
      <c r="BM499" s="702" t="e">
        <f t="shared" ca="1" si="9011"/>
        <v>#REF!</v>
      </c>
      <c r="BN499" s="686" t="str">
        <f ca="1">IFERROR(VLOOKUP(BM499,INDIRECT(AQ500),2,FALSE),"----")</f>
        <v>----</v>
      </c>
      <c r="BO499" s="702" t="e">
        <f t="shared" ca="1" si="9012"/>
        <v>#REF!</v>
      </c>
      <c r="BP499" s="686" t="str">
        <f ca="1">IFERROR(VLOOKUP(BO499,INDIRECT(AQ501),2,FALSE),"----")</f>
        <v>----</v>
      </c>
      <c r="BQ499" s="702" t="e">
        <f t="shared" ca="1" si="9013"/>
        <v>#REF!</v>
      </c>
      <c r="BR499" s="686" t="str">
        <f ca="1">IFERROR(VLOOKUP(BQ499,INDIRECT(AQ502),2,FALSE),"----")</f>
        <v>----</v>
      </c>
      <c r="BS499" s="695">
        <f>IF(AI499="",1,IF(COUNTIF(BL491:BL502,AI499)=0,2,1))</f>
        <v>1</v>
      </c>
      <c r="BT499" s="696">
        <f>IF(AF499="",1,IF(BL491=".",2,1))</f>
        <v>1</v>
      </c>
      <c r="BU499" s="706"/>
      <c r="BV499" s="155">
        <f ca="1">IF(COUNTIF(DS491:DS502,AF499)=0,IF(AF499&lt;&gt;"",0,1),1)</f>
        <v>1</v>
      </c>
      <c r="BW499" s="157">
        <f ca="1">IFERROR(MATCH(AF499,DS491:DS502,0),1)</f>
        <v>1</v>
      </c>
      <c r="BX499" s="769" t="e">
        <f t="shared" ref="BX499" si="9063">5*E491^3*W491/(384*X491)</f>
        <v>#VALUE!</v>
      </c>
      <c r="BY499" s="769" t="e">
        <f t="shared" ref="BY499" si="9064">W491*E491^3/(60*X491)</f>
        <v>#VALUE!</v>
      </c>
      <c r="BZ499" s="1110"/>
      <c r="CA499" s="691" t="e">
        <f t="shared" ca="1" si="8920"/>
        <v>#REF!</v>
      </c>
      <c r="CB499" s="4" t="e" cm="1">
        <f t="array" aca="1" ref="CB499" ca="1">IF(AND(INDEX(INDIRECT(BY491),CA499,4)&gt;=$AB491,INDEX(INDIRECT(BY491),CA499,5)&gt;=$S491,INDEX(INDIRECT(BY491),CA499,6)&gt;=$R491),1,0)</f>
        <v>#REF!</v>
      </c>
      <c r="CC499" s="4" t="e">
        <f t="shared" ref="CC499" ca="1" si="9065">MATCH(1,OFFSET(CB491:CB502,CD498,0,COUNT(CB491:CB502)-CD498),0)</f>
        <v>#REF!</v>
      </c>
      <c r="CD499" s="4" t="e">
        <f t="shared" ca="1" si="8922"/>
        <v>#REF!</v>
      </c>
      <c r="CE499" s="692" t="str" cm="1">
        <f t="array" aca="1" ref="CE499" ca="1">IFERROR(VLOOKUP(INDEX(CA491:CA502,CD499),INDIRECT(BY491),2,FALSE),"----")</f>
        <v>----</v>
      </c>
      <c r="CF499" s="691" t="e">
        <f t="shared" ca="1" si="8923"/>
        <v>#N/A</v>
      </c>
      <c r="CG499" s="4" t="e">
        <f ca="1">IF(AND(INDEX(SSM,CF499,4)&gt;=$AB491,INDEX(SSM,CF499,5)&gt;=$S491,INDEX(SSM,CF499,6)&gt;=$R491),1,0)</f>
        <v>#N/A</v>
      </c>
      <c r="CH499" s="4" t="e">
        <f t="shared" ref="CH499" ca="1" si="9066">MATCH(1,OFFSET(CG491:CG502,CI498,0,COUNT(CG491:CG502)-CI498),0)</f>
        <v>#REF!</v>
      </c>
      <c r="CI499" s="4" t="e">
        <f t="shared" ca="1" si="8925"/>
        <v>#REF!</v>
      </c>
      <c r="CJ499" s="692" t="str">
        <f ca="1">IFERROR(IF(AD492="Nested Steel Stud (wood infill)",VLOOKUP(INDEX(CF491:CF502,CI499),SSW,2,FALSE),VLOOKUP(INDEX(CF491:CF502,CI499),SSM,2,FALSE)),"----")</f>
        <v>----</v>
      </c>
      <c r="CK499" s="691" t="e">
        <f t="shared" ca="1" si="8926"/>
        <v>#N/A</v>
      </c>
      <c r="CL499" s="4" t="e">
        <f ca="1">IF(AND(INDEX(WSM,CK499,4)&gt;=$AB491,INDEX(WSM,CK499,5)&gt;=$S491,INDEX(WSM,CK499,6)&gt;=$R491),1,0)</f>
        <v>#N/A</v>
      </c>
      <c r="CM499" s="4" t="e">
        <f t="shared" ref="CM499" ca="1" si="9067">MATCH(1,OFFSET(CL491:CL502,CN498,0,COUNT(CL491:CL502)-CN498),0)</f>
        <v>#REF!</v>
      </c>
      <c r="CN499" s="4" t="e">
        <f t="shared" ca="1" si="8928"/>
        <v>#REF!</v>
      </c>
      <c r="CO499" s="692" t="str">
        <f ca="1">IFERROR(VLOOKUP(INDEX(CK491:CK502,CN499),WSM,2,FALSE),"----")</f>
        <v>----</v>
      </c>
      <c r="CP499" s="691" t="e">
        <f t="shared" ca="1" si="8929"/>
        <v>#N/A</v>
      </c>
      <c r="CQ499" s="4" t="e">
        <f ca="1">IF(AND(INDEX(STM,CP499,4)&gt;=$AB491,INDEX(STM,CP499,5)&gt;=$S491,INDEX(STM,CP499,6)&gt;=$R491),1,0)</f>
        <v>#N/A</v>
      </c>
      <c r="CR499" s="4" t="e">
        <f t="shared" ref="CR499" ca="1" si="9068">MATCH(1,OFFSET(CQ491:CQ502,CS498,0,COUNT(CQ491:CQ502)-CS498),0)</f>
        <v>#REF!</v>
      </c>
      <c r="CS499" s="4" t="e">
        <f t="shared" ca="1" si="8931"/>
        <v>#REF!</v>
      </c>
      <c r="CT499" s="692" t="str">
        <f ca="1">IFERROR(VLOOKUP(INDEX(CP491:CP502,CS499),STM,2,FALSE),"----")</f>
        <v>----</v>
      </c>
      <c r="CU499" s="691" t="e">
        <f t="shared" ca="1" si="8932"/>
        <v>#N/A</v>
      </c>
      <c r="CV499" s="4" t="e">
        <f ca="1">IF(AND(INDEX(ELM,CU499,4)&gt;=$AB491,INDEX(ELM,CU499,5)&gt;=$S491,INDEX(ELM,CU499,6)&gt;=$R491),1,0)</f>
        <v>#N/A</v>
      </c>
      <c r="CW499" s="4" t="e">
        <f t="shared" ref="CW499" ca="1" si="9069">MATCH(1,OFFSET(CV491:CV502,CX498,0,COUNT(CV491:CV502)-CX498),0)</f>
        <v>#REF!</v>
      </c>
      <c r="CX499" s="4" t="e">
        <f t="shared" ca="1" si="8934"/>
        <v>#REF!</v>
      </c>
      <c r="CY499" s="692" t="str">
        <f ca="1">IFERROR(VLOOKUP(INDEX(CU491:CU502,CX499),ELM,2,FALSE),"----")</f>
        <v>----</v>
      </c>
      <c r="CZ499" s="691" t="e">
        <f t="shared" ca="1" si="8935"/>
        <v>#N/A</v>
      </c>
      <c r="DA499" s="4" t="e">
        <f ca="1">IF(LEFT($J491,7)="Clad Wo",IF(AND(INDEX(SPPWS,CZ499,4)&gt;=$AB491,INDEX(SPPWS,CZ499,5)&gt;=$S491,INDEX(SPPWS,CZ499,6)&gt;=$R491),1,0),IF(AND(INDEX(SPM,CZ499,4)&gt;=$AB491,INDEX(SPM,CZ499,5)&gt;=$S491,INDEX(SPM,CZ499,6)&gt;=$R491),1,0))</f>
        <v>#N/A</v>
      </c>
      <c r="DB499" s="4" t="e">
        <f t="shared" ref="DB499" ca="1" si="9070">MATCH(1,OFFSET(DA491:DA502,DC498,0,COUNT(DA491:DA502)-DC498),0)</f>
        <v>#REF!</v>
      </c>
      <c r="DC499" s="4" t="e">
        <f t="shared" ca="1" si="8937"/>
        <v>#REF!</v>
      </c>
      <c r="DD499" s="693" t="str">
        <f ca="1">IF(LEFT($J491,7)="Clad Wo",IFERROR(VLOOKUP(INDEX(CZ491:CZ502,DC499),SPPWS,2,FALSE),"----"),IFERROR(VLOOKUP(INDEX(CZ491:CZ502,DC499),SPM,2,FALSE),"----"))</f>
        <v>----</v>
      </c>
      <c r="DE499" s="691" t="e">
        <f t="shared" ca="1" si="8938"/>
        <v>#REF!</v>
      </c>
      <c r="DF499" s="4" t="e" cm="1">
        <f t="array" aca="1" ref="DF499" ca="1">IF(AND(INDEX(INDIRECT(BY491),DE499,4)&gt;=$AB497,INDEX(INDIRECT(BY491),DE499,5)&gt;=$S491,INDEX(INDIRECT(BY491),DE499,6)&gt;=$R491),1,0)</f>
        <v>#REF!</v>
      </c>
      <c r="DG499" s="4" t="e">
        <f t="shared" ref="DG499" ca="1" si="9071">MATCH(1,OFFSET(DF491:DF502,DH498,0,COUNT(DF491:DF502)-DH498),0)</f>
        <v>#REF!</v>
      </c>
      <c r="DH499" s="4" t="e">
        <f t="shared" ca="1" si="8940"/>
        <v>#REF!</v>
      </c>
      <c r="DI499" s="692" t="str" cm="1">
        <f t="array" aca="1" ref="DI499" ca="1">IFERROR(VLOOKUP(INDEX(DE491:DE502,DH499),INDIRECT(BY491),2,FALSE),"----")</f>
        <v>----</v>
      </c>
      <c r="DJ499" s="691" t="e">
        <f t="shared" ca="1" si="8941"/>
        <v>#N/A</v>
      </c>
      <c r="DK499" s="4" t="e">
        <f ca="1">IF(AND(INDEX(SSM,DJ499,4)&gt;=$AB497,INDEX(SSM,DJ499,5)&gt;=$S491,INDEX(SSM,DJ499,6)&gt;=$R491),1,0)</f>
        <v>#N/A</v>
      </c>
      <c r="DL499" s="4" t="e">
        <f t="shared" ref="DL499" ca="1" si="9072">MATCH(1,OFFSET(DK491:DK502,DM498,0,COUNT(DK491:DK502)-DM498),0)</f>
        <v>#REF!</v>
      </c>
      <c r="DM499" s="4" t="e">
        <f t="shared" ca="1" si="8943"/>
        <v>#REF!</v>
      </c>
      <c r="DN499" s="692" t="str">
        <f ca="1">IFERROR(IF(AD498="Nested Steel Stud (wood infill)",VLOOKUP(INDEX(DJ491:DJ502,DM499),SSW,2,FALSE),VLOOKUP(INDEX(DJ491:DJ502,DM499),SSM,2,FALSE)),"----")</f>
        <v>----</v>
      </c>
      <c r="DO499" s="691" t="e">
        <f t="shared" ca="1" si="8944"/>
        <v>#N/A</v>
      </c>
      <c r="DP499" s="4" t="e">
        <f ca="1">IF(AND(INDEX(WSM,DO499,4)&gt;=$AB497,INDEX(WSM,DO499,5)&gt;=$S491,INDEX(WSM,DO499,6)&gt;=$R491),1,0)</f>
        <v>#N/A</v>
      </c>
      <c r="DQ499" s="4" t="e">
        <f t="shared" ref="DQ499" ca="1" si="9073">MATCH(1,OFFSET(DP491:DP502,DR498,0,COUNT(DP491:DP502)-DR498),0)</f>
        <v>#REF!</v>
      </c>
      <c r="DR499" s="4" t="e">
        <f t="shared" ca="1" si="8946"/>
        <v>#REF!</v>
      </c>
      <c r="DS499" s="692" t="str">
        <f ca="1">IFERROR(VLOOKUP(INDEX(DO491:DO502,DR499),WSM,2,FALSE),"----")</f>
        <v>----</v>
      </c>
      <c r="DT499" s="691" t="e">
        <f t="shared" ca="1" si="8947"/>
        <v>#N/A</v>
      </c>
      <c r="DU499" s="4" t="e">
        <f ca="1">IF(AND(INDEX(STM,DT499,4)&gt;=$AB497,INDEX(STM,DT499,5)&gt;=$S491,INDEX(STM,DT499,6)&gt;=$R491),1,0)</f>
        <v>#N/A</v>
      </c>
      <c r="DV499" s="4" t="e">
        <f t="shared" ref="DV499" ca="1" si="9074">MATCH(1,OFFSET(DU491:DU502,DW498,0,COUNT(DU491:DU502)-DW498),0)</f>
        <v>#REF!</v>
      </c>
      <c r="DW499" s="4" t="e">
        <f t="shared" ca="1" si="8949"/>
        <v>#REF!</v>
      </c>
      <c r="DX499" s="692" t="str">
        <f ca="1">IFERROR(VLOOKUP(INDEX(DT491:DT502,DW499),STM,2,FALSE),"----")</f>
        <v>----</v>
      </c>
      <c r="DY499" s="691" t="e">
        <f t="shared" ca="1" si="8950"/>
        <v>#N/A</v>
      </c>
      <c r="DZ499" s="4" t="e">
        <f ca="1">IF(AND(INDEX(ELM,DY499,4)&gt;=$AB497,INDEX(ELM,DY499,5)&gt;=$S491,INDEX(ELM,DY499,6)&gt;=$R491),1,0)</f>
        <v>#N/A</v>
      </c>
      <c r="EA499" s="4" t="e">
        <f t="shared" ref="EA499" ca="1" si="9075">MATCH(1,OFFSET(DZ491:DZ502,EB498,0,COUNT(DZ491:DZ502)-EB498),0)</f>
        <v>#REF!</v>
      </c>
      <c r="EB499" s="4" t="e">
        <f t="shared" ca="1" si="8952"/>
        <v>#REF!</v>
      </c>
      <c r="EC499" s="692" t="str">
        <f ca="1">IFERROR(VLOOKUP(INDEX(DY491:DY502,EB499),ELM,2,FALSE),"----")</f>
        <v>----</v>
      </c>
      <c r="ED499" s="691" t="e">
        <f t="shared" ca="1" si="8953"/>
        <v>#N/A</v>
      </c>
      <c r="EE499" s="4" t="e">
        <f ca="1">IF(LEFT($J491,7)="Clad Wo",IF(AND(INDEX(SPPWS,ED499,4)&gt;=$AB497,INDEX(SPPWS,ED499,5)&gt;=$S491,INDEX(SPPWS,ED499,6)&gt;=$R491),1,0),IF(AND(INDEX(SPM,ED499,4)&gt;=$AB497,INDEX(SPM,ED499,5)&gt;=$S491,INDEX(SPM,ED499,6)&gt;=$R491),1,0))</f>
        <v>#N/A</v>
      </c>
      <c r="EF499" s="4" t="e">
        <f t="shared" ref="EF499" ca="1" si="9076">MATCH(1,OFFSET(EE491:EE502,EG498,0,COUNT(EE491:EE502)-EG498),0)</f>
        <v>#REF!</v>
      </c>
      <c r="EG499" s="4" t="e">
        <f t="shared" ca="1" si="8955"/>
        <v>#REF!</v>
      </c>
      <c r="EH499" s="692" t="str">
        <f ca="1">IF(LEFT($J491,7)="Clad Wo",IFERROR(VLOOKUP(INDEX(ED491:ED502,EG499),SPPWS,2,FALSE),"----"),IFERROR(VLOOKUP(INDEX(ED491:ED502,EG499),SPM,2,FALSE),"----"))</f>
        <v>----</v>
      </c>
    </row>
    <row r="500" spans="1:138" ht="15" customHeight="1" x14ac:dyDescent="0.25">
      <c r="A500" s="1085"/>
      <c r="B500" s="925"/>
      <c r="C500" s="926"/>
      <c r="D500" s="927"/>
      <c r="E500" s="995"/>
      <c r="F500" s="996"/>
      <c r="G500" s="997"/>
      <c r="H500" s="1062"/>
      <c r="I500" s="990"/>
      <c r="J500" s="902"/>
      <c r="K500" s="903"/>
      <c r="L500" s="1002"/>
      <c r="M500" s="923"/>
      <c r="N500" s="1042"/>
      <c r="O500" s="1018"/>
      <c r="P500" s="987"/>
      <c r="Q500" s="1015"/>
      <c r="R500" s="1012"/>
      <c r="S500" s="1006"/>
      <c r="T500" s="1007"/>
      <c r="U500" s="878"/>
      <c r="V500" s="881"/>
      <c r="W500" s="884"/>
      <c r="X500" s="884"/>
      <c r="Y500" s="887"/>
      <c r="Z500" s="887"/>
      <c r="AA500" s="887"/>
      <c r="AB500" s="1081"/>
      <c r="AC500" s="1078"/>
      <c r="AD500" s="1070" t="str">
        <f t="shared" si="8814"/>
        <v>Steel Tube</v>
      </c>
      <c r="AE500" s="1071"/>
      <c r="AF500" s="1052"/>
      <c r="AG500" s="1053"/>
      <c r="AH500" s="1053"/>
      <c r="AI500" s="1066"/>
      <c r="AJ500" s="1067"/>
      <c r="AK500" s="156" t="str">
        <f t="shared" ca="1" si="8761"/>
        <v/>
      </c>
      <c r="AL500" s="1059"/>
      <c r="AM500" s="343" t="str">
        <f ca="1">IFERROR(Q491/12*ROUND(VLOOKUP(AF500,OFFSET(STM,0,1),6,FALSE),2),"")</f>
        <v/>
      </c>
      <c r="AN500" t="str">
        <f t="shared" ca="1" si="8785"/>
        <v/>
      </c>
      <c r="AP500" s="122" t="str">
        <f t="shared" ref="AP500" si="9077">_xlfn.CONCAT(AR500,AS502)</f>
        <v/>
      </c>
      <c r="AQ500" s="683" t="str">
        <f t="shared" si="8985"/>
        <v/>
      </c>
      <c r="AR500" s="4" t="str">
        <f t="shared" si="8745"/>
        <v/>
      </c>
      <c r="AS500" s="4"/>
      <c r="AT500" s="697" t="str">
        <f>AL497</f>
        <v/>
      </c>
      <c r="AU500" s="694" t="e">
        <f t="shared" ca="1" si="9002"/>
        <v>#REF!</v>
      </c>
      <c r="AV500" s="686" t="str">
        <f ca="1">IFERROR(VLOOKUP(AU500,INDIRECT(AQ491),2,FALSE),"----")</f>
        <v>----</v>
      </c>
      <c r="AW500" s="694" t="e">
        <f t="shared" ca="1" si="9003"/>
        <v>#REF!</v>
      </c>
      <c r="AX500" s="686" t="str">
        <f ca="1">IFERROR(VLOOKUP(AW500,INDIRECT(AQ492),2,FALSE),"----")</f>
        <v>----</v>
      </c>
      <c r="AY500" s="694" t="e">
        <f t="shared" ref="AY500:AY562" ca="1" si="9078">AY499-1</f>
        <v>#REF!</v>
      </c>
      <c r="AZ500" s="686" t="str">
        <f ca="1">IFERROR(VLOOKUP(AY500,INDIRECT(AQ493),2,FALSE),"----")</f>
        <v>----</v>
      </c>
      <c r="BA500" s="694" t="e">
        <f t="shared" ref="BA500:BA562" ca="1" si="9079">BA499-1</f>
        <v>#REF!</v>
      </c>
      <c r="BB500" s="686" t="str">
        <f ca="1">IFERROR(VLOOKUP(BA500,INDIRECT(AQ494),2,FALSE),"----")</f>
        <v>----</v>
      </c>
      <c r="BC500" s="694" t="e">
        <f t="shared" ca="1" si="9006"/>
        <v>#REF!</v>
      </c>
      <c r="BD500" s="686" t="str">
        <f ca="1">IFERROR(VLOOKUP(BC500,INDIRECT(AQ495),2,FALSE),"----")</f>
        <v>----</v>
      </c>
      <c r="BE500" s="694" t="e">
        <f t="shared" ca="1" si="9007"/>
        <v>#REF!</v>
      </c>
      <c r="BF500" s="686" t="str">
        <f ca="1">IFERROR(VLOOKUP(BE500,INDIRECT(AQ496),2,FALSE),"----")</f>
        <v>----</v>
      </c>
      <c r="BG500" s="702" t="e">
        <f t="shared" ca="1" si="9008"/>
        <v>#REF!</v>
      </c>
      <c r="BH500" s="686" t="str">
        <f ca="1">IFERROR(VLOOKUP(BG500,INDIRECT(AQ497),2,FALSE),"----")</f>
        <v>----</v>
      </c>
      <c r="BI500" s="702" t="e">
        <f t="shared" ca="1" si="9009"/>
        <v>#REF!</v>
      </c>
      <c r="BJ500" s="686" t="str">
        <f ca="1">IFERROR(VLOOKUP(BI500,INDIRECT(AQ498),2,FALSE),"----")</f>
        <v>----</v>
      </c>
      <c r="BK500" s="702" t="e">
        <f t="shared" ca="1" si="9010"/>
        <v>#REF!</v>
      </c>
      <c r="BL500" s="686" t="str">
        <f ca="1">IFERROR(VLOOKUP(BK500,INDIRECT(AQ499),2,FALSE),"----")</f>
        <v>----</v>
      </c>
      <c r="BM500" s="702" t="e">
        <f t="shared" ca="1" si="9011"/>
        <v>#REF!</v>
      </c>
      <c r="BN500" s="686" t="str">
        <f ca="1">IFERROR(VLOOKUP(BM500,INDIRECT(AQ500),2,FALSE),"----")</f>
        <v>----</v>
      </c>
      <c r="BO500" s="702" t="e">
        <f t="shared" ca="1" si="9012"/>
        <v>#REF!</v>
      </c>
      <c r="BP500" s="686" t="str">
        <f ca="1">IFERROR(VLOOKUP(BO500,INDIRECT(AQ501),2,FALSE),"----")</f>
        <v>----</v>
      </c>
      <c r="BQ500" s="702" t="e">
        <f t="shared" ca="1" si="9013"/>
        <v>#REF!</v>
      </c>
      <c r="BR500" s="686" t="str">
        <f ca="1">IFERROR(VLOOKUP(BQ500,INDIRECT(AQ502),2,FALSE),"----")</f>
        <v>----</v>
      </c>
      <c r="BS500" s="695">
        <f>IF(AI500="",1,IF(COUNTIF(BN491:BN502,AI500)=0,2,1))</f>
        <v>1</v>
      </c>
      <c r="BT500" s="696">
        <f>IF(AF500="",1,IF(BN491=".",2,1))</f>
        <v>1</v>
      </c>
      <c r="BU500" s="706"/>
      <c r="BV500" s="155">
        <f ca="1">IF(COUNTIF(DX491:DX502,AF500)=0,IF(AF500&lt;&gt;"",0,1),1)</f>
        <v>1</v>
      </c>
      <c r="BW500" s="157">
        <f ca="1">IFERROR(MATCH(AF500,DX491:DX502,0),1)</f>
        <v>1</v>
      </c>
      <c r="BX500" s="769" t="e">
        <f t="shared" ref="BX500" si="9080">5*E491^3*W497/(384*X491)</f>
        <v>#VALUE!</v>
      </c>
      <c r="BY500" s="769" t="e">
        <f t="shared" ref="BY500" si="9081">E491^3*W497/(60*X491)</f>
        <v>#VALUE!</v>
      </c>
      <c r="BZ500" s="1110"/>
      <c r="CA500" s="691" t="e">
        <f t="shared" ca="1" si="8920"/>
        <v>#REF!</v>
      </c>
      <c r="CB500" s="4" t="e" cm="1">
        <f t="array" aca="1" ref="CB500" ca="1">IF(AND(INDEX(INDIRECT(BY491),CA500,4)&gt;=$AB491,INDEX(INDIRECT(BY491),CA500,5)&gt;=$S491,INDEX(INDIRECT(BY491),CA500,6)&gt;=$R491),1,0)</f>
        <v>#REF!</v>
      </c>
      <c r="CC500" s="4" t="e">
        <f t="shared" ref="CC500" ca="1" si="9082">MATCH(1,OFFSET(CB491:CB502,CD499,0,COUNT(CB491:CB502)-CD499),0)</f>
        <v>#REF!</v>
      </c>
      <c r="CD500" s="4" t="e">
        <f t="shared" ca="1" si="8922"/>
        <v>#REF!</v>
      </c>
      <c r="CE500" s="692" t="str" cm="1">
        <f t="array" aca="1" ref="CE500" ca="1">IFERROR(VLOOKUP(INDEX(CA491:CA502,CD500),INDIRECT(BY491),2,FALSE),"----")</f>
        <v>----</v>
      </c>
      <c r="CF500" s="691" t="e">
        <f t="shared" ca="1" si="8923"/>
        <v>#N/A</v>
      </c>
      <c r="CG500" s="4" t="e">
        <f ca="1">IF(AND(INDEX(SSM,CF500,4)&gt;=$AB491,INDEX(SSM,CF500,5)&gt;=$S491,INDEX(SSM,CF500,6)&gt;=$R491),1,0)</f>
        <v>#N/A</v>
      </c>
      <c r="CH500" s="4" t="e">
        <f t="shared" ref="CH500" ca="1" si="9083">MATCH(1,OFFSET(CG491:CG502,CI499,0,COUNT(CG491:CG502)-CI499),0)</f>
        <v>#REF!</v>
      </c>
      <c r="CI500" s="4" t="e">
        <f t="shared" ca="1" si="8925"/>
        <v>#REF!</v>
      </c>
      <c r="CJ500" s="692" t="str">
        <f ca="1">IFERROR(IF(AD492="Nested Steel Stud (wood infill)",VLOOKUP(INDEX(CF491:CF502,CI500),SSW,2,FALSE),VLOOKUP(INDEX(CF491:CF502,CI500),SSM,2,FALSE)),"----")</f>
        <v>----</v>
      </c>
      <c r="CK500" s="691" t="e">
        <f t="shared" ca="1" si="8926"/>
        <v>#N/A</v>
      </c>
      <c r="CL500" s="4" t="e">
        <f ca="1">IF(AND(INDEX(WSM,CK500,4)&gt;=$AB491,INDEX(WSM,CK500,5)&gt;=$S491,INDEX(WSM,CK500,6)&gt;=$R491),1,0)</f>
        <v>#N/A</v>
      </c>
      <c r="CM500" s="4" t="e">
        <f t="shared" ref="CM500" ca="1" si="9084">MATCH(1,OFFSET(CL491:CL502,CN499,0,COUNT(CL491:CL502)-CN499),0)</f>
        <v>#REF!</v>
      </c>
      <c r="CN500" s="4" t="e">
        <f t="shared" ca="1" si="8928"/>
        <v>#REF!</v>
      </c>
      <c r="CO500" s="692" t="str">
        <f ca="1">IFERROR(VLOOKUP(INDEX(CK491:CK502,CN500),WSM,2,FALSE),"----")</f>
        <v>----</v>
      </c>
      <c r="CP500" s="691" t="e">
        <f t="shared" ca="1" si="8929"/>
        <v>#N/A</v>
      </c>
      <c r="CQ500" s="4" t="e">
        <f ca="1">IF(AND(INDEX(STM,CP500,4)&gt;=$AB491,INDEX(STM,CP500,5)&gt;=$S491,INDEX(STM,CP500,6)&gt;=$R491),1,0)</f>
        <v>#N/A</v>
      </c>
      <c r="CR500" s="4" t="e">
        <f t="shared" ref="CR500" ca="1" si="9085">MATCH(1,OFFSET(CQ491:CQ502,CS499,0,COUNT(CQ491:CQ502)-CS499),0)</f>
        <v>#REF!</v>
      </c>
      <c r="CS500" s="4" t="e">
        <f t="shared" ca="1" si="8931"/>
        <v>#REF!</v>
      </c>
      <c r="CT500" s="692" t="str">
        <f ca="1">IFERROR(VLOOKUP(INDEX(CP491:CP502,CS500),STM,2,FALSE),"----")</f>
        <v>----</v>
      </c>
      <c r="CU500" s="691" t="e">
        <f t="shared" ca="1" si="8932"/>
        <v>#N/A</v>
      </c>
      <c r="CV500" s="4" t="e">
        <f ca="1">IF(AND(INDEX(ELM,CU500,4)&gt;=$AB491,INDEX(ELM,CU500,5)&gt;=$S491,INDEX(ELM,CU500,6)&gt;=$R491),1,0)</f>
        <v>#N/A</v>
      </c>
      <c r="CW500" s="4" t="e">
        <f t="shared" ref="CW500" ca="1" si="9086">MATCH(1,OFFSET(CV491:CV502,CX499,0,COUNT(CV491:CV502)-CX499),0)</f>
        <v>#REF!</v>
      </c>
      <c r="CX500" s="4" t="e">
        <f t="shared" ca="1" si="8934"/>
        <v>#REF!</v>
      </c>
      <c r="CY500" s="692" t="str">
        <f ca="1">IFERROR(VLOOKUP(INDEX(CU491:CU502,CX500),ELM,2,FALSE),"----")</f>
        <v>----</v>
      </c>
      <c r="CZ500" s="691" t="e">
        <f t="shared" ca="1" si="8935"/>
        <v>#N/A</v>
      </c>
      <c r="DA500" s="4" t="e">
        <f ca="1">IF(LEFT($J491,7)="Clad Wo",IF(AND(INDEX(SPPWS,CZ500,4)&gt;=$AB491,INDEX(SPPWS,CZ500,5)&gt;=$S491,INDEX(SPPWS,CZ500,6)&gt;=$R491),1,0),IF(AND(INDEX(SPM,CZ500,4)&gt;=$AB491,INDEX(SPM,CZ500,5)&gt;=$S491,INDEX(SPM,CZ500,6)&gt;=$R491),1,0))</f>
        <v>#N/A</v>
      </c>
      <c r="DB500" s="4" t="e">
        <f t="shared" ref="DB500" ca="1" si="9087">MATCH(1,OFFSET(DA491:DA502,DC499,0,COUNT(DA491:DA502)-DC499),0)</f>
        <v>#REF!</v>
      </c>
      <c r="DC500" s="4" t="e">
        <f t="shared" ca="1" si="8937"/>
        <v>#REF!</v>
      </c>
      <c r="DD500" s="693" t="str">
        <f ca="1">IF(LEFT($J491,7)="Clad Wo",IFERROR(VLOOKUP(INDEX(CZ491:CZ502,DC500),SPPWS,2,FALSE),"----"),IFERROR(VLOOKUP(INDEX(CZ491:CZ502,DC500),SPM,2,FALSE),"----"))</f>
        <v>----</v>
      </c>
      <c r="DE500" s="691" t="e">
        <f t="shared" ca="1" si="8938"/>
        <v>#REF!</v>
      </c>
      <c r="DF500" s="4" t="e" cm="1">
        <f t="array" aca="1" ref="DF500" ca="1">IF(AND(INDEX(INDIRECT(BY491),DE500,4)&gt;=$AB497,INDEX(INDIRECT(BY491),DE500,5)&gt;=$S491,INDEX(INDIRECT(BY491),DE500,6)&gt;=$R491),1,0)</f>
        <v>#REF!</v>
      </c>
      <c r="DG500" s="4" t="e">
        <f t="shared" ref="DG500" ca="1" si="9088">MATCH(1,OFFSET(DF491:DF502,DH499,0,COUNT(DF491:DF502)-DH499),0)</f>
        <v>#REF!</v>
      </c>
      <c r="DH500" s="4" t="e">
        <f t="shared" ca="1" si="8940"/>
        <v>#REF!</v>
      </c>
      <c r="DI500" s="692" t="str" cm="1">
        <f t="array" aca="1" ref="DI500" ca="1">IFERROR(VLOOKUP(INDEX(DE491:DE502,DH500),INDIRECT(BY491),2,FALSE),"----")</f>
        <v>----</v>
      </c>
      <c r="DJ500" s="691" t="e">
        <f t="shared" ca="1" si="8941"/>
        <v>#N/A</v>
      </c>
      <c r="DK500" s="4" t="e">
        <f ca="1">IF(AND(INDEX(SSM,DJ500,4)&gt;=$AB497,INDEX(SSM,DJ500,5)&gt;=$S491,INDEX(SSM,DJ500,6)&gt;=$R491),1,0)</f>
        <v>#N/A</v>
      </c>
      <c r="DL500" s="4" t="e">
        <f t="shared" ref="DL500" ca="1" si="9089">MATCH(1,OFFSET(DK491:DK502,DM499,0,COUNT(DK491:DK502)-DM499),0)</f>
        <v>#REF!</v>
      </c>
      <c r="DM500" s="4" t="e">
        <f t="shared" ca="1" si="8943"/>
        <v>#REF!</v>
      </c>
      <c r="DN500" s="692" t="str">
        <f ca="1">IFERROR(IF(AD498="Nested Steel Stud (wood infill)",VLOOKUP(INDEX(DJ491:DJ502,DM500),SSW,2,FALSE),VLOOKUP(INDEX(DJ491:DJ502,DM500),SSM,2,FALSE)),"----")</f>
        <v>----</v>
      </c>
      <c r="DO500" s="691" t="e">
        <f t="shared" ca="1" si="8944"/>
        <v>#N/A</v>
      </c>
      <c r="DP500" s="4" t="e">
        <f ca="1">IF(AND(INDEX(WSM,DO500,4)&gt;=$AB497,INDEX(WSM,DO500,5)&gt;=$S491,INDEX(WSM,DO500,6)&gt;=$R491),1,0)</f>
        <v>#N/A</v>
      </c>
      <c r="DQ500" s="4" t="e">
        <f t="shared" ref="DQ500" ca="1" si="9090">MATCH(1,OFFSET(DP491:DP502,DR499,0,COUNT(DP491:DP502)-DR499),0)</f>
        <v>#REF!</v>
      </c>
      <c r="DR500" s="4" t="e">
        <f t="shared" ca="1" si="8946"/>
        <v>#REF!</v>
      </c>
      <c r="DS500" s="692" t="str">
        <f ca="1">IFERROR(VLOOKUP(INDEX(DO491:DO502,DR500),WSM,2,FALSE),"----")</f>
        <v>----</v>
      </c>
      <c r="DT500" s="691" t="e">
        <f t="shared" ca="1" si="8947"/>
        <v>#N/A</v>
      </c>
      <c r="DU500" s="4" t="e">
        <f ca="1">IF(AND(INDEX(STM,DT500,4)&gt;=$AB497,INDEX(STM,DT500,5)&gt;=$S491,INDEX(STM,DT500,6)&gt;=$R491),1,0)</f>
        <v>#N/A</v>
      </c>
      <c r="DV500" s="4" t="e">
        <f t="shared" ref="DV500" ca="1" si="9091">MATCH(1,OFFSET(DU491:DU502,DW499,0,COUNT(DU491:DU502)-DW499),0)</f>
        <v>#REF!</v>
      </c>
      <c r="DW500" s="4" t="e">
        <f t="shared" ca="1" si="8949"/>
        <v>#REF!</v>
      </c>
      <c r="DX500" s="692" t="str">
        <f ca="1">IFERROR(VLOOKUP(INDEX(DT491:DT502,DW500),STM,2,FALSE),"----")</f>
        <v>----</v>
      </c>
      <c r="DY500" s="691" t="e">
        <f t="shared" ca="1" si="8950"/>
        <v>#N/A</v>
      </c>
      <c r="DZ500" s="4" t="e">
        <f ca="1">IF(AND(INDEX(ELM,DY500,4)&gt;=$AB497,INDEX(ELM,DY500,5)&gt;=$S491,INDEX(ELM,DY500,6)&gt;=$R491),1,0)</f>
        <v>#N/A</v>
      </c>
      <c r="EA500" s="4" t="e">
        <f t="shared" ref="EA500" ca="1" si="9092">MATCH(1,OFFSET(DZ491:DZ502,EB499,0,COUNT(DZ491:DZ502)-EB499),0)</f>
        <v>#REF!</v>
      </c>
      <c r="EB500" s="4" t="e">
        <f t="shared" ca="1" si="8952"/>
        <v>#REF!</v>
      </c>
      <c r="EC500" s="692" t="str">
        <f ca="1">IFERROR(VLOOKUP(INDEX(DY491:DY502,EB500),ELM,2,FALSE),"----")</f>
        <v>----</v>
      </c>
      <c r="ED500" s="691" t="e">
        <f t="shared" ca="1" si="8953"/>
        <v>#N/A</v>
      </c>
      <c r="EE500" s="4" t="e">
        <f ca="1">IF(LEFT($J491,7)="Clad Wo",IF(AND(INDEX(SPPWS,ED500,4)&gt;=$AB497,INDEX(SPPWS,ED500,5)&gt;=$S491,INDEX(SPPWS,ED500,6)&gt;=$R491),1,0),IF(AND(INDEX(SPM,ED500,4)&gt;=$AB497,INDEX(SPM,ED500,5)&gt;=$S491,INDEX(SPM,ED500,6)&gt;=$R491),1,0))</f>
        <v>#N/A</v>
      </c>
      <c r="EF500" s="4" t="e">
        <f t="shared" ref="EF500" ca="1" si="9093">MATCH(1,OFFSET(EE491:EE502,EG499,0,COUNT(EE491:EE502)-EG499),0)</f>
        <v>#REF!</v>
      </c>
      <c r="EG500" s="4" t="e">
        <f t="shared" ca="1" si="8955"/>
        <v>#REF!</v>
      </c>
      <c r="EH500" s="692" t="str">
        <f ca="1">IF(LEFT($J491,7)="Clad Wo",IFERROR(VLOOKUP(INDEX(ED491:ED502,EG500),SPPWS,2,FALSE),"----"),IFERROR(VLOOKUP(INDEX(ED491:ED502,EG500),SPM,2,FALSE),"----"))</f>
        <v>----</v>
      </c>
    </row>
    <row r="501" spans="1:138" ht="15" customHeight="1" x14ac:dyDescent="0.25">
      <c r="A501" s="1085"/>
      <c r="B501" s="925"/>
      <c r="C501" s="926"/>
      <c r="D501" s="927"/>
      <c r="E501" s="995"/>
      <c r="F501" s="996"/>
      <c r="G501" s="997"/>
      <c r="H501" s="1062"/>
      <c r="I501" s="990"/>
      <c r="J501" s="902"/>
      <c r="K501" s="903"/>
      <c r="L501" s="1002"/>
      <c r="M501" s="923"/>
      <c r="N501" s="1042"/>
      <c r="O501" s="1018"/>
      <c r="P501" s="987"/>
      <c r="Q501" s="1015"/>
      <c r="R501" s="1012"/>
      <c r="S501" s="1006"/>
      <c r="T501" s="1007"/>
      <c r="U501" s="878"/>
      <c r="V501" s="881"/>
      <c r="W501" s="884"/>
      <c r="X501" s="884"/>
      <c r="Y501" s="887"/>
      <c r="Z501" s="887"/>
      <c r="AA501" s="887"/>
      <c r="AB501" s="1081"/>
      <c r="AC501" s="1078"/>
      <c r="AD501" s="1070" t="str">
        <f t="shared" si="8814"/>
        <v>Engineered Lumber</v>
      </c>
      <c r="AE501" s="1071"/>
      <c r="AF501" s="1052"/>
      <c r="AG501" s="1053"/>
      <c r="AH501" s="1053"/>
      <c r="AI501" s="1068"/>
      <c r="AJ501" s="1069"/>
      <c r="AK501" s="154" t="str">
        <f t="shared" ca="1" si="8761"/>
        <v/>
      </c>
      <c r="AL501" s="1059"/>
      <c r="AM501" s="344" t="str">
        <f ca="1">IFERROR(Q491/12*ROUND(VLOOKUP(AF501,OFFSET(ELM,0,1),6,FALSE),2),"")</f>
        <v/>
      </c>
      <c r="AN501" t="str">
        <f t="shared" ca="1" si="8785"/>
        <v/>
      </c>
      <c r="AP501" s="122" t="str">
        <f t="shared" ref="AP501" si="9094">_xlfn.CONCAT(AR501,AS502)</f>
        <v/>
      </c>
      <c r="AQ501" s="683" t="str">
        <f t="shared" si="8985"/>
        <v/>
      </c>
      <c r="AR501" s="4" t="str">
        <f t="shared" si="8745"/>
        <v/>
      </c>
      <c r="AS501" s="4"/>
      <c r="AT501" s="697" t="str">
        <f>AL497</f>
        <v/>
      </c>
      <c r="AU501" s="694" t="e">
        <f t="shared" ca="1" si="9002"/>
        <v>#REF!</v>
      </c>
      <c r="AV501" s="698" t="str">
        <f ca="1">IFERROR(VLOOKUP(AU501,INDIRECT(AQ491),2,FALSE),"----")</f>
        <v>----</v>
      </c>
      <c r="AW501" s="694" t="e">
        <f t="shared" ca="1" si="9003"/>
        <v>#REF!</v>
      </c>
      <c r="AX501" s="698" t="str">
        <f ca="1">IFERROR(VLOOKUP(AW501,INDIRECT(AQ492),2,FALSE),"----")</f>
        <v>----</v>
      </c>
      <c r="AY501" s="694" t="e">
        <f t="shared" ca="1" si="9078"/>
        <v>#REF!</v>
      </c>
      <c r="AZ501" s="698" t="str">
        <f ca="1">IFERROR(VLOOKUP(AY501,INDIRECT(AQ493),2,FALSE),"----")</f>
        <v>----</v>
      </c>
      <c r="BA501" s="694" t="e">
        <f t="shared" ca="1" si="9079"/>
        <v>#REF!</v>
      </c>
      <c r="BB501" s="698" t="str">
        <f ca="1">IFERROR(VLOOKUP(BA501,INDIRECT(AQ494),2,FALSE),"----")</f>
        <v>----</v>
      </c>
      <c r="BC501" s="694" t="e">
        <f t="shared" ca="1" si="9006"/>
        <v>#REF!</v>
      </c>
      <c r="BD501" s="698" t="str">
        <f ca="1">IFERROR(VLOOKUP(BC501,INDIRECT(AQ495),2,FALSE),"----")</f>
        <v>----</v>
      </c>
      <c r="BE501" s="694" t="e">
        <f t="shared" ca="1" si="9007"/>
        <v>#REF!</v>
      </c>
      <c r="BF501" s="698" t="str">
        <f ca="1">IFERROR(VLOOKUP(BE501,INDIRECT(AQ496),2,FALSE),"----")</f>
        <v>----</v>
      </c>
      <c r="BG501" s="702" t="e">
        <f t="shared" ca="1" si="9008"/>
        <v>#REF!</v>
      </c>
      <c r="BH501" s="686" t="str">
        <f ca="1">IFERROR(VLOOKUP(BG501,INDIRECT(AQ497),2,FALSE),"----")</f>
        <v>----</v>
      </c>
      <c r="BI501" s="702" t="e">
        <f t="shared" ca="1" si="9009"/>
        <v>#REF!</v>
      </c>
      <c r="BJ501" s="686" t="str">
        <f ca="1">IFERROR(VLOOKUP(BI501,INDIRECT(AQ498),2,FALSE),"----")</f>
        <v>----</v>
      </c>
      <c r="BK501" s="702" t="e">
        <f t="shared" ca="1" si="9010"/>
        <v>#REF!</v>
      </c>
      <c r="BL501" s="686" t="str">
        <f ca="1">IFERROR(VLOOKUP(BK501,INDIRECT(AQ499),2,FALSE),"----")</f>
        <v>----</v>
      </c>
      <c r="BM501" s="702" t="e">
        <f t="shared" ca="1" si="9011"/>
        <v>#REF!</v>
      </c>
      <c r="BN501" s="686" t="str">
        <f ca="1">IFERROR(VLOOKUP(BM501,INDIRECT(AQ500),2,FALSE),"----")</f>
        <v>----</v>
      </c>
      <c r="BO501" s="702" t="e">
        <f t="shared" ca="1" si="9012"/>
        <v>#REF!</v>
      </c>
      <c r="BP501" s="686" t="str">
        <f ca="1">IFERROR(VLOOKUP(BO501,INDIRECT(AQ501),2,FALSE),"----")</f>
        <v>----</v>
      </c>
      <c r="BQ501" s="702" t="e">
        <f t="shared" ca="1" si="9013"/>
        <v>#REF!</v>
      </c>
      <c r="BR501" s="686" t="str">
        <f ca="1">IFERROR(VLOOKUP(BQ501,INDIRECT(AQ502),2,FALSE),"----")</f>
        <v>----</v>
      </c>
      <c r="BS501" s="695">
        <f>IF(AI501="",1,IF(COUNTIF(BP491:BP502,AI501)=0,2,1))</f>
        <v>1</v>
      </c>
      <c r="BT501" s="696">
        <f>IF(AF501="",1,IF(BP491=".",2,1))</f>
        <v>1</v>
      </c>
      <c r="BU501" s="706"/>
      <c r="BV501" s="155">
        <f ca="1">IF(COUNTIF(EC491:EC502,AF501)=0,IF(AF501&lt;&gt;"",0,1),1)</f>
        <v>1</v>
      </c>
      <c r="BW501" s="157">
        <f ca="1">IFERROR(MATCH(AF501,EC491:EC502,0),1)</f>
        <v>1</v>
      </c>
      <c r="BX501" s="769"/>
      <c r="BY501" s="769"/>
      <c r="BZ501" s="1110"/>
      <c r="CA501" s="691" t="e">
        <f t="shared" ca="1" si="8920"/>
        <v>#REF!</v>
      </c>
      <c r="CB501" s="4" t="e" cm="1">
        <f t="array" aca="1" ref="CB501" ca="1">IF(AND(INDEX(INDIRECT(BY491),CA501,4)&gt;=$AB491,INDEX(INDIRECT(BY491),CA501,5)&gt;=$S491,INDEX(INDIRECT(BY491),CA501,6)&gt;=$R491),1,0)</f>
        <v>#REF!</v>
      </c>
      <c r="CC501" s="4" t="e">
        <f t="shared" ref="CC501" ca="1" si="9095">MATCH(1,OFFSET(CB491:CB502,CD500,0,COUNT(CB491:CB502)-CD500),0)</f>
        <v>#REF!</v>
      </c>
      <c r="CD501" s="4" t="e">
        <f t="shared" ca="1" si="8922"/>
        <v>#REF!</v>
      </c>
      <c r="CE501" s="692" t="str" cm="1">
        <f t="array" aca="1" ref="CE501" ca="1">IFERROR(VLOOKUP(INDEX(CA491:CA502,CD501),INDIRECT(BY491),2,FALSE),"----")</f>
        <v>----</v>
      </c>
      <c r="CF501" s="691" t="e">
        <f t="shared" ca="1" si="8923"/>
        <v>#N/A</v>
      </c>
      <c r="CG501" s="4" t="e">
        <f ca="1">IF(AND(INDEX(SSM,CF501,4)&gt;=$AB491,INDEX(SSM,CF501,5)&gt;=$S491,INDEX(SSM,CF501,6)&gt;=$R491),1,0)</f>
        <v>#N/A</v>
      </c>
      <c r="CH501" s="4" t="e">
        <f t="shared" ref="CH501" ca="1" si="9096">MATCH(1,OFFSET(CG491:CG502,CI500,0,COUNT(CG491:CG502)-CI500),0)</f>
        <v>#REF!</v>
      </c>
      <c r="CI501" s="4" t="e">
        <f t="shared" ca="1" si="8925"/>
        <v>#REF!</v>
      </c>
      <c r="CJ501" s="692" t="str">
        <f ca="1">IFERROR(IF(AD492="Nested Steel Stud (wood infill)",VLOOKUP(INDEX(CF491:CF502,CI501),SSW,2,FALSE),VLOOKUP(INDEX(CF491:CF502,CI501),SSM,2,FALSE)),"----")</f>
        <v>----</v>
      </c>
      <c r="CK501" s="691" t="e">
        <f t="shared" ca="1" si="8926"/>
        <v>#N/A</v>
      </c>
      <c r="CL501" s="4" t="e">
        <f ca="1">IF(AND(INDEX(WSM,CK501,4)&gt;=$AB491,INDEX(WSM,CK501,5)&gt;=$S491,INDEX(WSM,CK501,6)&gt;=$R491),1,0)</f>
        <v>#N/A</v>
      </c>
      <c r="CM501" s="4" t="e">
        <f t="shared" ref="CM501" ca="1" si="9097">MATCH(1,OFFSET(CL491:CL502,CN500,0,COUNT(CL491:CL502)-CN500),0)</f>
        <v>#REF!</v>
      </c>
      <c r="CN501" s="4" t="e">
        <f t="shared" ca="1" si="8928"/>
        <v>#REF!</v>
      </c>
      <c r="CO501" s="692" t="str">
        <f ca="1">IFERROR(VLOOKUP(INDEX(CK491:CK502,CN501),WSM,2,FALSE),"----")</f>
        <v>----</v>
      </c>
      <c r="CP501" s="691" t="e">
        <f t="shared" ca="1" si="8929"/>
        <v>#N/A</v>
      </c>
      <c r="CQ501" s="4" t="e">
        <f ca="1">IF(AND(INDEX(STM,CP501,4)&gt;=$AB491,INDEX(STM,CP501,5)&gt;=$S491,INDEX(STM,CP501,6)&gt;=$R491),1,0)</f>
        <v>#N/A</v>
      </c>
      <c r="CR501" s="4" t="e">
        <f t="shared" ref="CR501" ca="1" si="9098">MATCH(1,OFFSET(CQ491:CQ502,CS500,0,COUNT(CQ491:CQ502)-CS500),0)</f>
        <v>#REF!</v>
      </c>
      <c r="CS501" s="4" t="e">
        <f t="shared" ca="1" si="8931"/>
        <v>#REF!</v>
      </c>
      <c r="CT501" s="692" t="str">
        <f ca="1">IFERROR(VLOOKUP(INDEX(CP491:CP502,CS501),STM,2,FALSE),"----")</f>
        <v>----</v>
      </c>
      <c r="CU501" s="691" t="e">
        <f t="shared" ca="1" si="8932"/>
        <v>#N/A</v>
      </c>
      <c r="CV501" s="4" t="e">
        <f ca="1">IF(AND(INDEX(ELM,CU501,4)&gt;=$AB491,INDEX(ELM,CU501,5)&gt;=$S491,INDEX(ELM,CU501,6)&gt;=$R491),1,0)</f>
        <v>#N/A</v>
      </c>
      <c r="CW501" s="4" t="e">
        <f t="shared" ref="CW501" ca="1" si="9099">MATCH(1,OFFSET(CV491:CV502,CX500,0,COUNT(CV491:CV502)-CX500),0)</f>
        <v>#REF!</v>
      </c>
      <c r="CX501" s="4" t="e">
        <f t="shared" ca="1" si="8934"/>
        <v>#REF!</v>
      </c>
      <c r="CY501" s="692" t="str">
        <f ca="1">IFERROR(VLOOKUP(INDEX(CU491:CU502,CX501),ELM,2,FALSE),"----")</f>
        <v>----</v>
      </c>
      <c r="CZ501" s="691" t="e">
        <f t="shared" ca="1" si="8935"/>
        <v>#N/A</v>
      </c>
      <c r="DA501" s="4" t="e">
        <f ca="1">IF(LEFT($J491,7)="Clad Wo",IF(AND(INDEX(SPPWS,CZ501,4)&gt;=$AB491,INDEX(SPPWS,CZ501,5)&gt;=$S491,INDEX(SPPWS,CZ501,6)&gt;=$R491),1,0),IF(AND(INDEX(SPM,CZ501,4)&gt;=$AB491,INDEX(SPM,CZ501,5)&gt;=$S491,INDEX(SPM,CZ501,6)&gt;=$R491),1,0))</f>
        <v>#N/A</v>
      </c>
      <c r="DB501" s="4" t="e">
        <f t="shared" ref="DB501" ca="1" si="9100">MATCH(1,OFFSET(DA491:DA502,DC500,0,COUNT(DA491:DA502)-DC500),0)</f>
        <v>#REF!</v>
      </c>
      <c r="DC501" s="4" t="e">
        <f t="shared" ca="1" si="8937"/>
        <v>#REF!</v>
      </c>
      <c r="DD501" s="693" t="str">
        <f ca="1">IF(LEFT($J491,7)="Clad Wo",IFERROR(VLOOKUP(INDEX(CZ491:CZ502,DC501),SPPWS,2,FALSE),"----"),IFERROR(VLOOKUP(INDEX(CZ491:CZ502,DC501),SPM,2,FALSE),"----"))</f>
        <v>----</v>
      </c>
      <c r="DE501" s="691" t="e">
        <f t="shared" ca="1" si="8938"/>
        <v>#REF!</v>
      </c>
      <c r="DF501" s="4" t="e" cm="1">
        <f t="array" aca="1" ref="DF501" ca="1">IF(AND(INDEX(INDIRECT(BY491),DE501,4)&gt;=$AB497,INDEX(INDIRECT(BY491),DE501,5)&gt;=$S491,INDEX(INDIRECT(BY491),DE501,6)&gt;=$R491),1,0)</f>
        <v>#REF!</v>
      </c>
      <c r="DG501" s="4" t="e">
        <f t="shared" ref="DG501" ca="1" si="9101">MATCH(1,OFFSET(DF491:DF502,DH500,0,COUNT(DF491:DF502)-DH500),0)</f>
        <v>#REF!</v>
      </c>
      <c r="DH501" s="4" t="e">
        <f t="shared" ca="1" si="8940"/>
        <v>#REF!</v>
      </c>
      <c r="DI501" s="692" t="str" cm="1">
        <f t="array" aca="1" ref="DI501" ca="1">IFERROR(VLOOKUP(INDEX(DE491:DE502,DH501),INDIRECT(BY491),2,FALSE),"----")</f>
        <v>----</v>
      </c>
      <c r="DJ501" s="691" t="e">
        <f t="shared" ca="1" si="8941"/>
        <v>#N/A</v>
      </c>
      <c r="DK501" s="4" t="e">
        <f ca="1">IF(AND(INDEX(SSM,DJ501,4)&gt;=$AB497,INDEX(SSM,DJ501,5)&gt;=$S491,INDEX(SSM,DJ501,6)&gt;=$R491),1,0)</f>
        <v>#N/A</v>
      </c>
      <c r="DL501" s="4" t="e">
        <f t="shared" ref="DL501" ca="1" si="9102">MATCH(1,OFFSET(DK491:DK502,DM500,0,COUNT(DK491:DK502)-DM500),0)</f>
        <v>#REF!</v>
      </c>
      <c r="DM501" s="4" t="e">
        <f t="shared" ca="1" si="8943"/>
        <v>#REF!</v>
      </c>
      <c r="DN501" s="692" t="str">
        <f ca="1">IFERROR(IF(AD498="Nested Steel Stud (wood infill)",VLOOKUP(INDEX(DJ491:DJ502,DM501),SSW,2,FALSE),VLOOKUP(INDEX(DJ491:DJ502,DM501),SSM,2,FALSE)),"----")</f>
        <v>----</v>
      </c>
      <c r="DO501" s="691" t="e">
        <f t="shared" ca="1" si="8944"/>
        <v>#N/A</v>
      </c>
      <c r="DP501" s="4" t="e">
        <f ca="1">IF(AND(INDEX(WSM,DO501,4)&gt;=$AB497,INDEX(WSM,DO501,5)&gt;=$S491,INDEX(WSM,DO501,6)&gt;=$R491),1,0)</f>
        <v>#N/A</v>
      </c>
      <c r="DQ501" s="4" t="e">
        <f t="shared" ref="DQ501" ca="1" si="9103">MATCH(1,OFFSET(DP491:DP502,DR500,0,COUNT(DP491:DP502)-DR500),0)</f>
        <v>#REF!</v>
      </c>
      <c r="DR501" s="4" t="e">
        <f t="shared" ca="1" si="8946"/>
        <v>#REF!</v>
      </c>
      <c r="DS501" s="692" t="str">
        <f ca="1">IFERROR(VLOOKUP(INDEX(DO491:DO502,DR501),WSM,2,FALSE),"----")</f>
        <v>----</v>
      </c>
      <c r="DT501" s="691" t="e">
        <f t="shared" ca="1" si="8947"/>
        <v>#N/A</v>
      </c>
      <c r="DU501" s="4" t="e">
        <f ca="1">IF(AND(INDEX(STM,DT501,4)&gt;=$AB497,INDEX(STM,DT501,5)&gt;=$S491,INDEX(STM,DT501,6)&gt;=$R491),1,0)</f>
        <v>#N/A</v>
      </c>
      <c r="DV501" s="4" t="e">
        <f t="shared" ref="DV501" ca="1" si="9104">MATCH(1,OFFSET(DU491:DU502,DW500,0,COUNT(DU491:DU502)-DW500),0)</f>
        <v>#REF!</v>
      </c>
      <c r="DW501" s="4" t="e">
        <f t="shared" ca="1" si="8949"/>
        <v>#REF!</v>
      </c>
      <c r="DX501" s="692" t="str">
        <f ca="1">IFERROR(VLOOKUP(INDEX(DT491:DT502,DW501),STM,2,FALSE),"----")</f>
        <v>----</v>
      </c>
      <c r="DY501" s="691" t="e">
        <f t="shared" ca="1" si="8950"/>
        <v>#N/A</v>
      </c>
      <c r="DZ501" s="4" t="e">
        <f ca="1">IF(AND(INDEX(ELM,DY501,4)&gt;=$AB497,INDEX(ELM,DY501,5)&gt;=$S491,INDEX(ELM,DY501,6)&gt;=$R491),1,0)</f>
        <v>#N/A</v>
      </c>
      <c r="EA501" s="4" t="e">
        <f t="shared" ref="EA501" ca="1" si="9105">MATCH(1,OFFSET(DZ491:DZ502,EB500,0,COUNT(DZ491:DZ502)-EB500),0)</f>
        <v>#REF!</v>
      </c>
      <c r="EB501" s="4" t="e">
        <f t="shared" ca="1" si="8952"/>
        <v>#REF!</v>
      </c>
      <c r="EC501" s="692" t="str">
        <f ca="1">IFERROR(VLOOKUP(INDEX(DY491:DY502,EB501),ELM,2,FALSE),"----")</f>
        <v>----</v>
      </c>
      <c r="ED501" s="691" t="e">
        <f t="shared" ca="1" si="8953"/>
        <v>#N/A</v>
      </c>
      <c r="EE501" s="4" t="e">
        <f ca="1">IF(LEFT($J491,7)="Clad Wo",IF(AND(INDEX(SPPWS,ED501,4)&gt;=$AB497,INDEX(SPPWS,ED501,5)&gt;=$S491,INDEX(SPPWS,ED501,6)&gt;=$R491),1,0),IF(AND(INDEX(SPM,ED501,4)&gt;=$AB497,INDEX(SPM,ED501,5)&gt;=$S491,INDEX(SPM,ED501,6)&gt;=$R491),1,0))</f>
        <v>#N/A</v>
      </c>
      <c r="EF501" s="4" t="e">
        <f t="shared" ref="EF501" ca="1" si="9106">MATCH(1,OFFSET(EE491:EE502,EG500,0,COUNT(EE491:EE502)-EG500),0)</f>
        <v>#REF!</v>
      </c>
      <c r="EG501" s="4" t="e">
        <f t="shared" ca="1" si="8955"/>
        <v>#REF!</v>
      </c>
      <c r="EH501" s="692" t="str">
        <f ca="1">IF(LEFT($J491,7)="Clad Wo",IFERROR(VLOOKUP(INDEX(ED491:ED502,EG501),SPPWS,2,FALSE),"----"),IFERROR(VLOOKUP(INDEX(ED491:ED502,EG501),SPM,2,FALSE),"----"))</f>
        <v>----</v>
      </c>
    </row>
    <row r="502" spans="1:138" ht="15" customHeight="1" thickBot="1" x14ac:dyDescent="0.3">
      <c r="A502" s="1085"/>
      <c r="B502" s="928"/>
      <c r="C502" s="929"/>
      <c r="D502" s="930"/>
      <c r="E502" s="998"/>
      <c r="F502" s="999"/>
      <c r="G502" s="1000"/>
      <c r="H502" s="1063"/>
      <c r="I502" s="991"/>
      <c r="J502" s="904"/>
      <c r="K502" s="905"/>
      <c r="L502" s="1003"/>
      <c r="M502" s="1065"/>
      <c r="N502" s="1043"/>
      <c r="O502" s="1019"/>
      <c r="P502" s="988"/>
      <c r="Q502" s="1016"/>
      <c r="R502" s="1013"/>
      <c r="S502" s="1008"/>
      <c r="T502" s="1009"/>
      <c r="U502" s="879"/>
      <c r="V502" s="882"/>
      <c r="W502" s="885"/>
      <c r="X502" s="885"/>
      <c r="Y502" s="888"/>
      <c r="Z502" s="888"/>
      <c r="AA502" s="888"/>
      <c r="AB502" s="1082"/>
      <c r="AC502" s="1087"/>
      <c r="AD502" s="1098" t="str">
        <f t="shared" ref="AD502" si="9107">IF(LEFT(J491,7)="Clad Wo","Pella Wood Spr / Steel Pte","Steel Plate")</f>
        <v>Steel Plate</v>
      </c>
      <c r="AE502" s="1099"/>
      <c r="AF502" s="1096"/>
      <c r="AG502" s="1097"/>
      <c r="AH502" s="1097"/>
      <c r="AI502" s="1094"/>
      <c r="AJ502" s="1095"/>
      <c r="AK502" s="163" t="str">
        <f t="shared" ca="1" si="8761"/>
        <v/>
      </c>
      <c r="AL502" s="1060"/>
      <c r="AM502" s="345" t="str">
        <f ca="1">IFERROR(Q491/12*ROUND(VLOOKUP(AF502,OFFSET(SPM,0,1),6,FALSE),2),"")</f>
        <v/>
      </c>
      <c r="AN502" t="str">
        <f t="shared" ca="1" si="8785"/>
        <v/>
      </c>
      <c r="AP502" s="699" t="str">
        <f t="shared" ref="AP502" si="9108">_xlfn.CONCAT(AR502,AS502)</f>
        <v/>
      </c>
      <c r="AQ502" s="700" t="str">
        <f t="shared" si="8985"/>
        <v/>
      </c>
      <c r="AR502" s="160" t="str">
        <f t="shared" si="8745"/>
        <v/>
      </c>
      <c r="AS502" s="160" t="str">
        <f>IFERROR(VLOOKUP(J499, WallType,2,FALSE),"")</f>
        <v/>
      </c>
      <c r="AT502" s="707" t="str">
        <f>AL497</f>
        <v/>
      </c>
      <c r="AU502" s="708" t="e">
        <f t="shared" ca="1" si="9002"/>
        <v>#REF!</v>
      </c>
      <c r="AV502" s="709" t="str">
        <f ca="1">IFERROR(VLOOKUP(AU502,INDIRECT(AQ491),2,FALSE),"----")</f>
        <v>----</v>
      </c>
      <c r="AW502" s="710" t="e">
        <f t="shared" ca="1" si="9003"/>
        <v>#REF!</v>
      </c>
      <c r="AX502" s="709" t="str">
        <f ca="1">IFERROR(VLOOKUP(AW502,INDIRECT(AQ492),2,FALSE),"----")</f>
        <v>----</v>
      </c>
      <c r="AY502" s="710" t="e">
        <f t="shared" ca="1" si="9078"/>
        <v>#REF!</v>
      </c>
      <c r="AZ502" s="709" t="str">
        <f ca="1">IFERROR(VLOOKUP(AY502,INDIRECT(AQ493),2,FALSE),"----")</f>
        <v>----</v>
      </c>
      <c r="BA502" s="710" t="e">
        <f t="shared" ca="1" si="9079"/>
        <v>#REF!</v>
      </c>
      <c r="BB502" s="709" t="str">
        <f ca="1">IFERROR(VLOOKUP(BA502,INDIRECT(AQ494),2,FALSE),"----")</f>
        <v>----</v>
      </c>
      <c r="BC502" s="710" t="e">
        <f t="shared" ca="1" si="9006"/>
        <v>#REF!</v>
      </c>
      <c r="BD502" s="709" t="str">
        <f ca="1">IFERROR(VLOOKUP(BC502,INDIRECT(AQ495),2,FALSE),"----")</f>
        <v>----</v>
      </c>
      <c r="BE502" s="710" t="e">
        <f t="shared" ca="1" si="9007"/>
        <v>#REF!</v>
      </c>
      <c r="BF502" s="709" t="str">
        <f ca="1">IFERROR(VLOOKUP(BE502,INDIRECT(AQ496),2,FALSE),"----")</f>
        <v>----</v>
      </c>
      <c r="BG502" s="710" t="e">
        <f t="shared" ca="1" si="9008"/>
        <v>#REF!</v>
      </c>
      <c r="BH502" s="711" t="str">
        <f ca="1">IFERROR(VLOOKUP(BG502,INDIRECT(AQ497),2,FALSE),"----")</f>
        <v>----</v>
      </c>
      <c r="BI502" s="710" t="e">
        <f t="shared" ca="1" si="9009"/>
        <v>#REF!</v>
      </c>
      <c r="BJ502" s="711" t="str">
        <f ca="1">IFERROR(VLOOKUP(BI502,INDIRECT(AQ498),2,FALSE),"----")</f>
        <v>----</v>
      </c>
      <c r="BK502" s="710" t="e">
        <f t="shared" ca="1" si="9010"/>
        <v>#REF!</v>
      </c>
      <c r="BL502" s="711" t="str">
        <f ca="1">IFERROR(VLOOKUP(BK502,INDIRECT(AQ499),2,FALSE),"----")</f>
        <v>----</v>
      </c>
      <c r="BM502" s="710" t="e">
        <f t="shared" ca="1" si="9011"/>
        <v>#REF!</v>
      </c>
      <c r="BN502" s="711" t="str">
        <f ca="1">IFERROR(VLOOKUP(BM502,INDIRECT(AQ500),2,FALSE),"----")</f>
        <v>----</v>
      </c>
      <c r="BO502" s="710" t="e">
        <f t="shared" ca="1" si="9012"/>
        <v>#REF!</v>
      </c>
      <c r="BP502" s="711" t="str">
        <f ca="1">IFERROR(VLOOKUP(BO502,INDIRECT(AQ501),2,FALSE),"----")</f>
        <v>----</v>
      </c>
      <c r="BQ502" s="710" t="e">
        <f t="shared" ca="1" si="9013"/>
        <v>#REF!</v>
      </c>
      <c r="BR502" s="712" t="str">
        <f ca="1">IFERROR(VLOOKUP(BQ502,INDIRECT(AQ502),2,FALSE),"----")</f>
        <v>----</v>
      </c>
      <c r="BS502" s="695">
        <f>IF(AI502="",1,IF(COUNTIF(BR491:BR502,AI502)=0,2,1))</f>
        <v>1</v>
      </c>
      <c r="BT502" s="713">
        <f>IF(AF502="",1,IF(BR491=".",2,1))</f>
        <v>1</v>
      </c>
      <c r="BV502" s="155">
        <f ca="1">IF(COUNTIF(EH491:EH502,AF502)=0,IF(AF502&lt;&gt;"",0,1),1)</f>
        <v>1</v>
      </c>
      <c r="BW502" s="157">
        <f ca="1">IFERROR(MATCH(AF502,EH491:EH502,0),1)</f>
        <v>1</v>
      </c>
      <c r="BX502" s="718"/>
      <c r="BY502" s="777"/>
      <c r="BZ502" s="1110"/>
      <c r="CA502" s="714" t="e">
        <f t="shared" ca="1" si="8920"/>
        <v>#REF!</v>
      </c>
      <c r="CB502" s="715" t="e" cm="1">
        <f t="array" aca="1" ref="CB502" ca="1">IF(AND(INDEX(INDIRECT(BY491),CA502,4)&gt;=$AB491,INDEX(INDIRECT(BY491),CA502,5)&gt;=$S491,INDEX(INDIRECT(BY491),CA502,6)&gt;=$R491),1,0)</f>
        <v>#REF!</v>
      </c>
      <c r="CC502" s="715" t="e">
        <f t="shared" ref="CC502" ca="1" si="9109">MATCH(1,OFFSET(CB491:CB502,CD501,0,COUNT(CB491:CB502)-CD501),0)</f>
        <v>#REF!</v>
      </c>
      <c r="CD502" s="715" t="e">
        <f t="shared" ca="1" si="8922"/>
        <v>#REF!</v>
      </c>
      <c r="CE502" s="716" t="str" cm="1">
        <f t="array" aca="1" ref="CE502" ca="1">IFERROR(VLOOKUP(INDEX(CA491:CA502,CD502),INDIRECT(BY491),2,FALSE),"----")</f>
        <v>----</v>
      </c>
      <c r="CF502" s="714" t="e">
        <f t="shared" ca="1" si="8923"/>
        <v>#N/A</v>
      </c>
      <c r="CG502" s="715" t="e">
        <f ca="1">IF(AND(INDEX(SSM,CF502,4)&gt;=$AB491,INDEX(SSM,CF502,5)&gt;=$S491,INDEX(SSM,CF502,6)&gt;=$R491),1,0)</f>
        <v>#N/A</v>
      </c>
      <c r="CH502" s="715" t="e">
        <f t="shared" ref="CH502" ca="1" si="9110">MATCH(1,OFFSET(CG491:CG502,CI501,0,COUNT(CG491:CG502)-CI501),0)</f>
        <v>#REF!</v>
      </c>
      <c r="CI502" s="715" t="e">
        <f t="shared" ca="1" si="8925"/>
        <v>#REF!</v>
      </c>
      <c r="CJ502" s="716" t="str">
        <f ca="1">IFERROR(IF(AD492="Nested Steel Stud (wood infill)",VLOOKUP(INDEX(CF491:CF502,CI502),SSW,2,FALSE),VLOOKUP(INDEX(CF491:CF502,CI502),SSM,2,FALSE)),"----")</f>
        <v>----</v>
      </c>
      <c r="CK502" s="714" t="e">
        <f t="shared" ca="1" si="8926"/>
        <v>#N/A</v>
      </c>
      <c r="CL502" s="715" t="e">
        <f ca="1">IF(AND(INDEX(WSM,CK502,4)&gt;=$AB491,INDEX(WSM,CK502,5)&gt;=$S491,INDEX(WSM,CK502,6)&gt;=$R491),1,0)</f>
        <v>#N/A</v>
      </c>
      <c r="CM502" s="715" t="e">
        <f t="shared" ref="CM502" ca="1" si="9111">MATCH(1,OFFSET(CL491:CL502,CN501,0,COUNT(CL491:CL502)-CN501),0)</f>
        <v>#REF!</v>
      </c>
      <c r="CN502" s="715" t="e">
        <f t="shared" ca="1" si="8928"/>
        <v>#REF!</v>
      </c>
      <c r="CO502" s="716" t="str">
        <f ca="1">IFERROR(VLOOKUP(INDEX(CK491:CK502,CN502),WSM,2,FALSE),"----")</f>
        <v>----</v>
      </c>
      <c r="CP502" s="714" t="e">
        <f t="shared" ca="1" si="8929"/>
        <v>#N/A</v>
      </c>
      <c r="CQ502" s="715" t="e">
        <f ca="1">IF(AND(INDEX(STM,CP502,4)&gt;=$AB491,INDEX(STM,CP502,5)&gt;=$S491,INDEX(STM,CP502,6)&gt;=$R491),1,0)</f>
        <v>#N/A</v>
      </c>
      <c r="CR502" s="715" t="e">
        <f t="shared" ref="CR502" ca="1" si="9112">MATCH(1,OFFSET(CQ491:CQ502,CS501,0,COUNT(CQ491:CQ502)-CS501),0)</f>
        <v>#REF!</v>
      </c>
      <c r="CS502" s="715" t="e">
        <f t="shared" ca="1" si="8931"/>
        <v>#REF!</v>
      </c>
      <c r="CT502" s="716" t="str">
        <f ca="1">IFERROR(VLOOKUP(INDEX(CP491:CP502,CS502),STM,2,FALSE),"----")</f>
        <v>----</v>
      </c>
      <c r="CU502" s="714" t="e">
        <f t="shared" ca="1" si="8932"/>
        <v>#N/A</v>
      </c>
      <c r="CV502" s="715" t="e">
        <f ca="1">IF(AND(INDEX(ELM,CU502,4)&gt;=$AB491,INDEX(ELM,CU502,5)&gt;=$S491,INDEX(ELM,CU502,6)&gt;=$R491),1,0)</f>
        <v>#N/A</v>
      </c>
      <c r="CW502" s="715" t="e">
        <f t="shared" ref="CW502" ca="1" si="9113">MATCH(1,OFFSET(CV491:CV502,CX501,0,COUNT(CV491:CV502)-CX501),0)</f>
        <v>#REF!</v>
      </c>
      <c r="CX502" s="715" t="e">
        <f t="shared" ca="1" si="8934"/>
        <v>#REF!</v>
      </c>
      <c r="CY502" s="716" t="str">
        <f ca="1">IFERROR(VLOOKUP(INDEX(CU491:CU502,CX502),ELM,2,FALSE),"----")</f>
        <v>----</v>
      </c>
      <c r="CZ502" s="714" t="e">
        <f t="shared" ca="1" si="8935"/>
        <v>#N/A</v>
      </c>
      <c r="DA502" s="715" t="e">
        <f ca="1">IF(LEFT($J491,7)="Clad Wo",IF(AND(INDEX(SPPWS,CZ502,4)&gt;=$AB491,INDEX(SPPWS,CZ502,5)&gt;=$S491,INDEX(SPPWS,CZ502,6)&gt;=$R491),1,0),IF(AND(INDEX(SPM,CZ502,4)&gt;=$AB491,INDEX(SPM,CZ502,5)&gt;=$S491,INDEX(SPM,CZ502,6)&gt;=$R491),1,0))</f>
        <v>#N/A</v>
      </c>
      <c r="DB502" s="715" t="e">
        <f t="shared" ref="DB502" ca="1" si="9114">MATCH(1,OFFSET(DA491:DA502,DC501,0,COUNT(DA491:DA502)-DC501),0)</f>
        <v>#REF!</v>
      </c>
      <c r="DC502" s="715" t="e">
        <f t="shared" ca="1" si="8937"/>
        <v>#REF!</v>
      </c>
      <c r="DD502" s="717" t="str">
        <f ca="1">IF(LEFT($J491,7)="Clad Wo",IFERROR(VLOOKUP(INDEX(CZ491:CZ502,DC502),SPPWS,2,FALSE),"----"),IFERROR(VLOOKUP(INDEX(CZ491:CZ502,DC502),SPM,2,FALSE),"----"))</f>
        <v>----</v>
      </c>
      <c r="DE502" s="714" t="e">
        <f t="shared" ca="1" si="8938"/>
        <v>#REF!</v>
      </c>
      <c r="DF502" s="715" t="e" cm="1">
        <f t="array" aca="1" ref="DF502" ca="1">IF(AND(INDEX(INDIRECT(BY491),DE502,4)&gt;=$AB497,INDEX(INDIRECT(BY491),DE502,5)&gt;=$S491,INDEX(INDIRECT(BY491),DE502,6)&gt;=$R491),1,0)</f>
        <v>#REF!</v>
      </c>
      <c r="DG502" s="715" t="e">
        <f t="shared" ref="DG502" ca="1" si="9115">MATCH(1,OFFSET(DF491:DF502,DH501,0,COUNT(DF491:DF502)-DH501),0)</f>
        <v>#REF!</v>
      </c>
      <c r="DH502" s="715" t="e">
        <f t="shared" ca="1" si="8940"/>
        <v>#REF!</v>
      </c>
      <c r="DI502" s="716" t="str" cm="1">
        <f t="array" aca="1" ref="DI502" ca="1">IFERROR(VLOOKUP(INDEX(DE491:DE502,DH502),INDIRECT(BY491),2,FALSE),"----")</f>
        <v>----</v>
      </c>
      <c r="DJ502" s="714" t="e">
        <f t="shared" ca="1" si="8941"/>
        <v>#N/A</v>
      </c>
      <c r="DK502" s="715" t="e">
        <f ca="1">IF(AND(INDEX(SSM,DJ502,4)&gt;=$AB497,INDEX(SSM,DJ502,5)&gt;=$S491,INDEX(SSM,DJ502,6)&gt;=$R491),1,0)</f>
        <v>#N/A</v>
      </c>
      <c r="DL502" s="715" t="e">
        <f t="shared" ref="DL502" ca="1" si="9116">MATCH(1,OFFSET(DK491:DK502,DM501,0,COUNT(DK491:DK502)-DM501),0)</f>
        <v>#REF!</v>
      </c>
      <c r="DM502" s="715" t="e">
        <f t="shared" ca="1" si="8943"/>
        <v>#REF!</v>
      </c>
      <c r="DN502" s="716" t="str">
        <f ca="1">IFERROR(IF(AD498="Nested Steel Stud (wood infill)",VLOOKUP(INDEX(DJ491:DJ502,DM502),SSW,2,FALSE),VLOOKUP(INDEX(DJ491:DJ502,DM502),SSM,2,FALSE)),"----")</f>
        <v>----</v>
      </c>
      <c r="DO502" s="714" t="e">
        <f t="shared" ca="1" si="8944"/>
        <v>#N/A</v>
      </c>
      <c r="DP502" s="715" t="e">
        <f ca="1">IF(AND(INDEX(WSM,DO502,4)&gt;=$AB497,INDEX(WSM,DO502,5)&gt;=$S491,INDEX(WSM,DO502,6)&gt;=$R491),1,0)</f>
        <v>#N/A</v>
      </c>
      <c r="DQ502" s="715" t="e">
        <f t="shared" ref="DQ502" ca="1" si="9117">MATCH(1,OFFSET(DP491:DP502,DR501,0,COUNT(DP491:DP502)-DR501),0)</f>
        <v>#REF!</v>
      </c>
      <c r="DR502" s="715" t="e">
        <f t="shared" ca="1" si="8946"/>
        <v>#REF!</v>
      </c>
      <c r="DS502" s="716" t="str">
        <f ca="1">IFERROR(VLOOKUP(INDEX(DO491:DO502,DR502),WSM,2,FALSE),"----")</f>
        <v>----</v>
      </c>
      <c r="DT502" s="714" t="e">
        <f t="shared" ca="1" si="8947"/>
        <v>#N/A</v>
      </c>
      <c r="DU502" s="715" t="e">
        <f ca="1">IF(AND(INDEX(STM,DT502,4)&gt;=$AB497,INDEX(STM,DT502,5)&gt;=$S491,INDEX(STM,DT502,6)&gt;=$R491),1,0)</f>
        <v>#N/A</v>
      </c>
      <c r="DV502" s="715" t="e">
        <f t="shared" ref="DV502" ca="1" si="9118">MATCH(1,OFFSET(DU491:DU502,DW501,0,COUNT(DU491:DU502)-DW501),0)</f>
        <v>#REF!</v>
      </c>
      <c r="DW502" s="715" t="e">
        <f t="shared" ca="1" si="8949"/>
        <v>#REF!</v>
      </c>
      <c r="DX502" s="716" t="str">
        <f ca="1">IFERROR(VLOOKUP(INDEX(DT491:DT502,DW502),STM,2,FALSE),"----")</f>
        <v>----</v>
      </c>
      <c r="DY502" s="714" t="e">
        <f t="shared" ca="1" si="8950"/>
        <v>#N/A</v>
      </c>
      <c r="DZ502" s="715" t="e">
        <f ca="1">IF(AND(INDEX(ELM,DY502,4)&gt;=$AB497,INDEX(ELM,DY502,5)&gt;=$S491,INDEX(ELM,DY502,6)&gt;=$R491),1,0)</f>
        <v>#N/A</v>
      </c>
      <c r="EA502" s="715" t="e">
        <f t="shared" ref="EA502" ca="1" si="9119">MATCH(1,OFFSET(DZ491:DZ502,EB501,0,COUNT(DZ491:DZ502)-EB501),0)</f>
        <v>#REF!</v>
      </c>
      <c r="EB502" s="715" t="e">
        <f t="shared" ca="1" si="8952"/>
        <v>#REF!</v>
      </c>
      <c r="EC502" s="716" t="str">
        <f ca="1">IFERROR(VLOOKUP(INDEX(DY491:DY502,EB502),ELM,2,FALSE),"----")</f>
        <v>----</v>
      </c>
      <c r="ED502" s="714" t="e">
        <f t="shared" ca="1" si="8953"/>
        <v>#N/A</v>
      </c>
      <c r="EE502" s="715" t="e">
        <f ca="1">IF(LEFT($J491,7)="Clad Wo",IF(AND(INDEX(SPPWS,ED502,4)&gt;=$AB497,INDEX(SPPWS,ED502,5)&gt;=$S491,INDEX(SPPWS,ED502,6)&gt;=$R491),1,0),IF(AND(INDEX(SPM,ED502,4)&gt;=$AB497,INDEX(SPM,ED502,5)&gt;=$S491,INDEX(SPM,ED502,6)&gt;=$R491),1,0))</f>
        <v>#N/A</v>
      </c>
      <c r="EF502" s="715" t="e">
        <f t="shared" ref="EF502" ca="1" si="9120">MATCH(1,OFFSET(EE491:EE502,EG501,0,COUNT(EE491:EE502)-EG501),0)</f>
        <v>#REF!</v>
      </c>
      <c r="EG502" s="715" t="e">
        <f t="shared" ca="1" si="8955"/>
        <v>#REF!</v>
      </c>
      <c r="EH502" s="716" t="str">
        <f ca="1">IF(LEFT($J491,7)="Clad Wo",IFERROR(VLOOKUP(INDEX(ED491:ED502,EG502),SPPWS,2,FALSE),"----"),IFERROR(VLOOKUP(INDEX(ED491:ED502,EG502),SPM,2,FALSE),"----"))</f>
        <v>----</v>
      </c>
    </row>
    <row r="503" spans="1:138" ht="15" customHeight="1" thickTop="1" x14ac:dyDescent="0.25">
      <c r="A503" s="1085"/>
      <c r="B503" s="931" t="s">
        <v>92</v>
      </c>
      <c r="C503" s="932"/>
      <c r="D503" s="933"/>
      <c r="E503" s="992"/>
      <c r="F503" s="993"/>
      <c r="G503" s="994"/>
      <c r="H503" s="1061"/>
      <c r="I503" s="989"/>
      <c r="J503" s="906"/>
      <c r="K503" s="907"/>
      <c r="L503" s="1001">
        <f>$W$3</f>
        <v>4</v>
      </c>
      <c r="M503" s="923" t="str">
        <f t="shared" ref="M503" si="9121">IFERROR(IF($AE$13="",IF($AG$19="Wind Loading",MIN($V$31,IF(E$11="ASCE 7-05",$U$26,$V$7)*$V$9*(IF($E$12&lt;60,0.0771*LN(MAX(MIN(500,O503),10)) -1.2737,IF($E$11="ASCE 7-22",0.0524*LN(MAX(MIN(500,O503),50))-1.0278,0.0614*LN(MAX(MIN(500,O503),20)) -1.0829))-$V$8)),$V$7*IF(E$12&lt;60,$V$13*($V$15*0.0771*LN(MAX(MIN(500,O503),10))-1.2737-$V$16),$V$13*$V$15*((0.0524*LN(MAX(MIN(500,O503),20))-1.0278)-$V$16))),-ABS($AE$13)),"")</f>
        <v/>
      </c>
      <c r="N503" s="1042" t="str">
        <f t="shared" ref="N503" si="9122">IFERROR(IF($AE$15="",IF($AG$19="Wind Loading",MAX($U$31,IF(E$11="ASCE 7-05",$U$26,$V$7)*$V$9*((IF($E$12&lt;60,-0.077*LN(MAX(MIN(500,O503),10))+1.1737,IF($E$11="ASCE 7-22",-0.077*LN(MAX(MIN(500,O503),20))+1.0798,-0.093*LN(MAX(MIN(500,O503),20))+1.1776)))+$V$8)),$V$7*IF(E$12&lt;60,$V$13*($V$15*(-0.077*LN(MAX(MIN(500,O503),10))+1.1737)-$V$17),$V$13*$V$15*((-0.077*LN(MAX(MIN(500,O503),20))+1.0798)-$V$17))),ABS($AE$15)),"")</f>
        <v/>
      </c>
      <c r="O503" s="1017" t="str">
        <f>IF(BX510=0,"",IF(AG$14="Trapezoidal",BY510,BX510))</f>
        <v/>
      </c>
      <c r="P503" s="986"/>
      <c r="Q503" s="1014"/>
      <c r="R503" s="1011">
        <f>P503*Q503/8</f>
        <v>0</v>
      </c>
      <c r="S503" s="1004">
        <f t="shared" ref="S503" si="9123">IF(5*(P503*Q503^3/(384*0.125))=0,0,5*(P503*Q503^3/(384*0.125)))</f>
        <v>0</v>
      </c>
      <c r="T503" s="1005"/>
      <c r="U503" s="877" t="e">
        <f ca="1">VLOOKUP(J507,INDIRECT(VLOOKUP(J503,FrameStrength,2,FALSE)),3,FALSE)</f>
        <v>#N/A</v>
      </c>
      <c r="V503" s="880">
        <f t="shared" ref="V503" si="9124">(H503+I503)/2</f>
        <v>0</v>
      </c>
      <c r="W503" s="883" t="e">
        <f t="shared" ref="W503" si="9125">MAX(-M503,N503)*O503</f>
        <v>#VALUE!</v>
      </c>
      <c r="X503" s="883">
        <f t="shared" ref="X503" si="9126">IF(E503&gt;162,(E503/240+0.25),IF(AND(E503&lt;162,E503/175&lt;0.75),E503/175,0.75))</f>
        <v>0</v>
      </c>
      <c r="Y503" s="886">
        <f>IFERROR(IF(AG$14="Trapezoidal",BY511,BX511)+IF($E$17="4",(400*E503^3)/(48*X503),0),0)</f>
        <v>0</v>
      </c>
      <c r="Z503" s="886" t="e">
        <f t="shared" ref="Z503" si="9127">+($V503*MAX(-$M503,$N503)*$E503^2)/(144*8)+IF($E$17=4,(400*$E503)/4,0)</f>
        <v>#VALUE!</v>
      </c>
      <c r="AA503" s="886" t="e">
        <f ca="1">VLOOKUP(J507,INDIRECT(VLOOKUP(J503,FrameStrength,2,FALSE)),2,FALSE)</f>
        <v>#N/A</v>
      </c>
      <c r="AB503" s="1083" t="str">
        <f t="shared" ref="AB503" ca="1" si="9128">IFERROR(Z503-AA503,"")</f>
        <v/>
      </c>
      <c r="AC503" s="1077" t="str">
        <f t="shared" ref="AC503" ca="1" si="9129">IFERROR(Y503-U503,"")</f>
        <v/>
      </c>
      <c r="AD503" s="1100" t="str">
        <f>IFERROR(IF(LEFT(J507,2)="As",VLOOKUP(J507,EIMM,4,FALSE),VLOOKUP(J503,EIMM,4,FALSE)),IF(AND(ISNUMBER(SEARCH("Impervia",J503)),ISNUMBER(SEARCH("door",J507))),'New Lookup Cells'!AF$10,IF(ISNUMBER(SEARCH("Impervia",J503)),'New Lookup Cells'!AF$7,IF(AND(ISNUMBER(SEARCH("250",J503)),ISNUMBER(SEARCH("door",J507))),'New Lookup Cells'!AF$14,IF(ISNUMBER(SEARCH("250",J503)),'New Lookup Cells'!AF$13,"")))))</f>
        <v/>
      </c>
      <c r="AE503" s="1101"/>
      <c r="AF503" s="1050"/>
      <c r="AG503" s="1051"/>
      <c r="AH503" s="1051"/>
      <c r="AI503" s="1088"/>
      <c r="AJ503" s="1089"/>
      <c r="AK503" s="154" t="str">
        <f t="shared" ca="1" si="8761"/>
        <v/>
      </c>
      <c r="AL503" s="1038" t="str">
        <f t="shared" ref="AL503" si="9130">IFERROR(ROUND(SQRT(P503^2+(W503/2+IF($E$17=4,200,0))^2),0),"")</f>
        <v/>
      </c>
      <c r="AM503" s="342" t="s">
        <v>669</v>
      </c>
      <c r="AN503" t="str">
        <f t="shared" ca="1" si="8785"/>
        <v/>
      </c>
      <c r="AP503" s="122" t="str">
        <f t="shared" ref="AP503" si="9131">_xlfn.CONCAT(AR503,AS508)</f>
        <v/>
      </c>
      <c r="AQ503" s="683" t="str">
        <f t="shared" si="8985"/>
        <v/>
      </c>
      <c r="AR503" s="96" t="str">
        <f t="shared" si="8745"/>
        <v/>
      </c>
      <c r="AS503" s="96" t="str">
        <f>IF(COUNTIF(imp_1,AF503)=1,"imp_1",IF(COUNTIF(imp_2,AF503)=1,"imp_2",IF(COUNTIF(imp_3,AF503)=1,"imp_3",IF(COUNTIF(impdoor,AF503)=1,"impdoor",""))))</f>
        <v/>
      </c>
      <c r="AT503" s="684" t="str">
        <f>AL503</f>
        <v/>
      </c>
      <c r="AU503" s="685" t="e">
        <f ca="1">MATCH(AL503,INDIRECT(AP503),-1)</f>
        <v>#REF!</v>
      </c>
      <c r="AV503" s="686" t="str">
        <f ca="1">IFERROR(VLOOKUP(AU503,INDIRECT(AQ503),2,FALSE),"----")</f>
        <v>----</v>
      </c>
      <c r="AW503" s="685" t="e">
        <f ca="1">MATCH(AL503,INDIRECT(AP504),-1)</f>
        <v>#REF!</v>
      </c>
      <c r="AX503" s="686" t="str">
        <f ca="1">IFERROR(VLOOKUP(AW503,INDIRECT(AQ504),2,FALSE),"----")</f>
        <v>----</v>
      </c>
      <c r="AY503" s="685" t="e">
        <f ca="1">MATCH(AL503,INDIRECT(AP505),-1)</f>
        <v>#REF!</v>
      </c>
      <c r="AZ503" s="686" t="str">
        <f ca="1">IFERROR(VLOOKUP(AY503,INDIRECT(AQ505),2,FALSE),"----")</f>
        <v>----</v>
      </c>
      <c r="BA503" s="685" t="e">
        <f ca="1">MATCH(AL503,INDIRECT(AP506),-1)</f>
        <v>#REF!</v>
      </c>
      <c r="BB503" s="686" t="str">
        <f ca="1">IFERROR(VLOOKUP(BA503,INDIRECT(AQ506),2,FALSE),"----")</f>
        <v>----</v>
      </c>
      <c r="BC503" s="685" t="e">
        <f ca="1">MATCH(AL503,INDIRECT(AP507),-1)</f>
        <v>#REF!</v>
      </c>
      <c r="BD503" s="686" t="str">
        <f ca="1">IFERROR(VLOOKUP(BC503,INDIRECT(AQ507),2,FALSE),"----")</f>
        <v>----</v>
      </c>
      <c r="BE503" s="685" t="e">
        <f ca="1">MATCH(AL503,INDIRECT(AP508),-1)</f>
        <v>#REF!</v>
      </c>
      <c r="BF503" s="686" t="str">
        <f ca="1">IFERROR(VLOOKUP(BE503,INDIRECT(AQ508),2,FALSE),"----")</f>
        <v>----</v>
      </c>
      <c r="BG503" s="685" t="e">
        <f ca="1">MATCH(AL509,INDIRECT(AP509),-1)</f>
        <v>#REF!</v>
      </c>
      <c r="BH503" s="686" t="str">
        <f ca="1">IFERROR(VLOOKUP(BG503,INDIRECT(AQ509),2,FALSE),"----")</f>
        <v>----</v>
      </c>
      <c r="BI503" s="685" t="e">
        <f ca="1">MATCH(AL509,INDIRECT(AP510),-1)</f>
        <v>#REF!</v>
      </c>
      <c r="BJ503" s="686" t="str">
        <f ca="1">IFERROR(VLOOKUP(BI503,INDIRECT(AQ510),2,FALSE),"----")</f>
        <v>----</v>
      </c>
      <c r="BK503" s="685" t="e">
        <f ca="1">MATCH(AL509,INDIRECT(AP511),-1)</f>
        <v>#REF!</v>
      </c>
      <c r="BL503" s="686" t="str">
        <f ca="1">IFERROR(VLOOKUP(BK503,INDIRECT(AQ511),2,FALSE),"----")</f>
        <v>----</v>
      </c>
      <c r="BM503" s="685" t="e">
        <f ca="1">MATCH(AL509,INDIRECT(AP512),-1)</f>
        <v>#REF!</v>
      </c>
      <c r="BN503" s="686" t="str">
        <f ca="1">IFERROR(VLOOKUP(BM503,INDIRECT(AQ512),2,FALSE),"----")</f>
        <v>----</v>
      </c>
      <c r="BO503" s="685" t="e">
        <f ca="1">MATCH(AL509,INDIRECT(AP513),-1)</f>
        <v>#REF!</v>
      </c>
      <c r="BP503" s="686" t="str">
        <f ca="1">IFERROR(VLOOKUP(BO503,INDIRECT(AQ513),2,FALSE),"----")</f>
        <v>----</v>
      </c>
      <c r="BQ503" s="685" t="e">
        <f ca="1">MATCH(AL509,INDIRECT(AP514),-1)</f>
        <v>#REF!</v>
      </c>
      <c r="BR503" s="686" t="str">
        <f ca="1">IFERROR(VLOOKUP(BQ503,INDIRECT(AQ514),2,FALSE),"----")</f>
        <v>----</v>
      </c>
      <c r="BS503" s="687">
        <f>IF(AI503="",1,IF(COUNTIF(AV503:AV514,AI503)=0,2,1))</f>
        <v>1</v>
      </c>
      <c r="BT503" s="688">
        <f>IF(AP503="1",1,IF(AF503="",1,IF(AV503=".",2,1)))</f>
        <v>1</v>
      </c>
      <c r="BU503" s="706"/>
      <c r="BV503" s="155">
        <f ca="1">IF(COUNTIF(CE503:CE514,AF503)=0,IF(AF503&lt;&gt;"",0,1),1)</f>
        <v>1</v>
      </c>
      <c r="BW503" s="157">
        <f ca="1">IFERROR(MATCH(AF503,CE503:CE514,0),1)</f>
        <v>1</v>
      </c>
      <c r="BX503" s="769" t="str">
        <f>IFERROR(IF(LEFT(J507,2)="As",VLOOKUP(J507,EIMM,2,FALSE),IF(AND(ISNUMBER(SEARCH("Impervia",J503)),ISNUMBER(SEARCH("door",J507))),VLOOKUP("Impervia Door",EIMM,2,FALSE),IF(AND(ISNUMBER(SEARCH("250",J503)),ISNUMBER(SEARCH("door",J507))),VLOOKUP("250 Series Door",EIMM,2,FALSE),VLOOKUP(J503,EIMM,2,FALSE)))),"")</f>
        <v/>
      </c>
      <c r="BY503" s="769" t="str">
        <f ca="1">IFERROR(VLOOKUP(BX503,OFFSET(EIMM,0,1),2,FALSE),"")</f>
        <v/>
      </c>
      <c r="BZ503" s="1110" t="e">
        <f ca="1">IF((COUNTIF(INDIRECT(SUBSTITUTE(J503," ","_")),J507))=0,IF(J507="",1,0),1)</f>
        <v>#REF!</v>
      </c>
      <c r="CA503" s="691" t="e">
        <f ca="1">MATCH(AC503,INDIRECT(BX503),-1)</f>
        <v>#REF!</v>
      </c>
      <c r="CB503" s="4" t="e" cm="1">
        <f t="array" aca="1" ref="CB503" ca="1">IF(AND(INDEX(INDIRECT(BY503),CA503,4)&gt;=$AB503,INDEX(INDIRECT(BY503),CA503,5)&gt;=$S503,INDEX(INDIRECT(BY503),CA503,6)&gt;=$R503),1,0)</f>
        <v>#REF!</v>
      </c>
      <c r="CC503" s="4" t="e">
        <f t="shared" ref="CC503" ca="1" si="9132">MATCH(1,OFFSET(CB503:CB514,$W$2,0,COUNT(CB503:CB514)-$W$2),0)</f>
        <v>#REF!</v>
      </c>
      <c r="CD503" s="4" t="e">
        <f t="shared" ref="CD503" ca="1" si="9133">$W$2+CC503</f>
        <v>#REF!</v>
      </c>
      <c r="CE503" s="692" t="str" cm="1">
        <f t="array" aca="1" ref="CE503" ca="1">IFERROR(VLOOKUP(INDEX(CA503:CA514,CD503),INDIRECT(BY503),2,FALSE),"----")</f>
        <v>----</v>
      </c>
      <c r="CF503" s="691" t="e">
        <f ca="1">MATCH($AC503,SSEI,-1)</f>
        <v>#N/A</v>
      </c>
      <c r="CG503" s="4" t="e">
        <f ca="1">IF(AND(INDEX(SSM,CF503,4)&gt;=$AB503,INDEX(SSM,CF503,5)&gt;=$S503,INDEX(SSM,CF503,6)&gt;=$R503),1,0)</f>
        <v>#N/A</v>
      </c>
      <c r="CH503" s="4" t="e">
        <f t="shared" ref="CH503" ca="1" si="9134">MATCH(1,OFFSET(CG503:CG514,$W$2,0,COUNT(CG503:CG514)-$W$2),0)</f>
        <v>#REF!</v>
      </c>
      <c r="CI503" s="4" t="e">
        <f t="shared" ref="CI503" ca="1" si="9135">$W$2+CH503</f>
        <v>#REF!</v>
      </c>
      <c r="CJ503" s="692" t="str">
        <f ca="1">IFERROR(IF(AD504="Nested Steel Stud (wood infill)",VLOOKUP(INDEX(CF503:CF514,CI503),SSW,2,FALSE),VLOOKUP(INDEX(CF503:CF514,CI503),SSM,2,FALSE)),"----")</f>
        <v>----</v>
      </c>
      <c r="CK503" s="691" t="e">
        <f ca="1">MATCH($AC503,WSEI,-1)</f>
        <v>#N/A</v>
      </c>
      <c r="CL503" s="4" t="e">
        <f ca="1">IF(AND(INDEX(WSM,CK503,4)&gt;=$AB503,INDEX(WSM,CK503,5)&gt;=$S503,INDEX(WSM,CK503,6)&gt;=$R503),1,0)</f>
        <v>#N/A</v>
      </c>
      <c r="CM503" s="4" t="e">
        <f t="shared" ref="CM503" ca="1" si="9136">MATCH(1,OFFSET(CL503:CL514,$W$2,0,COUNT(CL503:CL514)-$W$2),0)</f>
        <v>#REF!</v>
      </c>
      <c r="CN503" s="4" t="e">
        <f t="shared" ref="CN503" ca="1" si="9137">$W$2+CM503</f>
        <v>#REF!</v>
      </c>
      <c r="CO503" s="692" t="str">
        <f ca="1">IFERROR(VLOOKUP(INDEX(CK503:CK514,CN503),WSM,2,FALSE),"----")</f>
        <v>----</v>
      </c>
      <c r="CP503" s="691" t="e">
        <f ca="1">MATCH($AC503,STEI,-1)</f>
        <v>#N/A</v>
      </c>
      <c r="CQ503" s="4" t="e">
        <f ca="1">IF(AND(INDEX(STM,CP503,4)&gt;=$AB503,INDEX(STM,CP503,5)&gt;=$S503,INDEX(STM,CP503,6)&gt;=$R503),1,0)</f>
        <v>#N/A</v>
      </c>
      <c r="CR503" s="4" t="e">
        <f t="shared" ref="CR503" ca="1" si="9138">MATCH(1,OFFSET(CQ503:CQ514,$W$2,0,COUNT(CQ503:CQ514)-$W$2),0)</f>
        <v>#REF!</v>
      </c>
      <c r="CS503" s="4" t="e">
        <f t="shared" ref="CS503" ca="1" si="9139">$W$2+CR503</f>
        <v>#REF!</v>
      </c>
      <c r="CT503" s="692" t="str">
        <f ca="1">IFERROR(VLOOKUP(INDEX(CP503:CP514,CS503),STM,2,FALSE),"----")</f>
        <v>----</v>
      </c>
      <c r="CU503" s="691" t="e">
        <f ca="1">MATCH($AC503,ELEI,-1)</f>
        <v>#N/A</v>
      </c>
      <c r="CV503" s="4" t="e">
        <f ca="1">IF(AND(INDEX(ELM,CU503,4)&gt;=$AB503,INDEX(ELM,CU503,5)&gt;=$S503,INDEX(ELM,CU503,6)&gt;=$R503),1,0)</f>
        <v>#N/A</v>
      </c>
      <c r="CW503" s="4" t="e">
        <f t="shared" ref="CW503" ca="1" si="9140">MATCH(1,OFFSET(CV503:CV514,$W$2,0,COUNT(CV503:CV514)-$W$2),0)</f>
        <v>#REF!</v>
      </c>
      <c r="CX503" s="4" t="e">
        <f t="shared" ref="CX503" ca="1" si="9141">$W$2+CW503</f>
        <v>#REF!</v>
      </c>
      <c r="CY503" s="692" t="str">
        <f ca="1">IFERROR(VLOOKUP(INDEX(CU503:CU514,CX503),ELM,2,FALSE),"----")</f>
        <v>----</v>
      </c>
      <c r="CZ503" s="691" t="e">
        <f ca="1">IF(LEFT($J503,7)="Clad Wo",MATCH($AC503,SPEIW,-1),MATCH($AC503,SPEI,-1))</f>
        <v>#N/A</v>
      </c>
      <c r="DA503" s="4" t="e">
        <f ca="1">IF(LEFT($J503,7)="Clad Wo",IF(AND(INDEX(SPPWS,CZ503,4)&gt;=$AB503,INDEX(SPPWS,CZ503,5)&gt;=$S503,INDEX(SPPWS,CZ503,6)&gt;=$R503),1,0),IF(AND(INDEX(SPM,CZ503,4)&gt;=$AB503,INDEX(SPM,CZ503,5)&gt;=$S503,INDEX(SPM,CZ503,6)&gt;=$R503),1,0))</f>
        <v>#N/A</v>
      </c>
      <c r="DB503" s="4" t="e">
        <f t="shared" ref="DB503" ca="1" si="9142">MATCH(1,OFFSET(DA503:DA514,$W$2,0,COUNT(DA503:DA514)-$W$2),0)</f>
        <v>#REF!</v>
      </c>
      <c r="DC503" s="4" t="e">
        <f t="shared" ref="DC503" ca="1" si="9143">$W$2+DB503</f>
        <v>#REF!</v>
      </c>
      <c r="DD503" s="693" t="str">
        <f ca="1">IF(LEFT($J503,7)="Clad Wo",IFERROR(VLOOKUP(INDEX(CZ503:CZ514,DC503),SPPWS,2,FALSE),"----"),IFERROR(VLOOKUP(INDEX(CZ503:CZ514,DC503),SPM,2,FALSE),"----"))</f>
        <v>----</v>
      </c>
      <c r="DE503" s="691" t="e">
        <f ca="1">MATCH(AC509,INDIRECT(BX503),-1)</f>
        <v>#REF!</v>
      </c>
      <c r="DF503" s="4" t="e" cm="1">
        <f t="array" aca="1" ref="DF503" ca="1">IF(AND(INDEX(INDIRECT(BY503),DE503,4)&gt;=$AB509,INDEX(INDIRECT(BY503),DE503,5)&gt;=$S503,INDEX(INDIRECT(BY503),DE503,6)&gt;=$R503),1,0)</f>
        <v>#REF!</v>
      </c>
      <c r="DG503" s="4" t="e">
        <f t="shared" ref="DG503" ca="1" si="9144">MATCH(1,OFFSET(DF503:DF514,$W$2,0,COUNT(DF503:DF514)-$W$2),0)</f>
        <v>#REF!</v>
      </c>
      <c r="DH503" s="4" t="e">
        <f t="shared" ref="DH503" ca="1" si="9145">$W$2+DG503</f>
        <v>#REF!</v>
      </c>
      <c r="DI503" s="692" t="str" cm="1">
        <f t="array" aca="1" ref="DI503" ca="1">IFERROR(VLOOKUP(INDEX(DE503:DE514,DH503),INDIRECT(BY503),2,FALSE),"----")</f>
        <v>----</v>
      </c>
      <c r="DJ503" s="691" t="e">
        <f ca="1">MATCH($AC509,SSEI,-1)</f>
        <v>#N/A</v>
      </c>
      <c r="DK503" s="4" t="e">
        <f ca="1">IF(AND(INDEX(SSM,DJ503,4)&gt;=$AB509,INDEX(SSM,DJ503,5)&gt;=$S503,INDEX(SSM,DJ503,6)&gt;=$R503),1,0)</f>
        <v>#N/A</v>
      </c>
      <c r="DL503" s="4" t="e">
        <f t="shared" ref="DL503" ca="1" si="9146">MATCH(1,OFFSET(DK503:DK514,$W$2,0,COUNT(DK503:DK514)-$W$2),0)</f>
        <v>#REF!</v>
      </c>
      <c r="DM503" s="4" t="e">
        <f t="shared" ref="DM503" ca="1" si="9147">$W$2+DL503</f>
        <v>#REF!</v>
      </c>
      <c r="DN503" s="692" t="str">
        <f ca="1">IFERROR(IF(AD510="Nested Steel Stud (wood infill)",VLOOKUP(INDEX(DJ503:DJ514,DM503),SSW,2,FALSE),VLOOKUP(INDEX(DJ503:DJ514,DM503),SSM,2,FALSE)),"----")</f>
        <v>----</v>
      </c>
      <c r="DO503" s="691" t="e">
        <f ca="1">MATCH($AC509,WSEI,-1)</f>
        <v>#N/A</v>
      </c>
      <c r="DP503" s="4" t="e">
        <f ca="1">IF(AND(INDEX(WSM,DO503,4)&gt;=$AB509,INDEX(WSM,DO503,5)&gt;=$S503,INDEX(WSM,DO503,6)&gt;=$R503),1,0)</f>
        <v>#N/A</v>
      </c>
      <c r="DQ503" s="4" t="e">
        <f t="shared" ref="DQ503" ca="1" si="9148">MATCH(1,OFFSET(DP503:DP514,$W$2,0,COUNT(DP503:DP514)-$W$2),0)</f>
        <v>#REF!</v>
      </c>
      <c r="DR503" s="4" t="e">
        <f t="shared" ref="DR503" ca="1" si="9149">$W$2+DQ503</f>
        <v>#REF!</v>
      </c>
      <c r="DS503" s="692" t="str">
        <f ca="1">IFERROR(VLOOKUP(INDEX(DO503:DO514,DR503),WSM,2,FALSE),"----")</f>
        <v>----</v>
      </c>
      <c r="DT503" s="691" t="e">
        <f ca="1">MATCH($AC509,STEI,-1)</f>
        <v>#N/A</v>
      </c>
      <c r="DU503" s="4" t="e">
        <f ca="1">IF(AND(INDEX(STM,DT503,4)&gt;=$AB509,INDEX(STM,DT503,5)&gt;=$S503,INDEX(STM,DT503,6)&gt;=$R503),1,0)</f>
        <v>#N/A</v>
      </c>
      <c r="DV503" s="4" t="e">
        <f t="shared" ref="DV503" ca="1" si="9150">MATCH(1,OFFSET(DU503:DU514,$W$2,0,COUNT(DU503:DU514)-$W$2),0)</f>
        <v>#REF!</v>
      </c>
      <c r="DW503" s="4" t="e">
        <f t="shared" ref="DW503" ca="1" si="9151">$W$2+DV503</f>
        <v>#REF!</v>
      </c>
      <c r="DX503" s="692" t="str">
        <f ca="1">IFERROR(VLOOKUP(INDEX(DT503:DT514,DW503),STM,2,FALSE),"----")</f>
        <v>----</v>
      </c>
      <c r="DY503" s="691" t="e">
        <f ca="1">MATCH($AC509,ELEI,-1)</f>
        <v>#N/A</v>
      </c>
      <c r="DZ503" s="4" t="e">
        <f ca="1">IF(AND(INDEX(ELM,DY503,4)&gt;=$AB509,INDEX(ELM,DY503,5)&gt;=$S503,INDEX(ELM,DY503,6)&gt;=$R503),1,0)</f>
        <v>#N/A</v>
      </c>
      <c r="EA503" s="4" t="e">
        <f t="shared" ref="EA503" ca="1" si="9152">MATCH(1,OFFSET(DZ503:DZ514,$W$2,0,COUNT(DZ503:DZ514)-$W$2),0)</f>
        <v>#REF!</v>
      </c>
      <c r="EB503" s="4" t="e">
        <f t="shared" ref="EB503" ca="1" si="9153">EA503+$W$2</f>
        <v>#REF!</v>
      </c>
      <c r="EC503" s="692" t="str">
        <f ca="1">IFERROR(VLOOKUP(INDEX(DY503:DY514,EB503),ELM,2,FALSE),"----")</f>
        <v>----</v>
      </c>
      <c r="ED503" s="691" t="e">
        <f ca="1">IF(LEFT($J503,7)="Clad Wo",MATCH($AC509,SPEIW,-1),MATCH($AC509,SPEI,-1))</f>
        <v>#N/A</v>
      </c>
      <c r="EE503" s="4" t="e">
        <f ca="1">IF(LEFT($J503,7)="Clad Wo",IF(AND(INDEX(SPPWS,ED503,4)&gt;=$AB509,INDEX(SPPWS,ED503,5)&gt;=$S503,INDEX(SPPWS,ED503,6)&gt;=$R503),1,0),IF(AND(INDEX(SPM,ED503,4)&gt;=$AB509,INDEX(SPM,ED503,5)&gt;=$S503,INDEX(SPM,ED503,6)&gt;=$R503),1,0))</f>
        <v>#N/A</v>
      </c>
      <c r="EF503" s="4" t="e">
        <f t="shared" ref="EF503" ca="1" si="9154">MATCH(1,OFFSET(EE503:EE514,$W$2,0,COUNT(EE503:EE514)-$W$2),0)</f>
        <v>#REF!</v>
      </c>
      <c r="EG503" s="4" t="e">
        <f t="shared" ref="EG503" ca="1" si="9155">$W$2+EF503</f>
        <v>#REF!</v>
      </c>
      <c r="EH503" s="692" t="str">
        <f ca="1">IF(LEFT($J503,7)="Clad Wo",IFERROR(VLOOKUP(INDEX(ED503:ED514,EG503),SPPWS,2,FALSE),"----"),IFERROR(VLOOKUP(INDEX(ED503:ED514,EG503),SPM,2,FALSE),"----"))</f>
        <v>----</v>
      </c>
    </row>
    <row r="504" spans="1:138" ht="15" customHeight="1" x14ac:dyDescent="0.25">
      <c r="A504" s="1085"/>
      <c r="B504" s="925"/>
      <c r="C504" s="926"/>
      <c r="D504" s="927"/>
      <c r="E504" s="995"/>
      <c r="F504" s="996"/>
      <c r="G504" s="997"/>
      <c r="H504" s="1062"/>
      <c r="I504" s="990"/>
      <c r="J504" s="908"/>
      <c r="K504" s="909"/>
      <c r="L504" s="1002"/>
      <c r="M504" s="923"/>
      <c r="N504" s="1042"/>
      <c r="O504" s="1018"/>
      <c r="P504" s="987"/>
      <c r="Q504" s="1015"/>
      <c r="R504" s="1012"/>
      <c r="S504" s="1006"/>
      <c r="T504" s="1007"/>
      <c r="U504" s="878"/>
      <c r="V504" s="881"/>
      <c r="W504" s="884"/>
      <c r="X504" s="884"/>
      <c r="Y504" s="887"/>
      <c r="Z504" s="887"/>
      <c r="AA504" s="887"/>
      <c r="AB504" s="1081"/>
      <c r="AC504" s="1078"/>
      <c r="AD504" s="1102" t="s">
        <v>38</v>
      </c>
      <c r="AE504" s="1103"/>
      <c r="AF504" s="1052"/>
      <c r="AG504" s="1053"/>
      <c r="AH504" s="1053"/>
      <c r="AI504" s="1066"/>
      <c r="AJ504" s="1067"/>
      <c r="AK504" s="156" t="str">
        <f t="shared" ca="1" si="8761"/>
        <v/>
      </c>
      <c r="AL504" s="1039"/>
      <c r="AM504" s="343" t="str">
        <f ca="1">IFERROR(Q503/12*ROUND(VLOOKUP(AF504,OFFSET(SSM,0,1),6,FALSE),2),"")</f>
        <v/>
      </c>
      <c r="AN504" t="str">
        <f t="shared" ca="1" si="8785"/>
        <v/>
      </c>
      <c r="AP504" s="122" t="str">
        <f t="shared" ref="AP504" si="9156">_xlfn.CONCAT(AR504,AS508)</f>
        <v/>
      </c>
      <c r="AQ504" s="683" t="str">
        <f t="shared" si="8985"/>
        <v/>
      </c>
      <c r="AR504" s="96" t="str">
        <f t="shared" si="8745"/>
        <v/>
      </c>
      <c r="AS504" s="96" t="str">
        <f>IF(COUNTIF(Vista_1,AF503)=1,"Vista_1",IF(COUNTIF(Vista_2,AF503)=1,"Vista_2",""))</f>
        <v/>
      </c>
      <c r="AT504" s="684" t="str">
        <f>AL503</f>
        <v/>
      </c>
      <c r="AU504" s="694" t="e">
        <f t="shared" ref="AU504" ca="1" si="9157">AU503-1</f>
        <v>#REF!</v>
      </c>
      <c r="AV504" s="686" t="str">
        <f ca="1">IFERROR(VLOOKUP(AU504,INDIRECT(AQ503),2,FALSE),"----")</f>
        <v>----</v>
      </c>
      <c r="AW504" s="694" t="e">
        <f t="shared" ref="AW504:AW505" ca="1" si="9158">AW503-1</f>
        <v>#REF!</v>
      </c>
      <c r="AX504" s="686" t="str">
        <f ca="1">IFERROR(VLOOKUP(AW504,INDIRECT(AQ504),2,FALSE),"----")</f>
        <v>----</v>
      </c>
      <c r="AY504" s="694" t="e">
        <f t="shared" ref="AY504:AY505" ca="1" si="9159">AY503-1</f>
        <v>#REF!</v>
      </c>
      <c r="AZ504" s="686" t="str">
        <f ca="1">IFERROR(VLOOKUP(AY504,INDIRECT(AQ505),2,FALSE),"----")</f>
        <v>----</v>
      </c>
      <c r="BA504" s="694" t="e">
        <f t="shared" ref="BA504:BA505" ca="1" si="9160">BA503-1</f>
        <v>#REF!</v>
      </c>
      <c r="BB504" s="686" t="str">
        <f ca="1">IFERROR(VLOOKUP(BA504,INDIRECT(AQ506),2,FALSE),"----")</f>
        <v>----</v>
      </c>
      <c r="BC504" s="694" t="e">
        <f t="shared" ref="BC504:BC505" ca="1" si="9161">BC503-1</f>
        <v>#REF!</v>
      </c>
      <c r="BD504" s="686" t="str">
        <f ca="1">IFERROR(VLOOKUP(BC504,INDIRECT(AQ507),2,FALSE),"----")</f>
        <v>----</v>
      </c>
      <c r="BE504" s="694" t="e">
        <f t="shared" ref="BE504" ca="1" si="9162">BE503-1</f>
        <v>#REF!</v>
      </c>
      <c r="BF504" s="686" t="str">
        <f ca="1">IFERROR(VLOOKUP(BE504,INDIRECT(AQ508),2,FALSE),"----")</f>
        <v>----</v>
      </c>
      <c r="BG504" s="694" t="e">
        <f t="shared" ref="BG504" ca="1" si="9163">BG503-1</f>
        <v>#REF!</v>
      </c>
      <c r="BH504" s="686" t="str">
        <f ca="1">IFERROR(VLOOKUP(BG504,INDIRECT(AQ509),2,FALSE),"----")</f>
        <v>----</v>
      </c>
      <c r="BI504" s="694" t="e">
        <f t="shared" ref="BI504:BI505" ca="1" si="9164">BI503-1</f>
        <v>#REF!</v>
      </c>
      <c r="BJ504" s="686" t="str">
        <f ca="1">IFERROR(VLOOKUP(BI504,INDIRECT(AQ510),2,FALSE),"----")</f>
        <v>----</v>
      </c>
      <c r="BK504" s="694" t="e">
        <f t="shared" ref="BK504:BK505" ca="1" si="9165">BK503-1</f>
        <v>#REF!</v>
      </c>
      <c r="BL504" s="686" t="str">
        <f ca="1">IFERROR(VLOOKUP(BK504,INDIRECT(AQ511),2,FALSE),"----")</f>
        <v>----</v>
      </c>
      <c r="BM504" s="694" t="e">
        <f t="shared" ref="BM504:BM505" ca="1" si="9166">BM503-1</f>
        <v>#REF!</v>
      </c>
      <c r="BN504" s="686" t="str">
        <f ca="1">IFERROR(VLOOKUP(BM504,INDIRECT(AQ512),2,FALSE),"----")</f>
        <v>----</v>
      </c>
      <c r="BO504" s="694" t="e">
        <f t="shared" ref="BO504:BO505" ca="1" si="9167">BO503-1</f>
        <v>#REF!</v>
      </c>
      <c r="BP504" s="686" t="str">
        <f ca="1">IFERROR(VLOOKUP(BO504,INDIRECT(AQ513),2,FALSE),"----")</f>
        <v>----</v>
      </c>
      <c r="BQ504" s="694" t="e">
        <f t="shared" ref="BQ504" ca="1" si="9168">BQ503-1</f>
        <v>#REF!</v>
      </c>
      <c r="BR504" s="686" t="str">
        <f ca="1">IFERROR(VLOOKUP(BQ504,INDIRECT(AQ514),2,FALSE),"----")</f>
        <v>----</v>
      </c>
      <c r="BS504" s="695">
        <f>IF(AI504="",1,IF(COUNTIF(AX503:AX514,AI504)=0,2,1))</f>
        <v>1</v>
      </c>
      <c r="BT504" s="696">
        <f>IF(AF504="",1,IF(AX503=".",2,1))</f>
        <v>1</v>
      </c>
      <c r="BU504" s="706"/>
      <c r="BV504" s="155">
        <f ca="1">IF(COUNTIF(CJ503:CJ514,AF504)=0,IF(AF504&lt;&gt;"",0,1),1)</f>
        <v>1</v>
      </c>
      <c r="BW504" s="157">
        <f ca="1">IFERROR(MATCH(AF504,CJ503:CJ514,0),1)</f>
        <v>1</v>
      </c>
      <c r="BX504" s="769"/>
      <c r="BY504" s="769"/>
      <c r="BZ504" s="1110"/>
      <c r="CA504" s="691" t="e">
        <f t="shared" ref="CA504:CA514" ca="1" si="9169">CA503-1</f>
        <v>#REF!</v>
      </c>
      <c r="CB504" s="4" t="e" cm="1">
        <f t="array" aca="1" ref="CB504" ca="1">IF(AND(INDEX(INDIRECT(BY503),CA504,4)&gt;=$AB503,INDEX(INDIRECT(BY503),CA504,5)&gt;=$S503,INDEX(INDIRECT(BY503),CA504,6)&gt;=$R503),1,0)</f>
        <v>#REF!</v>
      </c>
      <c r="CC504" s="4" t="e">
        <f t="shared" ref="CC504" ca="1" si="9170">MATCH(1,OFFSET(CB503:CB514,CD503,0,COUNT(CB503:CB514)-CD503),0)</f>
        <v>#REF!</v>
      </c>
      <c r="CD504" s="4" t="e">
        <f t="shared" ref="CD504:CD514" ca="1" si="9171">CD503+CC504</f>
        <v>#REF!</v>
      </c>
      <c r="CE504" s="692" t="str" cm="1">
        <f t="array" aca="1" ref="CE504" ca="1">IFERROR(VLOOKUP(INDEX(CA503:CA514,CD504),INDIRECT(BY503),2,FALSE),"----")</f>
        <v>----</v>
      </c>
      <c r="CF504" s="691" t="e">
        <f t="shared" ref="CF504:CF514" ca="1" si="9172">CF503-1</f>
        <v>#N/A</v>
      </c>
      <c r="CG504" s="4" t="e">
        <f ca="1">IF(AND(INDEX(SSM,CF504,4)&gt;=$AB503,INDEX(SSM,CF504,5)&gt;=$S503,INDEX(SSM,CF504,6)&gt;=$R503),1,0)</f>
        <v>#N/A</v>
      </c>
      <c r="CH504" s="4" t="e">
        <f t="shared" ref="CH504" ca="1" si="9173">MATCH(1,OFFSET(CG503:CG514,CI503,0,COUNT(CG503:CG514)-CI503),0)</f>
        <v>#REF!</v>
      </c>
      <c r="CI504" s="4" t="e">
        <f t="shared" ref="CI504:CI514" ca="1" si="9174">CI503+CH504</f>
        <v>#REF!</v>
      </c>
      <c r="CJ504" s="692" t="str">
        <f ca="1">IFERROR(IF(AD504="Nested Steel Stud (wood infill)",VLOOKUP(INDEX(CF503:CF514,CI504),SSW,2,FALSE),VLOOKUP(INDEX(CF503:CF514,CI504),SSM,2,FALSE)),"----")</f>
        <v>----</v>
      </c>
      <c r="CK504" s="691" t="e">
        <f t="shared" ref="CK504:CK514" ca="1" si="9175">CK503-1</f>
        <v>#N/A</v>
      </c>
      <c r="CL504" s="4" t="e">
        <f ca="1">IF(AND(INDEX(WSM,CK504,4)&gt;=$AB503,INDEX(WSM,CK504,5)&gt;=$S503,INDEX(WSM,CK504,6)&gt;=$R503),1,0)</f>
        <v>#N/A</v>
      </c>
      <c r="CM504" s="4" t="e">
        <f t="shared" ref="CM504" ca="1" si="9176">MATCH(1,OFFSET(CL503:CL514,CN503,0,COUNT(CL503:CL514)-CN503),0)</f>
        <v>#REF!</v>
      </c>
      <c r="CN504" s="4" t="e">
        <f t="shared" ref="CN504:CN514" ca="1" si="9177">CM504+CN503</f>
        <v>#REF!</v>
      </c>
      <c r="CO504" s="692" t="str">
        <f ca="1">IFERROR(VLOOKUP(INDEX(CK503:CK514,CN504),WSM,2,FALSE),"----")</f>
        <v>----</v>
      </c>
      <c r="CP504" s="691" t="e">
        <f t="shared" ref="CP504:CP514" ca="1" si="9178">CP503-1</f>
        <v>#N/A</v>
      </c>
      <c r="CQ504" s="4" t="e">
        <f ca="1">IF(AND(INDEX(STM,CP504,4)&gt;=$AB503,INDEX(STM,CP504,5)&gt;=$S503,INDEX(STM,CP504,6)&gt;=$R503),1,0)</f>
        <v>#N/A</v>
      </c>
      <c r="CR504" s="4" t="e">
        <f t="shared" ref="CR504" ca="1" si="9179">MATCH(1,OFFSET(CQ503:CQ514,CS503,0,COUNT(CQ503:CQ514)-CS503),0)</f>
        <v>#REF!</v>
      </c>
      <c r="CS504" s="4" t="e">
        <f t="shared" ref="CS504:CS514" ca="1" si="9180">CR504+CS503</f>
        <v>#REF!</v>
      </c>
      <c r="CT504" s="692" t="str">
        <f ca="1">IFERROR(VLOOKUP(INDEX(CP503:CP514,CS504),STM,2,FALSE),"----")</f>
        <v>----</v>
      </c>
      <c r="CU504" s="691" t="e">
        <f t="shared" ref="CU504:CU514" ca="1" si="9181">CU503-1</f>
        <v>#N/A</v>
      </c>
      <c r="CV504" s="4" t="e">
        <f ca="1">IF(AND(INDEX(ELM,CU504,4)&gt;=$AB503,INDEX(ELM,CU504,5)&gt;=$S503,INDEX(ELM,CU504,6)&gt;=$R503),1,0)</f>
        <v>#N/A</v>
      </c>
      <c r="CW504" s="4" t="e">
        <f t="shared" ref="CW504" ca="1" si="9182">MATCH(1,OFFSET(CV503:CV514,CX503,0,COUNT(CV503:CV514)-CX503),0)</f>
        <v>#REF!</v>
      </c>
      <c r="CX504" s="4" t="e">
        <f t="shared" ref="CX504:CX514" ca="1" si="9183">CW504+CX503</f>
        <v>#REF!</v>
      </c>
      <c r="CY504" s="692" t="str">
        <f ca="1">IFERROR(VLOOKUP(INDEX(CU503:CU514,CX504),ELM,2,FALSE),"----")</f>
        <v>----</v>
      </c>
      <c r="CZ504" s="691" t="e">
        <f t="shared" ref="CZ504:CZ514" ca="1" si="9184">CZ503-1</f>
        <v>#N/A</v>
      </c>
      <c r="DA504" s="4" t="e">
        <f ca="1">IF(LEFT($J503,7)="Clad Wo",IF(AND(INDEX(SPPWS,CZ504,4)&gt;=$AB503,INDEX(SPPWS,CZ504,5)&gt;=$S503,INDEX(SPPWS,CZ504,6)&gt;=$R503),1,0),IF(AND(INDEX(SPM,CZ504,4)&gt;=$AB503,INDEX(SPM,CZ504,5)&gt;=$S503,INDEX(SPM,CZ504,6)&gt;=$R503),1,0))</f>
        <v>#N/A</v>
      </c>
      <c r="DB504" s="4" t="e">
        <f t="shared" ref="DB504" ca="1" si="9185">MATCH(1,OFFSET(DA503:DA514,DC503,0,COUNT(DA503:DA514)-DC503),0)</f>
        <v>#REF!</v>
      </c>
      <c r="DC504" s="4" t="e">
        <f t="shared" ref="DC504:DC514" ca="1" si="9186">DC503+DB504</f>
        <v>#REF!</v>
      </c>
      <c r="DD504" s="693" t="str">
        <f ca="1">IF(LEFT($J503,7)="Clad Wo",IFERROR(VLOOKUP(INDEX(CZ503:CZ514,DC504),SPPWS,2,FALSE),"----"),IFERROR(VLOOKUP(INDEX(CZ503:CZ514,DC504),SPM,2,FALSE),"----"))</f>
        <v>----</v>
      </c>
      <c r="DE504" s="691" t="e">
        <f t="shared" ref="DE504:DE514" ca="1" si="9187">DE503-1</f>
        <v>#REF!</v>
      </c>
      <c r="DF504" s="4" t="e" cm="1">
        <f t="array" aca="1" ref="DF504" ca="1">IF(AND(INDEX(INDIRECT(BY503),DE504,4)&gt;=$AB509,INDEX(INDIRECT(BY503),DE504,5)&gt;=$S503,INDEX(INDIRECT(BY503),DE504,6)&gt;=$R503),1,0)</f>
        <v>#REF!</v>
      </c>
      <c r="DG504" s="4" t="e">
        <f t="shared" ref="DG504" ca="1" si="9188">MATCH(1,OFFSET(DF503:DF514,DH503,0,COUNT(DF503:DF514)-DH503),0)</f>
        <v>#REF!</v>
      </c>
      <c r="DH504" s="4" t="e">
        <f t="shared" ref="DH504:DH514" ca="1" si="9189">DH503+DG504</f>
        <v>#REF!</v>
      </c>
      <c r="DI504" s="692" t="str" cm="1">
        <f t="array" aca="1" ref="DI504" ca="1">IFERROR(VLOOKUP(INDEX(DE503:DE514,DH504),INDIRECT(BY503),2,FALSE),"----")</f>
        <v>----</v>
      </c>
      <c r="DJ504" s="691" t="e">
        <f t="shared" ref="DJ504:DJ514" ca="1" si="9190">DJ503-1</f>
        <v>#N/A</v>
      </c>
      <c r="DK504" s="4" t="e">
        <f ca="1">IF(AND(INDEX(SSM,DJ504,4)&gt;=$AB509,INDEX(SSM,DJ504,5)&gt;=$S503,INDEX(SSM,DJ504,6)&gt;=$R503),1,0)</f>
        <v>#N/A</v>
      </c>
      <c r="DL504" s="4" t="e">
        <f t="shared" ref="DL504" ca="1" si="9191">MATCH(1,OFFSET(DK503:DK514,DM503,0,COUNT(DK503:DK514)-DM503),0)</f>
        <v>#REF!</v>
      </c>
      <c r="DM504" s="4" t="e">
        <f t="shared" ref="DM504:DM514" ca="1" si="9192">DL504+DM503</f>
        <v>#REF!</v>
      </c>
      <c r="DN504" s="692" t="str">
        <f ca="1">IFERROR(IF(AD510="Nested Steel Stud (wood infill)",VLOOKUP(INDEX(DJ503:DJ514,DM504),SSW,2,FALSE),VLOOKUP(INDEX(DJ503:DJ514,DM504),SSM,2,FALSE)),"----")</f>
        <v>----</v>
      </c>
      <c r="DO504" s="691" t="e">
        <f t="shared" ref="DO504:DO514" ca="1" si="9193">DO503-1</f>
        <v>#N/A</v>
      </c>
      <c r="DP504" s="4" t="e">
        <f ca="1">IF(AND(INDEX(WSM,DO504,4)&gt;=$AB509,INDEX(WSM,DO504,5)&gt;=$S503,INDEX(WSM,DO504,6)&gt;=$R503),1,0)</f>
        <v>#N/A</v>
      </c>
      <c r="DQ504" s="4" t="e">
        <f t="shared" ref="DQ504" ca="1" si="9194">MATCH(1,OFFSET(DP503:DP514,DR503,0,COUNT(DP503:DP514)-DR503),0)</f>
        <v>#REF!</v>
      </c>
      <c r="DR504" s="4" t="e">
        <f t="shared" ref="DR504:DR514" ca="1" si="9195">DQ504+DR503</f>
        <v>#REF!</v>
      </c>
      <c r="DS504" s="692" t="str">
        <f ca="1">IFERROR(VLOOKUP(INDEX(DO503:DO514,DR504),WSM,2,FALSE),"----")</f>
        <v>----</v>
      </c>
      <c r="DT504" s="691" t="e">
        <f t="shared" ref="DT504:DT514" ca="1" si="9196">DT503-1</f>
        <v>#N/A</v>
      </c>
      <c r="DU504" s="4" t="e">
        <f ca="1">IF(AND(INDEX(STM,DT504,4)&gt;=$AB509,INDEX(STM,DT504,5)&gt;=$S503,INDEX(STM,DT504,6)&gt;=$R503),1,0)</f>
        <v>#N/A</v>
      </c>
      <c r="DV504" s="4" t="e">
        <f t="shared" ref="DV504" ca="1" si="9197">MATCH(1,OFFSET(DU503:DU514,DW503,0,COUNT(DU503:DU514)-DW503),0)</f>
        <v>#REF!</v>
      </c>
      <c r="DW504" s="4" t="e">
        <f t="shared" ref="DW504:DW514" ca="1" si="9198">DV504+DW503</f>
        <v>#REF!</v>
      </c>
      <c r="DX504" s="692" t="str">
        <f ca="1">IFERROR(VLOOKUP(INDEX(DT503:DT514,DW504),STM,2,FALSE),"----")</f>
        <v>----</v>
      </c>
      <c r="DY504" s="691" t="e">
        <f t="shared" ref="DY504:DY514" ca="1" si="9199">DY503-1</f>
        <v>#N/A</v>
      </c>
      <c r="DZ504" s="4" t="e">
        <f ca="1">IF(AND(INDEX(ELM,DY504,4)&gt;=$AB509,INDEX(ELM,DY504,5)&gt;=$S503,INDEX(ELM,DY504,6)&gt;=$R503),1,0)</f>
        <v>#N/A</v>
      </c>
      <c r="EA504" s="4" t="e">
        <f t="shared" ref="EA504" ca="1" si="9200">MATCH(1,OFFSET(DZ503:DZ514,EB503,0,COUNT(DZ503:DZ514)-EB503),0)</f>
        <v>#REF!</v>
      </c>
      <c r="EB504" s="4" t="e">
        <f t="shared" ref="EB504:EB514" ca="1" si="9201">EA504+EB503</f>
        <v>#REF!</v>
      </c>
      <c r="EC504" s="692" t="str">
        <f ca="1">IFERROR(VLOOKUP(INDEX(DY503:DY514,EB504),ELM,2,FALSE),"----")</f>
        <v>----</v>
      </c>
      <c r="ED504" s="691" t="e">
        <f t="shared" ref="ED504:ED514" ca="1" si="9202">ED503-1</f>
        <v>#N/A</v>
      </c>
      <c r="EE504" s="4" t="e">
        <f ca="1">IF(LEFT($J503,7)="Clad Wo",IF(AND(INDEX(SPPWS,ED504,4)&gt;=$AB509,INDEX(SPPWS,ED504,5)&gt;=$S503,INDEX(SPPWS,ED504,6)&gt;=$R503),1,0),IF(AND(INDEX(SPM,ED504,4)&gt;=$AB509,INDEX(SPM,ED504,5)&gt;=$S503,INDEX(SPM,ED504,6)&gt;=$R503),1,0))</f>
        <v>#N/A</v>
      </c>
      <c r="EF504" s="4" t="e">
        <f t="shared" ref="EF504" ca="1" si="9203">MATCH(1,OFFSET(EE503:EE514,EG503,0,COUNT(EE503:EE514)-EG503),0)</f>
        <v>#REF!</v>
      </c>
      <c r="EG504" s="4" t="e">
        <f t="shared" ref="EG504:EG514" ca="1" si="9204">EG503+EF504</f>
        <v>#REF!</v>
      </c>
      <c r="EH504" s="692" t="str">
        <f ca="1">IF(LEFT($J503,7)="Clad Wo",IFERROR(VLOOKUP(INDEX(ED503:ED514,EG504),SPPWS,2,FALSE),"----"),IFERROR(VLOOKUP(INDEX(ED503:ED514,EG504),SPM,2,FALSE),"----"))</f>
        <v>----</v>
      </c>
    </row>
    <row r="505" spans="1:138" ht="15" customHeight="1" x14ac:dyDescent="0.25">
      <c r="A505" s="1085"/>
      <c r="B505" s="925"/>
      <c r="C505" s="926"/>
      <c r="D505" s="927"/>
      <c r="E505" s="995"/>
      <c r="F505" s="996"/>
      <c r="G505" s="997"/>
      <c r="H505" s="1062"/>
      <c r="I505" s="990"/>
      <c r="J505" s="908"/>
      <c r="K505" s="909"/>
      <c r="L505" s="1002"/>
      <c r="M505" s="923"/>
      <c r="N505" s="1042"/>
      <c r="O505" s="1018"/>
      <c r="P505" s="987"/>
      <c r="Q505" s="1015"/>
      <c r="R505" s="1012"/>
      <c r="S505" s="1006"/>
      <c r="T505" s="1007"/>
      <c r="U505" s="878"/>
      <c r="V505" s="881"/>
      <c r="W505" s="884"/>
      <c r="X505" s="884"/>
      <c r="Y505" s="887"/>
      <c r="Z505" s="887"/>
      <c r="AA505" s="887"/>
      <c r="AB505" s="1081"/>
      <c r="AC505" s="1078"/>
      <c r="AD505" s="1070" t="s">
        <v>333</v>
      </c>
      <c r="AE505" s="1071"/>
      <c r="AF505" s="1052"/>
      <c r="AG505" s="1053"/>
      <c r="AH505" s="1053"/>
      <c r="AI505" s="1066"/>
      <c r="AJ505" s="1067"/>
      <c r="AK505" s="154" t="str">
        <f t="shared" ca="1" si="8761"/>
        <v/>
      </c>
      <c r="AL505" s="1039"/>
      <c r="AM505" s="344" t="str">
        <f ca="1">IFERROR(Q503/12*ROUND(VLOOKUP(AF505,OFFSET(WSM,0,1),6,FALSE),2),"")</f>
        <v/>
      </c>
      <c r="AN505" t="str">
        <f t="shared" ca="1" si="8785"/>
        <v/>
      </c>
      <c r="AP505" s="122" t="str">
        <f t="shared" ref="AP505" si="9205">_xlfn.CONCAT(AR505,AS508)</f>
        <v/>
      </c>
      <c r="AQ505" s="683" t="str">
        <f t="shared" si="8985"/>
        <v/>
      </c>
      <c r="AR505" s="4" t="str">
        <f t="shared" si="8745"/>
        <v/>
      </c>
      <c r="AS505" s="4"/>
      <c r="AT505" s="697" t="str">
        <f>AL503</f>
        <v/>
      </c>
      <c r="AU505" s="694" t="e">
        <f t="shared" ca="1" si="9002"/>
        <v>#REF!</v>
      </c>
      <c r="AV505" s="686" t="str">
        <f ca="1">IFERROR(VLOOKUP(AU505,INDIRECT(AQ503),2,FALSE),"----")</f>
        <v>----</v>
      </c>
      <c r="AW505" s="694" t="e">
        <f t="shared" ca="1" si="9158"/>
        <v>#REF!</v>
      </c>
      <c r="AX505" s="686" t="str">
        <f ca="1">IFERROR(VLOOKUP(AW505,INDIRECT(AQ504),2,FALSE),"----")</f>
        <v>----</v>
      </c>
      <c r="AY505" s="694" t="e">
        <f t="shared" ca="1" si="9159"/>
        <v>#REF!</v>
      </c>
      <c r="AZ505" s="686" t="str">
        <f ca="1">IFERROR(VLOOKUP(AY505,INDIRECT(AQ505),2,FALSE),"----")</f>
        <v>----</v>
      </c>
      <c r="BA505" s="694" t="e">
        <f t="shared" ca="1" si="9160"/>
        <v>#REF!</v>
      </c>
      <c r="BB505" s="686" t="str">
        <f ca="1">IFERROR(VLOOKUP(BA505,INDIRECT(AQ506),2,FALSE),"----")</f>
        <v>----</v>
      </c>
      <c r="BC505" s="694" t="e">
        <f t="shared" ca="1" si="9161"/>
        <v>#REF!</v>
      </c>
      <c r="BD505" s="686" t="str">
        <f ca="1">IFERROR(VLOOKUP(BC505,INDIRECT(AQ507),2,FALSE),"----")</f>
        <v>----</v>
      </c>
      <c r="BE505" s="694" t="e">
        <f t="shared" ca="1" si="9007"/>
        <v>#REF!</v>
      </c>
      <c r="BF505" s="686" t="str">
        <f ca="1">IFERROR(VLOOKUP(BE505,INDIRECT(AQ508),2,FALSE),"----")</f>
        <v>----</v>
      </c>
      <c r="BG505" s="694" t="e">
        <f t="shared" ca="1" si="9008"/>
        <v>#REF!</v>
      </c>
      <c r="BH505" s="686" t="str">
        <f ca="1">IFERROR(VLOOKUP(BG505,INDIRECT(AQ509),2,FALSE),"----")</f>
        <v>----</v>
      </c>
      <c r="BI505" s="694" t="e">
        <f t="shared" ca="1" si="9164"/>
        <v>#REF!</v>
      </c>
      <c r="BJ505" s="686" t="str">
        <f ca="1">IFERROR(VLOOKUP(BI505,INDIRECT(AQ510),2,FALSE),"----")</f>
        <v>----</v>
      </c>
      <c r="BK505" s="694" t="e">
        <f t="shared" ca="1" si="9165"/>
        <v>#REF!</v>
      </c>
      <c r="BL505" s="686" t="str">
        <f ca="1">IFERROR(VLOOKUP(BK505,INDIRECT(AQ511),2,FALSE),"----")</f>
        <v>----</v>
      </c>
      <c r="BM505" s="694" t="e">
        <f t="shared" ca="1" si="9166"/>
        <v>#REF!</v>
      </c>
      <c r="BN505" s="686" t="str">
        <f ca="1">IFERROR(VLOOKUP(BM505,INDIRECT(AQ512),2,FALSE),"----")</f>
        <v>----</v>
      </c>
      <c r="BO505" s="694" t="e">
        <f t="shared" ca="1" si="9167"/>
        <v>#REF!</v>
      </c>
      <c r="BP505" s="686" t="str">
        <f ca="1">IFERROR(VLOOKUP(BO505,INDIRECT(AQ513),2,FALSE),"----")</f>
        <v>----</v>
      </c>
      <c r="BQ505" s="694" t="e">
        <f t="shared" ca="1" si="9013"/>
        <v>#REF!</v>
      </c>
      <c r="BR505" s="686" t="str">
        <f ca="1">IFERROR(VLOOKUP(BQ505,INDIRECT(AQ514),2,FALSE),"----")</f>
        <v>----</v>
      </c>
      <c r="BS505" s="695">
        <f>IF(AI505="",1,IF(COUNTIF(AZ503:AZ514,AI505)=0,2,1))</f>
        <v>1</v>
      </c>
      <c r="BT505" s="696">
        <f>IF(AF505="",1,IF(AZ503=".",2,1))</f>
        <v>1</v>
      </c>
      <c r="BU505" s="706"/>
      <c r="BV505" s="155">
        <f ca="1">IF(COUNTIF(CO503:CO514,AF505)=0,IF(AF505&lt;&gt;"",0,1),1)</f>
        <v>1</v>
      </c>
      <c r="BW505" s="157">
        <f ca="1">IFERROR(MATCH(AF505,CO503:CO514,0),1)</f>
        <v>1</v>
      </c>
      <c r="BX505" s="769"/>
      <c r="BY505" s="769"/>
      <c r="BZ505" s="1110"/>
      <c r="CA505" s="691" t="e">
        <f t="shared" ca="1" si="9169"/>
        <v>#REF!</v>
      </c>
      <c r="CB505" s="4" t="e" cm="1">
        <f t="array" aca="1" ref="CB505" ca="1">IF(AND(INDEX(INDIRECT(BY503),CA505,4)&gt;=$AB503,INDEX(INDIRECT(BY503),CA505,5)&gt;=$S503,INDEX(INDIRECT(BY503),CA505,6)&gt;=$R503),1,0)</f>
        <v>#REF!</v>
      </c>
      <c r="CC505" s="4" t="e">
        <f t="shared" ref="CC505" ca="1" si="9206">MATCH(1,OFFSET(CB503:CB514,CD504,0,COUNT(CB503:CB514)-CD504),0)</f>
        <v>#REF!</v>
      </c>
      <c r="CD505" s="4" t="e">
        <f t="shared" ca="1" si="9171"/>
        <v>#REF!</v>
      </c>
      <c r="CE505" s="692" t="str" cm="1">
        <f t="array" aca="1" ref="CE505" ca="1">IFERROR(VLOOKUP(INDEX(CA503:CA514,CD505),INDIRECT(BY503),2,FALSE),"----")</f>
        <v>----</v>
      </c>
      <c r="CF505" s="691" t="e">
        <f t="shared" ca="1" si="9172"/>
        <v>#N/A</v>
      </c>
      <c r="CG505" s="4" t="e">
        <f ca="1">IF(AND(INDEX(SSM,CF505,4)&gt;=$AB503,INDEX(SSM,CF505,5)&gt;=$S503,INDEX(SSM,CF505,6)&gt;=$R503),1,0)</f>
        <v>#N/A</v>
      </c>
      <c r="CH505" s="4" t="e">
        <f t="shared" ref="CH505" ca="1" si="9207">MATCH(1,OFFSET(CG503:CG514,CI504,0,COUNT(CG503:CG514)-CI504),0)</f>
        <v>#REF!</v>
      </c>
      <c r="CI505" s="4" t="e">
        <f t="shared" ca="1" si="9174"/>
        <v>#REF!</v>
      </c>
      <c r="CJ505" s="692" t="str">
        <f ca="1">IFERROR(IF(AD504="Nested Steel Stud (wood infill)",VLOOKUP(INDEX(CF503:CF514,CI505),SSW,2,FALSE),VLOOKUP(INDEX(CF503:CF514,CI505),SSM,2,FALSE)),"----")</f>
        <v>----</v>
      </c>
      <c r="CK505" s="691" t="e">
        <f t="shared" ca="1" si="9175"/>
        <v>#N/A</v>
      </c>
      <c r="CL505" s="4" t="e">
        <f ca="1">IF(AND(INDEX(WSM,CK505,4)&gt;=$AB503,INDEX(WSM,CK505,5)&gt;=$S503,INDEX(WSM,CK505,6)&gt;=$R503),1,0)</f>
        <v>#N/A</v>
      </c>
      <c r="CM505" s="4" t="e">
        <f t="shared" ref="CM505" ca="1" si="9208">MATCH(1,OFFSET(CL503:CL514,CN504,0,COUNT(CL503:CL514)-CN504),0)</f>
        <v>#REF!</v>
      </c>
      <c r="CN505" s="4" t="e">
        <f t="shared" ca="1" si="9177"/>
        <v>#REF!</v>
      </c>
      <c r="CO505" s="692" t="str">
        <f ca="1">IFERROR(VLOOKUP(INDEX(CK503:CK514,CN505),WSM,2,FALSE),"----")</f>
        <v>----</v>
      </c>
      <c r="CP505" s="691" t="e">
        <f t="shared" ca="1" si="9178"/>
        <v>#N/A</v>
      </c>
      <c r="CQ505" s="4" t="e">
        <f ca="1">IF(AND(INDEX(STM,CP505,4)&gt;=$AB503,INDEX(STM,CP505,5)&gt;=$S503,INDEX(STM,CP505,6)&gt;=$R503),1,0)</f>
        <v>#N/A</v>
      </c>
      <c r="CR505" s="4" t="e">
        <f t="shared" ref="CR505" ca="1" si="9209">MATCH(1,OFFSET(CQ503:CQ514,CS504,0,COUNT(CQ503:CQ514)-CS504),0)</f>
        <v>#REF!</v>
      </c>
      <c r="CS505" s="4" t="e">
        <f t="shared" ca="1" si="9180"/>
        <v>#REF!</v>
      </c>
      <c r="CT505" s="692" t="str">
        <f ca="1">IFERROR(VLOOKUP(INDEX(CP503:CP514,CS505),STM,2,FALSE),"----")</f>
        <v>----</v>
      </c>
      <c r="CU505" s="691" t="e">
        <f t="shared" ca="1" si="9181"/>
        <v>#N/A</v>
      </c>
      <c r="CV505" s="4" t="e">
        <f ca="1">IF(AND(INDEX(ELM,CU505,4)&gt;=$AB503,INDEX(ELM,CU505,5)&gt;=$S503,INDEX(ELM,CU505,6)&gt;=$R503),1,0)</f>
        <v>#N/A</v>
      </c>
      <c r="CW505" s="4" t="e">
        <f t="shared" ref="CW505" ca="1" si="9210">MATCH(1,OFFSET(CV503:CV514,CX504,0,COUNT(CV503:CV514)-CX504),0)</f>
        <v>#REF!</v>
      </c>
      <c r="CX505" s="4" t="e">
        <f t="shared" ca="1" si="9183"/>
        <v>#REF!</v>
      </c>
      <c r="CY505" s="692" t="str">
        <f ca="1">IFERROR(VLOOKUP(INDEX(CU503:CU514,CX505),ELM,2,FALSE),"----")</f>
        <v>----</v>
      </c>
      <c r="CZ505" s="691" t="e">
        <f t="shared" ca="1" si="9184"/>
        <v>#N/A</v>
      </c>
      <c r="DA505" s="4" t="e">
        <f ca="1">IF(LEFT($J503,7)="Clad Wo",IF(AND(INDEX(SPPWS,CZ505,4)&gt;=$AB503,INDEX(SPPWS,CZ505,5)&gt;=$S503,INDEX(SPPWS,CZ505,6)&gt;=$R503),1,0),IF(AND(INDEX(SPM,CZ505,4)&gt;=$AB503,INDEX(SPM,CZ505,5)&gt;=$S503,INDEX(SPM,CZ505,6)&gt;=$R503),1,0))</f>
        <v>#N/A</v>
      </c>
      <c r="DB505" s="4" t="e">
        <f t="shared" ref="DB505" ca="1" si="9211">MATCH(1,OFFSET(DA503:DA514,DC504,0,COUNT(DA503:DA514)-DC504),0)</f>
        <v>#REF!</v>
      </c>
      <c r="DC505" s="4" t="e">
        <f t="shared" ca="1" si="9186"/>
        <v>#REF!</v>
      </c>
      <c r="DD505" s="693" t="str">
        <f ca="1">IF(LEFT($J503,7)="Clad Wo",IFERROR(VLOOKUP(INDEX(CZ503:CZ514,DC505),SPPWS,2,FALSE),"----"),IFERROR(VLOOKUP(INDEX(CZ503:CZ514,DC505),SPM,2,FALSE),"----"))</f>
        <v>----</v>
      </c>
      <c r="DE505" s="691" t="e">
        <f t="shared" ca="1" si="9187"/>
        <v>#REF!</v>
      </c>
      <c r="DF505" s="4" t="e" cm="1">
        <f t="array" aca="1" ref="DF505" ca="1">IF(AND(INDEX(INDIRECT(BY503),DE505,4)&gt;=$AB509,INDEX(INDIRECT(BY503),DE505,5)&gt;=$S503,INDEX(INDIRECT(BY503),DE505,6)&gt;=$R503),1,0)</f>
        <v>#REF!</v>
      </c>
      <c r="DG505" s="4" t="e">
        <f t="shared" ref="DG505" ca="1" si="9212">MATCH(1,OFFSET(DF503:DF514,DH504,0,COUNT(DF503:DF514)-DH504),0)</f>
        <v>#REF!</v>
      </c>
      <c r="DH505" s="4" t="e">
        <f t="shared" ca="1" si="9189"/>
        <v>#REF!</v>
      </c>
      <c r="DI505" s="692" t="str" cm="1">
        <f t="array" aca="1" ref="DI505" ca="1">IFERROR(VLOOKUP(INDEX(DE503:DE514,DH505),INDIRECT(BY503),2,FALSE),"----")</f>
        <v>----</v>
      </c>
      <c r="DJ505" s="691" t="e">
        <f t="shared" ca="1" si="9190"/>
        <v>#N/A</v>
      </c>
      <c r="DK505" s="4" t="e">
        <f ca="1">IF(AND(INDEX(SSM,DJ505,4)&gt;=$AB509,INDEX(SSM,DJ505,5)&gt;=$S503,INDEX(SSM,DJ505,6)&gt;=$R503),1,0)</f>
        <v>#N/A</v>
      </c>
      <c r="DL505" s="4" t="e">
        <f t="shared" ref="DL505" ca="1" si="9213">MATCH(1,OFFSET(DK503:DK514,DM504,0,COUNT(DK503:DK514)-DM504),0)</f>
        <v>#REF!</v>
      </c>
      <c r="DM505" s="4" t="e">
        <f t="shared" ca="1" si="9192"/>
        <v>#REF!</v>
      </c>
      <c r="DN505" s="692" t="str">
        <f ca="1">IFERROR(IF(AD510="Nested Steel Stud (wood infill)",VLOOKUP(INDEX(DJ503:DJ514,DM505),SSW,2,FALSE),VLOOKUP(INDEX(DJ503:DJ514,DM505),SSM,2,FALSE)),"----")</f>
        <v>----</v>
      </c>
      <c r="DO505" s="691" t="e">
        <f t="shared" ca="1" si="9193"/>
        <v>#N/A</v>
      </c>
      <c r="DP505" s="4" t="e">
        <f ca="1">IF(AND(INDEX(WSM,DO505,4)&gt;=$AB509,INDEX(WSM,DO505,5)&gt;=$S503,INDEX(WSM,DO505,6)&gt;=$R503),1,0)</f>
        <v>#N/A</v>
      </c>
      <c r="DQ505" s="4" t="e">
        <f t="shared" ref="DQ505" ca="1" si="9214">MATCH(1,OFFSET(DP503:DP514,DR504,0,COUNT(DP503:DP514)-DR504),0)</f>
        <v>#REF!</v>
      </c>
      <c r="DR505" s="4" t="e">
        <f t="shared" ca="1" si="9195"/>
        <v>#REF!</v>
      </c>
      <c r="DS505" s="692" t="str">
        <f ca="1">IFERROR(VLOOKUP(INDEX(DO503:DO514,DR505),WSM,2,FALSE),"----")</f>
        <v>----</v>
      </c>
      <c r="DT505" s="691" t="e">
        <f t="shared" ca="1" si="9196"/>
        <v>#N/A</v>
      </c>
      <c r="DU505" s="4" t="e">
        <f ca="1">IF(AND(INDEX(STM,DT505,4)&gt;=$AB509,INDEX(STM,DT505,5)&gt;=$S503,INDEX(STM,DT505,6)&gt;=$R503),1,0)</f>
        <v>#N/A</v>
      </c>
      <c r="DV505" s="4" t="e">
        <f t="shared" ref="DV505" ca="1" si="9215">MATCH(1,OFFSET(DU503:DU514,DW504,0,COUNT(DU503:DU514)-DW504),0)</f>
        <v>#REF!</v>
      </c>
      <c r="DW505" s="4" t="e">
        <f t="shared" ca="1" si="9198"/>
        <v>#REF!</v>
      </c>
      <c r="DX505" s="692" t="str">
        <f ca="1">IFERROR(VLOOKUP(INDEX(DT503:DT514,DW505),STM,2,FALSE),"----")</f>
        <v>----</v>
      </c>
      <c r="DY505" s="691" t="e">
        <f t="shared" ca="1" si="9199"/>
        <v>#N/A</v>
      </c>
      <c r="DZ505" s="4" t="e">
        <f ca="1">IF(AND(INDEX(ELM,DY505,4)&gt;=$AB509,INDEX(ELM,DY505,5)&gt;=$S503,INDEX(ELM,DY505,6)&gt;=$R503),1,0)</f>
        <v>#N/A</v>
      </c>
      <c r="EA505" s="4" t="e">
        <f t="shared" ref="EA505" ca="1" si="9216">MATCH(1,OFFSET(DZ503:DZ514,EB504,0,COUNT(DZ503:DZ514)-EB504),0)</f>
        <v>#REF!</v>
      </c>
      <c r="EB505" s="4" t="e">
        <f t="shared" ca="1" si="9201"/>
        <v>#REF!</v>
      </c>
      <c r="EC505" s="692" t="str">
        <f ca="1">IFERROR(VLOOKUP(INDEX(DY503:DY514,EB505),ELM,2,FALSE),"----")</f>
        <v>----</v>
      </c>
      <c r="ED505" s="691" t="e">
        <f t="shared" ca="1" si="9202"/>
        <v>#N/A</v>
      </c>
      <c r="EE505" s="4" t="e">
        <f ca="1">IF(LEFT($J503,7)="Clad Wo",IF(AND(INDEX(SPPWS,ED505,4)&gt;=$AB509,INDEX(SPPWS,ED505,5)&gt;=$S503,INDEX(SPPWS,ED505,6)&gt;=$R503),1,0),IF(AND(INDEX(SPM,ED505,4)&gt;=$AB509,INDEX(SPM,ED505,5)&gt;=$S503,INDEX(SPM,ED505,6)&gt;=$R503),1,0))</f>
        <v>#N/A</v>
      </c>
      <c r="EF505" s="4" t="e">
        <f t="shared" ref="EF505" ca="1" si="9217">MATCH(1,OFFSET(EE503:EE514,EG504,0,COUNT(EE503:EE514)-EG504),0)</f>
        <v>#REF!</v>
      </c>
      <c r="EG505" s="4" t="e">
        <f t="shared" ca="1" si="9204"/>
        <v>#REF!</v>
      </c>
      <c r="EH505" s="692" t="str">
        <f ca="1">IF(LEFT($J503,7)="Clad Wo",IFERROR(VLOOKUP(INDEX(ED503:ED514,EG505),SPPWS,2,FALSE),"----"),IFERROR(VLOOKUP(INDEX(ED503:ED514,EG505),SPM,2,FALSE),"----"))</f>
        <v>----</v>
      </c>
    </row>
    <row r="506" spans="1:138" ht="15" customHeight="1" x14ac:dyDescent="0.25">
      <c r="A506" s="1085"/>
      <c r="B506" s="925"/>
      <c r="C506" s="926"/>
      <c r="D506" s="927"/>
      <c r="E506" s="995"/>
      <c r="F506" s="996"/>
      <c r="G506" s="997"/>
      <c r="H506" s="1062"/>
      <c r="I506" s="990"/>
      <c r="J506" s="908"/>
      <c r="K506" s="909"/>
      <c r="L506" s="1002"/>
      <c r="M506" s="923"/>
      <c r="N506" s="1042"/>
      <c r="O506" s="1018"/>
      <c r="P506" s="987"/>
      <c r="Q506" s="1015"/>
      <c r="R506" s="1012"/>
      <c r="S506" s="1006"/>
      <c r="T506" s="1007"/>
      <c r="U506" s="878"/>
      <c r="V506" s="881"/>
      <c r="W506" s="884"/>
      <c r="X506" s="884"/>
      <c r="Y506" s="887"/>
      <c r="Z506" s="887"/>
      <c r="AA506" s="887"/>
      <c r="AB506" s="1081"/>
      <c r="AC506" s="1078"/>
      <c r="AD506" s="1070" t="s">
        <v>37</v>
      </c>
      <c r="AE506" s="1071"/>
      <c r="AF506" s="1052"/>
      <c r="AG506" s="1053"/>
      <c r="AH506" s="1053"/>
      <c r="AI506" s="1066"/>
      <c r="AJ506" s="1067"/>
      <c r="AK506" s="156" t="str">
        <f t="shared" ca="1" si="8761"/>
        <v/>
      </c>
      <c r="AL506" s="1039"/>
      <c r="AM506" s="343" t="str">
        <f ca="1">IFERROR(Q503/12*ROUND(VLOOKUP(AF506,OFFSET(STM,0,1),6,FALSE),2),"")</f>
        <v/>
      </c>
      <c r="AN506" t="str">
        <f t="shared" ca="1" si="8785"/>
        <v/>
      </c>
      <c r="AP506" s="122" t="str">
        <f t="shared" ref="AP506" si="9218">_xlfn.CONCAT(AR506,AS508)</f>
        <v/>
      </c>
      <c r="AQ506" s="683" t="str">
        <f t="shared" si="8985"/>
        <v/>
      </c>
      <c r="AR506" s="4" t="str">
        <f t="shared" si="8745"/>
        <v/>
      </c>
      <c r="AS506" s="4"/>
      <c r="AT506" s="697" t="str">
        <f>AL503</f>
        <v/>
      </c>
      <c r="AU506" s="694" t="e">
        <f t="shared" ca="1" si="9002"/>
        <v>#REF!</v>
      </c>
      <c r="AV506" s="686" t="str">
        <f ca="1">IFERROR(VLOOKUP(AU506,INDIRECT(AQ503),2,FALSE),"----")</f>
        <v>----</v>
      </c>
      <c r="AW506" s="694" t="e">
        <f t="shared" ca="1" si="9003"/>
        <v>#REF!</v>
      </c>
      <c r="AX506" s="686" t="str">
        <f ca="1">IFERROR(VLOOKUP(AW506,INDIRECT(AQ504),2,FALSE),"----")</f>
        <v>----</v>
      </c>
      <c r="AY506" s="694" t="e">
        <f t="shared" ref="AY506" ca="1" si="9219">AY505-1</f>
        <v>#REF!</v>
      </c>
      <c r="AZ506" s="686" t="str">
        <f ca="1">IFERROR(VLOOKUP(AY506,INDIRECT(AQ505),2,FALSE),"----")</f>
        <v>----</v>
      </c>
      <c r="BA506" s="694" t="e">
        <f t="shared" ref="BA506" ca="1" si="9220">BA505-1</f>
        <v>#REF!</v>
      </c>
      <c r="BB506" s="686" t="str">
        <f ca="1">IFERROR(VLOOKUP(BA506,INDIRECT(AQ506),2,FALSE),"----")</f>
        <v>----</v>
      </c>
      <c r="BC506" s="694" t="e">
        <f t="shared" ca="1" si="9006"/>
        <v>#REF!</v>
      </c>
      <c r="BD506" s="686" t="str">
        <f ca="1">IFERROR(VLOOKUP(BC506,INDIRECT(AQ507),2,FALSE),"----")</f>
        <v>----</v>
      </c>
      <c r="BE506" s="694" t="e">
        <f t="shared" ca="1" si="9007"/>
        <v>#REF!</v>
      </c>
      <c r="BF506" s="686" t="str">
        <f ca="1">IFERROR(VLOOKUP(BE506,INDIRECT(AQ508),2,FALSE),"----")</f>
        <v>----</v>
      </c>
      <c r="BG506" s="694" t="e">
        <f t="shared" ca="1" si="9008"/>
        <v>#REF!</v>
      </c>
      <c r="BH506" s="686" t="str">
        <f ca="1">IFERROR(VLOOKUP(BG506,INDIRECT(AQ509),2,FALSE),"----")</f>
        <v>----</v>
      </c>
      <c r="BI506" s="694" t="e">
        <f t="shared" ca="1" si="9009"/>
        <v>#REF!</v>
      </c>
      <c r="BJ506" s="686" t="str">
        <f ca="1">IFERROR(VLOOKUP(BI506,INDIRECT(AQ510),2,FALSE),"----")</f>
        <v>----</v>
      </c>
      <c r="BK506" s="694" t="e">
        <f t="shared" ca="1" si="9010"/>
        <v>#REF!</v>
      </c>
      <c r="BL506" s="686" t="str">
        <f ca="1">IFERROR(VLOOKUP(BK506,INDIRECT(AQ511),2,FALSE),"----")</f>
        <v>----</v>
      </c>
      <c r="BM506" s="694" t="e">
        <f t="shared" ca="1" si="9011"/>
        <v>#REF!</v>
      </c>
      <c r="BN506" s="686" t="str">
        <f ca="1">IFERROR(VLOOKUP(BM506,INDIRECT(AQ512),2,FALSE),"----")</f>
        <v>----</v>
      </c>
      <c r="BO506" s="694" t="e">
        <f t="shared" ca="1" si="9012"/>
        <v>#REF!</v>
      </c>
      <c r="BP506" s="686" t="str">
        <f ca="1">IFERROR(VLOOKUP(BO506,INDIRECT(AQ513),2,FALSE),"----")</f>
        <v>----</v>
      </c>
      <c r="BQ506" s="694" t="e">
        <f t="shared" ca="1" si="9013"/>
        <v>#REF!</v>
      </c>
      <c r="BR506" s="686" t="str">
        <f ca="1">IFERROR(VLOOKUP(BQ506,INDIRECT(AQ514),2,FALSE),"----")</f>
        <v>----</v>
      </c>
      <c r="BS506" s="695">
        <f>IF(AI506="",1,IF(COUNTIF(BB503:BB514,AI506)=0,2,1))</f>
        <v>1</v>
      </c>
      <c r="BT506" s="696">
        <f>IF(AF506="",1,IF(BB503=".",2,1))</f>
        <v>1</v>
      </c>
      <c r="BU506" s="706"/>
      <c r="BV506" s="155">
        <f ca="1">IF(COUNTIF(CT503:CT514,AF506)=0,IF(AF506&lt;&gt;"",0,1),1)</f>
        <v>1</v>
      </c>
      <c r="BW506" s="157">
        <f ca="1">IFERROR(MATCH(AF506,CT503:CT514,0),1)</f>
        <v>1</v>
      </c>
      <c r="BX506" s="769"/>
      <c r="BY506" s="769"/>
      <c r="BZ506" s="1110"/>
      <c r="CA506" s="691" t="e">
        <f t="shared" ca="1" si="9169"/>
        <v>#REF!</v>
      </c>
      <c r="CB506" s="4" t="e" cm="1">
        <f t="array" aca="1" ref="CB506" ca="1">IF(AND(INDEX(INDIRECT(BY503),CA506,4)&gt;=$AB503,INDEX(INDIRECT(BY503),CA506,5)&gt;=$S503,INDEX(INDIRECT(BY503),CA506,6)&gt;=$R503),1,0)</f>
        <v>#REF!</v>
      </c>
      <c r="CC506" s="4" t="e">
        <f t="shared" ref="CC506" ca="1" si="9221">MATCH(1,OFFSET(CB503:CB514,CD505,0,COUNT(CB503:CB514)-CD505),0)</f>
        <v>#REF!</v>
      </c>
      <c r="CD506" s="4" t="e">
        <f t="shared" ca="1" si="9171"/>
        <v>#REF!</v>
      </c>
      <c r="CE506" s="692" t="str" cm="1">
        <f t="array" aca="1" ref="CE506" ca="1">IFERROR(VLOOKUP(INDEX(CA503:CA514,CD506),INDIRECT(BY503),2,FALSE),"----")</f>
        <v>----</v>
      </c>
      <c r="CF506" s="691" t="e">
        <f t="shared" ca="1" si="9172"/>
        <v>#N/A</v>
      </c>
      <c r="CG506" s="4" t="e">
        <f ca="1">IF(AND(INDEX(SSM,CF506,4)&gt;=$AB503,INDEX(SSM,CF506,5)&gt;=$S503,INDEX(SSM,CF506,6)&gt;=$R503),1,0)</f>
        <v>#N/A</v>
      </c>
      <c r="CH506" s="4" t="e">
        <f t="shared" ref="CH506" ca="1" si="9222">MATCH(1,OFFSET(CG503:CG514,CI505,0,COUNT(CG503:CG514)-CI505),0)</f>
        <v>#REF!</v>
      </c>
      <c r="CI506" s="4" t="e">
        <f t="shared" ca="1" si="9174"/>
        <v>#REF!</v>
      </c>
      <c r="CJ506" s="692" t="str">
        <f ca="1">IFERROR(IF(AD504="Nested Steel Stud (wood infill)",VLOOKUP(INDEX(CF503:CF514,CI506),SSW,2,FALSE),VLOOKUP(INDEX(CF503:CF514,CI506),SSM,2,FALSE)),"----")</f>
        <v>----</v>
      </c>
      <c r="CK506" s="691" t="e">
        <f t="shared" ca="1" si="9175"/>
        <v>#N/A</v>
      </c>
      <c r="CL506" s="4" t="e">
        <f ca="1">IF(AND(INDEX(WSM,CK506,4)&gt;=$AB503,INDEX(WSM,CK506,5)&gt;=$S503,INDEX(WSM,CK506,6)&gt;=$R503),1,0)</f>
        <v>#N/A</v>
      </c>
      <c r="CM506" s="4" t="e">
        <f t="shared" ref="CM506" ca="1" si="9223">MATCH(1,OFFSET(CL503:CL514,CN505,0,COUNT(CL503:CL514)-CN505),0)</f>
        <v>#REF!</v>
      </c>
      <c r="CN506" s="4" t="e">
        <f t="shared" ca="1" si="9177"/>
        <v>#REF!</v>
      </c>
      <c r="CO506" s="692" t="str">
        <f ca="1">IFERROR(VLOOKUP(INDEX(CK503:CK514,CN506),WSM,2,FALSE),"----")</f>
        <v>----</v>
      </c>
      <c r="CP506" s="691" t="e">
        <f t="shared" ca="1" si="9178"/>
        <v>#N/A</v>
      </c>
      <c r="CQ506" s="4" t="e">
        <f ca="1">IF(AND(INDEX(STM,CP506,4)&gt;=$AB503,INDEX(STM,CP506,5)&gt;=$S503,INDEX(STM,CP506,6)&gt;=$R503),1,0)</f>
        <v>#N/A</v>
      </c>
      <c r="CR506" s="4" t="e">
        <f t="shared" ref="CR506" ca="1" si="9224">MATCH(1,OFFSET(CQ503:CQ514,CS505,0,COUNT(CQ503:CQ514)-CS505),0)</f>
        <v>#REF!</v>
      </c>
      <c r="CS506" s="4" t="e">
        <f t="shared" ca="1" si="9180"/>
        <v>#REF!</v>
      </c>
      <c r="CT506" s="692" t="str">
        <f ca="1">IFERROR(VLOOKUP(INDEX(CP503:CP514,CS506),STM,2,FALSE),"----")</f>
        <v>----</v>
      </c>
      <c r="CU506" s="691" t="e">
        <f t="shared" ca="1" si="9181"/>
        <v>#N/A</v>
      </c>
      <c r="CV506" s="4" t="e">
        <f ca="1">IF(AND(INDEX(ELM,CU506,4)&gt;=$AB503,INDEX(ELM,CU506,5)&gt;=$S503,INDEX(ELM,CU506,6)&gt;=$R503),1,0)</f>
        <v>#N/A</v>
      </c>
      <c r="CW506" s="4" t="e">
        <f t="shared" ref="CW506" ca="1" si="9225">MATCH(1,OFFSET(CV503:CV514,CX505,0,COUNT(CV503:CV514)-CX505),0)</f>
        <v>#REF!</v>
      </c>
      <c r="CX506" s="4" t="e">
        <f t="shared" ca="1" si="9183"/>
        <v>#REF!</v>
      </c>
      <c r="CY506" s="692" t="str">
        <f ca="1">IFERROR(VLOOKUP(INDEX(CU503:CU514,CX506),ELM,2,FALSE),"----")</f>
        <v>----</v>
      </c>
      <c r="CZ506" s="691" t="e">
        <f t="shared" ca="1" si="9184"/>
        <v>#N/A</v>
      </c>
      <c r="DA506" s="4" t="e">
        <f ca="1">IF(LEFT($J503,7)="Clad Wo",IF(AND(INDEX(SPPWS,CZ506,4)&gt;=$AB503,INDEX(SPPWS,CZ506,5)&gt;=$S503,INDEX(SPPWS,CZ506,6)&gt;=$R503),1,0),IF(AND(INDEX(SPM,CZ506,4)&gt;=$AB503,INDEX(SPM,CZ506,5)&gt;=$S503,INDEX(SPM,CZ506,6)&gt;=$R503),1,0))</f>
        <v>#N/A</v>
      </c>
      <c r="DB506" s="4" t="e">
        <f t="shared" ref="DB506" ca="1" si="9226">MATCH(1,OFFSET(DA503:DA514,DC505,0,COUNT(DA503:DA514)-DC505),0)</f>
        <v>#REF!</v>
      </c>
      <c r="DC506" s="4" t="e">
        <f t="shared" ca="1" si="9186"/>
        <v>#REF!</v>
      </c>
      <c r="DD506" s="693" t="str">
        <f ca="1">IF(LEFT($J503,7)="Clad Wo",IFERROR(VLOOKUP(INDEX(CZ503:CZ514,DC506),SPPWS,2,FALSE),"----"),IFERROR(VLOOKUP(INDEX(CZ503:CZ514,DC506),SPM,2,FALSE),"----"))</f>
        <v>----</v>
      </c>
      <c r="DE506" s="691" t="e">
        <f t="shared" ca="1" si="9187"/>
        <v>#REF!</v>
      </c>
      <c r="DF506" s="4" t="e" cm="1">
        <f t="array" aca="1" ref="DF506" ca="1">IF(AND(INDEX(INDIRECT(BY503),DE506,4)&gt;=$AB509,INDEX(INDIRECT(BY503),DE506,5)&gt;=$S503,INDEX(INDIRECT(BY503),DE506,6)&gt;=$R503),1,0)</f>
        <v>#REF!</v>
      </c>
      <c r="DG506" s="4" t="e">
        <f t="shared" ref="DG506" ca="1" si="9227">MATCH(1,OFFSET(DF503:DF514,DH505,0,COUNT(DF503:DF514)-DH505),0)</f>
        <v>#REF!</v>
      </c>
      <c r="DH506" s="4" t="e">
        <f t="shared" ca="1" si="9189"/>
        <v>#REF!</v>
      </c>
      <c r="DI506" s="692" t="str" cm="1">
        <f t="array" aca="1" ref="DI506" ca="1">IFERROR(VLOOKUP(INDEX(DE503:DE514,DH506),INDIRECT(BY503),2,FALSE),"----")</f>
        <v>----</v>
      </c>
      <c r="DJ506" s="691" t="e">
        <f t="shared" ca="1" si="9190"/>
        <v>#N/A</v>
      </c>
      <c r="DK506" s="4" t="e">
        <f ca="1">IF(AND(INDEX(SSM,DJ506,4)&gt;=$AB509,INDEX(SSM,DJ506,5)&gt;=$S503,INDEX(SSM,DJ506,6)&gt;=$R503),1,0)</f>
        <v>#N/A</v>
      </c>
      <c r="DL506" s="4" t="e">
        <f t="shared" ref="DL506" ca="1" si="9228">MATCH(1,OFFSET(DK503:DK514,DM505,0,COUNT(DK503:DK514)-DM505),0)</f>
        <v>#REF!</v>
      </c>
      <c r="DM506" s="4" t="e">
        <f t="shared" ca="1" si="9192"/>
        <v>#REF!</v>
      </c>
      <c r="DN506" s="692" t="str">
        <f ca="1">IFERROR(IF(AD510="Nested Steel Stud (wood infill)",VLOOKUP(INDEX(DJ503:DJ514,DM506),SSW,2,FALSE),VLOOKUP(INDEX(DJ503:DJ514,DM506),SSM,2,FALSE)),"----")</f>
        <v>----</v>
      </c>
      <c r="DO506" s="691" t="e">
        <f t="shared" ca="1" si="9193"/>
        <v>#N/A</v>
      </c>
      <c r="DP506" s="4" t="e">
        <f ca="1">IF(AND(INDEX(WSM,DO506,4)&gt;=$AB509,INDEX(WSM,DO506,5)&gt;=$S503,INDEX(WSM,DO506,6)&gt;=$R503),1,0)</f>
        <v>#N/A</v>
      </c>
      <c r="DQ506" s="4" t="e">
        <f t="shared" ref="DQ506" ca="1" si="9229">MATCH(1,OFFSET(DP503:DP514,DR505,0,COUNT(DP503:DP514)-DR505),0)</f>
        <v>#REF!</v>
      </c>
      <c r="DR506" s="4" t="e">
        <f t="shared" ca="1" si="9195"/>
        <v>#REF!</v>
      </c>
      <c r="DS506" s="692" t="str">
        <f ca="1">IFERROR(VLOOKUP(INDEX(DO503:DO514,DR506),WSM,2,FALSE),"----")</f>
        <v>----</v>
      </c>
      <c r="DT506" s="691" t="e">
        <f t="shared" ca="1" si="9196"/>
        <v>#N/A</v>
      </c>
      <c r="DU506" s="4" t="e">
        <f ca="1">IF(AND(INDEX(STM,DT506,4)&gt;=$AB509,INDEX(STM,DT506,5)&gt;=$S503,INDEX(STM,DT506,6)&gt;=$R503),1,0)</f>
        <v>#N/A</v>
      </c>
      <c r="DV506" s="4" t="e">
        <f t="shared" ref="DV506" ca="1" si="9230">MATCH(1,OFFSET(DU503:DU514,DW505,0,COUNT(DU503:DU514)-DW505),0)</f>
        <v>#REF!</v>
      </c>
      <c r="DW506" s="4" t="e">
        <f t="shared" ca="1" si="9198"/>
        <v>#REF!</v>
      </c>
      <c r="DX506" s="692" t="str">
        <f ca="1">IFERROR(VLOOKUP(INDEX(DT503:DT514,DW506),STM,2,FALSE),"----")</f>
        <v>----</v>
      </c>
      <c r="DY506" s="691" t="e">
        <f t="shared" ca="1" si="9199"/>
        <v>#N/A</v>
      </c>
      <c r="DZ506" s="4" t="e">
        <f ca="1">IF(AND(INDEX(ELM,DY506,4)&gt;=$AB509,INDEX(ELM,DY506,5)&gt;=$S503,INDEX(ELM,DY506,6)&gt;=$R503),1,0)</f>
        <v>#N/A</v>
      </c>
      <c r="EA506" s="4" t="e">
        <f t="shared" ref="EA506" ca="1" si="9231">MATCH(1,OFFSET(DZ503:DZ514,EB505,0,COUNT(DZ503:DZ514)-EB505),0)</f>
        <v>#REF!</v>
      </c>
      <c r="EB506" s="4" t="e">
        <f t="shared" ca="1" si="9201"/>
        <v>#REF!</v>
      </c>
      <c r="EC506" s="692" t="str">
        <f ca="1">IFERROR(VLOOKUP(INDEX(DY503:DY514,EB506),ELM,2,FALSE),"----")</f>
        <v>----</v>
      </c>
      <c r="ED506" s="691" t="e">
        <f t="shared" ca="1" si="9202"/>
        <v>#N/A</v>
      </c>
      <c r="EE506" s="4" t="e">
        <f ca="1">IF(LEFT($J503,7)="Clad Wo",IF(AND(INDEX(SPPWS,ED506,4)&gt;=$AB509,INDEX(SPPWS,ED506,5)&gt;=$S503,INDEX(SPPWS,ED506,6)&gt;=$R503),1,0),IF(AND(INDEX(SPM,ED506,4)&gt;=$AB509,INDEX(SPM,ED506,5)&gt;=$S503,INDEX(SPM,ED506,6)&gt;=$R503),1,0))</f>
        <v>#N/A</v>
      </c>
      <c r="EF506" s="4" t="e">
        <f t="shared" ref="EF506" ca="1" si="9232">MATCH(1,OFFSET(EE503:EE514,EG505,0,COUNT(EE503:EE514)-EG505),0)</f>
        <v>#REF!</v>
      </c>
      <c r="EG506" s="4" t="e">
        <f t="shared" ca="1" si="9204"/>
        <v>#REF!</v>
      </c>
      <c r="EH506" s="692" t="str">
        <f ca="1">IF(LEFT($J503,7)="Clad Wo",IFERROR(VLOOKUP(INDEX(ED503:ED514,EG506),SPPWS,2,FALSE),"----"),IFERROR(VLOOKUP(INDEX(ED503:ED514,EG506),SPM,2,FALSE),"----"))</f>
        <v>----</v>
      </c>
    </row>
    <row r="507" spans="1:138" ht="15" customHeight="1" x14ac:dyDescent="0.25">
      <c r="A507" s="1085"/>
      <c r="B507" s="925"/>
      <c r="C507" s="926"/>
      <c r="D507" s="927"/>
      <c r="E507" s="995"/>
      <c r="F507" s="996"/>
      <c r="G507" s="997"/>
      <c r="H507" s="1062"/>
      <c r="I507" s="990"/>
      <c r="J507" s="910"/>
      <c r="K507" s="911"/>
      <c r="L507" s="1002"/>
      <c r="M507" s="923"/>
      <c r="N507" s="1042"/>
      <c r="O507" s="1018"/>
      <c r="P507" s="987"/>
      <c r="Q507" s="1015"/>
      <c r="R507" s="1012"/>
      <c r="S507" s="1006"/>
      <c r="T507" s="1007"/>
      <c r="U507" s="878"/>
      <c r="V507" s="881"/>
      <c r="W507" s="884"/>
      <c r="X507" s="884"/>
      <c r="Y507" s="887"/>
      <c r="Z507" s="887"/>
      <c r="AA507" s="887"/>
      <c r="AB507" s="1081"/>
      <c r="AC507" s="1078"/>
      <c r="AD507" s="1070" t="s">
        <v>39</v>
      </c>
      <c r="AE507" s="1071"/>
      <c r="AF507" s="1052"/>
      <c r="AG507" s="1053"/>
      <c r="AH507" s="1053"/>
      <c r="AI507" s="1068"/>
      <c r="AJ507" s="1069"/>
      <c r="AK507" s="154" t="str">
        <f t="shared" ca="1" si="8761"/>
        <v/>
      </c>
      <c r="AL507" s="1039"/>
      <c r="AM507" s="344" t="str">
        <f ca="1">IFERROR(Q503/12*ROUND(VLOOKUP(AF507,OFFSET(ELM,0,1),6,FALSE),2),"")</f>
        <v/>
      </c>
      <c r="AN507" t="str">
        <f t="shared" ca="1" si="8785"/>
        <v/>
      </c>
      <c r="AP507" s="122" t="str">
        <f t="shared" ref="AP507" si="9233">_xlfn.CONCAT(AR507,AS508)</f>
        <v/>
      </c>
      <c r="AQ507" s="683" t="str">
        <f t="shared" si="8985"/>
        <v/>
      </c>
      <c r="AR507" s="4" t="str">
        <f t="shared" si="8745"/>
        <v/>
      </c>
      <c r="AS507" s="4"/>
      <c r="AT507" s="697" t="str">
        <f>AL503</f>
        <v/>
      </c>
      <c r="AU507" s="694" t="e">
        <f t="shared" ca="1" si="9002"/>
        <v>#REF!</v>
      </c>
      <c r="AV507" s="698" t="str">
        <f ca="1">IFERROR(VLOOKUP(AU507,INDIRECT(AQ503),2,FALSE),"----")</f>
        <v>----</v>
      </c>
      <c r="AW507" s="694" t="e">
        <f t="shared" ca="1" si="9003"/>
        <v>#REF!</v>
      </c>
      <c r="AX507" s="698" t="str">
        <f ca="1">IFERROR(VLOOKUP(AW507,INDIRECT(AQ504),2,FALSE),"----")</f>
        <v>----</v>
      </c>
      <c r="AY507" s="694" t="e">
        <f t="shared" ref="AY507" ca="1" si="9234">AY506-1</f>
        <v>#REF!</v>
      </c>
      <c r="AZ507" s="698" t="str">
        <f ca="1">IFERROR(VLOOKUP(AY507,INDIRECT(AQ505),2,FALSE),"----")</f>
        <v>----</v>
      </c>
      <c r="BA507" s="694" t="e">
        <f t="shared" ref="BA507" ca="1" si="9235">BA506-1</f>
        <v>#REF!</v>
      </c>
      <c r="BB507" s="698" t="str">
        <f ca="1">IFERROR(VLOOKUP(BA507,INDIRECT(AQ506),2,FALSE),"----")</f>
        <v>----</v>
      </c>
      <c r="BC507" s="694" t="e">
        <f t="shared" ca="1" si="9006"/>
        <v>#REF!</v>
      </c>
      <c r="BD507" s="698" t="str">
        <f ca="1">IFERROR(VLOOKUP(BC507,INDIRECT(AQ507),2,FALSE),"----")</f>
        <v>----</v>
      </c>
      <c r="BE507" s="694" t="e">
        <f t="shared" ca="1" si="9007"/>
        <v>#REF!</v>
      </c>
      <c r="BF507" s="698" t="str">
        <f ca="1">IFERROR(VLOOKUP(BE507,INDIRECT(AQ508),2,FALSE),"----")</f>
        <v>----</v>
      </c>
      <c r="BG507" s="694" t="e">
        <f t="shared" ca="1" si="9008"/>
        <v>#REF!</v>
      </c>
      <c r="BH507" s="686" t="str">
        <f ca="1">IFERROR(VLOOKUP(BG507,INDIRECT(AQ509),2,FALSE),"----")</f>
        <v>----</v>
      </c>
      <c r="BI507" s="694" t="e">
        <f t="shared" ca="1" si="9009"/>
        <v>#REF!</v>
      </c>
      <c r="BJ507" s="686" t="str">
        <f ca="1">IFERROR(VLOOKUP(BI507,INDIRECT(AQ510),2,FALSE),"----")</f>
        <v>----</v>
      </c>
      <c r="BK507" s="694" t="e">
        <f t="shared" ca="1" si="9010"/>
        <v>#REF!</v>
      </c>
      <c r="BL507" s="686" t="str">
        <f ca="1">IFERROR(VLOOKUP(BK507,INDIRECT(AQ511),2,FALSE),"----")</f>
        <v>----</v>
      </c>
      <c r="BM507" s="694" t="e">
        <f t="shared" ca="1" si="9011"/>
        <v>#REF!</v>
      </c>
      <c r="BN507" s="686" t="str">
        <f ca="1">IFERROR(VLOOKUP(BM507,INDIRECT(AQ512),2,FALSE),"----")</f>
        <v>----</v>
      </c>
      <c r="BO507" s="694" t="e">
        <f t="shared" ca="1" si="9012"/>
        <v>#REF!</v>
      </c>
      <c r="BP507" s="686" t="str">
        <f ca="1">IFERROR(VLOOKUP(BO507,INDIRECT(AQ513),2,FALSE),"----")</f>
        <v>----</v>
      </c>
      <c r="BQ507" s="694" t="e">
        <f t="shared" ca="1" si="9013"/>
        <v>#REF!</v>
      </c>
      <c r="BR507" s="686" t="str">
        <f ca="1">IFERROR(VLOOKUP(BQ507,INDIRECT(AQ514),2,FALSE),"----")</f>
        <v>----</v>
      </c>
      <c r="BS507" s="695">
        <f>IF(AI507="",1,IF(COUNTIF(BD503:BD514,AI507)=0,2,1))</f>
        <v>1</v>
      </c>
      <c r="BT507" s="696">
        <f>IF(AF507="",1,IF(BD503=".",2,1))</f>
        <v>1</v>
      </c>
      <c r="BU507" s="706"/>
      <c r="BV507" s="155">
        <f ca="1">IF(COUNTIF(CY503:CY514,AF507)=0,IF(AF507&lt;&gt;"",0,1),1)</f>
        <v>1</v>
      </c>
      <c r="BW507" s="157">
        <f ca="1">IFERROR(MATCH(AF507,CY503:CY514,0),1)</f>
        <v>1</v>
      </c>
      <c r="BX507" s="769"/>
      <c r="BY507" s="769"/>
      <c r="BZ507" s="1110"/>
      <c r="CA507" s="691" t="e">
        <f t="shared" ca="1" si="9169"/>
        <v>#REF!</v>
      </c>
      <c r="CB507" s="4" t="e" cm="1">
        <f t="array" aca="1" ref="CB507" ca="1">IF(AND(INDEX(INDIRECT(BY503),CA507,4)&gt;=$AB503,INDEX(INDIRECT(BY503),CA507,5)&gt;=$S503,INDEX(INDIRECT(BY503),CA507,6)&gt;=$R503),1,0)</f>
        <v>#REF!</v>
      </c>
      <c r="CC507" s="4" t="e">
        <f t="shared" ref="CC507" ca="1" si="9236">MATCH(1,OFFSET(CB503:CB514,CD506,0,COUNT(CB503:CB514)-CD506),0)</f>
        <v>#REF!</v>
      </c>
      <c r="CD507" s="4" t="e">
        <f t="shared" ca="1" si="9171"/>
        <v>#REF!</v>
      </c>
      <c r="CE507" s="692" t="str" cm="1">
        <f t="array" aca="1" ref="CE507" ca="1">IFERROR(VLOOKUP(INDEX(CA503:CA514,CD507),INDIRECT(BY503),2,FALSE),"----")</f>
        <v>----</v>
      </c>
      <c r="CF507" s="691" t="e">
        <f t="shared" ca="1" si="9172"/>
        <v>#N/A</v>
      </c>
      <c r="CG507" s="4" t="e">
        <f ca="1">IF(AND(INDEX(SSM,CF507,4)&gt;=$AB503,INDEX(SSM,CF507,5)&gt;=$S503,INDEX(SSM,CF507,6)&gt;=$R503),1,0)</f>
        <v>#N/A</v>
      </c>
      <c r="CH507" s="4" t="e">
        <f t="shared" ref="CH507" ca="1" si="9237">MATCH(1,OFFSET(CG503:CG514,CI506,0,COUNT(CG503:CG514)-CI506),0)</f>
        <v>#REF!</v>
      </c>
      <c r="CI507" s="4" t="e">
        <f t="shared" ca="1" si="9174"/>
        <v>#REF!</v>
      </c>
      <c r="CJ507" s="692" t="str">
        <f ca="1">IFERROR(IF(AD504="Nested Steel Stud (wood infill)",VLOOKUP(INDEX(CF503:CF514,CI507),SSW,2,FALSE),VLOOKUP(INDEX(CF503:CF514,CI507),SSM,2,FALSE)),"----")</f>
        <v>----</v>
      </c>
      <c r="CK507" s="691" t="e">
        <f t="shared" ca="1" si="9175"/>
        <v>#N/A</v>
      </c>
      <c r="CL507" s="4" t="e">
        <f ca="1">IF(AND(INDEX(WSM,CK507,4)&gt;=$AB503,INDEX(WSM,CK507,5)&gt;=$S503,INDEX(WSM,CK507,6)&gt;=$R503),1,0)</f>
        <v>#N/A</v>
      </c>
      <c r="CM507" s="4" t="e">
        <f t="shared" ref="CM507" ca="1" si="9238">MATCH(1,OFFSET(CL503:CL514,CN506,0,COUNT(CL503:CL514)-CN506),0)</f>
        <v>#REF!</v>
      </c>
      <c r="CN507" s="4" t="e">
        <f t="shared" ca="1" si="9177"/>
        <v>#REF!</v>
      </c>
      <c r="CO507" s="692" t="str">
        <f ca="1">IFERROR(VLOOKUP(INDEX(CK503:CK514,CN507),WSM,2,FALSE),"----")</f>
        <v>----</v>
      </c>
      <c r="CP507" s="691" t="e">
        <f t="shared" ca="1" si="9178"/>
        <v>#N/A</v>
      </c>
      <c r="CQ507" s="4" t="e">
        <f ca="1">IF(AND(INDEX(STM,CP507,4)&gt;=$AB503,INDEX(STM,CP507,5)&gt;=$S503,INDEX(STM,CP507,6)&gt;=$R503),1,0)</f>
        <v>#N/A</v>
      </c>
      <c r="CR507" s="4" t="e">
        <f t="shared" ref="CR507" ca="1" si="9239">MATCH(1,OFFSET(CQ503:CQ514,CS506,0,COUNT(CQ503:CQ514)-CS506),0)</f>
        <v>#REF!</v>
      </c>
      <c r="CS507" s="4" t="e">
        <f t="shared" ca="1" si="9180"/>
        <v>#REF!</v>
      </c>
      <c r="CT507" s="692" t="str">
        <f ca="1">IFERROR(VLOOKUP(INDEX(CP503:CP514,CS507),STM,2,FALSE),"----")</f>
        <v>----</v>
      </c>
      <c r="CU507" s="691" t="e">
        <f t="shared" ca="1" si="9181"/>
        <v>#N/A</v>
      </c>
      <c r="CV507" s="4" t="e">
        <f ca="1">IF(AND(INDEX(ELM,CU507,4)&gt;=$AB503,INDEX(ELM,CU507,5)&gt;=$S503,INDEX(ELM,CU507,6)&gt;=$R503),1,0)</f>
        <v>#N/A</v>
      </c>
      <c r="CW507" s="4" t="e">
        <f t="shared" ref="CW507" ca="1" si="9240">MATCH(1,OFFSET(CV503:CV514,CX506,0,COUNT(CV503:CV514)-CX506),0)</f>
        <v>#REF!</v>
      </c>
      <c r="CX507" s="4" t="e">
        <f t="shared" ca="1" si="9183"/>
        <v>#REF!</v>
      </c>
      <c r="CY507" s="692" t="str">
        <f ca="1">IFERROR(VLOOKUP(INDEX(CU503:CU514,CX507),ELM,2,FALSE),"----")</f>
        <v>----</v>
      </c>
      <c r="CZ507" s="691" t="e">
        <f t="shared" ca="1" si="9184"/>
        <v>#N/A</v>
      </c>
      <c r="DA507" s="4" t="e">
        <f ca="1">IF(LEFT($J503,7)="Clad Wo",IF(AND(INDEX(SPPWS,CZ507,4)&gt;=$AB503,INDEX(SPPWS,CZ507,5)&gt;=$S503,INDEX(SPPWS,CZ507,6)&gt;=$R503),1,0),IF(AND(INDEX(SPM,CZ507,4)&gt;=$AB503,INDEX(SPM,CZ507,5)&gt;=$S503,INDEX(SPM,CZ507,6)&gt;=$R503),1,0))</f>
        <v>#N/A</v>
      </c>
      <c r="DB507" s="4" t="e">
        <f t="shared" ref="DB507" ca="1" si="9241">MATCH(1,OFFSET(DA503:DA514,DC506,0,COUNT(DA503:DA514)-DC506),0)</f>
        <v>#REF!</v>
      </c>
      <c r="DC507" s="4" t="e">
        <f t="shared" ca="1" si="9186"/>
        <v>#REF!</v>
      </c>
      <c r="DD507" s="693" t="str">
        <f ca="1">IF(LEFT($J503,7)="Clad Wo",IFERROR(VLOOKUP(INDEX(CZ503:CZ514,DC507),SPPWS,2,FALSE),"----"),IFERROR(VLOOKUP(INDEX(CZ503:CZ514,DC507),SPM,2,FALSE),"----"))</f>
        <v>----</v>
      </c>
      <c r="DE507" s="691" t="e">
        <f t="shared" ca="1" si="9187"/>
        <v>#REF!</v>
      </c>
      <c r="DF507" s="4" t="e" cm="1">
        <f t="array" aca="1" ref="DF507" ca="1">IF(AND(INDEX(INDIRECT(BY503),DE507,4)&gt;=$AB509,INDEX(INDIRECT(BY503),DE507,5)&gt;=$S503,INDEX(INDIRECT(BY503),DE507,6)&gt;=$R503),1,0)</f>
        <v>#REF!</v>
      </c>
      <c r="DG507" s="4" t="e">
        <f t="shared" ref="DG507" ca="1" si="9242">MATCH(1,OFFSET(DF503:DF514,DH506,0,COUNT(DF503:DF514)-DH506),0)</f>
        <v>#REF!</v>
      </c>
      <c r="DH507" s="4" t="e">
        <f t="shared" ca="1" si="9189"/>
        <v>#REF!</v>
      </c>
      <c r="DI507" s="692" t="str" cm="1">
        <f t="array" aca="1" ref="DI507" ca="1">IFERROR(VLOOKUP(INDEX(DE503:DE514,DH507),INDIRECT(BY503),2,FALSE),"----")</f>
        <v>----</v>
      </c>
      <c r="DJ507" s="691" t="e">
        <f t="shared" ca="1" si="9190"/>
        <v>#N/A</v>
      </c>
      <c r="DK507" s="4" t="e">
        <f ca="1">IF(AND(INDEX(SSM,DJ507,4)&gt;=$AB509,INDEX(SSM,DJ507,5)&gt;=$S503,INDEX(SSM,DJ507,6)&gt;=$R503),1,0)</f>
        <v>#N/A</v>
      </c>
      <c r="DL507" s="4" t="e">
        <f t="shared" ref="DL507" ca="1" si="9243">MATCH(1,OFFSET(DK503:DK514,DM506,0,COUNT(DK503:DK514)-DM506),0)</f>
        <v>#REF!</v>
      </c>
      <c r="DM507" s="4" t="e">
        <f t="shared" ca="1" si="9192"/>
        <v>#REF!</v>
      </c>
      <c r="DN507" s="692" t="str">
        <f ca="1">IFERROR(IF(AD510="Nested Steel Stud (wood infill)",VLOOKUP(INDEX(DJ503:DJ514,DM507),SSW,2,FALSE),VLOOKUP(INDEX(DJ503:DJ514,DM507),SSM,2,FALSE)),"----")</f>
        <v>----</v>
      </c>
      <c r="DO507" s="691" t="e">
        <f t="shared" ca="1" si="9193"/>
        <v>#N/A</v>
      </c>
      <c r="DP507" s="4" t="e">
        <f ca="1">IF(AND(INDEX(WSM,DO507,4)&gt;=$AB509,INDEX(WSM,DO507,5)&gt;=$S503,INDEX(WSM,DO507,6)&gt;=$R503),1,0)</f>
        <v>#N/A</v>
      </c>
      <c r="DQ507" s="4" t="e">
        <f t="shared" ref="DQ507" ca="1" si="9244">MATCH(1,OFFSET(DP503:DP514,DR506,0,COUNT(DP503:DP514)-DR506),0)</f>
        <v>#REF!</v>
      </c>
      <c r="DR507" s="4" t="e">
        <f t="shared" ca="1" si="9195"/>
        <v>#REF!</v>
      </c>
      <c r="DS507" s="692" t="str">
        <f ca="1">IFERROR(VLOOKUP(INDEX(DO503:DO514,DR507),WSM,2,FALSE),"----")</f>
        <v>----</v>
      </c>
      <c r="DT507" s="691" t="e">
        <f t="shared" ca="1" si="9196"/>
        <v>#N/A</v>
      </c>
      <c r="DU507" s="4" t="e">
        <f ca="1">IF(AND(INDEX(STM,DT507,4)&gt;=$AB509,INDEX(STM,DT507,5)&gt;=$S503,INDEX(STM,DT507,6)&gt;=$R503),1,0)</f>
        <v>#N/A</v>
      </c>
      <c r="DV507" s="4" t="e">
        <f t="shared" ref="DV507" ca="1" si="9245">MATCH(1,OFFSET(DU503:DU514,DW506,0,COUNT(DU503:DU514)-DW506),0)</f>
        <v>#REF!</v>
      </c>
      <c r="DW507" s="4" t="e">
        <f t="shared" ca="1" si="9198"/>
        <v>#REF!</v>
      </c>
      <c r="DX507" s="692" t="str">
        <f ca="1">IFERROR(VLOOKUP(INDEX(DT503:DT514,DW507),STM,2,FALSE),"----")</f>
        <v>----</v>
      </c>
      <c r="DY507" s="691" t="e">
        <f t="shared" ca="1" si="9199"/>
        <v>#N/A</v>
      </c>
      <c r="DZ507" s="4" t="e">
        <f ca="1">IF(AND(INDEX(ELM,DY507,4)&gt;=$AB509,INDEX(ELM,DY507,5)&gt;=$S503,INDEX(ELM,DY507,6)&gt;=$R503),1,0)</f>
        <v>#N/A</v>
      </c>
      <c r="EA507" s="4" t="e">
        <f t="shared" ref="EA507" ca="1" si="9246">MATCH(1,OFFSET(DZ503:DZ514,EB506,0,COUNT(DZ503:DZ514)-EB506),0)</f>
        <v>#REF!</v>
      </c>
      <c r="EB507" s="4" t="e">
        <f t="shared" ca="1" si="9201"/>
        <v>#REF!</v>
      </c>
      <c r="EC507" s="692" t="str">
        <f ca="1">IFERROR(VLOOKUP(INDEX(DY503:DY514,EB507),ELM,2,FALSE),"----")</f>
        <v>----</v>
      </c>
      <c r="ED507" s="691" t="e">
        <f t="shared" ca="1" si="9202"/>
        <v>#N/A</v>
      </c>
      <c r="EE507" s="4" t="e">
        <f ca="1">IF(LEFT($J503,7)="Clad Wo",IF(AND(INDEX(SPPWS,ED507,4)&gt;=$AB509,INDEX(SPPWS,ED507,5)&gt;=$S503,INDEX(SPPWS,ED507,6)&gt;=$R503),1,0),IF(AND(INDEX(SPM,ED507,4)&gt;=$AB509,INDEX(SPM,ED507,5)&gt;=$S503,INDEX(SPM,ED507,6)&gt;=$R503),1,0))</f>
        <v>#N/A</v>
      </c>
      <c r="EF507" s="4" t="e">
        <f t="shared" ref="EF507" ca="1" si="9247">MATCH(1,OFFSET(EE503:EE514,EG506,0,COUNT(EE503:EE514)-EG506),0)</f>
        <v>#REF!</v>
      </c>
      <c r="EG507" s="4" t="e">
        <f t="shared" ca="1" si="9204"/>
        <v>#REF!</v>
      </c>
      <c r="EH507" s="692" t="str">
        <f ca="1">IF(LEFT($J503,7)="Clad Wo",IFERROR(VLOOKUP(INDEX(ED503:ED514,EG507),SPPWS,2,FALSE),"----"),IFERROR(VLOOKUP(INDEX(ED503:ED514,EG507),SPM,2,FALSE),"----"))</f>
        <v>----</v>
      </c>
    </row>
    <row r="508" spans="1:138" ht="15" customHeight="1" thickBot="1" x14ac:dyDescent="0.3">
      <c r="A508" s="1085"/>
      <c r="B508" s="934"/>
      <c r="C508" s="935"/>
      <c r="D508" s="936"/>
      <c r="E508" s="995"/>
      <c r="F508" s="996"/>
      <c r="G508" s="997"/>
      <c r="H508" s="1062"/>
      <c r="I508" s="990"/>
      <c r="J508" s="908"/>
      <c r="K508" s="909"/>
      <c r="L508" s="1010"/>
      <c r="M508" s="924"/>
      <c r="N508" s="1044"/>
      <c r="O508" s="1018"/>
      <c r="P508" s="987"/>
      <c r="Q508" s="1015"/>
      <c r="R508" s="1012"/>
      <c r="S508" s="1006"/>
      <c r="T508" s="1007"/>
      <c r="U508" s="878"/>
      <c r="V508" s="881"/>
      <c r="W508" s="889"/>
      <c r="X508" s="884"/>
      <c r="Y508" s="890"/>
      <c r="Z508" s="890"/>
      <c r="AA508" s="887"/>
      <c r="AB508" s="1084"/>
      <c r="AC508" s="1079"/>
      <c r="AD508" s="1072" t="str">
        <f t="shared" ref="AD508" si="9248">IF(LEFT(J503,7)="Clad Wo","Pella Wood Spr / Steel Pte","Steel Plate")</f>
        <v>Steel Plate</v>
      </c>
      <c r="AE508" s="1073"/>
      <c r="AF508" s="1054"/>
      <c r="AG508" s="1055"/>
      <c r="AH508" s="1055"/>
      <c r="AI508" s="1092"/>
      <c r="AJ508" s="1093"/>
      <c r="AK508" s="159" t="str">
        <f t="shared" ca="1" si="8761"/>
        <v/>
      </c>
      <c r="AL508" s="1040"/>
      <c r="AM508" s="345" t="str">
        <f ca="1">IFERROR(Q503/12*ROUND(VLOOKUP(AF508,OFFSET(SPM,0,1),6,FALSE),2),"")</f>
        <v/>
      </c>
      <c r="AN508" t="str">
        <f t="shared" ca="1" si="8785"/>
        <v/>
      </c>
      <c r="AP508" s="699" t="str">
        <f t="shared" ref="AP508" si="9249">_xlfn.CONCAT(AR508,AS508)</f>
        <v/>
      </c>
      <c r="AQ508" s="700" t="str">
        <f t="shared" si="8985"/>
        <v/>
      </c>
      <c r="AR508" s="160" t="str">
        <f t="shared" si="8745"/>
        <v/>
      </c>
      <c r="AS508" s="160" t="str">
        <f>IFERROR(VLOOKUP(J511, WallType,2,FALSE),"")</f>
        <v/>
      </c>
      <c r="AT508" s="701" t="str">
        <f>AL503</f>
        <v/>
      </c>
      <c r="AU508" s="694" t="e">
        <f t="shared" ca="1" si="9002"/>
        <v>#REF!</v>
      </c>
      <c r="AV508" s="698" t="str">
        <f ca="1">IFERROR(VLOOKUP(AU508,INDIRECT(AQ503),2,FALSE),"----")</f>
        <v>----</v>
      </c>
      <c r="AW508" s="702" t="e">
        <f t="shared" ca="1" si="9003"/>
        <v>#REF!</v>
      </c>
      <c r="AX508" s="698" t="str">
        <f ca="1">IFERROR(VLOOKUP(AW508,INDIRECT(AQ504),2,FALSE),"----")</f>
        <v>----</v>
      </c>
      <c r="AY508" s="702" t="e">
        <f t="shared" ref="AY508:AY523" ca="1" si="9250">AY507-1</f>
        <v>#REF!</v>
      </c>
      <c r="AZ508" s="698" t="str">
        <f ca="1">IFERROR(VLOOKUP(AY508,INDIRECT(AQ505),2,FALSE),"----")</f>
        <v>----</v>
      </c>
      <c r="BA508" s="702" t="e">
        <f t="shared" ref="BA508:BA523" ca="1" si="9251">BA507-1</f>
        <v>#REF!</v>
      </c>
      <c r="BB508" s="698" t="str">
        <f ca="1">IFERROR(VLOOKUP(BA508,INDIRECT(AQ506),2,FALSE),"----")</f>
        <v>----</v>
      </c>
      <c r="BC508" s="702" t="e">
        <f t="shared" ca="1" si="9006"/>
        <v>#REF!</v>
      </c>
      <c r="BD508" s="698" t="str">
        <f ca="1">IFERROR(VLOOKUP(BC508,INDIRECT(AQ507),2,FALSE),"----")</f>
        <v>----</v>
      </c>
      <c r="BE508" s="702" t="e">
        <f t="shared" ca="1" si="9007"/>
        <v>#REF!</v>
      </c>
      <c r="BF508" s="698" t="str">
        <f ca="1">IFERROR(VLOOKUP(BE508,INDIRECT(AQ508),2,FALSE),"----")</f>
        <v>----</v>
      </c>
      <c r="BG508" s="702" t="e">
        <f t="shared" ca="1" si="9008"/>
        <v>#REF!</v>
      </c>
      <c r="BH508" s="686" t="str">
        <f ca="1">IFERROR(VLOOKUP(BG508,INDIRECT(AQ509),2,FALSE),"----")</f>
        <v>----</v>
      </c>
      <c r="BI508" s="702" t="e">
        <f t="shared" ca="1" si="9009"/>
        <v>#REF!</v>
      </c>
      <c r="BJ508" s="686" t="str">
        <f ca="1">IFERROR(VLOOKUP(BI508,INDIRECT(AQ510),2,FALSE),"----")</f>
        <v>----</v>
      </c>
      <c r="BK508" s="702" t="e">
        <f t="shared" ca="1" si="9010"/>
        <v>#REF!</v>
      </c>
      <c r="BL508" s="686" t="str">
        <f ca="1">IFERROR(VLOOKUP(BK508,INDIRECT(AQ511),2,FALSE),"----")</f>
        <v>----</v>
      </c>
      <c r="BM508" s="702" t="e">
        <f t="shared" ca="1" si="9011"/>
        <v>#REF!</v>
      </c>
      <c r="BN508" s="686" t="str">
        <f ca="1">IFERROR(VLOOKUP(BM508,INDIRECT(AQ512),2,FALSE),"----")</f>
        <v>----</v>
      </c>
      <c r="BO508" s="702" t="e">
        <f t="shared" ca="1" si="9012"/>
        <v>#REF!</v>
      </c>
      <c r="BP508" s="686" t="str">
        <f ca="1">IFERROR(VLOOKUP(BO508,INDIRECT(AQ513),2,FALSE),"----")</f>
        <v>----</v>
      </c>
      <c r="BQ508" s="702" t="e">
        <f t="shared" ca="1" si="9013"/>
        <v>#REF!</v>
      </c>
      <c r="BR508" s="686" t="str">
        <f ca="1">IFERROR(VLOOKUP(BQ508,INDIRECT(AQ514),2,FALSE),"----")</f>
        <v>----</v>
      </c>
      <c r="BS508" s="703">
        <f>IF(AI508="",1,IF(COUNTIF(BF503:BF514,AI508)=0,2,1))</f>
        <v>1</v>
      </c>
      <c r="BT508" s="704">
        <f>IF(AF508="",1,IF(BF503=".",2,1))</f>
        <v>1</v>
      </c>
      <c r="BV508" s="155">
        <f ca="1">IF(COUNTIF(DD503:DD514,AF508)=0,IF(AF508&lt;&gt;"",0,1),1)</f>
        <v>1</v>
      </c>
      <c r="BW508" s="157">
        <f ca="1">IFERROR(MATCH(AF508,DD503:DD514,0),1)</f>
        <v>1</v>
      </c>
      <c r="BX508" s="875" t="s">
        <v>1594</v>
      </c>
      <c r="BY508" s="876"/>
      <c r="BZ508" s="1110"/>
      <c r="CA508" s="691" t="e">
        <f t="shared" ca="1" si="9169"/>
        <v>#REF!</v>
      </c>
      <c r="CB508" s="4" t="e" cm="1">
        <f t="array" aca="1" ref="CB508" ca="1">IF(AND(INDEX(INDIRECT(BY503),CA508,4)&gt;=$AB503,INDEX(INDIRECT(BY503),CA508,5)&gt;=$S503,INDEX(INDIRECT(BY503),CA508,6)&gt;=$R503),1,0)</f>
        <v>#REF!</v>
      </c>
      <c r="CC508" s="4" t="e">
        <f t="shared" ref="CC508" ca="1" si="9252">MATCH(1,OFFSET(CB503:CB514,CD507,0,COUNT(CB503:CB514)-CD507),0)</f>
        <v>#REF!</v>
      </c>
      <c r="CD508" s="4" t="e">
        <f t="shared" ca="1" si="9171"/>
        <v>#REF!</v>
      </c>
      <c r="CE508" s="692" t="str" cm="1">
        <f t="array" aca="1" ref="CE508" ca="1">IFERROR(VLOOKUP(INDEX(CA503:CA514,CD508),INDIRECT(BY503),2,FALSE),"----")</f>
        <v>----</v>
      </c>
      <c r="CF508" s="691" t="e">
        <f t="shared" ca="1" si="9172"/>
        <v>#N/A</v>
      </c>
      <c r="CG508" s="4" t="e">
        <f ca="1">IF(AND(INDEX(SSM,CF508,4)&gt;=$AB503,INDEX(SSM,CF508,5)&gt;=$S503,INDEX(SSM,CF508,6)&gt;=$R503),1,0)</f>
        <v>#N/A</v>
      </c>
      <c r="CH508" s="4" t="e">
        <f t="shared" ref="CH508" ca="1" si="9253">MATCH(1,OFFSET(CG503:CG514,CI507,0,COUNT(CG503:CG514)-CI507),0)</f>
        <v>#REF!</v>
      </c>
      <c r="CI508" s="4" t="e">
        <f t="shared" ca="1" si="9174"/>
        <v>#REF!</v>
      </c>
      <c r="CJ508" s="692" t="str">
        <f ca="1">IFERROR(IF(AD504="Nested Steel Stud (wood infill)",VLOOKUP(INDEX(CF503:CF514,CI508),SSW,2,FALSE),VLOOKUP(INDEX(CF503:CF514,CI508),SSM,2,FALSE)),"----")</f>
        <v>----</v>
      </c>
      <c r="CK508" s="691" t="e">
        <f t="shared" ca="1" si="9175"/>
        <v>#N/A</v>
      </c>
      <c r="CL508" s="4" t="e">
        <f ca="1">IF(AND(INDEX(WSM,CK508,4)&gt;=$AB503,INDEX(WSM,CK508,5)&gt;=$S503,INDEX(WSM,CK508,6)&gt;=$R503),1,0)</f>
        <v>#N/A</v>
      </c>
      <c r="CM508" s="4" t="e">
        <f t="shared" ref="CM508" ca="1" si="9254">MATCH(1,OFFSET(CL503:CL514,CN507,0,COUNT(CL503:CL514)-CN507),0)</f>
        <v>#REF!</v>
      </c>
      <c r="CN508" s="4" t="e">
        <f t="shared" ca="1" si="9177"/>
        <v>#REF!</v>
      </c>
      <c r="CO508" s="692" t="str">
        <f ca="1">IFERROR(VLOOKUP(INDEX(CK503:CK514,CN508),WSM,2,FALSE),"----")</f>
        <v>----</v>
      </c>
      <c r="CP508" s="691" t="e">
        <f t="shared" ca="1" si="9178"/>
        <v>#N/A</v>
      </c>
      <c r="CQ508" s="4" t="e">
        <f ca="1">IF(AND(INDEX(STM,CP508,4)&gt;=$AB503,INDEX(STM,CP508,5)&gt;=$S503,INDEX(STM,CP508,6)&gt;=$R503),1,0)</f>
        <v>#N/A</v>
      </c>
      <c r="CR508" s="4" t="e">
        <f t="shared" ref="CR508" ca="1" si="9255">MATCH(1,OFFSET(CQ503:CQ514,CS507,0,COUNT(CQ503:CQ514)-CS507),0)</f>
        <v>#REF!</v>
      </c>
      <c r="CS508" s="4" t="e">
        <f t="shared" ca="1" si="9180"/>
        <v>#REF!</v>
      </c>
      <c r="CT508" s="692" t="str">
        <f ca="1">IFERROR(VLOOKUP(INDEX(CP503:CP514,CS508),STM,2,FALSE),"----")</f>
        <v>----</v>
      </c>
      <c r="CU508" s="691" t="e">
        <f t="shared" ca="1" si="9181"/>
        <v>#N/A</v>
      </c>
      <c r="CV508" s="4" t="e">
        <f ca="1">IF(AND(INDEX(ELM,CU508,4)&gt;=$AB503,INDEX(ELM,CU508,5)&gt;=$S503,INDEX(ELM,CU508,6)&gt;=$R503),1,0)</f>
        <v>#N/A</v>
      </c>
      <c r="CW508" s="4" t="e">
        <f t="shared" ref="CW508" ca="1" si="9256">MATCH(1,OFFSET(CV503:CV514,CX507,0,COUNT(CV503:CV514)-CX507),0)</f>
        <v>#REF!</v>
      </c>
      <c r="CX508" s="4" t="e">
        <f t="shared" ca="1" si="9183"/>
        <v>#REF!</v>
      </c>
      <c r="CY508" s="692" t="str">
        <f ca="1">IFERROR(VLOOKUP(INDEX(CU503:CU514,CX508),ELM,2,FALSE),"----")</f>
        <v>----</v>
      </c>
      <c r="CZ508" s="691" t="e">
        <f t="shared" ca="1" si="9184"/>
        <v>#N/A</v>
      </c>
      <c r="DA508" s="4" t="e">
        <f ca="1">IF(LEFT($J503,7)="Clad Wo",IF(AND(INDEX(SPPWS,CZ508,4)&gt;=$AB503,INDEX(SPPWS,CZ508,5)&gt;=$S503,INDEX(SPPWS,CZ508,6)&gt;=$R503),1,0),IF(AND(INDEX(SPM,CZ508,4)&gt;=$AB503,INDEX(SPM,CZ508,5)&gt;=$S503,INDEX(SPM,CZ508,6)&gt;=$R503),1,0))</f>
        <v>#N/A</v>
      </c>
      <c r="DB508" s="4" t="e">
        <f t="shared" ref="DB508" ca="1" si="9257">MATCH(1,OFFSET(DA503:DA514,DC507,0,COUNT(DA503:DA514)-DC507),0)</f>
        <v>#REF!</v>
      </c>
      <c r="DC508" s="4" t="e">
        <f t="shared" ca="1" si="9186"/>
        <v>#REF!</v>
      </c>
      <c r="DD508" s="693" t="str">
        <f ca="1">IF(LEFT($J503,7)="Clad Wo",IFERROR(VLOOKUP(INDEX(CZ503:CZ514,DC508),SPPWS,2,FALSE),"----"),IFERROR(VLOOKUP(INDEX(CZ503:CZ514,DC508),SPM,2,FALSE),"----"))</f>
        <v>----</v>
      </c>
      <c r="DE508" s="691" t="e">
        <f t="shared" ca="1" si="9187"/>
        <v>#REF!</v>
      </c>
      <c r="DF508" s="4" t="e" cm="1">
        <f t="array" aca="1" ref="DF508" ca="1">IF(AND(INDEX(INDIRECT(BY503),DE508,4)&gt;=$AB509,INDEX(INDIRECT(BY503),DE508,5)&gt;=$S503,INDEX(INDIRECT(BY503),DE508,6)&gt;=$R503),1,0)</f>
        <v>#REF!</v>
      </c>
      <c r="DG508" s="4" t="e">
        <f t="shared" ref="DG508" ca="1" si="9258">MATCH(1,OFFSET(DF503:DF514,DH507,0,COUNT(DF503:DF514)-DH507),0)</f>
        <v>#REF!</v>
      </c>
      <c r="DH508" s="4" t="e">
        <f t="shared" ca="1" si="9189"/>
        <v>#REF!</v>
      </c>
      <c r="DI508" s="692" t="str" cm="1">
        <f t="array" aca="1" ref="DI508" ca="1">IFERROR(VLOOKUP(INDEX(DE503:DE514,DH508),INDIRECT(BY503),2,FALSE),"----")</f>
        <v>----</v>
      </c>
      <c r="DJ508" s="691" t="e">
        <f t="shared" ca="1" si="9190"/>
        <v>#N/A</v>
      </c>
      <c r="DK508" s="4" t="e">
        <f ca="1">IF(AND(INDEX(SSM,DJ508,4)&gt;=$AB509,INDEX(SSM,DJ508,5)&gt;=$S503,INDEX(SSM,DJ508,6)&gt;=$R503),1,0)</f>
        <v>#N/A</v>
      </c>
      <c r="DL508" s="4" t="e">
        <f t="shared" ref="DL508" ca="1" si="9259">MATCH(1,OFFSET(DK503:DK514,DM507,0,COUNT(DK503:DK514)-DM507),0)</f>
        <v>#REF!</v>
      </c>
      <c r="DM508" s="4" t="e">
        <f t="shared" ca="1" si="9192"/>
        <v>#REF!</v>
      </c>
      <c r="DN508" s="692" t="str">
        <f ca="1">IFERROR(IF(AD510="Nested Steel Stud (wood infill)",VLOOKUP(INDEX(DJ503:DJ514,DM508),SSW,2,FALSE),VLOOKUP(INDEX(DJ503:DJ514,DM508),SSM,2,FALSE)),"----")</f>
        <v>----</v>
      </c>
      <c r="DO508" s="691" t="e">
        <f t="shared" ca="1" si="9193"/>
        <v>#N/A</v>
      </c>
      <c r="DP508" s="4" t="e">
        <f ca="1">IF(AND(INDEX(WSM,DO508,4)&gt;=$AB509,INDEX(WSM,DO508,5)&gt;=$S503,INDEX(WSM,DO508,6)&gt;=$R503),1,0)</f>
        <v>#N/A</v>
      </c>
      <c r="DQ508" s="4" t="e">
        <f t="shared" ref="DQ508" ca="1" si="9260">MATCH(1,OFFSET(DP503:DP514,DR507,0,COUNT(DP503:DP514)-DR507),0)</f>
        <v>#REF!</v>
      </c>
      <c r="DR508" s="4" t="e">
        <f t="shared" ca="1" si="9195"/>
        <v>#REF!</v>
      </c>
      <c r="DS508" s="692" t="str">
        <f ca="1">IFERROR(VLOOKUP(INDEX(DO503:DO514,DR508),WSM,2,FALSE),"----")</f>
        <v>----</v>
      </c>
      <c r="DT508" s="691" t="e">
        <f t="shared" ca="1" si="9196"/>
        <v>#N/A</v>
      </c>
      <c r="DU508" s="4" t="e">
        <f ca="1">IF(AND(INDEX(STM,DT508,4)&gt;=$AB509,INDEX(STM,DT508,5)&gt;=$S503,INDEX(STM,DT508,6)&gt;=$R503),1,0)</f>
        <v>#N/A</v>
      </c>
      <c r="DV508" s="4" t="e">
        <f t="shared" ref="DV508" ca="1" si="9261">MATCH(1,OFFSET(DU503:DU514,DW507,0,COUNT(DU503:DU514)-DW507),0)</f>
        <v>#REF!</v>
      </c>
      <c r="DW508" s="4" t="e">
        <f t="shared" ca="1" si="9198"/>
        <v>#REF!</v>
      </c>
      <c r="DX508" s="692" t="str">
        <f ca="1">IFERROR(VLOOKUP(INDEX(DT503:DT514,DW508),STM,2,FALSE),"----")</f>
        <v>----</v>
      </c>
      <c r="DY508" s="691" t="e">
        <f t="shared" ca="1" si="9199"/>
        <v>#N/A</v>
      </c>
      <c r="DZ508" s="4" t="e">
        <f ca="1">IF(AND(INDEX(ELM,DY508,4)&gt;=$AB509,INDEX(ELM,DY508,5)&gt;=$S503,INDEX(ELM,DY508,6)&gt;=$R503),1,0)</f>
        <v>#N/A</v>
      </c>
      <c r="EA508" s="4" t="e">
        <f t="shared" ref="EA508" ca="1" si="9262">MATCH(1,OFFSET(DZ503:DZ514,EB507,0,COUNT(DZ503:DZ514)-EB507),0)</f>
        <v>#REF!</v>
      </c>
      <c r="EB508" s="4" t="e">
        <f t="shared" ca="1" si="9201"/>
        <v>#REF!</v>
      </c>
      <c r="EC508" s="692" t="str">
        <f ca="1">IFERROR(VLOOKUP(INDEX(DY503:DY514,EB508),ELM,2,FALSE),"----")</f>
        <v>----</v>
      </c>
      <c r="ED508" s="691" t="e">
        <f t="shared" ca="1" si="9202"/>
        <v>#N/A</v>
      </c>
      <c r="EE508" s="4" t="e">
        <f ca="1">IF(LEFT($J503,7)="Clad Wo",IF(AND(INDEX(SPPWS,ED508,4)&gt;=$AB509,INDEX(SPPWS,ED508,5)&gt;=$S503,INDEX(SPPWS,ED508,6)&gt;=$R503),1,0),IF(AND(INDEX(SPM,ED508,4)&gt;=$AB509,INDEX(SPM,ED508,5)&gt;=$S503,INDEX(SPM,ED508,6)&gt;=$R503),1,0))</f>
        <v>#N/A</v>
      </c>
      <c r="EF508" s="4" t="e">
        <f t="shared" ref="EF508" ca="1" si="9263">MATCH(1,OFFSET(EE503:EE514,EG507,0,COUNT(EE503:EE514)-EG507),0)</f>
        <v>#REF!</v>
      </c>
      <c r="EG508" s="4" t="e">
        <f t="shared" ca="1" si="9204"/>
        <v>#REF!</v>
      </c>
      <c r="EH508" s="692" t="str">
        <f ca="1">IF(LEFT($J503,7)="Clad Wo",IFERROR(VLOOKUP(INDEX(ED503:ED514,EG508),SPPWS,2,FALSE),"----"),IFERROR(VLOOKUP(INDEX(ED503:ED514,EG508),SPM,2,FALSE),"----"))</f>
        <v>----</v>
      </c>
    </row>
    <row r="509" spans="1:138" ht="15" customHeight="1" x14ac:dyDescent="0.25">
      <c r="A509" s="1085"/>
      <c r="B509" s="925" t="s">
        <v>409</v>
      </c>
      <c r="C509" s="926"/>
      <c r="D509" s="927"/>
      <c r="E509" s="995"/>
      <c r="F509" s="996"/>
      <c r="G509" s="997"/>
      <c r="H509" s="1062"/>
      <c r="I509" s="990"/>
      <c r="J509" s="908"/>
      <c r="K509" s="909"/>
      <c r="L509" s="1001">
        <f>L503+1</f>
        <v>5</v>
      </c>
      <c r="M509" s="1064" t="str">
        <f t="shared" ref="M509" si="9264">IFERROR(IF($AE$17="",IF($AG$19="Wind Loading",MIN($V$31,IF(E$11="ASCE 7-05",$U$26,$V$7)*$V$9*(IF($E$12&lt;60,0.156*LN(MAX(MIN(500,O503),10)) -1.7618,IF($E$11="ASCE 7-22", 0.2026*LN(MAX(MIN(500,O503),20))-2.2638,0.2503*LN(MAX(MIN(500,O503),20)) -2.5526))-$V$8)),$V$7*IF(E$12&lt;60,$V$13*($V$15*(0.156*LN(MAX(MIN(500,O503),10)) -1.7618)-$V$16),$V$13*$V$15*((0.2026*LN(MAX(MIN(500,O503),20))-2.2638)-$V$16))),-ABS($AE$17)),"")</f>
        <v/>
      </c>
      <c r="N509" s="1041" t="str">
        <f t="shared" ref="N509" si="9265">IFERROR(IF($AE$19="",IF($AG$19="Wind Loading",MAX($U$31,IF(E$11="ASCE 7-05",$U$26,$V$7)*$V$9*((IF($E$12&lt;60,-0.077*LN(MAX(MIN(500,O503),10))+1.1737,IF($E$11="ASCE 7-22",-0.077*LN(MAX(MIN(500,O503),20))+1.0798,-0.093*LN(MAX(MIN(500,O503),20))+1.1776)))+$V$8)),$V$7*IF(E$12&lt;60,$V$13*($V$15*(-0.077*LN(MAX(MIN(500,O503),10))+1.1737)-$V$17),$V$13*$V$15*((-0.077*LN(MAX(MIN(500,O503),20))+1.0798)-$V$17))),ABS($AE$19)),"")</f>
        <v/>
      </c>
      <c r="O509" s="1018"/>
      <c r="P509" s="987"/>
      <c r="Q509" s="1015"/>
      <c r="R509" s="1012">
        <f>P509*Q509/8</f>
        <v>0</v>
      </c>
      <c r="S509" s="1006"/>
      <c r="T509" s="1007"/>
      <c r="U509" s="878"/>
      <c r="V509" s="881"/>
      <c r="W509" s="883" t="e">
        <f t="shared" ref="W509" si="9266">MAX(-M509,N509)*O503</f>
        <v>#VALUE!</v>
      </c>
      <c r="X509" s="884"/>
      <c r="Y509" s="886">
        <f>IFERROR(IF(AG$14="Trapezoidal",BY512,BX512)+IF($E$17="4",(400*E503^3)/(48*X503),0),0)</f>
        <v>0</v>
      </c>
      <c r="Z509" s="886" t="e">
        <f t="shared" ref="Z509" si="9267">+($V503*MAX(-$M509,$N509)*$E503^2)/(144*8)+IF($E$17=4,(400*$E503)/4,0)</f>
        <v>#VALUE!</v>
      </c>
      <c r="AA509" s="887"/>
      <c r="AB509" s="1080" t="str">
        <f t="shared" ref="AB509" ca="1" si="9268">IFERROR(Z509-AA503,"")</f>
        <v/>
      </c>
      <c r="AC509" s="1086" t="str">
        <f t="shared" ref="AC509" ca="1" si="9269">IFERROR(Y509-U503,"")</f>
        <v/>
      </c>
      <c r="AD509" s="1074" t="str">
        <f t="shared" ref="AD509" si="9270">AD503</f>
        <v/>
      </c>
      <c r="AE509" s="1075"/>
      <c r="AF509" s="1056"/>
      <c r="AG509" s="1057"/>
      <c r="AH509" s="1057"/>
      <c r="AI509" s="1088"/>
      <c r="AJ509" s="1089"/>
      <c r="AK509" s="162" t="str">
        <f t="shared" ca="1" si="8761"/>
        <v/>
      </c>
      <c r="AL509" s="1058" t="str">
        <f t="shared" ref="AL509" si="9271">IFERROR(ROUND(SQRT(P503^2+(W509/2+IF($E$17=4,200,0))^2),0),"")</f>
        <v/>
      </c>
      <c r="AM509" s="342" t="s">
        <v>669</v>
      </c>
      <c r="AN509" t="str">
        <f t="shared" ca="1" si="8785"/>
        <v/>
      </c>
      <c r="AP509" s="122" t="str">
        <f t="shared" ref="AP509" si="9272">_xlfn.CONCAT(AR509,AS514)</f>
        <v/>
      </c>
      <c r="AQ509" s="683" t="str">
        <f t="shared" si="8985"/>
        <v/>
      </c>
      <c r="AR509" s="96" t="str">
        <f t="shared" si="8745"/>
        <v/>
      </c>
      <c r="AS509" s="96" t="str">
        <f>IF(COUNTIF(imp_1,AF509)=1,"imp_1",IF(COUNTIF(imp_2,AF509)=1,"imp_2",IF(COUNTIF(imp_3,AF509)=1,"imp_3",IF(COUNTIF(impdoor,AF509)=1,"impdoor",""))))</f>
        <v/>
      </c>
      <c r="AT509" s="684" t="str">
        <f>AL509</f>
        <v/>
      </c>
      <c r="AU509" s="685" t="e">
        <f t="shared" ca="1" si="9002"/>
        <v>#REF!</v>
      </c>
      <c r="AV509" s="686" t="str">
        <f ca="1">IFERROR(VLOOKUP(AU509,INDIRECT(AQ503),2,FALSE),"----")</f>
        <v>----</v>
      </c>
      <c r="AW509" s="685" t="e">
        <f t="shared" ca="1" si="9003"/>
        <v>#REF!</v>
      </c>
      <c r="AX509" s="686" t="str">
        <f ca="1">IFERROR(VLOOKUP(AW509,INDIRECT(AQ504),2,FALSE),"----")</f>
        <v>----</v>
      </c>
      <c r="AY509" s="685" t="e">
        <f t="shared" ca="1" si="9250"/>
        <v>#REF!</v>
      </c>
      <c r="AZ509" s="686" t="str">
        <f ca="1">IFERROR(VLOOKUP(AY509,INDIRECT(AQ505),2,FALSE),"----")</f>
        <v>----</v>
      </c>
      <c r="BA509" s="685" t="e">
        <f t="shared" ca="1" si="9251"/>
        <v>#REF!</v>
      </c>
      <c r="BB509" s="686" t="str">
        <f ca="1">IFERROR(VLOOKUP(BA509,INDIRECT(AQ506),2,FALSE),"----")</f>
        <v>----</v>
      </c>
      <c r="BC509" s="685" t="e">
        <f t="shared" ca="1" si="9006"/>
        <v>#REF!</v>
      </c>
      <c r="BD509" s="686" t="str">
        <f ca="1">IFERROR(VLOOKUP(BC509,INDIRECT(AQ507),2,FALSE),"----")</f>
        <v>----</v>
      </c>
      <c r="BE509" s="685" t="e">
        <f t="shared" ca="1" si="9007"/>
        <v>#REF!</v>
      </c>
      <c r="BF509" s="686" t="str">
        <f ca="1">IFERROR(VLOOKUP(BE509,INDIRECT(AQ508),2,FALSE),"----")</f>
        <v>----</v>
      </c>
      <c r="BG509" s="702" t="e">
        <f t="shared" ca="1" si="9008"/>
        <v>#REF!</v>
      </c>
      <c r="BH509" s="686" t="str">
        <f ca="1">IFERROR(VLOOKUP(BG509,INDIRECT(AQ509),2,FALSE),"----")</f>
        <v>----</v>
      </c>
      <c r="BI509" s="702" t="e">
        <f t="shared" ca="1" si="9009"/>
        <v>#REF!</v>
      </c>
      <c r="BJ509" s="686" t="str">
        <f ca="1">IFERROR(VLOOKUP(BI509,INDIRECT(AQ510),2,FALSE),"----")</f>
        <v>----</v>
      </c>
      <c r="BK509" s="702" t="e">
        <f t="shared" ca="1" si="9010"/>
        <v>#REF!</v>
      </c>
      <c r="BL509" s="686" t="str">
        <f ca="1">IFERROR(VLOOKUP(BK509,INDIRECT(AQ511),2,FALSE),"----")</f>
        <v>----</v>
      </c>
      <c r="BM509" s="702" t="e">
        <f t="shared" ca="1" si="9011"/>
        <v>#REF!</v>
      </c>
      <c r="BN509" s="686" t="str">
        <f ca="1">IFERROR(VLOOKUP(BM509,INDIRECT(AQ512),2,FALSE),"----")</f>
        <v>----</v>
      </c>
      <c r="BO509" s="702" t="e">
        <f t="shared" ca="1" si="9012"/>
        <v>#REF!</v>
      </c>
      <c r="BP509" s="686" t="str">
        <f ca="1">IFERROR(VLOOKUP(BO509,INDIRECT(AQ513),2,FALSE),"----")</f>
        <v>----</v>
      </c>
      <c r="BQ509" s="702" t="e">
        <f t="shared" ca="1" si="9013"/>
        <v>#REF!</v>
      </c>
      <c r="BR509" s="686" t="str">
        <f ca="1">IFERROR(VLOOKUP(BQ509,INDIRECT(AQ514),2,FALSE),"----")</f>
        <v>----</v>
      </c>
      <c r="BS509" s="695">
        <f>IF(AI509="",1,IF(COUNTIF(BH503:BH514,AI509)=0,2,1))</f>
        <v>1</v>
      </c>
      <c r="BT509" s="696">
        <f>IF(AP509="1",1,IF(AF509="",1,IF(BH503=".",2,1)))</f>
        <v>1</v>
      </c>
      <c r="BU509" s="706"/>
      <c r="BV509" s="155">
        <f ca="1">IF(COUNTIF(DI503:DI514,AF509)=0,IF(AF509&lt;&gt;"",0,1),1)</f>
        <v>1</v>
      </c>
      <c r="BW509" s="157">
        <f ca="1">IFERROR(MATCH(AF509,DI503:DI514,0),1)</f>
        <v>1</v>
      </c>
      <c r="BX509" s="769" t="s">
        <v>1593</v>
      </c>
      <c r="BY509" s="769" t="s">
        <v>1629</v>
      </c>
      <c r="BZ509" s="1110"/>
      <c r="CA509" s="691" t="e">
        <f t="shared" ca="1" si="9169"/>
        <v>#REF!</v>
      </c>
      <c r="CB509" s="4" t="e" cm="1">
        <f t="array" aca="1" ref="CB509" ca="1">IF(AND(INDEX(INDIRECT(BY503),CA509,4)&gt;=$AB503,INDEX(INDIRECT(BY503),CA509,5)&gt;=$S503,INDEX(INDIRECT(BY503),CA509,6)&gt;=$R503),1,0)</f>
        <v>#REF!</v>
      </c>
      <c r="CC509" s="4" t="e">
        <f t="shared" ref="CC509" ca="1" si="9273">MATCH(1,OFFSET(CB503:CB514,CD508,0,COUNT(CB503:CB514)-CD508),0)</f>
        <v>#REF!</v>
      </c>
      <c r="CD509" s="4" t="e">
        <f t="shared" ca="1" si="9171"/>
        <v>#REF!</v>
      </c>
      <c r="CE509" s="692" t="str" cm="1">
        <f t="array" aca="1" ref="CE509" ca="1">IFERROR(VLOOKUP(INDEX(CA503:CA514,CD509),INDIRECT(BY503),2,FALSE),"----")</f>
        <v>----</v>
      </c>
      <c r="CF509" s="691" t="e">
        <f t="shared" ca="1" si="9172"/>
        <v>#N/A</v>
      </c>
      <c r="CG509" s="4" t="e">
        <f ca="1">IF(AND(INDEX(SSM,CF509,4)&gt;=$AB503,INDEX(SSM,CF509,5)&gt;=$S503,INDEX(SSM,CF509,6)&gt;=$R503),1,0)</f>
        <v>#N/A</v>
      </c>
      <c r="CH509" s="4" t="e">
        <f t="shared" ref="CH509" ca="1" si="9274">MATCH(1,OFFSET(CG503:CG514,CI508,0,COUNT(CG503:CG514)-CI508),0)</f>
        <v>#REF!</v>
      </c>
      <c r="CI509" s="4" t="e">
        <f t="shared" ca="1" si="9174"/>
        <v>#REF!</v>
      </c>
      <c r="CJ509" s="692" t="str">
        <f ca="1">IFERROR(IF(AD504="Nested Steel Stud (wood infill)",VLOOKUP(INDEX(CF503:CF514,CI509),SSW,2,FALSE),VLOOKUP(INDEX(CF503:CF514,CI509),SSM,2,FALSE)),"----")</f>
        <v>----</v>
      </c>
      <c r="CK509" s="691" t="e">
        <f t="shared" ca="1" si="9175"/>
        <v>#N/A</v>
      </c>
      <c r="CL509" s="4" t="e">
        <f ca="1">IF(AND(INDEX(WSM,CK509,4)&gt;=$AB503,INDEX(WSM,CK509,5)&gt;=$S503,INDEX(WSM,CK509,6)&gt;=$R503),1,0)</f>
        <v>#N/A</v>
      </c>
      <c r="CM509" s="4" t="e">
        <f t="shared" ref="CM509" ca="1" si="9275">MATCH(1,OFFSET(CL503:CL514,CN508,0,COUNT(CL503:CL514)-CN508),0)</f>
        <v>#REF!</v>
      </c>
      <c r="CN509" s="4" t="e">
        <f t="shared" ca="1" si="9177"/>
        <v>#REF!</v>
      </c>
      <c r="CO509" s="692" t="str">
        <f ca="1">IFERROR(VLOOKUP(INDEX(CK503:CK514,CN509),WSM,2,FALSE),"----")</f>
        <v>----</v>
      </c>
      <c r="CP509" s="691" t="e">
        <f t="shared" ca="1" si="9178"/>
        <v>#N/A</v>
      </c>
      <c r="CQ509" s="4" t="e">
        <f ca="1">IF(AND(INDEX(STM,CP509,4)&gt;=$AB503,INDEX(STM,CP509,5)&gt;=$S503,INDEX(STM,CP509,6)&gt;=$R503),1,0)</f>
        <v>#N/A</v>
      </c>
      <c r="CR509" s="4" t="e">
        <f t="shared" ref="CR509" ca="1" si="9276">MATCH(1,OFFSET(CQ503:CQ514,CS508,0,COUNT(CQ503:CQ514)-CS508),0)</f>
        <v>#REF!</v>
      </c>
      <c r="CS509" s="4" t="e">
        <f t="shared" ca="1" si="9180"/>
        <v>#REF!</v>
      </c>
      <c r="CT509" s="692" t="str">
        <f ca="1">IFERROR(VLOOKUP(INDEX(CP503:CP514,CS509),STM,2,FALSE),"----")</f>
        <v>----</v>
      </c>
      <c r="CU509" s="691" t="e">
        <f t="shared" ca="1" si="9181"/>
        <v>#N/A</v>
      </c>
      <c r="CV509" s="4" t="e">
        <f ca="1">IF(AND(INDEX(ELM,CU509,4)&gt;=$AB503,INDEX(ELM,CU509,5)&gt;=$S503,INDEX(ELM,CU509,6)&gt;=$R503),1,0)</f>
        <v>#N/A</v>
      </c>
      <c r="CW509" s="4" t="e">
        <f t="shared" ref="CW509" ca="1" si="9277">MATCH(1,OFFSET(CV503:CV514,CX508,0,COUNT(CV503:CV514)-CX508),0)</f>
        <v>#REF!</v>
      </c>
      <c r="CX509" s="4" t="e">
        <f t="shared" ca="1" si="9183"/>
        <v>#REF!</v>
      </c>
      <c r="CY509" s="692" t="str">
        <f ca="1">IFERROR(VLOOKUP(INDEX(CU503:CU514,CX509),ELM,2,FALSE),"----")</f>
        <v>----</v>
      </c>
      <c r="CZ509" s="691" t="e">
        <f t="shared" ca="1" si="9184"/>
        <v>#N/A</v>
      </c>
      <c r="DA509" s="4" t="e">
        <f ca="1">IF(LEFT($J503,7)="Clad Wo",IF(AND(INDEX(SPPWS,CZ509,4)&gt;=$AB503,INDEX(SPPWS,CZ509,5)&gt;=$S503,INDEX(SPPWS,CZ509,6)&gt;=$R503),1,0),IF(AND(INDEX(SPM,CZ509,4)&gt;=$AB503,INDEX(SPM,CZ509,5)&gt;=$S503,INDEX(SPM,CZ509,6)&gt;=$R503),1,0))</f>
        <v>#N/A</v>
      </c>
      <c r="DB509" s="4" t="e">
        <f t="shared" ref="DB509" ca="1" si="9278">MATCH(1,OFFSET(DA503:DA514,DC508,0,COUNT(DA503:DA514)-DC508),0)</f>
        <v>#REF!</v>
      </c>
      <c r="DC509" s="4" t="e">
        <f t="shared" ca="1" si="9186"/>
        <v>#REF!</v>
      </c>
      <c r="DD509" s="693" t="str">
        <f ca="1">IF(LEFT($J503,7)="Clad Wo",IFERROR(VLOOKUP(INDEX(CZ503:CZ514,DC509),SPPWS,2,FALSE),"----"),IFERROR(VLOOKUP(INDEX(CZ503:CZ514,DC509),SPM,2,FALSE),"----"))</f>
        <v>----</v>
      </c>
      <c r="DE509" s="691" t="e">
        <f t="shared" ca="1" si="9187"/>
        <v>#REF!</v>
      </c>
      <c r="DF509" s="4" t="e" cm="1">
        <f t="array" aca="1" ref="DF509" ca="1">IF(AND(INDEX(INDIRECT(BY503),DE509,4)&gt;=$AB509,INDEX(INDIRECT(BY503),DE509,5)&gt;=$S503,INDEX(INDIRECT(BY503),DE509,6)&gt;=$R503),1,0)</f>
        <v>#REF!</v>
      </c>
      <c r="DG509" s="4" t="e">
        <f t="shared" ref="DG509" ca="1" si="9279">MATCH(1,OFFSET(DF503:DF514,DH508,0,COUNT(DF503:DF514)-DH508),0)</f>
        <v>#REF!</v>
      </c>
      <c r="DH509" s="4" t="e">
        <f t="shared" ca="1" si="9189"/>
        <v>#REF!</v>
      </c>
      <c r="DI509" s="692" t="str" cm="1">
        <f t="array" aca="1" ref="DI509" ca="1">IFERROR(VLOOKUP(INDEX(DE503:DE514,DH509),INDIRECT(BY503),2,FALSE),"----")</f>
        <v>----</v>
      </c>
      <c r="DJ509" s="691" t="e">
        <f t="shared" ca="1" si="9190"/>
        <v>#N/A</v>
      </c>
      <c r="DK509" s="4" t="e">
        <f ca="1">IF(AND(INDEX(SSM,DJ509,4)&gt;=$AB509,INDEX(SSM,DJ509,5)&gt;=$S503,INDEX(SSM,DJ509,6)&gt;=$R503),1,0)</f>
        <v>#N/A</v>
      </c>
      <c r="DL509" s="4" t="e">
        <f t="shared" ref="DL509" ca="1" si="9280">MATCH(1,OFFSET(DK503:DK514,DM508,0,COUNT(DK503:DK514)-DM508),0)</f>
        <v>#REF!</v>
      </c>
      <c r="DM509" s="4" t="e">
        <f t="shared" ca="1" si="9192"/>
        <v>#REF!</v>
      </c>
      <c r="DN509" s="692" t="str">
        <f ca="1">IFERROR(IF(AD510="Nested Steel Stud (wood infill)",VLOOKUP(INDEX(DJ503:DJ514,DM509),SSW,2,FALSE),VLOOKUP(INDEX(DJ503:DJ514,DM509),SSM,2,FALSE)),"----")</f>
        <v>----</v>
      </c>
      <c r="DO509" s="691" t="e">
        <f t="shared" ca="1" si="9193"/>
        <v>#N/A</v>
      </c>
      <c r="DP509" s="4" t="e">
        <f ca="1">IF(AND(INDEX(WSM,DO509,4)&gt;=$AB509,INDEX(WSM,DO509,5)&gt;=$S503,INDEX(WSM,DO509,6)&gt;=$R503),1,0)</f>
        <v>#N/A</v>
      </c>
      <c r="DQ509" s="4" t="e">
        <f t="shared" ref="DQ509" ca="1" si="9281">MATCH(1,OFFSET(DP503:DP514,DR508,0,COUNT(DP503:DP514)-DR508),0)</f>
        <v>#REF!</v>
      </c>
      <c r="DR509" s="4" t="e">
        <f t="shared" ca="1" si="9195"/>
        <v>#REF!</v>
      </c>
      <c r="DS509" s="692" t="str">
        <f ca="1">IFERROR(VLOOKUP(INDEX(DO503:DO514,DR509),WSM,2,FALSE),"----")</f>
        <v>----</v>
      </c>
      <c r="DT509" s="691" t="e">
        <f t="shared" ca="1" si="9196"/>
        <v>#N/A</v>
      </c>
      <c r="DU509" s="4" t="e">
        <f ca="1">IF(AND(INDEX(STM,DT509,4)&gt;=$AB509,INDEX(STM,DT509,5)&gt;=$S503,INDEX(STM,DT509,6)&gt;=$R503),1,0)</f>
        <v>#N/A</v>
      </c>
      <c r="DV509" s="4" t="e">
        <f t="shared" ref="DV509" ca="1" si="9282">MATCH(1,OFFSET(DU503:DU514,DW508,0,COUNT(DU503:DU514)-DW508),0)</f>
        <v>#REF!</v>
      </c>
      <c r="DW509" s="4" t="e">
        <f t="shared" ca="1" si="9198"/>
        <v>#REF!</v>
      </c>
      <c r="DX509" s="692" t="str">
        <f ca="1">IFERROR(VLOOKUP(INDEX(DT503:DT514,DW509),STM,2,FALSE),"----")</f>
        <v>----</v>
      </c>
      <c r="DY509" s="691" t="e">
        <f t="shared" ca="1" si="9199"/>
        <v>#N/A</v>
      </c>
      <c r="DZ509" s="4" t="e">
        <f ca="1">IF(AND(INDEX(ELM,DY509,4)&gt;=$AB509,INDEX(ELM,DY509,5)&gt;=$S503,INDEX(ELM,DY509,6)&gt;=$R503),1,0)</f>
        <v>#N/A</v>
      </c>
      <c r="EA509" s="4" t="e">
        <f t="shared" ref="EA509" ca="1" si="9283">MATCH(1,OFFSET(DZ503:DZ514,EB508,0,COUNT(DZ503:DZ514)-EB508),0)</f>
        <v>#REF!</v>
      </c>
      <c r="EB509" s="4" t="e">
        <f t="shared" ca="1" si="9201"/>
        <v>#REF!</v>
      </c>
      <c r="EC509" s="692" t="str">
        <f ca="1">IFERROR(VLOOKUP(INDEX(DY503:DY514,EB509),ELM,2,FALSE),"----")</f>
        <v>----</v>
      </c>
      <c r="ED509" s="691" t="e">
        <f t="shared" ca="1" si="9202"/>
        <v>#N/A</v>
      </c>
      <c r="EE509" s="4" t="e">
        <f ca="1">IF(LEFT($J503,7)="Clad Wo",IF(AND(INDEX(SPPWS,ED509,4)&gt;=$AB509,INDEX(SPPWS,ED509,5)&gt;=$S503,INDEX(SPPWS,ED509,6)&gt;=$R503),1,0),IF(AND(INDEX(SPM,ED509,4)&gt;=$AB509,INDEX(SPM,ED509,5)&gt;=$S503,INDEX(SPM,ED509,6)&gt;=$R503),1,0))</f>
        <v>#N/A</v>
      </c>
      <c r="EF509" s="4" t="e">
        <f t="shared" ref="EF509" ca="1" si="9284">MATCH(1,OFFSET(EE503:EE514,EG508,0,COUNT(EE503:EE514)-EG508),0)</f>
        <v>#REF!</v>
      </c>
      <c r="EG509" s="4" t="e">
        <f t="shared" ca="1" si="9204"/>
        <v>#REF!</v>
      </c>
      <c r="EH509" s="692" t="str">
        <f ca="1">IF(LEFT($J503,7)="Clad Wo",IFERROR(VLOOKUP(INDEX(ED503:ED514,EG509),SPPWS,2,FALSE),"----"),IFERROR(VLOOKUP(INDEX(ED503:ED514,EG509),SPM,2,FALSE),"----"))</f>
        <v>----</v>
      </c>
    </row>
    <row r="510" spans="1:138" ht="15" customHeight="1" x14ac:dyDescent="0.25">
      <c r="A510" s="1085"/>
      <c r="B510" s="925"/>
      <c r="C510" s="926"/>
      <c r="D510" s="927"/>
      <c r="E510" s="995"/>
      <c r="F510" s="996"/>
      <c r="G510" s="997"/>
      <c r="H510" s="1062"/>
      <c r="I510" s="990"/>
      <c r="J510" s="912"/>
      <c r="K510" s="913"/>
      <c r="L510" s="1002"/>
      <c r="M510" s="923"/>
      <c r="N510" s="1042"/>
      <c r="O510" s="1018"/>
      <c r="P510" s="987"/>
      <c r="Q510" s="1015"/>
      <c r="R510" s="1012"/>
      <c r="S510" s="1006"/>
      <c r="T510" s="1007"/>
      <c r="U510" s="878"/>
      <c r="V510" s="881"/>
      <c r="W510" s="884"/>
      <c r="X510" s="884"/>
      <c r="Y510" s="887"/>
      <c r="Z510" s="887"/>
      <c r="AA510" s="887"/>
      <c r="AB510" s="1081"/>
      <c r="AC510" s="1078"/>
      <c r="AD510" s="1070" t="str">
        <f t="shared" ref="AD510" si="9285">IF(ISBLANK(AD504)=TRUE,"",AD504)</f>
        <v>Nested Steel Stud</v>
      </c>
      <c r="AE510" s="1071"/>
      <c r="AF510" s="1052"/>
      <c r="AG510" s="1053"/>
      <c r="AH510" s="1053"/>
      <c r="AI510" s="1066"/>
      <c r="AJ510" s="1067"/>
      <c r="AK510" s="156" t="str">
        <f t="shared" ca="1" si="8761"/>
        <v/>
      </c>
      <c r="AL510" s="1059"/>
      <c r="AM510" s="343" t="str">
        <f ca="1">IFERROR(Q503/12*ROUND(VLOOKUP(AF510,OFFSET(SSM,0,1),6,FALSE),2),"")</f>
        <v/>
      </c>
      <c r="AN510" t="str">
        <f t="shared" ca="1" si="8785"/>
        <v/>
      </c>
      <c r="AP510" s="122" t="str">
        <f t="shared" ref="AP510" si="9286">_xlfn.CONCAT(AR510,AS514)</f>
        <v/>
      </c>
      <c r="AQ510" s="683" t="str">
        <f t="shared" si="8985"/>
        <v/>
      </c>
      <c r="AR510" s="96" t="str">
        <f t="shared" si="8745"/>
        <v/>
      </c>
      <c r="AS510" s="96" t="str">
        <f>IF(COUNTIF(Vista_1,AF509)=1,"Vista_1",IF(COUNTIF(Vista_2,AF509)=1,"Vista_2",""))</f>
        <v/>
      </c>
      <c r="AT510" s="684" t="str">
        <f>AL509</f>
        <v/>
      </c>
      <c r="AU510" s="694" t="e">
        <f t="shared" ca="1" si="9002"/>
        <v>#REF!</v>
      </c>
      <c r="AV510" s="686" t="str">
        <f ca="1">IFERROR(VLOOKUP(AU510,INDIRECT(AQ503),2,FALSE),"----")</f>
        <v>----</v>
      </c>
      <c r="AW510" s="694" t="e">
        <f t="shared" ca="1" si="9003"/>
        <v>#REF!</v>
      </c>
      <c r="AX510" s="686" t="str">
        <f ca="1">IFERROR(VLOOKUP(AW510,INDIRECT(AQ504),2,FALSE),"----")</f>
        <v>----</v>
      </c>
      <c r="AY510" s="694" t="e">
        <f t="shared" ca="1" si="9250"/>
        <v>#REF!</v>
      </c>
      <c r="AZ510" s="686" t="str">
        <f ca="1">IFERROR(VLOOKUP(AY510,INDIRECT(AQ505),2,FALSE),"----")</f>
        <v>----</v>
      </c>
      <c r="BA510" s="694" t="e">
        <f t="shared" ca="1" si="9251"/>
        <v>#REF!</v>
      </c>
      <c r="BB510" s="686" t="str">
        <f ca="1">IFERROR(VLOOKUP(BA510,INDIRECT(AQ506),2,FALSE),"----")</f>
        <v>----</v>
      </c>
      <c r="BC510" s="694" t="e">
        <f t="shared" ca="1" si="9006"/>
        <v>#REF!</v>
      </c>
      <c r="BD510" s="686" t="str">
        <f ca="1">IFERROR(VLOOKUP(BC510,INDIRECT(AQ507),2,FALSE),"----")</f>
        <v>----</v>
      </c>
      <c r="BE510" s="694" t="e">
        <f t="shared" ca="1" si="9007"/>
        <v>#REF!</v>
      </c>
      <c r="BF510" s="686" t="str">
        <f ca="1">IFERROR(VLOOKUP(BE510,INDIRECT(AQ508),2,FALSE),"----")</f>
        <v>----</v>
      </c>
      <c r="BG510" s="702" t="e">
        <f t="shared" ca="1" si="9008"/>
        <v>#REF!</v>
      </c>
      <c r="BH510" s="686" t="str">
        <f ca="1">IFERROR(VLOOKUP(BG510,INDIRECT(AQ509),2,FALSE),"----")</f>
        <v>----</v>
      </c>
      <c r="BI510" s="702" t="e">
        <f t="shared" ca="1" si="9009"/>
        <v>#REF!</v>
      </c>
      <c r="BJ510" s="686" t="str">
        <f ca="1">IFERROR(VLOOKUP(BI510,INDIRECT(AQ510),2,FALSE),"----")</f>
        <v>----</v>
      </c>
      <c r="BK510" s="702" t="e">
        <f t="shared" ca="1" si="9010"/>
        <v>#REF!</v>
      </c>
      <c r="BL510" s="686" t="str">
        <f ca="1">IFERROR(VLOOKUP(BK510,INDIRECT(AQ511),2,FALSE),"----")</f>
        <v>----</v>
      </c>
      <c r="BM510" s="702" t="e">
        <f t="shared" ca="1" si="9011"/>
        <v>#REF!</v>
      </c>
      <c r="BN510" s="686" t="str">
        <f ca="1">IFERROR(VLOOKUP(BM510,INDIRECT(AQ512),2,FALSE),"----")</f>
        <v>----</v>
      </c>
      <c r="BO510" s="702" t="e">
        <f t="shared" ca="1" si="9012"/>
        <v>#REF!</v>
      </c>
      <c r="BP510" s="686" t="str">
        <f ca="1">IFERROR(VLOOKUP(BO510,INDIRECT(AQ513),2,FALSE),"----")</f>
        <v>----</v>
      </c>
      <c r="BQ510" s="702" t="e">
        <f t="shared" ca="1" si="9013"/>
        <v>#REF!</v>
      </c>
      <c r="BR510" s="686" t="str">
        <f ca="1">IFERROR(VLOOKUP(BQ510,INDIRECT(AQ514),2,FALSE),"----")</f>
        <v>----</v>
      </c>
      <c r="BS510" s="695">
        <f>IF(AI510="",1,IF(COUNTIF(BJ503:BJ514,AI510)=0,2,1))</f>
        <v>1</v>
      </c>
      <c r="BT510" s="696">
        <f>IF(AF510="",1,IF(BJ503=".",2,1))</f>
        <v>1</v>
      </c>
      <c r="BU510" s="706"/>
      <c r="BV510" s="155">
        <f ca="1">IF(COUNTIF(DN503:DN514,AF510)=0,IF(AF510&lt;&gt;"",0,1),1)</f>
        <v>1</v>
      </c>
      <c r="BW510" s="157">
        <f ca="1">IFERROR(MATCH(AF510,DN503:DN514,0),1)</f>
        <v>1</v>
      </c>
      <c r="BX510" s="769">
        <f t="shared" ref="BX510" si="9287">E503*(H503+I503)/144/2</f>
        <v>0</v>
      </c>
      <c r="BY510" s="769">
        <f>SUM(IF(H503&gt;E503,E503^2/4,(H503*E503/2)-(H503^2/4))/144,IF(I503&gt;E503,E503^2/4,(I503*E503/2)-(I503^2/4))/144)</f>
        <v>0</v>
      </c>
      <c r="BZ510" s="1110"/>
      <c r="CA510" s="691" t="e">
        <f t="shared" ca="1" si="9169"/>
        <v>#REF!</v>
      </c>
      <c r="CB510" s="4" t="e" cm="1">
        <f t="array" aca="1" ref="CB510" ca="1">IF(AND(INDEX(INDIRECT(BY503),CA510,4)&gt;=$AB503,INDEX(INDIRECT(BY503),CA510,5)&gt;=$S503,INDEX(INDIRECT(BY503),CA510,6)&gt;=$R503),1,0)</f>
        <v>#REF!</v>
      </c>
      <c r="CC510" s="4" t="e">
        <f t="shared" ref="CC510" ca="1" si="9288">MATCH(1,OFFSET(CB503:CB514,CD509,0,COUNT(CB503:CB514)-CD509),0)</f>
        <v>#REF!</v>
      </c>
      <c r="CD510" s="4" t="e">
        <f t="shared" ca="1" si="9171"/>
        <v>#REF!</v>
      </c>
      <c r="CE510" s="692" t="str" cm="1">
        <f t="array" aca="1" ref="CE510" ca="1">IFERROR(VLOOKUP(INDEX(CA503:CA514,CD510),INDIRECT(BY503),2,FALSE),"----")</f>
        <v>----</v>
      </c>
      <c r="CF510" s="691" t="e">
        <f t="shared" ca="1" si="9172"/>
        <v>#N/A</v>
      </c>
      <c r="CG510" s="4" t="e">
        <f ca="1">IF(AND(INDEX(SSM,CF510,4)&gt;=$AB503,INDEX(SSM,CF510,5)&gt;=$S503,INDEX(SSM,CF510,6)&gt;=$R503),1,0)</f>
        <v>#N/A</v>
      </c>
      <c r="CH510" s="4" t="e">
        <f t="shared" ref="CH510" ca="1" si="9289">MATCH(1,OFFSET(CG503:CG514,CI509,0,COUNT(CG503:CG514)-CI509),0)</f>
        <v>#REF!</v>
      </c>
      <c r="CI510" s="4" t="e">
        <f t="shared" ca="1" si="9174"/>
        <v>#REF!</v>
      </c>
      <c r="CJ510" s="692" t="str">
        <f ca="1">IFERROR(IF(AD504="Nested Steel Stud (wood infill)",VLOOKUP(INDEX(CF503:CF514,CI510),SSW,2,FALSE),VLOOKUP(INDEX(CF503:CF514,CI510),SSM,2,FALSE)),"----")</f>
        <v>----</v>
      </c>
      <c r="CK510" s="691" t="e">
        <f t="shared" ca="1" si="9175"/>
        <v>#N/A</v>
      </c>
      <c r="CL510" s="4" t="e">
        <f ca="1">IF(AND(INDEX(WSM,CK510,4)&gt;=$AB503,INDEX(WSM,CK510,5)&gt;=$S503,INDEX(WSM,CK510,6)&gt;=$R503),1,0)</f>
        <v>#N/A</v>
      </c>
      <c r="CM510" s="4" t="e">
        <f t="shared" ref="CM510" ca="1" si="9290">MATCH(1,OFFSET(CL503:CL514,CN509,0,COUNT(CL503:CL514)-CN509),0)</f>
        <v>#REF!</v>
      </c>
      <c r="CN510" s="4" t="e">
        <f t="shared" ca="1" si="9177"/>
        <v>#REF!</v>
      </c>
      <c r="CO510" s="692" t="str">
        <f ca="1">IFERROR(VLOOKUP(INDEX(CK503:CK514,CN510),WSM,2,FALSE),"----")</f>
        <v>----</v>
      </c>
      <c r="CP510" s="691" t="e">
        <f t="shared" ca="1" si="9178"/>
        <v>#N/A</v>
      </c>
      <c r="CQ510" s="4" t="e">
        <f ca="1">IF(AND(INDEX(STM,CP510,4)&gt;=$AB503,INDEX(STM,CP510,5)&gt;=$S503,INDEX(STM,CP510,6)&gt;=$R503),1,0)</f>
        <v>#N/A</v>
      </c>
      <c r="CR510" s="4" t="e">
        <f t="shared" ref="CR510" ca="1" si="9291">MATCH(1,OFFSET(CQ503:CQ514,CS509,0,COUNT(CQ503:CQ514)-CS509),0)</f>
        <v>#REF!</v>
      </c>
      <c r="CS510" s="4" t="e">
        <f t="shared" ca="1" si="9180"/>
        <v>#REF!</v>
      </c>
      <c r="CT510" s="692" t="str">
        <f ca="1">IFERROR(VLOOKUP(INDEX(CP503:CP514,CS510),STM,2,FALSE),"----")</f>
        <v>----</v>
      </c>
      <c r="CU510" s="691" t="e">
        <f t="shared" ca="1" si="9181"/>
        <v>#N/A</v>
      </c>
      <c r="CV510" s="4" t="e">
        <f ca="1">IF(AND(INDEX(ELM,CU510,4)&gt;=$AB503,INDEX(ELM,CU510,5)&gt;=$S503,INDEX(ELM,CU510,6)&gt;=$R503),1,0)</f>
        <v>#N/A</v>
      </c>
      <c r="CW510" s="4" t="e">
        <f t="shared" ref="CW510" ca="1" si="9292">MATCH(1,OFFSET(CV503:CV514,CX509,0,COUNT(CV503:CV514)-CX509),0)</f>
        <v>#REF!</v>
      </c>
      <c r="CX510" s="4" t="e">
        <f t="shared" ca="1" si="9183"/>
        <v>#REF!</v>
      </c>
      <c r="CY510" s="692" t="str">
        <f ca="1">IFERROR(VLOOKUP(INDEX(CU503:CU514,CX510),ELM,2,FALSE),"----")</f>
        <v>----</v>
      </c>
      <c r="CZ510" s="691" t="e">
        <f t="shared" ca="1" si="9184"/>
        <v>#N/A</v>
      </c>
      <c r="DA510" s="4" t="e">
        <f ca="1">IF(LEFT($J503,7)="Clad Wo",IF(AND(INDEX(SPPWS,CZ510,4)&gt;=$AB503,INDEX(SPPWS,CZ510,5)&gt;=$S503,INDEX(SPPWS,CZ510,6)&gt;=$R503),1,0),IF(AND(INDEX(SPM,CZ510,4)&gt;=$AB503,INDEX(SPM,CZ510,5)&gt;=$S503,INDEX(SPM,CZ510,6)&gt;=$R503),1,0))</f>
        <v>#N/A</v>
      </c>
      <c r="DB510" s="4" t="e">
        <f t="shared" ref="DB510" ca="1" si="9293">MATCH(1,OFFSET(DA503:DA514,DC509,0,COUNT(DA503:DA514)-DC509),0)</f>
        <v>#REF!</v>
      </c>
      <c r="DC510" s="4" t="e">
        <f t="shared" ca="1" si="9186"/>
        <v>#REF!</v>
      </c>
      <c r="DD510" s="693" t="str">
        <f ca="1">IF(LEFT($J503,7)="Clad Wo",IFERROR(VLOOKUP(INDEX(CZ503:CZ514,DC510),SPPWS,2,FALSE),"----"),IFERROR(VLOOKUP(INDEX(CZ503:CZ514,DC510),SPM,2,FALSE),"----"))</f>
        <v>----</v>
      </c>
      <c r="DE510" s="691" t="e">
        <f t="shared" ca="1" si="9187"/>
        <v>#REF!</v>
      </c>
      <c r="DF510" s="4" t="e" cm="1">
        <f t="array" aca="1" ref="DF510" ca="1">IF(AND(INDEX(INDIRECT(BY503),DE510,4)&gt;=$AB509,INDEX(INDIRECT(BY503),DE510,5)&gt;=$S503,INDEX(INDIRECT(BY503),DE510,6)&gt;=$R503),1,0)</f>
        <v>#REF!</v>
      </c>
      <c r="DG510" s="4" t="e">
        <f t="shared" ref="DG510" ca="1" si="9294">MATCH(1,OFFSET(DF503:DF514,DH509,0,COUNT(DF503:DF514)-DH509),0)</f>
        <v>#REF!</v>
      </c>
      <c r="DH510" s="4" t="e">
        <f t="shared" ca="1" si="9189"/>
        <v>#REF!</v>
      </c>
      <c r="DI510" s="692" t="str" cm="1">
        <f t="array" aca="1" ref="DI510" ca="1">IFERROR(VLOOKUP(INDEX(DE503:DE514,DH510),INDIRECT(BY503),2,FALSE),"----")</f>
        <v>----</v>
      </c>
      <c r="DJ510" s="691" t="e">
        <f t="shared" ca="1" si="9190"/>
        <v>#N/A</v>
      </c>
      <c r="DK510" s="4" t="e">
        <f ca="1">IF(AND(INDEX(SSM,DJ510,4)&gt;=$AB509,INDEX(SSM,DJ510,5)&gt;=$S503,INDEX(SSM,DJ510,6)&gt;=$R503),1,0)</f>
        <v>#N/A</v>
      </c>
      <c r="DL510" s="4" t="e">
        <f t="shared" ref="DL510" ca="1" si="9295">MATCH(1,OFFSET(DK503:DK514,DM509,0,COUNT(DK503:DK514)-DM509),0)</f>
        <v>#REF!</v>
      </c>
      <c r="DM510" s="4" t="e">
        <f t="shared" ca="1" si="9192"/>
        <v>#REF!</v>
      </c>
      <c r="DN510" s="692" t="str">
        <f ca="1">IFERROR(IF(AD510="Nested Steel Stud (wood infill)",VLOOKUP(INDEX(DJ503:DJ514,DM510),SSW,2,FALSE),VLOOKUP(INDEX(DJ503:DJ514,DM510),SSM,2,FALSE)),"----")</f>
        <v>----</v>
      </c>
      <c r="DO510" s="691" t="e">
        <f t="shared" ca="1" si="9193"/>
        <v>#N/A</v>
      </c>
      <c r="DP510" s="4" t="e">
        <f ca="1">IF(AND(INDEX(WSM,DO510,4)&gt;=$AB509,INDEX(WSM,DO510,5)&gt;=$S503,INDEX(WSM,DO510,6)&gt;=$R503),1,0)</f>
        <v>#N/A</v>
      </c>
      <c r="DQ510" s="4" t="e">
        <f t="shared" ref="DQ510" ca="1" si="9296">MATCH(1,OFFSET(DP503:DP514,DR509,0,COUNT(DP503:DP514)-DR509),0)</f>
        <v>#REF!</v>
      </c>
      <c r="DR510" s="4" t="e">
        <f t="shared" ca="1" si="9195"/>
        <v>#REF!</v>
      </c>
      <c r="DS510" s="692" t="str">
        <f ca="1">IFERROR(VLOOKUP(INDEX(DO503:DO514,DR510),WSM,2,FALSE),"----")</f>
        <v>----</v>
      </c>
      <c r="DT510" s="691" t="e">
        <f t="shared" ca="1" si="9196"/>
        <v>#N/A</v>
      </c>
      <c r="DU510" s="4" t="e">
        <f ca="1">IF(AND(INDEX(STM,DT510,4)&gt;=$AB509,INDEX(STM,DT510,5)&gt;=$S503,INDEX(STM,DT510,6)&gt;=$R503),1,0)</f>
        <v>#N/A</v>
      </c>
      <c r="DV510" s="4" t="e">
        <f t="shared" ref="DV510" ca="1" si="9297">MATCH(1,OFFSET(DU503:DU514,DW509,0,COUNT(DU503:DU514)-DW509),0)</f>
        <v>#REF!</v>
      </c>
      <c r="DW510" s="4" t="e">
        <f t="shared" ca="1" si="9198"/>
        <v>#REF!</v>
      </c>
      <c r="DX510" s="692" t="str">
        <f ca="1">IFERROR(VLOOKUP(INDEX(DT503:DT514,DW510),STM,2,FALSE),"----")</f>
        <v>----</v>
      </c>
      <c r="DY510" s="691" t="e">
        <f t="shared" ca="1" si="9199"/>
        <v>#N/A</v>
      </c>
      <c r="DZ510" s="4" t="e">
        <f ca="1">IF(AND(INDEX(ELM,DY510,4)&gt;=$AB509,INDEX(ELM,DY510,5)&gt;=$S503,INDEX(ELM,DY510,6)&gt;=$R503),1,0)</f>
        <v>#N/A</v>
      </c>
      <c r="EA510" s="4" t="e">
        <f t="shared" ref="EA510" ca="1" si="9298">MATCH(1,OFFSET(DZ503:DZ514,EB509,0,COUNT(DZ503:DZ514)-EB509),0)</f>
        <v>#REF!</v>
      </c>
      <c r="EB510" s="4" t="e">
        <f t="shared" ca="1" si="9201"/>
        <v>#REF!</v>
      </c>
      <c r="EC510" s="692" t="str">
        <f ca="1">IFERROR(VLOOKUP(INDEX(DY503:DY514,EB510),ELM,2,FALSE),"----")</f>
        <v>----</v>
      </c>
      <c r="ED510" s="691" t="e">
        <f t="shared" ca="1" si="9202"/>
        <v>#N/A</v>
      </c>
      <c r="EE510" s="4" t="e">
        <f ca="1">IF(LEFT($J503,7)="Clad Wo",IF(AND(INDEX(SPPWS,ED510,4)&gt;=$AB509,INDEX(SPPWS,ED510,5)&gt;=$S503,INDEX(SPPWS,ED510,6)&gt;=$R503),1,0),IF(AND(INDEX(SPM,ED510,4)&gt;=$AB509,INDEX(SPM,ED510,5)&gt;=$S503,INDEX(SPM,ED510,6)&gt;=$R503),1,0))</f>
        <v>#N/A</v>
      </c>
      <c r="EF510" s="4" t="e">
        <f t="shared" ref="EF510" ca="1" si="9299">MATCH(1,OFFSET(EE503:EE514,EG509,0,COUNT(EE503:EE514)-EG509),0)</f>
        <v>#REF!</v>
      </c>
      <c r="EG510" s="4" t="e">
        <f t="shared" ca="1" si="9204"/>
        <v>#REF!</v>
      </c>
      <c r="EH510" s="692" t="str">
        <f ca="1">IF(LEFT($J503,7)="Clad Wo",IFERROR(VLOOKUP(INDEX(ED503:ED514,EG510),SPPWS,2,FALSE),"----"),IFERROR(VLOOKUP(INDEX(ED503:ED514,EG510),SPM,2,FALSE),"----"))</f>
        <v>----</v>
      </c>
    </row>
    <row r="511" spans="1:138" ht="15" customHeight="1" x14ac:dyDescent="0.25">
      <c r="A511" s="1085"/>
      <c r="B511" s="925"/>
      <c r="C511" s="926"/>
      <c r="D511" s="927"/>
      <c r="E511" s="995"/>
      <c r="F511" s="996"/>
      <c r="G511" s="997"/>
      <c r="H511" s="1062"/>
      <c r="I511" s="990"/>
      <c r="J511" s="902"/>
      <c r="K511" s="903"/>
      <c r="L511" s="1002"/>
      <c r="M511" s="923"/>
      <c r="N511" s="1042"/>
      <c r="O511" s="1018"/>
      <c r="P511" s="987"/>
      <c r="Q511" s="1015"/>
      <c r="R511" s="1012"/>
      <c r="S511" s="1006"/>
      <c r="T511" s="1007"/>
      <c r="U511" s="878"/>
      <c r="V511" s="881"/>
      <c r="W511" s="884"/>
      <c r="X511" s="884"/>
      <c r="Y511" s="887"/>
      <c r="Z511" s="887"/>
      <c r="AA511" s="887"/>
      <c r="AB511" s="1081"/>
      <c r="AC511" s="1078"/>
      <c r="AD511" s="1070" t="str">
        <f t="shared" si="8814"/>
        <v>Wood Stud Framing</v>
      </c>
      <c r="AE511" s="1071"/>
      <c r="AF511" s="1052"/>
      <c r="AG511" s="1053"/>
      <c r="AH511" s="1053"/>
      <c r="AI511" s="1066"/>
      <c r="AJ511" s="1067"/>
      <c r="AK511" s="156" t="str">
        <f t="shared" ca="1" si="8761"/>
        <v/>
      </c>
      <c r="AL511" s="1059"/>
      <c r="AM511" s="344" t="str">
        <f ca="1">IFERROR(Q503/12*ROUND(VLOOKUP(AF511,OFFSET(WSM,0,1),6,FALSE),2),"")</f>
        <v/>
      </c>
      <c r="AN511" t="str">
        <f t="shared" ca="1" si="8785"/>
        <v/>
      </c>
      <c r="AP511" s="122" t="str">
        <f t="shared" ref="AP511" si="9300">_xlfn.CONCAT(AR511,AS514)</f>
        <v/>
      </c>
      <c r="AQ511" s="683" t="str">
        <f t="shared" si="8985"/>
        <v/>
      </c>
      <c r="AR511" s="4" t="str">
        <f t="shared" si="8745"/>
        <v/>
      </c>
      <c r="AS511" s="4"/>
      <c r="AT511" s="697" t="str">
        <f>AL509</f>
        <v/>
      </c>
      <c r="AU511" s="694" t="e">
        <f t="shared" ca="1" si="9002"/>
        <v>#REF!</v>
      </c>
      <c r="AV511" s="686" t="str">
        <f ca="1">IFERROR(VLOOKUP(AU511,INDIRECT(AQ503),2,FALSE),"----")</f>
        <v>----</v>
      </c>
      <c r="AW511" s="694" t="e">
        <f t="shared" ca="1" si="9003"/>
        <v>#REF!</v>
      </c>
      <c r="AX511" s="686" t="str">
        <f ca="1">IFERROR(VLOOKUP(AW511,INDIRECT(AQ504),2,FALSE),"----")</f>
        <v>----</v>
      </c>
      <c r="AY511" s="694" t="e">
        <f t="shared" ca="1" si="9250"/>
        <v>#REF!</v>
      </c>
      <c r="AZ511" s="686" t="str">
        <f ca="1">IFERROR(VLOOKUP(AY511,INDIRECT(AQ505),2,FALSE),"----")</f>
        <v>----</v>
      </c>
      <c r="BA511" s="694" t="e">
        <f t="shared" ca="1" si="9251"/>
        <v>#REF!</v>
      </c>
      <c r="BB511" s="686" t="str">
        <f ca="1">IFERROR(VLOOKUP(BA511,INDIRECT(AQ506),2,FALSE),"----")</f>
        <v>----</v>
      </c>
      <c r="BC511" s="694" t="e">
        <f t="shared" ca="1" si="9006"/>
        <v>#REF!</v>
      </c>
      <c r="BD511" s="686" t="str">
        <f ca="1">IFERROR(VLOOKUP(BC511,INDIRECT(AQ507),2,FALSE),"----")</f>
        <v>----</v>
      </c>
      <c r="BE511" s="694" t="e">
        <f t="shared" ca="1" si="9007"/>
        <v>#REF!</v>
      </c>
      <c r="BF511" s="686" t="str">
        <f ca="1">IFERROR(VLOOKUP(BE511,INDIRECT(AQ508),2,FALSE),"----")</f>
        <v>----</v>
      </c>
      <c r="BG511" s="702" t="e">
        <f t="shared" ca="1" si="9008"/>
        <v>#REF!</v>
      </c>
      <c r="BH511" s="686" t="str">
        <f ca="1">IFERROR(VLOOKUP(BG511,INDIRECT(AQ509),2,FALSE),"----")</f>
        <v>----</v>
      </c>
      <c r="BI511" s="702" t="e">
        <f t="shared" ca="1" si="9009"/>
        <v>#REF!</v>
      </c>
      <c r="BJ511" s="686" t="str">
        <f ca="1">IFERROR(VLOOKUP(BI511,INDIRECT(AQ510),2,FALSE),"----")</f>
        <v>----</v>
      </c>
      <c r="BK511" s="702" t="e">
        <f t="shared" ca="1" si="9010"/>
        <v>#REF!</v>
      </c>
      <c r="BL511" s="686" t="str">
        <f ca="1">IFERROR(VLOOKUP(BK511,INDIRECT(AQ511),2,FALSE),"----")</f>
        <v>----</v>
      </c>
      <c r="BM511" s="702" t="e">
        <f t="shared" ca="1" si="9011"/>
        <v>#REF!</v>
      </c>
      <c r="BN511" s="686" t="str">
        <f ca="1">IFERROR(VLOOKUP(BM511,INDIRECT(AQ512),2,FALSE),"----")</f>
        <v>----</v>
      </c>
      <c r="BO511" s="702" t="e">
        <f t="shared" ca="1" si="9012"/>
        <v>#REF!</v>
      </c>
      <c r="BP511" s="686" t="str">
        <f ca="1">IFERROR(VLOOKUP(BO511,INDIRECT(AQ513),2,FALSE),"----")</f>
        <v>----</v>
      </c>
      <c r="BQ511" s="702" t="e">
        <f t="shared" ca="1" si="9013"/>
        <v>#REF!</v>
      </c>
      <c r="BR511" s="686" t="str">
        <f ca="1">IFERROR(VLOOKUP(BQ511,INDIRECT(AQ514),2,FALSE),"----")</f>
        <v>----</v>
      </c>
      <c r="BS511" s="695">
        <f>IF(AI511="",1,IF(COUNTIF(BL503:BL514,AI511)=0,2,1))</f>
        <v>1</v>
      </c>
      <c r="BT511" s="696">
        <f>IF(AF511="",1,IF(BL503=".",2,1))</f>
        <v>1</v>
      </c>
      <c r="BU511" s="706"/>
      <c r="BV511" s="155">
        <f ca="1">IF(COUNTIF(DS503:DS514,AF511)=0,IF(AF511&lt;&gt;"",0,1),1)</f>
        <v>1</v>
      </c>
      <c r="BW511" s="157">
        <f ca="1">IFERROR(MATCH(AF511,DS503:DS514,0),1)</f>
        <v>1</v>
      </c>
      <c r="BX511" s="769" t="e">
        <f t="shared" ref="BX511" si="9301">5*E503^3*W503/(384*X503)</f>
        <v>#VALUE!</v>
      </c>
      <c r="BY511" s="769" t="e">
        <f t="shared" ref="BY511" si="9302">W503*E503^3/(60*X503)</f>
        <v>#VALUE!</v>
      </c>
      <c r="BZ511" s="1110"/>
      <c r="CA511" s="691" t="e">
        <f t="shared" ca="1" si="9169"/>
        <v>#REF!</v>
      </c>
      <c r="CB511" s="4" t="e" cm="1">
        <f t="array" aca="1" ref="CB511" ca="1">IF(AND(INDEX(INDIRECT(BY503),CA511,4)&gt;=$AB503,INDEX(INDIRECT(BY503),CA511,5)&gt;=$S503,INDEX(INDIRECT(BY503),CA511,6)&gt;=$R503),1,0)</f>
        <v>#REF!</v>
      </c>
      <c r="CC511" s="4" t="e">
        <f t="shared" ref="CC511" ca="1" si="9303">MATCH(1,OFFSET(CB503:CB514,CD510,0,COUNT(CB503:CB514)-CD510),0)</f>
        <v>#REF!</v>
      </c>
      <c r="CD511" s="4" t="e">
        <f t="shared" ca="1" si="9171"/>
        <v>#REF!</v>
      </c>
      <c r="CE511" s="692" t="str" cm="1">
        <f t="array" aca="1" ref="CE511" ca="1">IFERROR(VLOOKUP(INDEX(CA503:CA514,CD511),INDIRECT(BY503),2,FALSE),"----")</f>
        <v>----</v>
      </c>
      <c r="CF511" s="691" t="e">
        <f t="shared" ca="1" si="9172"/>
        <v>#N/A</v>
      </c>
      <c r="CG511" s="4" t="e">
        <f ca="1">IF(AND(INDEX(SSM,CF511,4)&gt;=$AB503,INDEX(SSM,CF511,5)&gt;=$S503,INDEX(SSM,CF511,6)&gt;=$R503),1,0)</f>
        <v>#N/A</v>
      </c>
      <c r="CH511" s="4" t="e">
        <f t="shared" ref="CH511" ca="1" si="9304">MATCH(1,OFFSET(CG503:CG514,CI510,0,COUNT(CG503:CG514)-CI510),0)</f>
        <v>#REF!</v>
      </c>
      <c r="CI511" s="4" t="e">
        <f t="shared" ca="1" si="9174"/>
        <v>#REF!</v>
      </c>
      <c r="CJ511" s="692" t="str">
        <f ca="1">IFERROR(IF(AD504="Nested Steel Stud (wood infill)",VLOOKUP(INDEX(CF503:CF514,CI511),SSW,2,FALSE),VLOOKUP(INDEX(CF503:CF514,CI511),SSM,2,FALSE)),"----")</f>
        <v>----</v>
      </c>
      <c r="CK511" s="691" t="e">
        <f t="shared" ca="1" si="9175"/>
        <v>#N/A</v>
      </c>
      <c r="CL511" s="4" t="e">
        <f ca="1">IF(AND(INDEX(WSM,CK511,4)&gt;=$AB503,INDEX(WSM,CK511,5)&gt;=$S503,INDEX(WSM,CK511,6)&gt;=$R503),1,0)</f>
        <v>#N/A</v>
      </c>
      <c r="CM511" s="4" t="e">
        <f t="shared" ref="CM511" ca="1" si="9305">MATCH(1,OFFSET(CL503:CL514,CN510,0,COUNT(CL503:CL514)-CN510),0)</f>
        <v>#REF!</v>
      </c>
      <c r="CN511" s="4" t="e">
        <f t="shared" ca="1" si="9177"/>
        <v>#REF!</v>
      </c>
      <c r="CO511" s="692" t="str">
        <f ca="1">IFERROR(VLOOKUP(INDEX(CK503:CK514,CN511),WSM,2,FALSE),"----")</f>
        <v>----</v>
      </c>
      <c r="CP511" s="691" t="e">
        <f t="shared" ca="1" si="9178"/>
        <v>#N/A</v>
      </c>
      <c r="CQ511" s="4" t="e">
        <f ca="1">IF(AND(INDEX(STM,CP511,4)&gt;=$AB503,INDEX(STM,CP511,5)&gt;=$S503,INDEX(STM,CP511,6)&gt;=$R503),1,0)</f>
        <v>#N/A</v>
      </c>
      <c r="CR511" s="4" t="e">
        <f t="shared" ref="CR511" ca="1" si="9306">MATCH(1,OFFSET(CQ503:CQ514,CS510,0,COUNT(CQ503:CQ514)-CS510),0)</f>
        <v>#REF!</v>
      </c>
      <c r="CS511" s="4" t="e">
        <f t="shared" ca="1" si="9180"/>
        <v>#REF!</v>
      </c>
      <c r="CT511" s="692" t="str">
        <f ca="1">IFERROR(VLOOKUP(INDEX(CP503:CP514,CS511),STM,2,FALSE),"----")</f>
        <v>----</v>
      </c>
      <c r="CU511" s="691" t="e">
        <f t="shared" ca="1" si="9181"/>
        <v>#N/A</v>
      </c>
      <c r="CV511" s="4" t="e">
        <f ca="1">IF(AND(INDEX(ELM,CU511,4)&gt;=$AB503,INDEX(ELM,CU511,5)&gt;=$S503,INDEX(ELM,CU511,6)&gt;=$R503),1,0)</f>
        <v>#N/A</v>
      </c>
      <c r="CW511" s="4" t="e">
        <f t="shared" ref="CW511" ca="1" si="9307">MATCH(1,OFFSET(CV503:CV514,CX510,0,COUNT(CV503:CV514)-CX510),0)</f>
        <v>#REF!</v>
      </c>
      <c r="CX511" s="4" t="e">
        <f t="shared" ca="1" si="9183"/>
        <v>#REF!</v>
      </c>
      <c r="CY511" s="692" t="str">
        <f ca="1">IFERROR(VLOOKUP(INDEX(CU503:CU514,CX511),ELM,2,FALSE),"----")</f>
        <v>----</v>
      </c>
      <c r="CZ511" s="691" t="e">
        <f t="shared" ca="1" si="9184"/>
        <v>#N/A</v>
      </c>
      <c r="DA511" s="4" t="e">
        <f ca="1">IF(LEFT($J503,7)="Clad Wo",IF(AND(INDEX(SPPWS,CZ511,4)&gt;=$AB503,INDEX(SPPWS,CZ511,5)&gt;=$S503,INDEX(SPPWS,CZ511,6)&gt;=$R503),1,0),IF(AND(INDEX(SPM,CZ511,4)&gt;=$AB503,INDEX(SPM,CZ511,5)&gt;=$S503,INDEX(SPM,CZ511,6)&gt;=$R503),1,0))</f>
        <v>#N/A</v>
      </c>
      <c r="DB511" s="4" t="e">
        <f t="shared" ref="DB511" ca="1" si="9308">MATCH(1,OFFSET(DA503:DA514,DC510,0,COUNT(DA503:DA514)-DC510),0)</f>
        <v>#REF!</v>
      </c>
      <c r="DC511" s="4" t="e">
        <f t="shared" ca="1" si="9186"/>
        <v>#REF!</v>
      </c>
      <c r="DD511" s="693" t="str">
        <f ca="1">IF(LEFT($J503,7)="Clad Wo",IFERROR(VLOOKUP(INDEX(CZ503:CZ514,DC511),SPPWS,2,FALSE),"----"),IFERROR(VLOOKUP(INDEX(CZ503:CZ514,DC511),SPM,2,FALSE),"----"))</f>
        <v>----</v>
      </c>
      <c r="DE511" s="691" t="e">
        <f t="shared" ca="1" si="9187"/>
        <v>#REF!</v>
      </c>
      <c r="DF511" s="4" t="e" cm="1">
        <f t="array" aca="1" ref="DF511" ca="1">IF(AND(INDEX(INDIRECT(BY503),DE511,4)&gt;=$AB509,INDEX(INDIRECT(BY503),DE511,5)&gt;=$S503,INDEX(INDIRECT(BY503),DE511,6)&gt;=$R503),1,0)</f>
        <v>#REF!</v>
      </c>
      <c r="DG511" s="4" t="e">
        <f t="shared" ref="DG511" ca="1" si="9309">MATCH(1,OFFSET(DF503:DF514,DH510,0,COUNT(DF503:DF514)-DH510),0)</f>
        <v>#REF!</v>
      </c>
      <c r="DH511" s="4" t="e">
        <f t="shared" ca="1" si="9189"/>
        <v>#REF!</v>
      </c>
      <c r="DI511" s="692" t="str" cm="1">
        <f t="array" aca="1" ref="DI511" ca="1">IFERROR(VLOOKUP(INDEX(DE503:DE514,DH511),INDIRECT(BY503),2,FALSE),"----")</f>
        <v>----</v>
      </c>
      <c r="DJ511" s="691" t="e">
        <f t="shared" ca="1" si="9190"/>
        <v>#N/A</v>
      </c>
      <c r="DK511" s="4" t="e">
        <f ca="1">IF(AND(INDEX(SSM,DJ511,4)&gt;=$AB509,INDEX(SSM,DJ511,5)&gt;=$S503,INDEX(SSM,DJ511,6)&gt;=$R503),1,0)</f>
        <v>#N/A</v>
      </c>
      <c r="DL511" s="4" t="e">
        <f t="shared" ref="DL511" ca="1" si="9310">MATCH(1,OFFSET(DK503:DK514,DM510,0,COUNT(DK503:DK514)-DM510),0)</f>
        <v>#REF!</v>
      </c>
      <c r="DM511" s="4" t="e">
        <f t="shared" ca="1" si="9192"/>
        <v>#REF!</v>
      </c>
      <c r="DN511" s="692" t="str">
        <f ca="1">IFERROR(IF(AD510="Nested Steel Stud (wood infill)",VLOOKUP(INDEX(DJ503:DJ514,DM511),SSW,2,FALSE),VLOOKUP(INDEX(DJ503:DJ514,DM511),SSM,2,FALSE)),"----")</f>
        <v>----</v>
      </c>
      <c r="DO511" s="691" t="e">
        <f t="shared" ca="1" si="9193"/>
        <v>#N/A</v>
      </c>
      <c r="DP511" s="4" t="e">
        <f ca="1">IF(AND(INDEX(WSM,DO511,4)&gt;=$AB509,INDEX(WSM,DO511,5)&gt;=$S503,INDEX(WSM,DO511,6)&gt;=$R503),1,0)</f>
        <v>#N/A</v>
      </c>
      <c r="DQ511" s="4" t="e">
        <f t="shared" ref="DQ511" ca="1" si="9311">MATCH(1,OFFSET(DP503:DP514,DR510,0,COUNT(DP503:DP514)-DR510),0)</f>
        <v>#REF!</v>
      </c>
      <c r="DR511" s="4" t="e">
        <f t="shared" ca="1" si="9195"/>
        <v>#REF!</v>
      </c>
      <c r="DS511" s="692" t="str">
        <f ca="1">IFERROR(VLOOKUP(INDEX(DO503:DO514,DR511),WSM,2,FALSE),"----")</f>
        <v>----</v>
      </c>
      <c r="DT511" s="691" t="e">
        <f t="shared" ca="1" si="9196"/>
        <v>#N/A</v>
      </c>
      <c r="DU511" s="4" t="e">
        <f ca="1">IF(AND(INDEX(STM,DT511,4)&gt;=$AB509,INDEX(STM,DT511,5)&gt;=$S503,INDEX(STM,DT511,6)&gt;=$R503),1,0)</f>
        <v>#N/A</v>
      </c>
      <c r="DV511" s="4" t="e">
        <f t="shared" ref="DV511" ca="1" si="9312">MATCH(1,OFFSET(DU503:DU514,DW510,0,COUNT(DU503:DU514)-DW510),0)</f>
        <v>#REF!</v>
      </c>
      <c r="DW511" s="4" t="e">
        <f t="shared" ca="1" si="9198"/>
        <v>#REF!</v>
      </c>
      <c r="DX511" s="692" t="str">
        <f ca="1">IFERROR(VLOOKUP(INDEX(DT503:DT514,DW511),STM,2,FALSE),"----")</f>
        <v>----</v>
      </c>
      <c r="DY511" s="691" t="e">
        <f t="shared" ca="1" si="9199"/>
        <v>#N/A</v>
      </c>
      <c r="DZ511" s="4" t="e">
        <f ca="1">IF(AND(INDEX(ELM,DY511,4)&gt;=$AB509,INDEX(ELM,DY511,5)&gt;=$S503,INDEX(ELM,DY511,6)&gt;=$R503),1,0)</f>
        <v>#N/A</v>
      </c>
      <c r="EA511" s="4" t="e">
        <f t="shared" ref="EA511" ca="1" si="9313">MATCH(1,OFFSET(DZ503:DZ514,EB510,0,COUNT(DZ503:DZ514)-EB510),0)</f>
        <v>#REF!</v>
      </c>
      <c r="EB511" s="4" t="e">
        <f t="shared" ca="1" si="9201"/>
        <v>#REF!</v>
      </c>
      <c r="EC511" s="692" t="str">
        <f ca="1">IFERROR(VLOOKUP(INDEX(DY503:DY514,EB511),ELM,2,FALSE),"----")</f>
        <v>----</v>
      </c>
      <c r="ED511" s="691" t="e">
        <f t="shared" ca="1" si="9202"/>
        <v>#N/A</v>
      </c>
      <c r="EE511" s="4" t="e">
        <f ca="1">IF(LEFT($J503,7)="Clad Wo",IF(AND(INDEX(SPPWS,ED511,4)&gt;=$AB509,INDEX(SPPWS,ED511,5)&gt;=$S503,INDEX(SPPWS,ED511,6)&gt;=$R503),1,0),IF(AND(INDEX(SPM,ED511,4)&gt;=$AB509,INDEX(SPM,ED511,5)&gt;=$S503,INDEX(SPM,ED511,6)&gt;=$R503),1,0))</f>
        <v>#N/A</v>
      </c>
      <c r="EF511" s="4" t="e">
        <f t="shared" ref="EF511" ca="1" si="9314">MATCH(1,OFFSET(EE503:EE514,EG510,0,COUNT(EE503:EE514)-EG510),0)</f>
        <v>#REF!</v>
      </c>
      <c r="EG511" s="4" t="e">
        <f t="shared" ca="1" si="9204"/>
        <v>#REF!</v>
      </c>
      <c r="EH511" s="692" t="str">
        <f ca="1">IF(LEFT($J503,7)="Clad Wo",IFERROR(VLOOKUP(INDEX(ED503:ED514,EG511),SPPWS,2,FALSE),"----"),IFERROR(VLOOKUP(INDEX(ED503:ED514,EG511),SPM,2,FALSE),"----"))</f>
        <v>----</v>
      </c>
    </row>
    <row r="512" spans="1:138" ht="15" customHeight="1" x14ac:dyDescent="0.25">
      <c r="A512" s="1085"/>
      <c r="B512" s="925"/>
      <c r="C512" s="926"/>
      <c r="D512" s="927"/>
      <c r="E512" s="995"/>
      <c r="F512" s="996"/>
      <c r="G512" s="997"/>
      <c r="H512" s="1062"/>
      <c r="I512" s="990"/>
      <c r="J512" s="902"/>
      <c r="K512" s="903"/>
      <c r="L512" s="1002"/>
      <c r="M512" s="923"/>
      <c r="N512" s="1042"/>
      <c r="O512" s="1018"/>
      <c r="P512" s="987"/>
      <c r="Q512" s="1015"/>
      <c r="R512" s="1012"/>
      <c r="S512" s="1006"/>
      <c r="T512" s="1007"/>
      <c r="U512" s="878"/>
      <c r="V512" s="881"/>
      <c r="W512" s="884"/>
      <c r="X512" s="884"/>
      <c r="Y512" s="887"/>
      <c r="Z512" s="887"/>
      <c r="AA512" s="887"/>
      <c r="AB512" s="1081"/>
      <c r="AC512" s="1078"/>
      <c r="AD512" s="1070" t="str">
        <f t="shared" si="8814"/>
        <v>Steel Tube</v>
      </c>
      <c r="AE512" s="1071"/>
      <c r="AF512" s="1052"/>
      <c r="AG512" s="1053"/>
      <c r="AH512" s="1053"/>
      <c r="AI512" s="1066"/>
      <c r="AJ512" s="1067"/>
      <c r="AK512" s="156" t="str">
        <f t="shared" ca="1" si="8761"/>
        <v/>
      </c>
      <c r="AL512" s="1059"/>
      <c r="AM512" s="343" t="str">
        <f ca="1">IFERROR(Q503/12*ROUND(VLOOKUP(AF512,OFFSET(STM,0,1),6,FALSE),2),"")</f>
        <v/>
      </c>
      <c r="AN512" t="str">
        <f t="shared" ca="1" si="8785"/>
        <v/>
      </c>
      <c r="AP512" s="122" t="str">
        <f t="shared" ref="AP512" si="9315">_xlfn.CONCAT(AR512,AS514)</f>
        <v/>
      </c>
      <c r="AQ512" s="683" t="str">
        <f t="shared" si="8985"/>
        <v/>
      </c>
      <c r="AR512" s="4" t="str">
        <f t="shared" si="8745"/>
        <v/>
      </c>
      <c r="AS512" s="4"/>
      <c r="AT512" s="697" t="str">
        <f>AL509</f>
        <v/>
      </c>
      <c r="AU512" s="694" t="e">
        <f t="shared" ca="1" si="9002"/>
        <v>#REF!</v>
      </c>
      <c r="AV512" s="686" t="str">
        <f ca="1">IFERROR(VLOOKUP(AU512,INDIRECT(AQ503),2,FALSE),"----")</f>
        <v>----</v>
      </c>
      <c r="AW512" s="694" t="e">
        <f t="shared" ca="1" si="9003"/>
        <v>#REF!</v>
      </c>
      <c r="AX512" s="686" t="str">
        <f ca="1">IFERROR(VLOOKUP(AW512,INDIRECT(AQ504),2,FALSE),"----")</f>
        <v>----</v>
      </c>
      <c r="AY512" s="694" t="e">
        <f t="shared" ca="1" si="9078"/>
        <v>#REF!</v>
      </c>
      <c r="AZ512" s="686" t="str">
        <f ca="1">IFERROR(VLOOKUP(AY512,INDIRECT(AQ505),2,FALSE),"----")</f>
        <v>----</v>
      </c>
      <c r="BA512" s="694" t="e">
        <f t="shared" ca="1" si="9079"/>
        <v>#REF!</v>
      </c>
      <c r="BB512" s="686" t="str">
        <f ca="1">IFERROR(VLOOKUP(BA512,INDIRECT(AQ506),2,FALSE),"----")</f>
        <v>----</v>
      </c>
      <c r="BC512" s="694" t="e">
        <f t="shared" ca="1" si="9006"/>
        <v>#REF!</v>
      </c>
      <c r="BD512" s="686" t="str">
        <f ca="1">IFERROR(VLOOKUP(BC512,INDIRECT(AQ507),2,FALSE),"----")</f>
        <v>----</v>
      </c>
      <c r="BE512" s="694" t="e">
        <f t="shared" ca="1" si="9007"/>
        <v>#REF!</v>
      </c>
      <c r="BF512" s="686" t="str">
        <f ca="1">IFERROR(VLOOKUP(BE512,INDIRECT(AQ508),2,FALSE),"----")</f>
        <v>----</v>
      </c>
      <c r="BG512" s="702" t="e">
        <f t="shared" ca="1" si="9008"/>
        <v>#REF!</v>
      </c>
      <c r="BH512" s="686" t="str">
        <f ca="1">IFERROR(VLOOKUP(BG512,INDIRECT(AQ509),2,FALSE),"----")</f>
        <v>----</v>
      </c>
      <c r="BI512" s="702" t="e">
        <f t="shared" ca="1" si="9009"/>
        <v>#REF!</v>
      </c>
      <c r="BJ512" s="686" t="str">
        <f ca="1">IFERROR(VLOOKUP(BI512,INDIRECT(AQ510),2,FALSE),"----")</f>
        <v>----</v>
      </c>
      <c r="BK512" s="702" t="e">
        <f t="shared" ca="1" si="9010"/>
        <v>#REF!</v>
      </c>
      <c r="BL512" s="686" t="str">
        <f ca="1">IFERROR(VLOOKUP(BK512,INDIRECT(AQ511),2,FALSE),"----")</f>
        <v>----</v>
      </c>
      <c r="BM512" s="702" t="e">
        <f t="shared" ca="1" si="9011"/>
        <v>#REF!</v>
      </c>
      <c r="BN512" s="686" t="str">
        <f ca="1">IFERROR(VLOOKUP(BM512,INDIRECT(AQ512),2,FALSE),"----")</f>
        <v>----</v>
      </c>
      <c r="BO512" s="702" t="e">
        <f t="shared" ca="1" si="9012"/>
        <v>#REF!</v>
      </c>
      <c r="BP512" s="686" t="str">
        <f ca="1">IFERROR(VLOOKUP(BO512,INDIRECT(AQ513),2,FALSE),"----")</f>
        <v>----</v>
      </c>
      <c r="BQ512" s="702" t="e">
        <f t="shared" ca="1" si="9013"/>
        <v>#REF!</v>
      </c>
      <c r="BR512" s="686" t="str">
        <f ca="1">IFERROR(VLOOKUP(BQ512,INDIRECT(AQ514),2,FALSE),"----")</f>
        <v>----</v>
      </c>
      <c r="BS512" s="695">
        <f>IF(AI512="",1,IF(COUNTIF(BN503:BN514,AI512)=0,2,1))</f>
        <v>1</v>
      </c>
      <c r="BT512" s="696">
        <f>IF(AF512="",1,IF(BN503=".",2,1))</f>
        <v>1</v>
      </c>
      <c r="BU512" s="706"/>
      <c r="BV512" s="155">
        <f ca="1">IF(COUNTIF(DX503:DX514,AF512)=0,IF(AF512&lt;&gt;"",0,1),1)</f>
        <v>1</v>
      </c>
      <c r="BW512" s="157">
        <f ca="1">IFERROR(MATCH(AF512,DX503:DX514,0),1)</f>
        <v>1</v>
      </c>
      <c r="BX512" s="769" t="e">
        <f t="shared" ref="BX512" si="9316">5*E503^3*W509/(384*X503)</f>
        <v>#VALUE!</v>
      </c>
      <c r="BY512" s="769" t="e">
        <f t="shared" ref="BY512" si="9317">E503^3*W509/(60*X503)</f>
        <v>#VALUE!</v>
      </c>
      <c r="BZ512" s="1110"/>
      <c r="CA512" s="691" t="e">
        <f t="shared" ca="1" si="9169"/>
        <v>#REF!</v>
      </c>
      <c r="CB512" s="4" t="e" cm="1">
        <f t="array" aca="1" ref="CB512" ca="1">IF(AND(INDEX(INDIRECT(BY503),CA512,4)&gt;=$AB503,INDEX(INDIRECT(BY503),CA512,5)&gt;=$S503,INDEX(INDIRECT(BY503),CA512,6)&gt;=$R503),1,0)</f>
        <v>#REF!</v>
      </c>
      <c r="CC512" s="4" t="e">
        <f t="shared" ref="CC512" ca="1" si="9318">MATCH(1,OFFSET(CB503:CB514,CD511,0,COUNT(CB503:CB514)-CD511),0)</f>
        <v>#REF!</v>
      </c>
      <c r="CD512" s="4" t="e">
        <f t="shared" ca="1" si="9171"/>
        <v>#REF!</v>
      </c>
      <c r="CE512" s="692" t="str" cm="1">
        <f t="array" aca="1" ref="CE512" ca="1">IFERROR(VLOOKUP(INDEX(CA503:CA514,CD512),INDIRECT(BY503),2,FALSE),"----")</f>
        <v>----</v>
      </c>
      <c r="CF512" s="691" t="e">
        <f t="shared" ca="1" si="9172"/>
        <v>#N/A</v>
      </c>
      <c r="CG512" s="4" t="e">
        <f ca="1">IF(AND(INDEX(SSM,CF512,4)&gt;=$AB503,INDEX(SSM,CF512,5)&gt;=$S503,INDEX(SSM,CF512,6)&gt;=$R503),1,0)</f>
        <v>#N/A</v>
      </c>
      <c r="CH512" s="4" t="e">
        <f t="shared" ref="CH512" ca="1" si="9319">MATCH(1,OFFSET(CG503:CG514,CI511,0,COUNT(CG503:CG514)-CI511),0)</f>
        <v>#REF!</v>
      </c>
      <c r="CI512" s="4" t="e">
        <f t="shared" ca="1" si="9174"/>
        <v>#REF!</v>
      </c>
      <c r="CJ512" s="692" t="str">
        <f ca="1">IFERROR(IF(AD504="Nested Steel Stud (wood infill)",VLOOKUP(INDEX(CF503:CF514,CI512),SSW,2,FALSE),VLOOKUP(INDEX(CF503:CF514,CI512),SSM,2,FALSE)),"----")</f>
        <v>----</v>
      </c>
      <c r="CK512" s="691" t="e">
        <f t="shared" ca="1" si="9175"/>
        <v>#N/A</v>
      </c>
      <c r="CL512" s="4" t="e">
        <f ca="1">IF(AND(INDEX(WSM,CK512,4)&gt;=$AB503,INDEX(WSM,CK512,5)&gt;=$S503,INDEX(WSM,CK512,6)&gt;=$R503),1,0)</f>
        <v>#N/A</v>
      </c>
      <c r="CM512" s="4" t="e">
        <f t="shared" ref="CM512" ca="1" si="9320">MATCH(1,OFFSET(CL503:CL514,CN511,0,COUNT(CL503:CL514)-CN511),0)</f>
        <v>#REF!</v>
      </c>
      <c r="CN512" s="4" t="e">
        <f t="shared" ca="1" si="9177"/>
        <v>#REF!</v>
      </c>
      <c r="CO512" s="692" t="str">
        <f ca="1">IFERROR(VLOOKUP(INDEX(CK503:CK514,CN512),WSM,2,FALSE),"----")</f>
        <v>----</v>
      </c>
      <c r="CP512" s="691" t="e">
        <f t="shared" ca="1" si="9178"/>
        <v>#N/A</v>
      </c>
      <c r="CQ512" s="4" t="e">
        <f ca="1">IF(AND(INDEX(STM,CP512,4)&gt;=$AB503,INDEX(STM,CP512,5)&gt;=$S503,INDEX(STM,CP512,6)&gt;=$R503),1,0)</f>
        <v>#N/A</v>
      </c>
      <c r="CR512" s="4" t="e">
        <f t="shared" ref="CR512" ca="1" si="9321">MATCH(1,OFFSET(CQ503:CQ514,CS511,0,COUNT(CQ503:CQ514)-CS511),0)</f>
        <v>#REF!</v>
      </c>
      <c r="CS512" s="4" t="e">
        <f t="shared" ca="1" si="9180"/>
        <v>#REF!</v>
      </c>
      <c r="CT512" s="692" t="str">
        <f ca="1">IFERROR(VLOOKUP(INDEX(CP503:CP514,CS512),STM,2,FALSE),"----")</f>
        <v>----</v>
      </c>
      <c r="CU512" s="691" t="e">
        <f t="shared" ca="1" si="9181"/>
        <v>#N/A</v>
      </c>
      <c r="CV512" s="4" t="e">
        <f ca="1">IF(AND(INDEX(ELM,CU512,4)&gt;=$AB503,INDEX(ELM,CU512,5)&gt;=$S503,INDEX(ELM,CU512,6)&gt;=$R503),1,0)</f>
        <v>#N/A</v>
      </c>
      <c r="CW512" s="4" t="e">
        <f t="shared" ref="CW512" ca="1" si="9322">MATCH(1,OFFSET(CV503:CV514,CX511,0,COUNT(CV503:CV514)-CX511),0)</f>
        <v>#REF!</v>
      </c>
      <c r="CX512" s="4" t="e">
        <f t="shared" ca="1" si="9183"/>
        <v>#REF!</v>
      </c>
      <c r="CY512" s="692" t="str">
        <f ca="1">IFERROR(VLOOKUP(INDEX(CU503:CU514,CX512),ELM,2,FALSE),"----")</f>
        <v>----</v>
      </c>
      <c r="CZ512" s="691" t="e">
        <f t="shared" ca="1" si="9184"/>
        <v>#N/A</v>
      </c>
      <c r="DA512" s="4" t="e">
        <f ca="1">IF(LEFT($J503,7)="Clad Wo",IF(AND(INDEX(SPPWS,CZ512,4)&gt;=$AB503,INDEX(SPPWS,CZ512,5)&gt;=$S503,INDEX(SPPWS,CZ512,6)&gt;=$R503),1,0),IF(AND(INDEX(SPM,CZ512,4)&gt;=$AB503,INDEX(SPM,CZ512,5)&gt;=$S503,INDEX(SPM,CZ512,6)&gt;=$R503),1,0))</f>
        <v>#N/A</v>
      </c>
      <c r="DB512" s="4" t="e">
        <f t="shared" ref="DB512" ca="1" si="9323">MATCH(1,OFFSET(DA503:DA514,DC511,0,COUNT(DA503:DA514)-DC511),0)</f>
        <v>#REF!</v>
      </c>
      <c r="DC512" s="4" t="e">
        <f t="shared" ca="1" si="9186"/>
        <v>#REF!</v>
      </c>
      <c r="DD512" s="693" t="str">
        <f ca="1">IF(LEFT($J503,7)="Clad Wo",IFERROR(VLOOKUP(INDEX(CZ503:CZ514,DC512),SPPWS,2,FALSE),"----"),IFERROR(VLOOKUP(INDEX(CZ503:CZ514,DC512),SPM,2,FALSE),"----"))</f>
        <v>----</v>
      </c>
      <c r="DE512" s="691" t="e">
        <f t="shared" ca="1" si="9187"/>
        <v>#REF!</v>
      </c>
      <c r="DF512" s="4" t="e" cm="1">
        <f t="array" aca="1" ref="DF512" ca="1">IF(AND(INDEX(INDIRECT(BY503),DE512,4)&gt;=$AB509,INDEX(INDIRECT(BY503),DE512,5)&gt;=$S503,INDEX(INDIRECT(BY503),DE512,6)&gt;=$R503),1,0)</f>
        <v>#REF!</v>
      </c>
      <c r="DG512" s="4" t="e">
        <f t="shared" ref="DG512" ca="1" si="9324">MATCH(1,OFFSET(DF503:DF514,DH511,0,COUNT(DF503:DF514)-DH511),0)</f>
        <v>#REF!</v>
      </c>
      <c r="DH512" s="4" t="e">
        <f t="shared" ca="1" si="9189"/>
        <v>#REF!</v>
      </c>
      <c r="DI512" s="692" t="str" cm="1">
        <f t="array" aca="1" ref="DI512" ca="1">IFERROR(VLOOKUP(INDEX(DE503:DE514,DH512),INDIRECT(BY503),2,FALSE),"----")</f>
        <v>----</v>
      </c>
      <c r="DJ512" s="691" t="e">
        <f t="shared" ca="1" si="9190"/>
        <v>#N/A</v>
      </c>
      <c r="DK512" s="4" t="e">
        <f ca="1">IF(AND(INDEX(SSM,DJ512,4)&gt;=$AB509,INDEX(SSM,DJ512,5)&gt;=$S503,INDEX(SSM,DJ512,6)&gt;=$R503),1,0)</f>
        <v>#N/A</v>
      </c>
      <c r="DL512" s="4" t="e">
        <f t="shared" ref="DL512" ca="1" si="9325">MATCH(1,OFFSET(DK503:DK514,DM511,0,COUNT(DK503:DK514)-DM511),0)</f>
        <v>#REF!</v>
      </c>
      <c r="DM512" s="4" t="e">
        <f t="shared" ca="1" si="9192"/>
        <v>#REF!</v>
      </c>
      <c r="DN512" s="692" t="str">
        <f ca="1">IFERROR(IF(AD510="Nested Steel Stud (wood infill)",VLOOKUP(INDEX(DJ503:DJ514,DM512),SSW,2,FALSE),VLOOKUP(INDEX(DJ503:DJ514,DM512),SSM,2,FALSE)),"----")</f>
        <v>----</v>
      </c>
      <c r="DO512" s="691" t="e">
        <f t="shared" ca="1" si="9193"/>
        <v>#N/A</v>
      </c>
      <c r="DP512" s="4" t="e">
        <f ca="1">IF(AND(INDEX(WSM,DO512,4)&gt;=$AB509,INDEX(WSM,DO512,5)&gt;=$S503,INDEX(WSM,DO512,6)&gt;=$R503),1,0)</f>
        <v>#N/A</v>
      </c>
      <c r="DQ512" s="4" t="e">
        <f t="shared" ref="DQ512" ca="1" si="9326">MATCH(1,OFFSET(DP503:DP514,DR511,0,COUNT(DP503:DP514)-DR511),0)</f>
        <v>#REF!</v>
      </c>
      <c r="DR512" s="4" t="e">
        <f t="shared" ca="1" si="9195"/>
        <v>#REF!</v>
      </c>
      <c r="DS512" s="692" t="str">
        <f ca="1">IFERROR(VLOOKUP(INDEX(DO503:DO514,DR512),WSM,2,FALSE),"----")</f>
        <v>----</v>
      </c>
      <c r="DT512" s="691" t="e">
        <f t="shared" ca="1" si="9196"/>
        <v>#N/A</v>
      </c>
      <c r="DU512" s="4" t="e">
        <f ca="1">IF(AND(INDEX(STM,DT512,4)&gt;=$AB509,INDEX(STM,DT512,5)&gt;=$S503,INDEX(STM,DT512,6)&gt;=$R503),1,0)</f>
        <v>#N/A</v>
      </c>
      <c r="DV512" s="4" t="e">
        <f t="shared" ref="DV512" ca="1" si="9327">MATCH(1,OFFSET(DU503:DU514,DW511,0,COUNT(DU503:DU514)-DW511),0)</f>
        <v>#REF!</v>
      </c>
      <c r="DW512" s="4" t="e">
        <f t="shared" ca="1" si="9198"/>
        <v>#REF!</v>
      </c>
      <c r="DX512" s="692" t="str">
        <f ca="1">IFERROR(VLOOKUP(INDEX(DT503:DT514,DW512),STM,2,FALSE),"----")</f>
        <v>----</v>
      </c>
      <c r="DY512" s="691" t="e">
        <f t="shared" ca="1" si="9199"/>
        <v>#N/A</v>
      </c>
      <c r="DZ512" s="4" t="e">
        <f ca="1">IF(AND(INDEX(ELM,DY512,4)&gt;=$AB509,INDEX(ELM,DY512,5)&gt;=$S503,INDEX(ELM,DY512,6)&gt;=$R503),1,0)</f>
        <v>#N/A</v>
      </c>
      <c r="EA512" s="4" t="e">
        <f t="shared" ref="EA512" ca="1" si="9328">MATCH(1,OFFSET(DZ503:DZ514,EB511,0,COUNT(DZ503:DZ514)-EB511),0)</f>
        <v>#REF!</v>
      </c>
      <c r="EB512" s="4" t="e">
        <f t="shared" ca="1" si="9201"/>
        <v>#REF!</v>
      </c>
      <c r="EC512" s="692" t="str">
        <f ca="1">IFERROR(VLOOKUP(INDEX(DY503:DY514,EB512),ELM,2,FALSE),"----")</f>
        <v>----</v>
      </c>
      <c r="ED512" s="691" t="e">
        <f t="shared" ca="1" si="9202"/>
        <v>#N/A</v>
      </c>
      <c r="EE512" s="4" t="e">
        <f ca="1">IF(LEFT($J503,7)="Clad Wo",IF(AND(INDEX(SPPWS,ED512,4)&gt;=$AB509,INDEX(SPPWS,ED512,5)&gt;=$S503,INDEX(SPPWS,ED512,6)&gt;=$R503),1,0),IF(AND(INDEX(SPM,ED512,4)&gt;=$AB509,INDEX(SPM,ED512,5)&gt;=$S503,INDEX(SPM,ED512,6)&gt;=$R503),1,0))</f>
        <v>#N/A</v>
      </c>
      <c r="EF512" s="4" t="e">
        <f t="shared" ref="EF512" ca="1" si="9329">MATCH(1,OFFSET(EE503:EE514,EG511,0,COUNT(EE503:EE514)-EG511),0)</f>
        <v>#REF!</v>
      </c>
      <c r="EG512" s="4" t="e">
        <f t="shared" ca="1" si="9204"/>
        <v>#REF!</v>
      </c>
      <c r="EH512" s="692" t="str">
        <f ca="1">IF(LEFT($J503,7)="Clad Wo",IFERROR(VLOOKUP(INDEX(ED503:ED514,EG512),SPPWS,2,FALSE),"----"),IFERROR(VLOOKUP(INDEX(ED503:ED514,EG512),SPM,2,FALSE),"----"))</f>
        <v>----</v>
      </c>
    </row>
    <row r="513" spans="1:138" ht="15" customHeight="1" x14ac:dyDescent="0.25">
      <c r="A513" s="1085"/>
      <c r="B513" s="925"/>
      <c r="C513" s="926"/>
      <c r="D513" s="927"/>
      <c r="E513" s="995"/>
      <c r="F513" s="996"/>
      <c r="G513" s="997"/>
      <c r="H513" s="1062"/>
      <c r="I513" s="990"/>
      <c r="J513" s="902"/>
      <c r="K513" s="903"/>
      <c r="L513" s="1002"/>
      <c r="M513" s="923"/>
      <c r="N513" s="1042"/>
      <c r="O513" s="1018"/>
      <c r="P513" s="987"/>
      <c r="Q513" s="1015"/>
      <c r="R513" s="1012"/>
      <c r="S513" s="1006"/>
      <c r="T513" s="1007"/>
      <c r="U513" s="878"/>
      <c r="V513" s="881"/>
      <c r="W513" s="884"/>
      <c r="X513" s="884"/>
      <c r="Y513" s="887"/>
      <c r="Z513" s="887"/>
      <c r="AA513" s="887"/>
      <c r="AB513" s="1081"/>
      <c r="AC513" s="1078"/>
      <c r="AD513" s="1070" t="str">
        <f t="shared" si="8814"/>
        <v>Engineered Lumber</v>
      </c>
      <c r="AE513" s="1071"/>
      <c r="AF513" s="1052"/>
      <c r="AG513" s="1053"/>
      <c r="AH513" s="1053"/>
      <c r="AI513" s="1068"/>
      <c r="AJ513" s="1069"/>
      <c r="AK513" s="154" t="str">
        <f t="shared" ca="1" si="8761"/>
        <v/>
      </c>
      <c r="AL513" s="1059"/>
      <c r="AM513" s="344" t="str">
        <f ca="1">IFERROR(Q503/12*ROUND(VLOOKUP(AF513,OFFSET(ELM,0,1),6,FALSE),2),"")</f>
        <v/>
      </c>
      <c r="AN513" t="str">
        <f t="shared" ca="1" si="8785"/>
        <v/>
      </c>
      <c r="AP513" s="122" t="str">
        <f t="shared" ref="AP513" si="9330">_xlfn.CONCAT(AR513,AS514)</f>
        <v/>
      </c>
      <c r="AQ513" s="683" t="str">
        <f t="shared" si="8985"/>
        <v/>
      </c>
      <c r="AR513" s="4" t="str">
        <f t="shared" si="8745"/>
        <v/>
      </c>
      <c r="AS513" s="4"/>
      <c r="AT513" s="697" t="str">
        <f>AL509</f>
        <v/>
      </c>
      <c r="AU513" s="694" t="e">
        <f t="shared" ca="1" si="9002"/>
        <v>#REF!</v>
      </c>
      <c r="AV513" s="698" t="str">
        <f ca="1">IFERROR(VLOOKUP(AU513,INDIRECT(AQ503),2,FALSE),"----")</f>
        <v>----</v>
      </c>
      <c r="AW513" s="694" t="e">
        <f t="shared" ca="1" si="9003"/>
        <v>#REF!</v>
      </c>
      <c r="AX513" s="698" t="str">
        <f ca="1">IFERROR(VLOOKUP(AW513,INDIRECT(AQ504),2,FALSE),"----")</f>
        <v>----</v>
      </c>
      <c r="AY513" s="694" t="e">
        <f t="shared" ca="1" si="9078"/>
        <v>#REF!</v>
      </c>
      <c r="AZ513" s="698" t="str">
        <f ca="1">IFERROR(VLOOKUP(AY513,INDIRECT(AQ505),2,FALSE),"----")</f>
        <v>----</v>
      </c>
      <c r="BA513" s="694" t="e">
        <f t="shared" ca="1" si="9079"/>
        <v>#REF!</v>
      </c>
      <c r="BB513" s="698" t="str">
        <f ca="1">IFERROR(VLOOKUP(BA513,INDIRECT(AQ506),2,FALSE),"----")</f>
        <v>----</v>
      </c>
      <c r="BC513" s="694" t="e">
        <f t="shared" ca="1" si="9006"/>
        <v>#REF!</v>
      </c>
      <c r="BD513" s="698" t="str">
        <f ca="1">IFERROR(VLOOKUP(BC513,INDIRECT(AQ507),2,FALSE),"----")</f>
        <v>----</v>
      </c>
      <c r="BE513" s="694" t="e">
        <f t="shared" ca="1" si="9007"/>
        <v>#REF!</v>
      </c>
      <c r="BF513" s="698" t="str">
        <f ca="1">IFERROR(VLOOKUP(BE513,INDIRECT(AQ508),2,FALSE),"----")</f>
        <v>----</v>
      </c>
      <c r="BG513" s="702" t="e">
        <f t="shared" ca="1" si="9008"/>
        <v>#REF!</v>
      </c>
      <c r="BH513" s="686" t="str">
        <f ca="1">IFERROR(VLOOKUP(BG513,INDIRECT(AQ509),2,FALSE),"----")</f>
        <v>----</v>
      </c>
      <c r="BI513" s="702" t="e">
        <f t="shared" ca="1" si="9009"/>
        <v>#REF!</v>
      </c>
      <c r="BJ513" s="686" t="str">
        <f ca="1">IFERROR(VLOOKUP(BI513,INDIRECT(AQ510),2,FALSE),"----")</f>
        <v>----</v>
      </c>
      <c r="BK513" s="702" t="e">
        <f t="shared" ca="1" si="9010"/>
        <v>#REF!</v>
      </c>
      <c r="BL513" s="686" t="str">
        <f ca="1">IFERROR(VLOOKUP(BK513,INDIRECT(AQ511),2,FALSE),"----")</f>
        <v>----</v>
      </c>
      <c r="BM513" s="702" t="e">
        <f t="shared" ca="1" si="9011"/>
        <v>#REF!</v>
      </c>
      <c r="BN513" s="686" t="str">
        <f ca="1">IFERROR(VLOOKUP(BM513,INDIRECT(AQ512),2,FALSE),"----")</f>
        <v>----</v>
      </c>
      <c r="BO513" s="702" t="e">
        <f t="shared" ca="1" si="9012"/>
        <v>#REF!</v>
      </c>
      <c r="BP513" s="686" t="str">
        <f ca="1">IFERROR(VLOOKUP(BO513,INDIRECT(AQ513),2,FALSE),"----")</f>
        <v>----</v>
      </c>
      <c r="BQ513" s="702" t="e">
        <f t="shared" ca="1" si="9013"/>
        <v>#REF!</v>
      </c>
      <c r="BR513" s="686" t="str">
        <f ca="1">IFERROR(VLOOKUP(BQ513,INDIRECT(AQ514),2,FALSE),"----")</f>
        <v>----</v>
      </c>
      <c r="BS513" s="695">
        <f>IF(AI513="",1,IF(COUNTIF(BP503:BP514,AI513)=0,2,1))</f>
        <v>1</v>
      </c>
      <c r="BT513" s="696">
        <f>IF(AF513="",1,IF(BP503=".",2,1))</f>
        <v>1</v>
      </c>
      <c r="BU513" s="706"/>
      <c r="BV513" s="155">
        <f ca="1">IF(COUNTIF(EC503:EC514,AF513)=0,IF(AF513&lt;&gt;"",0,1),1)</f>
        <v>1</v>
      </c>
      <c r="BW513" s="157">
        <f ca="1">IFERROR(MATCH(AF513,EC503:EC514,0),1)</f>
        <v>1</v>
      </c>
      <c r="BX513" s="769"/>
      <c r="BY513" s="769"/>
      <c r="BZ513" s="1110"/>
      <c r="CA513" s="691" t="e">
        <f t="shared" ca="1" si="9169"/>
        <v>#REF!</v>
      </c>
      <c r="CB513" s="4" t="e" cm="1">
        <f t="array" aca="1" ref="CB513" ca="1">IF(AND(INDEX(INDIRECT(BY503),CA513,4)&gt;=$AB503,INDEX(INDIRECT(BY503),CA513,5)&gt;=$S503,INDEX(INDIRECT(BY503),CA513,6)&gt;=$R503),1,0)</f>
        <v>#REF!</v>
      </c>
      <c r="CC513" s="4" t="e">
        <f t="shared" ref="CC513" ca="1" si="9331">MATCH(1,OFFSET(CB503:CB514,CD512,0,COUNT(CB503:CB514)-CD512),0)</f>
        <v>#REF!</v>
      </c>
      <c r="CD513" s="4" t="e">
        <f t="shared" ca="1" si="9171"/>
        <v>#REF!</v>
      </c>
      <c r="CE513" s="692" t="str" cm="1">
        <f t="array" aca="1" ref="CE513" ca="1">IFERROR(VLOOKUP(INDEX(CA503:CA514,CD513),INDIRECT(BY503),2,FALSE),"----")</f>
        <v>----</v>
      </c>
      <c r="CF513" s="691" t="e">
        <f t="shared" ca="1" si="9172"/>
        <v>#N/A</v>
      </c>
      <c r="CG513" s="4" t="e">
        <f ca="1">IF(AND(INDEX(SSM,CF513,4)&gt;=$AB503,INDEX(SSM,CF513,5)&gt;=$S503,INDEX(SSM,CF513,6)&gt;=$R503),1,0)</f>
        <v>#N/A</v>
      </c>
      <c r="CH513" s="4" t="e">
        <f t="shared" ref="CH513" ca="1" si="9332">MATCH(1,OFFSET(CG503:CG514,CI512,0,COUNT(CG503:CG514)-CI512),0)</f>
        <v>#REF!</v>
      </c>
      <c r="CI513" s="4" t="e">
        <f t="shared" ca="1" si="9174"/>
        <v>#REF!</v>
      </c>
      <c r="CJ513" s="692" t="str">
        <f ca="1">IFERROR(IF(AD504="Nested Steel Stud (wood infill)",VLOOKUP(INDEX(CF503:CF514,CI513),SSW,2,FALSE),VLOOKUP(INDEX(CF503:CF514,CI513),SSM,2,FALSE)),"----")</f>
        <v>----</v>
      </c>
      <c r="CK513" s="691" t="e">
        <f t="shared" ca="1" si="9175"/>
        <v>#N/A</v>
      </c>
      <c r="CL513" s="4" t="e">
        <f ca="1">IF(AND(INDEX(WSM,CK513,4)&gt;=$AB503,INDEX(WSM,CK513,5)&gt;=$S503,INDEX(WSM,CK513,6)&gt;=$R503),1,0)</f>
        <v>#N/A</v>
      </c>
      <c r="CM513" s="4" t="e">
        <f t="shared" ref="CM513" ca="1" si="9333">MATCH(1,OFFSET(CL503:CL514,CN512,0,COUNT(CL503:CL514)-CN512),0)</f>
        <v>#REF!</v>
      </c>
      <c r="CN513" s="4" t="e">
        <f t="shared" ca="1" si="9177"/>
        <v>#REF!</v>
      </c>
      <c r="CO513" s="692" t="str">
        <f ca="1">IFERROR(VLOOKUP(INDEX(CK503:CK514,CN513),WSM,2,FALSE),"----")</f>
        <v>----</v>
      </c>
      <c r="CP513" s="691" t="e">
        <f t="shared" ca="1" si="9178"/>
        <v>#N/A</v>
      </c>
      <c r="CQ513" s="4" t="e">
        <f ca="1">IF(AND(INDEX(STM,CP513,4)&gt;=$AB503,INDEX(STM,CP513,5)&gt;=$S503,INDEX(STM,CP513,6)&gt;=$R503),1,0)</f>
        <v>#N/A</v>
      </c>
      <c r="CR513" s="4" t="e">
        <f t="shared" ref="CR513" ca="1" si="9334">MATCH(1,OFFSET(CQ503:CQ514,CS512,0,COUNT(CQ503:CQ514)-CS512),0)</f>
        <v>#REF!</v>
      </c>
      <c r="CS513" s="4" t="e">
        <f t="shared" ca="1" si="9180"/>
        <v>#REF!</v>
      </c>
      <c r="CT513" s="692" t="str">
        <f ca="1">IFERROR(VLOOKUP(INDEX(CP503:CP514,CS513),STM,2,FALSE),"----")</f>
        <v>----</v>
      </c>
      <c r="CU513" s="691" t="e">
        <f t="shared" ca="1" si="9181"/>
        <v>#N/A</v>
      </c>
      <c r="CV513" s="4" t="e">
        <f ca="1">IF(AND(INDEX(ELM,CU513,4)&gt;=$AB503,INDEX(ELM,CU513,5)&gt;=$S503,INDEX(ELM,CU513,6)&gt;=$R503),1,0)</f>
        <v>#N/A</v>
      </c>
      <c r="CW513" s="4" t="e">
        <f t="shared" ref="CW513" ca="1" si="9335">MATCH(1,OFFSET(CV503:CV514,CX512,0,COUNT(CV503:CV514)-CX512),0)</f>
        <v>#REF!</v>
      </c>
      <c r="CX513" s="4" t="e">
        <f t="shared" ca="1" si="9183"/>
        <v>#REF!</v>
      </c>
      <c r="CY513" s="692" t="str">
        <f ca="1">IFERROR(VLOOKUP(INDEX(CU503:CU514,CX513),ELM,2,FALSE),"----")</f>
        <v>----</v>
      </c>
      <c r="CZ513" s="691" t="e">
        <f t="shared" ca="1" si="9184"/>
        <v>#N/A</v>
      </c>
      <c r="DA513" s="4" t="e">
        <f ca="1">IF(LEFT($J503,7)="Clad Wo",IF(AND(INDEX(SPPWS,CZ513,4)&gt;=$AB503,INDEX(SPPWS,CZ513,5)&gt;=$S503,INDEX(SPPWS,CZ513,6)&gt;=$R503),1,0),IF(AND(INDEX(SPM,CZ513,4)&gt;=$AB503,INDEX(SPM,CZ513,5)&gt;=$S503,INDEX(SPM,CZ513,6)&gt;=$R503),1,0))</f>
        <v>#N/A</v>
      </c>
      <c r="DB513" s="4" t="e">
        <f t="shared" ref="DB513" ca="1" si="9336">MATCH(1,OFFSET(DA503:DA514,DC512,0,COUNT(DA503:DA514)-DC512),0)</f>
        <v>#REF!</v>
      </c>
      <c r="DC513" s="4" t="e">
        <f t="shared" ca="1" si="9186"/>
        <v>#REF!</v>
      </c>
      <c r="DD513" s="693" t="str">
        <f ca="1">IF(LEFT($J503,7)="Clad Wo",IFERROR(VLOOKUP(INDEX(CZ503:CZ514,DC513),SPPWS,2,FALSE),"----"),IFERROR(VLOOKUP(INDEX(CZ503:CZ514,DC513),SPM,2,FALSE),"----"))</f>
        <v>----</v>
      </c>
      <c r="DE513" s="691" t="e">
        <f t="shared" ca="1" si="9187"/>
        <v>#REF!</v>
      </c>
      <c r="DF513" s="4" t="e" cm="1">
        <f t="array" aca="1" ref="DF513" ca="1">IF(AND(INDEX(INDIRECT(BY503),DE513,4)&gt;=$AB509,INDEX(INDIRECT(BY503),DE513,5)&gt;=$S503,INDEX(INDIRECT(BY503),DE513,6)&gt;=$R503),1,0)</f>
        <v>#REF!</v>
      </c>
      <c r="DG513" s="4" t="e">
        <f t="shared" ref="DG513" ca="1" si="9337">MATCH(1,OFFSET(DF503:DF514,DH512,0,COUNT(DF503:DF514)-DH512),0)</f>
        <v>#REF!</v>
      </c>
      <c r="DH513" s="4" t="e">
        <f t="shared" ca="1" si="9189"/>
        <v>#REF!</v>
      </c>
      <c r="DI513" s="692" t="str" cm="1">
        <f t="array" aca="1" ref="DI513" ca="1">IFERROR(VLOOKUP(INDEX(DE503:DE514,DH513),INDIRECT(BY503),2,FALSE),"----")</f>
        <v>----</v>
      </c>
      <c r="DJ513" s="691" t="e">
        <f t="shared" ca="1" si="9190"/>
        <v>#N/A</v>
      </c>
      <c r="DK513" s="4" t="e">
        <f ca="1">IF(AND(INDEX(SSM,DJ513,4)&gt;=$AB509,INDEX(SSM,DJ513,5)&gt;=$S503,INDEX(SSM,DJ513,6)&gt;=$R503),1,0)</f>
        <v>#N/A</v>
      </c>
      <c r="DL513" s="4" t="e">
        <f t="shared" ref="DL513" ca="1" si="9338">MATCH(1,OFFSET(DK503:DK514,DM512,0,COUNT(DK503:DK514)-DM512),0)</f>
        <v>#REF!</v>
      </c>
      <c r="DM513" s="4" t="e">
        <f t="shared" ca="1" si="9192"/>
        <v>#REF!</v>
      </c>
      <c r="DN513" s="692" t="str">
        <f ca="1">IFERROR(IF(AD510="Nested Steel Stud (wood infill)",VLOOKUP(INDEX(DJ503:DJ514,DM513),SSW,2,FALSE),VLOOKUP(INDEX(DJ503:DJ514,DM513),SSM,2,FALSE)),"----")</f>
        <v>----</v>
      </c>
      <c r="DO513" s="691" t="e">
        <f t="shared" ca="1" si="9193"/>
        <v>#N/A</v>
      </c>
      <c r="DP513" s="4" t="e">
        <f ca="1">IF(AND(INDEX(WSM,DO513,4)&gt;=$AB509,INDEX(WSM,DO513,5)&gt;=$S503,INDEX(WSM,DO513,6)&gt;=$R503),1,0)</f>
        <v>#N/A</v>
      </c>
      <c r="DQ513" s="4" t="e">
        <f t="shared" ref="DQ513" ca="1" si="9339">MATCH(1,OFFSET(DP503:DP514,DR512,0,COUNT(DP503:DP514)-DR512),0)</f>
        <v>#REF!</v>
      </c>
      <c r="DR513" s="4" t="e">
        <f t="shared" ca="1" si="9195"/>
        <v>#REF!</v>
      </c>
      <c r="DS513" s="692" t="str">
        <f ca="1">IFERROR(VLOOKUP(INDEX(DO503:DO514,DR513),WSM,2,FALSE),"----")</f>
        <v>----</v>
      </c>
      <c r="DT513" s="691" t="e">
        <f t="shared" ca="1" si="9196"/>
        <v>#N/A</v>
      </c>
      <c r="DU513" s="4" t="e">
        <f ca="1">IF(AND(INDEX(STM,DT513,4)&gt;=$AB509,INDEX(STM,DT513,5)&gt;=$S503,INDEX(STM,DT513,6)&gt;=$R503),1,0)</f>
        <v>#N/A</v>
      </c>
      <c r="DV513" s="4" t="e">
        <f t="shared" ref="DV513" ca="1" si="9340">MATCH(1,OFFSET(DU503:DU514,DW512,0,COUNT(DU503:DU514)-DW512),0)</f>
        <v>#REF!</v>
      </c>
      <c r="DW513" s="4" t="e">
        <f t="shared" ca="1" si="9198"/>
        <v>#REF!</v>
      </c>
      <c r="DX513" s="692" t="str">
        <f ca="1">IFERROR(VLOOKUP(INDEX(DT503:DT514,DW513),STM,2,FALSE),"----")</f>
        <v>----</v>
      </c>
      <c r="DY513" s="691" t="e">
        <f t="shared" ca="1" si="9199"/>
        <v>#N/A</v>
      </c>
      <c r="DZ513" s="4" t="e">
        <f ca="1">IF(AND(INDEX(ELM,DY513,4)&gt;=$AB509,INDEX(ELM,DY513,5)&gt;=$S503,INDEX(ELM,DY513,6)&gt;=$R503),1,0)</f>
        <v>#N/A</v>
      </c>
      <c r="EA513" s="4" t="e">
        <f t="shared" ref="EA513" ca="1" si="9341">MATCH(1,OFFSET(DZ503:DZ514,EB512,0,COUNT(DZ503:DZ514)-EB512),0)</f>
        <v>#REF!</v>
      </c>
      <c r="EB513" s="4" t="e">
        <f t="shared" ca="1" si="9201"/>
        <v>#REF!</v>
      </c>
      <c r="EC513" s="692" t="str">
        <f ca="1">IFERROR(VLOOKUP(INDEX(DY503:DY514,EB513),ELM,2,FALSE),"----")</f>
        <v>----</v>
      </c>
      <c r="ED513" s="691" t="e">
        <f t="shared" ca="1" si="9202"/>
        <v>#N/A</v>
      </c>
      <c r="EE513" s="4" t="e">
        <f ca="1">IF(LEFT($J503,7)="Clad Wo",IF(AND(INDEX(SPPWS,ED513,4)&gt;=$AB509,INDEX(SPPWS,ED513,5)&gt;=$S503,INDEX(SPPWS,ED513,6)&gt;=$R503),1,0),IF(AND(INDEX(SPM,ED513,4)&gt;=$AB509,INDEX(SPM,ED513,5)&gt;=$S503,INDEX(SPM,ED513,6)&gt;=$R503),1,0))</f>
        <v>#N/A</v>
      </c>
      <c r="EF513" s="4" t="e">
        <f t="shared" ref="EF513" ca="1" si="9342">MATCH(1,OFFSET(EE503:EE514,EG512,0,COUNT(EE503:EE514)-EG512),0)</f>
        <v>#REF!</v>
      </c>
      <c r="EG513" s="4" t="e">
        <f t="shared" ca="1" si="9204"/>
        <v>#REF!</v>
      </c>
      <c r="EH513" s="692" t="str">
        <f ca="1">IF(LEFT($J503,7)="Clad Wo",IFERROR(VLOOKUP(INDEX(ED503:ED514,EG513),SPPWS,2,FALSE),"----"),IFERROR(VLOOKUP(INDEX(ED503:ED514,EG513),SPM,2,FALSE),"----"))</f>
        <v>----</v>
      </c>
    </row>
    <row r="514" spans="1:138" ht="15" customHeight="1" thickBot="1" x14ac:dyDescent="0.3">
      <c r="A514" s="1085"/>
      <c r="B514" s="928"/>
      <c r="C514" s="929"/>
      <c r="D514" s="930"/>
      <c r="E514" s="998"/>
      <c r="F514" s="999"/>
      <c r="G514" s="1000"/>
      <c r="H514" s="1063"/>
      <c r="I514" s="991"/>
      <c r="J514" s="904"/>
      <c r="K514" s="905"/>
      <c r="L514" s="1003"/>
      <c r="M514" s="1065"/>
      <c r="N514" s="1043"/>
      <c r="O514" s="1019"/>
      <c r="P514" s="988"/>
      <c r="Q514" s="1016"/>
      <c r="R514" s="1013"/>
      <c r="S514" s="1008"/>
      <c r="T514" s="1009"/>
      <c r="U514" s="879"/>
      <c r="V514" s="882"/>
      <c r="W514" s="885"/>
      <c r="X514" s="885"/>
      <c r="Y514" s="888"/>
      <c r="Z514" s="888"/>
      <c r="AA514" s="888"/>
      <c r="AB514" s="1082"/>
      <c r="AC514" s="1087"/>
      <c r="AD514" s="1098" t="str">
        <f t="shared" ref="AD514" si="9343">IF(LEFT(J503,7)="Clad Wo","Pella Wood Spr / Steel Pte","Steel Plate")</f>
        <v>Steel Plate</v>
      </c>
      <c r="AE514" s="1099"/>
      <c r="AF514" s="1096"/>
      <c r="AG514" s="1097"/>
      <c r="AH514" s="1097"/>
      <c r="AI514" s="1094"/>
      <c r="AJ514" s="1095"/>
      <c r="AK514" s="163" t="str">
        <f t="shared" ca="1" si="8761"/>
        <v/>
      </c>
      <c r="AL514" s="1060"/>
      <c r="AM514" s="345" t="str">
        <f ca="1">IFERROR(Q503/12*ROUND(VLOOKUP(AF514,OFFSET(SPM,0,1),6,FALSE),2),"")</f>
        <v/>
      </c>
      <c r="AN514" t="str">
        <f t="shared" ca="1" si="8785"/>
        <v/>
      </c>
      <c r="AP514" s="699" t="str">
        <f t="shared" ref="AP514" si="9344">_xlfn.CONCAT(AR514,AS514)</f>
        <v/>
      </c>
      <c r="AQ514" s="700" t="str">
        <f t="shared" si="8985"/>
        <v/>
      </c>
      <c r="AR514" s="160" t="str">
        <f t="shared" si="8745"/>
        <v/>
      </c>
      <c r="AS514" s="160" t="str">
        <f>IFERROR(VLOOKUP(J511, WallType,2,FALSE),"")</f>
        <v/>
      </c>
      <c r="AT514" s="707" t="str">
        <f>AL509</f>
        <v/>
      </c>
      <c r="AU514" s="708" t="e">
        <f t="shared" ca="1" si="9002"/>
        <v>#REF!</v>
      </c>
      <c r="AV514" s="709" t="str">
        <f ca="1">IFERROR(VLOOKUP(AU514,INDIRECT(AQ503),2,FALSE),"----")</f>
        <v>----</v>
      </c>
      <c r="AW514" s="710" t="e">
        <f t="shared" ca="1" si="9003"/>
        <v>#REF!</v>
      </c>
      <c r="AX514" s="709" t="str">
        <f ca="1">IFERROR(VLOOKUP(AW514,INDIRECT(AQ504),2,FALSE),"----")</f>
        <v>----</v>
      </c>
      <c r="AY514" s="710" t="e">
        <f t="shared" ca="1" si="9078"/>
        <v>#REF!</v>
      </c>
      <c r="AZ514" s="709" t="str">
        <f ca="1">IFERROR(VLOOKUP(AY514,INDIRECT(AQ505),2,FALSE),"----")</f>
        <v>----</v>
      </c>
      <c r="BA514" s="710" t="e">
        <f t="shared" ca="1" si="9079"/>
        <v>#REF!</v>
      </c>
      <c r="BB514" s="709" t="str">
        <f ca="1">IFERROR(VLOOKUP(BA514,INDIRECT(AQ506),2,FALSE),"----")</f>
        <v>----</v>
      </c>
      <c r="BC514" s="710" t="e">
        <f t="shared" ca="1" si="9006"/>
        <v>#REF!</v>
      </c>
      <c r="BD514" s="709" t="str">
        <f ca="1">IFERROR(VLOOKUP(BC514,INDIRECT(AQ507),2,FALSE),"----")</f>
        <v>----</v>
      </c>
      <c r="BE514" s="710" t="e">
        <f t="shared" ca="1" si="9007"/>
        <v>#REF!</v>
      </c>
      <c r="BF514" s="709" t="str">
        <f ca="1">IFERROR(VLOOKUP(BE514,INDIRECT(AQ508),2,FALSE),"----")</f>
        <v>----</v>
      </c>
      <c r="BG514" s="710" t="e">
        <f t="shared" ca="1" si="9008"/>
        <v>#REF!</v>
      </c>
      <c r="BH514" s="711" t="str">
        <f ca="1">IFERROR(VLOOKUP(BG514,INDIRECT(AQ509),2,FALSE),"----")</f>
        <v>----</v>
      </c>
      <c r="BI514" s="710" t="e">
        <f t="shared" ca="1" si="9009"/>
        <v>#REF!</v>
      </c>
      <c r="BJ514" s="711" t="str">
        <f ca="1">IFERROR(VLOOKUP(BI514,INDIRECT(AQ510),2,FALSE),"----")</f>
        <v>----</v>
      </c>
      <c r="BK514" s="710" t="e">
        <f t="shared" ca="1" si="9010"/>
        <v>#REF!</v>
      </c>
      <c r="BL514" s="711" t="str">
        <f ca="1">IFERROR(VLOOKUP(BK514,INDIRECT(AQ511),2,FALSE),"----")</f>
        <v>----</v>
      </c>
      <c r="BM514" s="710" t="e">
        <f t="shared" ca="1" si="9011"/>
        <v>#REF!</v>
      </c>
      <c r="BN514" s="711" t="str">
        <f ca="1">IFERROR(VLOOKUP(BM514,INDIRECT(AQ512),2,FALSE),"----")</f>
        <v>----</v>
      </c>
      <c r="BO514" s="710" t="e">
        <f t="shared" ca="1" si="9012"/>
        <v>#REF!</v>
      </c>
      <c r="BP514" s="711" t="str">
        <f ca="1">IFERROR(VLOOKUP(BO514,INDIRECT(AQ513),2,FALSE),"----")</f>
        <v>----</v>
      </c>
      <c r="BQ514" s="710" t="e">
        <f t="shared" ca="1" si="9013"/>
        <v>#REF!</v>
      </c>
      <c r="BR514" s="712" t="str">
        <f ca="1">IFERROR(VLOOKUP(BQ514,INDIRECT(AQ514),2,FALSE),"----")</f>
        <v>----</v>
      </c>
      <c r="BS514" s="695">
        <f>IF(AI514="",1,IF(COUNTIF(BR503:BR514,AI514)=0,2,1))</f>
        <v>1</v>
      </c>
      <c r="BT514" s="713">
        <f>IF(AF514="",1,IF(BR503=".",2,1))</f>
        <v>1</v>
      </c>
      <c r="BV514" s="155">
        <f ca="1">IF(COUNTIF(EH503:EH514,AF514)=0,IF(AF514&lt;&gt;"",0,1),1)</f>
        <v>1</v>
      </c>
      <c r="BW514" s="157">
        <f ca="1">IFERROR(MATCH(AF514,EH503:EH514,0),1)</f>
        <v>1</v>
      </c>
      <c r="BX514" s="718"/>
      <c r="BY514" s="777"/>
      <c r="BZ514" s="1110"/>
      <c r="CA514" s="714" t="e">
        <f t="shared" ca="1" si="9169"/>
        <v>#REF!</v>
      </c>
      <c r="CB514" s="715" t="e" cm="1">
        <f t="array" aca="1" ref="CB514" ca="1">IF(AND(INDEX(INDIRECT(BY503),CA514,4)&gt;=$AB503,INDEX(INDIRECT(BY503),CA514,5)&gt;=$S503,INDEX(INDIRECT(BY503),CA514,6)&gt;=$R503),1,0)</f>
        <v>#REF!</v>
      </c>
      <c r="CC514" s="715" t="e">
        <f t="shared" ref="CC514" ca="1" si="9345">MATCH(1,OFFSET(CB503:CB514,CD513,0,COUNT(CB503:CB514)-CD513),0)</f>
        <v>#REF!</v>
      </c>
      <c r="CD514" s="715" t="e">
        <f t="shared" ca="1" si="9171"/>
        <v>#REF!</v>
      </c>
      <c r="CE514" s="716" t="str" cm="1">
        <f t="array" aca="1" ref="CE514" ca="1">IFERROR(VLOOKUP(INDEX(CA503:CA514,CD514),INDIRECT(BY503),2,FALSE),"----")</f>
        <v>----</v>
      </c>
      <c r="CF514" s="714" t="e">
        <f t="shared" ca="1" si="9172"/>
        <v>#N/A</v>
      </c>
      <c r="CG514" s="715" t="e">
        <f ca="1">IF(AND(INDEX(SSM,CF514,4)&gt;=$AB503,INDEX(SSM,CF514,5)&gt;=$S503,INDEX(SSM,CF514,6)&gt;=$R503),1,0)</f>
        <v>#N/A</v>
      </c>
      <c r="CH514" s="715" t="e">
        <f t="shared" ref="CH514" ca="1" si="9346">MATCH(1,OFFSET(CG503:CG514,CI513,0,COUNT(CG503:CG514)-CI513),0)</f>
        <v>#REF!</v>
      </c>
      <c r="CI514" s="715" t="e">
        <f t="shared" ca="1" si="9174"/>
        <v>#REF!</v>
      </c>
      <c r="CJ514" s="716" t="str">
        <f ca="1">IFERROR(IF(AD504="Nested Steel Stud (wood infill)",VLOOKUP(INDEX(CF503:CF514,CI514),SSW,2,FALSE),VLOOKUP(INDEX(CF503:CF514,CI514),SSM,2,FALSE)),"----")</f>
        <v>----</v>
      </c>
      <c r="CK514" s="714" t="e">
        <f t="shared" ca="1" si="9175"/>
        <v>#N/A</v>
      </c>
      <c r="CL514" s="715" t="e">
        <f ca="1">IF(AND(INDEX(WSM,CK514,4)&gt;=$AB503,INDEX(WSM,CK514,5)&gt;=$S503,INDEX(WSM,CK514,6)&gt;=$R503),1,0)</f>
        <v>#N/A</v>
      </c>
      <c r="CM514" s="715" t="e">
        <f t="shared" ref="CM514" ca="1" si="9347">MATCH(1,OFFSET(CL503:CL514,CN513,0,COUNT(CL503:CL514)-CN513),0)</f>
        <v>#REF!</v>
      </c>
      <c r="CN514" s="715" t="e">
        <f t="shared" ca="1" si="9177"/>
        <v>#REF!</v>
      </c>
      <c r="CO514" s="716" t="str">
        <f ca="1">IFERROR(VLOOKUP(INDEX(CK503:CK514,CN514),WSM,2,FALSE),"----")</f>
        <v>----</v>
      </c>
      <c r="CP514" s="714" t="e">
        <f t="shared" ca="1" si="9178"/>
        <v>#N/A</v>
      </c>
      <c r="CQ514" s="715" t="e">
        <f ca="1">IF(AND(INDEX(STM,CP514,4)&gt;=$AB503,INDEX(STM,CP514,5)&gt;=$S503,INDEX(STM,CP514,6)&gt;=$R503),1,0)</f>
        <v>#N/A</v>
      </c>
      <c r="CR514" s="715" t="e">
        <f t="shared" ref="CR514" ca="1" si="9348">MATCH(1,OFFSET(CQ503:CQ514,CS513,0,COUNT(CQ503:CQ514)-CS513),0)</f>
        <v>#REF!</v>
      </c>
      <c r="CS514" s="715" t="e">
        <f t="shared" ca="1" si="9180"/>
        <v>#REF!</v>
      </c>
      <c r="CT514" s="716" t="str">
        <f ca="1">IFERROR(VLOOKUP(INDEX(CP503:CP514,CS514),STM,2,FALSE),"----")</f>
        <v>----</v>
      </c>
      <c r="CU514" s="714" t="e">
        <f t="shared" ca="1" si="9181"/>
        <v>#N/A</v>
      </c>
      <c r="CV514" s="715" t="e">
        <f ca="1">IF(AND(INDEX(ELM,CU514,4)&gt;=$AB503,INDEX(ELM,CU514,5)&gt;=$S503,INDEX(ELM,CU514,6)&gt;=$R503),1,0)</f>
        <v>#N/A</v>
      </c>
      <c r="CW514" s="715" t="e">
        <f t="shared" ref="CW514" ca="1" si="9349">MATCH(1,OFFSET(CV503:CV514,CX513,0,COUNT(CV503:CV514)-CX513),0)</f>
        <v>#REF!</v>
      </c>
      <c r="CX514" s="715" t="e">
        <f t="shared" ca="1" si="9183"/>
        <v>#REF!</v>
      </c>
      <c r="CY514" s="716" t="str">
        <f ca="1">IFERROR(VLOOKUP(INDEX(CU503:CU514,CX514),ELM,2,FALSE),"----")</f>
        <v>----</v>
      </c>
      <c r="CZ514" s="714" t="e">
        <f t="shared" ca="1" si="9184"/>
        <v>#N/A</v>
      </c>
      <c r="DA514" s="715" t="e">
        <f ca="1">IF(LEFT($J503,7)="Clad Wo",IF(AND(INDEX(SPPWS,CZ514,4)&gt;=$AB503,INDEX(SPPWS,CZ514,5)&gt;=$S503,INDEX(SPPWS,CZ514,6)&gt;=$R503),1,0),IF(AND(INDEX(SPM,CZ514,4)&gt;=$AB503,INDEX(SPM,CZ514,5)&gt;=$S503,INDEX(SPM,CZ514,6)&gt;=$R503),1,0))</f>
        <v>#N/A</v>
      </c>
      <c r="DB514" s="715" t="e">
        <f t="shared" ref="DB514" ca="1" si="9350">MATCH(1,OFFSET(DA503:DA514,DC513,0,COUNT(DA503:DA514)-DC513),0)</f>
        <v>#REF!</v>
      </c>
      <c r="DC514" s="715" t="e">
        <f t="shared" ca="1" si="9186"/>
        <v>#REF!</v>
      </c>
      <c r="DD514" s="717" t="str">
        <f ca="1">IF(LEFT($J503,7)="Clad Wo",IFERROR(VLOOKUP(INDEX(CZ503:CZ514,DC514),SPPWS,2,FALSE),"----"),IFERROR(VLOOKUP(INDEX(CZ503:CZ514,DC514),SPM,2,FALSE),"----"))</f>
        <v>----</v>
      </c>
      <c r="DE514" s="714" t="e">
        <f t="shared" ca="1" si="9187"/>
        <v>#REF!</v>
      </c>
      <c r="DF514" s="715" t="e" cm="1">
        <f t="array" aca="1" ref="DF514" ca="1">IF(AND(INDEX(INDIRECT(BY503),DE514,4)&gt;=$AB509,INDEX(INDIRECT(BY503),DE514,5)&gt;=$S503,INDEX(INDIRECT(BY503),DE514,6)&gt;=$R503),1,0)</f>
        <v>#REF!</v>
      </c>
      <c r="DG514" s="715" t="e">
        <f t="shared" ref="DG514" ca="1" si="9351">MATCH(1,OFFSET(DF503:DF514,DH513,0,COUNT(DF503:DF514)-DH513),0)</f>
        <v>#REF!</v>
      </c>
      <c r="DH514" s="715" t="e">
        <f t="shared" ca="1" si="9189"/>
        <v>#REF!</v>
      </c>
      <c r="DI514" s="716" t="str" cm="1">
        <f t="array" aca="1" ref="DI514" ca="1">IFERROR(VLOOKUP(INDEX(DE503:DE514,DH514),INDIRECT(BY503),2,FALSE),"----")</f>
        <v>----</v>
      </c>
      <c r="DJ514" s="714" t="e">
        <f t="shared" ca="1" si="9190"/>
        <v>#N/A</v>
      </c>
      <c r="DK514" s="715" t="e">
        <f ca="1">IF(AND(INDEX(SSM,DJ514,4)&gt;=$AB509,INDEX(SSM,DJ514,5)&gt;=$S503,INDEX(SSM,DJ514,6)&gt;=$R503),1,0)</f>
        <v>#N/A</v>
      </c>
      <c r="DL514" s="715" t="e">
        <f t="shared" ref="DL514" ca="1" si="9352">MATCH(1,OFFSET(DK503:DK514,DM513,0,COUNT(DK503:DK514)-DM513),0)</f>
        <v>#REF!</v>
      </c>
      <c r="DM514" s="715" t="e">
        <f t="shared" ca="1" si="9192"/>
        <v>#REF!</v>
      </c>
      <c r="DN514" s="716" t="str">
        <f ca="1">IFERROR(IF(AD510="Nested Steel Stud (wood infill)",VLOOKUP(INDEX(DJ503:DJ514,DM514),SSW,2,FALSE),VLOOKUP(INDEX(DJ503:DJ514,DM514),SSM,2,FALSE)),"----")</f>
        <v>----</v>
      </c>
      <c r="DO514" s="714" t="e">
        <f t="shared" ca="1" si="9193"/>
        <v>#N/A</v>
      </c>
      <c r="DP514" s="715" t="e">
        <f ca="1">IF(AND(INDEX(WSM,DO514,4)&gt;=$AB509,INDEX(WSM,DO514,5)&gt;=$S503,INDEX(WSM,DO514,6)&gt;=$R503),1,0)</f>
        <v>#N/A</v>
      </c>
      <c r="DQ514" s="715" t="e">
        <f t="shared" ref="DQ514" ca="1" si="9353">MATCH(1,OFFSET(DP503:DP514,DR513,0,COUNT(DP503:DP514)-DR513),0)</f>
        <v>#REF!</v>
      </c>
      <c r="DR514" s="715" t="e">
        <f t="shared" ca="1" si="9195"/>
        <v>#REF!</v>
      </c>
      <c r="DS514" s="716" t="str">
        <f ca="1">IFERROR(VLOOKUP(INDEX(DO503:DO514,DR514),WSM,2,FALSE),"----")</f>
        <v>----</v>
      </c>
      <c r="DT514" s="714" t="e">
        <f t="shared" ca="1" si="9196"/>
        <v>#N/A</v>
      </c>
      <c r="DU514" s="715" t="e">
        <f ca="1">IF(AND(INDEX(STM,DT514,4)&gt;=$AB509,INDEX(STM,DT514,5)&gt;=$S503,INDEX(STM,DT514,6)&gt;=$R503),1,0)</f>
        <v>#N/A</v>
      </c>
      <c r="DV514" s="715" t="e">
        <f t="shared" ref="DV514" ca="1" si="9354">MATCH(1,OFFSET(DU503:DU514,DW513,0,COUNT(DU503:DU514)-DW513),0)</f>
        <v>#REF!</v>
      </c>
      <c r="DW514" s="715" t="e">
        <f t="shared" ca="1" si="9198"/>
        <v>#REF!</v>
      </c>
      <c r="DX514" s="716" t="str">
        <f ca="1">IFERROR(VLOOKUP(INDEX(DT503:DT514,DW514),STM,2,FALSE),"----")</f>
        <v>----</v>
      </c>
      <c r="DY514" s="714" t="e">
        <f t="shared" ca="1" si="9199"/>
        <v>#N/A</v>
      </c>
      <c r="DZ514" s="715" t="e">
        <f ca="1">IF(AND(INDEX(ELM,DY514,4)&gt;=$AB509,INDEX(ELM,DY514,5)&gt;=$S503,INDEX(ELM,DY514,6)&gt;=$R503),1,0)</f>
        <v>#N/A</v>
      </c>
      <c r="EA514" s="715" t="e">
        <f t="shared" ref="EA514" ca="1" si="9355">MATCH(1,OFFSET(DZ503:DZ514,EB513,0,COUNT(DZ503:DZ514)-EB513),0)</f>
        <v>#REF!</v>
      </c>
      <c r="EB514" s="715" t="e">
        <f t="shared" ca="1" si="9201"/>
        <v>#REF!</v>
      </c>
      <c r="EC514" s="716" t="str">
        <f ca="1">IFERROR(VLOOKUP(INDEX(DY503:DY514,EB514),ELM,2,FALSE),"----")</f>
        <v>----</v>
      </c>
      <c r="ED514" s="714" t="e">
        <f t="shared" ca="1" si="9202"/>
        <v>#N/A</v>
      </c>
      <c r="EE514" s="715" t="e">
        <f ca="1">IF(LEFT($J503,7)="Clad Wo",IF(AND(INDEX(SPPWS,ED514,4)&gt;=$AB509,INDEX(SPPWS,ED514,5)&gt;=$S503,INDEX(SPPWS,ED514,6)&gt;=$R503),1,0),IF(AND(INDEX(SPM,ED514,4)&gt;=$AB509,INDEX(SPM,ED514,5)&gt;=$S503,INDEX(SPM,ED514,6)&gt;=$R503),1,0))</f>
        <v>#N/A</v>
      </c>
      <c r="EF514" s="715" t="e">
        <f t="shared" ref="EF514" ca="1" si="9356">MATCH(1,OFFSET(EE503:EE514,EG513,0,COUNT(EE503:EE514)-EG513),0)</f>
        <v>#REF!</v>
      </c>
      <c r="EG514" s="715" t="e">
        <f t="shared" ca="1" si="9204"/>
        <v>#REF!</v>
      </c>
      <c r="EH514" s="716" t="str">
        <f ca="1">IF(LEFT($J503,7)="Clad Wo",IFERROR(VLOOKUP(INDEX(ED503:ED514,EG514),SPPWS,2,FALSE),"----"),IFERROR(VLOOKUP(INDEX(ED503:ED514,EG514),SPM,2,FALSE),"----"))</f>
        <v>----</v>
      </c>
    </row>
    <row r="515" spans="1:138" ht="15" customHeight="1" thickTop="1" x14ac:dyDescent="0.25">
      <c r="A515" s="1085"/>
      <c r="B515" s="931" t="s">
        <v>92</v>
      </c>
      <c r="C515" s="932"/>
      <c r="D515" s="933"/>
      <c r="E515" s="992"/>
      <c r="F515" s="993"/>
      <c r="G515" s="994"/>
      <c r="H515" s="1061"/>
      <c r="I515" s="989"/>
      <c r="J515" s="906"/>
      <c r="K515" s="907"/>
      <c r="L515" s="1001">
        <f>$W$3</f>
        <v>4</v>
      </c>
      <c r="M515" s="923" t="str">
        <f t="shared" ref="M515" si="9357">IFERROR(IF($AE$13="",IF($AG$19="Wind Loading",MIN($V$31,IF(E$11="ASCE 7-05",$U$26,$V$7)*$V$9*(IF($E$12&lt;60,0.0771*LN(MAX(MIN(500,O515),10)) -1.2737,IF($E$11="ASCE 7-22",0.0524*LN(MAX(MIN(500,O515),50))-1.0278,0.0614*LN(MAX(MIN(500,O515),20)) -1.0829))-$V$8)),$V$7*IF(E$12&lt;60,$V$13*($V$15*0.0771*LN(MAX(MIN(500,O515),10))-1.2737-$V$16),$V$13*$V$15*((0.0524*LN(MAX(MIN(500,O515),20))-1.0278)-$V$16))),-ABS($AE$13)),"")</f>
        <v/>
      </c>
      <c r="N515" s="1042" t="str">
        <f t="shared" ref="N515" si="9358">IFERROR(IF($AE$15="",IF($AG$19="Wind Loading",MAX($U$31,IF(E$11="ASCE 7-05",$U$26,$V$7)*$V$9*((IF($E$12&lt;60,-0.077*LN(MAX(MIN(500,O515),10))+1.1737,IF($E$11="ASCE 7-22",-0.077*LN(MAX(MIN(500,O515),20))+1.0798,-0.093*LN(MAX(MIN(500,O515),20))+1.1776)))+$V$8)),$V$7*IF(E$12&lt;60,$V$13*($V$15*(-0.077*LN(MAX(MIN(500,O515),10))+1.1737)-$V$17),$V$13*$V$15*((-0.077*LN(MAX(MIN(500,O515),20))+1.0798)-$V$17))),ABS($AE$15)),"")</f>
        <v/>
      </c>
      <c r="O515" s="1017" t="str">
        <f>IF(BX522=0,"",IF(AG$14="Trapezoidal",BY522,BX522))</f>
        <v/>
      </c>
      <c r="P515" s="986"/>
      <c r="Q515" s="1014"/>
      <c r="R515" s="1011">
        <f>P515*Q515/8</f>
        <v>0</v>
      </c>
      <c r="S515" s="1004">
        <f t="shared" ref="S515" si="9359">IF(5*(P515*Q515^3/(384*0.125))=0,0,5*(P515*Q515^3/(384*0.125)))</f>
        <v>0</v>
      </c>
      <c r="T515" s="1005"/>
      <c r="U515" s="877" t="e">
        <f ca="1">VLOOKUP(J519,INDIRECT(VLOOKUP(J515,FrameStrength,2,FALSE)),3,FALSE)</f>
        <v>#N/A</v>
      </c>
      <c r="V515" s="880">
        <f t="shared" ref="V515" si="9360">(H515+I515)/2</f>
        <v>0</v>
      </c>
      <c r="W515" s="883" t="e">
        <f t="shared" ref="W515" si="9361">MAX(-M515,N515)*O515</f>
        <v>#VALUE!</v>
      </c>
      <c r="X515" s="883">
        <f t="shared" ref="X515" si="9362">IF(E515&gt;162,(E515/240+0.25),IF(AND(E515&lt;162,E515/175&lt;0.75),E515/175,0.75))</f>
        <v>0</v>
      </c>
      <c r="Y515" s="886">
        <f>IFERROR(IF(AG$14="Trapezoidal",BY523,BX523)+IF($E$17="4",(400*E515^3)/(48*X515),0),0)</f>
        <v>0</v>
      </c>
      <c r="Z515" s="886" t="e">
        <f t="shared" ref="Z515" si="9363">+($V515*MAX(-$M515,$N515)*$E515^2)/(144*8)+IF($E$17=4,(400*$E515)/4,0)</f>
        <v>#VALUE!</v>
      </c>
      <c r="AA515" s="886" t="e">
        <f ca="1">VLOOKUP(J519,INDIRECT(VLOOKUP(J515,FrameStrength,2,FALSE)),2,FALSE)</f>
        <v>#N/A</v>
      </c>
      <c r="AB515" s="1083" t="str">
        <f t="shared" ref="AB515" ca="1" si="9364">IFERROR(Z515-AA515,"")</f>
        <v/>
      </c>
      <c r="AC515" s="1077" t="str">
        <f t="shared" ref="AC515" ca="1" si="9365">IFERROR(Y515-U515,"")</f>
        <v/>
      </c>
      <c r="AD515" s="1100" t="str">
        <f>IFERROR(IF(LEFT(J519,2)="As",VLOOKUP(J519,EIMM,4,FALSE),VLOOKUP(J515,EIMM,4,FALSE)),IF(AND(ISNUMBER(SEARCH("Impervia",J515)),ISNUMBER(SEARCH("door",J519))),'New Lookup Cells'!AF$10,IF(ISNUMBER(SEARCH("Impervia",J515)),'New Lookup Cells'!AF$7,IF(AND(ISNUMBER(SEARCH("250",J515)),ISNUMBER(SEARCH("door",J519))),'New Lookup Cells'!AF$14,IF(ISNUMBER(SEARCH("250",J515)),'New Lookup Cells'!AF$13,"")))))</f>
        <v/>
      </c>
      <c r="AE515" s="1101"/>
      <c r="AF515" s="1050"/>
      <c r="AG515" s="1051"/>
      <c r="AH515" s="1051"/>
      <c r="AI515" s="1088"/>
      <c r="AJ515" s="1089"/>
      <c r="AK515" s="154" t="str">
        <f t="shared" ca="1" si="8761"/>
        <v/>
      </c>
      <c r="AL515" s="1038" t="str">
        <f t="shared" ref="AL515" si="9366">IFERROR(ROUND(SQRT(P515^2+(W515/2+IF($E$17=4,200,0))^2),0),"")</f>
        <v/>
      </c>
      <c r="AM515" s="342" t="s">
        <v>669</v>
      </c>
      <c r="AN515" t="str">
        <f t="shared" ca="1" si="8785"/>
        <v/>
      </c>
      <c r="AP515" s="122" t="str">
        <f t="shared" ref="AP515" si="9367">_xlfn.CONCAT(AR515,AS520)</f>
        <v/>
      </c>
      <c r="AQ515" s="683" t="str">
        <f t="shared" si="8985"/>
        <v/>
      </c>
      <c r="AR515" s="96" t="str">
        <f t="shared" si="8745"/>
        <v/>
      </c>
      <c r="AS515" s="96" t="str">
        <f>IF(COUNTIF(imp_1,AF515)=1,"imp_1",IF(COUNTIF(imp_2,AF515)=1,"imp_2",IF(COUNTIF(imp_3,AF515)=1,"imp_3",IF(COUNTIF(impdoor,AF515)=1,"impdoor",""))))</f>
        <v/>
      </c>
      <c r="AT515" s="684" t="str">
        <f>AL515</f>
        <v/>
      </c>
      <c r="AU515" s="685" t="e">
        <f ca="1">MATCH(AL515,INDIRECT(AP515),-1)</f>
        <v>#REF!</v>
      </c>
      <c r="AV515" s="686" t="str">
        <f ca="1">IFERROR(VLOOKUP(AU515,INDIRECT(AQ515),2,FALSE),"----")</f>
        <v>----</v>
      </c>
      <c r="AW515" s="685" t="e">
        <f ca="1">MATCH(AL515,INDIRECT(AP516),-1)</f>
        <v>#REF!</v>
      </c>
      <c r="AX515" s="686" t="str">
        <f ca="1">IFERROR(VLOOKUP(AW515,INDIRECT(AQ516),2,FALSE),"----")</f>
        <v>----</v>
      </c>
      <c r="AY515" s="685" t="e">
        <f ca="1">MATCH(AL515,INDIRECT(AP517),-1)</f>
        <v>#REF!</v>
      </c>
      <c r="AZ515" s="686" t="str">
        <f ca="1">IFERROR(VLOOKUP(AY515,INDIRECT(AQ517),2,FALSE),"----")</f>
        <v>----</v>
      </c>
      <c r="BA515" s="685" t="e">
        <f ca="1">MATCH(AL515,INDIRECT(AP518),-1)</f>
        <v>#REF!</v>
      </c>
      <c r="BB515" s="686" t="str">
        <f ca="1">IFERROR(VLOOKUP(BA515,INDIRECT(AQ518),2,FALSE),"----")</f>
        <v>----</v>
      </c>
      <c r="BC515" s="685" t="e">
        <f ca="1">MATCH(AL515,INDIRECT(AP519),-1)</f>
        <v>#REF!</v>
      </c>
      <c r="BD515" s="686" t="str">
        <f ca="1">IFERROR(VLOOKUP(BC515,INDIRECT(AQ519),2,FALSE),"----")</f>
        <v>----</v>
      </c>
      <c r="BE515" s="685" t="e">
        <f ca="1">MATCH(AL515,INDIRECT(AP520),-1)</f>
        <v>#REF!</v>
      </c>
      <c r="BF515" s="686" t="str">
        <f ca="1">IFERROR(VLOOKUP(BE515,INDIRECT(AQ520),2,FALSE),"----")</f>
        <v>----</v>
      </c>
      <c r="BG515" s="685" t="e">
        <f ca="1">MATCH(AL521,INDIRECT(AP521),-1)</f>
        <v>#REF!</v>
      </c>
      <c r="BH515" s="686" t="str">
        <f ca="1">IFERROR(VLOOKUP(BG515,INDIRECT(AQ521),2,FALSE),"----")</f>
        <v>----</v>
      </c>
      <c r="BI515" s="685" t="e">
        <f ca="1">MATCH(AL521,INDIRECT(AP522),-1)</f>
        <v>#REF!</v>
      </c>
      <c r="BJ515" s="686" t="str">
        <f ca="1">IFERROR(VLOOKUP(BI515,INDIRECT(AQ522),2,FALSE),"----")</f>
        <v>----</v>
      </c>
      <c r="BK515" s="685" t="e">
        <f ca="1">MATCH(AL521,INDIRECT(AP523),-1)</f>
        <v>#REF!</v>
      </c>
      <c r="BL515" s="686" t="str">
        <f ca="1">IFERROR(VLOOKUP(BK515,INDIRECT(AQ523),2,FALSE),"----")</f>
        <v>----</v>
      </c>
      <c r="BM515" s="685" t="e">
        <f ca="1">MATCH(AL521,INDIRECT(AP524),-1)</f>
        <v>#REF!</v>
      </c>
      <c r="BN515" s="686" t="str">
        <f ca="1">IFERROR(VLOOKUP(BM515,INDIRECT(AQ524),2,FALSE),"----")</f>
        <v>----</v>
      </c>
      <c r="BO515" s="685" t="e">
        <f ca="1">MATCH(AL521,INDIRECT(AP525),-1)</f>
        <v>#REF!</v>
      </c>
      <c r="BP515" s="686" t="str">
        <f ca="1">IFERROR(VLOOKUP(BO515,INDIRECT(AQ525),2,FALSE),"----")</f>
        <v>----</v>
      </c>
      <c r="BQ515" s="685" t="e">
        <f ca="1">MATCH(AL521,INDIRECT(AP526),-1)</f>
        <v>#REF!</v>
      </c>
      <c r="BR515" s="686" t="str">
        <f ca="1">IFERROR(VLOOKUP(BQ515,INDIRECT(AQ526),2,FALSE),"----")</f>
        <v>----</v>
      </c>
      <c r="BS515" s="687">
        <f>IF(AI515="",1,IF(COUNTIF(AV515:AV526,AI515)=0,2,1))</f>
        <v>1</v>
      </c>
      <c r="BT515" s="688">
        <f>IF(AP515="1",1,IF(AF515="",1,IF(AV515=".",2,1)))</f>
        <v>1</v>
      </c>
      <c r="BU515" s="706"/>
      <c r="BV515" s="155">
        <f ca="1">IF(COUNTIF(CE515:CE526,AF515)=0,IF(AF515&lt;&gt;"",0,1),1)</f>
        <v>1</v>
      </c>
      <c r="BW515" s="157">
        <f ca="1">IFERROR(MATCH(AF515,CE515:CE526,0),1)</f>
        <v>1</v>
      </c>
      <c r="BX515" s="769" t="str">
        <f>IFERROR(IF(LEFT(J519,2)="As",VLOOKUP(J519,EIMM,2,FALSE),IF(AND(ISNUMBER(SEARCH("Impervia",J515)),ISNUMBER(SEARCH("door",J519))),VLOOKUP("Impervia Door",EIMM,2,FALSE),IF(AND(ISNUMBER(SEARCH("250",J515)),ISNUMBER(SEARCH("door",J519))),VLOOKUP("250 Series Door",EIMM,2,FALSE),VLOOKUP(J515,EIMM,2,FALSE)))),"")</f>
        <v/>
      </c>
      <c r="BY515" s="769" t="str">
        <f ca="1">IFERROR(VLOOKUP(BX515,OFFSET(EIMM,0,1),2,FALSE),"")</f>
        <v/>
      </c>
      <c r="BZ515" s="1110" t="e">
        <f ca="1">IF((COUNTIF(INDIRECT(SUBSTITUTE(J515," ","_")),J519))=0,IF(J519="",1,0),1)</f>
        <v>#REF!</v>
      </c>
      <c r="CA515" s="691" t="e">
        <f ca="1">MATCH(AC515,INDIRECT(BX515),-1)</f>
        <v>#REF!</v>
      </c>
      <c r="CB515" s="4" t="e" cm="1">
        <f t="array" aca="1" ref="CB515" ca="1">IF(AND(INDEX(INDIRECT(BY515),CA515,4)&gt;=$AB515,INDEX(INDIRECT(BY515),CA515,5)&gt;=$S515,INDEX(INDIRECT(BY515),CA515,6)&gt;=$R515),1,0)</f>
        <v>#REF!</v>
      </c>
      <c r="CC515" s="4" t="e">
        <f t="shared" ref="CC515" ca="1" si="9368">MATCH(1,OFFSET(CB515:CB526,$W$2,0,COUNT(CB515:CB526)-$W$2),0)</f>
        <v>#REF!</v>
      </c>
      <c r="CD515" s="4" t="e">
        <f t="shared" ref="CD515" ca="1" si="9369">$W$2+CC515</f>
        <v>#REF!</v>
      </c>
      <c r="CE515" s="692" t="str" cm="1">
        <f t="array" aca="1" ref="CE515" ca="1">IFERROR(VLOOKUP(INDEX(CA515:CA526,CD515),INDIRECT(BY515),2,FALSE),"----")</f>
        <v>----</v>
      </c>
      <c r="CF515" s="691" t="e">
        <f ca="1">MATCH($AC515,SSEI,-1)</f>
        <v>#N/A</v>
      </c>
      <c r="CG515" s="4" t="e">
        <f ca="1">IF(AND(INDEX(SSM,CF515,4)&gt;=$AB515,INDEX(SSM,CF515,5)&gt;=$S515,INDEX(SSM,CF515,6)&gt;=$R515),1,0)</f>
        <v>#N/A</v>
      </c>
      <c r="CH515" s="4" t="e">
        <f t="shared" ref="CH515" ca="1" si="9370">MATCH(1,OFFSET(CG515:CG526,$W$2,0,COUNT(CG515:CG526)-$W$2),0)</f>
        <v>#REF!</v>
      </c>
      <c r="CI515" s="4" t="e">
        <f t="shared" ref="CI515" ca="1" si="9371">$W$2+CH515</f>
        <v>#REF!</v>
      </c>
      <c r="CJ515" s="692" t="str">
        <f ca="1">IFERROR(IF(AD516="Nested Steel Stud (wood infill)",VLOOKUP(INDEX(CF515:CF526,CI515),SSW,2,FALSE),VLOOKUP(INDEX(CF515:CF526,CI515),SSM,2,FALSE)),"----")</f>
        <v>----</v>
      </c>
      <c r="CK515" s="691" t="e">
        <f ca="1">MATCH($AC515,WSEI,-1)</f>
        <v>#N/A</v>
      </c>
      <c r="CL515" s="4" t="e">
        <f ca="1">IF(AND(INDEX(WSM,CK515,4)&gt;=$AB515,INDEX(WSM,CK515,5)&gt;=$S515,INDEX(WSM,CK515,6)&gt;=$R515),1,0)</f>
        <v>#N/A</v>
      </c>
      <c r="CM515" s="4" t="e">
        <f t="shared" ref="CM515" ca="1" si="9372">MATCH(1,OFFSET(CL515:CL526,$W$2,0,COUNT(CL515:CL526)-$W$2),0)</f>
        <v>#REF!</v>
      </c>
      <c r="CN515" s="4" t="e">
        <f t="shared" ref="CN515" ca="1" si="9373">$W$2+CM515</f>
        <v>#REF!</v>
      </c>
      <c r="CO515" s="692" t="str">
        <f ca="1">IFERROR(VLOOKUP(INDEX(CK515:CK526,CN515),WSM,2,FALSE),"----")</f>
        <v>----</v>
      </c>
      <c r="CP515" s="691" t="e">
        <f ca="1">MATCH($AC515,STEI,-1)</f>
        <v>#N/A</v>
      </c>
      <c r="CQ515" s="4" t="e">
        <f ca="1">IF(AND(INDEX(STM,CP515,4)&gt;=$AB515,INDEX(STM,CP515,5)&gt;=$S515,INDEX(STM,CP515,6)&gt;=$R515),1,0)</f>
        <v>#N/A</v>
      </c>
      <c r="CR515" s="4" t="e">
        <f t="shared" ref="CR515" ca="1" si="9374">MATCH(1,OFFSET(CQ515:CQ526,$W$2,0,COUNT(CQ515:CQ526)-$W$2),0)</f>
        <v>#REF!</v>
      </c>
      <c r="CS515" s="4" t="e">
        <f t="shared" ref="CS515" ca="1" si="9375">$W$2+CR515</f>
        <v>#REF!</v>
      </c>
      <c r="CT515" s="692" t="str">
        <f ca="1">IFERROR(VLOOKUP(INDEX(CP515:CP526,CS515),STM,2,FALSE),"----")</f>
        <v>----</v>
      </c>
      <c r="CU515" s="691" t="e">
        <f ca="1">MATCH($AC515,ELEI,-1)</f>
        <v>#N/A</v>
      </c>
      <c r="CV515" s="4" t="e">
        <f ca="1">IF(AND(INDEX(ELM,CU515,4)&gt;=$AB515,INDEX(ELM,CU515,5)&gt;=$S515,INDEX(ELM,CU515,6)&gt;=$R515),1,0)</f>
        <v>#N/A</v>
      </c>
      <c r="CW515" s="4" t="e">
        <f t="shared" ref="CW515" ca="1" si="9376">MATCH(1,OFFSET(CV515:CV526,$W$2,0,COUNT(CV515:CV526)-$W$2),0)</f>
        <v>#REF!</v>
      </c>
      <c r="CX515" s="4" t="e">
        <f t="shared" ref="CX515" ca="1" si="9377">$W$2+CW515</f>
        <v>#REF!</v>
      </c>
      <c r="CY515" s="692" t="str">
        <f ca="1">IFERROR(VLOOKUP(INDEX(CU515:CU526,CX515),ELM,2,FALSE),"----")</f>
        <v>----</v>
      </c>
      <c r="CZ515" s="691" t="e">
        <f ca="1">IF(LEFT($J515,7)="Clad Wo",MATCH($AC515,SPEIW,-1),MATCH($AC515,SPEI,-1))</f>
        <v>#N/A</v>
      </c>
      <c r="DA515" s="4" t="e">
        <f ca="1">IF(LEFT($J515,7)="Clad Wo",IF(AND(INDEX(SPPWS,CZ515,4)&gt;=$AB515,INDEX(SPPWS,CZ515,5)&gt;=$S515,INDEX(SPPWS,CZ515,6)&gt;=$R515),1,0),IF(AND(INDEX(SPM,CZ515,4)&gt;=$AB515,INDEX(SPM,CZ515,5)&gt;=$S515,INDEX(SPM,CZ515,6)&gt;=$R515),1,0))</f>
        <v>#N/A</v>
      </c>
      <c r="DB515" s="4" t="e">
        <f t="shared" ref="DB515" ca="1" si="9378">MATCH(1,OFFSET(DA515:DA526,$W$2,0,COUNT(DA515:DA526)-$W$2),0)</f>
        <v>#REF!</v>
      </c>
      <c r="DC515" s="4" t="e">
        <f t="shared" ref="DC515" ca="1" si="9379">$W$2+DB515</f>
        <v>#REF!</v>
      </c>
      <c r="DD515" s="693" t="str">
        <f ca="1">IF(LEFT($J515,7)="Clad Wo",IFERROR(VLOOKUP(INDEX(CZ515:CZ526,DC515),SPPWS,2,FALSE),"----"),IFERROR(VLOOKUP(INDEX(CZ515:CZ526,DC515),SPM,2,FALSE),"----"))</f>
        <v>----</v>
      </c>
      <c r="DE515" s="691" t="e">
        <f ca="1">MATCH(AC521,INDIRECT(BX515),-1)</f>
        <v>#REF!</v>
      </c>
      <c r="DF515" s="4" t="e" cm="1">
        <f t="array" aca="1" ref="DF515" ca="1">IF(AND(INDEX(INDIRECT(BY515),DE515,4)&gt;=$AB521,INDEX(INDIRECT(BY515),DE515,5)&gt;=$S515,INDEX(INDIRECT(BY515),DE515,6)&gt;=$R515),1,0)</f>
        <v>#REF!</v>
      </c>
      <c r="DG515" s="4" t="e">
        <f t="shared" ref="DG515" ca="1" si="9380">MATCH(1,OFFSET(DF515:DF526,$W$2,0,COUNT(DF515:DF526)-$W$2),0)</f>
        <v>#REF!</v>
      </c>
      <c r="DH515" s="4" t="e">
        <f t="shared" ref="DH515" ca="1" si="9381">$W$2+DG515</f>
        <v>#REF!</v>
      </c>
      <c r="DI515" s="692" t="str" cm="1">
        <f t="array" aca="1" ref="DI515" ca="1">IFERROR(VLOOKUP(INDEX(DE515:DE526,DH515),INDIRECT(BY515),2,FALSE),"----")</f>
        <v>----</v>
      </c>
      <c r="DJ515" s="691" t="e">
        <f ca="1">MATCH($AC521,SSEI,-1)</f>
        <v>#N/A</v>
      </c>
      <c r="DK515" s="4" t="e">
        <f ca="1">IF(AND(INDEX(SSM,DJ515,4)&gt;=$AB521,INDEX(SSM,DJ515,5)&gt;=$S515,INDEX(SSM,DJ515,6)&gt;=$R515),1,0)</f>
        <v>#N/A</v>
      </c>
      <c r="DL515" s="4" t="e">
        <f t="shared" ref="DL515" ca="1" si="9382">MATCH(1,OFFSET(DK515:DK526,$W$2,0,COUNT(DK515:DK526)-$W$2),0)</f>
        <v>#REF!</v>
      </c>
      <c r="DM515" s="4" t="e">
        <f t="shared" ref="DM515" ca="1" si="9383">$W$2+DL515</f>
        <v>#REF!</v>
      </c>
      <c r="DN515" s="692" t="str">
        <f ca="1">IFERROR(IF(AD522="Nested Steel Stud (wood infill)",VLOOKUP(INDEX(DJ515:DJ526,DM515),SSW,2,FALSE),VLOOKUP(INDEX(DJ515:DJ526,DM515),SSM,2,FALSE)),"----")</f>
        <v>----</v>
      </c>
      <c r="DO515" s="691" t="e">
        <f ca="1">MATCH($AC521,WSEI,-1)</f>
        <v>#N/A</v>
      </c>
      <c r="DP515" s="4" t="e">
        <f ca="1">IF(AND(INDEX(WSM,DO515,4)&gt;=$AB521,INDEX(WSM,DO515,5)&gt;=$S515,INDEX(WSM,DO515,6)&gt;=$R515),1,0)</f>
        <v>#N/A</v>
      </c>
      <c r="DQ515" s="4" t="e">
        <f t="shared" ref="DQ515" ca="1" si="9384">MATCH(1,OFFSET(DP515:DP526,$W$2,0,COUNT(DP515:DP526)-$W$2),0)</f>
        <v>#REF!</v>
      </c>
      <c r="DR515" s="4" t="e">
        <f t="shared" ref="DR515" ca="1" si="9385">$W$2+DQ515</f>
        <v>#REF!</v>
      </c>
      <c r="DS515" s="692" t="str">
        <f ca="1">IFERROR(VLOOKUP(INDEX(DO515:DO526,DR515),WSM,2,FALSE),"----")</f>
        <v>----</v>
      </c>
      <c r="DT515" s="691" t="e">
        <f ca="1">MATCH($AC521,STEI,-1)</f>
        <v>#N/A</v>
      </c>
      <c r="DU515" s="4" t="e">
        <f ca="1">IF(AND(INDEX(STM,DT515,4)&gt;=$AB521,INDEX(STM,DT515,5)&gt;=$S515,INDEX(STM,DT515,6)&gt;=$R515),1,0)</f>
        <v>#N/A</v>
      </c>
      <c r="DV515" s="4" t="e">
        <f t="shared" ref="DV515" ca="1" si="9386">MATCH(1,OFFSET(DU515:DU526,$W$2,0,COUNT(DU515:DU526)-$W$2),0)</f>
        <v>#REF!</v>
      </c>
      <c r="DW515" s="4" t="e">
        <f t="shared" ref="DW515" ca="1" si="9387">$W$2+DV515</f>
        <v>#REF!</v>
      </c>
      <c r="DX515" s="692" t="str">
        <f ca="1">IFERROR(VLOOKUP(INDEX(DT515:DT526,DW515),STM,2,FALSE),"----")</f>
        <v>----</v>
      </c>
      <c r="DY515" s="691" t="e">
        <f ca="1">MATCH($AC521,ELEI,-1)</f>
        <v>#N/A</v>
      </c>
      <c r="DZ515" s="4" t="e">
        <f ca="1">IF(AND(INDEX(ELM,DY515,4)&gt;=$AB521,INDEX(ELM,DY515,5)&gt;=$S515,INDEX(ELM,DY515,6)&gt;=$R515),1,0)</f>
        <v>#N/A</v>
      </c>
      <c r="EA515" s="4" t="e">
        <f t="shared" ref="EA515" ca="1" si="9388">MATCH(1,OFFSET(DZ515:DZ526,$W$2,0,COUNT(DZ515:DZ526)-$W$2),0)</f>
        <v>#REF!</v>
      </c>
      <c r="EB515" s="4" t="e">
        <f t="shared" ref="EB515" ca="1" si="9389">EA515+$W$2</f>
        <v>#REF!</v>
      </c>
      <c r="EC515" s="692" t="str">
        <f ca="1">IFERROR(VLOOKUP(INDEX(DY515:DY526,EB515),ELM,2,FALSE),"----")</f>
        <v>----</v>
      </c>
      <c r="ED515" s="691" t="e">
        <f ca="1">IF(LEFT($J515,7)="Clad Wo",MATCH($AC521,SPEIW,-1),MATCH($AC521,SPEI,-1))</f>
        <v>#N/A</v>
      </c>
      <c r="EE515" s="4" t="e">
        <f ca="1">IF(LEFT($J515,7)="Clad Wo",IF(AND(INDEX(SPPWS,ED515,4)&gt;=$AB521,INDEX(SPPWS,ED515,5)&gt;=$S515,INDEX(SPPWS,ED515,6)&gt;=$R515),1,0),IF(AND(INDEX(SPM,ED515,4)&gt;=$AB521,INDEX(SPM,ED515,5)&gt;=$S515,INDEX(SPM,ED515,6)&gt;=$R515),1,0))</f>
        <v>#N/A</v>
      </c>
      <c r="EF515" s="4" t="e">
        <f t="shared" ref="EF515" ca="1" si="9390">MATCH(1,OFFSET(EE515:EE526,$W$2,0,COUNT(EE515:EE526)-$W$2),0)</f>
        <v>#REF!</v>
      </c>
      <c r="EG515" s="4" t="e">
        <f t="shared" ref="EG515" ca="1" si="9391">$W$2+EF515</f>
        <v>#REF!</v>
      </c>
      <c r="EH515" s="692" t="str">
        <f ca="1">IF(LEFT($J515,7)="Clad Wo",IFERROR(VLOOKUP(INDEX(ED515:ED526,EG515),SPPWS,2,FALSE),"----"),IFERROR(VLOOKUP(INDEX(ED515:ED526,EG515),SPM,2,FALSE),"----"))</f>
        <v>----</v>
      </c>
    </row>
    <row r="516" spans="1:138" ht="15" customHeight="1" x14ac:dyDescent="0.25">
      <c r="A516" s="1085"/>
      <c r="B516" s="925"/>
      <c r="C516" s="926"/>
      <c r="D516" s="927"/>
      <c r="E516" s="995"/>
      <c r="F516" s="996"/>
      <c r="G516" s="997"/>
      <c r="H516" s="1062"/>
      <c r="I516" s="990"/>
      <c r="J516" s="908"/>
      <c r="K516" s="909"/>
      <c r="L516" s="1002"/>
      <c r="M516" s="923"/>
      <c r="N516" s="1042"/>
      <c r="O516" s="1018"/>
      <c r="P516" s="987"/>
      <c r="Q516" s="1015"/>
      <c r="R516" s="1012"/>
      <c r="S516" s="1006"/>
      <c r="T516" s="1007"/>
      <c r="U516" s="878"/>
      <c r="V516" s="881"/>
      <c r="W516" s="884"/>
      <c r="X516" s="884"/>
      <c r="Y516" s="887"/>
      <c r="Z516" s="887"/>
      <c r="AA516" s="887"/>
      <c r="AB516" s="1081"/>
      <c r="AC516" s="1078"/>
      <c r="AD516" s="1102" t="s">
        <v>38</v>
      </c>
      <c r="AE516" s="1103"/>
      <c r="AF516" s="1052"/>
      <c r="AG516" s="1053"/>
      <c r="AH516" s="1053"/>
      <c r="AI516" s="1066"/>
      <c r="AJ516" s="1067"/>
      <c r="AK516" s="156" t="str">
        <f t="shared" ca="1" si="8761"/>
        <v/>
      </c>
      <c r="AL516" s="1039"/>
      <c r="AM516" s="343" t="str">
        <f ca="1">IFERROR(Q515/12*ROUND(VLOOKUP(AF516,OFFSET(SSM,0,1),6,FALSE),2),"")</f>
        <v/>
      </c>
      <c r="AN516" t="str">
        <f t="shared" ca="1" si="8785"/>
        <v/>
      </c>
      <c r="AP516" s="122" t="str">
        <f t="shared" ref="AP516" si="9392">_xlfn.CONCAT(AR516,AS520)</f>
        <v/>
      </c>
      <c r="AQ516" s="683" t="str">
        <f t="shared" si="8985"/>
        <v/>
      </c>
      <c r="AR516" s="96" t="str">
        <f t="shared" si="8745"/>
        <v/>
      </c>
      <c r="AS516" s="96" t="str">
        <f>IF(COUNTIF(Vista_1,AF515)=1,"Vista_1",IF(COUNTIF(Vista_2,AF515)=1,"Vista_2",""))</f>
        <v/>
      </c>
      <c r="AT516" s="684" t="str">
        <f>AL515</f>
        <v/>
      </c>
      <c r="AU516" s="694" t="e">
        <f t="shared" ref="AU516" ca="1" si="9393">AU515-1</f>
        <v>#REF!</v>
      </c>
      <c r="AV516" s="686" t="str">
        <f ca="1">IFERROR(VLOOKUP(AU516,INDIRECT(AQ515),2,FALSE),"----")</f>
        <v>----</v>
      </c>
      <c r="AW516" s="694" t="e">
        <f t="shared" ref="AW516:AW517" ca="1" si="9394">AW515-1</f>
        <v>#REF!</v>
      </c>
      <c r="AX516" s="686" t="str">
        <f ca="1">IFERROR(VLOOKUP(AW516,INDIRECT(AQ516),2,FALSE),"----")</f>
        <v>----</v>
      </c>
      <c r="AY516" s="694" t="e">
        <f t="shared" ref="AY516:AY517" ca="1" si="9395">AY515-1</f>
        <v>#REF!</v>
      </c>
      <c r="AZ516" s="686" t="str">
        <f ca="1">IFERROR(VLOOKUP(AY516,INDIRECT(AQ517),2,FALSE),"----")</f>
        <v>----</v>
      </c>
      <c r="BA516" s="694" t="e">
        <f t="shared" ref="BA516:BA517" ca="1" si="9396">BA515-1</f>
        <v>#REF!</v>
      </c>
      <c r="BB516" s="686" t="str">
        <f ca="1">IFERROR(VLOOKUP(BA516,INDIRECT(AQ518),2,FALSE),"----")</f>
        <v>----</v>
      </c>
      <c r="BC516" s="694" t="e">
        <f t="shared" ref="BC516:BC517" ca="1" si="9397">BC515-1</f>
        <v>#REF!</v>
      </c>
      <c r="BD516" s="686" t="str">
        <f ca="1">IFERROR(VLOOKUP(BC516,INDIRECT(AQ519),2,FALSE),"----")</f>
        <v>----</v>
      </c>
      <c r="BE516" s="694" t="e">
        <f t="shared" ref="BE516" ca="1" si="9398">BE515-1</f>
        <v>#REF!</v>
      </c>
      <c r="BF516" s="686" t="str">
        <f ca="1">IFERROR(VLOOKUP(BE516,INDIRECT(AQ520),2,FALSE),"----")</f>
        <v>----</v>
      </c>
      <c r="BG516" s="694" t="e">
        <f t="shared" ref="BG516" ca="1" si="9399">BG515-1</f>
        <v>#REF!</v>
      </c>
      <c r="BH516" s="686" t="str">
        <f ca="1">IFERROR(VLOOKUP(BG516,INDIRECT(AQ521),2,FALSE),"----")</f>
        <v>----</v>
      </c>
      <c r="BI516" s="694" t="e">
        <f t="shared" ref="BI516:BI517" ca="1" si="9400">BI515-1</f>
        <v>#REF!</v>
      </c>
      <c r="BJ516" s="686" t="str">
        <f ca="1">IFERROR(VLOOKUP(BI516,INDIRECT(AQ522),2,FALSE),"----")</f>
        <v>----</v>
      </c>
      <c r="BK516" s="694" t="e">
        <f t="shared" ref="BK516:BK517" ca="1" si="9401">BK515-1</f>
        <v>#REF!</v>
      </c>
      <c r="BL516" s="686" t="str">
        <f ca="1">IFERROR(VLOOKUP(BK516,INDIRECT(AQ523),2,FALSE),"----")</f>
        <v>----</v>
      </c>
      <c r="BM516" s="694" t="e">
        <f t="shared" ref="BM516:BM517" ca="1" si="9402">BM515-1</f>
        <v>#REF!</v>
      </c>
      <c r="BN516" s="686" t="str">
        <f ca="1">IFERROR(VLOOKUP(BM516,INDIRECT(AQ524),2,FALSE),"----")</f>
        <v>----</v>
      </c>
      <c r="BO516" s="694" t="e">
        <f t="shared" ref="BO516:BO517" ca="1" si="9403">BO515-1</f>
        <v>#REF!</v>
      </c>
      <c r="BP516" s="686" t="str">
        <f ca="1">IFERROR(VLOOKUP(BO516,INDIRECT(AQ525),2,FALSE),"----")</f>
        <v>----</v>
      </c>
      <c r="BQ516" s="694" t="e">
        <f t="shared" ref="BQ516" ca="1" si="9404">BQ515-1</f>
        <v>#REF!</v>
      </c>
      <c r="BR516" s="686" t="str">
        <f ca="1">IFERROR(VLOOKUP(BQ516,INDIRECT(AQ526),2,FALSE),"----")</f>
        <v>----</v>
      </c>
      <c r="BS516" s="695">
        <f>IF(AI516="",1,IF(COUNTIF(AX515:AX526,AI516)=0,2,1))</f>
        <v>1</v>
      </c>
      <c r="BT516" s="696">
        <f>IF(AF516="",1,IF(AX515=".",2,1))</f>
        <v>1</v>
      </c>
      <c r="BU516" s="706"/>
      <c r="BV516" s="155">
        <f ca="1">IF(COUNTIF(CJ515:CJ526,AF516)=0,IF(AF516&lt;&gt;"",0,1),1)</f>
        <v>1</v>
      </c>
      <c r="BW516" s="157">
        <f ca="1">IFERROR(MATCH(AF516,CJ515:CJ526,0),1)</f>
        <v>1</v>
      </c>
      <c r="BX516" s="769"/>
      <c r="BY516" s="769"/>
      <c r="BZ516" s="1110"/>
      <c r="CA516" s="691" t="e">
        <f t="shared" ref="CA516:CA526" ca="1" si="9405">CA515-1</f>
        <v>#REF!</v>
      </c>
      <c r="CB516" s="4" t="e" cm="1">
        <f t="array" aca="1" ref="CB516" ca="1">IF(AND(INDEX(INDIRECT(BY515),CA516,4)&gt;=$AB515,INDEX(INDIRECT(BY515),CA516,5)&gt;=$S515,INDEX(INDIRECT(BY515),CA516,6)&gt;=$R515),1,0)</f>
        <v>#REF!</v>
      </c>
      <c r="CC516" s="4" t="e">
        <f t="shared" ref="CC516" ca="1" si="9406">MATCH(1,OFFSET(CB515:CB526,CD515,0,COUNT(CB515:CB526)-CD515),0)</f>
        <v>#REF!</v>
      </c>
      <c r="CD516" s="4" t="e">
        <f t="shared" ref="CD516:CD526" ca="1" si="9407">CD515+CC516</f>
        <v>#REF!</v>
      </c>
      <c r="CE516" s="692" t="str" cm="1">
        <f t="array" aca="1" ref="CE516" ca="1">IFERROR(VLOOKUP(INDEX(CA515:CA526,CD516),INDIRECT(BY515),2,FALSE),"----")</f>
        <v>----</v>
      </c>
      <c r="CF516" s="691" t="e">
        <f t="shared" ref="CF516:CF526" ca="1" si="9408">CF515-1</f>
        <v>#N/A</v>
      </c>
      <c r="CG516" s="4" t="e">
        <f ca="1">IF(AND(INDEX(SSM,CF516,4)&gt;=$AB515,INDEX(SSM,CF516,5)&gt;=$S515,INDEX(SSM,CF516,6)&gt;=$R515),1,0)</f>
        <v>#N/A</v>
      </c>
      <c r="CH516" s="4" t="e">
        <f t="shared" ref="CH516" ca="1" si="9409">MATCH(1,OFFSET(CG515:CG526,CI515,0,COUNT(CG515:CG526)-CI515),0)</f>
        <v>#REF!</v>
      </c>
      <c r="CI516" s="4" t="e">
        <f t="shared" ref="CI516:CI526" ca="1" si="9410">CI515+CH516</f>
        <v>#REF!</v>
      </c>
      <c r="CJ516" s="692" t="str">
        <f ca="1">IFERROR(IF(AD516="Nested Steel Stud (wood infill)",VLOOKUP(INDEX(CF515:CF526,CI516),SSW,2,FALSE),VLOOKUP(INDEX(CF515:CF526,CI516),SSM,2,FALSE)),"----")</f>
        <v>----</v>
      </c>
      <c r="CK516" s="691" t="e">
        <f t="shared" ref="CK516:CK526" ca="1" si="9411">CK515-1</f>
        <v>#N/A</v>
      </c>
      <c r="CL516" s="4" t="e">
        <f ca="1">IF(AND(INDEX(WSM,CK516,4)&gt;=$AB515,INDEX(WSM,CK516,5)&gt;=$S515,INDEX(WSM,CK516,6)&gt;=$R515),1,0)</f>
        <v>#N/A</v>
      </c>
      <c r="CM516" s="4" t="e">
        <f t="shared" ref="CM516" ca="1" si="9412">MATCH(1,OFFSET(CL515:CL526,CN515,0,COUNT(CL515:CL526)-CN515),0)</f>
        <v>#REF!</v>
      </c>
      <c r="CN516" s="4" t="e">
        <f t="shared" ref="CN516:CN526" ca="1" si="9413">CM516+CN515</f>
        <v>#REF!</v>
      </c>
      <c r="CO516" s="692" t="str">
        <f ca="1">IFERROR(VLOOKUP(INDEX(CK515:CK526,CN516),WSM,2,FALSE),"----")</f>
        <v>----</v>
      </c>
      <c r="CP516" s="691" t="e">
        <f t="shared" ref="CP516:CP526" ca="1" si="9414">CP515-1</f>
        <v>#N/A</v>
      </c>
      <c r="CQ516" s="4" t="e">
        <f ca="1">IF(AND(INDEX(STM,CP516,4)&gt;=$AB515,INDEX(STM,CP516,5)&gt;=$S515,INDEX(STM,CP516,6)&gt;=$R515),1,0)</f>
        <v>#N/A</v>
      </c>
      <c r="CR516" s="4" t="e">
        <f t="shared" ref="CR516" ca="1" si="9415">MATCH(1,OFFSET(CQ515:CQ526,CS515,0,COUNT(CQ515:CQ526)-CS515),0)</f>
        <v>#REF!</v>
      </c>
      <c r="CS516" s="4" t="e">
        <f t="shared" ref="CS516:CS526" ca="1" si="9416">CR516+CS515</f>
        <v>#REF!</v>
      </c>
      <c r="CT516" s="692" t="str">
        <f ca="1">IFERROR(VLOOKUP(INDEX(CP515:CP526,CS516),STM,2,FALSE),"----")</f>
        <v>----</v>
      </c>
      <c r="CU516" s="691" t="e">
        <f t="shared" ref="CU516:CU526" ca="1" si="9417">CU515-1</f>
        <v>#N/A</v>
      </c>
      <c r="CV516" s="4" t="e">
        <f ca="1">IF(AND(INDEX(ELM,CU516,4)&gt;=$AB515,INDEX(ELM,CU516,5)&gt;=$S515,INDEX(ELM,CU516,6)&gt;=$R515),1,0)</f>
        <v>#N/A</v>
      </c>
      <c r="CW516" s="4" t="e">
        <f t="shared" ref="CW516" ca="1" si="9418">MATCH(1,OFFSET(CV515:CV526,CX515,0,COUNT(CV515:CV526)-CX515),0)</f>
        <v>#REF!</v>
      </c>
      <c r="CX516" s="4" t="e">
        <f t="shared" ref="CX516:CX526" ca="1" si="9419">CW516+CX515</f>
        <v>#REF!</v>
      </c>
      <c r="CY516" s="692" t="str">
        <f ca="1">IFERROR(VLOOKUP(INDEX(CU515:CU526,CX516),ELM,2,FALSE),"----")</f>
        <v>----</v>
      </c>
      <c r="CZ516" s="691" t="e">
        <f t="shared" ref="CZ516:CZ526" ca="1" si="9420">CZ515-1</f>
        <v>#N/A</v>
      </c>
      <c r="DA516" s="4" t="e">
        <f ca="1">IF(LEFT($J515,7)="Clad Wo",IF(AND(INDEX(SPPWS,CZ516,4)&gt;=$AB515,INDEX(SPPWS,CZ516,5)&gt;=$S515,INDEX(SPPWS,CZ516,6)&gt;=$R515),1,0),IF(AND(INDEX(SPM,CZ516,4)&gt;=$AB515,INDEX(SPM,CZ516,5)&gt;=$S515,INDEX(SPM,CZ516,6)&gt;=$R515),1,0))</f>
        <v>#N/A</v>
      </c>
      <c r="DB516" s="4" t="e">
        <f t="shared" ref="DB516" ca="1" si="9421">MATCH(1,OFFSET(DA515:DA526,DC515,0,COUNT(DA515:DA526)-DC515),0)</f>
        <v>#REF!</v>
      </c>
      <c r="DC516" s="4" t="e">
        <f t="shared" ref="DC516:DC526" ca="1" si="9422">DC515+DB516</f>
        <v>#REF!</v>
      </c>
      <c r="DD516" s="693" t="str">
        <f ca="1">IF(LEFT($J515,7)="Clad Wo",IFERROR(VLOOKUP(INDEX(CZ515:CZ526,DC516),SPPWS,2,FALSE),"----"),IFERROR(VLOOKUP(INDEX(CZ515:CZ526,DC516),SPM,2,FALSE),"----"))</f>
        <v>----</v>
      </c>
      <c r="DE516" s="691" t="e">
        <f t="shared" ref="DE516:DE526" ca="1" si="9423">DE515-1</f>
        <v>#REF!</v>
      </c>
      <c r="DF516" s="4" t="e" cm="1">
        <f t="array" aca="1" ref="DF516" ca="1">IF(AND(INDEX(INDIRECT(BY515),DE516,4)&gt;=$AB521,INDEX(INDIRECT(BY515),DE516,5)&gt;=$S515,INDEX(INDIRECT(BY515),DE516,6)&gt;=$R515),1,0)</f>
        <v>#REF!</v>
      </c>
      <c r="DG516" s="4" t="e">
        <f t="shared" ref="DG516" ca="1" si="9424">MATCH(1,OFFSET(DF515:DF526,DH515,0,COUNT(DF515:DF526)-DH515),0)</f>
        <v>#REF!</v>
      </c>
      <c r="DH516" s="4" t="e">
        <f t="shared" ref="DH516:DH526" ca="1" si="9425">DH515+DG516</f>
        <v>#REF!</v>
      </c>
      <c r="DI516" s="692" t="str" cm="1">
        <f t="array" aca="1" ref="DI516" ca="1">IFERROR(VLOOKUP(INDEX(DE515:DE526,DH516),INDIRECT(BY515),2,FALSE),"----")</f>
        <v>----</v>
      </c>
      <c r="DJ516" s="691" t="e">
        <f t="shared" ref="DJ516:DJ526" ca="1" si="9426">DJ515-1</f>
        <v>#N/A</v>
      </c>
      <c r="DK516" s="4" t="e">
        <f ca="1">IF(AND(INDEX(SSM,DJ516,4)&gt;=$AB521,INDEX(SSM,DJ516,5)&gt;=$S515,INDEX(SSM,DJ516,6)&gt;=$R515),1,0)</f>
        <v>#N/A</v>
      </c>
      <c r="DL516" s="4" t="e">
        <f t="shared" ref="DL516" ca="1" si="9427">MATCH(1,OFFSET(DK515:DK526,DM515,0,COUNT(DK515:DK526)-DM515),0)</f>
        <v>#REF!</v>
      </c>
      <c r="DM516" s="4" t="e">
        <f t="shared" ref="DM516:DM526" ca="1" si="9428">DL516+DM515</f>
        <v>#REF!</v>
      </c>
      <c r="DN516" s="692" t="str">
        <f ca="1">IFERROR(IF(AD522="Nested Steel Stud (wood infill)",VLOOKUP(INDEX(DJ515:DJ526,DM516),SSW,2,FALSE),VLOOKUP(INDEX(DJ515:DJ526,DM516),SSM,2,FALSE)),"----")</f>
        <v>----</v>
      </c>
      <c r="DO516" s="691" t="e">
        <f t="shared" ref="DO516:DO526" ca="1" si="9429">DO515-1</f>
        <v>#N/A</v>
      </c>
      <c r="DP516" s="4" t="e">
        <f ca="1">IF(AND(INDEX(WSM,DO516,4)&gt;=$AB521,INDEX(WSM,DO516,5)&gt;=$S515,INDEX(WSM,DO516,6)&gt;=$R515),1,0)</f>
        <v>#N/A</v>
      </c>
      <c r="DQ516" s="4" t="e">
        <f t="shared" ref="DQ516" ca="1" si="9430">MATCH(1,OFFSET(DP515:DP526,DR515,0,COUNT(DP515:DP526)-DR515),0)</f>
        <v>#REF!</v>
      </c>
      <c r="DR516" s="4" t="e">
        <f t="shared" ref="DR516:DR526" ca="1" si="9431">DQ516+DR515</f>
        <v>#REF!</v>
      </c>
      <c r="DS516" s="692" t="str">
        <f ca="1">IFERROR(VLOOKUP(INDEX(DO515:DO526,DR516),WSM,2,FALSE),"----")</f>
        <v>----</v>
      </c>
      <c r="DT516" s="691" t="e">
        <f t="shared" ref="DT516:DT526" ca="1" si="9432">DT515-1</f>
        <v>#N/A</v>
      </c>
      <c r="DU516" s="4" t="e">
        <f ca="1">IF(AND(INDEX(STM,DT516,4)&gt;=$AB521,INDEX(STM,DT516,5)&gt;=$S515,INDEX(STM,DT516,6)&gt;=$R515),1,0)</f>
        <v>#N/A</v>
      </c>
      <c r="DV516" s="4" t="e">
        <f t="shared" ref="DV516" ca="1" si="9433">MATCH(1,OFFSET(DU515:DU526,DW515,0,COUNT(DU515:DU526)-DW515),0)</f>
        <v>#REF!</v>
      </c>
      <c r="DW516" s="4" t="e">
        <f t="shared" ref="DW516:DW526" ca="1" si="9434">DV516+DW515</f>
        <v>#REF!</v>
      </c>
      <c r="DX516" s="692" t="str">
        <f ca="1">IFERROR(VLOOKUP(INDEX(DT515:DT526,DW516),STM,2,FALSE),"----")</f>
        <v>----</v>
      </c>
      <c r="DY516" s="691" t="e">
        <f t="shared" ref="DY516:DY526" ca="1" si="9435">DY515-1</f>
        <v>#N/A</v>
      </c>
      <c r="DZ516" s="4" t="e">
        <f ca="1">IF(AND(INDEX(ELM,DY516,4)&gt;=$AB521,INDEX(ELM,DY516,5)&gt;=$S515,INDEX(ELM,DY516,6)&gt;=$R515),1,0)</f>
        <v>#N/A</v>
      </c>
      <c r="EA516" s="4" t="e">
        <f t="shared" ref="EA516" ca="1" si="9436">MATCH(1,OFFSET(DZ515:DZ526,EB515,0,COUNT(DZ515:DZ526)-EB515),0)</f>
        <v>#REF!</v>
      </c>
      <c r="EB516" s="4" t="e">
        <f t="shared" ref="EB516:EB526" ca="1" si="9437">EA516+EB515</f>
        <v>#REF!</v>
      </c>
      <c r="EC516" s="692" t="str">
        <f ca="1">IFERROR(VLOOKUP(INDEX(DY515:DY526,EB516),ELM,2,FALSE),"----")</f>
        <v>----</v>
      </c>
      <c r="ED516" s="691" t="e">
        <f t="shared" ref="ED516:ED526" ca="1" si="9438">ED515-1</f>
        <v>#N/A</v>
      </c>
      <c r="EE516" s="4" t="e">
        <f ca="1">IF(LEFT($J515,7)="Clad Wo",IF(AND(INDEX(SPPWS,ED516,4)&gt;=$AB521,INDEX(SPPWS,ED516,5)&gt;=$S515,INDEX(SPPWS,ED516,6)&gt;=$R515),1,0),IF(AND(INDEX(SPM,ED516,4)&gt;=$AB521,INDEX(SPM,ED516,5)&gt;=$S515,INDEX(SPM,ED516,6)&gt;=$R515),1,0))</f>
        <v>#N/A</v>
      </c>
      <c r="EF516" s="4" t="e">
        <f t="shared" ref="EF516" ca="1" si="9439">MATCH(1,OFFSET(EE515:EE526,EG515,0,COUNT(EE515:EE526)-EG515),0)</f>
        <v>#REF!</v>
      </c>
      <c r="EG516" s="4" t="e">
        <f t="shared" ref="EG516:EG526" ca="1" si="9440">EG515+EF516</f>
        <v>#REF!</v>
      </c>
      <c r="EH516" s="692" t="str">
        <f ca="1">IF(LEFT($J515,7)="Clad Wo",IFERROR(VLOOKUP(INDEX(ED515:ED526,EG516),SPPWS,2,FALSE),"----"),IFERROR(VLOOKUP(INDEX(ED515:ED526,EG516),SPM,2,FALSE),"----"))</f>
        <v>----</v>
      </c>
    </row>
    <row r="517" spans="1:138" ht="15" customHeight="1" x14ac:dyDescent="0.25">
      <c r="A517" s="1085"/>
      <c r="B517" s="925"/>
      <c r="C517" s="926"/>
      <c r="D517" s="927"/>
      <c r="E517" s="995"/>
      <c r="F517" s="996"/>
      <c r="G517" s="997"/>
      <c r="H517" s="1062"/>
      <c r="I517" s="990"/>
      <c r="J517" s="908"/>
      <c r="K517" s="909"/>
      <c r="L517" s="1002"/>
      <c r="M517" s="923"/>
      <c r="N517" s="1042"/>
      <c r="O517" s="1018"/>
      <c r="P517" s="987"/>
      <c r="Q517" s="1015"/>
      <c r="R517" s="1012"/>
      <c r="S517" s="1006"/>
      <c r="T517" s="1007"/>
      <c r="U517" s="878"/>
      <c r="V517" s="881"/>
      <c r="W517" s="884"/>
      <c r="X517" s="884"/>
      <c r="Y517" s="887"/>
      <c r="Z517" s="887"/>
      <c r="AA517" s="887"/>
      <c r="AB517" s="1081"/>
      <c r="AC517" s="1078"/>
      <c r="AD517" s="1070" t="s">
        <v>333</v>
      </c>
      <c r="AE517" s="1071"/>
      <c r="AF517" s="1052"/>
      <c r="AG517" s="1053"/>
      <c r="AH517" s="1053"/>
      <c r="AI517" s="1066"/>
      <c r="AJ517" s="1067"/>
      <c r="AK517" s="154" t="str">
        <f t="shared" ca="1" si="8761"/>
        <v/>
      </c>
      <c r="AL517" s="1039"/>
      <c r="AM517" s="344" t="str">
        <f ca="1">IFERROR(Q515/12*ROUND(VLOOKUP(AF517,OFFSET(WSM,0,1),6,FALSE),2),"")</f>
        <v/>
      </c>
      <c r="AN517" t="str">
        <f t="shared" ca="1" si="8785"/>
        <v/>
      </c>
      <c r="AP517" s="122" t="str">
        <f t="shared" ref="AP517" si="9441">_xlfn.CONCAT(AR517,AS520)</f>
        <v/>
      </c>
      <c r="AQ517" s="683" t="str">
        <f t="shared" si="8985"/>
        <v/>
      </c>
      <c r="AR517" s="4" t="str">
        <f t="shared" si="8745"/>
        <v/>
      </c>
      <c r="AS517" s="4"/>
      <c r="AT517" s="697" t="str">
        <f>AL515</f>
        <v/>
      </c>
      <c r="AU517" s="694" t="e">
        <f t="shared" ca="1" si="9002"/>
        <v>#REF!</v>
      </c>
      <c r="AV517" s="686" t="str">
        <f ca="1">IFERROR(VLOOKUP(AU517,INDIRECT(AQ515),2,FALSE),"----")</f>
        <v>----</v>
      </c>
      <c r="AW517" s="694" t="e">
        <f t="shared" ca="1" si="9394"/>
        <v>#REF!</v>
      </c>
      <c r="AX517" s="686" t="str">
        <f ca="1">IFERROR(VLOOKUP(AW517,INDIRECT(AQ516),2,FALSE),"----")</f>
        <v>----</v>
      </c>
      <c r="AY517" s="694" t="e">
        <f t="shared" ca="1" si="9395"/>
        <v>#REF!</v>
      </c>
      <c r="AZ517" s="686" t="str">
        <f ca="1">IFERROR(VLOOKUP(AY517,INDIRECT(AQ517),2,FALSE),"----")</f>
        <v>----</v>
      </c>
      <c r="BA517" s="694" t="e">
        <f t="shared" ca="1" si="9396"/>
        <v>#REF!</v>
      </c>
      <c r="BB517" s="686" t="str">
        <f ca="1">IFERROR(VLOOKUP(BA517,INDIRECT(AQ518),2,FALSE),"----")</f>
        <v>----</v>
      </c>
      <c r="BC517" s="694" t="e">
        <f t="shared" ca="1" si="9397"/>
        <v>#REF!</v>
      </c>
      <c r="BD517" s="686" t="str">
        <f ca="1">IFERROR(VLOOKUP(BC517,INDIRECT(AQ519),2,FALSE),"----")</f>
        <v>----</v>
      </c>
      <c r="BE517" s="694" t="e">
        <f t="shared" ca="1" si="9007"/>
        <v>#REF!</v>
      </c>
      <c r="BF517" s="686" t="str">
        <f ca="1">IFERROR(VLOOKUP(BE517,INDIRECT(AQ520),2,FALSE),"----")</f>
        <v>----</v>
      </c>
      <c r="BG517" s="694" t="e">
        <f t="shared" ca="1" si="9008"/>
        <v>#REF!</v>
      </c>
      <c r="BH517" s="686" t="str">
        <f ca="1">IFERROR(VLOOKUP(BG517,INDIRECT(AQ521),2,FALSE),"----")</f>
        <v>----</v>
      </c>
      <c r="BI517" s="694" t="e">
        <f t="shared" ca="1" si="9400"/>
        <v>#REF!</v>
      </c>
      <c r="BJ517" s="686" t="str">
        <f ca="1">IFERROR(VLOOKUP(BI517,INDIRECT(AQ522),2,FALSE),"----")</f>
        <v>----</v>
      </c>
      <c r="BK517" s="694" t="e">
        <f t="shared" ca="1" si="9401"/>
        <v>#REF!</v>
      </c>
      <c r="BL517" s="686" t="str">
        <f ca="1">IFERROR(VLOOKUP(BK517,INDIRECT(AQ523),2,FALSE),"----")</f>
        <v>----</v>
      </c>
      <c r="BM517" s="694" t="e">
        <f t="shared" ca="1" si="9402"/>
        <v>#REF!</v>
      </c>
      <c r="BN517" s="686" t="str">
        <f ca="1">IFERROR(VLOOKUP(BM517,INDIRECT(AQ524),2,FALSE),"----")</f>
        <v>----</v>
      </c>
      <c r="BO517" s="694" t="e">
        <f t="shared" ca="1" si="9403"/>
        <v>#REF!</v>
      </c>
      <c r="BP517" s="686" t="str">
        <f ca="1">IFERROR(VLOOKUP(BO517,INDIRECT(AQ525),2,FALSE),"----")</f>
        <v>----</v>
      </c>
      <c r="BQ517" s="694" t="e">
        <f t="shared" ca="1" si="9013"/>
        <v>#REF!</v>
      </c>
      <c r="BR517" s="686" t="str">
        <f ca="1">IFERROR(VLOOKUP(BQ517,INDIRECT(AQ526),2,FALSE),"----")</f>
        <v>----</v>
      </c>
      <c r="BS517" s="695">
        <f>IF(AI517="",1,IF(COUNTIF(AZ515:AZ526,AI517)=0,2,1))</f>
        <v>1</v>
      </c>
      <c r="BT517" s="696">
        <f>IF(AF517="",1,IF(AZ515=".",2,1))</f>
        <v>1</v>
      </c>
      <c r="BU517" s="706"/>
      <c r="BV517" s="155">
        <f ca="1">IF(COUNTIF(CO515:CO526,AF517)=0,IF(AF517&lt;&gt;"",0,1),1)</f>
        <v>1</v>
      </c>
      <c r="BW517" s="157">
        <f ca="1">IFERROR(MATCH(AF517,CO515:CO526,0),1)</f>
        <v>1</v>
      </c>
      <c r="BX517" s="769"/>
      <c r="BY517" s="769"/>
      <c r="BZ517" s="1110"/>
      <c r="CA517" s="691" t="e">
        <f t="shared" ca="1" si="9405"/>
        <v>#REF!</v>
      </c>
      <c r="CB517" s="4" t="e" cm="1">
        <f t="array" aca="1" ref="CB517" ca="1">IF(AND(INDEX(INDIRECT(BY515),CA517,4)&gt;=$AB515,INDEX(INDIRECT(BY515),CA517,5)&gt;=$S515,INDEX(INDIRECT(BY515),CA517,6)&gt;=$R515),1,0)</f>
        <v>#REF!</v>
      </c>
      <c r="CC517" s="4" t="e">
        <f t="shared" ref="CC517" ca="1" si="9442">MATCH(1,OFFSET(CB515:CB526,CD516,0,COUNT(CB515:CB526)-CD516),0)</f>
        <v>#REF!</v>
      </c>
      <c r="CD517" s="4" t="e">
        <f t="shared" ca="1" si="9407"/>
        <v>#REF!</v>
      </c>
      <c r="CE517" s="692" t="str" cm="1">
        <f t="array" aca="1" ref="CE517" ca="1">IFERROR(VLOOKUP(INDEX(CA515:CA526,CD517),INDIRECT(BY515),2,FALSE),"----")</f>
        <v>----</v>
      </c>
      <c r="CF517" s="691" t="e">
        <f t="shared" ca="1" si="9408"/>
        <v>#N/A</v>
      </c>
      <c r="CG517" s="4" t="e">
        <f ca="1">IF(AND(INDEX(SSM,CF517,4)&gt;=$AB515,INDEX(SSM,CF517,5)&gt;=$S515,INDEX(SSM,CF517,6)&gt;=$R515),1,0)</f>
        <v>#N/A</v>
      </c>
      <c r="CH517" s="4" t="e">
        <f t="shared" ref="CH517" ca="1" si="9443">MATCH(1,OFFSET(CG515:CG526,CI516,0,COUNT(CG515:CG526)-CI516),0)</f>
        <v>#REF!</v>
      </c>
      <c r="CI517" s="4" t="e">
        <f t="shared" ca="1" si="9410"/>
        <v>#REF!</v>
      </c>
      <c r="CJ517" s="692" t="str">
        <f ca="1">IFERROR(IF(AD516="Nested Steel Stud (wood infill)",VLOOKUP(INDEX(CF515:CF526,CI517),SSW,2,FALSE),VLOOKUP(INDEX(CF515:CF526,CI517),SSM,2,FALSE)),"----")</f>
        <v>----</v>
      </c>
      <c r="CK517" s="691" t="e">
        <f t="shared" ca="1" si="9411"/>
        <v>#N/A</v>
      </c>
      <c r="CL517" s="4" t="e">
        <f ca="1">IF(AND(INDEX(WSM,CK517,4)&gt;=$AB515,INDEX(WSM,CK517,5)&gt;=$S515,INDEX(WSM,CK517,6)&gt;=$R515),1,0)</f>
        <v>#N/A</v>
      </c>
      <c r="CM517" s="4" t="e">
        <f t="shared" ref="CM517" ca="1" si="9444">MATCH(1,OFFSET(CL515:CL526,CN516,0,COUNT(CL515:CL526)-CN516),0)</f>
        <v>#REF!</v>
      </c>
      <c r="CN517" s="4" t="e">
        <f t="shared" ca="1" si="9413"/>
        <v>#REF!</v>
      </c>
      <c r="CO517" s="692" t="str">
        <f ca="1">IFERROR(VLOOKUP(INDEX(CK515:CK526,CN517),WSM,2,FALSE),"----")</f>
        <v>----</v>
      </c>
      <c r="CP517" s="691" t="e">
        <f t="shared" ca="1" si="9414"/>
        <v>#N/A</v>
      </c>
      <c r="CQ517" s="4" t="e">
        <f ca="1">IF(AND(INDEX(STM,CP517,4)&gt;=$AB515,INDEX(STM,CP517,5)&gt;=$S515,INDEX(STM,CP517,6)&gt;=$R515),1,0)</f>
        <v>#N/A</v>
      </c>
      <c r="CR517" s="4" t="e">
        <f t="shared" ref="CR517" ca="1" si="9445">MATCH(1,OFFSET(CQ515:CQ526,CS516,0,COUNT(CQ515:CQ526)-CS516),0)</f>
        <v>#REF!</v>
      </c>
      <c r="CS517" s="4" t="e">
        <f t="shared" ca="1" si="9416"/>
        <v>#REF!</v>
      </c>
      <c r="CT517" s="692" t="str">
        <f ca="1">IFERROR(VLOOKUP(INDEX(CP515:CP526,CS517),STM,2,FALSE),"----")</f>
        <v>----</v>
      </c>
      <c r="CU517" s="691" t="e">
        <f t="shared" ca="1" si="9417"/>
        <v>#N/A</v>
      </c>
      <c r="CV517" s="4" t="e">
        <f ca="1">IF(AND(INDEX(ELM,CU517,4)&gt;=$AB515,INDEX(ELM,CU517,5)&gt;=$S515,INDEX(ELM,CU517,6)&gt;=$R515),1,0)</f>
        <v>#N/A</v>
      </c>
      <c r="CW517" s="4" t="e">
        <f t="shared" ref="CW517" ca="1" si="9446">MATCH(1,OFFSET(CV515:CV526,CX516,0,COUNT(CV515:CV526)-CX516),0)</f>
        <v>#REF!</v>
      </c>
      <c r="CX517" s="4" t="e">
        <f t="shared" ca="1" si="9419"/>
        <v>#REF!</v>
      </c>
      <c r="CY517" s="692" t="str">
        <f ca="1">IFERROR(VLOOKUP(INDEX(CU515:CU526,CX517),ELM,2,FALSE),"----")</f>
        <v>----</v>
      </c>
      <c r="CZ517" s="691" t="e">
        <f t="shared" ca="1" si="9420"/>
        <v>#N/A</v>
      </c>
      <c r="DA517" s="4" t="e">
        <f ca="1">IF(LEFT($J515,7)="Clad Wo",IF(AND(INDEX(SPPWS,CZ517,4)&gt;=$AB515,INDEX(SPPWS,CZ517,5)&gt;=$S515,INDEX(SPPWS,CZ517,6)&gt;=$R515),1,0),IF(AND(INDEX(SPM,CZ517,4)&gt;=$AB515,INDEX(SPM,CZ517,5)&gt;=$S515,INDEX(SPM,CZ517,6)&gt;=$R515),1,0))</f>
        <v>#N/A</v>
      </c>
      <c r="DB517" s="4" t="e">
        <f t="shared" ref="DB517" ca="1" si="9447">MATCH(1,OFFSET(DA515:DA526,DC516,0,COUNT(DA515:DA526)-DC516),0)</f>
        <v>#REF!</v>
      </c>
      <c r="DC517" s="4" t="e">
        <f t="shared" ca="1" si="9422"/>
        <v>#REF!</v>
      </c>
      <c r="DD517" s="693" t="str">
        <f ca="1">IF(LEFT($J515,7)="Clad Wo",IFERROR(VLOOKUP(INDEX(CZ515:CZ526,DC517),SPPWS,2,FALSE),"----"),IFERROR(VLOOKUP(INDEX(CZ515:CZ526,DC517),SPM,2,FALSE),"----"))</f>
        <v>----</v>
      </c>
      <c r="DE517" s="691" t="e">
        <f t="shared" ca="1" si="9423"/>
        <v>#REF!</v>
      </c>
      <c r="DF517" s="4" t="e" cm="1">
        <f t="array" aca="1" ref="DF517" ca="1">IF(AND(INDEX(INDIRECT(BY515),DE517,4)&gt;=$AB521,INDEX(INDIRECT(BY515),DE517,5)&gt;=$S515,INDEX(INDIRECT(BY515),DE517,6)&gt;=$R515),1,0)</f>
        <v>#REF!</v>
      </c>
      <c r="DG517" s="4" t="e">
        <f t="shared" ref="DG517" ca="1" si="9448">MATCH(1,OFFSET(DF515:DF526,DH516,0,COUNT(DF515:DF526)-DH516),0)</f>
        <v>#REF!</v>
      </c>
      <c r="DH517" s="4" t="e">
        <f t="shared" ca="1" si="9425"/>
        <v>#REF!</v>
      </c>
      <c r="DI517" s="692" t="str" cm="1">
        <f t="array" aca="1" ref="DI517" ca="1">IFERROR(VLOOKUP(INDEX(DE515:DE526,DH517),INDIRECT(BY515),2,FALSE),"----")</f>
        <v>----</v>
      </c>
      <c r="DJ517" s="691" t="e">
        <f t="shared" ca="1" si="9426"/>
        <v>#N/A</v>
      </c>
      <c r="DK517" s="4" t="e">
        <f ca="1">IF(AND(INDEX(SSM,DJ517,4)&gt;=$AB521,INDEX(SSM,DJ517,5)&gt;=$S515,INDEX(SSM,DJ517,6)&gt;=$R515),1,0)</f>
        <v>#N/A</v>
      </c>
      <c r="DL517" s="4" t="e">
        <f t="shared" ref="DL517" ca="1" si="9449">MATCH(1,OFFSET(DK515:DK526,DM516,0,COUNT(DK515:DK526)-DM516),0)</f>
        <v>#REF!</v>
      </c>
      <c r="DM517" s="4" t="e">
        <f t="shared" ca="1" si="9428"/>
        <v>#REF!</v>
      </c>
      <c r="DN517" s="692" t="str">
        <f ca="1">IFERROR(IF(AD522="Nested Steel Stud (wood infill)",VLOOKUP(INDEX(DJ515:DJ526,DM517),SSW,2,FALSE),VLOOKUP(INDEX(DJ515:DJ526,DM517),SSM,2,FALSE)),"----")</f>
        <v>----</v>
      </c>
      <c r="DO517" s="691" t="e">
        <f t="shared" ca="1" si="9429"/>
        <v>#N/A</v>
      </c>
      <c r="DP517" s="4" t="e">
        <f ca="1">IF(AND(INDEX(WSM,DO517,4)&gt;=$AB521,INDEX(WSM,DO517,5)&gt;=$S515,INDEX(WSM,DO517,6)&gt;=$R515),1,0)</f>
        <v>#N/A</v>
      </c>
      <c r="DQ517" s="4" t="e">
        <f t="shared" ref="DQ517" ca="1" si="9450">MATCH(1,OFFSET(DP515:DP526,DR516,0,COUNT(DP515:DP526)-DR516),0)</f>
        <v>#REF!</v>
      </c>
      <c r="DR517" s="4" t="e">
        <f t="shared" ca="1" si="9431"/>
        <v>#REF!</v>
      </c>
      <c r="DS517" s="692" t="str">
        <f ca="1">IFERROR(VLOOKUP(INDEX(DO515:DO526,DR517),WSM,2,FALSE),"----")</f>
        <v>----</v>
      </c>
      <c r="DT517" s="691" t="e">
        <f t="shared" ca="1" si="9432"/>
        <v>#N/A</v>
      </c>
      <c r="DU517" s="4" t="e">
        <f ca="1">IF(AND(INDEX(STM,DT517,4)&gt;=$AB521,INDEX(STM,DT517,5)&gt;=$S515,INDEX(STM,DT517,6)&gt;=$R515),1,0)</f>
        <v>#N/A</v>
      </c>
      <c r="DV517" s="4" t="e">
        <f t="shared" ref="DV517" ca="1" si="9451">MATCH(1,OFFSET(DU515:DU526,DW516,0,COUNT(DU515:DU526)-DW516),0)</f>
        <v>#REF!</v>
      </c>
      <c r="DW517" s="4" t="e">
        <f t="shared" ca="1" si="9434"/>
        <v>#REF!</v>
      </c>
      <c r="DX517" s="692" t="str">
        <f ca="1">IFERROR(VLOOKUP(INDEX(DT515:DT526,DW517),STM,2,FALSE),"----")</f>
        <v>----</v>
      </c>
      <c r="DY517" s="691" t="e">
        <f t="shared" ca="1" si="9435"/>
        <v>#N/A</v>
      </c>
      <c r="DZ517" s="4" t="e">
        <f ca="1">IF(AND(INDEX(ELM,DY517,4)&gt;=$AB521,INDEX(ELM,DY517,5)&gt;=$S515,INDEX(ELM,DY517,6)&gt;=$R515),1,0)</f>
        <v>#N/A</v>
      </c>
      <c r="EA517" s="4" t="e">
        <f t="shared" ref="EA517" ca="1" si="9452">MATCH(1,OFFSET(DZ515:DZ526,EB516,0,COUNT(DZ515:DZ526)-EB516),0)</f>
        <v>#REF!</v>
      </c>
      <c r="EB517" s="4" t="e">
        <f t="shared" ca="1" si="9437"/>
        <v>#REF!</v>
      </c>
      <c r="EC517" s="692" t="str">
        <f ca="1">IFERROR(VLOOKUP(INDEX(DY515:DY526,EB517),ELM,2,FALSE),"----")</f>
        <v>----</v>
      </c>
      <c r="ED517" s="691" t="e">
        <f t="shared" ca="1" si="9438"/>
        <v>#N/A</v>
      </c>
      <c r="EE517" s="4" t="e">
        <f ca="1">IF(LEFT($J515,7)="Clad Wo",IF(AND(INDEX(SPPWS,ED517,4)&gt;=$AB521,INDEX(SPPWS,ED517,5)&gt;=$S515,INDEX(SPPWS,ED517,6)&gt;=$R515),1,0),IF(AND(INDEX(SPM,ED517,4)&gt;=$AB521,INDEX(SPM,ED517,5)&gt;=$S515,INDEX(SPM,ED517,6)&gt;=$R515),1,0))</f>
        <v>#N/A</v>
      </c>
      <c r="EF517" s="4" t="e">
        <f t="shared" ref="EF517" ca="1" si="9453">MATCH(1,OFFSET(EE515:EE526,EG516,0,COUNT(EE515:EE526)-EG516),0)</f>
        <v>#REF!</v>
      </c>
      <c r="EG517" s="4" t="e">
        <f t="shared" ca="1" si="9440"/>
        <v>#REF!</v>
      </c>
      <c r="EH517" s="692" t="str">
        <f ca="1">IF(LEFT($J515,7)="Clad Wo",IFERROR(VLOOKUP(INDEX(ED515:ED526,EG517),SPPWS,2,FALSE),"----"),IFERROR(VLOOKUP(INDEX(ED515:ED526,EG517),SPM,2,FALSE),"----"))</f>
        <v>----</v>
      </c>
    </row>
    <row r="518" spans="1:138" ht="15" customHeight="1" x14ac:dyDescent="0.25">
      <c r="A518" s="1085"/>
      <c r="B518" s="925"/>
      <c r="C518" s="926"/>
      <c r="D518" s="927"/>
      <c r="E518" s="995"/>
      <c r="F518" s="996"/>
      <c r="G518" s="997"/>
      <c r="H518" s="1062"/>
      <c r="I518" s="990"/>
      <c r="J518" s="908"/>
      <c r="K518" s="909"/>
      <c r="L518" s="1002"/>
      <c r="M518" s="923"/>
      <c r="N518" s="1042"/>
      <c r="O518" s="1018"/>
      <c r="P518" s="987"/>
      <c r="Q518" s="1015"/>
      <c r="R518" s="1012"/>
      <c r="S518" s="1006"/>
      <c r="T518" s="1007"/>
      <c r="U518" s="878"/>
      <c r="V518" s="881"/>
      <c r="W518" s="884"/>
      <c r="X518" s="884"/>
      <c r="Y518" s="887"/>
      <c r="Z518" s="887"/>
      <c r="AA518" s="887"/>
      <c r="AB518" s="1081"/>
      <c r="AC518" s="1078"/>
      <c r="AD518" s="1070" t="s">
        <v>37</v>
      </c>
      <c r="AE518" s="1071"/>
      <c r="AF518" s="1052"/>
      <c r="AG518" s="1053"/>
      <c r="AH518" s="1053"/>
      <c r="AI518" s="1066"/>
      <c r="AJ518" s="1067"/>
      <c r="AK518" s="156" t="str">
        <f t="shared" ca="1" si="8761"/>
        <v/>
      </c>
      <c r="AL518" s="1039"/>
      <c r="AM518" s="343" t="str">
        <f ca="1">IFERROR(Q515/12*ROUND(VLOOKUP(AF518,OFFSET(STM,0,1),6,FALSE),2),"")</f>
        <v/>
      </c>
      <c r="AN518" t="str">
        <f t="shared" ca="1" si="8785"/>
        <v/>
      </c>
      <c r="AP518" s="122" t="str">
        <f t="shared" ref="AP518" si="9454">_xlfn.CONCAT(AR518,AS520)</f>
        <v/>
      </c>
      <c r="AQ518" s="683" t="str">
        <f t="shared" si="8985"/>
        <v/>
      </c>
      <c r="AR518" s="4" t="str">
        <f t="shared" si="8745"/>
        <v/>
      </c>
      <c r="AS518" s="4"/>
      <c r="AT518" s="697" t="str">
        <f>AL515</f>
        <v/>
      </c>
      <c r="AU518" s="694" t="e">
        <f t="shared" ca="1" si="9002"/>
        <v>#REF!</v>
      </c>
      <c r="AV518" s="686" t="str">
        <f ca="1">IFERROR(VLOOKUP(AU518,INDIRECT(AQ515),2,FALSE),"----")</f>
        <v>----</v>
      </c>
      <c r="AW518" s="694" t="e">
        <f t="shared" ca="1" si="9003"/>
        <v>#REF!</v>
      </c>
      <c r="AX518" s="686" t="str">
        <f ca="1">IFERROR(VLOOKUP(AW518,INDIRECT(AQ516),2,FALSE),"----")</f>
        <v>----</v>
      </c>
      <c r="AY518" s="694" t="e">
        <f t="shared" ref="AY518" ca="1" si="9455">AY517-1</f>
        <v>#REF!</v>
      </c>
      <c r="AZ518" s="686" t="str">
        <f ca="1">IFERROR(VLOOKUP(AY518,INDIRECT(AQ517),2,FALSE),"----")</f>
        <v>----</v>
      </c>
      <c r="BA518" s="694" t="e">
        <f t="shared" ref="BA518" ca="1" si="9456">BA517-1</f>
        <v>#REF!</v>
      </c>
      <c r="BB518" s="686" t="str">
        <f ca="1">IFERROR(VLOOKUP(BA518,INDIRECT(AQ518),2,FALSE),"----")</f>
        <v>----</v>
      </c>
      <c r="BC518" s="694" t="e">
        <f t="shared" ca="1" si="9006"/>
        <v>#REF!</v>
      </c>
      <c r="BD518" s="686" t="str">
        <f ca="1">IFERROR(VLOOKUP(BC518,INDIRECT(AQ519),2,FALSE),"----")</f>
        <v>----</v>
      </c>
      <c r="BE518" s="694" t="e">
        <f t="shared" ca="1" si="9007"/>
        <v>#REF!</v>
      </c>
      <c r="BF518" s="686" t="str">
        <f ca="1">IFERROR(VLOOKUP(BE518,INDIRECT(AQ520),2,FALSE),"----")</f>
        <v>----</v>
      </c>
      <c r="BG518" s="694" t="e">
        <f t="shared" ca="1" si="9008"/>
        <v>#REF!</v>
      </c>
      <c r="BH518" s="686" t="str">
        <f ca="1">IFERROR(VLOOKUP(BG518,INDIRECT(AQ521),2,FALSE),"----")</f>
        <v>----</v>
      </c>
      <c r="BI518" s="694" t="e">
        <f t="shared" ca="1" si="9009"/>
        <v>#REF!</v>
      </c>
      <c r="BJ518" s="686" t="str">
        <f ca="1">IFERROR(VLOOKUP(BI518,INDIRECT(AQ522),2,FALSE),"----")</f>
        <v>----</v>
      </c>
      <c r="BK518" s="694" t="e">
        <f t="shared" ca="1" si="9010"/>
        <v>#REF!</v>
      </c>
      <c r="BL518" s="686" t="str">
        <f ca="1">IFERROR(VLOOKUP(BK518,INDIRECT(AQ523),2,FALSE),"----")</f>
        <v>----</v>
      </c>
      <c r="BM518" s="694" t="e">
        <f t="shared" ca="1" si="9011"/>
        <v>#REF!</v>
      </c>
      <c r="BN518" s="686" t="str">
        <f ca="1">IFERROR(VLOOKUP(BM518,INDIRECT(AQ524),2,FALSE),"----")</f>
        <v>----</v>
      </c>
      <c r="BO518" s="694" t="e">
        <f t="shared" ca="1" si="9012"/>
        <v>#REF!</v>
      </c>
      <c r="BP518" s="686" t="str">
        <f ca="1">IFERROR(VLOOKUP(BO518,INDIRECT(AQ525),2,FALSE),"----")</f>
        <v>----</v>
      </c>
      <c r="BQ518" s="694" t="e">
        <f t="shared" ca="1" si="9013"/>
        <v>#REF!</v>
      </c>
      <c r="BR518" s="686" t="str">
        <f ca="1">IFERROR(VLOOKUP(BQ518,INDIRECT(AQ526),2,FALSE),"----")</f>
        <v>----</v>
      </c>
      <c r="BS518" s="695">
        <f>IF(AI518="",1,IF(COUNTIF(BB515:BB526,AI518)=0,2,1))</f>
        <v>1</v>
      </c>
      <c r="BT518" s="696">
        <f>IF(AF518="",1,IF(BB515=".",2,1))</f>
        <v>1</v>
      </c>
      <c r="BU518" s="706"/>
      <c r="BV518" s="155">
        <f ca="1">IF(COUNTIF(CT515:CT526,AF518)=0,IF(AF518&lt;&gt;"",0,1),1)</f>
        <v>1</v>
      </c>
      <c r="BW518" s="157">
        <f ca="1">IFERROR(MATCH(AF518,CT515:CT526,0),1)</f>
        <v>1</v>
      </c>
      <c r="BX518" s="769"/>
      <c r="BY518" s="769"/>
      <c r="BZ518" s="1110"/>
      <c r="CA518" s="691" t="e">
        <f t="shared" ca="1" si="9405"/>
        <v>#REF!</v>
      </c>
      <c r="CB518" s="4" t="e" cm="1">
        <f t="array" aca="1" ref="CB518" ca="1">IF(AND(INDEX(INDIRECT(BY515),CA518,4)&gt;=$AB515,INDEX(INDIRECT(BY515),CA518,5)&gt;=$S515,INDEX(INDIRECT(BY515),CA518,6)&gt;=$R515),1,0)</f>
        <v>#REF!</v>
      </c>
      <c r="CC518" s="4" t="e">
        <f t="shared" ref="CC518" ca="1" si="9457">MATCH(1,OFFSET(CB515:CB526,CD517,0,COUNT(CB515:CB526)-CD517),0)</f>
        <v>#REF!</v>
      </c>
      <c r="CD518" s="4" t="e">
        <f t="shared" ca="1" si="9407"/>
        <v>#REF!</v>
      </c>
      <c r="CE518" s="692" t="str" cm="1">
        <f t="array" aca="1" ref="CE518" ca="1">IFERROR(VLOOKUP(INDEX(CA515:CA526,CD518),INDIRECT(BY515),2,FALSE),"----")</f>
        <v>----</v>
      </c>
      <c r="CF518" s="691" t="e">
        <f t="shared" ca="1" si="9408"/>
        <v>#N/A</v>
      </c>
      <c r="CG518" s="4" t="e">
        <f ca="1">IF(AND(INDEX(SSM,CF518,4)&gt;=$AB515,INDEX(SSM,CF518,5)&gt;=$S515,INDEX(SSM,CF518,6)&gt;=$R515),1,0)</f>
        <v>#N/A</v>
      </c>
      <c r="CH518" s="4" t="e">
        <f t="shared" ref="CH518" ca="1" si="9458">MATCH(1,OFFSET(CG515:CG526,CI517,0,COUNT(CG515:CG526)-CI517),0)</f>
        <v>#REF!</v>
      </c>
      <c r="CI518" s="4" t="e">
        <f t="shared" ca="1" si="9410"/>
        <v>#REF!</v>
      </c>
      <c r="CJ518" s="692" t="str">
        <f ca="1">IFERROR(IF(AD516="Nested Steel Stud (wood infill)",VLOOKUP(INDEX(CF515:CF526,CI518),SSW,2,FALSE),VLOOKUP(INDEX(CF515:CF526,CI518),SSM,2,FALSE)),"----")</f>
        <v>----</v>
      </c>
      <c r="CK518" s="691" t="e">
        <f t="shared" ca="1" si="9411"/>
        <v>#N/A</v>
      </c>
      <c r="CL518" s="4" t="e">
        <f ca="1">IF(AND(INDEX(WSM,CK518,4)&gt;=$AB515,INDEX(WSM,CK518,5)&gt;=$S515,INDEX(WSM,CK518,6)&gt;=$R515),1,0)</f>
        <v>#N/A</v>
      </c>
      <c r="CM518" s="4" t="e">
        <f t="shared" ref="CM518" ca="1" si="9459">MATCH(1,OFFSET(CL515:CL526,CN517,0,COUNT(CL515:CL526)-CN517),0)</f>
        <v>#REF!</v>
      </c>
      <c r="CN518" s="4" t="e">
        <f t="shared" ca="1" si="9413"/>
        <v>#REF!</v>
      </c>
      <c r="CO518" s="692" t="str">
        <f ca="1">IFERROR(VLOOKUP(INDEX(CK515:CK526,CN518),WSM,2,FALSE),"----")</f>
        <v>----</v>
      </c>
      <c r="CP518" s="691" t="e">
        <f t="shared" ca="1" si="9414"/>
        <v>#N/A</v>
      </c>
      <c r="CQ518" s="4" t="e">
        <f ca="1">IF(AND(INDEX(STM,CP518,4)&gt;=$AB515,INDEX(STM,CP518,5)&gt;=$S515,INDEX(STM,CP518,6)&gt;=$R515),1,0)</f>
        <v>#N/A</v>
      </c>
      <c r="CR518" s="4" t="e">
        <f t="shared" ref="CR518" ca="1" si="9460">MATCH(1,OFFSET(CQ515:CQ526,CS517,0,COUNT(CQ515:CQ526)-CS517),0)</f>
        <v>#REF!</v>
      </c>
      <c r="CS518" s="4" t="e">
        <f t="shared" ca="1" si="9416"/>
        <v>#REF!</v>
      </c>
      <c r="CT518" s="692" t="str">
        <f ca="1">IFERROR(VLOOKUP(INDEX(CP515:CP526,CS518),STM,2,FALSE),"----")</f>
        <v>----</v>
      </c>
      <c r="CU518" s="691" t="e">
        <f t="shared" ca="1" si="9417"/>
        <v>#N/A</v>
      </c>
      <c r="CV518" s="4" t="e">
        <f ca="1">IF(AND(INDEX(ELM,CU518,4)&gt;=$AB515,INDEX(ELM,CU518,5)&gt;=$S515,INDEX(ELM,CU518,6)&gt;=$R515),1,0)</f>
        <v>#N/A</v>
      </c>
      <c r="CW518" s="4" t="e">
        <f t="shared" ref="CW518" ca="1" si="9461">MATCH(1,OFFSET(CV515:CV526,CX517,0,COUNT(CV515:CV526)-CX517),0)</f>
        <v>#REF!</v>
      </c>
      <c r="CX518" s="4" t="e">
        <f t="shared" ca="1" si="9419"/>
        <v>#REF!</v>
      </c>
      <c r="CY518" s="692" t="str">
        <f ca="1">IFERROR(VLOOKUP(INDEX(CU515:CU526,CX518),ELM,2,FALSE),"----")</f>
        <v>----</v>
      </c>
      <c r="CZ518" s="691" t="e">
        <f t="shared" ca="1" si="9420"/>
        <v>#N/A</v>
      </c>
      <c r="DA518" s="4" t="e">
        <f ca="1">IF(LEFT($J515,7)="Clad Wo",IF(AND(INDEX(SPPWS,CZ518,4)&gt;=$AB515,INDEX(SPPWS,CZ518,5)&gt;=$S515,INDEX(SPPWS,CZ518,6)&gt;=$R515),1,0),IF(AND(INDEX(SPM,CZ518,4)&gt;=$AB515,INDEX(SPM,CZ518,5)&gt;=$S515,INDEX(SPM,CZ518,6)&gt;=$R515),1,0))</f>
        <v>#N/A</v>
      </c>
      <c r="DB518" s="4" t="e">
        <f t="shared" ref="DB518" ca="1" si="9462">MATCH(1,OFFSET(DA515:DA526,DC517,0,COUNT(DA515:DA526)-DC517),0)</f>
        <v>#REF!</v>
      </c>
      <c r="DC518" s="4" t="e">
        <f t="shared" ca="1" si="9422"/>
        <v>#REF!</v>
      </c>
      <c r="DD518" s="693" t="str">
        <f ca="1">IF(LEFT($J515,7)="Clad Wo",IFERROR(VLOOKUP(INDEX(CZ515:CZ526,DC518),SPPWS,2,FALSE),"----"),IFERROR(VLOOKUP(INDEX(CZ515:CZ526,DC518),SPM,2,FALSE),"----"))</f>
        <v>----</v>
      </c>
      <c r="DE518" s="691" t="e">
        <f t="shared" ca="1" si="9423"/>
        <v>#REF!</v>
      </c>
      <c r="DF518" s="4" t="e" cm="1">
        <f t="array" aca="1" ref="DF518" ca="1">IF(AND(INDEX(INDIRECT(BY515),DE518,4)&gt;=$AB521,INDEX(INDIRECT(BY515),DE518,5)&gt;=$S515,INDEX(INDIRECT(BY515),DE518,6)&gt;=$R515),1,0)</f>
        <v>#REF!</v>
      </c>
      <c r="DG518" s="4" t="e">
        <f t="shared" ref="DG518" ca="1" si="9463">MATCH(1,OFFSET(DF515:DF526,DH517,0,COUNT(DF515:DF526)-DH517),0)</f>
        <v>#REF!</v>
      </c>
      <c r="DH518" s="4" t="e">
        <f t="shared" ca="1" si="9425"/>
        <v>#REF!</v>
      </c>
      <c r="DI518" s="692" t="str" cm="1">
        <f t="array" aca="1" ref="DI518" ca="1">IFERROR(VLOOKUP(INDEX(DE515:DE526,DH518),INDIRECT(BY515),2,FALSE),"----")</f>
        <v>----</v>
      </c>
      <c r="DJ518" s="691" t="e">
        <f t="shared" ca="1" si="9426"/>
        <v>#N/A</v>
      </c>
      <c r="DK518" s="4" t="e">
        <f ca="1">IF(AND(INDEX(SSM,DJ518,4)&gt;=$AB521,INDEX(SSM,DJ518,5)&gt;=$S515,INDEX(SSM,DJ518,6)&gt;=$R515),1,0)</f>
        <v>#N/A</v>
      </c>
      <c r="DL518" s="4" t="e">
        <f t="shared" ref="DL518" ca="1" si="9464">MATCH(1,OFFSET(DK515:DK526,DM517,0,COUNT(DK515:DK526)-DM517),0)</f>
        <v>#REF!</v>
      </c>
      <c r="DM518" s="4" t="e">
        <f t="shared" ca="1" si="9428"/>
        <v>#REF!</v>
      </c>
      <c r="DN518" s="692" t="str">
        <f ca="1">IFERROR(IF(AD522="Nested Steel Stud (wood infill)",VLOOKUP(INDEX(DJ515:DJ526,DM518),SSW,2,FALSE),VLOOKUP(INDEX(DJ515:DJ526,DM518),SSM,2,FALSE)),"----")</f>
        <v>----</v>
      </c>
      <c r="DO518" s="691" t="e">
        <f t="shared" ca="1" si="9429"/>
        <v>#N/A</v>
      </c>
      <c r="DP518" s="4" t="e">
        <f ca="1">IF(AND(INDEX(WSM,DO518,4)&gt;=$AB521,INDEX(WSM,DO518,5)&gt;=$S515,INDEX(WSM,DO518,6)&gt;=$R515),1,0)</f>
        <v>#N/A</v>
      </c>
      <c r="DQ518" s="4" t="e">
        <f t="shared" ref="DQ518" ca="1" si="9465">MATCH(1,OFFSET(DP515:DP526,DR517,0,COUNT(DP515:DP526)-DR517),0)</f>
        <v>#REF!</v>
      </c>
      <c r="DR518" s="4" t="e">
        <f t="shared" ca="1" si="9431"/>
        <v>#REF!</v>
      </c>
      <c r="DS518" s="692" t="str">
        <f ca="1">IFERROR(VLOOKUP(INDEX(DO515:DO526,DR518),WSM,2,FALSE),"----")</f>
        <v>----</v>
      </c>
      <c r="DT518" s="691" t="e">
        <f t="shared" ca="1" si="9432"/>
        <v>#N/A</v>
      </c>
      <c r="DU518" s="4" t="e">
        <f ca="1">IF(AND(INDEX(STM,DT518,4)&gt;=$AB521,INDEX(STM,DT518,5)&gt;=$S515,INDEX(STM,DT518,6)&gt;=$R515),1,0)</f>
        <v>#N/A</v>
      </c>
      <c r="DV518" s="4" t="e">
        <f t="shared" ref="DV518" ca="1" si="9466">MATCH(1,OFFSET(DU515:DU526,DW517,0,COUNT(DU515:DU526)-DW517),0)</f>
        <v>#REF!</v>
      </c>
      <c r="DW518" s="4" t="e">
        <f t="shared" ca="1" si="9434"/>
        <v>#REF!</v>
      </c>
      <c r="DX518" s="692" t="str">
        <f ca="1">IFERROR(VLOOKUP(INDEX(DT515:DT526,DW518),STM,2,FALSE),"----")</f>
        <v>----</v>
      </c>
      <c r="DY518" s="691" t="e">
        <f t="shared" ca="1" si="9435"/>
        <v>#N/A</v>
      </c>
      <c r="DZ518" s="4" t="e">
        <f ca="1">IF(AND(INDEX(ELM,DY518,4)&gt;=$AB521,INDEX(ELM,DY518,5)&gt;=$S515,INDEX(ELM,DY518,6)&gt;=$R515),1,0)</f>
        <v>#N/A</v>
      </c>
      <c r="EA518" s="4" t="e">
        <f t="shared" ref="EA518" ca="1" si="9467">MATCH(1,OFFSET(DZ515:DZ526,EB517,0,COUNT(DZ515:DZ526)-EB517),0)</f>
        <v>#REF!</v>
      </c>
      <c r="EB518" s="4" t="e">
        <f t="shared" ca="1" si="9437"/>
        <v>#REF!</v>
      </c>
      <c r="EC518" s="692" t="str">
        <f ca="1">IFERROR(VLOOKUP(INDEX(DY515:DY526,EB518),ELM,2,FALSE),"----")</f>
        <v>----</v>
      </c>
      <c r="ED518" s="691" t="e">
        <f t="shared" ca="1" si="9438"/>
        <v>#N/A</v>
      </c>
      <c r="EE518" s="4" t="e">
        <f ca="1">IF(LEFT($J515,7)="Clad Wo",IF(AND(INDEX(SPPWS,ED518,4)&gt;=$AB521,INDEX(SPPWS,ED518,5)&gt;=$S515,INDEX(SPPWS,ED518,6)&gt;=$R515),1,0),IF(AND(INDEX(SPM,ED518,4)&gt;=$AB521,INDEX(SPM,ED518,5)&gt;=$S515,INDEX(SPM,ED518,6)&gt;=$R515),1,0))</f>
        <v>#N/A</v>
      </c>
      <c r="EF518" s="4" t="e">
        <f t="shared" ref="EF518" ca="1" si="9468">MATCH(1,OFFSET(EE515:EE526,EG517,0,COUNT(EE515:EE526)-EG517),0)</f>
        <v>#REF!</v>
      </c>
      <c r="EG518" s="4" t="e">
        <f t="shared" ca="1" si="9440"/>
        <v>#REF!</v>
      </c>
      <c r="EH518" s="692" t="str">
        <f ca="1">IF(LEFT($J515,7)="Clad Wo",IFERROR(VLOOKUP(INDEX(ED515:ED526,EG518),SPPWS,2,FALSE),"----"),IFERROR(VLOOKUP(INDEX(ED515:ED526,EG518),SPM,2,FALSE),"----"))</f>
        <v>----</v>
      </c>
    </row>
    <row r="519" spans="1:138" ht="15" customHeight="1" x14ac:dyDescent="0.25">
      <c r="A519" s="1085"/>
      <c r="B519" s="925"/>
      <c r="C519" s="926"/>
      <c r="D519" s="927"/>
      <c r="E519" s="995"/>
      <c r="F519" s="996"/>
      <c r="G519" s="997"/>
      <c r="H519" s="1062"/>
      <c r="I519" s="990"/>
      <c r="J519" s="910"/>
      <c r="K519" s="911"/>
      <c r="L519" s="1002"/>
      <c r="M519" s="923"/>
      <c r="N519" s="1042"/>
      <c r="O519" s="1018"/>
      <c r="P519" s="987"/>
      <c r="Q519" s="1015"/>
      <c r="R519" s="1012"/>
      <c r="S519" s="1006"/>
      <c r="T519" s="1007"/>
      <c r="U519" s="878"/>
      <c r="V519" s="881"/>
      <c r="W519" s="884"/>
      <c r="X519" s="884"/>
      <c r="Y519" s="887"/>
      <c r="Z519" s="887"/>
      <c r="AA519" s="887"/>
      <c r="AB519" s="1081"/>
      <c r="AC519" s="1078"/>
      <c r="AD519" s="1070" t="s">
        <v>39</v>
      </c>
      <c r="AE519" s="1071"/>
      <c r="AF519" s="1052"/>
      <c r="AG519" s="1053"/>
      <c r="AH519" s="1053"/>
      <c r="AI519" s="1068"/>
      <c r="AJ519" s="1069"/>
      <c r="AK519" s="154" t="str">
        <f t="shared" ca="1" si="8761"/>
        <v/>
      </c>
      <c r="AL519" s="1039"/>
      <c r="AM519" s="344" t="str">
        <f ca="1">IFERROR(Q515/12*ROUND(VLOOKUP(AF519,OFFSET(ELM,0,1),6,FALSE),2),"")</f>
        <v/>
      </c>
      <c r="AN519" t="str">
        <f t="shared" ca="1" si="8785"/>
        <v/>
      </c>
      <c r="AP519" s="122" t="str">
        <f t="shared" ref="AP519" si="9469">_xlfn.CONCAT(AR519,AS520)</f>
        <v/>
      </c>
      <c r="AQ519" s="683" t="str">
        <f t="shared" si="8985"/>
        <v/>
      </c>
      <c r="AR519" s="4" t="str">
        <f t="shared" si="8745"/>
        <v/>
      </c>
      <c r="AS519" s="4"/>
      <c r="AT519" s="697" t="str">
        <f>AL515</f>
        <v/>
      </c>
      <c r="AU519" s="694" t="e">
        <f t="shared" ca="1" si="9002"/>
        <v>#REF!</v>
      </c>
      <c r="AV519" s="698" t="str">
        <f ca="1">IFERROR(VLOOKUP(AU519,INDIRECT(AQ515),2,FALSE),"----")</f>
        <v>----</v>
      </c>
      <c r="AW519" s="694" t="e">
        <f t="shared" ca="1" si="9003"/>
        <v>#REF!</v>
      </c>
      <c r="AX519" s="698" t="str">
        <f ca="1">IFERROR(VLOOKUP(AW519,INDIRECT(AQ516),2,FALSE),"----")</f>
        <v>----</v>
      </c>
      <c r="AY519" s="694" t="e">
        <f t="shared" ref="AY519" ca="1" si="9470">AY518-1</f>
        <v>#REF!</v>
      </c>
      <c r="AZ519" s="698" t="str">
        <f ca="1">IFERROR(VLOOKUP(AY519,INDIRECT(AQ517),2,FALSE),"----")</f>
        <v>----</v>
      </c>
      <c r="BA519" s="694" t="e">
        <f t="shared" ref="BA519" ca="1" si="9471">BA518-1</f>
        <v>#REF!</v>
      </c>
      <c r="BB519" s="698" t="str">
        <f ca="1">IFERROR(VLOOKUP(BA519,INDIRECT(AQ518),2,FALSE),"----")</f>
        <v>----</v>
      </c>
      <c r="BC519" s="694" t="e">
        <f t="shared" ca="1" si="9006"/>
        <v>#REF!</v>
      </c>
      <c r="BD519" s="698" t="str">
        <f ca="1">IFERROR(VLOOKUP(BC519,INDIRECT(AQ519),2,FALSE),"----")</f>
        <v>----</v>
      </c>
      <c r="BE519" s="694" t="e">
        <f t="shared" ca="1" si="9007"/>
        <v>#REF!</v>
      </c>
      <c r="BF519" s="698" t="str">
        <f ca="1">IFERROR(VLOOKUP(BE519,INDIRECT(AQ520),2,FALSE),"----")</f>
        <v>----</v>
      </c>
      <c r="BG519" s="694" t="e">
        <f t="shared" ca="1" si="9008"/>
        <v>#REF!</v>
      </c>
      <c r="BH519" s="686" t="str">
        <f ca="1">IFERROR(VLOOKUP(BG519,INDIRECT(AQ521),2,FALSE),"----")</f>
        <v>----</v>
      </c>
      <c r="BI519" s="694" t="e">
        <f t="shared" ca="1" si="9009"/>
        <v>#REF!</v>
      </c>
      <c r="BJ519" s="686" t="str">
        <f ca="1">IFERROR(VLOOKUP(BI519,INDIRECT(AQ522),2,FALSE),"----")</f>
        <v>----</v>
      </c>
      <c r="BK519" s="694" t="e">
        <f t="shared" ca="1" si="9010"/>
        <v>#REF!</v>
      </c>
      <c r="BL519" s="686" t="str">
        <f ca="1">IFERROR(VLOOKUP(BK519,INDIRECT(AQ523),2,FALSE),"----")</f>
        <v>----</v>
      </c>
      <c r="BM519" s="694" t="e">
        <f t="shared" ca="1" si="9011"/>
        <v>#REF!</v>
      </c>
      <c r="BN519" s="686" t="str">
        <f ca="1">IFERROR(VLOOKUP(BM519,INDIRECT(AQ524),2,FALSE),"----")</f>
        <v>----</v>
      </c>
      <c r="BO519" s="694" t="e">
        <f t="shared" ca="1" si="9012"/>
        <v>#REF!</v>
      </c>
      <c r="BP519" s="686" t="str">
        <f ca="1">IFERROR(VLOOKUP(BO519,INDIRECT(AQ525),2,FALSE),"----")</f>
        <v>----</v>
      </c>
      <c r="BQ519" s="694" t="e">
        <f t="shared" ca="1" si="9013"/>
        <v>#REF!</v>
      </c>
      <c r="BR519" s="686" t="str">
        <f ca="1">IFERROR(VLOOKUP(BQ519,INDIRECT(AQ526),2,FALSE),"----")</f>
        <v>----</v>
      </c>
      <c r="BS519" s="695">
        <f>IF(AI519="",1,IF(COUNTIF(BD515:BD526,AI519)=0,2,1))</f>
        <v>1</v>
      </c>
      <c r="BT519" s="696">
        <f>IF(AF519="",1,IF(BD515=".",2,1))</f>
        <v>1</v>
      </c>
      <c r="BU519" s="706"/>
      <c r="BV519" s="155">
        <f ca="1">IF(COUNTIF(CY515:CY526,AF519)=0,IF(AF519&lt;&gt;"",0,1),1)</f>
        <v>1</v>
      </c>
      <c r="BW519" s="157">
        <f ca="1">IFERROR(MATCH(AF519,CY515:CY526,0),1)</f>
        <v>1</v>
      </c>
      <c r="BX519" s="769"/>
      <c r="BY519" s="769"/>
      <c r="BZ519" s="1110"/>
      <c r="CA519" s="691" t="e">
        <f t="shared" ca="1" si="9405"/>
        <v>#REF!</v>
      </c>
      <c r="CB519" s="4" t="e" cm="1">
        <f t="array" aca="1" ref="CB519" ca="1">IF(AND(INDEX(INDIRECT(BY515),CA519,4)&gt;=$AB515,INDEX(INDIRECT(BY515),CA519,5)&gt;=$S515,INDEX(INDIRECT(BY515),CA519,6)&gt;=$R515),1,0)</f>
        <v>#REF!</v>
      </c>
      <c r="CC519" s="4" t="e">
        <f t="shared" ref="CC519" ca="1" si="9472">MATCH(1,OFFSET(CB515:CB526,CD518,0,COUNT(CB515:CB526)-CD518),0)</f>
        <v>#REF!</v>
      </c>
      <c r="CD519" s="4" t="e">
        <f t="shared" ca="1" si="9407"/>
        <v>#REF!</v>
      </c>
      <c r="CE519" s="692" t="str" cm="1">
        <f t="array" aca="1" ref="CE519" ca="1">IFERROR(VLOOKUP(INDEX(CA515:CA526,CD519),INDIRECT(BY515),2,FALSE),"----")</f>
        <v>----</v>
      </c>
      <c r="CF519" s="691" t="e">
        <f t="shared" ca="1" si="9408"/>
        <v>#N/A</v>
      </c>
      <c r="CG519" s="4" t="e">
        <f ca="1">IF(AND(INDEX(SSM,CF519,4)&gt;=$AB515,INDEX(SSM,CF519,5)&gt;=$S515,INDEX(SSM,CF519,6)&gt;=$R515),1,0)</f>
        <v>#N/A</v>
      </c>
      <c r="CH519" s="4" t="e">
        <f t="shared" ref="CH519" ca="1" si="9473">MATCH(1,OFFSET(CG515:CG526,CI518,0,COUNT(CG515:CG526)-CI518),0)</f>
        <v>#REF!</v>
      </c>
      <c r="CI519" s="4" t="e">
        <f t="shared" ca="1" si="9410"/>
        <v>#REF!</v>
      </c>
      <c r="CJ519" s="692" t="str">
        <f ca="1">IFERROR(IF(AD516="Nested Steel Stud (wood infill)",VLOOKUP(INDEX(CF515:CF526,CI519),SSW,2,FALSE),VLOOKUP(INDEX(CF515:CF526,CI519),SSM,2,FALSE)),"----")</f>
        <v>----</v>
      </c>
      <c r="CK519" s="691" t="e">
        <f t="shared" ca="1" si="9411"/>
        <v>#N/A</v>
      </c>
      <c r="CL519" s="4" t="e">
        <f ca="1">IF(AND(INDEX(WSM,CK519,4)&gt;=$AB515,INDEX(WSM,CK519,5)&gt;=$S515,INDEX(WSM,CK519,6)&gt;=$R515),1,0)</f>
        <v>#N/A</v>
      </c>
      <c r="CM519" s="4" t="e">
        <f t="shared" ref="CM519" ca="1" si="9474">MATCH(1,OFFSET(CL515:CL526,CN518,0,COUNT(CL515:CL526)-CN518),0)</f>
        <v>#REF!</v>
      </c>
      <c r="CN519" s="4" t="e">
        <f t="shared" ca="1" si="9413"/>
        <v>#REF!</v>
      </c>
      <c r="CO519" s="692" t="str">
        <f ca="1">IFERROR(VLOOKUP(INDEX(CK515:CK526,CN519),WSM,2,FALSE),"----")</f>
        <v>----</v>
      </c>
      <c r="CP519" s="691" t="e">
        <f t="shared" ca="1" si="9414"/>
        <v>#N/A</v>
      </c>
      <c r="CQ519" s="4" t="e">
        <f ca="1">IF(AND(INDEX(STM,CP519,4)&gt;=$AB515,INDEX(STM,CP519,5)&gt;=$S515,INDEX(STM,CP519,6)&gt;=$R515),1,0)</f>
        <v>#N/A</v>
      </c>
      <c r="CR519" s="4" t="e">
        <f t="shared" ref="CR519" ca="1" si="9475">MATCH(1,OFFSET(CQ515:CQ526,CS518,0,COUNT(CQ515:CQ526)-CS518),0)</f>
        <v>#REF!</v>
      </c>
      <c r="CS519" s="4" t="e">
        <f t="shared" ca="1" si="9416"/>
        <v>#REF!</v>
      </c>
      <c r="CT519" s="692" t="str">
        <f ca="1">IFERROR(VLOOKUP(INDEX(CP515:CP526,CS519),STM,2,FALSE),"----")</f>
        <v>----</v>
      </c>
      <c r="CU519" s="691" t="e">
        <f t="shared" ca="1" si="9417"/>
        <v>#N/A</v>
      </c>
      <c r="CV519" s="4" t="e">
        <f ca="1">IF(AND(INDEX(ELM,CU519,4)&gt;=$AB515,INDEX(ELM,CU519,5)&gt;=$S515,INDEX(ELM,CU519,6)&gt;=$R515),1,0)</f>
        <v>#N/A</v>
      </c>
      <c r="CW519" s="4" t="e">
        <f t="shared" ref="CW519" ca="1" si="9476">MATCH(1,OFFSET(CV515:CV526,CX518,0,COUNT(CV515:CV526)-CX518),0)</f>
        <v>#REF!</v>
      </c>
      <c r="CX519" s="4" t="e">
        <f t="shared" ca="1" si="9419"/>
        <v>#REF!</v>
      </c>
      <c r="CY519" s="692" t="str">
        <f ca="1">IFERROR(VLOOKUP(INDEX(CU515:CU526,CX519),ELM,2,FALSE),"----")</f>
        <v>----</v>
      </c>
      <c r="CZ519" s="691" t="e">
        <f t="shared" ca="1" si="9420"/>
        <v>#N/A</v>
      </c>
      <c r="DA519" s="4" t="e">
        <f ca="1">IF(LEFT($J515,7)="Clad Wo",IF(AND(INDEX(SPPWS,CZ519,4)&gt;=$AB515,INDEX(SPPWS,CZ519,5)&gt;=$S515,INDEX(SPPWS,CZ519,6)&gt;=$R515),1,0),IF(AND(INDEX(SPM,CZ519,4)&gt;=$AB515,INDEX(SPM,CZ519,5)&gt;=$S515,INDEX(SPM,CZ519,6)&gt;=$R515),1,0))</f>
        <v>#N/A</v>
      </c>
      <c r="DB519" s="4" t="e">
        <f t="shared" ref="DB519" ca="1" si="9477">MATCH(1,OFFSET(DA515:DA526,DC518,0,COUNT(DA515:DA526)-DC518),0)</f>
        <v>#REF!</v>
      </c>
      <c r="DC519" s="4" t="e">
        <f t="shared" ca="1" si="9422"/>
        <v>#REF!</v>
      </c>
      <c r="DD519" s="693" t="str">
        <f ca="1">IF(LEFT($J515,7)="Clad Wo",IFERROR(VLOOKUP(INDEX(CZ515:CZ526,DC519),SPPWS,2,FALSE),"----"),IFERROR(VLOOKUP(INDEX(CZ515:CZ526,DC519),SPM,2,FALSE),"----"))</f>
        <v>----</v>
      </c>
      <c r="DE519" s="691" t="e">
        <f t="shared" ca="1" si="9423"/>
        <v>#REF!</v>
      </c>
      <c r="DF519" s="4" t="e" cm="1">
        <f t="array" aca="1" ref="DF519" ca="1">IF(AND(INDEX(INDIRECT(BY515),DE519,4)&gt;=$AB521,INDEX(INDIRECT(BY515),DE519,5)&gt;=$S515,INDEX(INDIRECT(BY515),DE519,6)&gt;=$R515),1,0)</f>
        <v>#REF!</v>
      </c>
      <c r="DG519" s="4" t="e">
        <f t="shared" ref="DG519" ca="1" si="9478">MATCH(1,OFFSET(DF515:DF526,DH518,0,COUNT(DF515:DF526)-DH518),0)</f>
        <v>#REF!</v>
      </c>
      <c r="DH519" s="4" t="e">
        <f t="shared" ca="1" si="9425"/>
        <v>#REF!</v>
      </c>
      <c r="DI519" s="692" t="str" cm="1">
        <f t="array" aca="1" ref="DI519" ca="1">IFERROR(VLOOKUP(INDEX(DE515:DE526,DH519),INDIRECT(BY515),2,FALSE),"----")</f>
        <v>----</v>
      </c>
      <c r="DJ519" s="691" t="e">
        <f t="shared" ca="1" si="9426"/>
        <v>#N/A</v>
      </c>
      <c r="DK519" s="4" t="e">
        <f ca="1">IF(AND(INDEX(SSM,DJ519,4)&gt;=$AB521,INDEX(SSM,DJ519,5)&gt;=$S515,INDEX(SSM,DJ519,6)&gt;=$R515),1,0)</f>
        <v>#N/A</v>
      </c>
      <c r="DL519" s="4" t="e">
        <f t="shared" ref="DL519" ca="1" si="9479">MATCH(1,OFFSET(DK515:DK526,DM518,0,COUNT(DK515:DK526)-DM518),0)</f>
        <v>#REF!</v>
      </c>
      <c r="DM519" s="4" t="e">
        <f t="shared" ca="1" si="9428"/>
        <v>#REF!</v>
      </c>
      <c r="DN519" s="692" t="str">
        <f ca="1">IFERROR(IF(AD522="Nested Steel Stud (wood infill)",VLOOKUP(INDEX(DJ515:DJ526,DM519),SSW,2,FALSE),VLOOKUP(INDEX(DJ515:DJ526,DM519),SSM,2,FALSE)),"----")</f>
        <v>----</v>
      </c>
      <c r="DO519" s="691" t="e">
        <f t="shared" ca="1" si="9429"/>
        <v>#N/A</v>
      </c>
      <c r="DP519" s="4" t="e">
        <f ca="1">IF(AND(INDEX(WSM,DO519,4)&gt;=$AB521,INDEX(WSM,DO519,5)&gt;=$S515,INDEX(WSM,DO519,6)&gt;=$R515),1,0)</f>
        <v>#N/A</v>
      </c>
      <c r="DQ519" s="4" t="e">
        <f t="shared" ref="DQ519" ca="1" si="9480">MATCH(1,OFFSET(DP515:DP526,DR518,0,COUNT(DP515:DP526)-DR518),0)</f>
        <v>#REF!</v>
      </c>
      <c r="DR519" s="4" t="e">
        <f t="shared" ca="1" si="9431"/>
        <v>#REF!</v>
      </c>
      <c r="DS519" s="692" t="str">
        <f ca="1">IFERROR(VLOOKUP(INDEX(DO515:DO526,DR519),WSM,2,FALSE),"----")</f>
        <v>----</v>
      </c>
      <c r="DT519" s="691" t="e">
        <f t="shared" ca="1" si="9432"/>
        <v>#N/A</v>
      </c>
      <c r="DU519" s="4" t="e">
        <f ca="1">IF(AND(INDEX(STM,DT519,4)&gt;=$AB521,INDEX(STM,DT519,5)&gt;=$S515,INDEX(STM,DT519,6)&gt;=$R515),1,0)</f>
        <v>#N/A</v>
      </c>
      <c r="DV519" s="4" t="e">
        <f t="shared" ref="DV519" ca="1" si="9481">MATCH(1,OFFSET(DU515:DU526,DW518,0,COUNT(DU515:DU526)-DW518),0)</f>
        <v>#REF!</v>
      </c>
      <c r="DW519" s="4" t="e">
        <f t="shared" ca="1" si="9434"/>
        <v>#REF!</v>
      </c>
      <c r="DX519" s="692" t="str">
        <f ca="1">IFERROR(VLOOKUP(INDEX(DT515:DT526,DW519),STM,2,FALSE),"----")</f>
        <v>----</v>
      </c>
      <c r="DY519" s="691" t="e">
        <f t="shared" ca="1" si="9435"/>
        <v>#N/A</v>
      </c>
      <c r="DZ519" s="4" t="e">
        <f ca="1">IF(AND(INDEX(ELM,DY519,4)&gt;=$AB521,INDEX(ELM,DY519,5)&gt;=$S515,INDEX(ELM,DY519,6)&gt;=$R515),1,0)</f>
        <v>#N/A</v>
      </c>
      <c r="EA519" s="4" t="e">
        <f t="shared" ref="EA519" ca="1" si="9482">MATCH(1,OFFSET(DZ515:DZ526,EB518,0,COUNT(DZ515:DZ526)-EB518),0)</f>
        <v>#REF!</v>
      </c>
      <c r="EB519" s="4" t="e">
        <f t="shared" ca="1" si="9437"/>
        <v>#REF!</v>
      </c>
      <c r="EC519" s="692" t="str">
        <f ca="1">IFERROR(VLOOKUP(INDEX(DY515:DY526,EB519),ELM,2,FALSE),"----")</f>
        <v>----</v>
      </c>
      <c r="ED519" s="691" t="e">
        <f t="shared" ca="1" si="9438"/>
        <v>#N/A</v>
      </c>
      <c r="EE519" s="4" t="e">
        <f ca="1">IF(LEFT($J515,7)="Clad Wo",IF(AND(INDEX(SPPWS,ED519,4)&gt;=$AB521,INDEX(SPPWS,ED519,5)&gt;=$S515,INDEX(SPPWS,ED519,6)&gt;=$R515),1,0),IF(AND(INDEX(SPM,ED519,4)&gt;=$AB521,INDEX(SPM,ED519,5)&gt;=$S515,INDEX(SPM,ED519,6)&gt;=$R515),1,0))</f>
        <v>#N/A</v>
      </c>
      <c r="EF519" s="4" t="e">
        <f t="shared" ref="EF519" ca="1" si="9483">MATCH(1,OFFSET(EE515:EE526,EG518,0,COUNT(EE515:EE526)-EG518),0)</f>
        <v>#REF!</v>
      </c>
      <c r="EG519" s="4" t="e">
        <f t="shared" ca="1" si="9440"/>
        <v>#REF!</v>
      </c>
      <c r="EH519" s="692" t="str">
        <f ca="1">IF(LEFT($J515,7)="Clad Wo",IFERROR(VLOOKUP(INDEX(ED515:ED526,EG519),SPPWS,2,FALSE),"----"),IFERROR(VLOOKUP(INDEX(ED515:ED526,EG519),SPM,2,FALSE),"----"))</f>
        <v>----</v>
      </c>
    </row>
    <row r="520" spans="1:138" ht="15" customHeight="1" thickBot="1" x14ac:dyDescent="0.3">
      <c r="A520" s="1085"/>
      <c r="B520" s="934"/>
      <c r="C520" s="935"/>
      <c r="D520" s="936"/>
      <c r="E520" s="995"/>
      <c r="F520" s="996"/>
      <c r="G520" s="997"/>
      <c r="H520" s="1062"/>
      <c r="I520" s="990"/>
      <c r="J520" s="908"/>
      <c r="K520" s="909"/>
      <c r="L520" s="1010"/>
      <c r="M520" s="924"/>
      <c r="N520" s="1044"/>
      <c r="O520" s="1018"/>
      <c r="P520" s="987"/>
      <c r="Q520" s="1015"/>
      <c r="R520" s="1012"/>
      <c r="S520" s="1006"/>
      <c r="T520" s="1007"/>
      <c r="U520" s="878"/>
      <c r="V520" s="881"/>
      <c r="W520" s="889"/>
      <c r="X520" s="884"/>
      <c r="Y520" s="890"/>
      <c r="Z520" s="890"/>
      <c r="AA520" s="887"/>
      <c r="AB520" s="1084"/>
      <c r="AC520" s="1079"/>
      <c r="AD520" s="1072" t="str">
        <f t="shared" ref="AD520" si="9484">IF(LEFT(J515,7)="Clad Wo","Pella Wood Spr / Steel Pte","Steel Plate")</f>
        <v>Steel Plate</v>
      </c>
      <c r="AE520" s="1073"/>
      <c r="AF520" s="1054"/>
      <c r="AG520" s="1055"/>
      <c r="AH520" s="1055"/>
      <c r="AI520" s="1092"/>
      <c r="AJ520" s="1093"/>
      <c r="AK520" s="159" t="str">
        <f t="shared" ca="1" si="8761"/>
        <v/>
      </c>
      <c r="AL520" s="1040"/>
      <c r="AM520" s="345" t="str">
        <f ca="1">IFERROR(Q515/12*ROUND(VLOOKUP(AF520,OFFSET(SPM,0,1),6,FALSE),2),"")</f>
        <v/>
      </c>
      <c r="AN520" t="str">
        <f t="shared" ca="1" si="8785"/>
        <v/>
      </c>
      <c r="AP520" s="699" t="str">
        <f t="shared" ref="AP520" si="9485">_xlfn.CONCAT(AR520,AS520)</f>
        <v/>
      </c>
      <c r="AQ520" s="700" t="str">
        <f t="shared" si="8985"/>
        <v/>
      </c>
      <c r="AR520" s="160" t="str">
        <f t="shared" si="8745"/>
        <v/>
      </c>
      <c r="AS520" s="160" t="str">
        <f>IFERROR(VLOOKUP(J523, WallType,2,FALSE),"")</f>
        <v/>
      </c>
      <c r="AT520" s="701" t="str">
        <f>AL515</f>
        <v/>
      </c>
      <c r="AU520" s="694" t="e">
        <f t="shared" ca="1" si="9002"/>
        <v>#REF!</v>
      </c>
      <c r="AV520" s="698" t="str">
        <f ca="1">IFERROR(VLOOKUP(AU520,INDIRECT(AQ515),2,FALSE),"----")</f>
        <v>----</v>
      </c>
      <c r="AW520" s="702" t="e">
        <f t="shared" ca="1" si="9003"/>
        <v>#REF!</v>
      </c>
      <c r="AX520" s="698" t="str">
        <f ca="1">IFERROR(VLOOKUP(AW520,INDIRECT(AQ516),2,FALSE),"----")</f>
        <v>----</v>
      </c>
      <c r="AY520" s="702" t="e">
        <f t="shared" ref="AY520" ca="1" si="9486">AY519-1</f>
        <v>#REF!</v>
      </c>
      <c r="AZ520" s="698" t="str">
        <f ca="1">IFERROR(VLOOKUP(AY520,INDIRECT(AQ517),2,FALSE),"----")</f>
        <v>----</v>
      </c>
      <c r="BA520" s="702" t="e">
        <f t="shared" ref="BA520" ca="1" si="9487">BA519-1</f>
        <v>#REF!</v>
      </c>
      <c r="BB520" s="698" t="str">
        <f ca="1">IFERROR(VLOOKUP(BA520,INDIRECT(AQ518),2,FALSE),"----")</f>
        <v>----</v>
      </c>
      <c r="BC520" s="702" t="e">
        <f t="shared" ca="1" si="9006"/>
        <v>#REF!</v>
      </c>
      <c r="BD520" s="698" t="str">
        <f ca="1">IFERROR(VLOOKUP(BC520,INDIRECT(AQ519),2,FALSE),"----")</f>
        <v>----</v>
      </c>
      <c r="BE520" s="702" t="e">
        <f t="shared" ca="1" si="9007"/>
        <v>#REF!</v>
      </c>
      <c r="BF520" s="698" t="str">
        <f ca="1">IFERROR(VLOOKUP(BE520,INDIRECT(AQ520),2,FALSE),"----")</f>
        <v>----</v>
      </c>
      <c r="BG520" s="702" t="e">
        <f t="shared" ca="1" si="9008"/>
        <v>#REF!</v>
      </c>
      <c r="BH520" s="686" t="str">
        <f ca="1">IFERROR(VLOOKUP(BG520,INDIRECT(AQ521),2,FALSE),"----")</f>
        <v>----</v>
      </c>
      <c r="BI520" s="702" t="e">
        <f t="shared" ca="1" si="9009"/>
        <v>#REF!</v>
      </c>
      <c r="BJ520" s="686" t="str">
        <f ca="1">IFERROR(VLOOKUP(BI520,INDIRECT(AQ522),2,FALSE),"----")</f>
        <v>----</v>
      </c>
      <c r="BK520" s="702" t="e">
        <f t="shared" ca="1" si="9010"/>
        <v>#REF!</v>
      </c>
      <c r="BL520" s="686" t="str">
        <f ca="1">IFERROR(VLOOKUP(BK520,INDIRECT(AQ523),2,FALSE),"----")</f>
        <v>----</v>
      </c>
      <c r="BM520" s="702" t="e">
        <f t="shared" ca="1" si="9011"/>
        <v>#REF!</v>
      </c>
      <c r="BN520" s="686" t="str">
        <f ca="1">IFERROR(VLOOKUP(BM520,INDIRECT(AQ524),2,FALSE),"----")</f>
        <v>----</v>
      </c>
      <c r="BO520" s="702" t="e">
        <f t="shared" ca="1" si="9012"/>
        <v>#REF!</v>
      </c>
      <c r="BP520" s="686" t="str">
        <f ca="1">IFERROR(VLOOKUP(BO520,INDIRECT(AQ525),2,FALSE),"----")</f>
        <v>----</v>
      </c>
      <c r="BQ520" s="702" t="e">
        <f t="shared" ca="1" si="9013"/>
        <v>#REF!</v>
      </c>
      <c r="BR520" s="686" t="str">
        <f ca="1">IFERROR(VLOOKUP(BQ520,INDIRECT(AQ526),2,FALSE),"----")</f>
        <v>----</v>
      </c>
      <c r="BS520" s="703">
        <f>IF(AI520="",1,IF(COUNTIF(BF515:BF526,AI520)=0,2,1))</f>
        <v>1</v>
      </c>
      <c r="BT520" s="704">
        <f>IF(AF520="",1,IF(BF515=".",2,1))</f>
        <v>1</v>
      </c>
      <c r="BV520" s="155">
        <f ca="1">IF(COUNTIF(DD515:DD526,AF520)=0,IF(AF520&lt;&gt;"",0,1),1)</f>
        <v>1</v>
      </c>
      <c r="BW520" s="157">
        <f ca="1">IFERROR(MATCH(AF520,DD515:DD526,0),1)</f>
        <v>1</v>
      </c>
      <c r="BX520" s="875" t="s">
        <v>1594</v>
      </c>
      <c r="BY520" s="876"/>
      <c r="BZ520" s="1110"/>
      <c r="CA520" s="691" t="e">
        <f t="shared" ca="1" si="9405"/>
        <v>#REF!</v>
      </c>
      <c r="CB520" s="4" t="e" cm="1">
        <f t="array" aca="1" ref="CB520" ca="1">IF(AND(INDEX(INDIRECT(BY515),CA520,4)&gt;=$AB515,INDEX(INDIRECT(BY515),CA520,5)&gt;=$S515,INDEX(INDIRECT(BY515),CA520,6)&gt;=$R515),1,0)</f>
        <v>#REF!</v>
      </c>
      <c r="CC520" s="4" t="e">
        <f t="shared" ref="CC520" ca="1" si="9488">MATCH(1,OFFSET(CB515:CB526,CD519,0,COUNT(CB515:CB526)-CD519),0)</f>
        <v>#REF!</v>
      </c>
      <c r="CD520" s="4" t="e">
        <f t="shared" ca="1" si="9407"/>
        <v>#REF!</v>
      </c>
      <c r="CE520" s="692" t="str" cm="1">
        <f t="array" aca="1" ref="CE520" ca="1">IFERROR(VLOOKUP(INDEX(CA515:CA526,CD520),INDIRECT(BY515),2,FALSE),"----")</f>
        <v>----</v>
      </c>
      <c r="CF520" s="691" t="e">
        <f t="shared" ca="1" si="9408"/>
        <v>#N/A</v>
      </c>
      <c r="CG520" s="4" t="e">
        <f ca="1">IF(AND(INDEX(SSM,CF520,4)&gt;=$AB515,INDEX(SSM,CF520,5)&gt;=$S515,INDEX(SSM,CF520,6)&gt;=$R515),1,0)</f>
        <v>#N/A</v>
      </c>
      <c r="CH520" s="4" t="e">
        <f t="shared" ref="CH520" ca="1" si="9489">MATCH(1,OFFSET(CG515:CG526,CI519,0,COUNT(CG515:CG526)-CI519),0)</f>
        <v>#REF!</v>
      </c>
      <c r="CI520" s="4" t="e">
        <f t="shared" ca="1" si="9410"/>
        <v>#REF!</v>
      </c>
      <c r="CJ520" s="692" t="str">
        <f ca="1">IFERROR(IF(AD516="Nested Steel Stud (wood infill)",VLOOKUP(INDEX(CF515:CF526,CI520),SSW,2,FALSE),VLOOKUP(INDEX(CF515:CF526,CI520),SSM,2,FALSE)),"----")</f>
        <v>----</v>
      </c>
      <c r="CK520" s="691" t="e">
        <f t="shared" ca="1" si="9411"/>
        <v>#N/A</v>
      </c>
      <c r="CL520" s="4" t="e">
        <f ca="1">IF(AND(INDEX(WSM,CK520,4)&gt;=$AB515,INDEX(WSM,CK520,5)&gt;=$S515,INDEX(WSM,CK520,6)&gt;=$R515),1,0)</f>
        <v>#N/A</v>
      </c>
      <c r="CM520" s="4" t="e">
        <f t="shared" ref="CM520" ca="1" si="9490">MATCH(1,OFFSET(CL515:CL526,CN519,0,COUNT(CL515:CL526)-CN519),0)</f>
        <v>#REF!</v>
      </c>
      <c r="CN520" s="4" t="e">
        <f t="shared" ca="1" si="9413"/>
        <v>#REF!</v>
      </c>
      <c r="CO520" s="692" t="str">
        <f ca="1">IFERROR(VLOOKUP(INDEX(CK515:CK526,CN520),WSM,2,FALSE),"----")</f>
        <v>----</v>
      </c>
      <c r="CP520" s="691" t="e">
        <f t="shared" ca="1" si="9414"/>
        <v>#N/A</v>
      </c>
      <c r="CQ520" s="4" t="e">
        <f ca="1">IF(AND(INDEX(STM,CP520,4)&gt;=$AB515,INDEX(STM,CP520,5)&gt;=$S515,INDEX(STM,CP520,6)&gt;=$R515),1,0)</f>
        <v>#N/A</v>
      </c>
      <c r="CR520" s="4" t="e">
        <f t="shared" ref="CR520" ca="1" si="9491">MATCH(1,OFFSET(CQ515:CQ526,CS519,0,COUNT(CQ515:CQ526)-CS519),0)</f>
        <v>#REF!</v>
      </c>
      <c r="CS520" s="4" t="e">
        <f t="shared" ca="1" si="9416"/>
        <v>#REF!</v>
      </c>
      <c r="CT520" s="692" t="str">
        <f ca="1">IFERROR(VLOOKUP(INDEX(CP515:CP526,CS520),STM,2,FALSE),"----")</f>
        <v>----</v>
      </c>
      <c r="CU520" s="691" t="e">
        <f t="shared" ca="1" si="9417"/>
        <v>#N/A</v>
      </c>
      <c r="CV520" s="4" t="e">
        <f ca="1">IF(AND(INDEX(ELM,CU520,4)&gt;=$AB515,INDEX(ELM,CU520,5)&gt;=$S515,INDEX(ELM,CU520,6)&gt;=$R515),1,0)</f>
        <v>#N/A</v>
      </c>
      <c r="CW520" s="4" t="e">
        <f t="shared" ref="CW520" ca="1" si="9492">MATCH(1,OFFSET(CV515:CV526,CX519,0,COUNT(CV515:CV526)-CX519),0)</f>
        <v>#REF!</v>
      </c>
      <c r="CX520" s="4" t="e">
        <f t="shared" ca="1" si="9419"/>
        <v>#REF!</v>
      </c>
      <c r="CY520" s="692" t="str">
        <f ca="1">IFERROR(VLOOKUP(INDEX(CU515:CU526,CX520),ELM,2,FALSE),"----")</f>
        <v>----</v>
      </c>
      <c r="CZ520" s="691" t="e">
        <f t="shared" ca="1" si="9420"/>
        <v>#N/A</v>
      </c>
      <c r="DA520" s="4" t="e">
        <f ca="1">IF(LEFT($J515,7)="Clad Wo",IF(AND(INDEX(SPPWS,CZ520,4)&gt;=$AB515,INDEX(SPPWS,CZ520,5)&gt;=$S515,INDEX(SPPWS,CZ520,6)&gt;=$R515),1,0),IF(AND(INDEX(SPM,CZ520,4)&gt;=$AB515,INDEX(SPM,CZ520,5)&gt;=$S515,INDEX(SPM,CZ520,6)&gt;=$R515),1,0))</f>
        <v>#N/A</v>
      </c>
      <c r="DB520" s="4" t="e">
        <f t="shared" ref="DB520" ca="1" si="9493">MATCH(1,OFFSET(DA515:DA526,DC519,0,COUNT(DA515:DA526)-DC519),0)</f>
        <v>#REF!</v>
      </c>
      <c r="DC520" s="4" t="e">
        <f t="shared" ca="1" si="9422"/>
        <v>#REF!</v>
      </c>
      <c r="DD520" s="693" t="str">
        <f ca="1">IF(LEFT($J515,7)="Clad Wo",IFERROR(VLOOKUP(INDEX(CZ515:CZ526,DC520),SPPWS,2,FALSE),"----"),IFERROR(VLOOKUP(INDEX(CZ515:CZ526,DC520),SPM,2,FALSE),"----"))</f>
        <v>----</v>
      </c>
      <c r="DE520" s="691" t="e">
        <f t="shared" ca="1" si="9423"/>
        <v>#REF!</v>
      </c>
      <c r="DF520" s="4" t="e" cm="1">
        <f t="array" aca="1" ref="DF520" ca="1">IF(AND(INDEX(INDIRECT(BY515),DE520,4)&gt;=$AB521,INDEX(INDIRECT(BY515),DE520,5)&gt;=$S515,INDEX(INDIRECT(BY515),DE520,6)&gt;=$R515),1,0)</f>
        <v>#REF!</v>
      </c>
      <c r="DG520" s="4" t="e">
        <f t="shared" ref="DG520" ca="1" si="9494">MATCH(1,OFFSET(DF515:DF526,DH519,0,COUNT(DF515:DF526)-DH519),0)</f>
        <v>#REF!</v>
      </c>
      <c r="DH520" s="4" t="e">
        <f t="shared" ca="1" si="9425"/>
        <v>#REF!</v>
      </c>
      <c r="DI520" s="692" t="str" cm="1">
        <f t="array" aca="1" ref="DI520" ca="1">IFERROR(VLOOKUP(INDEX(DE515:DE526,DH520),INDIRECT(BY515),2,FALSE),"----")</f>
        <v>----</v>
      </c>
      <c r="DJ520" s="691" t="e">
        <f t="shared" ca="1" si="9426"/>
        <v>#N/A</v>
      </c>
      <c r="DK520" s="4" t="e">
        <f ca="1">IF(AND(INDEX(SSM,DJ520,4)&gt;=$AB521,INDEX(SSM,DJ520,5)&gt;=$S515,INDEX(SSM,DJ520,6)&gt;=$R515),1,0)</f>
        <v>#N/A</v>
      </c>
      <c r="DL520" s="4" t="e">
        <f t="shared" ref="DL520" ca="1" si="9495">MATCH(1,OFFSET(DK515:DK526,DM519,0,COUNT(DK515:DK526)-DM519),0)</f>
        <v>#REF!</v>
      </c>
      <c r="DM520" s="4" t="e">
        <f t="shared" ca="1" si="9428"/>
        <v>#REF!</v>
      </c>
      <c r="DN520" s="692" t="str">
        <f ca="1">IFERROR(IF(AD522="Nested Steel Stud (wood infill)",VLOOKUP(INDEX(DJ515:DJ526,DM520),SSW,2,FALSE),VLOOKUP(INDEX(DJ515:DJ526,DM520),SSM,2,FALSE)),"----")</f>
        <v>----</v>
      </c>
      <c r="DO520" s="691" t="e">
        <f t="shared" ca="1" si="9429"/>
        <v>#N/A</v>
      </c>
      <c r="DP520" s="4" t="e">
        <f ca="1">IF(AND(INDEX(WSM,DO520,4)&gt;=$AB521,INDEX(WSM,DO520,5)&gt;=$S515,INDEX(WSM,DO520,6)&gt;=$R515),1,0)</f>
        <v>#N/A</v>
      </c>
      <c r="DQ520" s="4" t="e">
        <f t="shared" ref="DQ520" ca="1" si="9496">MATCH(1,OFFSET(DP515:DP526,DR519,0,COUNT(DP515:DP526)-DR519),0)</f>
        <v>#REF!</v>
      </c>
      <c r="DR520" s="4" t="e">
        <f t="shared" ca="1" si="9431"/>
        <v>#REF!</v>
      </c>
      <c r="DS520" s="692" t="str">
        <f ca="1">IFERROR(VLOOKUP(INDEX(DO515:DO526,DR520),WSM,2,FALSE),"----")</f>
        <v>----</v>
      </c>
      <c r="DT520" s="691" t="e">
        <f t="shared" ca="1" si="9432"/>
        <v>#N/A</v>
      </c>
      <c r="DU520" s="4" t="e">
        <f ca="1">IF(AND(INDEX(STM,DT520,4)&gt;=$AB521,INDEX(STM,DT520,5)&gt;=$S515,INDEX(STM,DT520,6)&gt;=$R515),1,0)</f>
        <v>#N/A</v>
      </c>
      <c r="DV520" s="4" t="e">
        <f t="shared" ref="DV520" ca="1" si="9497">MATCH(1,OFFSET(DU515:DU526,DW519,0,COUNT(DU515:DU526)-DW519),0)</f>
        <v>#REF!</v>
      </c>
      <c r="DW520" s="4" t="e">
        <f t="shared" ca="1" si="9434"/>
        <v>#REF!</v>
      </c>
      <c r="DX520" s="692" t="str">
        <f ca="1">IFERROR(VLOOKUP(INDEX(DT515:DT526,DW520),STM,2,FALSE),"----")</f>
        <v>----</v>
      </c>
      <c r="DY520" s="691" t="e">
        <f t="shared" ca="1" si="9435"/>
        <v>#N/A</v>
      </c>
      <c r="DZ520" s="4" t="e">
        <f ca="1">IF(AND(INDEX(ELM,DY520,4)&gt;=$AB521,INDEX(ELM,DY520,5)&gt;=$S515,INDEX(ELM,DY520,6)&gt;=$R515),1,0)</f>
        <v>#N/A</v>
      </c>
      <c r="EA520" s="4" t="e">
        <f t="shared" ref="EA520" ca="1" si="9498">MATCH(1,OFFSET(DZ515:DZ526,EB519,0,COUNT(DZ515:DZ526)-EB519),0)</f>
        <v>#REF!</v>
      </c>
      <c r="EB520" s="4" t="e">
        <f t="shared" ca="1" si="9437"/>
        <v>#REF!</v>
      </c>
      <c r="EC520" s="692" t="str">
        <f ca="1">IFERROR(VLOOKUP(INDEX(DY515:DY526,EB520),ELM,2,FALSE),"----")</f>
        <v>----</v>
      </c>
      <c r="ED520" s="691" t="e">
        <f t="shared" ca="1" si="9438"/>
        <v>#N/A</v>
      </c>
      <c r="EE520" s="4" t="e">
        <f ca="1">IF(LEFT($J515,7)="Clad Wo",IF(AND(INDEX(SPPWS,ED520,4)&gt;=$AB521,INDEX(SPPWS,ED520,5)&gt;=$S515,INDEX(SPPWS,ED520,6)&gt;=$R515),1,0),IF(AND(INDEX(SPM,ED520,4)&gt;=$AB521,INDEX(SPM,ED520,5)&gt;=$S515,INDEX(SPM,ED520,6)&gt;=$R515),1,0))</f>
        <v>#N/A</v>
      </c>
      <c r="EF520" s="4" t="e">
        <f t="shared" ref="EF520" ca="1" si="9499">MATCH(1,OFFSET(EE515:EE526,EG519,0,COUNT(EE515:EE526)-EG519),0)</f>
        <v>#REF!</v>
      </c>
      <c r="EG520" s="4" t="e">
        <f t="shared" ca="1" si="9440"/>
        <v>#REF!</v>
      </c>
      <c r="EH520" s="692" t="str">
        <f ca="1">IF(LEFT($J515,7)="Clad Wo",IFERROR(VLOOKUP(INDEX(ED515:ED526,EG520),SPPWS,2,FALSE),"----"),IFERROR(VLOOKUP(INDEX(ED515:ED526,EG520),SPM,2,FALSE),"----"))</f>
        <v>----</v>
      </c>
    </row>
    <row r="521" spans="1:138" ht="15" customHeight="1" x14ac:dyDescent="0.25">
      <c r="A521" s="1085"/>
      <c r="B521" s="925" t="s">
        <v>409</v>
      </c>
      <c r="C521" s="926"/>
      <c r="D521" s="927"/>
      <c r="E521" s="995"/>
      <c r="F521" s="996"/>
      <c r="G521" s="997"/>
      <c r="H521" s="1062"/>
      <c r="I521" s="990"/>
      <c r="J521" s="908"/>
      <c r="K521" s="909"/>
      <c r="L521" s="1001">
        <f>L515+1</f>
        <v>5</v>
      </c>
      <c r="M521" s="1064" t="str">
        <f t="shared" ref="M521" si="9500">IFERROR(IF($AE$17="",IF($AG$19="Wind Loading",MIN($V$31,IF(E$11="ASCE 7-05",$U$26,$V$7)*$V$9*(IF($E$12&lt;60,0.156*LN(MAX(MIN(500,O515),10)) -1.7618,IF($E$11="ASCE 7-22", 0.2026*LN(MAX(MIN(500,O515),20))-2.2638,0.2503*LN(MAX(MIN(500,O515),20)) -2.5526))-$V$8)),$V$7*IF(E$12&lt;60,$V$13*($V$15*(0.156*LN(MAX(MIN(500,O515),10)) -1.7618)-$V$16),$V$13*$V$15*((0.2026*LN(MAX(MIN(500,O515),20))-2.2638)-$V$16))),-ABS($AE$17)),"")</f>
        <v/>
      </c>
      <c r="N521" s="1041" t="str">
        <f t="shared" ref="N521" si="9501">IFERROR(IF($AE$19="",IF($AG$19="Wind Loading",MAX($U$31,IF(E$11="ASCE 7-05",$U$26,$V$7)*$V$9*((IF($E$12&lt;60,-0.077*LN(MAX(MIN(500,O515),10))+1.1737,IF($E$11="ASCE 7-22",-0.077*LN(MAX(MIN(500,O515),20))+1.0798,-0.093*LN(MAX(MIN(500,O515),20))+1.1776)))+$V$8)),$V$7*IF(E$12&lt;60,$V$13*($V$15*(-0.077*LN(MAX(MIN(500,O515),10))+1.1737)-$V$17),$V$13*$V$15*((-0.077*LN(MAX(MIN(500,O515),20))+1.0798)-$V$17))),ABS($AE$19)),"")</f>
        <v/>
      </c>
      <c r="O521" s="1018"/>
      <c r="P521" s="987"/>
      <c r="Q521" s="1015"/>
      <c r="R521" s="1012">
        <f>P521*Q521/8</f>
        <v>0</v>
      </c>
      <c r="S521" s="1006"/>
      <c r="T521" s="1007"/>
      <c r="U521" s="878"/>
      <c r="V521" s="881"/>
      <c r="W521" s="883" t="e">
        <f t="shared" ref="W521" si="9502">MAX(-M521,N521)*O515</f>
        <v>#VALUE!</v>
      </c>
      <c r="X521" s="884"/>
      <c r="Y521" s="886">
        <f>IFERROR(IF(AG$14="Trapezoidal",BY524,BX524)+IF($E$17="4",(400*E515^3)/(48*X515),0),0)</f>
        <v>0</v>
      </c>
      <c r="Z521" s="886" t="e">
        <f t="shared" ref="Z521" si="9503">+($V515*MAX(-$M521,$N521)*$E515^2)/(144*8)+IF($E$17=4,(400*$E515)/4,0)</f>
        <v>#VALUE!</v>
      </c>
      <c r="AA521" s="887"/>
      <c r="AB521" s="1080" t="str">
        <f t="shared" ref="AB521" ca="1" si="9504">IFERROR(Z521-AA515,"")</f>
        <v/>
      </c>
      <c r="AC521" s="1086" t="str">
        <f t="shared" ref="AC521" ca="1" si="9505">IFERROR(Y521-U515,"")</f>
        <v/>
      </c>
      <c r="AD521" s="1074" t="str">
        <f t="shared" ref="AD521" si="9506">AD515</f>
        <v/>
      </c>
      <c r="AE521" s="1075"/>
      <c r="AF521" s="1056"/>
      <c r="AG521" s="1057"/>
      <c r="AH521" s="1057"/>
      <c r="AI521" s="1088"/>
      <c r="AJ521" s="1089"/>
      <c r="AK521" s="162" t="str">
        <f t="shared" ca="1" si="8761"/>
        <v/>
      </c>
      <c r="AL521" s="1058" t="str">
        <f t="shared" ref="AL521" si="9507">IFERROR(ROUND(SQRT(P515^2+(W521/2+IF($E$17=4,200,0))^2),0),"")</f>
        <v/>
      </c>
      <c r="AM521" s="342" t="s">
        <v>669</v>
      </c>
      <c r="AN521" t="str">
        <f t="shared" ca="1" si="8785"/>
        <v/>
      </c>
      <c r="AP521" s="122" t="str">
        <f t="shared" ref="AP521" si="9508">_xlfn.CONCAT(AR521,AS526)</f>
        <v/>
      </c>
      <c r="AQ521" s="683" t="str">
        <f t="shared" si="8985"/>
        <v/>
      </c>
      <c r="AR521" s="96" t="str">
        <f t="shared" si="8745"/>
        <v/>
      </c>
      <c r="AS521" s="96" t="str">
        <f>IF(COUNTIF(imp_1,AF521)=1,"imp_1",IF(COUNTIF(imp_2,AF521)=1,"imp_2",IF(COUNTIF(imp_3,AF521)=1,"imp_3",IF(COUNTIF(impdoor,AF521)=1,"impdoor",""))))</f>
        <v/>
      </c>
      <c r="AT521" s="684" t="str">
        <f>AL521</f>
        <v/>
      </c>
      <c r="AU521" s="685" t="e">
        <f t="shared" ca="1" si="9002"/>
        <v>#REF!</v>
      </c>
      <c r="AV521" s="686" t="str">
        <f ca="1">IFERROR(VLOOKUP(AU521,INDIRECT(AQ515),2,FALSE),"----")</f>
        <v>----</v>
      </c>
      <c r="AW521" s="685" t="e">
        <f t="shared" ca="1" si="9003"/>
        <v>#REF!</v>
      </c>
      <c r="AX521" s="686" t="str">
        <f ca="1">IFERROR(VLOOKUP(AW521,INDIRECT(AQ516),2,FALSE),"----")</f>
        <v>----</v>
      </c>
      <c r="AY521" s="685" t="e">
        <f t="shared" ca="1" si="9250"/>
        <v>#REF!</v>
      </c>
      <c r="AZ521" s="686" t="str">
        <f ca="1">IFERROR(VLOOKUP(AY521,INDIRECT(AQ517),2,FALSE),"----")</f>
        <v>----</v>
      </c>
      <c r="BA521" s="685" t="e">
        <f t="shared" ca="1" si="9251"/>
        <v>#REF!</v>
      </c>
      <c r="BB521" s="686" t="str">
        <f ca="1">IFERROR(VLOOKUP(BA521,INDIRECT(AQ518),2,FALSE),"----")</f>
        <v>----</v>
      </c>
      <c r="BC521" s="685" t="e">
        <f t="shared" ca="1" si="9006"/>
        <v>#REF!</v>
      </c>
      <c r="BD521" s="686" t="str">
        <f ca="1">IFERROR(VLOOKUP(BC521,INDIRECT(AQ519),2,FALSE),"----")</f>
        <v>----</v>
      </c>
      <c r="BE521" s="685" t="e">
        <f t="shared" ca="1" si="9007"/>
        <v>#REF!</v>
      </c>
      <c r="BF521" s="686" t="str">
        <f ca="1">IFERROR(VLOOKUP(BE521,INDIRECT(AQ520),2,FALSE),"----")</f>
        <v>----</v>
      </c>
      <c r="BG521" s="702" t="e">
        <f t="shared" ca="1" si="9008"/>
        <v>#REF!</v>
      </c>
      <c r="BH521" s="686" t="str">
        <f ca="1">IFERROR(VLOOKUP(BG521,INDIRECT(AQ521),2,FALSE),"----")</f>
        <v>----</v>
      </c>
      <c r="BI521" s="702" t="e">
        <f t="shared" ca="1" si="9009"/>
        <v>#REF!</v>
      </c>
      <c r="BJ521" s="686" t="str">
        <f ca="1">IFERROR(VLOOKUP(BI521,INDIRECT(AQ522),2,FALSE),"----")</f>
        <v>----</v>
      </c>
      <c r="BK521" s="702" t="e">
        <f t="shared" ca="1" si="9010"/>
        <v>#REF!</v>
      </c>
      <c r="BL521" s="686" t="str">
        <f ca="1">IFERROR(VLOOKUP(BK521,INDIRECT(AQ523),2,FALSE),"----")</f>
        <v>----</v>
      </c>
      <c r="BM521" s="702" t="e">
        <f t="shared" ca="1" si="9011"/>
        <v>#REF!</v>
      </c>
      <c r="BN521" s="686" t="str">
        <f ca="1">IFERROR(VLOOKUP(BM521,INDIRECT(AQ524),2,FALSE),"----")</f>
        <v>----</v>
      </c>
      <c r="BO521" s="702" t="e">
        <f t="shared" ca="1" si="9012"/>
        <v>#REF!</v>
      </c>
      <c r="BP521" s="686" t="str">
        <f ca="1">IFERROR(VLOOKUP(BO521,INDIRECT(AQ525),2,FALSE),"----")</f>
        <v>----</v>
      </c>
      <c r="BQ521" s="702" t="e">
        <f t="shared" ca="1" si="9013"/>
        <v>#REF!</v>
      </c>
      <c r="BR521" s="686" t="str">
        <f ca="1">IFERROR(VLOOKUP(BQ521,INDIRECT(AQ526),2,FALSE),"----")</f>
        <v>----</v>
      </c>
      <c r="BS521" s="695">
        <f>IF(AI521="",1,IF(COUNTIF(BH515:BH526,AI521)=0,2,1))</f>
        <v>1</v>
      </c>
      <c r="BT521" s="696">
        <f>IF(AP521="1",1,IF(AF521="",1,IF(BH515=".",2,1)))</f>
        <v>1</v>
      </c>
      <c r="BU521" s="706"/>
      <c r="BV521" s="155">
        <f ca="1">IF(COUNTIF(DI515:DI526,AF521)=0,IF(AF521&lt;&gt;"",0,1),1)</f>
        <v>1</v>
      </c>
      <c r="BW521" s="157">
        <f ca="1">IFERROR(MATCH(AF521,DI515:DI526,0),1)</f>
        <v>1</v>
      </c>
      <c r="BX521" s="769" t="s">
        <v>1593</v>
      </c>
      <c r="BY521" s="769" t="s">
        <v>1629</v>
      </c>
      <c r="BZ521" s="1110"/>
      <c r="CA521" s="691" t="e">
        <f t="shared" ca="1" si="9405"/>
        <v>#REF!</v>
      </c>
      <c r="CB521" s="4" t="e" cm="1">
        <f t="array" aca="1" ref="CB521" ca="1">IF(AND(INDEX(INDIRECT(BY515),CA521,4)&gt;=$AB515,INDEX(INDIRECT(BY515),CA521,5)&gt;=$S515,INDEX(INDIRECT(BY515),CA521,6)&gt;=$R515),1,0)</f>
        <v>#REF!</v>
      </c>
      <c r="CC521" s="4" t="e">
        <f t="shared" ref="CC521" ca="1" si="9509">MATCH(1,OFFSET(CB515:CB526,CD520,0,COUNT(CB515:CB526)-CD520),0)</f>
        <v>#REF!</v>
      </c>
      <c r="CD521" s="4" t="e">
        <f t="shared" ca="1" si="9407"/>
        <v>#REF!</v>
      </c>
      <c r="CE521" s="692" t="str" cm="1">
        <f t="array" aca="1" ref="CE521" ca="1">IFERROR(VLOOKUP(INDEX(CA515:CA526,CD521),INDIRECT(BY515),2,FALSE),"----")</f>
        <v>----</v>
      </c>
      <c r="CF521" s="691" t="e">
        <f t="shared" ca="1" si="9408"/>
        <v>#N/A</v>
      </c>
      <c r="CG521" s="4" t="e">
        <f ca="1">IF(AND(INDEX(SSM,CF521,4)&gt;=$AB515,INDEX(SSM,CF521,5)&gt;=$S515,INDEX(SSM,CF521,6)&gt;=$R515),1,0)</f>
        <v>#N/A</v>
      </c>
      <c r="CH521" s="4" t="e">
        <f t="shared" ref="CH521" ca="1" si="9510">MATCH(1,OFFSET(CG515:CG526,CI520,0,COUNT(CG515:CG526)-CI520),0)</f>
        <v>#REF!</v>
      </c>
      <c r="CI521" s="4" t="e">
        <f t="shared" ca="1" si="9410"/>
        <v>#REF!</v>
      </c>
      <c r="CJ521" s="692" t="str">
        <f ca="1">IFERROR(IF(AD516="Nested Steel Stud (wood infill)",VLOOKUP(INDEX(CF515:CF526,CI521),SSW,2,FALSE),VLOOKUP(INDEX(CF515:CF526,CI521),SSM,2,FALSE)),"----")</f>
        <v>----</v>
      </c>
      <c r="CK521" s="691" t="e">
        <f t="shared" ca="1" si="9411"/>
        <v>#N/A</v>
      </c>
      <c r="CL521" s="4" t="e">
        <f ca="1">IF(AND(INDEX(WSM,CK521,4)&gt;=$AB515,INDEX(WSM,CK521,5)&gt;=$S515,INDEX(WSM,CK521,6)&gt;=$R515),1,0)</f>
        <v>#N/A</v>
      </c>
      <c r="CM521" s="4" t="e">
        <f t="shared" ref="CM521" ca="1" si="9511">MATCH(1,OFFSET(CL515:CL526,CN520,0,COUNT(CL515:CL526)-CN520),0)</f>
        <v>#REF!</v>
      </c>
      <c r="CN521" s="4" t="e">
        <f t="shared" ca="1" si="9413"/>
        <v>#REF!</v>
      </c>
      <c r="CO521" s="692" t="str">
        <f ca="1">IFERROR(VLOOKUP(INDEX(CK515:CK526,CN521),WSM,2,FALSE),"----")</f>
        <v>----</v>
      </c>
      <c r="CP521" s="691" t="e">
        <f t="shared" ca="1" si="9414"/>
        <v>#N/A</v>
      </c>
      <c r="CQ521" s="4" t="e">
        <f ca="1">IF(AND(INDEX(STM,CP521,4)&gt;=$AB515,INDEX(STM,CP521,5)&gt;=$S515,INDEX(STM,CP521,6)&gt;=$R515),1,0)</f>
        <v>#N/A</v>
      </c>
      <c r="CR521" s="4" t="e">
        <f t="shared" ref="CR521" ca="1" si="9512">MATCH(1,OFFSET(CQ515:CQ526,CS520,0,COUNT(CQ515:CQ526)-CS520),0)</f>
        <v>#REF!</v>
      </c>
      <c r="CS521" s="4" t="e">
        <f t="shared" ca="1" si="9416"/>
        <v>#REF!</v>
      </c>
      <c r="CT521" s="692" t="str">
        <f ca="1">IFERROR(VLOOKUP(INDEX(CP515:CP526,CS521),STM,2,FALSE),"----")</f>
        <v>----</v>
      </c>
      <c r="CU521" s="691" t="e">
        <f t="shared" ca="1" si="9417"/>
        <v>#N/A</v>
      </c>
      <c r="CV521" s="4" t="e">
        <f ca="1">IF(AND(INDEX(ELM,CU521,4)&gt;=$AB515,INDEX(ELM,CU521,5)&gt;=$S515,INDEX(ELM,CU521,6)&gt;=$R515),1,0)</f>
        <v>#N/A</v>
      </c>
      <c r="CW521" s="4" t="e">
        <f t="shared" ref="CW521" ca="1" si="9513">MATCH(1,OFFSET(CV515:CV526,CX520,0,COUNT(CV515:CV526)-CX520),0)</f>
        <v>#REF!</v>
      </c>
      <c r="CX521" s="4" t="e">
        <f t="shared" ca="1" si="9419"/>
        <v>#REF!</v>
      </c>
      <c r="CY521" s="692" t="str">
        <f ca="1">IFERROR(VLOOKUP(INDEX(CU515:CU526,CX521),ELM,2,FALSE),"----")</f>
        <v>----</v>
      </c>
      <c r="CZ521" s="691" t="e">
        <f t="shared" ca="1" si="9420"/>
        <v>#N/A</v>
      </c>
      <c r="DA521" s="4" t="e">
        <f ca="1">IF(LEFT($J515,7)="Clad Wo",IF(AND(INDEX(SPPWS,CZ521,4)&gt;=$AB515,INDEX(SPPWS,CZ521,5)&gt;=$S515,INDEX(SPPWS,CZ521,6)&gt;=$R515),1,0),IF(AND(INDEX(SPM,CZ521,4)&gt;=$AB515,INDEX(SPM,CZ521,5)&gt;=$S515,INDEX(SPM,CZ521,6)&gt;=$R515),1,0))</f>
        <v>#N/A</v>
      </c>
      <c r="DB521" s="4" t="e">
        <f t="shared" ref="DB521" ca="1" si="9514">MATCH(1,OFFSET(DA515:DA526,DC520,0,COUNT(DA515:DA526)-DC520),0)</f>
        <v>#REF!</v>
      </c>
      <c r="DC521" s="4" t="e">
        <f t="shared" ca="1" si="9422"/>
        <v>#REF!</v>
      </c>
      <c r="DD521" s="693" t="str">
        <f ca="1">IF(LEFT($J515,7)="Clad Wo",IFERROR(VLOOKUP(INDEX(CZ515:CZ526,DC521),SPPWS,2,FALSE),"----"),IFERROR(VLOOKUP(INDEX(CZ515:CZ526,DC521),SPM,2,FALSE),"----"))</f>
        <v>----</v>
      </c>
      <c r="DE521" s="691" t="e">
        <f t="shared" ca="1" si="9423"/>
        <v>#REF!</v>
      </c>
      <c r="DF521" s="4" t="e" cm="1">
        <f t="array" aca="1" ref="DF521" ca="1">IF(AND(INDEX(INDIRECT(BY515),DE521,4)&gt;=$AB521,INDEX(INDIRECT(BY515),DE521,5)&gt;=$S515,INDEX(INDIRECT(BY515),DE521,6)&gt;=$R515),1,0)</f>
        <v>#REF!</v>
      </c>
      <c r="DG521" s="4" t="e">
        <f t="shared" ref="DG521" ca="1" si="9515">MATCH(1,OFFSET(DF515:DF526,DH520,0,COUNT(DF515:DF526)-DH520),0)</f>
        <v>#REF!</v>
      </c>
      <c r="DH521" s="4" t="e">
        <f t="shared" ca="1" si="9425"/>
        <v>#REF!</v>
      </c>
      <c r="DI521" s="692" t="str" cm="1">
        <f t="array" aca="1" ref="DI521" ca="1">IFERROR(VLOOKUP(INDEX(DE515:DE526,DH521),INDIRECT(BY515),2,FALSE),"----")</f>
        <v>----</v>
      </c>
      <c r="DJ521" s="691" t="e">
        <f t="shared" ca="1" si="9426"/>
        <v>#N/A</v>
      </c>
      <c r="DK521" s="4" t="e">
        <f ca="1">IF(AND(INDEX(SSM,DJ521,4)&gt;=$AB521,INDEX(SSM,DJ521,5)&gt;=$S515,INDEX(SSM,DJ521,6)&gt;=$R515),1,0)</f>
        <v>#N/A</v>
      </c>
      <c r="DL521" s="4" t="e">
        <f t="shared" ref="DL521" ca="1" si="9516">MATCH(1,OFFSET(DK515:DK526,DM520,0,COUNT(DK515:DK526)-DM520),0)</f>
        <v>#REF!</v>
      </c>
      <c r="DM521" s="4" t="e">
        <f t="shared" ca="1" si="9428"/>
        <v>#REF!</v>
      </c>
      <c r="DN521" s="692" t="str">
        <f ca="1">IFERROR(IF(AD522="Nested Steel Stud (wood infill)",VLOOKUP(INDEX(DJ515:DJ526,DM521),SSW,2,FALSE),VLOOKUP(INDEX(DJ515:DJ526,DM521),SSM,2,FALSE)),"----")</f>
        <v>----</v>
      </c>
      <c r="DO521" s="691" t="e">
        <f t="shared" ca="1" si="9429"/>
        <v>#N/A</v>
      </c>
      <c r="DP521" s="4" t="e">
        <f ca="1">IF(AND(INDEX(WSM,DO521,4)&gt;=$AB521,INDEX(WSM,DO521,5)&gt;=$S515,INDEX(WSM,DO521,6)&gt;=$R515),1,0)</f>
        <v>#N/A</v>
      </c>
      <c r="DQ521" s="4" t="e">
        <f t="shared" ref="DQ521" ca="1" si="9517">MATCH(1,OFFSET(DP515:DP526,DR520,0,COUNT(DP515:DP526)-DR520),0)</f>
        <v>#REF!</v>
      </c>
      <c r="DR521" s="4" t="e">
        <f t="shared" ca="1" si="9431"/>
        <v>#REF!</v>
      </c>
      <c r="DS521" s="692" t="str">
        <f ca="1">IFERROR(VLOOKUP(INDEX(DO515:DO526,DR521),WSM,2,FALSE),"----")</f>
        <v>----</v>
      </c>
      <c r="DT521" s="691" t="e">
        <f t="shared" ca="1" si="9432"/>
        <v>#N/A</v>
      </c>
      <c r="DU521" s="4" t="e">
        <f ca="1">IF(AND(INDEX(STM,DT521,4)&gt;=$AB521,INDEX(STM,DT521,5)&gt;=$S515,INDEX(STM,DT521,6)&gt;=$R515),1,0)</f>
        <v>#N/A</v>
      </c>
      <c r="DV521" s="4" t="e">
        <f t="shared" ref="DV521" ca="1" si="9518">MATCH(1,OFFSET(DU515:DU526,DW520,0,COUNT(DU515:DU526)-DW520),0)</f>
        <v>#REF!</v>
      </c>
      <c r="DW521" s="4" t="e">
        <f t="shared" ca="1" si="9434"/>
        <v>#REF!</v>
      </c>
      <c r="DX521" s="692" t="str">
        <f ca="1">IFERROR(VLOOKUP(INDEX(DT515:DT526,DW521),STM,2,FALSE),"----")</f>
        <v>----</v>
      </c>
      <c r="DY521" s="691" t="e">
        <f t="shared" ca="1" si="9435"/>
        <v>#N/A</v>
      </c>
      <c r="DZ521" s="4" t="e">
        <f ca="1">IF(AND(INDEX(ELM,DY521,4)&gt;=$AB521,INDEX(ELM,DY521,5)&gt;=$S515,INDEX(ELM,DY521,6)&gt;=$R515),1,0)</f>
        <v>#N/A</v>
      </c>
      <c r="EA521" s="4" t="e">
        <f t="shared" ref="EA521" ca="1" si="9519">MATCH(1,OFFSET(DZ515:DZ526,EB520,0,COUNT(DZ515:DZ526)-EB520),0)</f>
        <v>#REF!</v>
      </c>
      <c r="EB521" s="4" t="e">
        <f t="shared" ca="1" si="9437"/>
        <v>#REF!</v>
      </c>
      <c r="EC521" s="692" t="str">
        <f ca="1">IFERROR(VLOOKUP(INDEX(DY515:DY526,EB521),ELM,2,FALSE),"----")</f>
        <v>----</v>
      </c>
      <c r="ED521" s="691" t="e">
        <f t="shared" ca="1" si="9438"/>
        <v>#N/A</v>
      </c>
      <c r="EE521" s="4" t="e">
        <f ca="1">IF(LEFT($J515,7)="Clad Wo",IF(AND(INDEX(SPPWS,ED521,4)&gt;=$AB521,INDEX(SPPWS,ED521,5)&gt;=$S515,INDEX(SPPWS,ED521,6)&gt;=$R515),1,0),IF(AND(INDEX(SPM,ED521,4)&gt;=$AB521,INDEX(SPM,ED521,5)&gt;=$S515,INDEX(SPM,ED521,6)&gt;=$R515),1,0))</f>
        <v>#N/A</v>
      </c>
      <c r="EF521" s="4" t="e">
        <f t="shared" ref="EF521" ca="1" si="9520">MATCH(1,OFFSET(EE515:EE526,EG520,0,COUNT(EE515:EE526)-EG520),0)</f>
        <v>#REF!</v>
      </c>
      <c r="EG521" s="4" t="e">
        <f t="shared" ca="1" si="9440"/>
        <v>#REF!</v>
      </c>
      <c r="EH521" s="692" t="str">
        <f ca="1">IF(LEFT($J515,7)="Clad Wo",IFERROR(VLOOKUP(INDEX(ED515:ED526,EG521),SPPWS,2,FALSE),"----"),IFERROR(VLOOKUP(INDEX(ED515:ED526,EG521),SPM,2,FALSE),"----"))</f>
        <v>----</v>
      </c>
    </row>
    <row r="522" spans="1:138" ht="15" customHeight="1" x14ac:dyDescent="0.25">
      <c r="A522" s="1085"/>
      <c r="B522" s="925"/>
      <c r="C522" s="926"/>
      <c r="D522" s="927"/>
      <c r="E522" s="995"/>
      <c r="F522" s="996"/>
      <c r="G522" s="997"/>
      <c r="H522" s="1062"/>
      <c r="I522" s="990"/>
      <c r="J522" s="912"/>
      <c r="K522" s="913"/>
      <c r="L522" s="1002"/>
      <c r="M522" s="923"/>
      <c r="N522" s="1042"/>
      <c r="O522" s="1018"/>
      <c r="P522" s="987"/>
      <c r="Q522" s="1015"/>
      <c r="R522" s="1012"/>
      <c r="S522" s="1006"/>
      <c r="T522" s="1007"/>
      <c r="U522" s="878"/>
      <c r="V522" s="881"/>
      <c r="W522" s="884"/>
      <c r="X522" s="884"/>
      <c r="Y522" s="887"/>
      <c r="Z522" s="887"/>
      <c r="AA522" s="887"/>
      <c r="AB522" s="1081"/>
      <c r="AC522" s="1078"/>
      <c r="AD522" s="1070" t="str">
        <f t="shared" ref="AD522" si="9521">IF(ISBLANK(AD516)=TRUE,"",AD516)</f>
        <v>Nested Steel Stud</v>
      </c>
      <c r="AE522" s="1071"/>
      <c r="AF522" s="1052"/>
      <c r="AG522" s="1053"/>
      <c r="AH522" s="1053"/>
      <c r="AI522" s="1066"/>
      <c r="AJ522" s="1067"/>
      <c r="AK522" s="156" t="str">
        <f t="shared" ca="1" si="8761"/>
        <v/>
      </c>
      <c r="AL522" s="1059"/>
      <c r="AM522" s="343" t="str">
        <f ca="1">IFERROR(Q515/12*ROUND(VLOOKUP(AF522,OFFSET(SSM,0,1),6,FALSE),2),"")</f>
        <v/>
      </c>
      <c r="AN522" t="str">
        <f t="shared" ca="1" si="8785"/>
        <v/>
      </c>
      <c r="AP522" s="122" t="str">
        <f t="shared" ref="AP522" si="9522">_xlfn.CONCAT(AR522,AS526)</f>
        <v/>
      </c>
      <c r="AQ522" s="683" t="str">
        <f t="shared" si="8985"/>
        <v/>
      </c>
      <c r="AR522" s="96" t="str">
        <f t="shared" si="8745"/>
        <v/>
      </c>
      <c r="AS522" s="96" t="str">
        <f>IF(COUNTIF(Vista_1,AF521)=1,"Vista_1",IF(COUNTIF(Vista_2,AF521)=1,"Vista_2",""))</f>
        <v/>
      </c>
      <c r="AT522" s="684" t="str">
        <f>AL521</f>
        <v/>
      </c>
      <c r="AU522" s="694" t="e">
        <f t="shared" ca="1" si="9002"/>
        <v>#REF!</v>
      </c>
      <c r="AV522" s="686" t="str">
        <f ca="1">IFERROR(VLOOKUP(AU522,INDIRECT(AQ515),2,FALSE),"----")</f>
        <v>----</v>
      </c>
      <c r="AW522" s="694" t="e">
        <f t="shared" ca="1" si="9003"/>
        <v>#REF!</v>
      </c>
      <c r="AX522" s="686" t="str">
        <f ca="1">IFERROR(VLOOKUP(AW522,INDIRECT(AQ516),2,FALSE),"----")</f>
        <v>----</v>
      </c>
      <c r="AY522" s="694" t="e">
        <f t="shared" ca="1" si="9250"/>
        <v>#REF!</v>
      </c>
      <c r="AZ522" s="686" t="str">
        <f ca="1">IFERROR(VLOOKUP(AY522,INDIRECT(AQ517),2,FALSE),"----")</f>
        <v>----</v>
      </c>
      <c r="BA522" s="694" t="e">
        <f t="shared" ca="1" si="9251"/>
        <v>#REF!</v>
      </c>
      <c r="BB522" s="686" t="str">
        <f ca="1">IFERROR(VLOOKUP(BA522,INDIRECT(AQ518),2,FALSE),"----")</f>
        <v>----</v>
      </c>
      <c r="BC522" s="694" t="e">
        <f t="shared" ca="1" si="9006"/>
        <v>#REF!</v>
      </c>
      <c r="BD522" s="686" t="str">
        <f ca="1">IFERROR(VLOOKUP(BC522,INDIRECT(AQ519),2,FALSE),"----")</f>
        <v>----</v>
      </c>
      <c r="BE522" s="694" t="e">
        <f t="shared" ca="1" si="9007"/>
        <v>#REF!</v>
      </c>
      <c r="BF522" s="686" t="str">
        <f ca="1">IFERROR(VLOOKUP(BE522,INDIRECT(AQ520),2,FALSE),"----")</f>
        <v>----</v>
      </c>
      <c r="BG522" s="702" t="e">
        <f t="shared" ca="1" si="9008"/>
        <v>#REF!</v>
      </c>
      <c r="BH522" s="686" t="str">
        <f ca="1">IFERROR(VLOOKUP(BG522,INDIRECT(AQ521),2,FALSE),"----")</f>
        <v>----</v>
      </c>
      <c r="BI522" s="702" t="e">
        <f t="shared" ca="1" si="9009"/>
        <v>#REF!</v>
      </c>
      <c r="BJ522" s="686" t="str">
        <f ca="1">IFERROR(VLOOKUP(BI522,INDIRECT(AQ522),2,FALSE),"----")</f>
        <v>----</v>
      </c>
      <c r="BK522" s="702" t="e">
        <f t="shared" ca="1" si="9010"/>
        <v>#REF!</v>
      </c>
      <c r="BL522" s="686" t="str">
        <f ca="1">IFERROR(VLOOKUP(BK522,INDIRECT(AQ523),2,FALSE),"----")</f>
        <v>----</v>
      </c>
      <c r="BM522" s="702" t="e">
        <f t="shared" ca="1" si="9011"/>
        <v>#REF!</v>
      </c>
      <c r="BN522" s="686" t="str">
        <f ca="1">IFERROR(VLOOKUP(BM522,INDIRECT(AQ524),2,FALSE),"----")</f>
        <v>----</v>
      </c>
      <c r="BO522" s="702" t="e">
        <f t="shared" ca="1" si="9012"/>
        <v>#REF!</v>
      </c>
      <c r="BP522" s="686" t="str">
        <f ca="1">IFERROR(VLOOKUP(BO522,INDIRECT(AQ525),2,FALSE),"----")</f>
        <v>----</v>
      </c>
      <c r="BQ522" s="702" t="e">
        <f t="shared" ca="1" si="9013"/>
        <v>#REF!</v>
      </c>
      <c r="BR522" s="686" t="str">
        <f ca="1">IFERROR(VLOOKUP(BQ522,INDIRECT(AQ526),2,FALSE),"----")</f>
        <v>----</v>
      </c>
      <c r="BS522" s="695">
        <f>IF(AI522="",1,IF(COUNTIF(BJ515:BJ526,AI522)=0,2,1))</f>
        <v>1</v>
      </c>
      <c r="BT522" s="696">
        <f>IF(AF522="",1,IF(BJ515=".",2,1))</f>
        <v>1</v>
      </c>
      <c r="BU522" s="706"/>
      <c r="BV522" s="155">
        <f ca="1">IF(COUNTIF(DN515:DN526,AF522)=0,IF(AF522&lt;&gt;"",0,1),1)</f>
        <v>1</v>
      </c>
      <c r="BW522" s="157">
        <f ca="1">IFERROR(MATCH(AF522,DN515:DN526,0),1)</f>
        <v>1</v>
      </c>
      <c r="BX522" s="769">
        <f t="shared" ref="BX522" si="9523">E515*(H515+I515)/144/2</f>
        <v>0</v>
      </c>
      <c r="BY522" s="769">
        <f>SUM(IF(H515&gt;E515,E515^2/4,(H515*E515/2)-(H515^2/4))/144,IF(I515&gt;E515,E515^2/4,(I515*E515/2)-(I515^2/4))/144)</f>
        <v>0</v>
      </c>
      <c r="BZ522" s="1110"/>
      <c r="CA522" s="691" t="e">
        <f t="shared" ca="1" si="9405"/>
        <v>#REF!</v>
      </c>
      <c r="CB522" s="4" t="e" cm="1">
        <f t="array" aca="1" ref="CB522" ca="1">IF(AND(INDEX(INDIRECT(BY515),CA522,4)&gt;=$AB515,INDEX(INDIRECT(BY515),CA522,5)&gt;=$S515,INDEX(INDIRECT(BY515),CA522,6)&gt;=$R515),1,0)</f>
        <v>#REF!</v>
      </c>
      <c r="CC522" s="4" t="e">
        <f t="shared" ref="CC522" ca="1" si="9524">MATCH(1,OFFSET(CB515:CB526,CD521,0,COUNT(CB515:CB526)-CD521),0)</f>
        <v>#REF!</v>
      </c>
      <c r="CD522" s="4" t="e">
        <f t="shared" ca="1" si="9407"/>
        <v>#REF!</v>
      </c>
      <c r="CE522" s="692" t="str" cm="1">
        <f t="array" aca="1" ref="CE522" ca="1">IFERROR(VLOOKUP(INDEX(CA515:CA526,CD522),INDIRECT(BY515),2,FALSE),"----")</f>
        <v>----</v>
      </c>
      <c r="CF522" s="691" t="e">
        <f t="shared" ca="1" si="9408"/>
        <v>#N/A</v>
      </c>
      <c r="CG522" s="4" t="e">
        <f ca="1">IF(AND(INDEX(SSM,CF522,4)&gt;=$AB515,INDEX(SSM,CF522,5)&gt;=$S515,INDEX(SSM,CF522,6)&gt;=$R515),1,0)</f>
        <v>#N/A</v>
      </c>
      <c r="CH522" s="4" t="e">
        <f t="shared" ref="CH522" ca="1" si="9525">MATCH(1,OFFSET(CG515:CG526,CI521,0,COUNT(CG515:CG526)-CI521),0)</f>
        <v>#REF!</v>
      </c>
      <c r="CI522" s="4" t="e">
        <f t="shared" ca="1" si="9410"/>
        <v>#REF!</v>
      </c>
      <c r="CJ522" s="692" t="str">
        <f ca="1">IFERROR(IF(AD516="Nested Steel Stud (wood infill)",VLOOKUP(INDEX(CF515:CF526,CI522),SSW,2,FALSE),VLOOKUP(INDEX(CF515:CF526,CI522),SSM,2,FALSE)),"----")</f>
        <v>----</v>
      </c>
      <c r="CK522" s="691" t="e">
        <f t="shared" ca="1" si="9411"/>
        <v>#N/A</v>
      </c>
      <c r="CL522" s="4" t="e">
        <f ca="1">IF(AND(INDEX(WSM,CK522,4)&gt;=$AB515,INDEX(WSM,CK522,5)&gt;=$S515,INDEX(WSM,CK522,6)&gt;=$R515),1,0)</f>
        <v>#N/A</v>
      </c>
      <c r="CM522" s="4" t="e">
        <f t="shared" ref="CM522" ca="1" si="9526">MATCH(1,OFFSET(CL515:CL526,CN521,0,COUNT(CL515:CL526)-CN521),0)</f>
        <v>#REF!</v>
      </c>
      <c r="CN522" s="4" t="e">
        <f t="shared" ca="1" si="9413"/>
        <v>#REF!</v>
      </c>
      <c r="CO522" s="692" t="str">
        <f ca="1">IFERROR(VLOOKUP(INDEX(CK515:CK526,CN522),WSM,2,FALSE),"----")</f>
        <v>----</v>
      </c>
      <c r="CP522" s="691" t="e">
        <f t="shared" ca="1" si="9414"/>
        <v>#N/A</v>
      </c>
      <c r="CQ522" s="4" t="e">
        <f ca="1">IF(AND(INDEX(STM,CP522,4)&gt;=$AB515,INDEX(STM,CP522,5)&gt;=$S515,INDEX(STM,CP522,6)&gt;=$R515),1,0)</f>
        <v>#N/A</v>
      </c>
      <c r="CR522" s="4" t="e">
        <f t="shared" ref="CR522" ca="1" si="9527">MATCH(1,OFFSET(CQ515:CQ526,CS521,0,COUNT(CQ515:CQ526)-CS521),0)</f>
        <v>#REF!</v>
      </c>
      <c r="CS522" s="4" t="e">
        <f t="shared" ca="1" si="9416"/>
        <v>#REF!</v>
      </c>
      <c r="CT522" s="692" t="str">
        <f ca="1">IFERROR(VLOOKUP(INDEX(CP515:CP526,CS522),STM,2,FALSE),"----")</f>
        <v>----</v>
      </c>
      <c r="CU522" s="691" t="e">
        <f t="shared" ca="1" si="9417"/>
        <v>#N/A</v>
      </c>
      <c r="CV522" s="4" t="e">
        <f ca="1">IF(AND(INDEX(ELM,CU522,4)&gt;=$AB515,INDEX(ELM,CU522,5)&gt;=$S515,INDEX(ELM,CU522,6)&gt;=$R515),1,0)</f>
        <v>#N/A</v>
      </c>
      <c r="CW522" s="4" t="e">
        <f t="shared" ref="CW522" ca="1" si="9528">MATCH(1,OFFSET(CV515:CV526,CX521,0,COUNT(CV515:CV526)-CX521),0)</f>
        <v>#REF!</v>
      </c>
      <c r="CX522" s="4" t="e">
        <f t="shared" ca="1" si="9419"/>
        <v>#REF!</v>
      </c>
      <c r="CY522" s="692" t="str">
        <f ca="1">IFERROR(VLOOKUP(INDEX(CU515:CU526,CX522),ELM,2,FALSE),"----")</f>
        <v>----</v>
      </c>
      <c r="CZ522" s="691" t="e">
        <f t="shared" ca="1" si="9420"/>
        <v>#N/A</v>
      </c>
      <c r="DA522" s="4" t="e">
        <f ca="1">IF(LEFT($J515,7)="Clad Wo",IF(AND(INDEX(SPPWS,CZ522,4)&gt;=$AB515,INDEX(SPPWS,CZ522,5)&gt;=$S515,INDEX(SPPWS,CZ522,6)&gt;=$R515),1,0),IF(AND(INDEX(SPM,CZ522,4)&gt;=$AB515,INDEX(SPM,CZ522,5)&gt;=$S515,INDEX(SPM,CZ522,6)&gt;=$R515),1,0))</f>
        <v>#N/A</v>
      </c>
      <c r="DB522" s="4" t="e">
        <f t="shared" ref="DB522" ca="1" si="9529">MATCH(1,OFFSET(DA515:DA526,DC521,0,COUNT(DA515:DA526)-DC521),0)</f>
        <v>#REF!</v>
      </c>
      <c r="DC522" s="4" t="e">
        <f t="shared" ca="1" si="9422"/>
        <v>#REF!</v>
      </c>
      <c r="DD522" s="693" t="str">
        <f ca="1">IF(LEFT($J515,7)="Clad Wo",IFERROR(VLOOKUP(INDEX(CZ515:CZ526,DC522),SPPWS,2,FALSE),"----"),IFERROR(VLOOKUP(INDEX(CZ515:CZ526,DC522),SPM,2,FALSE),"----"))</f>
        <v>----</v>
      </c>
      <c r="DE522" s="691" t="e">
        <f t="shared" ca="1" si="9423"/>
        <v>#REF!</v>
      </c>
      <c r="DF522" s="4" t="e" cm="1">
        <f t="array" aca="1" ref="DF522" ca="1">IF(AND(INDEX(INDIRECT(BY515),DE522,4)&gt;=$AB521,INDEX(INDIRECT(BY515),DE522,5)&gt;=$S515,INDEX(INDIRECT(BY515),DE522,6)&gt;=$R515),1,0)</f>
        <v>#REF!</v>
      </c>
      <c r="DG522" s="4" t="e">
        <f t="shared" ref="DG522" ca="1" si="9530">MATCH(1,OFFSET(DF515:DF526,DH521,0,COUNT(DF515:DF526)-DH521),0)</f>
        <v>#REF!</v>
      </c>
      <c r="DH522" s="4" t="e">
        <f t="shared" ca="1" si="9425"/>
        <v>#REF!</v>
      </c>
      <c r="DI522" s="692" t="str" cm="1">
        <f t="array" aca="1" ref="DI522" ca="1">IFERROR(VLOOKUP(INDEX(DE515:DE526,DH522),INDIRECT(BY515),2,FALSE),"----")</f>
        <v>----</v>
      </c>
      <c r="DJ522" s="691" t="e">
        <f t="shared" ca="1" si="9426"/>
        <v>#N/A</v>
      </c>
      <c r="DK522" s="4" t="e">
        <f ca="1">IF(AND(INDEX(SSM,DJ522,4)&gt;=$AB521,INDEX(SSM,DJ522,5)&gt;=$S515,INDEX(SSM,DJ522,6)&gt;=$R515),1,0)</f>
        <v>#N/A</v>
      </c>
      <c r="DL522" s="4" t="e">
        <f t="shared" ref="DL522" ca="1" si="9531">MATCH(1,OFFSET(DK515:DK526,DM521,0,COUNT(DK515:DK526)-DM521),0)</f>
        <v>#REF!</v>
      </c>
      <c r="DM522" s="4" t="e">
        <f t="shared" ca="1" si="9428"/>
        <v>#REF!</v>
      </c>
      <c r="DN522" s="692" t="str">
        <f ca="1">IFERROR(IF(AD522="Nested Steel Stud (wood infill)",VLOOKUP(INDEX(DJ515:DJ526,DM522),SSW,2,FALSE),VLOOKUP(INDEX(DJ515:DJ526,DM522),SSM,2,FALSE)),"----")</f>
        <v>----</v>
      </c>
      <c r="DO522" s="691" t="e">
        <f t="shared" ca="1" si="9429"/>
        <v>#N/A</v>
      </c>
      <c r="DP522" s="4" t="e">
        <f ca="1">IF(AND(INDEX(WSM,DO522,4)&gt;=$AB521,INDEX(WSM,DO522,5)&gt;=$S515,INDEX(WSM,DO522,6)&gt;=$R515),1,0)</f>
        <v>#N/A</v>
      </c>
      <c r="DQ522" s="4" t="e">
        <f t="shared" ref="DQ522" ca="1" si="9532">MATCH(1,OFFSET(DP515:DP526,DR521,0,COUNT(DP515:DP526)-DR521),0)</f>
        <v>#REF!</v>
      </c>
      <c r="DR522" s="4" t="e">
        <f t="shared" ca="1" si="9431"/>
        <v>#REF!</v>
      </c>
      <c r="DS522" s="692" t="str">
        <f ca="1">IFERROR(VLOOKUP(INDEX(DO515:DO526,DR522),WSM,2,FALSE),"----")</f>
        <v>----</v>
      </c>
      <c r="DT522" s="691" t="e">
        <f t="shared" ca="1" si="9432"/>
        <v>#N/A</v>
      </c>
      <c r="DU522" s="4" t="e">
        <f ca="1">IF(AND(INDEX(STM,DT522,4)&gt;=$AB521,INDEX(STM,DT522,5)&gt;=$S515,INDEX(STM,DT522,6)&gt;=$R515),1,0)</f>
        <v>#N/A</v>
      </c>
      <c r="DV522" s="4" t="e">
        <f t="shared" ref="DV522" ca="1" si="9533">MATCH(1,OFFSET(DU515:DU526,DW521,0,COUNT(DU515:DU526)-DW521),0)</f>
        <v>#REF!</v>
      </c>
      <c r="DW522" s="4" t="e">
        <f t="shared" ca="1" si="9434"/>
        <v>#REF!</v>
      </c>
      <c r="DX522" s="692" t="str">
        <f ca="1">IFERROR(VLOOKUP(INDEX(DT515:DT526,DW522),STM,2,FALSE),"----")</f>
        <v>----</v>
      </c>
      <c r="DY522" s="691" t="e">
        <f t="shared" ca="1" si="9435"/>
        <v>#N/A</v>
      </c>
      <c r="DZ522" s="4" t="e">
        <f ca="1">IF(AND(INDEX(ELM,DY522,4)&gt;=$AB521,INDEX(ELM,DY522,5)&gt;=$S515,INDEX(ELM,DY522,6)&gt;=$R515),1,0)</f>
        <v>#N/A</v>
      </c>
      <c r="EA522" s="4" t="e">
        <f t="shared" ref="EA522" ca="1" si="9534">MATCH(1,OFFSET(DZ515:DZ526,EB521,0,COUNT(DZ515:DZ526)-EB521),0)</f>
        <v>#REF!</v>
      </c>
      <c r="EB522" s="4" t="e">
        <f t="shared" ca="1" si="9437"/>
        <v>#REF!</v>
      </c>
      <c r="EC522" s="692" t="str">
        <f ca="1">IFERROR(VLOOKUP(INDEX(DY515:DY526,EB522),ELM,2,FALSE),"----")</f>
        <v>----</v>
      </c>
      <c r="ED522" s="691" t="e">
        <f t="shared" ca="1" si="9438"/>
        <v>#N/A</v>
      </c>
      <c r="EE522" s="4" t="e">
        <f ca="1">IF(LEFT($J515,7)="Clad Wo",IF(AND(INDEX(SPPWS,ED522,4)&gt;=$AB521,INDEX(SPPWS,ED522,5)&gt;=$S515,INDEX(SPPWS,ED522,6)&gt;=$R515),1,0),IF(AND(INDEX(SPM,ED522,4)&gt;=$AB521,INDEX(SPM,ED522,5)&gt;=$S515,INDEX(SPM,ED522,6)&gt;=$R515),1,0))</f>
        <v>#N/A</v>
      </c>
      <c r="EF522" s="4" t="e">
        <f t="shared" ref="EF522" ca="1" si="9535">MATCH(1,OFFSET(EE515:EE526,EG521,0,COUNT(EE515:EE526)-EG521),0)</f>
        <v>#REF!</v>
      </c>
      <c r="EG522" s="4" t="e">
        <f t="shared" ca="1" si="9440"/>
        <v>#REF!</v>
      </c>
      <c r="EH522" s="692" t="str">
        <f ca="1">IF(LEFT($J515,7)="Clad Wo",IFERROR(VLOOKUP(INDEX(ED515:ED526,EG522),SPPWS,2,FALSE),"----"),IFERROR(VLOOKUP(INDEX(ED515:ED526,EG522),SPM,2,FALSE),"----"))</f>
        <v>----</v>
      </c>
    </row>
    <row r="523" spans="1:138" ht="15" customHeight="1" x14ac:dyDescent="0.25">
      <c r="A523" s="1085"/>
      <c r="B523" s="925"/>
      <c r="C523" s="926"/>
      <c r="D523" s="927"/>
      <c r="E523" s="995"/>
      <c r="F523" s="996"/>
      <c r="G523" s="997"/>
      <c r="H523" s="1062"/>
      <c r="I523" s="990"/>
      <c r="J523" s="902"/>
      <c r="K523" s="903"/>
      <c r="L523" s="1002"/>
      <c r="M523" s="923"/>
      <c r="N523" s="1042"/>
      <c r="O523" s="1018"/>
      <c r="P523" s="987"/>
      <c r="Q523" s="1015"/>
      <c r="R523" s="1012"/>
      <c r="S523" s="1006"/>
      <c r="T523" s="1007"/>
      <c r="U523" s="878"/>
      <c r="V523" s="881"/>
      <c r="W523" s="884"/>
      <c r="X523" s="884"/>
      <c r="Y523" s="887"/>
      <c r="Z523" s="887"/>
      <c r="AA523" s="887"/>
      <c r="AB523" s="1081"/>
      <c r="AC523" s="1078"/>
      <c r="AD523" s="1070" t="str">
        <f t="shared" si="8814"/>
        <v>Wood Stud Framing</v>
      </c>
      <c r="AE523" s="1071"/>
      <c r="AF523" s="1052"/>
      <c r="AG523" s="1053"/>
      <c r="AH523" s="1053"/>
      <c r="AI523" s="1066"/>
      <c r="AJ523" s="1067"/>
      <c r="AK523" s="156" t="str">
        <f t="shared" ca="1" si="8761"/>
        <v/>
      </c>
      <c r="AL523" s="1059"/>
      <c r="AM523" s="344" t="str">
        <f ca="1">IFERROR(Q515/12*ROUND(VLOOKUP(AF523,OFFSET(WSM,0,1),6,FALSE),2),"")</f>
        <v/>
      </c>
      <c r="AN523" t="str">
        <f t="shared" ca="1" si="8785"/>
        <v/>
      </c>
      <c r="AP523" s="122" t="str">
        <f t="shared" ref="AP523" si="9536">_xlfn.CONCAT(AR523,AS526)</f>
        <v/>
      </c>
      <c r="AQ523" s="683" t="str">
        <f t="shared" si="8985"/>
        <v/>
      </c>
      <c r="AR523" s="4" t="str">
        <f t="shared" si="8745"/>
        <v/>
      </c>
      <c r="AS523" s="4"/>
      <c r="AT523" s="697" t="str">
        <f>AL521</f>
        <v/>
      </c>
      <c r="AU523" s="694" t="e">
        <f t="shared" ca="1" si="9002"/>
        <v>#REF!</v>
      </c>
      <c r="AV523" s="686" t="str">
        <f ca="1">IFERROR(VLOOKUP(AU523,INDIRECT(AQ515),2,FALSE),"----")</f>
        <v>----</v>
      </c>
      <c r="AW523" s="694" t="e">
        <f t="shared" ca="1" si="9003"/>
        <v>#REF!</v>
      </c>
      <c r="AX523" s="686" t="str">
        <f ca="1">IFERROR(VLOOKUP(AW523,INDIRECT(AQ516),2,FALSE),"----")</f>
        <v>----</v>
      </c>
      <c r="AY523" s="694" t="e">
        <f t="shared" ca="1" si="9250"/>
        <v>#REF!</v>
      </c>
      <c r="AZ523" s="686" t="str">
        <f ca="1">IFERROR(VLOOKUP(AY523,INDIRECT(AQ517),2,FALSE),"----")</f>
        <v>----</v>
      </c>
      <c r="BA523" s="694" t="e">
        <f t="shared" ca="1" si="9251"/>
        <v>#REF!</v>
      </c>
      <c r="BB523" s="686" t="str">
        <f ca="1">IFERROR(VLOOKUP(BA523,INDIRECT(AQ518),2,FALSE),"----")</f>
        <v>----</v>
      </c>
      <c r="BC523" s="694" t="e">
        <f t="shared" ca="1" si="9006"/>
        <v>#REF!</v>
      </c>
      <c r="BD523" s="686" t="str">
        <f ca="1">IFERROR(VLOOKUP(BC523,INDIRECT(AQ519),2,FALSE),"----")</f>
        <v>----</v>
      </c>
      <c r="BE523" s="694" t="e">
        <f t="shared" ca="1" si="9007"/>
        <v>#REF!</v>
      </c>
      <c r="BF523" s="686" t="str">
        <f ca="1">IFERROR(VLOOKUP(BE523,INDIRECT(AQ520),2,FALSE),"----")</f>
        <v>----</v>
      </c>
      <c r="BG523" s="702" t="e">
        <f t="shared" ca="1" si="9008"/>
        <v>#REF!</v>
      </c>
      <c r="BH523" s="686" t="str">
        <f ca="1">IFERROR(VLOOKUP(BG523,INDIRECT(AQ521),2,FALSE),"----")</f>
        <v>----</v>
      </c>
      <c r="BI523" s="702" t="e">
        <f t="shared" ca="1" si="9009"/>
        <v>#REF!</v>
      </c>
      <c r="BJ523" s="686" t="str">
        <f ca="1">IFERROR(VLOOKUP(BI523,INDIRECT(AQ522),2,FALSE),"----")</f>
        <v>----</v>
      </c>
      <c r="BK523" s="702" t="e">
        <f t="shared" ca="1" si="9010"/>
        <v>#REF!</v>
      </c>
      <c r="BL523" s="686" t="str">
        <f ca="1">IFERROR(VLOOKUP(BK523,INDIRECT(AQ523),2,FALSE),"----")</f>
        <v>----</v>
      </c>
      <c r="BM523" s="702" t="e">
        <f t="shared" ca="1" si="9011"/>
        <v>#REF!</v>
      </c>
      <c r="BN523" s="686" t="str">
        <f ca="1">IFERROR(VLOOKUP(BM523,INDIRECT(AQ524),2,FALSE),"----")</f>
        <v>----</v>
      </c>
      <c r="BO523" s="702" t="e">
        <f t="shared" ca="1" si="9012"/>
        <v>#REF!</v>
      </c>
      <c r="BP523" s="686" t="str">
        <f ca="1">IFERROR(VLOOKUP(BO523,INDIRECT(AQ525),2,FALSE),"----")</f>
        <v>----</v>
      </c>
      <c r="BQ523" s="702" t="e">
        <f t="shared" ca="1" si="9013"/>
        <v>#REF!</v>
      </c>
      <c r="BR523" s="686" t="str">
        <f ca="1">IFERROR(VLOOKUP(BQ523,INDIRECT(AQ526),2,FALSE),"----")</f>
        <v>----</v>
      </c>
      <c r="BS523" s="695">
        <f>IF(AI523="",1,IF(COUNTIF(BL515:BL526,AI523)=0,2,1))</f>
        <v>1</v>
      </c>
      <c r="BT523" s="696">
        <f>IF(AF523="",1,IF(BL515=".",2,1))</f>
        <v>1</v>
      </c>
      <c r="BU523" s="706"/>
      <c r="BV523" s="155">
        <f ca="1">IF(COUNTIF(DS515:DS526,AF523)=0,IF(AF523&lt;&gt;"",0,1),1)</f>
        <v>1</v>
      </c>
      <c r="BW523" s="157">
        <f ca="1">IFERROR(MATCH(AF523,DS515:DS526,0),1)</f>
        <v>1</v>
      </c>
      <c r="BX523" s="769" t="e">
        <f t="shared" ref="BX523" si="9537">5*E515^3*W515/(384*X515)</f>
        <v>#VALUE!</v>
      </c>
      <c r="BY523" s="769" t="e">
        <f t="shared" ref="BY523" si="9538">W515*E515^3/(60*X515)</f>
        <v>#VALUE!</v>
      </c>
      <c r="BZ523" s="1110"/>
      <c r="CA523" s="691" t="e">
        <f t="shared" ca="1" si="9405"/>
        <v>#REF!</v>
      </c>
      <c r="CB523" s="4" t="e" cm="1">
        <f t="array" aca="1" ref="CB523" ca="1">IF(AND(INDEX(INDIRECT(BY515),CA523,4)&gt;=$AB515,INDEX(INDIRECT(BY515),CA523,5)&gt;=$S515,INDEX(INDIRECT(BY515),CA523,6)&gt;=$R515),1,0)</f>
        <v>#REF!</v>
      </c>
      <c r="CC523" s="4" t="e">
        <f t="shared" ref="CC523" ca="1" si="9539">MATCH(1,OFFSET(CB515:CB526,CD522,0,COUNT(CB515:CB526)-CD522),0)</f>
        <v>#REF!</v>
      </c>
      <c r="CD523" s="4" t="e">
        <f t="shared" ca="1" si="9407"/>
        <v>#REF!</v>
      </c>
      <c r="CE523" s="692" t="str" cm="1">
        <f t="array" aca="1" ref="CE523" ca="1">IFERROR(VLOOKUP(INDEX(CA515:CA526,CD523),INDIRECT(BY515),2,FALSE),"----")</f>
        <v>----</v>
      </c>
      <c r="CF523" s="691" t="e">
        <f t="shared" ca="1" si="9408"/>
        <v>#N/A</v>
      </c>
      <c r="CG523" s="4" t="e">
        <f ca="1">IF(AND(INDEX(SSM,CF523,4)&gt;=$AB515,INDEX(SSM,CF523,5)&gt;=$S515,INDEX(SSM,CF523,6)&gt;=$R515),1,0)</f>
        <v>#N/A</v>
      </c>
      <c r="CH523" s="4" t="e">
        <f t="shared" ref="CH523" ca="1" si="9540">MATCH(1,OFFSET(CG515:CG526,CI522,0,COUNT(CG515:CG526)-CI522),0)</f>
        <v>#REF!</v>
      </c>
      <c r="CI523" s="4" t="e">
        <f t="shared" ca="1" si="9410"/>
        <v>#REF!</v>
      </c>
      <c r="CJ523" s="692" t="str">
        <f ca="1">IFERROR(IF(AD516="Nested Steel Stud (wood infill)",VLOOKUP(INDEX(CF515:CF526,CI523),SSW,2,FALSE),VLOOKUP(INDEX(CF515:CF526,CI523),SSM,2,FALSE)),"----")</f>
        <v>----</v>
      </c>
      <c r="CK523" s="691" t="e">
        <f t="shared" ca="1" si="9411"/>
        <v>#N/A</v>
      </c>
      <c r="CL523" s="4" t="e">
        <f ca="1">IF(AND(INDEX(WSM,CK523,4)&gt;=$AB515,INDEX(WSM,CK523,5)&gt;=$S515,INDEX(WSM,CK523,6)&gt;=$R515),1,0)</f>
        <v>#N/A</v>
      </c>
      <c r="CM523" s="4" t="e">
        <f t="shared" ref="CM523" ca="1" si="9541">MATCH(1,OFFSET(CL515:CL526,CN522,0,COUNT(CL515:CL526)-CN522),0)</f>
        <v>#REF!</v>
      </c>
      <c r="CN523" s="4" t="e">
        <f t="shared" ca="1" si="9413"/>
        <v>#REF!</v>
      </c>
      <c r="CO523" s="692" t="str">
        <f ca="1">IFERROR(VLOOKUP(INDEX(CK515:CK526,CN523),WSM,2,FALSE),"----")</f>
        <v>----</v>
      </c>
      <c r="CP523" s="691" t="e">
        <f t="shared" ca="1" si="9414"/>
        <v>#N/A</v>
      </c>
      <c r="CQ523" s="4" t="e">
        <f ca="1">IF(AND(INDEX(STM,CP523,4)&gt;=$AB515,INDEX(STM,CP523,5)&gt;=$S515,INDEX(STM,CP523,6)&gt;=$R515),1,0)</f>
        <v>#N/A</v>
      </c>
      <c r="CR523" s="4" t="e">
        <f t="shared" ref="CR523" ca="1" si="9542">MATCH(1,OFFSET(CQ515:CQ526,CS522,0,COUNT(CQ515:CQ526)-CS522),0)</f>
        <v>#REF!</v>
      </c>
      <c r="CS523" s="4" t="e">
        <f t="shared" ca="1" si="9416"/>
        <v>#REF!</v>
      </c>
      <c r="CT523" s="692" t="str">
        <f ca="1">IFERROR(VLOOKUP(INDEX(CP515:CP526,CS523),STM,2,FALSE),"----")</f>
        <v>----</v>
      </c>
      <c r="CU523" s="691" t="e">
        <f t="shared" ca="1" si="9417"/>
        <v>#N/A</v>
      </c>
      <c r="CV523" s="4" t="e">
        <f ca="1">IF(AND(INDEX(ELM,CU523,4)&gt;=$AB515,INDEX(ELM,CU523,5)&gt;=$S515,INDEX(ELM,CU523,6)&gt;=$R515),1,0)</f>
        <v>#N/A</v>
      </c>
      <c r="CW523" s="4" t="e">
        <f t="shared" ref="CW523" ca="1" si="9543">MATCH(1,OFFSET(CV515:CV526,CX522,0,COUNT(CV515:CV526)-CX522),0)</f>
        <v>#REF!</v>
      </c>
      <c r="CX523" s="4" t="e">
        <f t="shared" ca="1" si="9419"/>
        <v>#REF!</v>
      </c>
      <c r="CY523" s="692" t="str">
        <f ca="1">IFERROR(VLOOKUP(INDEX(CU515:CU526,CX523),ELM,2,FALSE),"----")</f>
        <v>----</v>
      </c>
      <c r="CZ523" s="691" t="e">
        <f t="shared" ca="1" si="9420"/>
        <v>#N/A</v>
      </c>
      <c r="DA523" s="4" t="e">
        <f ca="1">IF(LEFT($J515,7)="Clad Wo",IF(AND(INDEX(SPPWS,CZ523,4)&gt;=$AB515,INDEX(SPPWS,CZ523,5)&gt;=$S515,INDEX(SPPWS,CZ523,6)&gt;=$R515),1,0),IF(AND(INDEX(SPM,CZ523,4)&gt;=$AB515,INDEX(SPM,CZ523,5)&gt;=$S515,INDEX(SPM,CZ523,6)&gt;=$R515),1,0))</f>
        <v>#N/A</v>
      </c>
      <c r="DB523" s="4" t="e">
        <f t="shared" ref="DB523" ca="1" si="9544">MATCH(1,OFFSET(DA515:DA526,DC522,0,COUNT(DA515:DA526)-DC522),0)</f>
        <v>#REF!</v>
      </c>
      <c r="DC523" s="4" t="e">
        <f t="shared" ca="1" si="9422"/>
        <v>#REF!</v>
      </c>
      <c r="DD523" s="693" t="str">
        <f ca="1">IF(LEFT($J515,7)="Clad Wo",IFERROR(VLOOKUP(INDEX(CZ515:CZ526,DC523),SPPWS,2,FALSE),"----"),IFERROR(VLOOKUP(INDEX(CZ515:CZ526,DC523),SPM,2,FALSE),"----"))</f>
        <v>----</v>
      </c>
      <c r="DE523" s="691" t="e">
        <f t="shared" ca="1" si="9423"/>
        <v>#REF!</v>
      </c>
      <c r="DF523" s="4" t="e" cm="1">
        <f t="array" aca="1" ref="DF523" ca="1">IF(AND(INDEX(INDIRECT(BY515),DE523,4)&gt;=$AB521,INDEX(INDIRECT(BY515),DE523,5)&gt;=$S515,INDEX(INDIRECT(BY515),DE523,6)&gt;=$R515),1,0)</f>
        <v>#REF!</v>
      </c>
      <c r="DG523" s="4" t="e">
        <f t="shared" ref="DG523" ca="1" si="9545">MATCH(1,OFFSET(DF515:DF526,DH522,0,COUNT(DF515:DF526)-DH522),0)</f>
        <v>#REF!</v>
      </c>
      <c r="DH523" s="4" t="e">
        <f t="shared" ca="1" si="9425"/>
        <v>#REF!</v>
      </c>
      <c r="DI523" s="692" t="str" cm="1">
        <f t="array" aca="1" ref="DI523" ca="1">IFERROR(VLOOKUP(INDEX(DE515:DE526,DH523),INDIRECT(BY515),2,FALSE),"----")</f>
        <v>----</v>
      </c>
      <c r="DJ523" s="691" t="e">
        <f t="shared" ca="1" si="9426"/>
        <v>#N/A</v>
      </c>
      <c r="DK523" s="4" t="e">
        <f ca="1">IF(AND(INDEX(SSM,DJ523,4)&gt;=$AB521,INDEX(SSM,DJ523,5)&gt;=$S515,INDEX(SSM,DJ523,6)&gt;=$R515),1,0)</f>
        <v>#N/A</v>
      </c>
      <c r="DL523" s="4" t="e">
        <f t="shared" ref="DL523" ca="1" si="9546">MATCH(1,OFFSET(DK515:DK526,DM522,0,COUNT(DK515:DK526)-DM522),0)</f>
        <v>#REF!</v>
      </c>
      <c r="DM523" s="4" t="e">
        <f t="shared" ca="1" si="9428"/>
        <v>#REF!</v>
      </c>
      <c r="DN523" s="692" t="str">
        <f ca="1">IFERROR(IF(AD522="Nested Steel Stud (wood infill)",VLOOKUP(INDEX(DJ515:DJ526,DM523),SSW,2,FALSE),VLOOKUP(INDEX(DJ515:DJ526,DM523),SSM,2,FALSE)),"----")</f>
        <v>----</v>
      </c>
      <c r="DO523" s="691" t="e">
        <f t="shared" ca="1" si="9429"/>
        <v>#N/A</v>
      </c>
      <c r="DP523" s="4" t="e">
        <f ca="1">IF(AND(INDEX(WSM,DO523,4)&gt;=$AB521,INDEX(WSM,DO523,5)&gt;=$S515,INDEX(WSM,DO523,6)&gt;=$R515),1,0)</f>
        <v>#N/A</v>
      </c>
      <c r="DQ523" s="4" t="e">
        <f t="shared" ref="DQ523" ca="1" si="9547">MATCH(1,OFFSET(DP515:DP526,DR522,0,COUNT(DP515:DP526)-DR522),0)</f>
        <v>#REF!</v>
      </c>
      <c r="DR523" s="4" t="e">
        <f t="shared" ca="1" si="9431"/>
        <v>#REF!</v>
      </c>
      <c r="DS523" s="692" t="str">
        <f ca="1">IFERROR(VLOOKUP(INDEX(DO515:DO526,DR523),WSM,2,FALSE),"----")</f>
        <v>----</v>
      </c>
      <c r="DT523" s="691" t="e">
        <f t="shared" ca="1" si="9432"/>
        <v>#N/A</v>
      </c>
      <c r="DU523" s="4" t="e">
        <f ca="1">IF(AND(INDEX(STM,DT523,4)&gt;=$AB521,INDEX(STM,DT523,5)&gt;=$S515,INDEX(STM,DT523,6)&gt;=$R515),1,0)</f>
        <v>#N/A</v>
      </c>
      <c r="DV523" s="4" t="e">
        <f t="shared" ref="DV523" ca="1" si="9548">MATCH(1,OFFSET(DU515:DU526,DW522,0,COUNT(DU515:DU526)-DW522),0)</f>
        <v>#REF!</v>
      </c>
      <c r="DW523" s="4" t="e">
        <f t="shared" ca="1" si="9434"/>
        <v>#REF!</v>
      </c>
      <c r="DX523" s="692" t="str">
        <f ca="1">IFERROR(VLOOKUP(INDEX(DT515:DT526,DW523),STM,2,FALSE),"----")</f>
        <v>----</v>
      </c>
      <c r="DY523" s="691" t="e">
        <f t="shared" ca="1" si="9435"/>
        <v>#N/A</v>
      </c>
      <c r="DZ523" s="4" t="e">
        <f ca="1">IF(AND(INDEX(ELM,DY523,4)&gt;=$AB521,INDEX(ELM,DY523,5)&gt;=$S515,INDEX(ELM,DY523,6)&gt;=$R515),1,0)</f>
        <v>#N/A</v>
      </c>
      <c r="EA523" s="4" t="e">
        <f t="shared" ref="EA523" ca="1" si="9549">MATCH(1,OFFSET(DZ515:DZ526,EB522,0,COUNT(DZ515:DZ526)-EB522),0)</f>
        <v>#REF!</v>
      </c>
      <c r="EB523" s="4" t="e">
        <f t="shared" ca="1" si="9437"/>
        <v>#REF!</v>
      </c>
      <c r="EC523" s="692" t="str">
        <f ca="1">IFERROR(VLOOKUP(INDEX(DY515:DY526,EB523),ELM,2,FALSE),"----")</f>
        <v>----</v>
      </c>
      <c r="ED523" s="691" t="e">
        <f t="shared" ca="1" si="9438"/>
        <v>#N/A</v>
      </c>
      <c r="EE523" s="4" t="e">
        <f ca="1">IF(LEFT($J515,7)="Clad Wo",IF(AND(INDEX(SPPWS,ED523,4)&gt;=$AB521,INDEX(SPPWS,ED523,5)&gt;=$S515,INDEX(SPPWS,ED523,6)&gt;=$R515),1,0),IF(AND(INDEX(SPM,ED523,4)&gt;=$AB521,INDEX(SPM,ED523,5)&gt;=$S515,INDEX(SPM,ED523,6)&gt;=$R515),1,0))</f>
        <v>#N/A</v>
      </c>
      <c r="EF523" s="4" t="e">
        <f t="shared" ref="EF523" ca="1" si="9550">MATCH(1,OFFSET(EE515:EE526,EG522,0,COUNT(EE515:EE526)-EG522),0)</f>
        <v>#REF!</v>
      </c>
      <c r="EG523" s="4" t="e">
        <f t="shared" ca="1" si="9440"/>
        <v>#REF!</v>
      </c>
      <c r="EH523" s="692" t="str">
        <f ca="1">IF(LEFT($J515,7)="Clad Wo",IFERROR(VLOOKUP(INDEX(ED515:ED526,EG523),SPPWS,2,FALSE),"----"),IFERROR(VLOOKUP(INDEX(ED515:ED526,EG523),SPM,2,FALSE),"----"))</f>
        <v>----</v>
      </c>
    </row>
    <row r="524" spans="1:138" ht="15" customHeight="1" x14ac:dyDescent="0.25">
      <c r="A524" s="1085"/>
      <c r="B524" s="925"/>
      <c r="C524" s="926"/>
      <c r="D524" s="927"/>
      <c r="E524" s="995"/>
      <c r="F524" s="996"/>
      <c r="G524" s="997"/>
      <c r="H524" s="1062"/>
      <c r="I524" s="990"/>
      <c r="J524" s="902"/>
      <c r="K524" s="903"/>
      <c r="L524" s="1002"/>
      <c r="M524" s="923"/>
      <c r="N524" s="1042"/>
      <c r="O524" s="1018"/>
      <c r="P524" s="987"/>
      <c r="Q524" s="1015"/>
      <c r="R524" s="1012"/>
      <c r="S524" s="1006"/>
      <c r="T524" s="1007"/>
      <c r="U524" s="878"/>
      <c r="V524" s="881"/>
      <c r="W524" s="884"/>
      <c r="X524" s="884"/>
      <c r="Y524" s="887"/>
      <c r="Z524" s="887"/>
      <c r="AA524" s="887"/>
      <c r="AB524" s="1081"/>
      <c r="AC524" s="1078"/>
      <c r="AD524" s="1070" t="str">
        <f t="shared" si="8814"/>
        <v>Steel Tube</v>
      </c>
      <c r="AE524" s="1071"/>
      <c r="AF524" s="1052"/>
      <c r="AG524" s="1053"/>
      <c r="AH524" s="1053"/>
      <c r="AI524" s="1066"/>
      <c r="AJ524" s="1067"/>
      <c r="AK524" s="156" t="str">
        <f t="shared" ca="1" si="8761"/>
        <v/>
      </c>
      <c r="AL524" s="1059"/>
      <c r="AM524" s="343" t="str">
        <f ca="1">IFERROR(Q515/12*ROUND(VLOOKUP(AF524,OFFSET(STM,0,1),6,FALSE),2),"")</f>
        <v/>
      </c>
      <c r="AN524" t="str">
        <f t="shared" ca="1" si="8785"/>
        <v/>
      </c>
      <c r="AP524" s="122" t="str">
        <f t="shared" ref="AP524" si="9551">_xlfn.CONCAT(AR524,AS526)</f>
        <v/>
      </c>
      <c r="AQ524" s="683" t="str">
        <f t="shared" si="8985"/>
        <v/>
      </c>
      <c r="AR524" s="4" t="str">
        <f t="shared" si="8745"/>
        <v/>
      </c>
      <c r="AS524" s="4"/>
      <c r="AT524" s="697" t="str">
        <f>AL521</f>
        <v/>
      </c>
      <c r="AU524" s="694" t="e">
        <f t="shared" ca="1" si="9002"/>
        <v>#REF!</v>
      </c>
      <c r="AV524" s="686" t="str">
        <f ca="1">IFERROR(VLOOKUP(AU524,INDIRECT(AQ515),2,FALSE),"----")</f>
        <v>----</v>
      </c>
      <c r="AW524" s="694" t="e">
        <f t="shared" ca="1" si="9003"/>
        <v>#REF!</v>
      </c>
      <c r="AX524" s="686" t="str">
        <f ca="1">IFERROR(VLOOKUP(AW524,INDIRECT(AQ516),2,FALSE),"----")</f>
        <v>----</v>
      </c>
      <c r="AY524" s="694" t="e">
        <f t="shared" ca="1" si="9078"/>
        <v>#REF!</v>
      </c>
      <c r="AZ524" s="686" t="str">
        <f ca="1">IFERROR(VLOOKUP(AY524,INDIRECT(AQ517),2,FALSE),"----")</f>
        <v>----</v>
      </c>
      <c r="BA524" s="694" t="e">
        <f t="shared" ca="1" si="9079"/>
        <v>#REF!</v>
      </c>
      <c r="BB524" s="686" t="str">
        <f ca="1">IFERROR(VLOOKUP(BA524,INDIRECT(AQ518),2,FALSE),"----")</f>
        <v>----</v>
      </c>
      <c r="BC524" s="694" t="e">
        <f t="shared" ca="1" si="9006"/>
        <v>#REF!</v>
      </c>
      <c r="BD524" s="686" t="str">
        <f ca="1">IFERROR(VLOOKUP(BC524,INDIRECT(AQ519),2,FALSE),"----")</f>
        <v>----</v>
      </c>
      <c r="BE524" s="694" t="e">
        <f t="shared" ca="1" si="9007"/>
        <v>#REF!</v>
      </c>
      <c r="BF524" s="686" t="str">
        <f ca="1">IFERROR(VLOOKUP(BE524,INDIRECT(AQ520),2,FALSE),"----")</f>
        <v>----</v>
      </c>
      <c r="BG524" s="702" t="e">
        <f t="shared" ca="1" si="9008"/>
        <v>#REF!</v>
      </c>
      <c r="BH524" s="686" t="str">
        <f ca="1">IFERROR(VLOOKUP(BG524,INDIRECT(AQ521),2,FALSE),"----")</f>
        <v>----</v>
      </c>
      <c r="BI524" s="702" t="e">
        <f t="shared" ca="1" si="9009"/>
        <v>#REF!</v>
      </c>
      <c r="BJ524" s="686" t="str">
        <f ca="1">IFERROR(VLOOKUP(BI524,INDIRECT(AQ522),2,FALSE),"----")</f>
        <v>----</v>
      </c>
      <c r="BK524" s="702" t="e">
        <f t="shared" ca="1" si="9010"/>
        <v>#REF!</v>
      </c>
      <c r="BL524" s="686" t="str">
        <f ca="1">IFERROR(VLOOKUP(BK524,INDIRECT(AQ523),2,FALSE),"----")</f>
        <v>----</v>
      </c>
      <c r="BM524" s="702" t="e">
        <f t="shared" ca="1" si="9011"/>
        <v>#REF!</v>
      </c>
      <c r="BN524" s="686" t="str">
        <f ca="1">IFERROR(VLOOKUP(BM524,INDIRECT(AQ524),2,FALSE),"----")</f>
        <v>----</v>
      </c>
      <c r="BO524" s="702" t="e">
        <f t="shared" ca="1" si="9012"/>
        <v>#REF!</v>
      </c>
      <c r="BP524" s="686" t="str">
        <f ca="1">IFERROR(VLOOKUP(BO524,INDIRECT(AQ525),2,FALSE),"----")</f>
        <v>----</v>
      </c>
      <c r="BQ524" s="702" t="e">
        <f t="shared" ca="1" si="9013"/>
        <v>#REF!</v>
      </c>
      <c r="BR524" s="686" t="str">
        <f ca="1">IFERROR(VLOOKUP(BQ524,INDIRECT(AQ526),2,FALSE),"----")</f>
        <v>----</v>
      </c>
      <c r="BS524" s="695">
        <f>IF(AI524="",1,IF(COUNTIF(BN515:BN526,AI524)=0,2,1))</f>
        <v>1</v>
      </c>
      <c r="BT524" s="696">
        <f>IF(AF524="",1,IF(BN515=".",2,1))</f>
        <v>1</v>
      </c>
      <c r="BU524" s="706"/>
      <c r="BV524" s="155">
        <f ca="1">IF(COUNTIF(DX515:DX526,AF524)=0,IF(AF524&lt;&gt;"",0,1),1)</f>
        <v>1</v>
      </c>
      <c r="BW524" s="157">
        <f ca="1">IFERROR(MATCH(AF524,DX515:DX526,0),1)</f>
        <v>1</v>
      </c>
      <c r="BX524" s="769" t="e">
        <f t="shared" ref="BX524" si="9552">5*E515^3*W521/(384*X515)</f>
        <v>#VALUE!</v>
      </c>
      <c r="BY524" s="769" t="e">
        <f t="shared" ref="BY524" si="9553">E515^3*W521/(60*X515)</f>
        <v>#VALUE!</v>
      </c>
      <c r="BZ524" s="1110"/>
      <c r="CA524" s="691" t="e">
        <f t="shared" ca="1" si="9405"/>
        <v>#REF!</v>
      </c>
      <c r="CB524" s="4" t="e" cm="1">
        <f t="array" aca="1" ref="CB524" ca="1">IF(AND(INDEX(INDIRECT(BY515),CA524,4)&gt;=$AB515,INDEX(INDIRECT(BY515),CA524,5)&gt;=$S515,INDEX(INDIRECT(BY515),CA524,6)&gt;=$R515),1,0)</f>
        <v>#REF!</v>
      </c>
      <c r="CC524" s="4" t="e">
        <f t="shared" ref="CC524" ca="1" si="9554">MATCH(1,OFFSET(CB515:CB526,CD523,0,COUNT(CB515:CB526)-CD523),0)</f>
        <v>#REF!</v>
      </c>
      <c r="CD524" s="4" t="e">
        <f t="shared" ca="1" si="9407"/>
        <v>#REF!</v>
      </c>
      <c r="CE524" s="692" t="str" cm="1">
        <f t="array" aca="1" ref="CE524" ca="1">IFERROR(VLOOKUP(INDEX(CA515:CA526,CD524),INDIRECT(BY515),2,FALSE),"----")</f>
        <v>----</v>
      </c>
      <c r="CF524" s="691" t="e">
        <f t="shared" ca="1" si="9408"/>
        <v>#N/A</v>
      </c>
      <c r="CG524" s="4" t="e">
        <f ca="1">IF(AND(INDEX(SSM,CF524,4)&gt;=$AB515,INDEX(SSM,CF524,5)&gt;=$S515,INDEX(SSM,CF524,6)&gt;=$R515),1,0)</f>
        <v>#N/A</v>
      </c>
      <c r="CH524" s="4" t="e">
        <f t="shared" ref="CH524" ca="1" si="9555">MATCH(1,OFFSET(CG515:CG526,CI523,0,COUNT(CG515:CG526)-CI523),0)</f>
        <v>#REF!</v>
      </c>
      <c r="CI524" s="4" t="e">
        <f t="shared" ca="1" si="9410"/>
        <v>#REF!</v>
      </c>
      <c r="CJ524" s="692" t="str">
        <f ca="1">IFERROR(IF(AD516="Nested Steel Stud (wood infill)",VLOOKUP(INDEX(CF515:CF526,CI524),SSW,2,FALSE),VLOOKUP(INDEX(CF515:CF526,CI524),SSM,2,FALSE)),"----")</f>
        <v>----</v>
      </c>
      <c r="CK524" s="691" t="e">
        <f t="shared" ca="1" si="9411"/>
        <v>#N/A</v>
      </c>
      <c r="CL524" s="4" t="e">
        <f ca="1">IF(AND(INDEX(WSM,CK524,4)&gt;=$AB515,INDEX(WSM,CK524,5)&gt;=$S515,INDEX(WSM,CK524,6)&gt;=$R515),1,0)</f>
        <v>#N/A</v>
      </c>
      <c r="CM524" s="4" t="e">
        <f t="shared" ref="CM524" ca="1" si="9556">MATCH(1,OFFSET(CL515:CL526,CN523,0,COUNT(CL515:CL526)-CN523),0)</f>
        <v>#REF!</v>
      </c>
      <c r="CN524" s="4" t="e">
        <f t="shared" ca="1" si="9413"/>
        <v>#REF!</v>
      </c>
      <c r="CO524" s="692" t="str">
        <f ca="1">IFERROR(VLOOKUP(INDEX(CK515:CK526,CN524),WSM,2,FALSE),"----")</f>
        <v>----</v>
      </c>
      <c r="CP524" s="691" t="e">
        <f t="shared" ca="1" si="9414"/>
        <v>#N/A</v>
      </c>
      <c r="CQ524" s="4" t="e">
        <f ca="1">IF(AND(INDEX(STM,CP524,4)&gt;=$AB515,INDEX(STM,CP524,5)&gt;=$S515,INDEX(STM,CP524,6)&gt;=$R515),1,0)</f>
        <v>#N/A</v>
      </c>
      <c r="CR524" s="4" t="e">
        <f t="shared" ref="CR524" ca="1" si="9557">MATCH(1,OFFSET(CQ515:CQ526,CS523,0,COUNT(CQ515:CQ526)-CS523),0)</f>
        <v>#REF!</v>
      </c>
      <c r="CS524" s="4" t="e">
        <f t="shared" ca="1" si="9416"/>
        <v>#REF!</v>
      </c>
      <c r="CT524" s="692" t="str">
        <f ca="1">IFERROR(VLOOKUP(INDEX(CP515:CP526,CS524),STM,2,FALSE),"----")</f>
        <v>----</v>
      </c>
      <c r="CU524" s="691" t="e">
        <f t="shared" ca="1" si="9417"/>
        <v>#N/A</v>
      </c>
      <c r="CV524" s="4" t="e">
        <f ca="1">IF(AND(INDEX(ELM,CU524,4)&gt;=$AB515,INDEX(ELM,CU524,5)&gt;=$S515,INDEX(ELM,CU524,6)&gt;=$R515),1,0)</f>
        <v>#N/A</v>
      </c>
      <c r="CW524" s="4" t="e">
        <f t="shared" ref="CW524" ca="1" si="9558">MATCH(1,OFFSET(CV515:CV526,CX523,0,COUNT(CV515:CV526)-CX523),0)</f>
        <v>#REF!</v>
      </c>
      <c r="CX524" s="4" t="e">
        <f t="shared" ca="1" si="9419"/>
        <v>#REF!</v>
      </c>
      <c r="CY524" s="692" t="str">
        <f ca="1">IFERROR(VLOOKUP(INDEX(CU515:CU526,CX524),ELM,2,FALSE),"----")</f>
        <v>----</v>
      </c>
      <c r="CZ524" s="691" t="e">
        <f t="shared" ca="1" si="9420"/>
        <v>#N/A</v>
      </c>
      <c r="DA524" s="4" t="e">
        <f ca="1">IF(LEFT($J515,7)="Clad Wo",IF(AND(INDEX(SPPWS,CZ524,4)&gt;=$AB515,INDEX(SPPWS,CZ524,5)&gt;=$S515,INDEX(SPPWS,CZ524,6)&gt;=$R515),1,0),IF(AND(INDEX(SPM,CZ524,4)&gt;=$AB515,INDEX(SPM,CZ524,5)&gt;=$S515,INDEX(SPM,CZ524,6)&gt;=$R515),1,0))</f>
        <v>#N/A</v>
      </c>
      <c r="DB524" s="4" t="e">
        <f t="shared" ref="DB524" ca="1" si="9559">MATCH(1,OFFSET(DA515:DA526,DC523,0,COUNT(DA515:DA526)-DC523),0)</f>
        <v>#REF!</v>
      </c>
      <c r="DC524" s="4" t="e">
        <f t="shared" ca="1" si="9422"/>
        <v>#REF!</v>
      </c>
      <c r="DD524" s="693" t="str">
        <f ca="1">IF(LEFT($J515,7)="Clad Wo",IFERROR(VLOOKUP(INDEX(CZ515:CZ526,DC524),SPPWS,2,FALSE),"----"),IFERROR(VLOOKUP(INDEX(CZ515:CZ526,DC524),SPM,2,FALSE),"----"))</f>
        <v>----</v>
      </c>
      <c r="DE524" s="691" t="e">
        <f t="shared" ca="1" si="9423"/>
        <v>#REF!</v>
      </c>
      <c r="DF524" s="4" t="e" cm="1">
        <f t="array" aca="1" ref="DF524" ca="1">IF(AND(INDEX(INDIRECT(BY515),DE524,4)&gt;=$AB521,INDEX(INDIRECT(BY515),DE524,5)&gt;=$S515,INDEX(INDIRECT(BY515),DE524,6)&gt;=$R515),1,0)</f>
        <v>#REF!</v>
      </c>
      <c r="DG524" s="4" t="e">
        <f t="shared" ref="DG524" ca="1" si="9560">MATCH(1,OFFSET(DF515:DF526,DH523,0,COUNT(DF515:DF526)-DH523),0)</f>
        <v>#REF!</v>
      </c>
      <c r="DH524" s="4" t="e">
        <f t="shared" ca="1" si="9425"/>
        <v>#REF!</v>
      </c>
      <c r="DI524" s="692" t="str" cm="1">
        <f t="array" aca="1" ref="DI524" ca="1">IFERROR(VLOOKUP(INDEX(DE515:DE526,DH524),INDIRECT(BY515),2,FALSE),"----")</f>
        <v>----</v>
      </c>
      <c r="DJ524" s="691" t="e">
        <f t="shared" ca="1" si="9426"/>
        <v>#N/A</v>
      </c>
      <c r="DK524" s="4" t="e">
        <f ca="1">IF(AND(INDEX(SSM,DJ524,4)&gt;=$AB521,INDEX(SSM,DJ524,5)&gt;=$S515,INDEX(SSM,DJ524,6)&gt;=$R515),1,0)</f>
        <v>#N/A</v>
      </c>
      <c r="DL524" s="4" t="e">
        <f t="shared" ref="DL524" ca="1" si="9561">MATCH(1,OFFSET(DK515:DK526,DM523,0,COUNT(DK515:DK526)-DM523),0)</f>
        <v>#REF!</v>
      </c>
      <c r="DM524" s="4" t="e">
        <f t="shared" ca="1" si="9428"/>
        <v>#REF!</v>
      </c>
      <c r="DN524" s="692" t="str">
        <f ca="1">IFERROR(IF(AD522="Nested Steel Stud (wood infill)",VLOOKUP(INDEX(DJ515:DJ526,DM524),SSW,2,FALSE),VLOOKUP(INDEX(DJ515:DJ526,DM524),SSM,2,FALSE)),"----")</f>
        <v>----</v>
      </c>
      <c r="DO524" s="691" t="e">
        <f t="shared" ca="1" si="9429"/>
        <v>#N/A</v>
      </c>
      <c r="DP524" s="4" t="e">
        <f ca="1">IF(AND(INDEX(WSM,DO524,4)&gt;=$AB521,INDEX(WSM,DO524,5)&gt;=$S515,INDEX(WSM,DO524,6)&gt;=$R515),1,0)</f>
        <v>#N/A</v>
      </c>
      <c r="DQ524" s="4" t="e">
        <f t="shared" ref="DQ524" ca="1" si="9562">MATCH(1,OFFSET(DP515:DP526,DR523,0,COUNT(DP515:DP526)-DR523),0)</f>
        <v>#REF!</v>
      </c>
      <c r="DR524" s="4" t="e">
        <f t="shared" ca="1" si="9431"/>
        <v>#REF!</v>
      </c>
      <c r="DS524" s="692" t="str">
        <f ca="1">IFERROR(VLOOKUP(INDEX(DO515:DO526,DR524),WSM,2,FALSE),"----")</f>
        <v>----</v>
      </c>
      <c r="DT524" s="691" t="e">
        <f t="shared" ca="1" si="9432"/>
        <v>#N/A</v>
      </c>
      <c r="DU524" s="4" t="e">
        <f ca="1">IF(AND(INDEX(STM,DT524,4)&gt;=$AB521,INDEX(STM,DT524,5)&gt;=$S515,INDEX(STM,DT524,6)&gt;=$R515),1,0)</f>
        <v>#N/A</v>
      </c>
      <c r="DV524" s="4" t="e">
        <f t="shared" ref="DV524" ca="1" si="9563">MATCH(1,OFFSET(DU515:DU526,DW523,0,COUNT(DU515:DU526)-DW523),0)</f>
        <v>#REF!</v>
      </c>
      <c r="DW524" s="4" t="e">
        <f t="shared" ca="1" si="9434"/>
        <v>#REF!</v>
      </c>
      <c r="DX524" s="692" t="str">
        <f ca="1">IFERROR(VLOOKUP(INDEX(DT515:DT526,DW524),STM,2,FALSE),"----")</f>
        <v>----</v>
      </c>
      <c r="DY524" s="691" t="e">
        <f t="shared" ca="1" si="9435"/>
        <v>#N/A</v>
      </c>
      <c r="DZ524" s="4" t="e">
        <f ca="1">IF(AND(INDEX(ELM,DY524,4)&gt;=$AB521,INDEX(ELM,DY524,5)&gt;=$S515,INDEX(ELM,DY524,6)&gt;=$R515),1,0)</f>
        <v>#N/A</v>
      </c>
      <c r="EA524" s="4" t="e">
        <f t="shared" ref="EA524" ca="1" si="9564">MATCH(1,OFFSET(DZ515:DZ526,EB523,0,COUNT(DZ515:DZ526)-EB523),0)</f>
        <v>#REF!</v>
      </c>
      <c r="EB524" s="4" t="e">
        <f t="shared" ca="1" si="9437"/>
        <v>#REF!</v>
      </c>
      <c r="EC524" s="692" t="str">
        <f ca="1">IFERROR(VLOOKUP(INDEX(DY515:DY526,EB524),ELM,2,FALSE),"----")</f>
        <v>----</v>
      </c>
      <c r="ED524" s="691" t="e">
        <f t="shared" ca="1" si="9438"/>
        <v>#N/A</v>
      </c>
      <c r="EE524" s="4" t="e">
        <f ca="1">IF(LEFT($J515,7)="Clad Wo",IF(AND(INDEX(SPPWS,ED524,4)&gt;=$AB521,INDEX(SPPWS,ED524,5)&gt;=$S515,INDEX(SPPWS,ED524,6)&gt;=$R515),1,0),IF(AND(INDEX(SPM,ED524,4)&gt;=$AB521,INDEX(SPM,ED524,5)&gt;=$S515,INDEX(SPM,ED524,6)&gt;=$R515),1,0))</f>
        <v>#N/A</v>
      </c>
      <c r="EF524" s="4" t="e">
        <f t="shared" ref="EF524" ca="1" si="9565">MATCH(1,OFFSET(EE515:EE526,EG523,0,COUNT(EE515:EE526)-EG523),0)</f>
        <v>#REF!</v>
      </c>
      <c r="EG524" s="4" t="e">
        <f t="shared" ca="1" si="9440"/>
        <v>#REF!</v>
      </c>
      <c r="EH524" s="692" t="str">
        <f ca="1">IF(LEFT($J515,7)="Clad Wo",IFERROR(VLOOKUP(INDEX(ED515:ED526,EG524),SPPWS,2,FALSE),"----"),IFERROR(VLOOKUP(INDEX(ED515:ED526,EG524),SPM,2,FALSE),"----"))</f>
        <v>----</v>
      </c>
    </row>
    <row r="525" spans="1:138" ht="15" customHeight="1" x14ac:dyDescent="0.25">
      <c r="A525" s="1085"/>
      <c r="B525" s="925"/>
      <c r="C525" s="926"/>
      <c r="D525" s="927"/>
      <c r="E525" s="995"/>
      <c r="F525" s="996"/>
      <c r="G525" s="997"/>
      <c r="H525" s="1062"/>
      <c r="I525" s="990"/>
      <c r="J525" s="902"/>
      <c r="K525" s="903"/>
      <c r="L525" s="1002"/>
      <c r="M525" s="923"/>
      <c r="N525" s="1042"/>
      <c r="O525" s="1018"/>
      <c r="P525" s="987"/>
      <c r="Q525" s="1015"/>
      <c r="R525" s="1012"/>
      <c r="S525" s="1006"/>
      <c r="T525" s="1007"/>
      <c r="U525" s="878"/>
      <c r="V525" s="881"/>
      <c r="W525" s="884"/>
      <c r="X525" s="884"/>
      <c r="Y525" s="887"/>
      <c r="Z525" s="887"/>
      <c r="AA525" s="887"/>
      <c r="AB525" s="1081"/>
      <c r="AC525" s="1078"/>
      <c r="AD525" s="1070" t="str">
        <f t="shared" si="8814"/>
        <v>Engineered Lumber</v>
      </c>
      <c r="AE525" s="1071"/>
      <c r="AF525" s="1052"/>
      <c r="AG525" s="1053"/>
      <c r="AH525" s="1053"/>
      <c r="AI525" s="1068"/>
      <c r="AJ525" s="1069"/>
      <c r="AK525" s="154" t="str">
        <f t="shared" ca="1" si="8761"/>
        <v/>
      </c>
      <c r="AL525" s="1059"/>
      <c r="AM525" s="344" t="str">
        <f ca="1">IFERROR(Q515/12*ROUND(VLOOKUP(AF525,OFFSET(ELM,0,1),6,FALSE),2),"")</f>
        <v/>
      </c>
      <c r="AN525" t="str">
        <f t="shared" ca="1" si="8785"/>
        <v/>
      </c>
      <c r="AP525" s="122" t="str">
        <f t="shared" ref="AP525" si="9566">_xlfn.CONCAT(AR525,AS526)</f>
        <v/>
      </c>
      <c r="AQ525" s="683" t="str">
        <f t="shared" si="8985"/>
        <v/>
      </c>
      <c r="AR525" s="4" t="str">
        <f t="shared" si="8745"/>
        <v/>
      </c>
      <c r="AS525" s="4"/>
      <c r="AT525" s="697" t="str">
        <f>AL521</f>
        <v/>
      </c>
      <c r="AU525" s="694" t="e">
        <f t="shared" ca="1" si="9002"/>
        <v>#REF!</v>
      </c>
      <c r="AV525" s="698" t="str">
        <f ca="1">IFERROR(VLOOKUP(AU525,INDIRECT(AQ515),2,FALSE),"----")</f>
        <v>----</v>
      </c>
      <c r="AW525" s="694" t="e">
        <f t="shared" ca="1" si="9003"/>
        <v>#REF!</v>
      </c>
      <c r="AX525" s="698" t="str">
        <f ca="1">IFERROR(VLOOKUP(AW525,INDIRECT(AQ516),2,FALSE),"----")</f>
        <v>----</v>
      </c>
      <c r="AY525" s="694" t="e">
        <f t="shared" ca="1" si="9078"/>
        <v>#REF!</v>
      </c>
      <c r="AZ525" s="698" t="str">
        <f ca="1">IFERROR(VLOOKUP(AY525,INDIRECT(AQ517),2,FALSE),"----")</f>
        <v>----</v>
      </c>
      <c r="BA525" s="694" t="e">
        <f t="shared" ca="1" si="9079"/>
        <v>#REF!</v>
      </c>
      <c r="BB525" s="698" t="str">
        <f ca="1">IFERROR(VLOOKUP(BA525,INDIRECT(AQ518),2,FALSE),"----")</f>
        <v>----</v>
      </c>
      <c r="BC525" s="694" t="e">
        <f t="shared" ca="1" si="9006"/>
        <v>#REF!</v>
      </c>
      <c r="BD525" s="698" t="str">
        <f ca="1">IFERROR(VLOOKUP(BC525,INDIRECT(AQ519),2,FALSE),"----")</f>
        <v>----</v>
      </c>
      <c r="BE525" s="694" t="e">
        <f t="shared" ca="1" si="9007"/>
        <v>#REF!</v>
      </c>
      <c r="BF525" s="698" t="str">
        <f ca="1">IFERROR(VLOOKUP(BE525,INDIRECT(AQ520),2,FALSE),"----")</f>
        <v>----</v>
      </c>
      <c r="BG525" s="702" t="e">
        <f t="shared" ca="1" si="9008"/>
        <v>#REF!</v>
      </c>
      <c r="BH525" s="686" t="str">
        <f ca="1">IFERROR(VLOOKUP(BG525,INDIRECT(AQ521),2,FALSE),"----")</f>
        <v>----</v>
      </c>
      <c r="BI525" s="702" t="e">
        <f t="shared" ca="1" si="9009"/>
        <v>#REF!</v>
      </c>
      <c r="BJ525" s="686" t="str">
        <f ca="1">IFERROR(VLOOKUP(BI525,INDIRECT(AQ522),2,FALSE),"----")</f>
        <v>----</v>
      </c>
      <c r="BK525" s="702" t="e">
        <f t="shared" ca="1" si="9010"/>
        <v>#REF!</v>
      </c>
      <c r="BL525" s="686" t="str">
        <f ca="1">IFERROR(VLOOKUP(BK525,INDIRECT(AQ523),2,FALSE),"----")</f>
        <v>----</v>
      </c>
      <c r="BM525" s="702" t="e">
        <f t="shared" ca="1" si="9011"/>
        <v>#REF!</v>
      </c>
      <c r="BN525" s="686" t="str">
        <f ca="1">IFERROR(VLOOKUP(BM525,INDIRECT(AQ524),2,FALSE),"----")</f>
        <v>----</v>
      </c>
      <c r="BO525" s="702" t="e">
        <f t="shared" ca="1" si="9012"/>
        <v>#REF!</v>
      </c>
      <c r="BP525" s="686" t="str">
        <f ca="1">IFERROR(VLOOKUP(BO525,INDIRECT(AQ525),2,FALSE),"----")</f>
        <v>----</v>
      </c>
      <c r="BQ525" s="702" t="e">
        <f t="shared" ca="1" si="9013"/>
        <v>#REF!</v>
      </c>
      <c r="BR525" s="686" t="str">
        <f ca="1">IFERROR(VLOOKUP(BQ525,INDIRECT(AQ526),2,FALSE),"----")</f>
        <v>----</v>
      </c>
      <c r="BS525" s="695">
        <f>IF(AI525="",1,IF(COUNTIF(BP515:BP526,AI525)=0,2,1))</f>
        <v>1</v>
      </c>
      <c r="BT525" s="696">
        <f>IF(AF525="",1,IF(BP515=".",2,1))</f>
        <v>1</v>
      </c>
      <c r="BU525" s="706"/>
      <c r="BV525" s="155">
        <f ca="1">IF(COUNTIF(EC515:EC526,AF525)=0,IF(AF525&lt;&gt;"",0,1),1)</f>
        <v>1</v>
      </c>
      <c r="BW525" s="157">
        <f ca="1">IFERROR(MATCH(AF525,EC515:EC526,0),1)</f>
        <v>1</v>
      </c>
      <c r="BX525" s="769"/>
      <c r="BY525" s="769"/>
      <c r="BZ525" s="1110"/>
      <c r="CA525" s="691" t="e">
        <f t="shared" ca="1" si="9405"/>
        <v>#REF!</v>
      </c>
      <c r="CB525" s="4" t="e" cm="1">
        <f t="array" aca="1" ref="CB525" ca="1">IF(AND(INDEX(INDIRECT(BY515),CA525,4)&gt;=$AB515,INDEX(INDIRECT(BY515),CA525,5)&gt;=$S515,INDEX(INDIRECT(BY515),CA525,6)&gt;=$R515),1,0)</f>
        <v>#REF!</v>
      </c>
      <c r="CC525" s="4" t="e">
        <f t="shared" ref="CC525" ca="1" si="9567">MATCH(1,OFFSET(CB515:CB526,CD524,0,COUNT(CB515:CB526)-CD524),0)</f>
        <v>#REF!</v>
      </c>
      <c r="CD525" s="4" t="e">
        <f t="shared" ca="1" si="9407"/>
        <v>#REF!</v>
      </c>
      <c r="CE525" s="692" t="str" cm="1">
        <f t="array" aca="1" ref="CE525" ca="1">IFERROR(VLOOKUP(INDEX(CA515:CA526,CD525),INDIRECT(BY515),2,FALSE),"----")</f>
        <v>----</v>
      </c>
      <c r="CF525" s="691" t="e">
        <f t="shared" ca="1" si="9408"/>
        <v>#N/A</v>
      </c>
      <c r="CG525" s="4" t="e">
        <f ca="1">IF(AND(INDEX(SSM,CF525,4)&gt;=$AB515,INDEX(SSM,CF525,5)&gt;=$S515,INDEX(SSM,CF525,6)&gt;=$R515),1,0)</f>
        <v>#N/A</v>
      </c>
      <c r="CH525" s="4" t="e">
        <f t="shared" ref="CH525" ca="1" si="9568">MATCH(1,OFFSET(CG515:CG526,CI524,0,COUNT(CG515:CG526)-CI524),0)</f>
        <v>#REF!</v>
      </c>
      <c r="CI525" s="4" t="e">
        <f t="shared" ca="1" si="9410"/>
        <v>#REF!</v>
      </c>
      <c r="CJ525" s="692" t="str">
        <f ca="1">IFERROR(IF(AD516="Nested Steel Stud (wood infill)",VLOOKUP(INDEX(CF515:CF526,CI525),SSW,2,FALSE),VLOOKUP(INDEX(CF515:CF526,CI525),SSM,2,FALSE)),"----")</f>
        <v>----</v>
      </c>
      <c r="CK525" s="691" t="e">
        <f t="shared" ca="1" si="9411"/>
        <v>#N/A</v>
      </c>
      <c r="CL525" s="4" t="e">
        <f ca="1">IF(AND(INDEX(WSM,CK525,4)&gt;=$AB515,INDEX(WSM,CK525,5)&gt;=$S515,INDEX(WSM,CK525,6)&gt;=$R515),1,0)</f>
        <v>#N/A</v>
      </c>
      <c r="CM525" s="4" t="e">
        <f t="shared" ref="CM525" ca="1" si="9569">MATCH(1,OFFSET(CL515:CL526,CN524,0,COUNT(CL515:CL526)-CN524),0)</f>
        <v>#REF!</v>
      </c>
      <c r="CN525" s="4" t="e">
        <f t="shared" ca="1" si="9413"/>
        <v>#REF!</v>
      </c>
      <c r="CO525" s="692" t="str">
        <f ca="1">IFERROR(VLOOKUP(INDEX(CK515:CK526,CN525),WSM,2,FALSE),"----")</f>
        <v>----</v>
      </c>
      <c r="CP525" s="691" t="e">
        <f t="shared" ca="1" si="9414"/>
        <v>#N/A</v>
      </c>
      <c r="CQ525" s="4" t="e">
        <f ca="1">IF(AND(INDEX(STM,CP525,4)&gt;=$AB515,INDEX(STM,CP525,5)&gt;=$S515,INDEX(STM,CP525,6)&gt;=$R515),1,0)</f>
        <v>#N/A</v>
      </c>
      <c r="CR525" s="4" t="e">
        <f t="shared" ref="CR525" ca="1" si="9570">MATCH(1,OFFSET(CQ515:CQ526,CS524,0,COUNT(CQ515:CQ526)-CS524),0)</f>
        <v>#REF!</v>
      </c>
      <c r="CS525" s="4" t="e">
        <f t="shared" ca="1" si="9416"/>
        <v>#REF!</v>
      </c>
      <c r="CT525" s="692" t="str">
        <f ca="1">IFERROR(VLOOKUP(INDEX(CP515:CP526,CS525),STM,2,FALSE),"----")</f>
        <v>----</v>
      </c>
      <c r="CU525" s="691" t="e">
        <f t="shared" ca="1" si="9417"/>
        <v>#N/A</v>
      </c>
      <c r="CV525" s="4" t="e">
        <f ca="1">IF(AND(INDEX(ELM,CU525,4)&gt;=$AB515,INDEX(ELM,CU525,5)&gt;=$S515,INDEX(ELM,CU525,6)&gt;=$R515),1,0)</f>
        <v>#N/A</v>
      </c>
      <c r="CW525" s="4" t="e">
        <f t="shared" ref="CW525" ca="1" si="9571">MATCH(1,OFFSET(CV515:CV526,CX524,0,COUNT(CV515:CV526)-CX524),0)</f>
        <v>#REF!</v>
      </c>
      <c r="CX525" s="4" t="e">
        <f t="shared" ca="1" si="9419"/>
        <v>#REF!</v>
      </c>
      <c r="CY525" s="692" t="str">
        <f ca="1">IFERROR(VLOOKUP(INDEX(CU515:CU526,CX525),ELM,2,FALSE),"----")</f>
        <v>----</v>
      </c>
      <c r="CZ525" s="691" t="e">
        <f t="shared" ca="1" si="9420"/>
        <v>#N/A</v>
      </c>
      <c r="DA525" s="4" t="e">
        <f ca="1">IF(LEFT($J515,7)="Clad Wo",IF(AND(INDEX(SPPWS,CZ525,4)&gt;=$AB515,INDEX(SPPWS,CZ525,5)&gt;=$S515,INDEX(SPPWS,CZ525,6)&gt;=$R515),1,0),IF(AND(INDEX(SPM,CZ525,4)&gt;=$AB515,INDEX(SPM,CZ525,5)&gt;=$S515,INDEX(SPM,CZ525,6)&gt;=$R515),1,0))</f>
        <v>#N/A</v>
      </c>
      <c r="DB525" s="4" t="e">
        <f t="shared" ref="DB525" ca="1" si="9572">MATCH(1,OFFSET(DA515:DA526,DC524,0,COUNT(DA515:DA526)-DC524),0)</f>
        <v>#REF!</v>
      </c>
      <c r="DC525" s="4" t="e">
        <f t="shared" ca="1" si="9422"/>
        <v>#REF!</v>
      </c>
      <c r="DD525" s="693" t="str">
        <f ca="1">IF(LEFT($J515,7)="Clad Wo",IFERROR(VLOOKUP(INDEX(CZ515:CZ526,DC525),SPPWS,2,FALSE),"----"),IFERROR(VLOOKUP(INDEX(CZ515:CZ526,DC525),SPM,2,FALSE),"----"))</f>
        <v>----</v>
      </c>
      <c r="DE525" s="691" t="e">
        <f t="shared" ca="1" si="9423"/>
        <v>#REF!</v>
      </c>
      <c r="DF525" s="4" t="e" cm="1">
        <f t="array" aca="1" ref="DF525" ca="1">IF(AND(INDEX(INDIRECT(BY515),DE525,4)&gt;=$AB521,INDEX(INDIRECT(BY515),DE525,5)&gt;=$S515,INDEX(INDIRECT(BY515),DE525,6)&gt;=$R515),1,0)</f>
        <v>#REF!</v>
      </c>
      <c r="DG525" s="4" t="e">
        <f t="shared" ref="DG525" ca="1" si="9573">MATCH(1,OFFSET(DF515:DF526,DH524,0,COUNT(DF515:DF526)-DH524),0)</f>
        <v>#REF!</v>
      </c>
      <c r="DH525" s="4" t="e">
        <f t="shared" ca="1" si="9425"/>
        <v>#REF!</v>
      </c>
      <c r="DI525" s="692" t="str" cm="1">
        <f t="array" aca="1" ref="DI525" ca="1">IFERROR(VLOOKUP(INDEX(DE515:DE526,DH525),INDIRECT(BY515),2,FALSE),"----")</f>
        <v>----</v>
      </c>
      <c r="DJ525" s="691" t="e">
        <f t="shared" ca="1" si="9426"/>
        <v>#N/A</v>
      </c>
      <c r="DK525" s="4" t="e">
        <f ca="1">IF(AND(INDEX(SSM,DJ525,4)&gt;=$AB521,INDEX(SSM,DJ525,5)&gt;=$S515,INDEX(SSM,DJ525,6)&gt;=$R515),1,0)</f>
        <v>#N/A</v>
      </c>
      <c r="DL525" s="4" t="e">
        <f t="shared" ref="DL525" ca="1" si="9574">MATCH(1,OFFSET(DK515:DK526,DM524,0,COUNT(DK515:DK526)-DM524),0)</f>
        <v>#REF!</v>
      </c>
      <c r="DM525" s="4" t="e">
        <f t="shared" ca="1" si="9428"/>
        <v>#REF!</v>
      </c>
      <c r="DN525" s="692" t="str">
        <f ca="1">IFERROR(IF(AD522="Nested Steel Stud (wood infill)",VLOOKUP(INDEX(DJ515:DJ526,DM525),SSW,2,FALSE),VLOOKUP(INDEX(DJ515:DJ526,DM525),SSM,2,FALSE)),"----")</f>
        <v>----</v>
      </c>
      <c r="DO525" s="691" t="e">
        <f t="shared" ca="1" si="9429"/>
        <v>#N/A</v>
      </c>
      <c r="DP525" s="4" t="e">
        <f ca="1">IF(AND(INDEX(WSM,DO525,4)&gt;=$AB521,INDEX(WSM,DO525,5)&gt;=$S515,INDEX(WSM,DO525,6)&gt;=$R515),1,0)</f>
        <v>#N/A</v>
      </c>
      <c r="DQ525" s="4" t="e">
        <f t="shared" ref="DQ525" ca="1" si="9575">MATCH(1,OFFSET(DP515:DP526,DR524,0,COUNT(DP515:DP526)-DR524),0)</f>
        <v>#REF!</v>
      </c>
      <c r="DR525" s="4" t="e">
        <f t="shared" ca="1" si="9431"/>
        <v>#REF!</v>
      </c>
      <c r="DS525" s="692" t="str">
        <f ca="1">IFERROR(VLOOKUP(INDEX(DO515:DO526,DR525),WSM,2,FALSE),"----")</f>
        <v>----</v>
      </c>
      <c r="DT525" s="691" t="e">
        <f t="shared" ca="1" si="9432"/>
        <v>#N/A</v>
      </c>
      <c r="DU525" s="4" t="e">
        <f ca="1">IF(AND(INDEX(STM,DT525,4)&gt;=$AB521,INDEX(STM,DT525,5)&gt;=$S515,INDEX(STM,DT525,6)&gt;=$R515),1,0)</f>
        <v>#N/A</v>
      </c>
      <c r="DV525" s="4" t="e">
        <f t="shared" ref="DV525" ca="1" si="9576">MATCH(1,OFFSET(DU515:DU526,DW524,0,COUNT(DU515:DU526)-DW524),0)</f>
        <v>#REF!</v>
      </c>
      <c r="DW525" s="4" t="e">
        <f t="shared" ca="1" si="9434"/>
        <v>#REF!</v>
      </c>
      <c r="DX525" s="692" t="str">
        <f ca="1">IFERROR(VLOOKUP(INDEX(DT515:DT526,DW525),STM,2,FALSE),"----")</f>
        <v>----</v>
      </c>
      <c r="DY525" s="691" t="e">
        <f t="shared" ca="1" si="9435"/>
        <v>#N/A</v>
      </c>
      <c r="DZ525" s="4" t="e">
        <f ca="1">IF(AND(INDEX(ELM,DY525,4)&gt;=$AB521,INDEX(ELM,DY525,5)&gt;=$S515,INDEX(ELM,DY525,6)&gt;=$R515),1,0)</f>
        <v>#N/A</v>
      </c>
      <c r="EA525" s="4" t="e">
        <f t="shared" ref="EA525" ca="1" si="9577">MATCH(1,OFFSET(DZ515:DZ526,EB524,0,COUNT(DZ515:DZ526)-EB524),0)</f>
        <v>#REF!</v>
      </c>
      <c r="EB525" s="4" t="e">
        <f t="shared" ca="1" si="9437"/>
        <v>#REF!</v>
      </c>
      <c r="EC525" s="692" t="str">
        <f ca="1">IFERROR(VLOOKUP(INDEX(DY515:DY526,EB525),ELM,2,FALSE),"----")</f>
        <v>----</v>
      </c>
      <c r="ED525" s="691" t="e">
        <f t="shared" ca="1" si="9438"/>
        <v>#N/A</v>
      </c>
      <c r="EE525" s="4" t="e">
        <f ca="1">IF(LEFT($J515,7)="Clad Wo",IF(AND(INDEX(SPPWS,ED525,4)&gt;=$AB521,INDEX(SPPWS,ED525,5)&gt;=$S515,INDEX(SPPWS,ED525,6)&gt;=$R515),1,0),IF(AND(INDEX(SPM,ED525,4)&gt;=$AB521,INDEX(SPM,ED525,5)&gt;=$S515,INDEX(SPM,ED525,6)&gt;=$R515),1,0))</f>
        <v>#N/A</v>
      </c>
      <c r="EF525" s="4" t="e">
        <f t="shared" ref="EF525" ca="1" si="9578">MATCH(1,OFFSET(EE515:EE526,EG524,0,COUNT(EE515:EE526)-EG524),0)</f>
        <v>#REF!</v>
      </c>
      <c r="EG525" s="4" t="e">
        <f t="shared" ca="1" si="9440"/>
        <v>#REF!</v>
      </c>
      <c r="EH525" s="692" t="str">
        <f ca="1">IF(LEFT($J515,7)="Clad Wo",IFERROR(VLOOKUP(INDEX(ED515:ED526,EG525),SPPWS,2,FALSE),"----"),IFERROR(VLOOKUP(INDEX(ED515:ED526,EG525),SPM,2,FALSE),"----"))</f>
        <v>----</v>
      </c>
    </row>
    <row r="526" spans="1:138" ht="15" customHeight="1" thickBot="1" x14ac:dyDescent="0.3">
      <c r="A526" s="1085"/>
      <c r="B526" s="928"/>
      <c r="C526" s="929"/>
      <c r="D526" s="930"/>
      <c r="E526" s="998"/>
      <c r="F526" s="999"/>
      <c r="G526" s="1000"/>
      <c r="H526" s="1063"/>
      <c r="I526" s="991"/>
      <c r="J526" s="904"/>
      <c r="K526" s="905"/>
      <c r="L526" s="1003"/>
      <c r="M526" s="1065"/>
      <c r="N526" s="1043"/>
      <c r="O526" s="1019"/>
      <c r="P526" s="988"/>
      <c r="Q526" s="1016"/>
      <c r="R526" s="1013"/>
      <c r="S526" s="1008"/>
      <c r="T526" s="1009"/>
      <c r="U526" s="879"/>
      <c r="V526" s="882"/>
      <c r="W526" s="885"/>
      <c r="X526" s="885"/>
      <c r="Y526" s="888"/>
      <c r="Z526" s="888"/>
      <c r="AA526" s="888"/>
      <c r="AB526" s="1082"/>
      <c r="AC526" s="1087"/>
      <c r="AD526" s="1098" t="str">
        <f t="shared" ref="AD526" si="9579">IF(LEFT(J515,7)="Clad Wo","Pella Wood Spr / Steel Pte","Steel Plate")</f>
        <v>Steel Plate</v>
      </c>
      <c r="AE526" s="1099"/>
      <c r="AF526" s="1096"/>
      <c r="AG526" s="1097"/>
      <c r="AH526" s="1097"/>
      <c r="AI526" s="1094"/>
      <c r="AJ526" s="1095"/>
      <c r="AK526" s="163" t="str">
        <f t="shared" ca="1" si="8761"/>
        <v/>
      </c>
      <c r="AL526" s="1060"/>
      <c r="AM526" s="345" t="str">
        <f ca="1">IFERROR(Q515/12*ROUND(VLOOKUP(AF526,OFFSET(SPM,0,1),6,FALSE),2),"")</f>
        <v/>
      </c>
      <c r="AN526" t="str">
        <f t="shared" ca="1" si="8785"/>
        <v/>
      </c>
      <c r="AP526" s="699" t="str">
        <f t="shared" ref="AP526" si="9580">_xlfn.CONCAT(AR526,AS526)</f>
        <v/>
      </c>
      <c r="AQ526" s="700" t="str">
        <f t="shared" si="8985"/>
        <v/>
      </c>
      <c r="AR526" s="160" t="str">
        <f t="shared" si="8745"/>
        <v/>
      </c>
      <c r="AS526" s="160" t="str">
        <f>IFERROR(VLOOKUP(J523, WallType,2,FALSE),"")</f>
        <v/>
      </c>
      <c r="AT526" s="707" t="str">
        <f>AL521</f>
        <v/>
      </c>
      <c r="AU526" s="708" t="e">
        <f t="shared" ca="1" si="9002"/>
        <v>#REF!</v>
      </c>
      <c r="AV526" s="709" t="str">
        <f ca="1">IFERROR(VLOOKUP(AU526,INDIRECT(AQ515),2,FALSE),"----")</f>
        <v>----</v>
      </c>
      <c r="AW526" s="710" t="e">
        <f t="shared" ca="1" si="9003"/>
        <v>#REF!</v>
      </c>
      <c r="AX526" s="709" t="str">
        <f ca="1">IFERROR(VLOOKUP(AW526,INDIRECT(AQ516),2,FALSE),"----")</f>
        <v>----</v>
      </c>
      <c r="AY526" s="710" t="e">
        <f t="shared" ca="1" si="9078"/>
        <v>#REF!</v>
      </c>
      <c r="AZ526" s="709" t="str">
        <f ca="1">IFERROR(VLOOKUP(AY526,INDIRECT(AQ517),2,FALSE),"----")</f>
        <v>----</v>
      </c>
      <c r="BA526" s="710" t="e">
        <f t="shared" ca="1" si="9079"/>
        <v>#REF!</v>
      </c>
      <c r="BB526" s="709" t="str">
        <f ca="1">IFERROR(VLOOKUP(BA526,INDIRECT(AQ518),2,FALSE),"----")</f>
        <v>----</v>
      </c>
      <c r="BC526" s="710" t="e">
        <f t="shared" ca="1" si="9006"/>
        <v>#REF!</v>
      </c>
      <c r="BD526" s="709" t="str">
        <f ca="1">IFERROR(VLOOKUP(BC526,INDIRECT(AQ519),2,FALSE),"----")</f>
        <v>----</v>
      </c>
      <c r="BE526" s="710" t="e">
        <f t="shared" ca="1" si="9007"/>
        <v>#REF!</v>
      </c>
      <c r="BF526" s="709" t="str">
        <f ca="1">IFERROR(VLOOKUP(BE526,INDIRECT(AQ520),2,FALSE),"----")</f>
        <v>----</v>
      </c>
      <c r="BG526" s="710" t="e">
        <f t="shared" ca="1" si="9008"/>
        <v>#REF!</v>
      </c>
      <c r="BH526" s="711" t="str">
        <f ca="1">IFERROR(VLOOKUP(BG526,INDIRECT(AQ521),2,FALSE),"----")</f>
        <v>----</v>
      </c>
      <c r="BI526" s="710" t="e">
        <f t="shared" ca="1" si="9009"/>
        <v>#REF!</v>
      </c>
      <c r="BJ526" s="711" t="str">
        <f ca="1">IFERROR(VLOOKUP(BI526,INDIRECT(AQ522),2,FALSE),"----")</f>
        <v>----</v>
      </c>
      <c r="BK526" s="710" t="e">
        <f t="shared" ca="1" si="9010"/>
        <v>#REF!</v>
      </c>
      <c r="BL526" s="711" t="str">
        <f ca="1">IFERROR(VLOOKUP(BK526,INDIRECT(AQ523),2,FALSE),"----")</f>
        <v>----</v>
      </c>
      <c r="BM526" s="710" t="e">
        <f t="shared" ca="1" si="9011"/>
        <v>#REF!</v>
      </c>
      <c r="BN526" s="711" t="str">
        <f ca="1">IFERROR(VLOOKUP(BM526,INDIRECT(AQ524),2,FALSE),"----")</f>
        <v>----</v>
      </c>
      <c r="BO526" s="710" t="e">
        <f t="shared" ca="1" si="9012"/>
        <v>#REF!</v>
      </c>
      <c r="BP526" s="711" t="str">
        <f ca="1">IFERROR(VLOOKUP(BO526,INDIRECT(AQ525),2,FALSE),"----")</f>
        <v>----</v>
      </c>
      <c r="BQ526" s="710" t="e">
        <f t="shared" ca="1" si="9013"/>
        <v>#REF!</v>
      </c>
      <c r="BR526" s="712" t="str">
        <f ca="1">IFERROR(VLOOKUP(BQ526,INDIRECT(AQ526),2,FALSE),"----")</f>
        <v>----</v>
      </c>
      <c r="BS526" s="695">
        <f>IF(AI526="",1,IF(COUNTIF(BR515:BR526,AI526)=0,2,1))</f>
        <v>1</v>
      </c>
      <c r="BT526" s="713">
        <f>IF(AF526="",1,IF(BR515=".",2,1))</f>
        <v>1</v>
      </c>
      <c r="BV526" s="155">
        <f ca="1">IF(COUNTIF(EH515:EH526,AF526)=0,IF(AF526&lt;&gt;"",0,1),1)</f>
        <v>1</v>
      </c>
      <c r="BW526" s="157">
        <f ca="1">IFERROR(MATCH(AF526,EH515:EH526,0),1)</f>
        <v>1</v>
      </c>
      <c r="BX526" s="718"/>
      <c r="BY526" s="777"/>
      <c r="BZ526" s="1110"/>
      <c r="CA526" s="714" t="e">
        <f t="shared" ca="1" si="9405"/>
        <v>#REF!</v>
      </c>
      <c r="CB526" s="715" t="e" cm="1">
        <f t="array" aca="1" ref="CB526" ca="1">IF(AND(INDEX(INDIRECT(BY515),CA526,4)&gt;=$AB515,INDEX(INDIRECT(BY515),CA526,5)&gt;=$S515,INDEX(INDIRECT(BY515),CA526,6)&gt;=$R515),1,0)</f>
        <v>#REF!</v>
      </c>
      <c r="CC526" s="715" t="e">
        <f t="shared" ref="CC526" ca="1" si="9581">MATCH(1,OFFSET(CB515:CB526,CD525,0,COUNT(CB515:CB526)-CD525),0)</f>
        <v>#REF!</v>
      </c>
      <c r="CD526" s="715" t="e">
        <f t="shared" ca="1" si="9407"/>
        <v>#REF!</v>
      </c>
      <c r="CE526" s="716" t="str" cm="1">
        <f t="array" aca="1" ref="CE526" ca="1">IFERROR(VLOOKUP(INDEX(CA515:CA526,CD526),INDIRECT(BY515),2,FALSE),"----")</f>
        <v>----</v>
      </c>
      <c r="CF526" s="714" t="e">
        <f t="shared" ca="1" si="9408"/>
        <v>#N/A</v>
      </c>
      <c r="CG526" s="715" t="e">
        <f ca="1">IF(AND(INDEX(SSM,CF526,4)&gt;=$AB515,INDEX(SSM,CF526,5)&gt;=$S515,INDEX(SSM,CF526,6)&gt;=$R515),1,0)</f>
        <v>#N/A</v>
      </c>
      <c r="CH526" s="715" t="e">
        <f t="shared" ref="CH526" ca="1" si="9582">MATCH(1,OFFSET(CG515:CG526,CI525,0,COUNT(CG515:CG526)-CI525),0)</f>
        <v>#REF!</v>
      </c>
      <c r="CI526" s="715" t="e">
        <f t="shared" ca="1" si="9410"/>
        <v>#REF!</v>
      </c>
      <c r="CJ526" s="716" t="str">
        <f ca="1">IFERROR(IF(AD516="Nested Steel Stud (wood infill)",VLOOKUP(INDEX(CF515:CF526,CI526),SSW,2,FALSE),VLOOKUP(INDEX(CF515:CF526,CI526),SSM,2,FALSE)),"----")</f>
        <v>----</v>
      </c>
      <c r="CK526" s="714" t="e">
        <f t="shared" ca="1" si="9411"/>
        <v>#N/A</v>
      </c>
      <c r="CL526" s="715" t="e">
        <f ca="1">IF(AND(INDEX(WSM,CK526,4)&gt;=$AB515,INDEX(WSM,CK526,5)&gt;=$S515,INDEX(WSM,CK526,6)&gt;=$R515),1,0)</f>
        <v>#N/A</v>
      </c>
      <c r="CM526" s="715" t="e">
        <f t="shared" ref="CM526" ca="1" si="9583">MATCH(1,OFFSET(CL515:CL526,CN525,0,COUNT(CL515:CL526)-CN525),0)</f>
        <v>#REF!</v>
      </c>
      <c r="CN526" s="715" t="e">
        <f t="shared" ca="1" si="9413"/>
        <v>#REF!</v>
      </c>
      <c r="CO526" s="716" t="str">
        <f ca="1">IFERROR(VLOOKUP(INDEX(CK515:CK526,CN526),WSM,2,FALSE),"----")</f>
        <v>----</v>
      </c>
      <c r="CP526" s="714" t="e">
        <f t="shared" ca="1" si="9414"/>
        <v>#N/A</v>
      </c>
      <c r="CQ526" s="715" t="e">
        <f ca="1">IF(AND(INDEX(STM,CP526,4)&gt;=$AB515,INDEX(STM,CP526,5)&gt;=$S515,INDEX(STM,CP526,6)&gt;=$R515),1,0)</f>
        <v>#N/A</v>
      </c>
      <c r="CR526" s="715" t="e">
        <f t="shared" ref="CR526" ca="1" si="9584">MATCH(1,OFFSET(CQ515:CQ526,CS525,0,COUNT(CQ515:CQ526)-CS525),0)</f>
        <v>#REF!</v>
      </c>
      <c r="CS526" s="715" t="e">
        <f t="shared" ca="1" si="9416"/>
        <v>#REF!</v>
      </c>
      <c r="CT526" s="716" t="str">
        <f ca="1">IFERROR(VLOOKUP(INDEX(CP515:CP526,CS526),STM,2,FALSE),"----")</f>
        <v>----</v>
      </c>
      <c r="CU526" s="714" t="e">
        <f t="shared" ca="1" si="9417"/>
        <v>#N/A</v>
      </c>
      <c r="CV526" s="715" t="e">
        <f ca="1">IF(AND(INDEX(ELM,CU526,4)&gt;=$AB515,INDEX(ELM,CU526,5)&gt;=$S515,INDEX(ELM,CU526,6)&gt;=$R515),1,0)</f>
        <v>#N/A</v>
      </c>
      <c r="CW526" s="715" t="e">
        <f t="shared" ref="CW526" ca="1" si="9585">MATCH(1,OFFSET(CV515:CV526,CX525,0,COUNT(CV515:CV526)-CX525),0)</f>
        <v>#REF!</v>
      </c>
      <c r="CX526" s="715" t="e">
        <f t="shared" ca="1" si="9419"/>
        <v>#REF!</v>
      </c>
      <c r="CY526" s="716" t="str">
        <f ca="1">IFERROR(VLOOKUP(INDEX(CU515:CU526,CX526),ELM,2,FALSE),"----")</f>
        <v>----</v>
      </c>
      <c r="CZ526" s="714" t="e">
        <f t="shared" ca="1" si="9420"/>
        <v>#N/A</v>
      </c>
      <c r="DA526" s="715" t="e">
        <f ca="1">IF(LEFT($J515,7)="Clad Wo",IF(AND(INDEX(SPPWS,CZ526,4)&gt;=$AB515,INDEX(SPPWS,CZ526,5)&gt;=$S515,INDEX(SPPWS,CZ526,6)&gt;=$R515),1,0),IF(AND(INDEX(SPM,CZ526,4)&gt;=$AB515,INDEX(SPM,CZ526,5)&gt;=$S515,INDEX(SPM,CZ526,6)&gt;=$R515),1,0))</f>
        <v>#N/A</v>
      </c>
      <c r="DB526" s="715" t="e">
        <f t="shared" ref="DB526" ca="1" si="9586">MATCH(1,OFFSET(DA515:DA526,DC525,0,COUNT(DA515:DA526)-DC525),0)</f>
        <v>#REF!</v>
      </c>
      <c r="DC526" s="715" t="e">
        <f t="shared" ca="1" si="9422"/>
        <v>#REF!</v>
      </c>
      <c r="DD526" s="717" t="str">
        <f ca="1">IF(LEFT($J515,7)="Clad Wo",IFERROR(VLOOKUP(INDEX(CZ515:CZ526,DC526),SPPWS,2,FALSE),"----"),IFERROR(VLOOKUP(INDEX(CZ515:CZ526,DC526),SPM,2,FALSE),"----"))</f>
        <v>----</v>
      </c>
      <c r="DE526" s="714" t="e">
        <f t="shared" ca="1" si="9423"/>
        <v>#REF!</v>
      </c>
      <c r="DF526" s="715" t="e" cm="1">
        <f t="array" aca="1" ref="DF526" ca="1">IF(AND(INDEX(INDIRECT(BY515),DE526,4)&gt;=$AB521,INDEX(INDIRECT(BY515),DE526,5)&gt;=$S515,INDEX(INDIRECT(BY515),DE526,6)&gt;=$R515),1,0)</f>
        <v>#REF!</v>
      </c>
      <c r="DG526" s="715" t="e">
        <f t="shared" ref="DG526" ca="1" si="9587">MATCH(1,OFFSET(DF515:DF526,DH525,0,COUNT(DF515:DF526)-DH525),0)</f>
        <v>#REF!</v>
      </c>
      <c r="DH526" s="715" t="e">
        <f t="shared" ca="1" si="9425"/>
        <v>#REF!</v>
      </c>
      <c r="DI526" s="716" t="str" cm="1">
        <f t="array" aca="1" ref="DI526" ca="1">IFERROR(VLOOKUP(INDEX(DE515:DE526,DH526),INDIRECT(BY515),2,FALSE),"----")</f>
        <v>----</v>
      </c>
      <c r="DJ526" s="714" t="e">
        <f t="shared" ca="1" si="9426"/>
        <v>#N/A</v>
      </c>
      <c r="DK526" s="715" t="e">
        <f ca="1">IF(AND(INDEX(SSM,DJ526,4)&gt;=$AB521,INDEX(SSM,DJ526,5)&gt;=$S515,INDEX(SSM,DJ526,6)&gt;=$R515),1,0)</f>
        <v>#N/A</v>
      </c>
      <c r="DL526" s="715" t="e">
        <f t="shared" ref="DL526" ca="1" si="9588">MATCH(1,OFFSET(DK515:DK526,DM525,0,COUNT(DK515:DK526)-DM525),0)</f>
        <v>#REF!</v>
      </c>
      <c r="DM526" s="715" t="e">
        <f t="shared" ca="1" si="9428"/>
        <v>#REF!</v>
      </c>
      <c r="DN526" s="716" t="str">
        <f ca="1">IFERROR(IF(AD522="Nested Steel Stud (wood infill)",VLOOKUP(INDEX(DJ515:DJ526,DM526),SSW,2,FALSE),VLOOKUP(INDEX(DJ515:DJ526,DM526),SSM,2,FALSE)),"----")</f>
        <v>----</v>
      </c>
      <c r="DO526" s="714" t="e">
        <f t="shared" ca="1" si="9429"/>
        <v>#N/A</v>
      </c>
      <c r="DP526" s="715" t="e">
        <f ca="1">IF(AND(INDEX(WSM,DO526,4)&gt;=$AB521,INDEX(WSM,DO526,5)&gt;=$S515,INDEX(WSM,DO526,6)&gt;=$R515),1,0)</f>
        <v>#N/A</v>
      </c>
      <c r="DQ526" s="715" t="e">
        <f t="shared" ref="DQ526" ca="1" si="9589">MATCH(1,OFFSET(DP515:DP526,DR525,0,COUNT(DP515:DP526)-DR525),0)</f>
        <v>#REF!</v>
      </c>
      <c r="DR526" s="715" t="e">
        <f t="shared" ca="1" si="9431"/>
        <v>#REF!</v>
      </c>
      <c r="DS526" s="716" t="str">
        <f ca="1">IFERROR(VLOOKUP(INDEX(DO515:DO526,DR526),WSM,2,FALSE),"----")</f>
        <v>----</v>
      </c>
      <c r="DT526" s="714" t="e">
        <f t="shared" ca="1" si="9432"/>
        <v>#N/A</v>
      </c>
      <c r="DU526" s="715" t="e">
        <f ca="1">IF(AND(INDEX(STM,DT526,4)&gt;=$AB521,INDEX(STM,DT526,5)&gt;=$S515,INDEX(STM,DT526,6)&gt;=$R515),1,0)</f>
        <v>#N/A</v>
      </c>
      <c r="DV526" s="715" t="e">
        <f t="shared" ref="DV526" ca="1" si="9590">MATCH(1,OFFSET(DU515:DU526,DW525,0,COUNT(DU515:DU526)-DW525),0)</f>
        <v>#REF!</v>
      </c>
      <c r="DW526" s="715" t="e">
        <f t="shared" ca="1" si="9434"/>
        <v>#REF!</v>
      </c>
      <c r="DX526" s="716" t="str">
        <f ca="1">IFERROR(VLOOKUP(INDEX(DT515:DT526,DW526),STM,2,FALSE),"----")</f>
        <v>----</v>
      </c>
      <c r="DY526" s="714" t="e">
        <f t="shared" ca="1" si="9435"/>
        <v>#N/A</v>
      </c>
      <c r="DZ526" s="715" t="e">
        <f ca="1">IF(AND(INDEX(ELM,DY526,4)&gt;=$AB521,INDEX(ELM,DY526,5)&gt;=$S515,INDEX(ELM,DY526,6)&gt;=$R515),1,0)</f>
        <v>#N/A</v>
      </c>
      <c r="EA526" s="715" t="e">
        <f t="shared" ref="EA526" ca="1" si="9591">MATCH(1,OFFSET(DZ515:DZ526,EB525,0,COUNT(DZ515:DZ526)-EB525),0)</f>
        <v>#REF!</v>
      </c>
      <c r="EB526" s="715" t="e">
        <f t="shared" ca="1" si="9437"/>
        <v>#REF!</v>
      </c>
      <c r="EC526" s="716" t="str">
        <f ca="1">IFERROR(VLOOKUP(INDEX(DY515:DY526,EB526),ELM,2,FALSE),"----")</f>
        <v>----</v>
      </c>
      <c r="ED526" s="714" t="e">
        <f t="shared" ca="1" si="9438"/>
        <v>#N/A</v>
      </c>
      <c r="EE526" s="715" t="e">
        <f ca="1">IF(LEFT($J515,7)="Clad Wo",IF(AND(INDEX(SPPWS,ED526,4)&gt;=$AB521,INDEX(SPPWS,ED526,5)&gt;=$S515,INDEX(SPPWS,ED526,6)&gt;=$R515),1,0),IF(AND(INDEX(SPM,ED526,4)&gt;=$AB521,INDEX(SPM,ED526,5)&gt;=$S515,INDEX(SPM,ED526,6)&gt;=$R515),1,0))</f>
        <v>#N/A</v>
      </c>
      <c r="EF526" s="715" t="e">
        <f t="shared" ref="EF526" ca="1" si="9592">MATCH(1,OFFSET(EE515:EE526,EG525,0,COUNT(EE515:EE526)-EG525),0)</f>
        <v>#REF!</v>
      </c>
      <c r="EG526" s="715" t="e">
        <f t="shared" ca="1" si="9440"/>
        <v>#REF!</v>
      </c>
      <c r="EH526" s="716" t="str">
        <f ca="1">IF(LEFT($J515,7)="Clad Wo",IFERROR(VLOOKUP(INDEX(ED515:ED526,EG526),SPPWS,2,FALSE),"----"),IFERROR(VLOOKUP(INDEX(ED515:ED526,EG526),SPM,2,FALSE),"----"))</f>
        <v>----</v>
      </c>
    </row>
    <row r="527" spans="1:138" ht="15" customHeight="1" thickTop="1" x14ac:dyDescent="0.25">
      <c r="A527" s="1085"/>
      <c r="B527" s="931" t="s">
        <v>92</v>
      </c>
      <c r="C527" s="932"/>
      <c r="D527" s="933"/>
      <c r="E527" s="992"/>
      <c r="F527" s="993"/>
      <c r="G527" s="994"/>
      <c r="H527" s="1061"/>
      <c r="I527" s="989"/>
      <c r="J527" s="906"/>
      <c r="K527" s="907"/>
      <c r="L527" s="1001">
        <f>$W$3</f>
        <v>4</v>
      </c>
      <c r="M527" s="923" t="str">
        <f t="shared" ref="M527" si="9593">IFERROR(IF($AE$13="",IF($AG$19="Wind Loading",MIN($V$31,IF(E$11="ASCE 7-05",$U$26,$V$7)*$V$9*(IF($E$12&lt;60,0.0771*LN(MAX(MIN(500,O527),10)) -1.2737,IF($E$11="ASCE 7-22",0.0524*LN(MAX(MIN(500,O527),50))-1.0278,0.0614*LN(MAX(MIN(500,O527),20)) -1.0829))-$V$8)),$V$7*IF(E$12&lt;60,$V$13*($V$15*0.0771*LN(MAX(MIN(500,O527),10))-1.2737-$V$16),$V$13*$V$15*((0.0524*LN(MAX(MIN(500,O527),20))-1.0278)-$V$16))),-ABS($AE$13)),"")</f>
        <v/>
      </c>
      <c r="N527" s="1042" t="str">
        <f t="shared" ref="N527" si="9594">IFERROR(IF($AE$15="",IF($AG$19="Wind Loading",MAX($U$31,IF(E$11="ASCE 7-05",$U$26,$V$7)*$V$9*((IF($E$12&lt;60,-0.077*LN(MAX(MIN(500,O527),10))+1.1737,IF($E$11="ASCE 7-22",-0.077*LN(MAX(MIN(500,O527),20))+1.0798,-0.093*LN(MAX(MIN(500,O527),20))+1.1776)))+$V$8)),$V$7*IF(E$12&lt;60,$V$13*($V$15*(-0.077*LN(MAX(MIN(500,O527),10))+1.1737)-$V$17),$V$13*$V$15*((-0.077*LN(MAX(MIN(500,O527),20))+1.0798)-$V$17))),ABS($AE$15)),"")</f>
        <v/>
      </c>
      <c r="O527" s="1017" t="str">
        <f>IF(BX534=0,"",IF(AG$14="Trapezoidal",BY534,BX534))</f>
        <v/>
      </c>
      <c r="P527" s="986"/>
      <c r="Q527" s="1014"/>
      <c r="R527" s="1011">
        <f>P527*Q527/8</f>
        <v>0</v>
      </c>
      <c r="S527" s="1004">
        <f t="shared" ref="S527" si="9595">IF(5*(P527*Q527^3/(384*0.125))=0,0,5*(P527*Q527^3/(384*0.125)))</f>
        <v>0</v>
      </c>
      <c r="T527" s="1005"/>
      <c r="U527" s="877" t="e">
        <f ca="1">VLOOKUP(J531,INDIRECT(VLOOKUP(J527,FrameStrength,2,FALSE)),3,FALSE)</f>
        <v>#N/A</v>
      </c>
      <c r="V527" s="880">
        <f t="shared" ref="V527" si="9596">(H527+I527)/2</f>
        <v>0</v>
      </c>
      <c r="W527" s="883" t="e">
        <f t="shared" ref="W527" si="9597">MAX(-M527,N527)*O527</f>
        <v>#VALUE!</v>
      </c>
      <c r="X527" s="883">
        <f t="shared" ref="X527" si="9598">IF(E527&gt;162,(E527/240+0.25),IF(AND(E527&lt;162,E527/175&lt;0.75),E527/175,0.75))</f>
        <v>0</v>
      </c>
      <c r="Y527" s="886">
        <f>IFERROR(IF(AG$14="Trapezoidal",BY535,BX535)+IF($E$17="4",(400*E527^3)/(48*X527),0),0)</f>
        <v>0</v>
      </c>
      <c r="Z527" s="886" t="e">
        <f t="shared" ref="Z527" si="9599">+($V527*MAX(-$M527,$N527)*$E527^2)/(144*8)+IF($E$17=4,(400*$E527)/4,0)</f>
        <v>#VALUE!</v>
      </c>
      <c r="AA527" s="886" t="e">
        <f ca="1">VLOOKUP(J531,INDIRECT(VLOOKUP(J527,FrameStrength,2,FALSE)),2,FALSE)</f>
        <v>#N/A</v>
      </c>
      <c r="AB527" s="1083" t="str">
        <f t="shared" ref="AB527" ca="1" si="9600">IFERROR(Z527-AA527,"")</f>
        <v/>
      </c>
      <c r="AC527" s="1077" t="str">
        <f t="shared" ref="AC527" ca="1" si="9601">IFERROR(Y527-U527,"")</f>
        <v/>
      </c>
      <c r="AD527" s="1100" t="str">
        <f>IFERROR(IF(LEFT(J531,2)="As",VLOOKUP(J531,EIMM,4,FALSE),VLOOKUP(J527,EIMM,4,FALSE)),IF(AND(ISNUMBER(SEARCH("Impervia",J527)),ISNUMBER(SEARCH("door",J531))),'New Lookup Cells'!AF$10,IF(ISNUMBER(SEARCH("Impervia",J527)),'New Lookup Cells'!AF$7,IF(AND(ISNUMBER(SEARCH("250",J527)),ISNUMBER(SEARCH("door",J531))),'New Lookup Cells'!AF$14,IF(ISNUMBER(SEARCH("250",J527)),'New Lookup Cells'!AF$13,"")))))</f>
        <v/>
      </c>
      <c r="AE527" s="1101"/>
      <c r="AF527" s="1050"/>
      <c r="AG527" s="1051"/>
      <c r="AH527" s="1051"/>
      <c r="AI527" s="1088"/>
      <c r="AJ527" s="1089"/>
      <c r="AK527" s="154" t="str">
        <f t="shared" ca="1" si="8761"/>
        <v/>
      </c>
      <c r="AL527" s="1038" t="str">
        <f t="shared" ref="AL527" si="9602">IFERROR(ROUND(SQRT(P527^2+(W527/2+IF($E$17=4,200,0))^2),0),"")</f>
        <v/>
      </c>
      <c r="AM527" s="342" t="s">
        <v>669</v>
      </c>
      <c r="AN527" t="str">
        <f t="shared" ca="1" si="8785"/>
        <v/>
      </c>
      <c r="AP527" s="122" t="str">
        <f t="shared" ref="AP527" si="9603">_xlfn.CONCAT(AR527,AS532)</f>
        <v/>
      </c>
      <c r="AQ527" s="683" t="str">
        <f t="shared" si="8985"/>
        <v/>
      </c>
      <c r="AR527" s="96" t="str">
        <f t="shared" si="8745"/>
        <v/>
      </c>
      <c r="AS527" s="96" t="str">
        <f>IF(COUNTIF(imp_1,AF527)=1,"imp_1",IF(COUNTIF(imp_2,AF527)=1,"imp_2",IF(COUNTIF(imp_3,AF527)=1,"imp_3",IF(COUNTIF(impdoor,AF527)=1,"impdoor",""))))</f>
        <v/>
      </c>
      <c r="AT527" s="684" t="str">
        <f>AL527</f>
        <v/>
      </c>
      <c r="AU527" s="685" t="e">
        <f ca="1">MATCH(AL527,INDIRECT(AP527),-1)</f>
        <v>#REF!</v>
      </c>
      <c r="AV527" s="686" t="str">
        <f ca="1">IFERROR(VLOOKUP(AU527,INDIRECT(AQ527),2,FALSE),"----")</f>
        <v>----</v>
      </c>
      <c r="AW527" s="685" t="e">
        <f ca="1">MATCH(AL527,INDIRECT(AP528),-1)</f>
        <v>#REF!</v>
      </c>
      <c r="AX527" s="686" t="str">
        <f ca="1">IFERROR(VLOOKUP(AW527,INDIRECT(AQ528),2,FALSE),"----")</f>
        <v>----</v>
      </c>
      <c r="AY527" s="685" t="e">
        <f ca="1">MATCH(AL527,INDIRECT(AP529),-1)</f>
        <v>#REF!</v>
      </c>
      <c r="AZ527" s="686" t="str">
        <f ca="1">IFERROR(VLOOKUP(AY527,INDIRECT(AQ529),2,FALSE),"----")</f>
        <v>----</v>
      </c>
      <c r="BA527" s="685" t="e">
        <f ca="1">MATCH(AL527,INDIRECT(AP530),-1)</f>
        <v>#REF!</v>
      </c>
      <c r="BB527" s="686" t="str">
        <f ca="1">IFERROR(VLOOKUP(BA527,INDIRECT(AQ530),2,FALSE),"----")</f>
        <v>----</v>
      </c>
      <c r="BC527" s="685" t="e">
        <f ca="1">MATCH(AL527,INDIRECT(AP531),-1)</f>
        <v>#REF!</v>
      </c>
      <c r="BD527" s="686" t="str">
        <f ca="1">IFERROR(VLOOKUP(BC527,INDIRECT(AQ531),2,FALSE),"----")</f>
        <v>----</v>
      </c>
      <c r="BE527" s="685" t="e">
        <f ca="1">MATCH(AL527,INDIRECT(AP532),-1)</f>
        <v>#REF!</v>
      </c>
      <c r="BF527" s="686" t="str">
        <f ca="1">IFERROR(VLOOKUP(BE527,INDIRECT(AQ532),2,FALSE),"----")</f>
        <v>----</v>
      </c>
      <c r="BG527" s="685" t="e">
        <f ca="1">MATCH(AL533,INDIRECT(AP533),-1)</f>
        <v>#REF!</v>
      </c>
      <c r="BH527" s="686" t="str">
        <f ca="1">IFERROR(VLOOKUP(BG527,INDIRECT(AQ533),2,FALSE),"----")</f>
        <v>----</v>
      </c>
      <c r="BI527" s="685" t="e">
        <f ca="1">MATCH(AL533,INDIRECT(AP534),-1)</f>
        <v>#REF!</v>
      </c>
      <c r="BJ527" s="686" t="str">
        <f ca="1">IFERROR(VLOOKUP(BI527,INDIRECT(AQ534),2,FALSE),"----")</f>
        <v>----</v>
      </c>
      <c r="BK527" s="685" t="e">
        <f ca="1">MATCH(AL533,INDIRECT(AP535),-1)</f>
        <v>#REF!</v>
      </c>
      <c r="BL527" s="686" t="str">
        <f ca="1">IFERROR(VLOOKUP(BK527,INDIRECT(AQ535),2,FALSE),"----")</f>
        <v>----</v>
      </c>
      <c r="BM527" s="685" t="e">
        <f ca="1">MATCH(AL533,INDIRECT(AP536),-1)</f>
        <v>#REF!</v>
      </c>
      <c r="BN527" s="686" t="str">
        <f ca="1">IFERROR(VLOOKUP(BM527,INDIRECT(AQ536),2,FALSE),"----")</f>
        <v>----</v>
      </c>
      <c r="BO527" s="685" t="e">
        <f ca="1">MATCH(AL533,INDIRECT(AP537),-1)</f>
        <v>#REF!</v>
      </c>
      <c r="BP527" s="686" t="str">
        <f ca="1">IFERROR(VLOOKUP(BO527,INDIRECT(AQ537),2,FALSE),"----")</f>
        <v>----</v>
      </c>
      <c r="BQ527" s="685" t="e">
        <f ca="1">MATCH(AL533,INDIRECT(AP538),-1)</f>
        <v>#REF!</v>
      </c>
      <c r="BR527" s="686" t="str">
        <f ca="1">IFERROR(VLOOKUP(BQ527,INDIRECT(AQ538),2,FALSE),"----")</f>
        <v>----</v>
      </c>
      <c r="BS527" s="687">
        <f>IF(AI527="",1,IF(COUNTIF(AV527:AV538,AI527)=0,2,1))</f>
        <v>1</v>
      </c>
      <c r="BT527" s="688">
        <f>IF(AP527="1",1,IF(AF527="",1,IF(AV527=".",2,1)))</f>
        <v>1</v>
      </c>
      <c r="BU527" s="706"/>
      <c r="BV527" s="155">
        <f ca="1">IF(COUNTIF(CE527:CE538,AF527)=0,IF(AF527&lt;&gt;"",0,1),1)</f>
        <v>1</v>
      </c>
      <c r="BW527" s="157">
        <f ca="1">IFERROR(MATCH(AF527,CE527:CE538,0),1)</f>
        <v>1</v>
      </c>
      <c r="BX527" s="769" t="str">
        <f>IFERROR(IF(LEFT(J531,2)="As",VLOOKUP(J531,EIMM,2,FALSE),IF(AND(ISNUMBER(SEARCH("Impervia",J527)),ISNUMBER(SEARCH("door",J531))),VLOOKUP("Impervia Door",EIMM,2,FALSE),IF(AND(ISNUMBER(SEARCH("250",J527)),ISNUMBER(SEARCH("door",J531))),VLOOKUP("250 Series Door",EIMM,2,FALSE),VLOOKUP(J527,EIMM,2,FALSE)))),"")</f>
        <v/>
      </c>
      <c r="BY527" s="769" t="str">
        <f ca="1">IFERROR(VLOOKUP(BX527,OFFSET(EIMM,0,1),2,FALSE),"")</f>
        <v/>
      </c>
      <c r="BZ527" s="1110" t="e">
        <f ca="1">IF((COUNTIF(INDIRECT(SUBSTITUTE(J527," ","_")),J531))=0,IF(J531="",1,0),1)</f>
        <v>#REF!</v>
      </c>
      <c r="CA527" s="691" t="e">
        <f ca="1">MATCH(AC527,INDIRECT(BX527),-1)</f>
        <v>#REF!</v>
      </c>
      <c r="CB527" s="4" t="e" cm="1">
        <f t="array" aca="1" ref="CB527" ca="1">IF(AND(INDEX(INDIRECT(BY527),CA527,4)&gt;=$AB527,INDEX(INDIRECT(BY527),CA527,5)&gt;=$S527,INDEX(INDIRECT(BY527),CA527,6)&gt;=$R527),1,0)</f>
        <v>#REF!</v>
      </c>
      <c r="CC527" s="4" t="e">
        <f t="shared" ref="CC527" ca="1" si="9604">MATCH(1,OFFSET(CB527:CB538,$W$2,0,COUNT(CB527:CB538)-$W$2),0)</f>
        <v>#REF!</v>
      </c>
      <c r="CD527" s="4" t="e">
        <f t="shared" ref="CD527" ca="1" si="9605">$W$2+CC527</f>
        <v>#REF!</v>
      </c>
      <c r="CE527" s="692" t="str" cm="1">
        <f t="array" aca="1" ref="CE527" ca="1">IFERROR(VLOOKUP(INDEX(CA527:CA538,CD527),INDIRECT(BY527),2,FALSE),"----")</f>
        <v>----</v>
      </c>
      <c r="CF527" s="691" t="e">
        <f ca="1">MATCH($AC527,SSEI,-1)</f>
        <v>#N/A</v>
      </c>
      <c r="CG527" s="4" t="e">
        <f ca="1">IF(AND(INDEX(SSM,CF527,4)&gt;=$AB527,INDEX(SSM,CF527,5)&gt;=$S527,INDEX(SSM,CF527,6)&gt;=$R527),1,0)</f>
        <v>#N/A</v>
      </c>
      <c r="CH527" s="4" t="e">
        <f t="shared" ref="CH527" ca="1" si="9606">MATCH(1,OFFSET(CG527:CG538,$W$2,0,COUNT(CG527:CG538)-$W$2),0)</f>
        <v>#REF!</v>
      </c>
      <c r="CI527" s="4" t="e">
        <f t="shared" ref="CI527" ca="1" si="9607">$W$2+CH527</f>
        <v>#REF!</v>
      </c>
      <c r="CJ527" s="692" t="str">
        <f ca="1">IFERROR(IF(AD528="Nested Steel Stud (wood infill)",VLOOKUP(INDEX(CF527:CF538,CI527),SSW,2,FALSE),VLOOKUP(INDEX(CF527:CF538,CI527),SSM,2,FALSE)),"----")</f>
        <v>----</v>
      </c>
      <c r="CK527" s="691" t="e">
        <f ca="1">MATCH($AC527,WSEI,-1)</f>
        <v>#N/A</v>
      </c>
      <c r="CL527" s="4" t="e">
        <f ca="1">IF(AND(INDEX(WSM,CK527,4)&gt;=$AB527,INDEX(WSM,CK527,5)&gt;=$S527,INDEX(WSM,CK527,6)&gt;=$R527),1,0)</f>
        <v>#N/A</v>
      </c>
      <c r="CM527" s="4" t="e">
        <f t="shared" ref="CM527" ca="1" si="9608">MATCH(1,OFFSET(CL527:CL538,$W$2,0,COUNT(CL527:CL538)-$W$2),0)</f>
        <v>#REF!</v>
      </c>
      <c r="CN527" s="4" t="e">
        <f t="shared" ref="CN527" ca="1" si="9609">$W$2+CM527</f>
        <v>#REF!</v>
      </c>
      <c r="CO527" s="692" t="str">
        <f ca="1">IFERROR(VLOOKUP(INDEX(CK527:CK538,CN527),WSM,2,FALSE),"----")</f>
        <v>----</v>
      </c>
      <c r="CP527" s="691" t="e">
        <f ca="1">MATCH($AC527,STEI,-1)</f>
        <v>#N/A</v>
      </c>
      <c r="CQ527" s="4" t="e">
        <f ca="1">IF(AND(INDEX(STM,CP527,4)&gt;=$AB527,INDEX(STM,CP527,5)&gt;=$S527,INDEX(STM,CP527,6)&gt;=$R527),1,0)</f>
        <v>#N/A</v>
      </c>
      <c r="CR527" s="4" t="e">
        <f t="shared" ref="CR527" ca="1" si="9610">MATCH(1,OFFSET(CQ527:CQ538,$W$2,0,COUNT(CQ527:CQ538)-$W$2),0)</f>
        <v>#REF!</v>
      </c>
      <c r="CS527" s="4" t="e">
        <f t="shared" ref="CS527" ca="1" si="9611">$W$2+CR527</f>
        <v>#REF!</v>
      </c>
      <c r="CT527" s="692" t="str">
        <f ca="1">IFERROR(VLOOKUP(INDEX(CP527:CP538,CS527),STM,2,FALSE),"----")</f>
        <v>----</v>
      </c>
      <c r="CU527" s="691" t="e">
        <f ca="1">MATCH($AC527,ELEI,-1)</f>
        <v>#N/A</v>
      </c>
      <c r="CV527" s="4" t="e">
        <f ca="1">IF(AND(INDEX(ELM,CU527,4)&gt;=$AB527,INDEX(ELM,CU527,5)&gt;=$S527,INDEX(ELM,CU527,6)&gt;=$R527),1,0)</f>
        <v>#N/A</v>
      </c>
      <c r="CW527" s="4" t="e">
        <f t="shared" ref="CW527" ca="1" si="9612">MATCH(1,OFFSET(CV527:CV538,$W$2,0,COUNT(CV527:CV538)-$W$2),0)</f>
        <v>#REF!</v>
      </c>
      <c r="CX527" s="4" t="e">
        <f t="shared" ref="CX527" ca="1" si="9613">$W$2+CW527</f>
        <v>#REF!</v>
      </c>
      <c r="CY527" s="692" t="str">
        <f ca="1">IFERROR(VLOOKUP(INDEX(CU527:CU538,CX527),ELM,2,FALSE),"----")</f>
        <v>----</v>
      </c>
      <c r="CZ527" s="691" t="e">
        <f ca="1">IF(LEFT($J527,7)="Clad Wo",MATCH($AC527,SPEIW,-1),MATCH($AC527,SPEI,-1))</f>
        <v>#N/A</v>
      </c>
      <c r="DA527" s="4" t="e">
        <f ca="1">IF(LEFT($J527,7)="Clad Wo",IF(AND(INDEX(SPPWS,CZ527,4)&gt;=$AB527,INDEX(SPPWS,CZ527,5)&gt;=$S527,INDEX(SPPWS,CZ527,6)&gt;=$R527),1,0),IF(AND(INDEX(SPM,CZ527,4)&gt;=$AB527,INDEX(SPM,CZ527,5)&gt;=$S527,INDEX(SPM,CZ527,6)&gt;=$R527),1,0))</f>
        <v>#N/A</v>
      </c>
      <c r="DB527" s="4" t="e">
        <f t="shared" ref="DB527" ca="1" si="9614">MATCH(1,OFFSET(DA527:DA538,$W$2,0,COUNT(DA527:DA538)-$W$2),0)</f>
        <v>#REF!</v>
      </c>
      <c r="DC527" s="4" t="e">
        <f t="shared" ref="DC527" ca="1" si="9615">$W$2+DB527</f>
        <v>#REF!</v>
      </c>
      <c r="DD527" s="693" t="str">
        <f ca="1">IF(LEFT($J527,7)="Clad Wo",IFERROR(VLOOKUP(INDEX(CZ527:CZ538,DC527),SPPWS,2,FALSE),"----"),IFERROR(VLOOKUP(INDEX(CZ527:CZ538,DC527),SPM,2,FALSE),"----"))</f>
        <v>----</v>
      </c>
      <c r="DE527" s="691" t="e">
        <f ca="1">MATCH(AC533,INDIRECT(BX527),-1)</f>
        <v>#REF!</v>
      </c>
      <c r="DF527" s="4" t="e" cm="1">
        <f t="array" aca="1" ref="DF527" ca="1">IF(AND(INDEX(INDIRECT(BY527),DE527,4)&gt;=$AB533,INDEX(INDIRECT(BY527),DE527,5)&gt;=$S527,INDEX(INDIRECT(BY527),DE527,6)&gt;=$R527),1,0)</f>
        <v>#REF!</v>
      </c>
      <c r="DG527" s="4" t="e">
        <f t="shared" ref="DG527" ca="1" si="9616">MATCH(1,OFFSET(DF527:DF538,$W$2,0,COUNT(DF527:DF538)-$W$2),0)</f>
        <v>#REF!</v>
      </c>
      <c r="DH527" s="4" t="e">
        <f t="shared" ref="DH527" ca="1" si="9617">$W$2+DG527</f>
        <v>#REF!</v>
      </c>
      <c r="DI527" s="692" t="str" cm="1">
        <f t="array" aca="1" ref="DI527" ca="1">IFERROR(VLOOKUP(INDEX(DE527:DE538,DH527),INDIRECT(BY527),2,FALSE),"----")</f>
        <v>----</v>
      </c>
      <c r="DJ527" s="691" t="e">
        <f ca="1">MATCH($AC533,SSEI,-1)</f>
        <v>#N/A</v>
      </c>
      <c r="DK527" s="4" t="e">
        <f ca="1">IF(AND(INDEX(SSM,DJ527,4)&gt;=$AB533,INDEX(SSM,DJ527,5)&gt;=$S527,INDEX(SSM,DJ527,6)&gt;=$R527),1,0)</f>
        <v>#N/A</v>
      </c>
      <c r="DL527" s="4" t="e">
        <f t="shared" ref="DL527" ca="1" si="9618">MATCH(1,OFFSET(DK527:DK538,$W$2,0,COUNT(DK527:DK538)-$W$2),0)</f>
        <v>#REF!</v>
      </c>
      <c r="DM527" s="4" t="e">
        <f t="shared" ref="DM527" ca="1" si="9619">$W$2+DL527</f>
        <v>#REF!</v>
      </c>
      <c r="DN527" s="692" t="str">
        <f ca="1">IFERROR(IF(AD534="Nested Steel Stud (wood infill)",VLOOKUP(INDEX(DJ527:DJ538,DM527),SSW,2,FALSE),VLOOKUP(INDEX(DJ527:DJ538,DM527),SSM,2,FALSE)),"----")</f>
        <v>----</v>
      </c>
      <c r="DO527" s="691" t="e">
        <f ca="1">MATCH($AC533,WSEI,-1)</f>
        <v>#N/A</v>
      </c>
      <c r="DP527" s="4" t="e">
        <f ca="1">IF(AND(INDEX(WSM,DO527,4)&gt;=$AB533,INDEX(WSM,DO527,5)&gt;=$S527,INDEX(WSM,DO527,6)&gt;=$R527),1,0)</f>
        <v>#N/A</v>
      </c>
      <c r="DQ527" s="4" t="e">
        <f t="shared" ref="DQ527" ca="1" si="9620">MATCH(1,OFFSET(DP527:DP538,$W$2,0,COUNT(DP527:DP538)-$W$2),0)</f>
        <v>#REF!</v>
      </c>
      <c r="DR527" s="4" t="e">
        <f t="shared" ref="DR527" ca="1" si="9621">$W$2+DQ527</f>
        <v>#REF!</v>
      </c>
      <c r="DS527" s="692" t="str">
        <f ca="1">IFERROR(VLOOKUP(INDEX(DO527:DO538,DR527),WSM,2,FALSE),"----")</f>
        <v>----</v>
      </c>
      <c r="DT527" s="691" t="e">
        <f ca="1">MATCH($AC533,STEI,-1)</f>
        <v>#N/A</v>
      </c>
      <c r="DU527" s="4" t="e">
        <f ca="1">IF(AND(INDEX(STM,DT527,4)&gt;=$AB533,INDEX(STM,DT527,5)&gt;=$S527,INDEX(STM,DT527,6)&gt;=$R527),1,0)</f>
        <v>#N/A</v>
      </c>
      <c r="DV527" s="4" t="e">
        <f t="shared" ref="DV527" ca="1" si="9622">MATCH(1,OFFSET(DU527:DU538,$W$2,0,COUNT(DU527:DU538)-$W$2),0)</f>
        <v>#REF!</v>
      </c>
      <c r="DW527" s="4" t="e">
        <f t="shared" ref="DW527" ca="1" si="9623">$W$2+DV527</f>
        <v>#REF!</v>
      </c>
      <c r="DX527" s="692" t="str">
        <f ca="1">IFERROR(VLOOKUP(INDEX(DT527:DT538,DW527),STM,2,FALSE),"----")</f>
        <v>----</v>
      </c>
      <c r="DY527" s="691" t="e">
        <f ca="1">MATCH($AC533,ELEI,-1)</f>
        <v>#N/A</v>
      </c>
      <c r="DZ527" s="4" t="e">
        <f ca="1">IF(AND(INDEX(ELM,DY527,4)&gt;=$AB533,INDEX(ELM,DY527,5)&gt;=$S527,INDEX(ELM,DY527,6)&gt;=$R527),1,0)</f>
        <v>#N/A</v>
      </c>
      <c r="EA527" s="4" t="e">
        <f t="shared" ref="EA527" ca="1" si="9624">MATCH(1,OFFSET(DZ527:DZ538,$W$2,0,COUNT(DZ527:DZ538)-$W$2),0)</f>
        <v>#REF!</v>
      </c>
      <c r="EB527" s="4" t="e">
        <f t="shared" ref="EB527" ca="1" si="9625">EA527+$W$2</f>
        <v>#REF!</v>
      </c>
      <c r="EC527" s="692" t="str">
        <f ca="1">IFERROR(VLOOKUP(INDEX(DY527:DY538,EB527),ELM,2,FALSE),"----")</f>
        <v>----</v>
      </c>
      <c r="ED527" s="691" t="e">
        <f ca="1">IF(LEFT($J527,7)="Clad Wo",MATCH($AC533,SPEIW,-1),MATCH($AC533,SPEI,-1))</f>
        <v>#N/A</v>
      </c>
      <c r="EE527" s="4" t="e">
        <f ca="1">IF(LEFT($J527,7)="Clad Wo",IF(AND(INDEX(SPPWS,ED527,4)&gt;=$AB533,INDEX(SPPWS,ED527,5)&gt;=$S527,INDEX(SPPWS,ED527,6)&gt;=$R527),1,0),IF(AND(INDEX(SPM,ED527,4)&gt;=$AB533,INDEX(SPM,ED527,5)&gt;=$S527,INDEX(SPM,ED527,6)&gt;=$R527),1,0))</f>
        <v>#N/A</v>
      </c>
      <c r="EF527" s="4" t="e">
        <f t="shared" ref="EF527" ca="1" si="9626">MATCH(1,OFFSET(EE527:EE538,$W$2,0,COUNT(EE527:EE538)-$W$2),0)</f>
        <v>#REF!</v>
      </c>
      <c r="EG527" s="4" t="e">
        <f t="shared" ref="EG527" ca="1" si="9627">$W$2+EF527</f>
        <v>#REF!</v>
      </c>
      <c r="EH527" s="692" t="str">
        <f ca="1">IF(LEFT($J527,7)="Clad Wo",IFERROR(VLOOKUP(INDEX(ED527:ED538,EG527),SPPWS,2,FALSE),"----"),IFERROR(VLOOKUP(INDEX(ED527:ED538,EG527),SPM,2,FALSE),"----"))</f>
        <v>----</v>
      </c>
    </row>
    <row r="528" spans="1:138" ht="15" customHeight="1" x14ac:dyDescent="0.25">
      <c r="A528" s="1085"/>
      <c r="B528" s="925"/>
      <c r="C528" s="926"/>
      <c r="D528" s="927"/>
      <c r="E528" s="995"/>
      <c r="F528" s="996"/>
      <c r="G528" s="997"/>
      <c r="H528" s="1062"/>
      <c r="I528" s="990"/>
      <c r="J528" s="908"/>
      <c r="K528" s="909"/>
      <c r="L528" s="1002"/>
      <c r="M528" s="923"/>
      <c r="N528" s="1042"/>
      <c r="O528" s="1018"/>
      <c r="P528" s="987"/>
      <c r="Q528" s="1015"/>
      <c r="R528" s="1012"/>
      <c r="S528" s="1006"/>
      <c r="T528" s="1007"/>
      <c r="U528" s="878"/>
      <c r="V528" s="881"/>
      <c r="W528" s="884"/>
      <c r="X528" s="884"/>
      <c r="Y528" s="887"/>
      <c r="Z528" s="887"/>
      <c r="AA528" s="887"/>
      <c r="AB528" s="1081"/>
      <c r="AC528" s="1078"/>
      <c r="AD528" s="1102" t="s">
        <v>38</v>
      </c>
      <c r="AE528" s="1103"/>
      <c r="AF528" s="1052"/>
      <c r="AG528" s="1053"/>
      <c r="AH528" s="1053"/>
      <c r="AI528" s="1066"/>
      <c r="AJ528" s="1067"/>
      <c r="AK528" s="156" t="str">
        <f t="shared" ca="1" si="8761"/>
        <v/>
      </c>
      <c r="AL528" s="1039"/>
      <c r="AM528" s="343" t="str">
        <f ca="1">IFERROR(Q527/12*ROUND(VLOOKUP(AF528,OFFSET(SSM,0,1),6,FALSE),2),"")</f>
        <v/>
      </c>
      <c r="AN528" t="str">
        <f t="shared" ca="1" si="8785"/>
        <v/>
      </c>
      <c r="AP528" s="122" t="str">
        <f t="shared" ref="AP528" si="9628">_xlfn.CONCAT(AR528,AS532)</f>
        <v/>
      </c>
      <c r="AQ528" s="683" t="str">
        <f t="shared" si="8985"/>
        <v/>
      </c>
      <c r="AR528" s="96" t="str">
        <f t="shared" si="8745"/>
        <v/>
      </c>
      <c r="AS528" s="96" t="str">
        <f>IF(COUNTIF(Vista_1,AF527)=1,"Vista_1",IF(COUNTIF(Vista_2,AF527)=1,"Vista_2",""))</f>
        <v/>
      </c>
      <c r="AT528" s="684" t="str">
        <f>AL527</f>
        <v/>
      </c>
      <c r="AU528" s="694" t="e">
        <f t="shared" ref="AU528" ca="1" si="9629">AU527-1</f>
        <v>#REF!</v>
      </c>
      <c r="AV528" s="686" t="str">
        <f ca="1">IFERROR(VLOOKUP(AU528,INDIRECT(AQ527),2,FALSE),"----")</f>
        <v>----</v>
      </c>
      <c r="AW528" s="694" t="e">
        <f t="shared" ref="AW528:AW529" ca="1" si="9630">AW527-1</f>
        <v>#REF!</v>
      </c>
      <c r="AX528" s="686" t="str">
        <f ca="1">IFERROR(VLOOKUP(AW528,INDIRECT(AQ528),2,FALSE),"----")</f>
        <v>----</v>
      </c>
      <c r="AY528" s="694" t="e">
        <f t="shared" ref="AY528:AY529" ca="1" si="9631">AY527-1</f>
        <v>#REF!</v>
      </c>
      <c r="AZ528" s="686" t="str">
        <f ca="1">IFERROR(VLOOKUP(AY528,INDIRECT(AQ529),2,FALSE),"----")</f>
        <v>----</v>
      </c>
      <c r="BA528" s="694" t="e">
        <f t="shared" ref="BA528:BA529" ca="1" si="9632">BA527-1</f>
        <v>#REF!</v>
      </c>
      <c r="BB528" s="686" t="str">
        <f ca="1">IFERROR(VLOOKUP(BA528,INDIRECT(AQ530),2,FALSE),"----")</f>
        <v>----</v>
      </c>
      <c r="BC528" s="694" t="e">
        <f t="shared" ref="BC528:BC529" ca="1" si="9633">BC527-1</f>
        <v>#REF!</v>
      </c>
      <c r="BD528" s="686" t="str">
        <f ca="1">IFERROR(VLOOKUP(BC528,INDIRECT(AQ531),2,FALSE),"----")</f>
        <v>----</v>
      </c>
      <c r="BE528" s="694" t="e">
        <f t="shared" ref="BE528" ca="1" si="9634">BE527-1</f>
        <v>#REF!</v>
      </c>
      <c r="BF528" s="686" t="str">
        <f ca="1">IFERROR(VLOOKUP(BE528,INDIRECT(AQ532),2,FALSE),"----")</f>
        <v>----</v>
      </c>
      <c r="BG528" s="694" t="e">
        <f t="shared" ref="BG528" ca="1" si="9635">BG527-1</f>
        <v>#REF!</v>
      </c>
      <c r="BH528" s="686" t="str">
        <f ca="1">IFERROR(VLOOKUP(BG528,INDIRECT(AQ533),2,FALSE),"----")</f>
        <v>----</v>
      </c>
      <c r="BI528" s="694" t="e">
        <f t="shared" ref="BI528:BI529" ca="1" si="9636">BI527-1</f>
        <v>#REF!</v>
      </c>
      <c r="BJ528" s="686" t="str">
        <f ca="1">IFERROR(VLOOKUP(BI528,INDIRECT(AQ534),2,FALSE),"----")</f>
        <v>----</v>
      </c>
      <c r="BK528" s="694" t="e">
        <f t="shared" ref="BK528:BK529" ca="1" si="9637">BK527-1</f>
        <v>#REF!</v>
      </c>
      <c r="BL528" s="686" t="str">
        <f ca="1">IFERROR(VLOOKUP(BK528,INDIRECT(AQ535),2,FALSE),"----")</f>
        <v>----</v>
      </c>
      <c r="BM528" s="694" t="e">
        <f t="shared" ref="BM528:BM529" ca="1" si="9638">BM527-1</f>
        <v>#REF!</v>
      </c>
      <c r="BN528" s="686" t="str">
        <f ca="1">IFERROR(VLOOKUP(BM528,INDIRECT(AQ536),2,FALSE),"----")</f>
        <v>----</v>
      </c>
      <c r="BO528" s="694" t="e">
        <f t="shared" ref="BO528:BO529" ca="1" si="9639">BO527-1</f>
        <v>#REF!</v>
      </c>
      <c r="BP528" s="686" t="str">
        <f ca="1">IFERROR(VLOOKUP(BO528,INDIRECT(AQ537),2,FALSE),"----")</f>
        <v>----</v>
      </c>
      <c r="BQ528" s="694" t="e">
        <f t="shared" ref="BQ528" ca="1" si="9640">BQ527-1</f>
        <v>#REF!</v>
      </c>
      <c r="BR528" s="686" t="str">
        <f ca="1">IFERROR(VLOOKUP(BQ528,INDIRECT(AQ538),2,FALSE),"----")</f>
        <v>----</v>
      </c>
      <c r="BS528" s="695">
        <f>IF(AI528="",1,IF(COUNTIF(AX527:AX538,AI528)=0,2,1))</f>
        <v>1</v>
      </c>
      <c r="BT528" s="696">
        <f>IF(AF528="",1,IF(AX527=".",2,1))</f>
        <v>1</v>
      </c>
      <c r="BU528" s="706"/>
      <c r="BV528" s="155">
        <f ca="1">IF(COUNTIF(CJ527:CJ538,AF528)=0,IF(AF528&lt;&gt;"",0,1),1)</f>
        <v>1</v>
      </c>
      <c r="BW528" s="157">
        <f ca="1">IFERROR(MATCH(AF528,CJ527:CJ538,0),1)</f>
        <v>1</v>
      </c>
      <c r="BX528" s="769"/>
      <c r="BY528" s="769"/>
      <c r="BZ528" s="1110"/>
      <c r="CA528" s="691" t="e">
        <f t="shared" ref="CA528:CA538" ca="1" si="9641">CA527-1</f>
        <v>#REF!</v>
      </c>
      <c r="CB528" s="4" t="e" cm="1">
        <f t="array" aca="1" ref="CB528" ca="1">IF(AND(INDEX(INDIRECT(BY527),CA528,4)&gt;=$AB527,INDEX(INDIRECT(BY527),CA528,5)&gt;=$S527,INDEX(INDIRECT(BY527),CA528,6)&gt;=$R527),1,0)</f>
        <v>#REF!</v>
      </c>
      <c r="CC528" s="4" t="e">
        <f t="shared" ref="CC528" ca="1" si="9642">MATCH(1,OFFSET(CB527:CB538,CD527,0,COUNT(CB527:CB538)-CD527),0)</f>
        <v>#REF!</v>
      </c>
      <c r="CD528" s="4" t="e">
        <f t="shared" ref="CD528:CD538" ca="1" si="9643">CD527+CC528</f>
        <v>#REF!</v>
      </c>
      <c r="CE528" s="692" t="str" cm="1">
        <f t="array" aca="1" ref="CE528" ca="1">IFERROR(VLOOKUP(INDEX(CA527:CA538,CD528),INDIRECT(BY527),2,FALSE),"----")</f>
        <v>----</v>
      </c>
      <c r="CF528" s="691" t="e">
        <f t="shared" ref="CF528:CF538" ca="1" si="9644">CF527-1</f>
        <v>#N/A</v>
      </c>
      <c r="CG528" s="4" t="e">
        <f ca="1">IF(AND(INDEX(SSM,CF528,4)&gt;=$AB527,INDEX(SSM,CF528,5)&gt;=$S527,INDEX(SSM,CF528,6)&gt;=$R527),1,0)</f>
        <v>#N/A</v>
      </c>
      <c r="CH528" s="4" t="e">
        <f t="shared" ref="CH528" ca="1" si="9645">MATCH(1,OFFSET(CG527:CG538,CI527,0,COUNT(CG527:CG538)-CI527),0)</f>
        <v>#REF!</v>
      </c>
      <c r="CI528" s="4" t="e">
        <f t="shared" ref="CI528:CI538" ca="1" si="9646">CI527+CH528</f>
        <v>#REF!</v>
      </c>
      <c r="CJ528" s="692" t="str">
        <f ca="1">IFERROR(IF(AD528="Nested Steel Stud (wood infill)",VLOOKUP(INDEX(CF527:CF538,CI528),SSW,2,FALSE),VLOOKUP(INDEX(CF527:CF538,CI528),SSM,2,FALSE)),"----")</f>
        <v>----</v>
      </c>
      <c r="CK528" s="691" t="e">
        <f t="shared" ref="CK528:CK538" ca="1" si="9647">CK527-1</f>
        <v>#N/A</v>
      </c>
      <c r="CL528" s="4" t="e">
        <f ca="1">IF(AND(INDEX(WSM,CK528,4)&gt;=$AB527,INDEX(WSM,CK528,5)&gt;=$S527,INDEX(WSM,CK528,6)&gt;=$R527),1,0)</f>
        <v>#N/A</v>
      </c>
      <c r="CM528" s="4" t="e">
        <f t="shared" ref="CM528" ca="1" si="9648">MATCH(1,OFFSET(CL527:CL538,CN527,0,COUNT(CL527:CL538)-CN527),0)</f>
        <v>#REF!</v>
      </c>
      <c r="CN528" s="4" t="e">
        <f t="shared" ref="CN528:CN538" ca="1" si="9649">CM528+CN527</f>
        <v>#REF!</v>
      </c>
      <c r="CO528" s="692" t="str">
        <f ca="1">IFERROR(VLOOKUP(INDEX(CK527:CK538,CN528),WSM,2,FALSE),"----")</f>
        <v>----</v>
      </c>
      <c r="CP528" s="691" t="e">
        <f t="shared" ref="CP528:CP538" ca="1" si="9650">CP527-1</f>
        <v>#N/A</v>
      </c>
      <c r="CQ528" s="4" t="e">
        <f ca="1">IF(AND(INDEX(STM,CP528,4)&gt;=$AB527,INDEX(STM,CP528,5)&gt;=$S527,INDEX(STM,CP528,6)&gt;=$R527),1,0)</f>
        <v>#N/A</v>
      </c>
      <c r="CR528" s="4" t="e">
        <f t="shared" ref="CR528" ca="1" si="9651">MATCH(1,OFFSET(CQ527:CQ538,CS527,0,COUNT(CQ527:CQ538)-CS527),0)</f>
        <v>#REF!</v>
      </c>
      <c r="CS528" s="4" t="e">
        <f t="shared" ref="CS528:CS538" ca="1" si="9652">CR528+CS527</f>
        <v>#REF!</v>
      </c>
      <c r="CT528" s="692" t="str">
        <f ca="1">IFERROR(VLOOKUP(INDEX(CP527:CP538,CS528),STM,2,FALSE),"----")</f>
        <v>----</v>
      </c>
      <c r="CU528" s="691" t="e">
        <f t="shared" ref="CU528:CU538" ca="1" si="9653">CU527-1</f>
        <v>#N/A</v>
      </c>
      <c r="CV528" s="4" t="e">
        <f ca="1">IF(AND(INDEX(ELM,CU528,4)&gt;=$AB527,INDEX(ELM,CU528,5)&gt;=$S527,INDEX(ELM,CU528,6)&gt;=$R527),1,0)</f>
        <v>#N/A</v>
      </c>
      <c r="CW528" s="4" t="e">
        <f t="shared" ref="CW528" ca="1" si="9654">MATCH(1,OFFSET(CV527:CV538,CX527,0,COUNT(CV527:CV538)-CX527),0)</f>
        <v>#REF!</v>
      </c>
      <c r="CX528" s="4" t="e">
        <f t="shared" ref="CX528:CX538" ca="1" si="9655">CW528+CX527</f>
        <v>#REF!</v>
      </c>
      <c r="CY528" s="692" t="str">
        <f ca="1">IFERROR(VLOOKUP(INDEX(CU527:CU538,CX528),ELM,2,FALSE),"----")</f>
        <v>----</v>
      </c>
      <c r="CZ528" s="691" t="e">
        <f t="shared" ref="CZ528:CZ538" ca="1" si="9656">CZ527-1</f>
        <v>#N/A</v>
      </c>
      <c r="DA528" s="4" t="e">
        <f ca="1">IF(LEFT($J527,7)="Clad Wo",IF(AND(INDEX(SPPWS,CZ528,4)&gt;=$AB527,INDEX(SPPWS,CZ528,5)&gt;=$S527,INDEX(SPPWS,CZ528,6)&gt;=$R527),1,0),IF(AND(INDEX(SPM,CZ528,4)&gt;=$AB527,INDEX(SPM,CZ528,5)&gt;=$S527,INDEX(SPM,CZ528,6)&gt;=$R527),1,0))</f>
        <v>#N/A</v>
      </c>
      <c r="DB528" s="4" t="e">
        <f t="shared" ref="DB528" ca="1" si="9657">MATCH(1,OFFSET(DA527:DA538,DC527,0,COUNT(DA527:DA538)-DC527),0)</f>
        <v>#REF!</v>
      </c>
      <c r="DC528" s="4" t="e">
        <f t="shared" ref="DC528:DC538" ca="1" si="9658">DC527+DB528</f>
        <v>#REF!</v>
      </c>
      <c r="DD528" s="693" t="str">
        <f ca="1">IF(LEFT($J527,7)="Clad Wo",IFERROR(VLOOKUP(INDEX(CZ527:CZ538,DC528),SPPWS,2,FALSE),"----"),IFERROR(VLOOKUP(INDEX(CZ527:CZ538,DC528),SPM,2,FALSE),"----"))</f>
        <v>----</v>
      </c>
      <c r="DE528" s="691" t="e">
        <f t="shared" ref="DE528:DE538" ca="1" si="9659">DE527-1</f>
        <v>#REF!</v>
      </c>
      <c r="DF528" s="4" t="e" cm="1">
        <f t="array" aca="1" ref="DF528" ca="1">IF(AND(INDEX(INDIRECT(BY527),DE528,4)&gt;=$AB533,INDEX(INDIRECT(BY527),DE528,5)&gt;=$S527,INDEX(INDIRECT(BY527),DE528,6)&gt;=$R527),1,0)</f>
        <v>#REF!</v>
      </c>
      <c r="DG528" s="4" t="e">
        <f t="shared" ref="DG528" ca="1" si="9660">MATCH(1,OFFSET(DF527:DF538,DH527,0,COUNT(DF527:DF538)-DH527),0)</f>
        <v>#REF!</v>
      </c>
      <c r="DH528" s="4" t="e">
        <f t="shared" ref="DH528:DH538" ca="1" si="9661">DH527+DG528</f>
        <v>#REF!</v>
      </c>
      <c r="DI528" s="692" t="str" cm="1">
        <f t="array" aca="1" ref="DI528" ca="1">IFERROR(VLOOKUP(INDEX(DE527:DE538,DH528),INDIRECT(BY527),2,FALSE),"----")</f>
        <v>----</v>
      </c>
      <c r="DJ528" s="691" t="e">
        <f t="shared" ref="DJ528:DJ538" ca="1" si="9662">DJ527-1</f>
        <v>#N/A</v>
      </c>
      <c r="DK528" s="4" t="e">
        <f ca="1">IF(AND(INDEX(SSM,DJ528,4)&gt;=$AB533,INDEX(SSM,DJ528,5)&gt;=$S527,INDEX(SSM,DJ528,6)&gt;=$R527),1,0)</f>
        <v>#N/A</v>
      </c>
      <c r="DL528" s="4" t="e">
        <f t="shared" ref="DL528" ca="1" si="9663">MATCH(1,OFFSET(DK527:DK538,DM527,0,COUNT(DK527:DK538)-DM527),0)</f>
        <v>#REF!</v>
      </c>
      <c r="DM528" s="4" t="e">
        <f t="shared" ref="DM528:DM538" ca="1" si="9664">DL528+DM527</f>
        <v>#REF!</v>
      </c>
      <c r="DN528" s="692" t="str">
        <f ca="1">IFERROR(IF(AD534="Nested Steel Stud (wood infill)",VLOOKUP(INDEX(DJ527:DJ538,DM528),SSW,2,FALSE),VLOOKUP(INDEX(DJ527:DJ538,DM528),SSM,2,FALSE)),"----")</f>
        <v>----</v>
      </c>
      <c r="DO528" s="691" t="e">
        <f t="shared" ref="DO528:DO538" ca="1" si="9665">DO527-1</f>
        <v>#N/A</v>
      </c>
      <c r="DP528" s="4" t="e">
        <f ca="1">IF(AND(INDEX(WSM,DO528,4)&gt;=$AB533,INDEX(WSM,DO528,5)&gt;=$S527,INDEX(WSM,DO528,6)&gt;=$R527),1,0)</f>
        <v>#N/A</v>
      </c>
      <c r="DQ528" s="4" t="e">
        <f t="shared" ref="DQ528" ca="1" si="9666">MATCH(1,OFFSET(DP527:DP538,DR527,0,COUNT(DP527:DP538)-DR527),0)</f>
        <v>#REF!</v>
      </c>
      <c r="DR528" s="4" t="e">
        <f t="shared" ref="DR528:DR538" ca="1" si="9667">DQ528+DR527</f>
        <v>#REF!</v>
      </c>
      <c r="DS528" s="692" t="str">
        <f ca="1">IFERROR(VLOOKUP(INDEX(DO527:DO538,DR528),WSM,2,FALSE),"----")</f>
        <v>----</v>
      </c>
      <c r="DT528" s="691" t="e">
        <f t="shared" ref="DT528:DT538" ca="1" si="9668">DT527-1</f>
        <v>#N/A</v>
      </c>
      <c r="DU528" s="4" t="e">
        <f ca="1">IF(AND(INDEX(STM,DT528,4)&gt;=$AB533,INDEX(STM,DT528,5)&gt;=$S527,INDEX(STM,DT528,6)&gt;=$R527),1,0)</f>
        <v>#N/A</v>
      </c>
      <c r="DV528" s="4" t="e">
        <f t="shared" ref="DV528" ca="1" si="9669">MATCH(1,OFFSET(DU527:DU538,DW527,0,COUNT(DU527:DU538)-DW527),0)</f>
        <v>#REF!</v>
      </c>
      <c r="DW528" s="4" t="e">
        <f t="shared" ref="DW528:DW538" ca="1" si="9670">DV528+DW527</f>
        <v>#REF!</v>
      </c>
      <c r="DX528" s="692" t="str">
        <f ca="1">IFERROR(VLOOKUP(INDEX(DT527:DT538,DW528),STM,2,FALSE),"----")</f>
        <v>----</v>
      </c>
      <c r="DY528" s="691" t="e">
        <f t="shared" ref="DY528:DY538" ca="1" si="9671">DY527-1</f>
        <v>#N/A</v>
      </c>
      <c r="DZ528" s="4" t="e">
        <f ca="1">IF(AND(INDEX(ELM,DY528,4)&gt;=$AB533,INDEX(ELM,DY528,5)&gt;=$S527,INDEX(ELM,DY528,6)&gt;=$R527),1,0)</f>
        <v>#N/A</v>
      </c>
      <c r="EA528" s="4" t="e">
        <f t="shared" ref="EA528" ca="1" si="9672">MATCH(1,OFFSET(DZ527:DZ538,EB527,0,COUNT(DZ527:DZ538)-EB527),0)</f>
        <v>#REF!</v>
      </c>
      <c r="EB528" s="4" t="e">
        <f t="shared" ref="EB528:EB538" ca="1" si="9673">EA528+EB527</f>
        <v>#REF!</v>
      </c>
      <c r="EC528" s="692" t="str">
        <f ca="1">IFERROR(VLOOKUP(INDEX(DY527:DY538,EB528),ELM,2,FALSE),"----")</f>
        <v>----</v>
      </c>
      <c r="ED528" s="691" t="e">
        <f t="shared" ref="ED528:ED538" ca="1" si="9674">ED527-1</f>
        <v>#N/A</v>
      </c>
      <c r="EE528" s="4" t="e">
        <f ca="1">IF(LEFT($J527,7)="Clad Wo",IF(AND(INDEX(SPPWS,ED528,4)&gt;=$AB533,INDEX(SPPWS,ED528,5)&gt;=$S527,INDEX(SPPWS,ED528,6)&gt;=$R527),1,0),IF(AND(INDEX(SPM,ED528,4)&gt;=$AB533,INDEX(SPM,ED528,5)&gt;=$S527,INDEX(SPM,ED528,6)&gt;=$R527),1,0))</f>
        <v>#N/A</v>
      </c>
      <c r="EF528" s="4" t="e">
        <f t="shared" ref="EF528" ca="1" si="9675">MATCH(1,OFFSET(EE527:EE538,EG527,0,COUNT(EE527:EE538)-EG527),0)</f>
        <v>#REF!</v>
      </c>
      <c r="EG528" s="4" t="e">
        <f t="shared" ref="EG528:EG538" ca="1" si="9676">EG527+EF528</f>
        <v>#REF!</v>
      </c>
      <c r="EH528" s="692" t="str">
        <f ca="1">IF(LEFT($J527,7)="Clad Wo",IFERROR(VLOOKUP(INDEX(ED527:ED538,EG528),SPPWS,2,FALSE),"----"),IFERROR(VLOOKUP(INDEX(ED527:ED538,EG528),SPM,2,FALSE),"----"))</f>
        <v>----</v>
      </c>
    </row>
    <row r="529" spans="1:138" ht="15" customHeight="1" x14ac:dyDescent="0.25">
      <c r="A529" s="1085"/>
      <c r="B529" s="925"/>
      <c r="C529" s="926"/>
      <c r="D529" s="927"/>
      <c r="E529" s="995"/>
      <c r="F529" s="996"/>
      <c r="G529" s="997"/>
      <c r="H529" s="1062"/>
      <c r="I529" s="990"/>
      <c r="J529" s="908"/>
      <c r="K529" s="909"/>
      <c r="L529" s="1002"/>
      <c r="M529" s="923"/>
      <c r="N529" s="1042"/>
      <c r="O529" s="1018"/>
      <c r="P529" s="987"/>
      <c r="Q529" s="1015"/>
      <c r="R529" s="1012"/>
      <c r="S529" s="1006"/>
      <c r="T529" s="1007"/>
      <c r="U529" s="878"/>
      <c r="V529" s="881"/>
      <c r="W529" s="884"/>
      <c r="X529" s="884"/>
      <c r="Y529" s="887"/>
      <c r="Z529" s="887"/>
      <c r="AA529" s="887"/>
      <c r="AB529" s="1081"/>
      <c r="AC529" s="1078"/>
      <c r="AD529" s="1070" t="s">
        <v>333</v>
      </c>
      <c r="AE529" s="1071"/>
      <c r="AF529" s="1052"/>
      <c r="AG529" s="1053"/>
      <c r="AH529" s="1053"/>
      <c r="AI529" s="1066"/>
      <c r="AJ529" s="1067"/>
      <c r="AK529" s="154" t="str">
        <f t="shared" ca="1" si="8761"/>
        <v/>
      </c>
      <c r="AL529" s="1039"/>
      <c r="AM529" s="344" t="str">
        <f ca="1">IFERROR(Q527/12*ROUND(VLOOKUP(AF529,OFFSET(WSM,0,1),6,FALSE),2),"")</f>
        <v/>
      </c>
      <c r="AN529" t="str">
        <f t="shared" ca="1" si="8785"/>
        <v/>
      </c>
      <c r="AP529" s="122" t="str">
        <f t="shared" ref="AP529" si="9677">_xlfn.CONCAT(AR529,AS532)</f>
        <v/>
      </c>
      <c r="AQ529" s="683" t="str">
        <f t="shared" si="8985"/>
        <v/>
      </c>
      <c r="AR529" s="4" t="str">
        <f t="shared" si="8745"/>
        <v/>
      </c>
      <c r="AS529" s="4"/>
      <c r="AT529" s="697" t="str">
        <f>AL527</f>
        <v/>
      </c>
      <c r="AU529" s="694" t="e">
        <f t="shared" ca="1" si="9002"/>
        <v>#REF!</v>
      </c>
      <c r="AV529" s="686" t="str">
        <f ca="1">IFERROR(VLOOKUP(AU529,INDIRECT(AQ527),2,FALSE),"----")</f>
        <v>----</v>
      </c>
      <c r="AW529" s="694" t="e">
        <f t="shared" ca="1" si="9630"/>
        <v>#REF!</v>
      </c>
      <c r="AX529" s="686" t="str">
        <f ca="1">IFERROR(VLOOKUP(AW529,INDIRECT(AQ528),2,FALSE),"----")</f>
        <v>----</v>
      </c>
      <c r="AY529" s="694" t="e">
        <f t="shared" ca="1" si="9631"/>
        <v>#REF!</v>
      </c>
      <c r="AZ529" s="686" t="str">
        <f ca="1">IFERROR(VLOOKUP(AY529,INDIRECT(AQ529),2,FALSE),"----")</f>
        <v>----</v>
      </c>
      <c r="BA529" s="694" t="e">
        <f t="shared" ca="1" si="9632"/>
        <v>#REF!</v>
      </c>
      <c r="BB529" s="686" t="str">
        <f ca="1">IFERROR(VLOOKUP(BA529,INDIRECT(AQ530),2,FALSE),"----")</f>
        <v>----</v>
      </c>
      <c r="BC529" s="694" t="e">
        <f t="shared" ca="1" si="9633"/>
        <v>#REF!</v>
      </c>
      <c r="BD529" s="686" t="str">
        <f ca="1">IFERROR(VLOOKUP(BC529,INDIRECT(AQ531),2,FALSE),"----")</f>
        <v>----</v>
      </c>
      <c r="BE529" s="694" t="e">
        <f t="shared" ca="1" si="9007"/>
        <v>#REF!</v>
      </c>
      <c r="BF529" s="686" t="str">
        <f ca="1">IFERROR(VLOOKUP(BE529,INDIRECT(AQ532),2,FALSE),"----")</f>
        <v>----</v>
      </c>
      <c r="BG529" s="694" t="e">
        <f t="shared" ca="1" si="9008"/>
        <v>#REF!</v>
      </c>
      <c r="BH529" s="686" t="str">
        <f ca="1">IFERROR(VLOOKUP(BG529,INDIRECT(AQ533),2,FALSE),"----")</f>
        <v>----</v>
      </c>
      <c r="BI529" s="694" t="e">
        <f t="shared" ca="1" si="9636"/>
        <v>#REF!</v>
      </c>
      <c r="BJ529" s="686" t="str">
        <f ca="1">IFERROR(VLOOKUP(BI529,INDIRECT(AQ534),2,FALSE),"----")</f>
        <v>----</v>
      </c>
      <c r="BK529" s="694" t="e">
        <f t="shared" ca="1" si="9637"/>
        <v>#REF!</v>
      </c>
      <c r="BL529" s="686" t="str">
        <f ca="1">IFERROR(VLOOKUP(BK529,INDIRECT(AQ535),2,FALSE),"----")</f>
        <v>----</v>
      </c>
      <c r="BM529" s="694" t="e">
        <f t="shared" ca="1" si="9638"/>
        <v>#REF!</v>
      </c>
      <c r="BN529" s="686" t="str">
        <f ca="1">IFERROR(VLOOKUP(BM529,INDIRECT(AQ536),2,FALSE),"----")</f>
        <v>----</v>
      </c>
      <c r="BO529" s="694" t="e">
        <f t="shared" ca="1" si="9639"/>
        <v>#REF!</v>
      </c>
      <c r="BP529" s="686" t="str">
        <f ca="1">IFERROR(VLOOKUP(BO529,INDIRECT(AQ537),2,FALSE),"----")</f>
        <v>----</v>
      </c>
      <c r="BQ529" s="694" t="e">
        <f t="shared" ca="1" si="9013"/>
        <v>#REF!</v>
      </c>
      <c r="BR529" s="686" t="str">
        <f ca="1">IFERROR(VLOOKUP(BQ529,INDIRECT(AQ538),2,FALSE),"----")</f>
        <v>----</v>
      </c>
      <c r="BS529" s="695">
        <f>IF(AI529="",1,IF(COUNTIF(AZ527:AZ538,AI529)=0,2,1))</f>
        <v>1</v>
      </c>
      <c r="BT529" s="696">
        <f>IF(AF529="",1,IF(AZ527=".",2,1))</f>
        <v>1</v>
      </c>
      <c r="BU529" s="706"/>
      <c r="BV529" s="155">
        <f ca="1">IF(COUNTIF(CO527:CO538,AF529)=0,IF(AF529&lt;&gt;"",0,1),1)</f>
        <v>1</v>
      </c>
      <c r="BW529" s="157">
        <f ca="1">IFERROR(MATCH(AF529,CO527:CO538,0),1)</f>
        <v>1</v>
      </c>
      <c r="BX529" s="769"/>
      <c r="BY529" s="769"/>
      <c r="BZ529" s="1110"/>
      <c r="CA529" s="691" t="e">
        <f t="shared" ca="1" si="9641"/>
        <v>#REF!</v>
      </c>
      <c r="CB529" s="4" t="e" cm="1">
        <f t="array" aca="1" ref="CB529" ca="1">IF(AND(INDEX(INDIRECT(BY527),CA529,4)&gt;=$AB527,INDEX(INDIRECT(BY527),CA529,5)&gt;=$S527,INDEX(INDIRECT(BY527),CA529,6)&gt;=$R527),1,0)</f>
        <v>#REF!</v>
      </c>
      <c r="CC529" s="4" t="e">
        <f t="shared" ref="CC529" ca="1" si="9678">MATCH(1,OFFSET(CB527:CB538,CD528,0,COUNT(CB527:CB538)-CD528),0)</f>
        <v>#REF!</v>
      </c>
      <c r="CD529" s="4" t="e">
        <f t="shared" ca="1" si="9643"/>
        <v>#REF!</v>
      </c>
      <c r="CE529" s="692" t="str" cm="1">
        <f t="array" aca="1" ref="CE529" ca="1">IFERROR(VLOOKUP(INDEX(CA527:CA538,CD529),INDIRECT(BY527),2,FALSE),"----")</f>
        <v>----</v>
      </c>
      <c r="CF529" s="691" t="e">
        <f t="shared" ca="1" si="9644"/>
        <v>#N/A</v>
      </c>
      <c r="CG529" s="4" t="e">
        <f ca="1">IF(AND(INDEX(SSM,CF529,4)&gt;=$AB527,INDEX(SSM,CF529,5)&gt;=$S527,INDEX(SSM,CF529,6)&gt;=$R527),1,0)</f>
        <v>#N/A</v>
      </c>
      <c r="CH529" s="4" t="e">
        <f t="shared" ref="CH529" ca="1" si="9679">MATCH(1,OFFSET(CG527:CG538,CI528,0,COUNT(CG527:CG538)-CI528),0)</f>
        <v>#REF!</v>
      </c>
      <c r="CI529" s="4" t="e">
        <f t="shared" ca="1" si="9646"/>
        <v>#REF!</v>
      </c>
      <c r="CJ529" s="692" t="str">
        <f ca="1">IFERROR(IF(AD528="Nested Steel Stud (wood infill)",VLOOKUP(INDEX(CF527:CF538,CI529),SSW,2,FALSE),VLOOKUP(INDEX(CF527:CF538,CI529),SSM,2,FALSE)),"----")</f>
        <v>----</v>
      </c>
      <c r="CK529" s="691" t="e">
        <f t="shared" ca="1" si="9647"/>
        <v>#N/A</v>
      </c>
      <c r="CL529" s="4" t="e">
        <f ca="1">IF(AND(INDEX(WSM,CK529,4)&gt;=$AB527,INDEX(WSM,CK529,5)&gt;=$S527,INDEX(WSM,CK529,6)&gt;=$R527),1,0)</f>
        <v>#N/A</v>
      </c>
      <c r="CM529" s="4" t="e">
        <f t="shared" ref="CM529" ca="1" si="9680">MATCH(1,OFFSET(CL527:CL538,CN528,0,COUNT(CL527:CL538)-CN528),0)</f>
        <v>#REF!</v>
      </c>
      <c r="CN529" s="4" t="e">
        <f t="shared" ca="1" si="9649"/>
        <v>#REF!</v>
      </c>
      <c r="CO529" s="692" t="str">
        <f ca="1">IFERROR(VLOOKUP(INDEX(CK527:CK538,CN529),WSM,2,FALSE),"----")</f>
        <v>----</v>
      </c>
      <c r="CP529" s="691" t="e">
        <f t="shared" ca="1" si="9650"/>
        <v>#N/A</v>
      </c>
      <c r="CQ529" s="4" t="e">
        <f ca="1">IF(AND(INDEX(STM,CP529,4)&gt;=$AB527,INDEX(STM,CP529,5)&gt;=$S527,INDEX(STM,CP529,6)&gt;=$R527),1,0)</f>
        <v>#N/A</v>
      </c>
      <c r="CR529" s="4" t="e">
        <f t="shared" ref="CR529" ca="1" si="9681">MATCH(1,OFFSET(CQ527:CQ538,CS528,0,COUNT(CQ527:CQ538)-CS528),0)</f>
        <v>#REF!</v>
      </c>
      <c r="CS529" s="4" t="e">
        <f t="shared" ca="1" si="9652"/>
        <v>#REF!</v>
      </c>
      <c r="CT529" s="692" t="str">
        <f ca="1">IFERROR(VLOOKUP(INDEX(CP527:CP538,CS529),STM,2,FALSE),"----")</f>
        <v>----</v>
      </c>
      <c r="CU529" s="691" t="e">
        <f t="shared" ca="1" si="9653"/>
        <v>#N/A</v>
      </c>
      <c r="CV529" s="4" t="e">
        <f ca="1">IF(AND(INDEX(ELM,CU529,4)&gt;=$AB527,INDEX(ELM,CU529,5)&gt;=$S527,INDEX(ELM,CU529,6)&gt;=$R527),1,0)</f>
        <v>#N/A</v>
      </c>
      <c r="CW529" s="4" t="e">
        <f t="shared" ref="CW529" ca="1" si="9682">MATCH(1,OFFSET(CV527:CV538,CX528,0,COUNT(CV527:CV538)-CX528),0)</f>
        <v>#REF!</v>
      </c>
      <c r="CX529" s="4" t="e">
        <f t="shared" ca="1" si="9655"/>
        <v>#REF!</v>
      </c>
      <c r="CY529" s="692" t="str">
        <f ca="1">IFERROR(VLOOKUP(INDEX(CU527:CU538,CX529),ELM,2,FALSE),"----")</f>
        <v>----</v>
      </c>
      <c r="CZ529" s="691" t="e">
        <f t="shared" ca="1" si="9656"/>
        <v>#N/A</v>
      </c>
      <c r="DA529" s="4" t="e">
        <f ca="1">IF(LEFT($J527,7)="Clad Wo",IF(AND(INDEX(SPPWS,CZ529,4)&gt;=$AB527,INDEX(SPPWS,CZ529,5)&gt;=$S527,INDEX(SPPWS,CZ529,6)&gt;=$R527),1,0),IF(AND(INDEX(SPM,CZ529,4)&gt;=$AB527,INDEX(SPM,CZ529,5)&gt;=$S527,INDEX(SPM,CZ529,6)&gt;=$R527),1,0))</f>
        <v>#N/A</v>
      </c>
      <c r="DB529" s="4" t="e">
        <f t="shared" ref="DB529" ca="1" si="9683">MATCH(1,OFFSET(DA527:DA538,DC528,0,COUNT(DA527:DA538)-DC528),0)</f>
        <v>#REF!</v>
      </c>
      <c r="DC529" s="4" t="e">
        <f t="shared" ca="1" si="9658"/>
        <v>#REF!</v>
      </c>
      <c r="DD529" s="693" t="str">
        <f ca="1">IF(LEFT($J527,7)="Clad Wo",IFERROR(VLOOKUP(INDEX(CZ527:CZ538,DC529),SPPWS,2,FALSE),"----"),IFERROR(VLOOKUP(INDEX(CZ527:CZ538,DC529),SPM,2,FALSE),"----"))</f>
        <v>----</v>
      </c>
      <c r="DE529" s="691" t="e">
        <f t="shared" ca="1" si="9659"/>
        <v>#REF!</v>
      </c>
      <c r="DF529" s="4" t="e" cm="1">
        <f t="array" aca="1" ref="DF529" ca="1">IF(AND(INDEX(INDIRECT(BY527),DE529,4)&gt;=$AB533,INDEX(INDIRECT(BY527),DE529,5)&gt;=$S527,INDEX(INDIRECT(BY527),DE529,6)&gt;=$R527),1,0)</f>
        <v>#REF!</v>
      </c>
      <c r="DG529" s="4" t="e">
        <f t="shared" ref="DG529" ca="1" si="9684">MATCH(1,OFFSET(DF527:DF538,DH528,0,COUNT(DF527:DF538)-DH528),0)</f>
        <v>#REF!</v>
      </c>
      <c r="DH529" s="4" t="e">
        <f t="shared" ca="1" si="9661"/>
        <v>#REF!</v>
      </c>
      <c r="DI529" s="692" t="str" cm="1">
        <f t="array" aca="1" ref="DI529" ca="1">IFERROR(VLOOKUP(INDEX(DE527:DE538,DH529),INDIRECT(BY527),2,FALSE),"----")</f>
        <v>----</v>
      </c>
      <c r="DJ529" s="691" t="e">
        <f t="shared" ca="1" si="9662"/>
        <v>#N/A</v>
      </c>
      <c r="DK529" s="4" t="e">
        <f ca="1">IF(AND(INDEX(SSM,DJ529,4)&gt;=$AB533,INDEX(SSM,DJ529,5)&gt;=$S527,INDEX(SSM,DJ529,6)&gt;=$R527),1,0)</f>
        <v>#N/A</v>
      </c>
      <c r="DL529" s="4" t="e">
        <f t="shared" ref="DL529" ca="1" si="9685">MATCH(1,OFFSET(DK527:DK538,DM528,0,COUNT(DK527:DK538)-DM528),0)</f>
        <v>#REF!</v>
      </c>
      <c r="DM529" s="4" t="e">
        <f t="shared" ca="1" si="9664"/>
        <v>#REF!</v>
      </c>
      <c r="DN529" s="692" t="str">
        <f ca="1">IFERROR(IF(AD534="Nested Steel Stud (wood infill)",VLOOKUP(INDEX(DJ527:DJ538,DM529),SSW,2,FALSE),VLOOKUP(INDEX(DJ527:DJ538,DM529),SSM,2,FALSE)),"----")</f>
        <v>----</v>
      </c>
      <c r="DO529" s="691" t="e">
        <f t="shared" ca="1" si="9665"/>
        <v>#N/A</v>
      </c>
      <c r="DP529" s="4" t="e">
        <f ca="1">IF(AND(INDEX(WSM,DO529,4)&gt;=$AB533,INDEX(WSM,DO529,5)&gt;=$S527,INDEX(WSM,DO529,6)&gt;=$R527),1,0)</f>
        <v>#N/A</v>
      </c>
      <c r="DQ529" s="4" t="e">
        <f t="shared" ref="DQ529" ca="1" si="9686">MATCH(1,OFFSET(DP527:DP538,DR528,0,COUNT(DP527:DP538)-DR528),0)</f>
        <v>#REF!</v>
      </c>
      <c r="DR529" s="4" t="e">
        <f t="shared" ca="1" si="9667"/>
        <v>#REF!</v>
      </c>
      <c r="DS529" s="692" t="str">
        <f ca="1">IFERROR(VLOOKUP(INDEX(DO527:DO538,DR529),WSM,2,FALSE),"----")</f>
        <v>----</v>
      </c>
      <c r="DT529" s="691" t="e">
        <f t="shared" ca="1" si="9668"/>
        <v>#N/A</v>
      </c>
      <c r="DU529" s="4" t="e">
        <f ca="1">IF(AND(INDEX(STM,DT529,4)&gt;=$AB533,INDEX(STM,DT529,5)&gt;=$S527,INDEX(STM,DT529,6)&gt;=$R527),1,0)</f>
        <v>#N/A</v>
      </c>
      <c r="DV529" s="4" t="e">
        <f t="shared" ref="DV529" ca="1" si="9687">MATCH(1,OFFSET(DU527:DU538,DW528,0,COUNT(DU527:DU538)-DW528),0)</f>
        <v>#REF!</v>
      </c>
      <c r="DW529" s="4" t="e">
        <f t="shared" ca="1" si="9670"/>
        <v>#REF!</v>
      </c>
      <c r="DX529" s="692" t="str">
        <f ca="1">IFERROR(VLOOKUP(INDEX(DT527:DT538,DW529),STM,2,FALSE),"----")</f>
        <v>----</v>
      </c>
      <c r="DY529" s="691" t="e">
        <f t="shared" ca="1" si="9671"/>
        <v>#N/A</v>
      </c>
      <c r="DZ529" s="4" t="e">
        <f ca="1">IF(AND(INDEX(ELM,DY529,4)&gt;=$AB533,INDEX(ELM,DY529,5)&gt;=$S527,INDEX(ELM,DY529,6)&gt;=$R527),1,0)</f>
        <v>#N/A</v>
      </c>
      <c r="EA529" s="4" t="e">
        <f t="shared" ref="EA529" ca="1" si="9688">MATCH(1,OFFSET(DZ527:DZ538,EB528,0,COUNT(DZ527:DZ538)-EB528),0)</f>
        <v>#REF!</v>
      </c>
      <c r="EB529" s="4" t="e">
        <f t="shared" ca="1" si="9673"/>
        <v>#REF!</v>
      </c>
      <c r="EC529" s="692" t="str">
        <f ca="1">IFERROR(VLOOKUP(INDEX(DY527:DY538,EB529),ELM,2,FALSE),"----")</f>
        <v>----</v>
      </c>
      <c r="ED529" s="691" t="e">
        <f t="shared" ca="1" si="9674"/>
        <v>#N/A</v>
      </c>
      <c r="EE529" s="4" t="e">
        <f ca="1">IF(LEFT($J527,7)="Clad Wo",IF(AND(INDEX(SPPWS,ED529,4)&gt;=$AB533,INDEX(SPPWS,ED529,5)&gt;=$S527,INDEX(SPPWS,ED529,6)&gt;=$R527),1,0),IF(AND(INDEX(SPM,ED529,4)&gt;=$AB533,INDEX(SPM,ED529,5)&gt;=$S527,INDEX(SPM,ED529,6)&gt;=$R527),1,0))</f>
        <v>#N/A</v>
      </c>
      <c r="EF529" s="4" t="e">
        <f t="shared" ref="EF529" ca="1" si="9689">MATCH(1,OFFSET(EE527:EE538,EG528,0,COUNT(EE527:EE538)-EG528),0)</f>
        <v>#REF!</v>
      </c>
      <c r="EG529" s="4" t="e">
        <f t="shared" ca="1" si="9676"/>
        <v>#REF!</v>
      </c>
      <c r="EH529" s="692" t="str">
        <f ca="1">IF(LEFT($J527,7)="Clad Wo",IFERROR(VLOOKUP(INDEX(ED527:ED538,EG529),SPPWS,2,FALSE),"----"),IFERROR(VLOOKUP(INDEX(ED527:ED538,EG529),SPM,2,FALSE),"----"))</f>
        <v>----</v>
      </c>
    </row>
    <row r="530" spans="1:138" ht="15" customHeight="1" x14ac:dyDescent="0.25">
      <c r="A530" s="1085"/>
      <c r="B530" s="925"/>
      <c r="C530" s="926"/>
      <c r="D530" s="927"/>
      <c r="E530" s="995"/>
      <c r="F530" s="996"/>
      <c r="G530" s="997"/>
      <c r="H530" s="1062"/>
      <c r="I530" s="990"/>
      <c r="J530" s="908"/>
      <c r="K530" s="909"/>
      <c r="L530" s="1002"/>
      <c r="M530" s="923"/>
      <c r="N530" s="1042"/>
      <c r="O530" s="1018"/>
      <c r="P530" s="987"/>
      <c r="Q530" s="1015"/>
      <c r="R530" s="1012"/>
      <c r="S530" s="1006"/>
      <c r="T530" s="1007"/>
      <c r="U530" s="878"/>
      <c r="V530" s="881"/>
      <c r="W530" s="884"/>
      <c r="X530" s="884"/>
      <c r="Y530" s="887"/>
      <c r="Z530" s="887"/>
      <c r="AA530" s="887"/>
      <c r="AB530" s="1081"/>
      <c r="AC530" s="1078"/>
      <c r="AD530" s="1070" t="s">
        <v>37</v>
      </c>
      <c r="AE530" s="1071"/>
      <c r="AF530" s="1052"/>
      <c r="AG530" s="1053"/>
      <c r="AH530" s="1053"/>
      <c r="AI530" s="1066"/>
      <c r="AJ530" s="1067"/>
      <c r="AK530" s="156" t="str">
        <f t="shared" ca="1" si="8761"/>
        <v/>
      </c>
      <c r="AL530" s="1039"/>
      <c r="AM530" s="343" t="str">
        <f ca="1">IFERROR(Q527/12*ROUND(VLOOKUP(AF530,OFFSET(STM,0,1),6,FALSE),2),"")</f>
        <v/>
      </c>
      <c r="AN530" t="str">
        <f t="shared" ca="1" si="8785"/>
        <v/>
      </c>
      <c r="AP530" s="122" t="str">
        <f t="shared" ref="AP530" si="9690">_xlfn.CONCAT(AR530,AS532)</f>
        <v/>
      </c>
      <c r="AQ530" s="683" t="str">
        <f t="shared" si="8985"/>
        <v/>
      </c>
      <c r="AR530" s="4" t="str">
        <f t="shared" si="8745"/>
        <v/>
      </c>
      <c r="AS530" s="4"/>
      <c r="AT530" s="697" t="str">
        <f>AL527</f>
        <v/>
      </c>
      <c r="AU530" s="694" t="e">
        <f t="shared" ca="1" si="9002"/>
        <v>#REF!</v>
      </c>
      <c r="AV530" s="686" t="str">
        <f ca="1">IFERROR(VLOOKUP(AU530,INDIRECT(AQ527),2,FALSE),"----")</f>
        <v>----</v>
      </c>
      <c r="AW530" s="694" t="e">
        <f t="shared" ca="1" si="9003"/>
        <v>#REF!</v>
      </c>
      <c r="AX530" s="686" t="str">
        <f ca="1">IFERROR(VLOOKUP(AW530,INDIRECT(AQ528),2,FALSE),"----")</f>
        <v>----</v>
      </c>
      <c r="AY530" s="694" t="e">
        <f t="shared" ref="AY530" ca="1" si="9691">AY529-1</f>
        <v>#REF!</v>
      </c>
      <c r="AZ530" s="686" t="str">
        <f ca="1">IFERROR(VLOOKUP(AY530,INDIRECT(AQ529),2,FALSE),"----")</f>
        <v>----</v>
      </c>
      <c r="BA530" s="694" t="e">
        <f t="shared" ref="BA530" ca="1" si="9692">BA529-1</f>
        <v>#REF!</v>
      </c>
      <c r="BB530" s="686" t="str">
        <f ca="1">IFERROR(VLOOKUP(BA530,INDIRECT(AQ530),2,FALSE),"----")</f>
        <v>----</v>
      </c>
      <c r="BC530" s="694" t="e">
        <f t="shared" ca="1" si="9006"/>
        <v>#REF!</v>
      </c>
      <c r="BD530" s="686" t="str">
        <f ca="1">IFERROR(VLOOKUP(BC530,INDIRECT(AQ531),2,FALSE),"----")</f>
        <v>----</v>
      </c>
      <c r="BE530" s="694" t="e">
        <f t="shared" ca="1" si="9007"/>
        <v>#REF!</v>
      </c>
      <c r="BF530" s="686" t="str">
        <f ca="1">IFERROR(VLOOKUP(BE530,INDIRECT(AQ532),2,FALSE),"----")</f>
        <v>----</v>
      </c>
      <c r="BG530" s="694" t="e">
        <f t="shared" ca="1" si="9008"/>
        <v>#REF!</v>
      </c>
      <c r="BH530" s="686" t="str">
        <f ca="1">IFERROR(VLOOKUP(BG530,INDIRECT(AQ533),2,FALSE),"----")</f>
        <v>----</v>
      </c>
      <c r="BI530" s="694" t="e">
        <f t="shared" ca="1" si="9009"/>
        <v>#REF!</v>
      </c>
      <c r="BJ530" s="686" t="str">
        <f ca="1">IFERROR(VLOOKUP(BI530,INDIRECT(AQ534),2,FALSE),"----")</f>
        <v>----</v>
      </c>
      <c r="BK530" s="694" t="e">
        <f t="shared" ca="1" si="9010"/>
        <v>#REF!</v>
      </c>
      <c r="BL530" s="686" t="str">
        <f ca="1">IFERROR(VLOOKUP(BK530,INDIRECT(AQ535),2,FALSE),"----")</f>
        <v>----</v>
      </c>
      <c r="BM530" s="694" t="e">
        <f t="shared" ca="1" si="9011"/>
        <v>#REF!</v>
      </c>
      <c r="BN530" s="686" t="str">
        <f ca="1">IFERROR(VLOOKUP(BM530,INDIRECT(AQ536),2,FALSE),"----")</f>
        <v>----</v>
      </c>
      <c r="BO530" s="694" t="e">
        <f t="shared" ca="1" si="9012"/>
        <v>#REF!</v>
      </c>
      <c r="BP530" s="686" t="str">
        <f ca="1">IFERROR(VLOOKUP(BO530,INDIRECT(AQ537),2,FALSE),"----")</f>
        <v>----</v>
      </c>
      <c r="BQ530" s="694" t="e">
        <f t="shared" ca="1" si="9013"/>
        <v>#REF!</v>
      </c>
      <c r="BR530" s="686" t="str">
        <f ca="1">IFERROR(VLOOKUP(BQ530,INDIRECT(AQ538),2,FALSE),"----")</f>
        <v>----</v>
      </c>
      <c r="BS530" s="695">
        <f>IF(AI530="",1,IF(COUNTIF(BB527:BB538,AI530)=0,2,1))</f>
        <v>1</v>
      </c>
      <c r="BT530" s="696">
        <f>IF(AF530="",1,IF(BB527=".",2,1))</f>
        <v>1</v>
      </c>
      <c r="BU530" s="706"/>
      <c r="BV530" s="155">
        <f ca="1">IF(COUNTIF(CT527:CT538,AF530)=0,IF(AF530&lt;&gt;"",0,1),1)</f>
        <v>1</v>
      </c>
      <c r="BW530" s="157">
        <f ca="1">IFERROR(MATCH(AF530,CT527:CT538,0),1)</f>
        <v>1</v>
      </c>
      <c r="BX530" s="769"/>
      <c r="BY530" s="769"/>
      <c r="BZ530" s="1110"/>
      <c r="CA530" s="691" t="e">
        <f t="shared" ca="1" si="9641"/>
        <v>#REF!</v>
      </c>
      <c r="CB530" s="4" t="e" cm="1">
        <f t="array" aca="1" ref="CB530" ca="1">IF(AND(INDEX(INDIRECT(BY527),CA530,4)&gt;=$AB527,INDEX(INDIRECT(BY527),CA530,5)&gt;=$S527,INDEX(INDIRECT(BY527),CA530,6)&gt;=$R527),1,0)</f>
        <v>#REF!</v>
      </c>
      <c r="CC530" s="4" t="e">
        <f t="shared" ref="CC530" ca="1" si="9693">MATCH(1,OFFSET(CB527:CB538,CD529,0,COUNT(CB527:CB538)-CD529),0)</f>
        <v>#REF!</v>
      </c>
      <c r="CD530" s="4" t="e">
        <f t="shared" ca="1" si="9643"/>
        <v>#REF!</v>
      </c>
      <c r="CE530" s="692" t="str" cm="1">
        <f t="array" aca="1" ref="CE530" ca="1">IFERROR(VLOOKUP(INDEX(CA527:CA538,CD530),INDIRECT(BY527),2,FALSE),"----")</f>
        <v>----</v>
      </c>
      <c r="CF530" s="691" t="e">
        <f t="shared" ca="1" si="9644"/>
        <v>#N/A</v>
      </c>
      <c r="CG530" s="4" t="e">
        <f ca="1">IF(AND(INDEX(SSM,CF530,4)&gt;=$AB527,INDEX(SSM,CF530,5)&gt;=$S527,INDEX(SSM,CF530,6)&gt;=$R527),1,0)</f>
        <v>#N/A</v>
      </c>
      <c r="CH530" s="4" t="e">
        <f t="shared" ref="CH530" ca="1" si="9694">MATCH(1,OFFSET(CG527:CG538,CI529,0,COUNT(CG527:CG538)-CI529),0)</f>
        <v>#REF!</v>
      </c>
      <c r="CI530" s="4" t="e">
        <f t="shared" ca="1" si="9646"/>
        <v>#REF!</v>
      </c>
      <c r="CJ530" s="692" t="str">
        <f ca="1">IFERROR(IF(AD528="Nested Steel Stud (wood infill)",VLOOKUP(INDEX(CF527:CF538,CI530),SSW,2,FALSE),VLOOKUP(INDEX(CF527:CF538,CI530),SSM,2,FALSE)),"----")</f>
        <v>----</v>
      </c>
      <c r="CK530" s="691" t="e">
        <f t="shared" ca="1" si="9647"/>
        <v>#N/A</v>
      </c>
      <c r="CL530" s="4" t="e">
        <f ca="1">IF(AND(INDEX(WSM,CK530,4)&gt;=$AB527,INDEX(WSM,CK530,5)&gt;=$S527,INDEX(WSM,CK530,6)&gt;=$R527),1,0)</f>
        <v>#N/A</v>
      </c>
      <c r="CM530" s="4" t="e">
        <f t="shared" ref="CM530" ca="1" si="9695">MATCH(1,OFFSET(CL527:CL538,CN529,0,COUNT(CL527:CL538)-CN529),0)</f>
        <v>#REF!</v>
      </c>
      <c r="CN530" s="4" t="e">
        <f t="shared" ca="1" si="9649"/>
        <v>#REF!</v>
      </c>
      <c r="CO530" s="692" t="str">
        <f ca="1">IFERROR(VLOOKUP(INDEX(CK527:CK538,CN530),WSM,2,FALSE),"----")</f>
        <v>----</v>
      </c>
      <c r="CP530" s="691" t="e">
        <f t="shared" ca="1" si="9650"/>
        <v>#N/A</v>
      </c>
      <c r="CQ530" s="4" t="e">
        <f ca="1">IF(AND(INDEX(STM,CP530,4)&gt;=$AB527,INDEX(STM,CP530,5)&gt;=$S527,INDEX(STM,CP530,6)&gt;=$R527),1,0)</f>
        <v>#N/A</v>
      </c>
      <c r="CR530" s="4" t="e">
        <f t="shared" ref="CR530" ca="1" si="9696">MATCH(1,OFFSET(CQ527:CQ538,CS529,0,COUNT(CQ527:CQ538)-CS529),0)</f>
        <v>#REF!</v>
      </c>
      <c r="CS530" s="4" t="e">
        <f t="shared" ca="1" si="9652"/>
        <v>#REF!</v>
      </c>
      <c r="CT530" s="692" t="str">
        <f ca="1">IFERROR(VLOOKUP(INDEX(CP527:CP538,CS530),STM,2,FALSE),"----")</f>
        <v>----</v>
      </c>
      <c r="CU530" s="691" t="e">
        <f t="shared" ca="1" si="9653"/>
        <v>#N/A</v>
      </c>
      <c r="CV530" s="4" t="e">
        <f ca="1">IF(AND(INDEX(ELM,CU530,4)&gt;=$AB527,INDEX(ELM,CU530,5)&gt;=$S527,INDEX(ELM,CU530,6)&gt;=$R527),1,0)</f>
        <v>#N/A</v>
      </c>
      <c r="CW530" s="4" t="e">
        <f t="shared" ref="CW530" ca="1" si="9697">MATCH(1,OFFSET(CV527:CV538,CX529,0,COUNT(CV527:CV538)-CX529),0)</f>
        <v>#REF!</v>
      </c>
      <c r="CX530" s="4" t="e">
        <f t="shared" ca="1" si="9655"/>
        <v>#REF!</v>
      </c>
      <c r="CY530" s="692" t="str">
        <f ca="1">IFERROR(VLOOKUP(INDEX(CU527:CU538,CX530),ELM,2,FALSE),"----")</f>
        <v>----</v>
      </c>
      <c r="CZ530" s="691" t="e">
        <f t="shared" ca="1" si="9656"/>
        <v>#N/A</v>
      </c>
      <c r="DA530" s="4" t="e">
        <f ca="1">IF(LEFT($J527,7)="Clad Wo",IF(AND(INDEX(SPPWS,CZ530,4)&gt;=$AB527,INDEX(SPPWS,CZ530,5)&gt;=$S527,INDEX(SPPWS,CZ530,6)&gt;=$R527),1,0),IF(AND(INDEX(SPM,CZ530,4)&gt;=$AB527,INDEX(SPM,CZ530,5)&gt;=$S527,INDEX(SPM,CZ530,6)&gt;=$R527),1,0))</f>
        <v>#N/A</v>
      </c>
      <c r="DB530" s="4" t="e">
        <f t="shared" ref="DB530" ca="1" si="9698">MATCH(1,OFFSET(DA527:DA538,DC529,0,COUNT(DA527:DA538)-DC529),0)</f>
        <v>#REF!</v>
      </c>
      <c r="DC530" s="4" t="e">
        <f t="shared" ca="1" si="9658"/>
        <v>#REF!</v>
      </c>
      <c r="DD530" s="693" t="str">
        <f ca="1">IF(LEFT($J527,7)="Clad Wo",IFERROR(VLOOKUP(INDEX(CZ527:CZ538,DC530),SPPWS,2,FALSE),"----"),IFERROR(VLOOKUP(INDEX(CZ527:CZ538,DC530),SPM,2,FALSE),"----"))</f>
        <v>----</v>
      </c>
      <c r="DE530" s="691" t="e">
        <f t="shared" ca="1" si="9659"/>
        <v>#REF!</v>
      </c>
      <c r="DF530" s="4" t="e" cm="1">
        <f t="array" aca="1" ref="DF530" ca="1">IF(AND(INDEX(INDIRECT(BY527),DE530,4)&gt;=$AB533,INDEX(INDIRECT(BY527),DE530,5)&gt;=$S527,INDEX(INDIRECT(BY527),DE530,6)&gt;=$R527),1,0)</f>
        <v>#REF!</v>
      </c>
      <c r="DG530" s="4" t="e">
        <f t="shared" ref="DG530" ca="1" si="9699">MATCH(1,OFFSET(DF527:DF538,DH529,0,COUNT(DF527:DF538)-DH529),0)</f>
        <v>#REF!</v>
      </c>
      <c r="DH530" s="4" t="e">
        <f t="shared" ca="1" si="9661"/>
        <v>#REF!</v>
      </c>
      <c r="DI530" s="692" t="str" cm="1">
        <f t="array" aca="1" ref="DI530" ca="1">IFERROR(VLOOKUP(INDEX(DE527:DE538,DH530),INDIRECT(BY527),2,FALSE),"----")</f>
        <v>----</v>
      </c>
      <c r="DJ530" s="691" t="e">
        <f t="shared" ca="1" si="9662"/>
        <v>#N/A</v>
      </c>
      <c r="DK530" s="4" t="e">
        <f ca="1">IF(AND(INDEX(SSM,DJ530,4)&gt;=$AB533,INDEX(SSM,DJ530,5)&gt;=$S527,INDEX(SSM,DJ530,6)&gt;=$R527),1,0)</f>
        <v>#N/A</v>
      </c>
      <c r="DL530" s="4" t="e">
        <f t="shared" ref="DL530" ca="1" si="9700">MATCH(1,OFFSET(DK527:DK538,DM529,0,COUNT(DK527:DK538)-DM529),0)</f>
        <v>#REF!</v>
      </c>
      <c r="DM530" s="4" t="e">
        <f t="shared" ca="1" si="9664"/>
        <v>#REF!</v>
      </c>
      <c r="DN530" s="692" t="str">
        <f ca="1">IFERROR(IF(AD534="Nested Steel Stud (wood infill)",VLOOKUP(INDEX(DJ527:DJ538,DM530),SSW,2,FALSE),VLOOKUP(INDEX(DJ527:DJ538,DM530),SSM,2,FALSE)),"----")</f>
        <v>----</v>
      </c>
      <c r="DO530" s="691" t="e">
        <f t="shared" ca="1" si="9665"/>
        <v>#N/A</v>
      </c>
      <c r="DP530" s="4" t="e">
        <f ca="1">IF(AND(INDEX(WSM,DO530,4)&gt;=$AB533,INDEX(WSM,DO530,5)&gt;=$S527,INDEX(WSM,DO530,6)&gt;=$R527),1,0)</f>
        <v>#N/A</v>
      </c>
      <c r="DQ530" s="4" t="e">
        <f t="shared" ref="DQ530" ca="1" si="9701">MATCH(1,OFFSET(DP527:DP538,DR529,0,COUNT(DP527:DP538)-DR529),0)</f>
        <v>#REF!</v>
      </c>
      <c r="DR530" s="4" t="e">
        <f t="shared" ca="1" si="9667"/>
        <v>#REF!</v>
      </c>
      <c r="DS530" s="692" t="str">
        <f ca="1">IFERROR(VLOOKUP(INDEX(DO527:DO538,DR530),WSM,2,FALSE),"----")</f>
        <v>----</v>
      </c>
      <c r="DT530" s="691" t="e">
        <f t="shared" ca="1" si="9668"/>
        <v>#N/A</v>
      </c>
      <c r="DU530" s="4" t="e">
        <f ca="1">IF(AND(INDEX(STM,DT530,4)&gt;=$AB533,INDEX(STM,DT530,5)&gt;=$S527,INDEX(STM,DT530,6)&gt;=$R527),1,0)</f>
        <v>#N/A</v>
      </c>
      <c r="DV530" s="4" t="e">
        <f t="shared" ref="DV530" ca="1" si="9702">MATCH(1,OFFSET(DU527:DU538,DW529,0,COUNT(DU527:DU538)-DW529),0)</f>
        <v>#REF!</v>
      </c>
      <c r="DW530" s="4" t="e">
        <f t="shared" ca="1" si="9670"/>
        <v>#REF!</v>
      </c>
      <c r="DX530" s="692" t="str">
        <f ca="1">IFERROR(VLOOKUP(INDEX(DT527:DT538,DW530),STM,2,FALSE),"----")</f>
        <v>----</v>
      </c>
      <c r="DY530" s="691" t="e">
        <f t="shared" ca="1" si="9671"/>
        <v>#N/A</v>
      </c>
      <c r="DZ530" s="4" t="e">
        <f ca="1">IF(AND(INDEX(ELM,DY530,4)&gt;=$AB533,INDEX(ELM,DY530,5)&gt;=$S527,INDEX(ELM,DY530,6)&gt;=$R527),1,0)</f>
        <v>#N/A</v>
      </c>
      <c r="EA530" s="4" t="e">
        <f t="shared" ref="EA530" ca="1" si="9703">MATCH(1,OFFSET(DZ527:DZ538,EB529,0,COUNT(DZ527:DZ538)-EB529),0)</f>
        <v>#REF!</v>
      </c>
      <c r="EB530" s="4" t="e">
        <f t="shared" ca="1" si="9673"/>
        <v>#REF!</v>
      </c>
      <c r="EC530" s="692" t="str">
        <f ca="1">IFERROR(VLOOKUP(INDEX(DY527:DY538,EB530),ELM,2,FALSE),"----")</f>
        <v>----</v>
      </c>
      <c r="ED530" s="691" t="e">
        <f t="shared" ca="1" si="9674"/>
        <v>#N/A</v>
      </c>
      <c r="EE530" s="4" t="e">
        <f ca="1">IF(LEFT($J527,7)="Clad Wo",IF(AND(INDEX(SPPWS,ED530,4)&gt;=$AB533,INDEX(SPPWS,ED530,5)&gt;=$S527,INDEX(SPPWS,ED530,6)&gt;=$R527),1,0),IF(AND(INDEX(SPM,ED530,4)&gt;=$AB533,INDEX(SPM,ED530,5)&gt;=$S527,INDEX(SPM,ED530,6)&gt;=$R527),1,0))</f>
        <v>#N/A</v>
      </c>
      <c r="EF530" s="4" t="e">
        <f t="shared" ref="EF530" ca="1" si="9704">MATCH(1,OFFSET(EE527:EE538,EG529,0,COUNT(EE527:EE538)-EG529),0)</f>
        <v>#REF!</v>
      </c>
      <c r="EG530" s="4" t="e">
        <f t="shared" ca="1" si="9676"/>
        <v>#REF!</v>
      </c>
      <c r="EH530" s="692" t="str">
        <f ca="1">IF(LEFT($J527,7)="Clad Wo",IFERROR(VLOOKUP(INDEX(ED527:ED538,EG530),SPPWS,2,FALSE),"----"),IFERROR(VLOOKUP(INDEX(ED527:ED538,EG530),SPM,2,FALSE),"----"))</f>
        <v>----</v>
      </c>
    </row>
    <row r="531" spans="1:138" ht="15" customHeight="1" x14ac:dyDescent="0.25">
      <c r="A531" s="1085"/>
      <c r="B531" s="925"/>
      <c r="C531" s="926"/>
      <c r="D531" s="927"/>
      <c r="E531" s="995"/>
      <c r="F531" s="996"/>
      <c r="G531" s="997"/>
      <c r="H531" s="1062"/>
      <c r="I531" s="990"/>
      <c r="J531" s="910"/>
      <c r="K531" s="911"/>
      <c r="L531" s="1002"/>
      <c r="M531" s="923"/>
      <c r="N531" s="1042"/>
      <c r="O531" s="1018"/>
      <c r="P531" s="987"/>
      <c r="Q531" s="1015"/>
      <c r="R531" s="1012"/>
      <c r="S531" s="1006"/>
      <c r="T531" s="1007"/>
      <c r="U531" s="878"/>
      <c r="V531" s="881"/>
      <c r="W531" s="884"/>
      <c r="X531" s="884"/>
      <c r="Y531" s="887"/>
      <c r="Z531" s="887"/>
      <c r="AA531" s="887"/>
      <c r="AB531" s="1081"/>
      <c r="AC531" s="1078"/>
      <c r="AD531" s="1070" t="s">
        <v>39</v>
      </c>
      <c r="AE531" s="1071"/>
      <c r="AF531" s="1052"/>
      <c r="AG531" s="1053"/>
      <c r="AH531" s="1053"/>
      <c r="AI531" s="1068"/>
      <c r="AJ531" s="1069"/>
      <c r="AK531" s="154" t="str">
        <f t="shared" ca="1" si="8761"/>
        <v/>
      </c>
      <c r="AL531" s="1039"/>
      <c r="AM531" s="344" t="str">
        <f ca="1">IFERROR(Q527/12*ROUND(VLOOKUP(AF531,OFFSET(ELM,0,1),6,FALSE),2),"")</f>
        <v/>
      </c>
      <c r="AN531" t="str">
        <f t="shared" ca="1" si="8785"/>
        <v/>
      </c>
      <c r="AP531" s="122" t="str">
        <f t="shared" ref="AP531" si="9705">_xlfn.CONCAT(AR531,AS532)</f>
        <v/>
      </c>
      <c r="AQ531" s="683" t="str">
        <f t="shared" si="8985"/>
        <v/>
      </c>
      <c r="AR531" s="4" t="str">
        <f t="shared" si="8745"/>
        <v/>
      </c>
      <c r="AS531" s="4"/>
      <c r="AT531" s="697" t="str">
        <f>AL527</f>
        <v/>
      </c>
      <c r="AU531" s="694" t="e">
        <f t="shared" ca="1" si="9002"/>
        <v>#REF!</v>
      </c>
      <c r="AV531" s="698" t="str">
        <f ca="1">IFERROR(VLOOKUP(AU531,INDIRECT(AQ527),2,FALSE),"----")</f>
        <v>----</v>
      </c>
      <c r="AW531" s="694" t="e">
        <f t="shared" ca="1" si="9003"/>
        <v>#REF!</v>
      </c>
      <c r="AX531" s="698" t="str">
        <f ca="1">IFERROR(VLOOKUP(AW531,INDIRECT(AQ528),2,FALSE),"----")</f>
        <v>----</v>
      </c>
      <c r="AY531" s="694" t="e">
        <f t="shared" ref="AY531" ca="1" si="9706">AY530-1</f>
        <v>#REF!</v>
      </c>
      <c r="AZ531" s="698" t="str">
        <f ca="1">IFERROR(VLOOKUP(AY531,INDIRECT(AQ529),2,FALSE),"----")</f>
        <v>----</v>
      </c>
      <c r="BA531" s="694" t="e">
        <f t="shared" ref="BA531" ca="1" si="9707">BA530-1</f>
        <v>#REF!</v>
      </c>
      <c r="BB531" s="698" t="str">
        <f ca="1">IFERROR(VLOOKUP(BA531,INDIRECT(AQ530),2,FALSE),"----")</f>
        <v>----</v>
      </c>
      <c r="BC531" s="694" t="e">
        <f t="shared" ca="1" si="9006"/>
        <v>#REF!</v>
      </c>
      <c r="BD531" s="698" t="str">
        <f ca="1">IFERROR(VLOOKUP(BC531,INDIRECT(AQ531),2,FALSE),"----")</f>
        <v>----</v>
      </c>
      <c r="BE531" s="694" t="e">
        <f t="shared" ca="1" si="9007"/>
        <v>#REF!</v>
      </c>
      <c r="BF531" s="698" t="str">
        <f ca="1">IFERROR(VLOOKUP(BE531,INDIRECT(AQ532),2,FALSE),"----")</f>
        <v>----</v>
      </c>
      <c r="BG531" s="694" t="e">
        <f t="shared" ca="1" si="9008"/>
        <v>#REF!</v>
      </c>
      <c r="BH531" s="686" t="str">
        <f ca="1">IFERROR(VLOOKUP(BG531,INDIRECT(AQ533),2,FALSE),"----")</f>
        <v>----</v>
      </c>
      <c r="BI531" s="694" t="e">
        <f t="shared" ca="1" si="9009"/>
        <v>#REF!</v>
      </c>
      <c r="BJ531" s="686" t="str">
        <f ca="1">IFERROR(VLOOKUP(BI531,INDIRECT(AQ534),2,FALSE),"----")</f>
        <v>----</v>
      </c>
      <c r="BK531" s="694" t="e">
        <f t="shared" ca="1" si="9010"/>
        <v>#REF!</v>
      </c>
      <c r="BL531" s="686" t="str">
        <f ca="1">IFERROR(VLOOKUP(BK531,INDIRECT(AQ535),2,FALSE),"----")</f>
        <v>----</v>
      </c>
      <c r="BM531" s="694" t="e">
        <f t="shared" ca="1" si="9011"/>
        <v>#REF!</v>
      </c>
      <c r="BN531" s="686" t="str">
        <f ca="1">IFERROR(VLOOKUP(BM531,INDIRECT(AQ536),2,FALSE),"----")</f>
        <v>----</v>
      </c>
      <c r="BO531" s="694" t="e">
        <f t="shared" ca="1" si="9012"/>
        <v>#REF!</v>
      </c>
      <c r="BP531" s="686" t="str">
        <f ca="1">IFERROR(VLOOKUP(BO531,INDIRECT(AQ537),2,FALSE),"----")</f>
        <v>----</v>
      </c>
      <c r="BQ531" s="694" t="e">
        <f t="shared" ca="1" si="9013"/>
        <v>#REF!</v>
      </c>
      <c r="BR531" s="686" t="str">
        <f ca="1">IFERROR(VLOOKUP(BQ531,INDIRECT(AQ538),2,FALSE),"----")</f>
        <v>----</v>
      </c>
      <c r="BS531" s="695">
        <f>IF(AI531="",1,IF(COUNTIF(BD527:BD538,AI531)=0,2,1))</f>
        <v>1</v>
      </c>
      <c r="BT531" s="696">
        <f>IF(AF531="",1,IF(BD527=".",2,1))</f>
        <v>1</v>
      </c>
      <c r="BU531" s="706"/>
      <c r="BV531" s="155">
        <f ca="1">IF(COUNTIF(CY527:CY538,AF531)=0,IF(AF531&lt;&gt;"",0,1),1)</f>
        <v>1</v>
      </c>
      <c r="BW531" s="157">
        <f ca="1">IFERROR(MATCH(AF531,CY527:CY538,0),1)</f>
        <v>1</v>
      </c>
      <c r="BX531" s="769"/>
      <c r="BY531" s="769"/>
      <c r="BZ531" s="1110"/>
      <c r="CA531" s="691" t="e">
        <f t="shared" ca="1" si="9641"/>
        <v>#REF!</v>
      </c>
      <c r="CB531" s="4" t="e" cm="1">
        <f t="array" aca="1" ref="CB531" ca="1">IF(AND(INDEX(INDIRECT(BY527),CA531,4)&gt;=$AB527,INDEX(INDIRECT(BY527),CA531,5)&gt;=$S527,INDEX(INDIRECT(BY527),CA531,6)&gt;=$R527),1,0)</f>
        <v>#REF!</v>
      </c>
      <c r="CC531" s="4" t="e">
        <f t="shared" ref="CC531" ca="1" si="9708">MATCH(1,OFFSET(CB527:CB538,CD530,0,COUNT(CB527:CB538)-CD530),0)</f>
        <v>#REF!</v>
      </c>
      <c r="CD531" s="4" t="e">
        <f t="shared" ca="1" si="9643"/>
        <v>#REF!</v>
      </c>
      <c r="CE531" s="692" t="str" cm="1">
        <f t="array" aca="1" ref="CE531" ca="1">IFERROR(VLOOKUP(INDEX(CA527:CA538,CD531),INDIRECT(BY527),2,FALSE),"----")</f>
        <v>----</v>
      </c>
      <c r="CF531" s="691" t="e">
        <f t="shared" ca="1" si="9644"/>
        <v>#N/A</v>
      </c>
      <c r="CG531" s="4" t="e">
        <f ca="1">IF(AND(INDEX(SSM,CF531,4)&gt;=$AB527,INDEX(SSM,CF531,5)&gt;=$S527,INDEX(SSM,CF531,6)&gt;=$R527),1,0)</f>
        <v>#N/A</v>
      </c>
      <c r="CH531" s="4" t="e">
        <f t="shared" ref="CH531" ca="1" si="9709">MATCH(1,OFFSET(CG527:CG538,CI530,0,COUNT(CG527:CG538)-CI530),0)</f>
        <v>#REF!</v>
      </c>
      <c r="CI531" s="4" t="e">
        <f t="shared" ca="1" si="9646"/>
        <v>#REF!</v>
      </c>
      <c r="CJ531" s="692" t="str">
        <f ca="1">IFERROR(IF(AD528="Nested Steel Stud (wood infill)",VLOOKUP(INDEX(CF527:CF538,CI531),SSW,2,FALSE),VLOOKUP(INDEX(CF527:CF538,CI531),SSM,2,FALSE)),"----")</f>
        <v>----</v>
      </c>
      <c r="CK531" s="691" t="e">
        <f t="shared" ca="1" si="9647"/>
        <v>#N/A</v>
      </c>
      <c r="CL531" s="4" t="e">
        <f ca="1">IF(AND(INDEX(WSM,CK531,4)&gt;=$AB527,INDEX(WSM,CK531,5)&gt;=$S527,INDEX(WSM,CK531,6)&gt;=$R527),1,0)</f>
        <v>#N/A</v>
      </c>
      <c r="CM531" s="4" t="e">
        <f t="shared" ref="CM531" ca="1" si="9710">MATCH(1,OFFSET(CL527:CL538,CN530,0,COUNT(CL527:CL538)-CN530),0)</f>
        <v>#REF!</v>
      </c>
      <c r="CN531" s="4" t="e">
        <f t="shared" ca="1" si="9649"/>
        <v>#REF!</v>
      </c>
      <c r="CO531" s="692" t="str">
        <f ca="1">IFERROR(VLOOKUP(INDEX(CK527:CK538,CN531),WSM,2,FALSE),"----")</f>
        <v>----</v>
      </c>
      <c r="CP531" s="691" t="e">
        <f t="shared" ca="1" si="9650"/>
        <v>#N/A</v>
      </c>
      <c r="CQ531" s="4" t="e">
        <f ca="1">IF(AND(INDEX(STM,CP531,4)&gt;=$AB527,INDEX(STM,CP531,5)&gt;=$S527,INDEX(STM,CP531,6)&gt;=$R527),1,0)</f>
        <v>#N/A</v>
      </c>
      <c r="CR531" s="4" t="e">
        <f t="shared" ref="CR531" ca="1" si="9711">MATCH(1,OFFSET(CQ527:CQ538,CS530,0,COUNT(CQ527:CQ538)-CS530),0)</f>
        <v>#REF!</v>
      </c>
      <c r="CS531" s="4" t="e">
        <f t="shared" ca="1" si="9652"/>
        <v>#REF!</v>
      </c>
      <c r="CT531" s="692" t="str">
        <f ca="1">IFERROR(VLOOKUP(INDEX(CP527:CP538,CS531),STM,2,FALSE),"----")</f>
        <v>----</v>
      </c>
      <c r="CU531" s="691" t="e">
        <f t="shared" ca="1" si="9653"/>
        <v>#N/A</v>
      </c>
      <c r="CV531" s="4" t="e">
        <f ca="1">IF(AND(INDEX(ELM,CU531,4)&gt;=$AB527,INDEX(ELM,CU531,5)&gt;=$S527,INDEX(ELM,CU531,6)&gt;=$R527),1,0)</f>
        <v>#N/A</v>
      </c>
      <c r="CW531" s="4" t="e">
        <f t="shared" ref="CW531" ca="1" si="9712">MATCH(1,OFFSET(CV527:CV538,CX530,0,COUNT(CV527:CV538)-CX530),0)</f>
        <v>#REF!</v>
      </c>
      <c r="CX531" s="4" t="e">
        <f t="shared" ca="1" si="9655"/>
        <v>#REF!</v>
      </c>
      <c r="CY531" s="692" t="str">
        <f ca="1">IFERROR(VLOOKUP(INDEX(CU527:CU538,CX531),ELM,2,FALSE),"----")</f>
        <v>----</v>
      </c>
      <c r="CZ531" s="691" t="e">
        <f t="shared" ca="1" si="9656"/>
        <v>#N/A</v>
      </c>
      <c r="DA531" s="4" t="e">
        <f ca="1">IF(LEFT($J527,7)="Clad Wo",IF(AND(INDEX(SPPWS,CZ531,4)&gt;=$AB527,INDEX(SPPWS,CZ531,5)&gt;=$S527,INDEX(SPPWS,CZ531,6)&gt;=$R527),1,0),IF(AND(INDEX(SPM,CZ531,4)&gt;=$AB527,INDEX(SPM,CZ531,5)&gt;=$S527,INDEX(SPM,CZ531,6)&gt;=$R527),1,0))</f>
        <v>#N/A</v>
      </c>
      <c r="DB531" s="4" t="e">
        <f t="shared" ref="DB531" ca="1" si="9713">MATCH(1,OFFSET(DA527:DA538,DC530,0,COUNT(DA527:DA538)-DC530),0)</f>
        <v>#REF!</v>
      </c>
      <c r="DC531" s="4" t="e">
        <f t="shared" ca="1" si="9658"/>
        <v>#REF!</v>
      </c>
      <c r="DD531" s="693" t="str">
        <f ca="1">IF(LEFT($J527,7)="Clad Wo",IFERROR(VLOOKUP(INDEX(CZ527:CZ538,DC531),SPPWS,2,FALSE),"----"),IFERROR(VLOOKUP(INDEX(CZ527:CZ538,DC531),SPM,2,FALSE),"----"))</f>
        <v>----</v>
      </c>
      <c r="DE531" s="691" t="e">
        <f t="shared" ca="1" si="9659"/>
        <v>#REF!</v>
      </c>
      <c r="DF531" s="4" t="e" cm="1">
        <f t="array" aca="1" ref="DF531" ca="1">IF(AND(INDEX(INDIRECT(BY527),DE531,4)&gt;=$AB533,INDEX(INDIRECT(BY527),DE531,5)&gt;=$S527,INDEX(INDIRECT(BY527),DE531,6)&gt;=$R527),1,0)</f>
        <v>#REF!</v>
      </c>
      <c r="DG531" s="4" t="e">
        <f t="shared" ref="DG531" ca="1" si="9714">MATCH(1,OFFSET(DF527:DF538,DH530,0,COUNT(DF527:DF538)-DH530),0)</f>
        <v>#REF!</v>
      </c>
      <c r="DH531" s="4" t="e">
        <f t="shared" ca="1" si="9661"/>
        <v>#REF!</v>
      </c>
      <c r="DI531" s="692" t="str" cm="1">
        <f t="array" aca="1" ref="DI531" ca="1">IFERROR(VLOOKUP(INDEX(DE527:DE538,DH531),INDIRECT(BY527),2,FALSE),"----")</f>
        <v>----</v>
      </c>
      <c r="DJ531" s="691" t="e">
        <f t="shared" ca="1" si="9662"/>
        <v>#N/A</v>
      </c>
      <c r="DK531" s="4" t="e">
        <f ca="1">IF(AND(INDEX(SSM,DJ531,4)&gt;=$AB533,INDEX(SSM,DJ531,5)&gt;=$S527,INDEX(SSM,DJ531,6)&gt;=$R527),1,0)</f>
        <v>#N/A</v>
      </c>
      <c r="DL531" s="4" t="e">
        <f t="shared" ref="DL531" ca="1" si="9715">MATCH(1,OFFSET(DK527:DK538,DM530,0,COUNT(DK527:DK538)-DM530),0)</f>
        <v>#REF!</v>
      </c>
      <c r="DM531" s="4" t="e">
        <f t="shared" ca="1" si="9664"/>
        <v>#REF!</v>
      </c>
      <c r="DN531" s="692" t="str">
        <f ca="1">IFERROR(IF(AD534="Nested Steel Stud (wood infill)",VLOOKUP(INDEX(DJ527:DJ538,DM531),SSW,2,FALSE),VLOOKUP(INDEX(DJ527:DJ538,DM531),SSM,2,FALSE)),"----")</f>
        <v>----</v>
      </c>
      <c r="DO531" s="691" t="e">
        <f t="shared" ca="1" si="9665"/>
        <v>#N/A</v>
      </c>
      <c r="DP531" s="4" t="e">
        <f ca="1">IF(AND(INDEX(WSM,DO531,4)&gt;=$AB533,INDEX(WSM,DO531,5)&gt;=$S527,INDEX(WSM,DO531,6)&gt;=$R527),1,0)</f>
        <v>#N/A</v>
      </c>
      <c r="DQ531" s="4" t="e">
        <f t="shared" ref="DQ531" ca="1" si="9716">MATCH(1,OFFSET(DP527:DP538,DR530,0,COUNT(DP527:DP538)-DR530),0)</f>
        <v>#REF!</v>
      </c>
      <c r="DR531" s="4" t="e">
        <f t="shared" ca="1" si="9667"/>
        <v>#REF!</v>
      </c>
      <c r="DS531" s="692" t="str">
        <f ca="1">IFERROR(VLOOKUP(INDEX(DO527:DO538,DR531),WSM,2,FALSE),"----")</f>
        <v>----</v>
      </c>
      <c r="DT531" s="691" t="e">
        <f t="shared" ca="1" si="9668"/>
        <v>#N/A</v>
      </c>
      <c r="DU531" s="4" t="e">
        <f ca="1">IF(AND(INDEX(STM,DT531,4)&gt;=$AB533,INDEX(STM,DT531,5)&gt;=$S527,INDEX(STM,DT531,6)&gt;=$R527),1,0)</f>
        <v>#N/A</v>
      </c>
      <c r="DV531" s="4" t="e">
        <f t="shared" ref="DV531" ca="1" si="9717">MATCH(1,OFFSET(DU527:DU538,DW530,0,COUNT(DU527:DU538)-DW530),0)</f>
        <v>#REF!</v>
      </c>
      <c r="DW531" s="4" t="e">
        <f t="shared" ca="1" si="9670"/>
        <v>#REF!</v>
      </c>
      <c r="DX531" s="692" t="str">
        <f ca="1">IFERROR(VLOOKUP(INDEX(DT527:DT538,DW531),STM,2,FALSE),"----")</f>
        <v>----</v>
      </c>
      <c r="DY531" s="691" t="e">
        <f t="shared" ca="1" si="9671"/>
        <v>#N/A</v>
      </c>
      <c r="DZ531" s="4" t="e">
        <f ca="1">IF(AND(INDEX(ELM,DY531,4)&gt;=$AB533,INDEX(ELM,DY531,5)&gt;=$S527,INDEX(ELM,DY531,6)&gt;=$R527),1,0)</f>
        <v>#N/A</v>
      </c>
      <c r="EA531" s="4" t="e">
        <f t="shared" ref="EA531" ca="1" si="9718">MATCH(1,OFFSET(DZ527:DZ538,EB530,0,COUNT(DZ527:DZ538)-EB530),0)</f>
        <v>#REF!</v>
      </c>
      <c r="EB531" s="4" t="e">
        <f t="shared" ca="1" si="9673"/>
        <v>#REF!</v>
      </c>
      <c r="EC531" s="692" t="str">
        <f ca="1">IFERROR(VLOOKUP(INDEX(DY527:DY538,EB531),ELM,2,FALSE),"----")</f>
        <v>----</v>
      </c>
      <c r="ED531" s="691" t="e">
        <f t="shared" ca="1" si="9674"/>
        <v>#N/A</v>
      </c>
      <c r="EE531" s="4" t="e">
        <f ca="1">IF(LEFT($J527,7)="Clad Wo",IF(AND(INDEX(SPPWS,ED531,4)&gt;=$AB533,INDEX(SPPWS,ED531,5)&gt;=$S527,INDEX(SPPWS,ED531,6)&gt;=$R527),1,0),IF(AND(INDEX(SPM,ED531,4)&gt;=$AB533,INDEX(SPM,ED531,5)&gt;=$S527,INDEX(SPM,ED531,6)&gt;=$R527),1,0))</f>
        <v>#N/A</v>
      </c>
      <c r="EF531" s="4" t="e">
        <f t="shared" ref="EF531" ca="1" si="9719">MATCH(1,OFFSET(EE527:EE538,EG530,0,COUNT(EE527:EE538)-EG530),0)</f>
        <v>#REF!</v>
      </c>
      <c r="EG531" s="4" t="e">
        <f t="shared" ca="1" si="9676"/>
        <v>#REF!</v>
      </c>
      <c r="EH531" s="692" t="str">
        <f ca="1">IF(LEFT($J527,7)="Clad Wo",IFERROR(VLOOKUP(INDEX(ED527:ED538,EG531),SPPWS,2,FALSE),"----"),IFERROR(VLOOKUP(INDEX(ED527:ED538,EG531),SPM,2,FALSE),"----"))</f>
        <v>----</v>
      </c>
    </row>
    <row r="532" spans="1:138" ht="15" customHeight="1" thickBot="1" x14ac:dyDescent="0.3">
      <c r="A532" s="1085"/>
      <c r="B532" s="934"/>
      <c r="C532" s="935"/>
      <c r="D532" s="936"/>
      <c r="E532" s="995"/>
      <c r="F532" s="996"/>
      <c r="G532" s="997"/>
      <c r="H532" s="1062"/>
      <c r="I532" s="990"/>
      <c r="J532" s="908"/>
      <c r="K532" s="909"/>
      <c r="L532" s="1010"/>
      <c r="M532" s="924"/>
      <c r="N532" s="1044"/>
      <c r="O532" s="1018"/>
      <c r="P532" s="987"/>
      <c r="Q532" s="1015"/>
      <c r="R532" s="1012"/>
      <c r="S532" s="1006"/>
      <c r="T532" s="1007"/>
      <c r="U532" s="878"/>
      <c r="V532" s="881"/>
      <c r="W532" s="889"/>
      <c r="X532" s="884"/>
      <c r="Y532" s="890"/>
      <c r="Z532" s="890"/>
      <c r="AA532" s="887"/>
      <c r="AB532" s="1084"/>
      <c r="AC532" s="1079"/>
      <c r="AD532" s="1072" t="str">
        <f t="shared" ref="AD532" si="9720">IF(LEFT(J527,7)="Clad Wo","Pella Wood Spr / Steel Pte","Steel Plate")</f>
        <v>Steel Plate</v>
      </c>
      <c r="AE532" s="1073"/>
      <c r="AF532" s="1054"/>
      <c r="AG532" s="1055"/>
      <c r="AH532" s="1055"/>
      <c r="AI532" s="1092"/>
      <c r="AJ532" s="1093"/>
      <c r="AK532" s="159" t="str">
        <f t="shared" ca="1" si="8761"/>
        <v/>
      </c>
      <c r="AL532" s="1040"/>
      <c r="AM532" s="345" t="str">
        <f ca="1">IFERROR(Q527/12*ROUND(VLOOKUP(AF532,OFFSET(SPM,0,1),6,FALSE),2),"")</f>
        <v/>
      </c>
      <c r="AN532" t="str">
        <f t="shared" ca="1" si="8785"/>
        <v/>
      </c>
      <c r="AP532" s="699" t="str">
        <f t="shared" ref="AP532" si="9721">_xlfn.CONCAT(AR532,AS532)</f>
        <v/>
      </c>
      <c r="AQ532" s="700" t="str">
        <f t="shared" si="8985"/>
        <v/>
      </c>
      <c r="AR532" s="160" t="str">
        <f t="shared" si="8745"/>
        <v/>
      </c>
      <c r="AS532" s="160" t="str">
        <f>IFERROR(VLOOKUP(J535, WallType,2,FALSE),"")</f>
        <v/>
      </c>
      <c r="AT532" s="701" t="str">
        <f>AL527</f>
        <v/>
      </c>
      <c r="AU532" s="694" t="e">
        <f t="shared" ca="1" si="9002"/>
        <v>#REF!</v>
      </c>
      <c r="AV532" s="698" t="str">
        <f ca="1">IFERROR(VLOOKUP(AU532,INDIRECT(AQ527),2,FALSE),"----")</f>
        <v>----</v>
      </c>
      <c r="AW532" s="702" t="e">
        <f t="shared" ca="1" si="9003"/>
        <v>#REF!</v>
      </c>
      <c r="AX532" s="698" t="str">
        <f ca="1">IFERROR(VLOOKUP(AW532,INDIRECT(AQ528),2,FALSE),"----")</f>
        <v>----</v>
      </c>
      <c r="AY532" s="702" t="e">
        <f t="shared" ref="AY532:AY547" ca="1" si="9722">AY531-1</f>
        <v>#REF!</v>
      </c>
      <c r="AZ532" s="698" t="str">
        <f ca="1">IFERROR(VLOOKUP(AY532,INDIRECT(AQ529),2,FALSE),"----")</f>
        <v>----</v>
      </c>
      <c r="BA532" s="702" t="e">
        <f t="shared" ref="BA532:BA547" ca="1" si="9723">BA531-1</f>
        <v>#REF!</v>
      </c>
      <c r="BB532" s="698" t="str">
        <f ca="1">IFERROR(VLOOKUP(BA532,INDIRECT(AQ530),2,FALSE),"----")</f>
        <v>----</v>
      </c>
      <c r="BC532" s="702" t="e">
        <f t="shared" ca="1" si="9006"/>
        <v>#REF!</v>
      </c>
      <c r="BD532" s="698" t="str">
        <f ca="1">IFERROR(VLOOKUP(BC532,INDIRECT(AQ531),2,FALSE),"----")</f>
        <v>----</v>
      </c>
      <c r="BE532" s="702" t="e">
        <f t="shared" ca="1" si="9007"/>
        <v>#REF!</v>
      </c>
      <c r="BF532" s="698" t="str">
        <f ca="1">IFERROR(VLOOKUP(BE532,INDIRECT(AQ532),2,FALSE),"----")</f>
        <v>----</v>
      </c>
      <c r="BG532" s="702" t="e">
        <f t="shared" ca="1" si="9008"/>
        <v>#REF!</v>
      </c>
      <c r="BH532" s="686" t="str">
        <f ca="1">IFERROR(VLOOKUP(BG532,INDIRECT(AQ533),2,FALSE),"----")</f>
        <v>----</v>
      </c>
      <c r="BI532" s="702" t="e">
        <f t="shared" ca="1" si="9009"/>
        <v>#REF!</v>
      </c>
      <c r="BJ532" s="686" t="str">
        <f ca="1">IFERROR(VLOOKUP(BI532,INDIRECT(AQ534),2,FALSE),"----")</f>
        <v>----</v>
      </c>
      <c r="BK532" s="702" t="e">
        <f t="shared" ca="1" si="9010"/>
        <v>#REF!</v>
      </c>
      <c r="BL532" s="686" t="str">
        <f ca="1">IFERROR(VLOOKUP(BK532,INDIRECT(AQ535),2,FALSE),"----")</f>
        <v>----</v>
      </c>
      <c r="BM532" s="702" t="e">
        <f t="shared" ca="1" si="9011"/>
        <v>#REF!</v>
      </c>
      <c r="BN532" s="686" t="str">
        <f ca="1">IFERROR(VLOOKUP(BM532,INDIRECT(AQ536),2,FALSE),"----")</f>
        <v>----</v>
      </c>
      <c r="BO532" s="702" t="e">
        <f t="shared" ca="1" si="9012"/>
        <v>#REF!</v>
      </c>
      <c r="BP532" s="686" t="str">
        <f ca="1">IFERROR(VLOOKUP(BO532,INDIRECT(AQ537),2,FALSE),"----")</f>
        <v>----</v>
      </c>
      <c r="BQ532" s="702" t="e">
        <f t="shared" ca="1" si="9013"/>
        <v>#REF!</v>
      </c>
      <c r="BR532" s="686" t="str">
        <f ca="1">IFERROR(VLOOKUP(BQ532,INDIRECT(AQ538),2,FALSE),"----")</f>
        <v>----</v>
      </c>
      <c r="BS532" s="703">
        <f>IF(AI532="",1,IF(COUNTIF(BF527:BF538,AI532)=0,2,1))</f>
        <v>1</v>
      </c>
      <c r="BT532" s="704">
        <f>IF(AF532="",1,IF(BF527=".",2,1))</f>
        <v>1</v>
      </c>
      <c r="BV532" s="155">
        <f ca="1">IF(COUNTIF(DD527:DD538,AF532)=0,IF(AF532&lt;&gt;"",0,1),1)</f>
        <v>1</v>
      </c>
      <c r="BW532" s="157">
        <f ca="1">IFERROR(MATCH(AF532,DD527:DD538,0),1)</f>
        <v>1</v>
      </c>
      <c r="BX532" s="875" t="s">
        <v>1594</v>
      </c>
      <c r="BY532" s="876"/>
      <c r="BZ532" s="1110"/>
      <c r="CA532" s="691" t="e">
        <f t="shared" ca="1" si="9641"/>
        <v>#REF!</v>
      </c>
      <c r="CB532" s="4" t="e" cm="1">
        <f t="array" aca="1" ref="CB532" ca="1">IF(AND(INDEX(INDIRECT(BY527),CA532,4)&gt;=$AB527,INDEX(INDIRECT(BY527),CA532,5)&gt;=$S527,INDEX(INDIRECT(BY527),CA532,6)&gt;=$R527),1,0)</f>
        <v>#REF!</v>
      </c>
      <c r="CC532" s="4" t="e">
        <f t="shared" ref="CC532" ca="1" si="9724">MATCH(1,OFFSET(CB527:CB538,CD531,0,COUNT(CB527:CB538)-CD531),0)</f>
        <v>#REF!</v>
      </c>
      <c r="CD532" s="4" t="e">
        <f t="shared" ca="1" si="9643"/>
        <v>#REF!</v>
      </c>
      <c r="CE532" s="692" t="str" cm="1">
        <f t="array" aca="1" ref="CE532" ca="1">IFERROR(VLOOKUP(INDEX(CA527:CA538,CD532),INDIRECT(BY527),2,FALSE),"----")</f>
        <v>----</v>
      </c>
      <c r="CF532" s="691" t="e">
        <f t="shared" ca="1" si="9644"/>
        <v>#N/A</v>
      </c>
      <c r="CG532" s="4" t="e">
        <f ca="1">IF(AND(INDEX(SSM,CF532,4)&gt;=$AB527,INDEX(SSM,CF532,5)&gt;=$S527,INDEX(SSM,CF532,6)&gt;=$R527),1,0)</f>
        <v>#N/A</v>
      </c>
      <c r="CH532" s="4" t="e">
        <f t="shared" ref="CH532" ca="1" si="9725">MATCH(1,OFFSET(CG527:CG538,CI531,0,COUNT(CG527:CG538)-CI531),0)</f>
        <v>#REF!</v>
      </c>
      <c r="CI532" s="4" t="e">
        <f t="shared" ca="1" si="9646"/>
        <v>#REF!</v>
      </c>
      <c r="CJ532" s="692" t="str">
        <f ca="1">IFERROR(IF(AD528="Nested Steel Stud (wood infill)",VLOOKUP(INDEX(CF527:CF538,CI532),SSW,2,FALSE),VLOOKUP(INDEX(CF527:CF538,CI532),SSM,2,FALSE)),"----")</f>
        <v>----</v>
      </c>
      <c r="CK532" s="691" t="e">
        <f t="shared" ca="1" si="9647"/>
        <v>#N/A</v>
      </c>
      <c r="CL532" s="4" t="e">
        <f ca="1">IF(AND(INDEX(WSM,CK532,4)&gt;=$AB527,INDEX(WSM,CK532,5)&gt;=$S527,INDEX(WSM,CK532,6)&gt;=$R527),1,0)</f>
        <v>#N/A</v>
      </c>
      <c r="CM532" s="4" t="e">
        <f t="shared" ref="CM532" ca="1" si="9726">MATCH(1,OFFSET(CL527:CL538,CN531,0,COUNT(CL527:CL538)-CN531),0)</f>
        <v>#REF!</v>
      </c>
      <c r="CN532" s="4" t="e">
        <f t="shared" ca="1" si="9649"/>
        <v>#REF!</v>
      </c>
      <c r="CO532" s="692" t="str">
        <f ca="1">IFERROR(VLOOKUP(INDEX(CK527:CK538,CN532),WSM,2,FALSE),"----")</f>
        <v>----</v>
      </c>
      <c r="CP532" s="691" t="e">
        <f t="shared" ca="1" si="9650"/>
        <v>#N/A</v>
      </c>
      <c r="CQ532" s="4" t="e">
        <f ca="1">IF(AND(INDEX(STM,CP532,4)&gt;=$AB527,INDEX(STM,CP532,5)&gt;=$S527,INDEX(STM,CP532,6)&gt;=$R527),1,0)</f>
        <v>#N/A</v>
      </c>
      <c r="CR532" s="4" t="e">
        <f t="shared" ref="CR532" ca="1" si="9727">MATCH(1,OFFSET(CQ527:CQ538,CS531,0,COUNT(CQ527:CQ538)-CS531),0)</f>
        <v>#REF!</v>
      </c>
      <c r="CS532" s="4" t="e">
        <f t="shared" ca="1" si="9652"/>
        <v>#REF!</v>
      </c>
      <c r="CT532" s="692" t="str">
        <f ca="1">IFERROR(VLOOKUP(INDEX(CP527:CP538,CS532),STM,2,FALSE),"----")</f>
        <v>----</v>
      </c>
      <c r="CU532" s="691" t="e">
        <f t="shared" ca="1" si="9653"/>
        <v>#N/A</v>
      </c>
      <c r="CV532" s="4" t="e">
        <f ca="1">IF(AND(INDEX(ELM,CU532,4)&gt;=$AB527,INDEX(ELM,CU532,5)&gt;=$S527,INDEX(ELM,CU532,6)&gt;=$R527),1,0)</f>
        <v>#N/A</v>
      </c>
      <c r="CW532" s="4" t="e">
        <f t="shared" ref="CW532" ca="1" si="9728">MATCH(1,OFFSET(CV527:CV538,CX531,0,COUNT(CV527:CV538)-CX531),0)</f>
        <v>#REF!</v>
      </c>
      <c r="CX532" s="4" t="e">
        <f t="shared" ca="1" si="9655"/>
        <v>#REF!</v>
      </c>
      <c r="CY532" s="692" t="str">
        <f ca="1">IFERROR(VLOOKUP(INDEX(CU527:CU538,CX532),ELM,2,FALSE),"----")</f>
        <v>----</v>
      </c>
      <c r="CZ532" s="691" t="e">
        <f t="shared" ca="1" si="9656"/>
        <v>#N/A</v>
      </c>
      <c r="DA532" s="4" t="e">
        <f ca="1">IF(LEFT($J527,7)="Clad Wo",IF(AND(INDEX(SPPWS,CZ532,4)&gt;=$AB527,INDEX(SPPWS,CZ532,5)&gt;=$S527,INDEX(SPPWS,CZ532,6)&gt;=$R527),1,0),IF(AND(INDEX(SPM,CZ532,4)&gt;=$AB527,INDEX(SPM,CZ532,5)&gt;=$S527,INDEX(SPM,CZ532,6)&gt;=$R527),1,0))</f>
        <v>#N/A</v>
      </c>
      <c r="DB532" s="4" t="e">
        <f t="shared" ref="DB532" ca="1" si="9729">MATCH(1,OFFSET(DA527:DA538,DC531,0,COUNT(DA527:DA538)-DC531),0)</f>
        <v>#REF!</v>
      </c>
      <c r="DC532" s="4" t="e">
        <f t="shared" ca="1" si="9658"/>
        <v>#REF!</v>
      </c>
      <c r="DD532" s="693" t="str">
        <f ca="1">IF(LEFT($J527,7)="Clad Wo",IFERROR(VLOOKUP(INDEX(CZ527:CZ538,DC532),SPPWS,2,FALSE),"----"),IFERROR(VLOOKUP(INDEX(CZ527:CZ538,DC532),SPM,2,FALSE),"----"))</f>
        <v>----</v>
      </c>
      <c r="DE532" s="691" t="e">
        <f t="shared" ca="1" si="9659"/>
        <v>#REF!</v>
      </c>
      <c r="DF532" s="4" t="e" cm="1">
        <f t="array" aca="1" ref="DF532" ca="1">IF(AND(INDEX(INDIRECT(BY527),DE532,4)&gt;=$AB533,INDEX(INDIRECT(BY527),DE532,5)&gt;=$S527,INDEX(INDIRECT(BY527),DE532,6)&gt;=$R527),1,0)</f>
        <v>#REF!</v>
      </c>
      <c r="DG532" s="4" t="e">
        <f t="shared" ref="DG532" ca="1" si="9730">MATCH(1,OFFSET(DF527:DF538,DH531,0,COUNT(DF527:DF538)-DH531),0)</f>
        <v>#REF!</v>
      </c>
      <c r="DH532" s="4" t="e">
        <f t="shared" ca="1" si="9661"/>
        <v>#REF!</v>
      </c>
      <c r="DI532" s="692" t="str" cm="1">
        <f t="array" aca="1" ref="DI532" ca="1">IFERROR(VLOOKUP(INDEX(DE527:DE538,DH532),INDIRECT(BY527),2,FALSE),"----")</f>
        <v>----</v>
      </c>
      <c r="DJ532" s="691" t="e">
        <f t="shared" ca="1" si="9662"/>
        <v>#N/A</v>
      </c>
      <c r="DK532" s="4" t="e">
        <f ca="1">IF(AND(INDEX(SSM,DJ532,4)&gt;=$AB533,INDEX(SSM,DJ532,5)&gt;=$S527,INDEX(SSM,DJ532,6)&gt;=$R527),1,0)</f>
        <v>#N/A</v>
      </c>
      <c r="DL532" s="4" t="e">
        <f t="shared" ref="DL532" ca="1" si="9731">MATCH(1,OFFSET(DK527:DK538,DM531,0,COUNT(DK527:DK538)-DM531),0)</f>
        <v>#REF!</v>
      </c>
      <c r="DM532" s="4" t="e">
        <f t="shared" ca="1" si="9664"/>
        <v>#REF!</v>
      </c>
      <c r="DN532" s="692" t="str">
        <f ca="1">IFERROR(IF(AD534="Nested Steel Stud (wood infill)",VLOOKUP(INDEX(DJ527:DJ538,DM532),SSW,2,FALSE),VLOOKUP(INDEX(DJ527:DJ538,DM532),SSM,2,FALSE)),"----")</f>
        <v>----</v>
      </c>
      <c r="DO532" s="691" t="e">
        <f t="shared" ca="1" si="9665"/>
        <v>#N/A</v>
      </c>
      <c r="DP532" s="4" t="e">
        <f ca="1">IF(AND(INDEX(WSM,DO532,4)&gt;=$AB533,INDEX(WSM,DO532,5)&gt;=$S527,INDEX(WSM,DO532,6)&gt;=$R527),1,0)</f>
        <v>#N/A</v>
      </c>
      <c r="DQ532" s="4" t="e">
        <f t="shared" ref="DQ532" ca="1" si="9732">MATCH(1,OFFSET(DP527:DP538,DR531,0,COUNT(DP527:DP538)-DR531),0)</f>
        <v>#REF!</v>
      </c>
      <c r="DR532" s="4" t="e">
        <f t="shared" ca="1" si="9667"/>
        <v>#REF!</v>
      </c>
      <c r="DS532" s="692" t="str">
        <f ca="1">IFERROR(VLOOKUP(INDEX(DO527:DO538,DR532),WSM,2,FALSE),"----")</f>
        <v>----</v>
      </c>
      <c r="DT532" s="691" t="e">
        <f t="shared" ca="1" si="9668"/>
        <v>#N/A</v>
      </c>
      <c r="DU532" s="4" t="e">
        <f ca="1">IF(AND(INDEX(STM,DT532,4)&gt;=$AB533,INDEX(STM,DT532,5)&gt;=$S527,INDEX(STM,DT532,6)&gt;=$R527),1,0)</f>
        <v>#N/A</v>
      </c>
      <c r="DV532" s="4" t="e">
        <f t="shared" ref="DV532" ca="1" si="9733">MATCH(1,OFFSET(DU527:DU538,DW531,0,COUNT(DU527:DU538)-DW531),0)</f>
        <v>#REF!</v>
      </c>
      <c r="DW532" s="4" t="e">
        <f t="shared" ca="1" si="9670"/>
        <v>#REF!</v>
      </c>
      <c r="DX532" s="692" t="str">
        <f ca="1">IFERROR(VLOOKUP(INDEX(DT527:DT538,DW532),STM,2,FALSE),"----")</f>
        <v>----</v>
      </c>
      <c r="DY532" s="691" t="e">
        <f t="shared" ca="1" si="9671"/>
        <v>#N/A</v>
      </c>
      <c r="DZ532" s="4" t="e">
        <f ca="1">IF(AND(INDEX(ELM,DY532,4)&gt;=$AB533,INDEX(ELM,DY532,5)&gt;=$S527,INDEX(ELM,DY532,6)&gt;=$R527),1,0)</f>
        <v>#N/A</v>
      </c>
      <c r="EA532" s="4" t="e">
        <f t="shared" ref="EA532" ca="1" si="9734">MATCH(1,OFFSET(DZ527:DZ538,EB531,0,COUNT(DZ527:DZ538)-EB531),0)</f>
        <v>#REF!</v>
      </c>
      <c r="EB532" s="4" t="e">
        <f t="shared" ca="1" si="9673"/>
        <v>#REF!</v>
      </c>
      <c r="EC532" s="692" t="str">
        <f ca="1">IFERROR(VLOOKUP(INDEX(DY527:DY538,EB532),ELM,2,FALSE),"----")</f>
        <v>----</v>
      </c>
      <c r="ED532" s="691" t="e">
        <f t="shared" ca="1" si="9674"/>
        <v>#N/A</v>
      </c>
      <c r="EE532" s="4" t="e">
        <f ca="1">IF(LEFT($J527,7)="Clad Wo",IF(AND(INDEX(SPPWS,ED532,4)&gt;=$AB533,INDEX(SPPWS,ED532,5)&gt;=$S527,INDEX(SPPWS,ED532,6)&gt;=$R527),1,0),IF(AND(INDEX(SPM,ED532,4)&gt;=$AB533,INDEX(SPM,ED532,5)&gt;=$S527,INDEX(SPM,ED532,6)&gt;=$R527),1,0))</f>
        <v>#N/A</v>
      </c>
      <c r="EF532" s="4" t="e">
        <f t="shared" ref="EF532" ca="1" si="9735">MATCH(1,OFFSET(EE527:EE538,EG531,0,COUNT(EE527:EE538)-EG531),0)</f>
        <v>#REF!</v>
      </c>
      <c r="EG532" s="4" t="e">
        <f t="shared" ca="1" si="9676"/>
        <v>#REF!</v>
      </c>
      <c r="EH532" s="692" t="str">
        <f ca="1">IF(LEFT($J527,7)="Clad Wo",IFERROR(VLOOKUP(INDEX(ED527:ED538,EG532),SPPWS,2,FALSE),"----"),IFERROR(VLOOKUP(INDEX(ED527:ED538,EG532),SPM,2,FALSE),"----"))</f>
        <v>----</v>
      </c>
    </row>
    <row r="533" spans="1:138" ht="15" customHeight="1" x14ac:dyDescent="0.25">
      <c r="A533" s="1085"/>
      <c r="B533" s="925" t="s">
        <v>409</v>
      </c>
      <c r="C533" s="926"/>
      <c r="D533" s="927"/>
      <c r="E533" s="995"/>
      <c r="F533" s="996"/>
      <c r="G533" s="997"/>
      <c r="H533" s="1062"/>
      <c r="I533" s="990"/>
      <c r="J533" s="908"/>
      <c r="K533" s="909"/>
      <c r="L533" s="1001">
        <f>L527+1</f>
        <v>5</v>
      </c>
      <c r="M533" s="1064" t="str">
        <f t="shared" ref="M533" si="9736">IFERROR(IF($AE$17="",IF($AG$19="Wind Loading",MIN($V$31,IF(E$11="ASCE 7-05",$U$26,$V$7)*$V$9*(IF($E$12&lt;60,0.156*LN(MAX(MIN(500,O527),10)) -1.7618,IF($E$11="ASCE 7-22", 0.2026*LN(MAX(MIN(500,O527),20))-2.2638,0.2503*LN(MAX(MIN(500,O527),20)) -2.5526))-$V$8)),$V$7*IF(E$12&lt;60,$V$13*($V$15*(0.156*LN(MAX(MIN(500,O527),10)) -1.7618)-$V$16),$V$13*$V$15*((0.2026*LN(MAX(MIN(500,O527),20))-2.2638)-$V$16))),-ABS($AE$17)),"")</f>
        <v/>
      </c>
      <c r="N533" s="1041" t="str">
        <f t="shared" ref="N533" si="9737">IFERROR(IF($AE$19="",IF($AG$19="Wind Loading",MAX($U$31,IF(E$11="ASCE 7-05",$U$26,$V$7)*$V$9*((IF($E$12&lt;60,-0.077*LN(MAX(MIN(500,O527),10))+1.1737,IF($E$11="ASCE 7-22",-0.077*LN(MAX(MIN(500,O527),20))+1.0798,-0.093*LN(MAX(MIN(500,O527),20))+1.1776)))+$V$8)),$V$7*IF(E$12&lt;60,$V$13*($V$15*(-0.077*LN(MAX(MIN(500,O527),10))+1.1737)-$V$17),$V$13*$V$15*((-0.077*LN(MAX(MIN(500,O527),20))+1.0798)-$V$17))),ABS($AE$19)),"")</f>
        <v/>
      </c>
      <c r="O533" s="1018"/>
      <c r="P533" s="987"/>
      <c r="Q533" s="1015"/>
      <c r="R533" s="1012">
        <f>P533*Q533/8</f>
        <v>0</v>
      </c>
      <c r="S533" s="1006"/>
      <c r="T533" s="1007"/>
      <c r="U533" s="878"/>
      <c r="V533" s="881"/>
      <c r="W533" s="883" t="e">
        <f t="shared" ref="W533" si="9738">MAX(-M533,N533)*O527</f>
        <v>#VALUE!</v>
      </c>
      <c r="X533" s="884"/>
      <c r="Y533" s="886">
        <f>IFERROR(IF(AG$14="Trapezoidal",BY536,BX536)+IF($E$17="4",(400*E527^3)/(48*X527),0),0)</f>
        <v>0</v>
      </c>
      <c r="Z533" s="886" t="e">
        <f t="shared" ref="Z533" si="9739">+($V527*MAX(-$M533,$N533)*$E527^2)/(144*8)+IF($E$17=4,(400*$E527)/4,0)</f>
        <v>#VALUE!</v>
      </c>
      <c r="AA533" s="887"/>
      <c r="AB533" s="1080" t="str">
        <f t="shared" ref="AB533" ca="1" si="9740">IFERROR(Z533-AA527,"")</f>
        <v/>
      </c>
      <c r="AC533" s="1086" t="str">
        <f t="shared" ref="AC533" ca="1" si="9741">IFERROR(Y533-U527,"")</f>
        <v/>
      </c>
      <c r="AD533" s="1074" t="str">
        <f t="shared" ref="AD533" si="9742">AD527</f>
        <v/>
      </c>
      <c r="AE533" s="1075"/>
      <c r="AF533" s="1056"/>
      <c r="AG533" s="1057"/>
      <c r="AH533" s="1057"/>
      <c r="AI533" s="1088"/>
      <c r="AJ533" s="1089"/>
      <c r="AK533" s="162" t="str">
        <f t="shared" ca="1" si="8761"/>
        <v/>
      </c>
      <c r="AL533" s="1058" t="str">
        <f t="shared" ref="AL533" si="9743">IFERROR(ROUND(SQRT(P527^2+(W533/2+IF($E$17=4,200,0))^2),0),"")</f>
        <v/>
      </c>
      <c r="AM533" s="342" t="s">
        <v>669</v>
      </c>
      <c r="AN533" t="str">
        <f t="shared" ca="1" si="8785"/>
        <v/>
      </c>
      <c r="AP533" s="122" t="str">
        <f t="shared" ref="AP533" si="9744">_xlfn.CONCAT(AR533,AS538)</f>
        <v/>
      </c>
      <c r="AQ533" s="683" t="str">
        <f t="shared" si="8985"/>
        <v/>
      </c>
      <c r="AR533" s="96" t="str">
        <f t="shared" si="8745"/>
        <v/>
      </c>
      <c r="AS533" s="96" t="str">
        <f>IF(COUNTIF(imp_1,AF533)=1,"imp_1",IF(COUNTIF(imp_2,AF533)=1,"imp_2",IF(COUNTIF(imp_3,AF533)=1,"imp_3",IF(COUNTIF(impdoor,AF533)=1,"impdoor",""))))</f>
        <v/>
      </c>
      <c r="AT533" s="684" t="str">
        <f>AL533</f>
        <v/>
      </c>
      <c r="AU533" s="685" t="e">
        <f t="shared" ca="1" si="9002"/>
        <v>#REF!</v>
      </c>
      <c r="AV533" s="686" t="str">
        <f ca="1">IFERROR(VLOOKUP(AU533,INDIRECT(AQ527),2,FALSE),"----")</f>
        <v>----</v>
      </c>
      <c r="AW533" s="685" t="e">
        <f t="shared" ca="1" si="9003"/>
        <v>#REF!</v>
      </c>
      <c r="AX533" s="686" t="str">
        <f ca="1">IFERROR(VLOOKUP(AW533,INDIRECT(AQ528),2,FALSE),"----")</f>
        <v>----</v>
      </c>
      <c r="AY533" s="685" t="e">
        <f t="shared" ca="1" si="9722"/>
        <v>#REF!</v>
      </c>
      <c r="AZ533" s="686" t="str">
        <f ca="1">IFERROR(VLOOKUP(AY533,INDIRECT(AQ529),2,FALSE),"----")</f>
        <v>----</v>
      </c>
      <c r="BA533" s="685" t="e">
        <f t="shared" ca="1" si="9723"/>
        <v>#REF!</v>
      </c>
      <c r="BB533" s="686" t="str">
        <f ca="1">IFERROR(VLOOKUP(BA533,INDIRECT(AQ530),2,FALSE),"----")</f>
        <v>----</v>
      </c>
      <c r="BC533" s="685" t="e">
        <f t="shared" ca="1" si="9006"/>
        <v>#REF!</v>
      </c>
      <c r="BD533" s="686" t="str">
        <f ca="1">IFERROR(VLOOKUP(BC533,INDIRECT(AQ531),2,FALSE),"----")</f>
        <v>----</v>
      </c>
      <c r="BE533" s="685" t="e">
        <f t="shared" ca="1" si="9007"/>
        <v>#REF!</v>
      </c>
      <c r="BF533" s="686" t="str">
        <f ca="1">IFERROR(VLOOKUP(BE533,INDIRECT(AQ532),2,FALSE),"----")</f>
        <v>----</v>
      </c>
      <c r="BG533" s="702" t="e">
        <f t="shared" ca="1" si="9008"/>
        <v>#REF!</v>
      </c>
      <c r="BH533" s="686" t="str">
        <f ca="1">IFERROR(VLOOKUP(BG533,INDIRECT(AQ533),2,FALSE),"----")</f>
        <v>----</v>
      </c>
      <c r="BI533" s="702" t="e">
        <f t="shared" ca="1" si="9009"/>
        <v>#REF!</v>
      </c>
      <c r="BJ533" s="686" t="str">
        <f ca="1">IFERROR(VLOOKUP(BI533,INDIRECT(AQ534),2,FALSE),"----")</f>
        <v>----</v>
      </c>
      <c r="BK533" s="702" t="e">
        <f t="shared" ca="1" si="9010"/>
        <v>#REF!</v>
      </c>
      <c r="BL533" s="686" t="str">
        <f ca="1">IFERROR(VLOOKUP(BK533,INDIRECT(AQ535),2,FALSE),"----")</f>
        <v>----</v>
      </c>
      <c r="BM533" s="702" t="e">
        <f t="shared" ca="1" si="9011"/>
        <v>#REF!</v>
      </c>
      <c r="BN533" s="686" t="str">
        <f ca="1">IFERROR(VLOOKUP(BM533,INDIRECT(AQ536),2,FALSE),"----")</f>
        <v>----</v>
      </c>
      <c r="BO533" s="702" t="e">
        <f t="shared" ca="1" si="9012"/>
        <v>#REF!</v>
      </c>
      <c r="BP533" s="686" t="str">
        <f ca="1">IFERROR(VLOOKUP(BO533,INDIRECT(AQ537),2,FALSE),"----")</f>
        <v>----</v>
      </c>
      <c r="BQ533" s="702" t="e">
        <f t="shared" ca="1" si="9013"/>
        <v>#REF!</v>
      </c>
      <c r="BR533" s="686" t="str">
        <f ca="1">IFERROR(VLOOKUP(BQ533,INDIRECT(AQ538),2,FALSE),"----")</f>
        <v>----</v>
      </c>
      <c r="BS533" s="695">
        <f>IF(AI533="",1,IF(COUNTIF(BH527:BH538,AI533)=0,2,1))</f>
        <v>1</v>
      </c>
      <c r="BT533" s="696">
        <f>IF(AP533="1",1,IF(AF533="",1,IF(BH527=".",2,1)))</f>
        <v>1</v>
      </c>
      <c r="BU533" s="706"/>
      <c r="BV533" s="155">
        <f ca="1">IF(COUNTIF(DI527:DI538,AF533)=0,IF(AF533&lt;&gt;"",0,1),1)</f>
        <v>1</v>
      </c>
      <c r="BW533" s="157">
        <f ca="1">IFERROR(MATCH(AF533,DI527:DI538,0),1)</f>
        <v>1</v>
      </c>
      <c r="BX533" s="769" t="s">
        <v>1593</v>
      </c>
      <c r="BY533" s="769" t="s">
        <v>1629</v>
      </c>
      <c r="BZ533" s="1110"/>
      <c r="CA533" s="691" t="e">
        <f t="shared" ca="1" si="9641"/>
        <v>#REF!</v>
      </c>
      <c r="CB533" s="4" t="e" cm="1">
        <f t="array" aca="1" ref="CB533" ca="1">IF(AND(INDEX(INDIRECT(BY527),CA533,4)&gt;=$AB527,INDEX(INDIRECT(BY527),CA533,5)&gt;=$S527,INDEX(INDIRECT(BY527),CA533,6)&gt;=$R527),1,0)</f>
        <v>#REF!</v>
      </c>
      <c r="CC533" s="4" t="e">
        <f t="shared" ref="CC533" ca="1" si="9745">MATCH(1,OFFSET(CB527:CB538,CD532,0,COUNT(CB527:CB538)-CD532),0)</f>
        <v>#REF!</v>
      </c>
      <c r="CD533" s="4" t="e">
        <f t="shared" ca="1" si="9643"/>
        <v>#REF!</v>
      </c>
      <c r="CE533" s="692" t="str" cm="1">
        <f t="array" aca="1" ref="CE533" ca="1">IFERROR(VLOOKUP(INDEX(CA527:CA538,CD533),INDIRECT(BY527),2,FALSE),"----")</f>
        <v>----</v>
      </c>
      <c r="CF533" s="691" t="e">
        <f t="shared" ca="1" si="9644"/>
        <v>#N/A</v>
      </c>
      <c r="CG533" s="4" t="e">
        <f ca="1">IF(AND(INDEX(SSM,CF533,4)&gt;=$AB527,INDEX(SSM,CF533,5)&gt;=$S527,INDEX(SSM,CF533,6)&gt;=$R527),1,0)</f>
        <v>#N/A</v>
      </c>
      <c r="CH533" s="4" t="e">
        <f t="shared" ref="CH533" ca="1" si="9746">MATCH(1,OFFSET(CG527:CG538,CI532,0,COUNT(CG527:CG538)-CI532),0)</f>
        <v>#REF!</v>
      </c>
      <c r="CI533" s="4" t="e">
        <f t="shared" ca="1" si="9646"/>
        <v>#REF!</v>
      </c>
      <c r="CJ533" s="692" t="str">
        <f ca="1">IFERROR(IF(AD528="Nested Steel Stud (wood infill)",VLOOKUP(INDEX(CF527:CF538,CI533),SSW,2,FALSE),VLOOKUP(INDEX(CF527:CF538,CI533),SSM,2,FALSE)),"----")</f>
        <v>----</v>
      </c>
      <c r="CK533" s="691" t="e">
        <f t="shared" ca="1" si="9647"/>
        <v>#N/A</v>
      </c>
      <c r="CL533" s="4" t="e">
        <f ca="1">IF(AND(INDEX(WSM,CK533,4)&gt;=$AB527,INDEX(WSM,CK533,5)&gt;=$S527,INDEX(WSM,CK533,6)&gt;=$R527),1,0)</f>
        <v>#N/A</v>
      </c>
      <c r="CM533" s="4" t="e">
        <f t="shared" ref="CM533" ca="1" si="9747">MATCH(1,OFFSET(CL527:CL538,CN532,0,COUNT(CL527:CL538)-CN532),0)</f>
        <v>#REF!</v>
      </c>
      <c r="CN533" s="4" t="e">
        <f t="shared" ca="1" si="9649"/>
        <v>#REF!</v>
      </c>
      <c r="CO533" s="692" t="str">
        <f ca="1">IFERROR(VLOOKUP(INDEX(CK527:CK538,CN533),WSM,2,FALSE),"----")</f>
        <v>----</v>
      </c>
      <c r="CP533" s="691" t="e">
        <f t="shared" ca="1" si="9650"/>
        <v>#N/A</v>
      </c>
      <c r="CQ533" s="4" t="e">
        <f ca="1">IF(AND(INDEX(STM,CP533,4)&gt;=$AB527,INDEX(STM,CP533,5)&gt;=$S527,INDEX(STM,CP533,6)&gt;=$R527),1,0)</f>
        <v>#N/A</v>
      </c>
      <c r="CR533" s="4" t="e">
        <f t="shared" ref="CR533" ca="1" si="9748">MATCH(1,OFFSET(CQ527:CQ538,CS532,0,COUNT(CQ527:CQ538)-CS532),0)</f>
        <v>#REF!</v>
      </c>
      <c r="CS533" s="4" t="e">
        <f t="shared" ca="1" si="9652"/>
        <v>#REF!</v>
      </c>
      <c r="CT533" s="692" t="str">
        <f ca="1">IFERROR(VLOOKUP(INDEX(CP527:CP538,CS533),STM,2,FALSE),"----")</f>
        <v>----</v>
      </c>
      <c r="CU533" s="691" t="e">
        <f t="shared" ca="1" si="9653"/>
        <v>#N/A</v>
      </c>
      <c r="CV533" s="4" t="e">
        <f ca="1">IF(AND(INDEX(ELM,CU533,4)&gt;=$AB527,INDEX(ELM,CU533,5)&gt;=$S527,INDEX(ELM,CU533,6)&gt;=$R527),1,0)</f>
        <v>#N/A</v>
      </c>
      <c r="CW533" s="4" t="e">
        <f t="shared" ref="CW533" ca="1" si="9749">MATCH(1,OFFSET(CV527:CV538,CX532,0,COUNT(CV527:CV538)-CX532),0)</f>
        <v>#REF!</v>
      </c>
      <c r="CX533" s="4" t="e">
        <f t="shared" ca="1" si="9655"/>
        <v>#REF!</v>
      </c>
      <c r="CY533" s="692" t="str">
        <f ca="1">IFERROR(VLOOKUP(INDEX(CU527:CU538,CX533),ELM,2,FALSE),"----")</f>
        <v>----</v>
      </c>
      <c r="CZ533" s="691" t="e">
        <f t="shared" ca="1" si="9656"/>
        <v>#N/A</v>
      </c>
      <c r="DA533" s="4" t="e">
        <f ca="1">IF(LEFT($J527,7)="Clad Wo",IF(AND(INDEX(SPPWS,CZ533,4)&gt;=$AB527,INDEX(SPPWS,CZ533,5)&gt;=$S527,INDEX(SPPWS,CZ533,6)&gt;=$R527),1,0),IF(AND(INDEX(SPM,CZ533,4)&gt;=$AB527,INDEX(SPM,CZ533,5)&gt;=$S527,INDEX(SPM,CZ533,6)&gt;=$R527),1,0))</f>
        <v>#N/A</v>
      </c>
      <c r="DB533" s="4" t="e">
        <f t="shared" ref="DB533" ca="1" si="9750">MATCH(1,OFFSET(DA527:DA538,DC532,0,COUNT(DA527:DA538)-DC532),0)</f>
        <v>#REF!</v>
      </c>
      <c r="DC533" s="4" t="e">
        <f t="shared" ca="1" si="9658"/>
        <v>#REF!</v>
      </c>
      <c r="DD533" s="693" t="str">
        <f ca="1">IF(LEFT($J527,7)="Clad Wo",IFERROR(VLOOKUP(INDEX(CZ527:CZ538,DC533),SPPWS,2,FALSE),"----"),IFERROR(VLOOKUP(INDEX(CZ527:CZ538,DC533),SPM,2,FALSE),"----"))</f>
        <v>----</v>
      </c>
      <c r="DE533" s="691" t="e">
        <f t="shared" ca="1" si="9659"/>
        <v>#REF!</v>
      </c>
      <c r="DF533" s="4" t="e" cm="1">
        <f t="array" aca="1" ref="DF533" ca="1">IF(AND(INDEX(INDIRECT(BY527),DE533,4)&gt;=$AB533,INDEX(INDIRECT(BY527),DE533,5)&gt;=$S527,INDEX(INDIRECT(BY527),DE533,6)&gt;=$R527),1,0)</f>
        <v>#REF!</v>
      </c>
      <c r="DG533" s="4" t="e">
        <f t="shared" ref="DG533" ca="1" si="9751">MATCH(1,OFFSET(DF527:DF538,DH532,0,COUNT(DF527:DF538)-DH532),0)</f>
        <v>#REF!</v>
      </c>
      <c r="DH533" s="4" t="e">
        <f t="shared" ca="1" si="9661"/>
        <v>#REF!</v>
      </c>
      <c r="DI533" s="692" t="str" cm="1">
        <f t="array" aca="1" ref="DI533" ca="1">IFERROR(VLOOKUP(INDEX(DE527:DE538,DH533),INDIRECT(BY527),2,FALSE),"----")</f>
        <v>----</v>
      </c>
      <c r="DJ533" s="691" t="e">
        <f t="shared" ca="1" si="9662"/>
        <v>#N/A</v>
      </c>
      <c r="DK533" s="4" t="e">
        <f ca="1">IF(AND(INDEX(SSM,DJ533,4)&gt;=$AB533,INDEX(SSM,DJ533,5)&gt;=$S527,INDEX(SSM,DJ533,6)&gt;=$R527),1,0)</f>
        <v>#N/A</v>
      </c>
      <c r="DL533" s="4" t="e">
        <f t="shared" ref="DL533" ca="1" si="9752">MATCH(1,OFFSET(DK527:DK538,DM532,0,COUNT(DK527:DK538)-DM532),0)</f>
        <v>#REF!</v>
      </c>
      <c r="DM533" s="4" t="e">
        <f t="shared" ca="1" si="9664"/>
        <v>#REF!</v>
      </c>
      <c r="DN533" s="692" t="str">
        <f ca="1">IFERROR(IF(AD534="Nested Steel Stud (wood infill)",VLOOKUP(INDEX(DJ527:DJ538,DM533),SSW,2,FALSE),VLOOKUP(INDEX(DJ527:DJ538,DM533),SSM,2,FALSE)),"----")</f>
        <v>----</v>
      </c>
      <c r="DO533" s="691" t="e">
        <f t="shared" ca="1" si="9665"/>
        <v>#N/A</v>
      </c>
      <c r="DP533" s="4" t="e">
        <f ca="1">IF(AND(INDEX(WSM,DO533,4)&gt;=$AB533,INDEX(WSM,DO533,5)&gt;=$S527,INDEX(WSM,DO533,6)&gt;=$R527),1,0)</f>
        <v>#N/A</v>
      </c>
      <c r="DQ533" s="4" t="e">
        <f t="shared" ref="DQ533" ca="1" si="9753">MATCH(1,OFFSET(DP527:DP538,DR532,0,COUNT(DP527:DP538)-DR532),0)</f>
        <v>#REF!</v>
      </c>
      <c r="DR533" s="4" t="e">
        <f t="shared" ca="1" si="9667"/>
        <v>#REF!</v>
      </c>
      <c r="DS533" s="692" t="str">
        <f ca="1">IFERROR(VLOOKUP(INDEX(DO527:DO538,DR533),WSM,2,FALSE),"----")</f>
        <v>----</v>
      </c>
      <c r="DT533" s="691" t="e">
        <f t="shared" ca="1" si="9668"/>
        <v>#N/A</v>
      </c>
      <c r="DU533" s="4" t="e">
        <f ca="1">IF(AND(INDEX(STM,DT533,4)&gt;=$AB533,INDEX(STM,DT533,5)&gt;=$S527,INDEX(STM,DT533,6)&gt;=$R527),1,0)</f>
        <v>#N/A</v>
      </c>
      <c r="DV533" s="4" t="e">
        <f t="shared" ref="DV533" ca="1" si="9754">MATCH(1,OFFSET(DU527:DU538,DW532,0,COUNT(DU527:DU538)-DW532),0)</f>
        <v>#REF!</v>
      </c>
      <c r="DW533" s="4" t="e">
        <f t="shared" ca="1" si="9670"/>
        <v>#REF!</v>
      </c>
      <c r="DX533" s="692" t="str">
        <f ca="1">IFERROR(VLOOKUP(INDEX(DT527:DT538,DW533),STM,2,FALSE),"----")</f>
        <v>----</v>
      </c>
      <c r="DY533" s="691" t="e">
        <f t="shared" ca="1" si="9671"/>
        <v>#N/A</v>
      </c>
      <c r="DZ533" s="4" t="e">
        <f ca="1">IF(AND(INDEX(ELM,DY533,4)&gt;=$AB533,INDEX(ELM,DY533,5)&gt;=$S527,INDEX(ELM,DY533,6)&gt;=$R527),1,0)</f>
        <v>#N/A</v>
      </c>
      <c r="EA533" s="4" t="e">
        <f t="shared" ref="EA533" ca="1" si="9755">MATCH(1,OFFSET(DZ527:DZ538,EB532,0,COUNT(DZ527:DZ538)-EB532),0)</f>
        <v>#REF!</v>
      </c>
      <c r="EB533" s="4" t="e">
        <f t="shared" ca="1" si="9673"/>
        <v>#REF!</v>
      </c>
      <c r="EC533" s="692" t="str">
        <f ca="1">IFERROR(VLOOKUP(INDEX(DY527:DY538,EB533),ELM,2,FALSE),"----")</f>
        <v>----</v>
      </c>
      <c r="ED533" s="691" t="e">
        <f t="shared" ca="1" si="9674"/>
        <v>#N/A</v>
      </c>
      <c r="EE533" s="4" t="e">
        <f ca="1">IF(LEFT($J527,7)="Clad Wo",IF(AND(INDEX(SPPWS,ED533,4)&gt;=$AB533,INDEX(SPPWS,ED533,5)&gt;=$S527,INDEX(SPPWS,ED533,6)&gt;=$R527),1,0),IF(AND(INDEX(SPM,ED533,4)&gt;=$AB533,INDEX(SPM,ED533,5)&gt;=$S527,INDEX(SPM,ED533,6)&gt;=$R527),1,0))</f>
        <v>#N/A</v>
      </c>
      <c r="EF533" s="4" t="e">
        <f t="shared" ref="EF533" ca="1" si="9756">MATCH(1,OFFSET(EE527:EE538,EG532,0,COUNT(EE527:EE538)-EG532),0)</f>
        <v>#REF!</v>
      </c>
      <c r="EG533" s="4" t="e">
        <f t="shared" ca="1" si="9676"/>
        <v>#REF!</v>
      </c>
      <c r="EH533" s="692" t="str">
        <f ca="1">IF(LEFT($J527,7)="Clad Wo",IFERROR(VLOOKUP(INDEX(ED527:ED538,EG533),SPPWS,2,FALSE),"----"),IFERROR(VLOOKUP(INDEX(ED527:ED538,EG533),SPM,2,FALSE),"----"))</f>
        <v>----</v>
      </c>
    </row>
    <row r="534" spans="1:138" ht="15" customHeight="1" x14ac:dyDescent="0.25">
      <c r="A534" s="1085"/>
      <c r="B534" s="925"/>
      <c r="C534" s="926"/>
      <c r="D534" s="927"/>
      <c r="E534" s="995"/>
      <c r="F534" s="996"/>
      <c r="G534" s="997"/>
      <c r="H534" s="1062"/>
      <c r="I534" s="990"/>
      <c r="J534" s="912"/>
      <c r="K534" s="913"/>
      <c r="L534" s="1002"/>
      <c r="M534" s="923"/>
      <c r="N534" s="1042"/>
      <c r="O534" s="1018"/>
      <c r="P534" s="987"/>
      <c r="Q534" s="1015"/>
      <c r="R534" s="1012"/>
      <c r="S534" s="1006"/>
      <c r="T534" s="1007"/>
      <c r="U534" s="878"/>
      <c r="V534" s="881"/>
      <c r="W534" s="884"/>
      <c r="X534" s="884"/>
      <c r="Y534" s="887"/>
      <c r="Z534" s="887"/>
      <c r="AA534" s="887"/>
      <c r="AB534" s="1081"/>
      <c r="AC534" s="1078"/>
      <c r="AD534" s="1070" t="str">
        <f t="shared" ref="AD534" si="9757">IF(ISBLANK(AD528)=TRUE,"",AD528)</f>
        <v>Nested Steel Stud</v>
      </c>
      <c r="AE534" s="1071"/>
      <c r="AF534" s="1052"/>
      <c r="AG534" s="1053"/>
      <c r="AH534" s="1053"/>
      <c r="AI534" s="1066"/>
      <c r="AJ534" s="1067"/>
      <c r="AK534" s="156" t="str">
        <f t="shared" ca="1" si="8761"/>
        <v/>
      </c>
      <c r="AL534" s="1059"/>
      <c r="AM534" s="343" t="str">
        <f ca="1">IFERROR(Q527/12*ROUND(VLOOKUP(AF534,OFFSET(SSM,0,1),6,FALSE),2),"")</f>
        <v/>
      </c>
      <c r="AN534" t="str">
        <f t="shared" ca="1" si="8785"/>
        <v/>
      </c>
      <c r="AP534" s="122" t="str">
        <f t="shared" ref="AP534" si="9758">_xlfn.CONCAT(AR534,AS538)</f>
        <v/>
      </c>
      <c r="AQ534" s="683" t="str">
        <f t="shared" si="8985"/>
        <v/>
      </c>
      <c r="AR534" s="96" t="str">
        <f t="shared" si="8745"/>
        <v/>
      </c>
      <c r="AS534" s="96" t="str">
        <f>IF(COUNTIF(Vista_1,AF533)=1,"Vista_1",IF(COUNTIF(Vista_2,AF533)=1,"Vista_2",""))</f>
        <v/>
      </c>
      <c r="AT534" s="684" t="str">
        <f>AL533</f>
        <v/>
      </c>
      <c r="AU534" s="694" t="e">
        <f t="shared" ca="1" si="9002"/>
        <v>#REF!</v>
      </c>
      <c r="AV534" s="686" t="str">
        <f ca="1">IFERROR(VLOOKUP(AU534,INDIRECT(AQ527),2,FALSE),"----")</f>
        <v>----</v>
      </c>
      <c r="AW534" s="694" t="e">
        <f t="shared" ca="1" si="9003"/>
        <v>#REF!</v>
      </c>
      <c r="AX534" s="686" t="str">
        <f ca="1">IFERROR(VLOOKUP(AW534,INDIRECT(AQ528),2,FALSE),"----")</f>
        <v>----</v>
      </c>
      <c r="AY534" s="694" t="e">
        <f t="shared" ca="1" si="9722"/>
        <v>#REF!</v>
      </c>
      <c r="AZ534" s="686" t="str">
        <f ca="1">IFERROR(VLOOKUP(AY534,INDIRECT(AQ529),2,FALSE),"----")</f>
        <v>----</v>
      </c>
      <c r="BA534" s="694" t="e">
        <f t="shared" ca="1" si="9723"/>
        <v>#REF!</v>
      </c>
      <c r="BB534" s="686" t="str">
        <f ca="1">IFERROR(VLOOKUP(BA534,INDIRECT(AQ530),2,FALSE),"----")</f>
        <v>----</v>
      </c>
      <c r="BC534" s="694" t="e">
        <f t="shared" ca="1" si="9006"/>
        <v>#REF!</v>
      </c>
      <c r="BD534" s="686" t="str">
        <f ca="1">IFERROR(VLOOKUP(BC534,INDIRECT(AQ531),2,FALSE),"----")</f>
        <v>----</v>
      </c>
      <c r="BE534" s="694" t="e">
        <f t="shared" ca="1" si="9007"/>
        <v>#REF!</v>
      </c>
      <c r="BF534" s="686" t="str">
        <f ca="1">IFERROR(VLOOKUP(BE534,INDIRECT(AQ532),2,FALSE),"----")</f>
        <v>----</v>
      </c>
      <c r="BG534" s="702" t="e">
        <f t="shared" ca="1" si="9008"/>
        <v>#REF!</v>
      </c>
      <c r="BH534" s="686" t="str">
        <f ca="1">IFERROR(VLOOKUP(BG534,INDIRECT(AQ533),2,FALSE),"----")</f>
        <v>----</v>
      </c>
      <c r="BI534" s="702" t="e">
        <f t="shared" ca="1" si="9009"/>
        <v>#REF!</v>
      </c>
      <c r="BJ534" s="686" t="str">
        <f ca="1">IFERROR(VLOOKUP(BI534,INDIRECT(AQ534),2,FALSE),"----")</f>
        <v>----</v>
      </c>
      <c r="BK534" s="702" t="e">
        <f t="shared" ca="1" si="9010"/>
        <v>#REF!</v>
      </c>
      <c r="BL534" s="686" t="str">
        <f ca="1">IFERROR(VLOOKUP(BK534,INDIRECT(AQ535),2,FALSE),"----")</f>
        <v>----</v>
      </c>
      <c r="BM534" s="702" t="e">
        <f t="shared" ca="1" si="9011"/>
        <v>#REF!</v>
      </c>
      <c r="BN534" s="686" t="str">
        <f ca="1">IFERROR(VLOOKUP(BM534,INDIRECT(AQ536),2,FALSE),"----")</f>
        <v>----</v>
      </c>
      <c r="BO534" s="702" t="e">
        <f t="shared" ca="1" si="9012"/>
        <v>#REF!</v>
      </c>
      <c r="BP534" s="686" t="str">
        <f ca="1">IFERROR(VLOOKUP(BO534,INDIRECT(AQ537),2,FALSE),"----")</f>
        <v>----</v>
      </c>
      <c r="BQ534" s="702" t="e">
        <f t="shared" ca="1" si="9013"/>
        <v>#REF!</v>
      </c>
      <c r="BR534" s="686" t="str">
        <f ca="1">IFERROR(VLOOKUP(BQ534,INDIRECT(AQ538),2,FALSE),"----")</f>
        <v>----</v>
      </c>
      <c r="BS534" s="695">
        <f>IF(AI534="",1,IF(COUNTIF(BJ527:BJ538,AI534)=0,2,1))</f>
        <v>1</v>
      </c>
      <c r="BT534" s="696">
        <f>IF(AF534="",1,IF(BJ527=".",2,1))</f>
        <v>1</v>
      </c>
      <c r="BU534" s="706"/>
      <c r="BV534" s="155">
        <f ca="1">IF(COUNTIF(DN527:DN538,AF534)=0,IF(AF534&lt;&gt;"",0,1),1)</f>
        <v>1</v>
      </c>
      <c r="BW534" s="157">
        <f ca="1">IFERROR(MATCH(AF534,DN527:DN538,0),1)</f>
        <v>1</v>
      </c>
      <c r="BX534" s="769">
        <f t="shared" ref="BX534" si="9759">E527*(H527+I527)/144/2</f>
        <v>0</v>
      </c>
      <c r="BY534" s="769">
        <f>SUM(IF(H527&gt;E527,E527^2/4,(H527*E527/2)-(H527^2/4))/144,IF(I527&gt;E527,E527^2/4,(I527*E527/2)-(I527^2/4))/144)</f>
        <v>0</v>
      </c>
      <c r="BZ534" s="1110"/>
      <c r="CA534" s="691" t="e">
        <f t="shared" ca="1" si="9641"/>
        <v>#REF!</v>
      </c>
      <c r="CB534" s="4" t="e" cm="1">
        <f t="array" aca="1" ref="CB534" ca="1">IF(AND(INDEX(INDIRECT(BY527),CA534,4)&gt;=$AB527,INDEX(INDIRECT(BY527),CA534,5)&gt;=$S527,INDEX(INDIRECT(BY527),CA534,6)&gt;=$R527),1,0)</f>
        <v>#REF!</v>
      </c>
      <c r="CC534" s="4" t="e">
        <f t="shared" ref="CC534" ca="1" si="9760">MATCH(1,OFFSET(CB527:CB538,CD533,0,COUNT(CB527:CB538)-CD533),0)</f>
        <v>#REF!</v>
      </c>
      <c r="CD534" s="4" t="e">
        <f t="shared" ca="1" si="9643"/>
        <v>#REF!</v>
      </c>
      <c r="CE534" s="692" t="str" cm="1">
        <f t="array" aca="1" ref="CE534" ca="1">IFERROR(VLOOKUP(INDEX(CA527:CA538,CD534),INDIRECT(BY527),2,FALSE),"----")</f>
        <v>----</v>
      </c>
      <c r="CF534" s="691" t="e">
        <f t="shared" ca="1" si="9644"/>
        <v>#N/A</v>
      </c>
      <c r="CG534" s="4" t="e">
        <f ca="1">IF(AND(INDEX(SSM,CF534,4)&gt;=$AB527,INDEX(SSM,CF534,5)&gt;=$S527,INDEX(SSM,CF534,6)&gt;=$R527),1,0)</f>
        <v>#N/A</v>
      </c>
      <c r="CH534" s="4" t="e">
        <f t="shared" ref="CH534" ca="1" si="9761">MATCH(1,OFFSET(CG527:CG538,CI533,0,COUNT(CG527:CG538)-CI533),0)</f>
        <v>#REF!</v>
      </c>
      <c r="CI534" s="4" t="e">
        <f t="shared" ca="1" si="9646"/>
        <v>#REF!</v>
      </c>
      <c r="CJ534" s="692" t="str">
        <f ca="1">IFERROR(IF(AD528="Nested Steel Stud (wood infill)",VLOOKUP(INDEX(CF527:CF538,CI534),SSW,2,FALSE),VLOOKUP(INDEX(CF527:CF538,CI534),SSM,2,FALSE)),"----")</f>
        <v>----</v>
      </c>
      <c r="CK534" s="691" t="e">
        <f t="shared" ca="1" si="9647"/>
        <v>#N/A</v>
      </c>
      <c r="CL534" s="4" t="e">
        <f ca="1">IF(AND(INDEX(WSM,CK534,4)&gt;=$AB527,INDEX(WSM,CK534,5)&gt;=$S527,INDEX(WSM,CK534,6)&gt;=$R527),1,0)</f>
        <v>#N/A</v>
      </c>
      <c r="CM534" s="4" t="e">
        <f t="shared" ref="CM534" ca="1" si="9762">MATCH(1,OFFSET(CL527:CL538,CN533,0,COUNT(CL527:CL538)-CN533),0)</f>
        <v>#REF!</v>
      </c>
      <c r="CN534" s="4" t="e">
        <f t="shared" ca="1" si="9649"/>
        <v>#REF!</v>
      </c>
      <c r="CO534" s="692" t="str">
        <f ca="1">IFERROR(VLOOKUP(INDEX(CK527:CK538,CN534),WSM,2,FALSE),"----")</f>
        <v>----</v>
      </c>
      <c r="CP534" s="691" t="e">
        <f t="shared" ca="1" si="9650"/>
        <v>#N/A</v>
      </c>
      <c r="CQ534" s="4" t="e">
        <f ca="1">IF(AND(INDEX(STM,CP534,4)&gt;=$AB527,INDEX(STM,CP534,5)&gt;=$S527,INDEX(STM,CP534,6)&gt;=$R527),1,0)</f>
        <v>#N/A</v>
      </c>
      <c r="CR534" s="4" t="e">
        <f t="shared" ref="CR534" ca="1" si="9763">MATCH(1,OFFSET(CQ527:CQ538,CS533,0,COUNT(CQ527:CQ538)-CS533),0)</f>
        <v>#REF!</v>
      </c>
      <c r="CS534" s="4" t="e">
        <f t="shared" ca="1" si="9652"/>
        <v>#REF!</v>
      </c>
      <c r="CT534" s="692" t="str">
        <f ca="1">IFERROR(VLOOKUP(INDEX(CP527:CP538,CS534),STM,2,FALSE),"----")</f>
        <v>----</v>
      </c>
      <c r="CU534" s="691" t="e">
        <f t="shared" ca="1" si="9653"/>
        <v>#N/A</v>
      </c>
      <c r="CV534" s="4" t="e">
        <f ca="1">IF(AND(INDEX(ELM,CU534,4)&gt;=$AB527,INDEX(ELM,CU534,5)&gt;=$S527,INDEX(ELM,CU534,6)&gt;=$R527),1,0)</f>
        <v>#N/A</v>
      </c>
      <c r="CW534" s="4" t="e">
        <f t="shared" ref="CW534" ca="1" si="9764">MATCH(1,OFFSET(CV527:CV538,CX533,0,COUNT(CV527:CV538)-CX533),0)</f>
        <v>#REF!</v>
      </c>
      <c r="CX534" s="4" t="e">
        <f t="shared" ca="1" si="9655"/>
        <v>#REF!</v>
      </c>
      <c r="CY534" s="692" t="str">
        <f ca="1">IFERROR(VLOOKUP(INDEX(CU527:CU538,CX534),ELM,2,FALSE),"----")</f>
        <v>----</v>
      </c>
      <c r="CZ534" s="691" t="e">
        <f t="shared" ca="1" si="9656"/>
        <v>#N/A</v>
      </c>
      <c r="DA534" s="4" t="e">
        <f ca="1">IF(LEFT($J527,7)="Clad Wo",IF(AND(INDEX(SPPWS,CZ534,4)&gt;=$AB527,INDEX(SPPWS,CZ534,5)&gt;=$S527,INDEX(SPPWS,CZ534,6)&gt;=$R527),1,0),IF(AND(INDEX(SPM,CZ534,4)&gt;=$AB527,INDEX(SPM,CZ534,5)&gt;=$S527,INDEX(SPM,CZ534,6)&gt;=$R527),1,0))</f>
        <v>#N/A</v>
      </c>
      <c r="DB534" s="4" t="e">
        <f t="shared" ref="DB534" ca="1" si="9765">MATCH(1,OFFSET(DA527:DA538,DC533,0,COUNT(DA527:DA538)-DC533),0)</f>
        <v>#REF!</v>
      </c>
      <c r="DC534" s="4" t="e">
        <f t="shared" ca="1" si="9658"/>
        <v>#REF!</v>
      </c>
      <c r="DD534" s="693" t="str">
        <f ca="1">IF(LEFT($J527,7)="Clad Wo",IFERROR(VLOOKUP(INDEX(CZ527:CZ538,DC534),SPPWS,2,FALSE),"----"),IFERROR(VLOOKUP(INDEX(CZ527:CZ538,DC534),SPM,2,FALSE),"----"))</f>
        <v>----</v>
      </c>
      <c r="DE534" s="691" t="e">
        <f t="shared" ca="1" si="9659"/>
        <v>#REF!</v>
      </c>
      <c r="DF534" s="4" t="e" cm="1">
        <f t="array" aca="1" ref="DF534" ca="1">IF(AND(INDEX(INDIRECT(BY527),DE534,4)&gt;=$AB533,INDEX(INDIRECT(BY527),DE534,5)&gt;=$S527,INDEX(INDIRECT(BY527),DE534,6)&gt;=$R527),1,0)</f>
        <v>#REF!</v>
      </c>
      <c r="DG534" s="4" t="e">
        <f t="shared" ref="DG534" ca="1" si="9766">MATCH(1,OFFSET(DF527:DF538,DH533,0,COUNT(DF527:DF538)-DH533),0)</f>
        <v>#REF!</v>
      </c>
      <c r="DH534" s="4" t="e">
        <f t="shared" ca="1" si="9661"/>
        <v>#REF!</v>
      </c>
      <c r="DI534" s="692" t="str" cm="1">
        <f t="array" aca="1" ref="DI534" ca="1">IFERROR(VLOOKUP(INDEX(DE527:DE538,DH534),INDIRECT(BY527),2,FALSE),"----")</f>
        <v>----</v>
      </c>
      <c r="DJ534" s="691" t="e">
        <f t="shared" ca="1" si="9662"/>
        <v>#N/A</v>
      </c>
      <c r="DK534" s="4" t="e">
        <f ca="1">IF(AND(INDEX(SSM,DJ534,4)&gt;=$AB533,INDEX(SSM,DJ534,5)&gt;=$S527,INDEX(SSM,DJ534,6)&gt;=$R527),1,0)</f>
        <v>#N/A</v>
      </c>
      <c r="DL534" s="4" t="e">
        <f t="shared" ref="DL534" ca="1" si="9767">MATCH(1,OFFSET(DK527:DK538,DM533,0,COUNT(DK527:DK538)-DM533),0)</f>
        <v>#REF!</v>
      </c>
      <c r="DM534" s="4" t="e">
        <f t="shared" ca="1" si="9664"/>
        <v>#REF!</v>
      </c>
      <c r="DN534" s="692" t="str">
        <f ca="1">IFERROR(IF(AD534="Nested Steel Stud (wood infill)",VLOOKUP(INDEX(DJ527:DJ538,DM534),SSW,2,FALSE),VLOOKUP(INDEX(DJ527:DJ538,DM534),SSM,2,FALSE)),"----")</f>
        <v>----</v>
      </c>
      <c r="DO534" s="691" t="e">
        <f t="shared" ca="1" si="9665"/>
        <v>#N/A</v>
      </c>
      <c r="DP534" s="4" t="e">
        <f ca="1">IF(AND(INDEX(WSM,DO534,4)&gt;=$AB533,INDEX(WSM,DO534,5)&gt;=$S527,INDEX(WSM,DO534,6)&gt;=$R527),1,0)</f>
        <v>#N/A</v>
      </c>
      <c r="DQ534" s="4" t="e">
        <f t="shared" ref="DQ534" ca="1" si="9768">MATCH(1,OFFSET(DP527:DP538,DR533,0,COUNT(DP527:DP538)-DR533),0)</f>
        <v>#REF!</v>
      </c>
      <c r="DR534" s="4" t="e">
        <f t="shared" ca="1" si="9667"/>
        <v>#REF!</v>
      </c>
      <c r="DS534" s="692" t="str">
        <f ca="1">IFERROR(VLOOKUP(INDEX(DO527:DO538,DR534),WSM,2,FALSE),"----")</f>
        <v>----</v>
      </c>
      <c r="DT534" s="691" t="e">
        <f t="shared" ca="1" si="9668"/>
        <v>#N/A</v>
      </c>
      <c r="DU534" s="4" t="e">
        <f ca="1">IF(AND(INDEX(STM,DT534,4)&gt;=$AB533,INDEX(STM,DT534,5)&gt;=$S527,INDEX(STM,DT534,6)&gt;=$R527),1,0)</f>
        <v>#N/A</v>
      </c>
      <c r="DV534" s="4" t="e">
        <f t="shared" ref="DV534" ca="1" si="9769">MATCH(1,OFFSET(DU527:DU538,DW533,0,COUNT(DU527:DU538)-DW533),0)</f>
        <v>#REF!</v>
      </c>
      <c r="DW534" s="4" t="e">
        <f t="shared" ca="1" si="9670"/>
        <v>#REF!</v>
      </c>
      <c r="DX534" s="692" t="str">
        <f ca="1">IFERROR(VLOOKUP(INDEX(DT527:DT538,DW534),STM,2,FALSE),"----")</f>
        <v>----</v>
      </c>
      <c r="DY534" s="691" t="e">
        <f t="shared" ca="1" si="9671"/>
        <v>#N/A</v>
      </c>
      <c r="DZ534" s="4" t="e">
        <f ca="1">IF(AND(INDEX(ELM,DY534,4)&gt;=$AB533,INDEX(ELM,DY534,5)&gt;=$S527,INDEX(ELM,DY534,6)&gt;=$R527),1,0)</f>
        <v>#N/A</v>
      </c>
      <c r="EA534" s="4" t="e">
        <f t="shared" ref="EA534" ca="1" si="9770">MATCH(1,OFFSET(DZ527:DZ538,EB533,0,COUNT(DZ527:DZ538)-EB533),0)</f>
        <v>#REF!</v>
      </c>
      <c r="EB534" s="4" t="e">
        <f t="shared" ca="1" si="9673"/>
        <v>#REF!</v>
      </c>
      <c r="EC534" s="692" t="str">
        <f ca="1">IFERROR(VLOOKUP(INDEX(DY527:DY538,EB534),ELM,2,FALSE),"----")</f>
        <v>----</v>
      </c>
      <c r="ED534" s="691" t="e">
        <f t="shared" ca="1" si="9674"/>
        <v>#N/A</v>
      </c>
      <c r="EE534" s="4" t="e">
        <f ca="1">IF(LEFT($J527,7)="Clad Wo",IF(AND(INDEX(SPPWS,ED534,4)&gt;=$AB533,INDEX(SPPWS,ED534,5)&gt;=$S527,INDEX(SPPWS,ED534,6)&gt;=$R527),1,0),IF(AND(INDEX(SPM,ED534,4)&gt;=$AB533,INDEX(SPM,ED534,5)&gt;=$S527,INDEX(SPM,ED534,6)&gt;=$R527),1,0))</f>
        <v>#N/A</v>
      </c>
      <c r="EF534" s="4" t="e">
        <f t="shared" ref="EF534" ca="1" si="9771">MATCH(1,OFFSET(EE527:EE538,EG533,0,COUNT(EE527:EE538)-EG533),0)</f>
        <v>#REF!</v>
      </c>
      <c r="EG534" s="4" t="e">
        <f t="shared" ca="1" si="9676"/>
        <v>#REF!</v>
      </c>
      <c r="EH534" s="692" t="str">
        <f ca="1">IF(LEFT($J527,7)="Clad Wo",IFERROR(VLOOKUP(INDEX(ED527:ED538,EG534),SPPWS,2,FALSE),"----"),IFERROR(VLOOKUP(INDEX(ED527:ED538,EG534),SPM,2,FALSE),"----"))</f>
        <v>----</v>
      </c>
    </row>
    <row r="535" spans="1:138" ht="15" customHeight="1" x14ac:dyDescent="0.25">
      <c r="A535" s="1085"/>
      <c r="B535" s="925"/>
      <c r="C535" s="926"/>
      <c r="D535" s="927"/>
      <c r="E535" s="995"/>
      <c r="F535" s="996"/>
      <c r="G535" s="997"/>
      <c r="H535" s="1062"/>
      <c r="I535" s="990"/>
      <c r="J535" s="902"/>
      <c r="K535" s="903"/>
      <c r="L535" s="1002"/>
      <c r="M535" s="923"/>
      <c r="N535" s="1042"/>
      <c r="O535" s="1018"/>
      <c r="P535" s="987"/>
      <c r="Q535" s="1015"/>
      <c r="R535" s="1012"/>
      <c r="S535" s="1006"/>
      <c r="T535" s="1007"/>
      <c r="U535" s="878"/>
      <c r="V535" s="881"/>
      <c r="W535" s="884"/>
      <c r="X535" s="884"/>
      <c r="Y535" s="887"/>
      <c r="Z535" s="887"/>
      <c r="AA535" s="887"/>
      <c r="AB535" s="1081"/>
      <c r="AC535" s="1078"/>
      <c r="AD535" s="1070" t="str">
        <f t="shared" si="8814"/>
        <v>Wood Stud Framing</v>
      </c>
      <c r="AE535" s="1071"/>
      <c r="AF535" s="1052"/>
      <c r="AG535" s="1053"/>
      <c r="AH535" s="1053"/>
      <c r="AI535" s="1066"/>
      <c r="AJ535" s="1067"/>
      <c r="AK535" s="156" t="str">
        <f t="shared" ca="1" si="8761"/>
        <v/>
      </c>
      <c r="AL535" s="1059"/>
      <c r="AM535" s="344" t="str">
        <f ca="1">IFERROR(Q527/12*ROUND(VLOOKUP(AF535,OFFSET(WSM,0,1),6,FALSE),2),"")</f>
        <v/>
      </c>
      <c r="AN535" t="str">
        <f t="shared" ca="1" si="8785"/>
        <v/>
      </c>
      <c r="AP535" s="122" t="str">
        <f t="shared" ref="AP535" si="9772">_xlfn.CONCAT(AR535,AS538)</f>
        <v/>
      </c>
      <c r="AQ535" s="683" t="str">
        <f t="shared" si="8985"/>
        <v/>
      </c>
      <c r="AR535" s="4" t="str">
        <f t="shared" si="8745"/>
        <v/>
      </c>
      <c r="AS535" s="4"/>
      <c r="AT535" s="697" t="str">
        <f>AL533</f>
        <v/>
      </c>
      <c r="AU535" s="694" t="e">
        <f t="shared" ca="1" si="9002"/>
        <v>#REF!</v>
      </c>
      <c r="AV535" s="686" t="str">
        <f ca="1">IFERROR(VLOOKUP(AU535,INDIRECT(AQ527),2,FALSE),"----")</f>
        <v>----</v>
      </c>
      <c r="AW535" s="694" t="e">
        <f t="shared" ca="1" si="9003"/>
        <v>#REF!</v>
      </c>
      <c r="AX535" s="686" t="str">
        <f ca="1">IFERROR(VLOOKUP(AW535,INDIRECT(AQ528),2,FALSE),"----")</f>
        <v>----</v>
      </c>
      <c r="AY535" s="694" t="e">
        <f t="shared" ca="1" si="9722"/>
        <v>#REF!</v>
      </c>
      <c r="AZ535" s="686" t="str">
        <f ca="1">IFERROR(VLOOKUP(AY535,INDIRECT(AQ529),2,FALSE),"----")</f>
        <v>----</v>
      </c>
      <c r="BA535" s="694" t="e">
        <f t="shared" ca="1" si="9723"/>
        <v>#REF!</v>
      </c>
      <c r="BB535" s="686" t="str">
        <f ca="1">IFERROR(VLOOKUP(BA535,INDIRECT(AQ530),2,FALSE),"----")</f>
        <v>----</v>
      </c>
      <c r="BC535" s="694" t="e">
        <f t="shared" ca="1" si="9006"/>
        <v>#REF!</v>
      </c>
      <c r="BD535" s="686" t="str">
        <f ca="1">IFERROR(VLOOKUP(BC535,INDIRECT(AQ531),2,FALSE),"----")</f>
        <v>----</v>
      </c>
      <c r="BE535" s="694" t="e">
        <f t="shared" ca="1" si="9007"/>
        <v>#REF!</v>
      </c>
      <c r="BF535" s="686" t="str">
        <f ca="1">IFERROR(VLOOKUP(BE535,INDIRECT(AQ532),2,FALSE),"----")</f>
        <v>----</v>
      </c>
      <c r="BG535" s="702" t="e">
        <f t="shared" ca="1" si="9008"/>
        <v>#REF!</v>
      </c>
      <c r="BH535" s="686" t="str">
        <f ca="1">IFERROR(VLOOKUP(BG535,INDIRECT(AQ533),2,FALSE),"----")</f>
        <v>----</v>
      </c>
      <c r="BI535" s="702" t="e">
        <f t="shared" ca="1" si="9009"/>
        <v>#REF!</v>
      </c>
      <c r="BJ535" s="686" t="str">
        <f ca="1">IFERROR(VLOOKUP(BI535,INDIRECT(AQ534),2,FALSE),"----")</f>
        <v>----</v>
      </c>
      <c r="BK535" s="702" t="e">
        <f t="shared" ca="1" si="9010"/>
        <v>#REF!</v>
      </c>
      <c r="BL535" s="686" t="str">
        <f ca="1">IFERROR(VLOOKUP(BK535,INDIRECT(AQ535),2,FALSE),"----")</f>
        <v>----</v>
      </c>
      <c r="BM535" s="702" t="e">
        <f t="shared" ca="1" si="9011"/>
        <v>#REF!</v>
      </c>
      <c r="BN535" s="686" t="str">
        <f ca="1">IFERROR(VLOOKUP(BM535,INDIRECT(AQ536),2,FALSE),"----")</f>
        <v>----</v>
      </c>
      <c r="BO535" s="702" t="e">
        <f t="shared" ca="1" si="9012"/>
        <v>#REF!</v>
      </c>
      <c r="BP535" s="686" t="str">
        <f ca="1">IFERROR(VLOOKUP(BO535,INDIRECT(AQ537),2,FALSE),"----")</f>
        <v>----</v>
      </c>
      <c r="BQ535" s="702" t="e">
        <f t="shared" ca="1" si="9013"/>
        <v>#REF!</v>
      </c>
      <c r="BR535" s="686" t="str">
        <f ca="1">IFERROR(VLOOKUP(BQ535,INDIRECT(AQ538),2,FALSE),"----")</f>
        <v>----</v>
      </c>
      <c r="BS535" s="695">
        <f>IF(AI535="",1,IF(COUNTIF(BL527:BL538,AI535)=0,2,1))</f>
        <v>1</v>
      </c>
      <c r="BT535" s="696">
        <f>IF(AF535="",1,IF(BL527=".",2,1))</f>
        <v>1</v>
      </c>
      <c r="BU535" s="706"/>
      <c r="BV535" s="155">
        <f ca="1">IF(COUNTIF(DS527:DS538,AF535)=0,IF(AF535&lt;&gt;"",0,1),1)</f>
        <v>1</v>
      </c>
      <c r="BW535" s="157">
        <f ca="1">IFERROR(MATCH(AF535,DS527:DS538,0),1)</f>
        <v>1</v>
      </c>
      <c r="BX535" s="769" t="e">
        <f t="shared" ref="BX535" si="9773">5*E527^3*W527/(384*X527)</f>
        <v>#VALUE!</v>
      </c>
      <c r="BY535" s="769" t="e">
        <f t="shared" ref="BY535" si="9774">W527*E527^3/(60*X527)</f>
        <v>#VALUE!</v>
      </c>
      <c r="BZ535" s="1110"/>
      <c r="CA535" s="691" t="e">
        <f t="shared" ca="1" si="9641"/>
        <v>#REF!</v>
      </c>
      <c r="CB535" s="4" t="e" cm="1">
        <f t="array" aca="1" ref="CB535" ca="1">IF(AND(INDEX(INDIRECT(BY527),CA535,4)&gt;=$AB527,INDEX(INDIRECT(BY527),CA535,5)&gt;=$S527,INDEX(INDIRECT(BY527),CA535,6)&gt;=$R527),1,0)</f>
        <v>#REF!</v>
      </c>
      <c r="CC535" s="4" t="e">
        <f t="shared" ref="CC535" ca="1" si="9775">MATCH(1,OFFSET(CB527:CB538,CD534,0,COUNT(CB527:CB538)-CD534),0)</f>
        <v>#REF!</v>
      </c>
      <c r="CD535" s="4" t="e">
        <f t="shared" ca="1" si="9643"/>
        <v>#REF!</v>
      </c>
      <c r="CE535" s="692" t="str" cm="1">
        <f t="array" aca="1" ref="CE535" ca="1">IFERROR(VLOOKUP(INDEX(CA527:CA538,CD535),INDIRECT(BY527),2,FALSE),"----")</f>
        <v>----</v>
      </c>
      <c r="CF535" s="691" t="e">
        <f t="shared" ca="1" si="9644"/>
        <v>#N/A</v>
      </c>
      <c r="CG535" s="4" t="e">
        <f ca="1">IF(AND(INDEX(SSM,CF535,4)&gt;=$AB527,INDEX(SSM,CF535,5)&gt;=$S527,INDEX(SSM,CF535,6)&gt;=$R527),1,0)</f>
        <v>#N/A</v>
      </c>
      <c r="CH535" s="4" t="e">
        <f t="shared" ref="CH535" ca="1" si="9776">MATCH(1,OFFSET(CG527:CG538,CI534,0,COUNT(CG527:CG538)-CI534),0)</f>
        <v>#REF!</v>
      </c>
      <c r="CI535" s="4" t="e">
        <f t="shared" ca="1" si="9646"/>
        <v>#REF!</v>
      </c>
      <c r="CJ535" s="692" t="str">
        <f ca="1">IFERROR(IF(AD528="Nested Steel Stud (wood infill)",VLOOKUP(INDEX(CF527:CF538,CI535),SSW,2,FALSE),VLOOKUP(INDEX(CF527:CF538,CI535),SSM,2,FALSE)),"----")</f>
        <v>----</v>
      </c>
      <c r="CK535" s="691" t="e">
        <f t="shared" ca="1" si="9647"/>
        <v>#N/A</v>
      </c>
      <c r="CL535" s="4" t="e">
        <f ca="1">IF(AND(INDEX(WSM,CK535,4)&gt;=$AB527,INDEX(WSM,CK535,5)&gt;=$S527,INDEX(WSM,CK535,6)&gt;=$R527),1,0)</f>
        <v>#N/A</v>
      </c>
      <c r="CM535" s="4" t="e">
        <f t="shared" ref="CM535" ca="1" si="9777">MATCH(1,OFFSET(CL527:CL538,CN534,0,COUNT(CL527:CL538)-CN534),0)</f>
        <v>#REF!</v>
      </c>
      <c r="CN535" s="4" t="e">
        <f t="shared" ca="1" si="9649"/>
        <v>#REF!</v>
      </c>
      <c r="CO535" s="692" t="str">
        <f ca="1">IFERROR(VLOOKUP(INDEX(CK527:CK538,CN535),WSM,2,FALSE),"----")</f>
        <v>----</v>
      </c>
      <c r="CP535" s="691" t="e">
        <f t="shared" ca="1" si="9650"/>
        <v>#N/A</v>
      </c>
      <c r="CQ535" s="4" t="e">
        <f ca="1">IF(AND(INDEX(STM,CP535,4)&gt;=$AB527,INDEX(STM,CP535,5)&gt;=$S527,INDEX(STM,CP535,6)&gt;=$R527),1,0)</f>
        <v>#N/A</v>
      </c>
      <c r="CR535" s="4" t="e">
        <f t="shared" ref="CR535" ca="1" si="9778">MATCH(1,OFFSET(CQ527:CQ538,CS534,0,COUNT(CQ527:CQ538)-CS534),0)</f>
        <v>#REF!</v>
      </c>
      <c r="CS535" s="4" t="e">
        <f t="shared" ca="1" si="9652"/>
        <v>#REF!</v>
      </c>
      <c r="CT535" s="692" t="str">
        <f ca="1">IFERROR(VLOOKUP(INDEX(CP527:CP538,CS535),STM,2,FALSE),"----")</f>
        <v>----</v>
      </c>
      <c r="CU535" s="691" t="e">
        <f t="shared" ca="1" si="9653"/>
        <v>#N/A</v>
      </c>
      <c r="CV535" s="4" t="e">
        <f ca="1">IF(AND(INDEX(ELM,CU535,4)&gt;=$AB527,INDEX(ELM,CU535,5)&gt;=$S527,INDEX(ELM,CU535,6)&gt;=$R527),1,0)</f>
        <v>#N/A</v>
      </c>
      <c r="CW535" s="4" t="e">
        <f t="shared" ref="CW535" ca="1" si="9779">MATCH(1,OFFSET(CV527:CV538,CX534,0,COUNT(CV527:CV538)-CX534),0)</f>
        <v>#REF!</v>
      </c>
      <c r="CX535" s="4" t="e">
        <f t="shared" ca="1" si="9655"/>
        <v>#REF!</v>
      </c>
      <c r="CY535" s="692" t="str">
        <f ca="1">IFERROR(VLOOKUP(INDEX(CU527:CU538,CX535),ELM,2,FALSE),"----")</f>
        <v>----</v>
      </c>
      <c r="CZ535" s="691" t="e">
        <f t="shared" ca="1" si="9656"/>
        <v>#N/A</v>
      </c>
      <c r="DA535" s="4" t="e">
        <f ca="1">IF(LEFT($J527,7)="Clad Wo",IF(AND(INDEX(SPPWS,CZ535,4)&gt;=$AB527,INDEX(SPPWS,CZ535,5)&gt;=$S527,INDEX(SPPWS,CZ535,6)&gt;=$R527),1,0),IF(AND(INDEX(SPM,CZ535,4)&gt;=$AB527,INDEX(SPM,CZ535,5)&gt;=$S527,INDEX(SPM,CZ535,6)&gt;=$R527),1,0))</f>
        <v>#N/A</v>
      </c>
      <c r="DB535" s="4" t="e">
        <f t="shared" ref="DB535" ca="1" si="9780">MATCH(1,OFFSET(DA527:DA538,DC534,0,COUNT(DA527:DA538)-DC534),0)</f>
        <v>#REF!</v>
      </c>
      <c r="DC535" s="4" t="e">
        <f t="shared" ca="1" si="9658"/>
        <v>#REF!</v>
      </c>
      <c r="DD535" s="693" t="str">
        <f ca="1">IF(LEFT($J527,7)="Clad Wo",IFERROR(VLOOKUP(INDEX(CZ527:CZ538,DC535),SPPWS,2,FALSE),"----"),IFERROR(VLOOKUP(INDEX(CZ527:CZ538,DC535),SPM,2,FALSE),"----"))</f>
        <v>----</v>
      </c>
      <c r="DE535" s="691" t="e">
        <f t="shared" ca="1" si="9659"/>
        <v>#REF!</v>
      </c>
      <c r="DF535" s="4" t="e" cm="1">
        <f t="array" aca="1" ref="DF535" ca="1">IF(AND(INDEX(INDIRECT(BY527),DE535,4)&gt;=$AB533,INDEX(INDIRECT(BY527),DE535,5)&gt;=$S527,INDEX(INDIRECT(BY527),DE535,6)&gt;=$R527),1,0)</f>
        <v>#REF!</v>
      </c>
      <c r="DG535" s="4" t="e">
        <f t="shared" ref="DG535" ca="1" si="9781">MATCH(1,OFFSET(DF527:DF538,DH534,0,COUNT(DF527:DF538)-DH534),0)</f>
        <v>#REF!</v>
      </c>
      <c r="DH535" s="4" t="e">
        <f t="shared" ca="1" si="9661"/>
        <v>#REF!</v>
      </c>
      <c r="DI535" s="692" t="str" cm="1">
        <f t="array" aca="1" ref="DI535" ca="1">IFERROR(VLOOKUP(INDEX(DE527:DE538,DH535),INDIRECT(BY527),2,FALSE),"----")</f>
        <v>----</v>
      </c>
      <c r="DJ535" s="691" t="e">
        <f t="shared" ca="1" si="9662"/>
        <v>#N/A</v>
      </c>
      <c r="DK535" s="4" t="e">
        <f ca="1">IF(AND(INDEX(SSM,DJ535,4)&gt;=$AB533,INDEX(SSM,DJ535,5)&gt;=$S527,INDEX(SSM,DJ535,6)&gt;=$R527),1,0)</f>
        <v>#N/A</v>
      </c>
      <c r="DL535" s="4" t="e">
        <f t="shared" ref="DL535" ca="1" si="9782">MATCH(1,OFFSET(DK527:DK538,DM534,0,COUNT(DK527:DK538)-DM534),0)</f>
        <v>#REF!</v>
      </c>
      <c r="DM535" s="4" t="e">
        <f t="shared" ca="1" si="9664"/>
        <v>#REF!</v>
      </c>
      <c r="DN535" s="692" t="str">
        <f ca="1">IFERROR(IF(AD534="Nested Steel Stud (wood infill)",VLOOKUP(INDEX(DJ527:DJ538,DM535),SSW,2,FALSE),VLOOKUP(INDEX(DJ527:DJ538,DM535),SSM,2,FALSE)),"----")</f>
        <v>----</v>
      </c>
      <c r="DO535" s="691" t="e">
        <f t="shared" ca="1" si="9665"/>
        <v>#N/A</v>
      </c>
      <c r="DP535" s="4" t="e">
        <f ca="1">IF(AND(INDEX(WSM,DO535,4)&gt;=$AB533,INDEX(WSM,DO535,5)&gt;=$S527,INDEX(WSM,DO535,6)&gt;=$R527),1,0)</f>
        <v>#N/A</v>
      </c>
      <c r="DQ535" s="4" t="e">
        <f t="shared" ref="DQ535" ca="1" si="9783">MATCH(1,OFFSET(DP527:DP538,DR534,0,COUNT(DP527:DP538)-DR534),0)</f>
        <v>#REF!</v>
      </c>
      <c r="DR535" s="4" t="e">
        <f t="shared" ca="1" si="9667"/>
        <v>#REF!</v>
      </c>
      <c r="DS535" s="692" t="str">
        <f ca="1">IFERROR(VLOOKUP(INDEX(DO527:DO538,DR535),WSM,2,FALSE),"----")</f>
        <v>----</v>
      </c>
      <c r="DT535" s="691" t="e">
        <f t="shared" ca="1" si="9668"/>
        <v>#N/A</v>
      </c>
      <c r="DU535" s="4" t="e">
        <f ca="1">IF(AND(INDEX(STM,DT535,4)&gt;=$AB533,INDEX(STM,DT535,5)&gt;=$S527,INDEX(STM,DT535,6)&gt;=$R527),1,0)</f>
        <v>#N/A</v>
      </c>
      <c r="DV535" s="4" t="e">
        <f t="shared" ref="DV535" ca="1" si="9784">MATCH(1,OFFSET(DU527:DU538,DW534,0,COUNT(DU527:DU538)-DW534),0)</f>
        <v>#REF!</v>
      </c>
      <c r="DW535" s="4" t="e">
        <f t="shared" ca="1" si="9670"/>
        <v>#REF!</v>
      </c>
      <c r="DX535" s="692" t="str">
        <f ca="1">IFERROR(VLOOKUP(INDEX(DT527:DT538,DW535),STM,2,FALSE),"----")</f>
        <v>----</v>
      </c>
      <c r="DY535" s="691" t="e">
        <f t="shared" ca="1" si="9671"/>
        <v>#N/A</v>
      </c>
      <c r="DZ535" s="4" t="e">
        <f ca="1">IF(AND(INDEX(ELM,DY535,4)&gt;=$AB533,INDEX(ELM,DY535,5)&gt;=$S527,INDEX(ELM,DY535,6)&gt;=$R527),1,0)</f>
        <v>#N/A</v>
      </c>
      <c r="EA535" s="4" t="e">
        <f t="shared" ref="EA535" ca="1" si="9785">MATCH(1,OFFSET(DZ527:DZ538,EB534,0,COUNT(DZ527:DZ538)-EB534),0)</f>
        <v>#REF!</v>
      </c>
      <c r="EB535" s="4" t="e">
        <f t="shared" ca="1" si="9673"/>
        <v>#REF!</v>
      </c>
      <c r="EC535" s="692" t="str">
        <f ca="1">IFERROR(VLOOKUP(INDEX(DY527:DY538,EB535),ELM,2,FALSE),"----")</f>
        <v>----</v>
      </c>
      <c r="ED535" s="691" t="e">
        <f t="shared" ca="1" si="9674"/>
        <v>#N/A</v>
      </c>
      <c r="EE535" s="4" t="e">
        <f ca="1">IF(LEFT($J527,7)="Clad Wo",IF(AND(INDEX(SPPWS,ED535,4)&gt;=$AB533,INDEX(SPPWS,ED535,5)&gt;=$S527,INDEX(SPPWS,ED535,6)&gt;=$R527),1,0),IF(AND(INDEX(SPM,ED535,4)&gt;=$AB533,INDEX(SPM,ED535,5)&gt;=$S527,INDEX(SPM,ED535,6)&gt;=$R527),1,0))</f>
        <v>#N/A</v>
      </c>
      <c r="EF535" s="4" t="e">
        <f t="shared" ref="EF535" ca="1" si="9786">MATCH(1,OFFSET(EE527:EE538,EG534,0,COUNT(EE527:EE538)-EG534),0)</f>
        <v>#REF!</v>
      </c>
      <c r="EG535" s="4" t="e">
        <f t="shared" ca="1" si="9676"/>
        <v>#REF!</v>
      </c>
      <c r="EH535" s="692" t="str">
        <f ca="1">IF(LEFT($J527,7)="Clad Wo",IFERROR(VLOOKUP(INDEX(ED527:ED538,EG535),SPPWS,2,FALSE),"----"),IFERROR(VLOOKUP(INDEX(ED527:ED538,EG535),SPM,2,FALSE),"----"))</f>
        <v>----</v>
      </c>
    </row>
    <row r="536" spans="1:138" ht="15" customHeight="1" x14ac:dyDescent="0.25">
      <c r="A536" s="1085"/>
      <c r="B536" s="925"/>
      <c r="C536" s="926"/>
      <c r="D536" s="927"/>
      <c r="E536" s="995"/>
      <c r="F536" s="996"/>
      <c r="G536" s="997"/>
      <c r="H536" s="1062"/>
      <c r="I536" s="990"/>
      <c r="J536" s="902"/>
      <c r="K536" s="903"/>
      <c r="L536" s="1002"/>
      <c r="M536" s="923"/>
      <c r="N536" s="1042"/>
      <c r="O536" s="1018"/>
      <c r="P536" s="987"/>
      <c r="Q536" s="1015"/>
      <c r="R536" s="1012"/>
      <c r="S536" s="1006"/>
      <c r="T536" s="1007"/>
      <c r="U536" s="878"/>
      <c r="V536" s="881"/>
      <c r="W536" s="884"/>
      <c r="X536" s="884"/>
      <c r="Y536" s="887"/>
      <c r="Z536" s="887"/>
      <c r="AA536" s="887"/>
      <c r="AB536" s="1081"/>
      <c r="AC536" s="1078"/>
      <c r="AD536" s="1070" t="str">
        <f t="shared" si="8814"/>
        <v>Steel Tube</v>
      </c>
      <c r="AE536" s="1071"/>
      <c r="AF536" s="1052"/>
      <c r="AG536" s="1053"/>
      <c r="AH536" s="1053"/>
      <c r="AI536" s="1066"/>
      <c r="AJ536" s="1067"/>
      <c r="AK536" s="156" t="str">
        <f t="shared" ca="1" si="8761"/>
        <v/>
      </c>
      <c r="AL536" s="1059"/>
      <c r="AM536" s="343" t="str">
        <f ca="1">IFERROR(Q527/12*ROUND(VLOOKUP(AF536,OFFSET(STM,0,1),6,FALSE),2),"")</f>
        <v/>
      </c>
      <c r="AN536" t="str">
        <f t="shared" ca="1" si="8785"/>
        <v/>
      </c>
      <c r="AP536" s="122" t="str">
        <f t="shared" ref="AP536" si="9787">_xlfn.CONCAT(AR536,AS538)</f>
        <v/>
      </c>
      <c r="AQ536" s="683" t="str">
        <f t="shared" si="8985"/>
        <v/>
      </c>
      <c r="AR536" s="4" t="str">
        <f t="shared" si="8745"/>
        <v/>
      </c>
      <c r="AS536" s="4"/>
      <c r="AT536" s="697" t="str">
        <f>AL533</f>
        <v/>
      </c>
      <c r="AU536" s="694" t="e">
        <f t="shared" ca="1" si="9002"/>
        <v>#REF!</v>
      </c>
      <c r="AV536" s="686" t="str">
        <f ca="1">IFERROR(VLOOKUP(AU536,INDIRECT(AQ527),2,FALSE),"----")</f>
        <v>----</v>
      </c>
      <c r="AW536" s="694" t="e">
        <f t="shared" ca="1" si="9003"/>
        <v>#REF!</v>
      </c>
      <c r="AX536" s="686" t="str">
        <f ca="1">IFERROR(VLOOKUP(AW536,INDIRECT(AQ528),2,FALSE),"----")</f>
        <v>----</v>
      </c>
      <c r="AY536" s="694" t="e">
        <f t="shared" ca="1" si="9078"/>
        <v>#REF!</v>
      </c>
      <c r="AZ536" s="686" t="str">
        <f ca="1">IFERROR(VLOOKUP(AY536,INDIRECT(AQ529),2,FALSE),"----")</f>
        <v>----</v>
      </c>
      <c r="BA536" s="694" t="e">
        <f t="shared" ca="1" si="9079"/>
        <v>#REF!</v>
      </c>
      <c r="BB536" s="686" t="str">
        <f ca="1">IFERROR(VLOOKUP(BA536,INDIRECT(AQ530),2,FALSE),"----")</f>
        <v>----</v>
      </c>
      <c r="BC536" s="694" t="e">
        <f t="shared" ca="1" si="9006"/>
        <v>#REF!</v>
      </c>
      <c r="BD536" s="686" t="str">
        <f ca="1">IFERROR(VLOOKUP(BC536,INDIRECT(AQ531),2,FALSE),"----")</f>
        <v>----</v>
      </c>
      <c r="BE536" s="694" t="e">
        <f t="shared" ca="1" si="9007"/>
        <v>#REF!</v>
      </c>
      <c r="BF536" s="686" t="str">
        <f ca="1">IFERROR(VLOOKUP(BE536,INDIRECT(AQ532),2,FALSE),"----")</f>
        <v>----</v>
      </c>
      <c r="BG536" s="702" t="e">
        <f t="shared" ca="1" si="9008"/>
        <v>#REF!</v>
      </c>
      <c r="BH536" s="686" t="str">
        <f ca="1">IFERROR(VLOOKUP(BG536,INDIRECT(AQ533),2,FALSE),"----")</f>
        <v>----</v>
      </c>
      <c r="BI536" s="702" t="e">
        <f t="shared" ca="1" si="9009"/>
        <v>#REF!</v>
      </c>
      <c r="BJ536" s="686" t="str">
        <f ca="1">IFERROR(VLOOKUP(BI536,INDIRECT(AQ534),2,FALSE),"----")</f>
        <v>----</v>
      </c>
      <c r="BK536" s="702" t="e">
        <f t="shared" ca="1" si="9010"/>
        <v>#REF!</v>
      </c>
      <c r="BL536" s="686" t="str">
        <f ca="1">IFERROR(VLOOKUP(BK536,INDIRECT(AQ535),2,FALSE),"----")</f>
        <v>----</v>
      </c>
      <c r="BM536" s="702" t="e">
        <f t="shared" ca="1" si="9011"/>
        <v>#REF!</v>
      </c>
      <c r="BN536" s="686" t="str">
        <f ca="1">IFERROR(VLOOKUP(BM536,INDIRECT(AQ536),2,FALSE),"----")</f>
        <v>----</v>
      </c>
      <c r="BO536" s="702" t="e">
        <f t="shared" ca="1" si="9012"/>
        <v>#REF!</v>
      </c>
      <c r="BP536" s="686" t="str">
        <f ca="1">IFERROR(VLOOKUP(BO536,INDIRECT(AQ537),2,FALSE),"----")</f>
        <v>----</v>
      </c>
      <c r="BQ536" s="702" t="e">
        <f t="shared" ca="1" si="9013"/>
        <v>#REF!</v>
      </c>
      <c r="BR536" s="686" t="str">
        <f ca="1">IFERROR(VLOOKUP(BQ536,INDIRECT(AQ538),2,FALSE),"----")</f>
        <v>----</v>
      </c>
      <c r="BS536" s="695">
        <f>IF(AI536="",1,IF(COUNTIF(BN527:BN538,AI536)=0,2,1))</f>
        <v>1</v>
      </c>
      <c r="BT536" s="696">
        <f>IF(AF536="",1,IF(BN527=".",2,1))</f>
        <v>1</v>
      </c>
      <c r="BU536" s="706"/>
      <c r="BV536" s="155">
        <f ca="1">IF(COUNTIF(DX527:DX538,AF536)=0,IF(AF536&lt;&gt;"",0,1),1)</f>
        <v>1</v>
      </c>
      <c r="BW536" s="157">
        <f ca="1">IFERROR(MATCH(AF536,DX527:DX538,0),1)</f>
        <v>1</v>
      </c>
      <c r="BX536" s="769" t="e">
        <f t="shared" ref="BX536" si="9788">5*E527^3*W533/(384*X527)</f>
        <v>#VALUE!</v>
      </c>
      <c r="BY536" s="769" t="e">
        <f t="shared" ref="BY536" si="9789">E527^3*W533/(60*X527)</f>
        <v>#VALUE!</v>
      </c>
      <c r="BZ536" s="1110"/>
      <c r="CA536" s="691" t="e">
        <f t="shared" ca="1" si="9641"/>
        <v>#REF!</v>
      </c>
      <c r="CB536" s="4" t="e" cm="1">
        <f t="array" aca="1" ref="CB536" ca="1">IF(AND(INDEX(INDIRECT(BY527),CA536,4)&gt;=$AB527,INDEX(INDIRECT(BY527),CA536,5)&gt;=$S527,INDEX(INDIRECT(BY527),CA536,6)&gt;=$R527),1,0)</f>
        <v>#REF!</v>
      </c>
      <c r="CC536" s="4" t="e">
        <f t="shared" ref="CC536" ca="1" si="9790">MATCH(1,OFFSET(CB527:CB538,CD535,0,COUNT(CB527:CB538)-CD535),0)</f>
        <v>#REF!</v>
      </c>
      <c r="CD536" s="4" t="e">
        <f t="shared" ca="1" si="9643"/>
        <v>#REF!</v>
      </c>
      <c r="CE536" s="692" t="str" cm="1">
        <f t="array" aca="1" ref="CE536" ca="1">IFERROR(VLOOKUP(INDEX(CA527:CA538,CD536),INDIRECT(BY527),2,FALSE),"----")</f>
        <v>----</v>
      </c>
      <c r="CF536" s="691" t="e">
        <f t="shared" ca="1" si="9644"/>
        <v>#N/A</v>
      </c>
      <c r="CG536" s="4" t="e">
        <f ca="1">IF(AND(INDEX(SSM,CF536,4)&gt;=$AB527,INDEX(SSM,CF536,5)&gt;=$S527,INDEX(SSM,CF536,6)&gt;=$R527),1,0)</f>
        <v>#N/A</v>
      </c>
      <c r="CH536" s="4" t="e">
        <f t="shared" ref="CH536" ca="1" si="9791">MATCH(1,OFFSET(CG527:CG538,CI535,0,COUNT(CG527:CG538)-CI535),0)</f>
        <v>#REF!</v>
      </c>
      <c r="CI536" s="4" t="e">
        <f t="shared" ca="1" si="9646"/>
        <v>#REF!</v>
      </c>
      <c r="CJ536" s="692" t="str">
        <f ca="1">IFERROR(IF(AD528="Nested Steel Stud (wood infill)",VLOOKUP(INDEX(CF527:CF538,CI536),SSW,2,FALSE),VLOOKUP(INDEX(CF527:CF538,CI536),SSM,2,FALSE)),"----")</f>
        <v>----</v>
      </c>
      <c r="CK536" s="691" t="e">
        <f t="shared" ca="1" si="9647"/>
        <v>#N/A</v>
      </c>
      <c r="CL536" s="4" t="e">
        <f ca="1">IF(AND(INDEX(WSM,CK536,4)&gt;=$AB527,INDEX(WSM,CK536,5)&gt;=$S527,INDEX(WSM,CK536,6)&gt;=$R527),1,0)</f>
        <v>#N/A</v>
      </c>
      <c r="CM536" s="4" t="e">
        <f t="shared" ref="CM536" ca="1" si="9792">MATCH(1,OFFSET(CL527:CL538,CN535,0,COUNT(CL527:CL538)-CN535),0)</f>
        <v>#REF!</v>
      </c>
      <c r="CN536" s="4" t="e">
        <f t="shared" ca="1" si="9649"/>
        <v>#REF!</v>
      </c>
      <c r="CO536" s="692" t="str">
        <f ca="1">IFERROR(VLOOKUP(INDEX(CK527:CK538,CN536),WSM,2,FALSE),"----")</f>
        <v>----</v>
      </c>
      <c r="CP536" s="691" t="e">
        <f t="shared" ca="1" si="9650"/>
        <v>#N/A</v>
      </c>
      <c r="CQ536" s="4" t="e">
        <f ca="1">IF(AND(INDEX(STM,CP536,4)&gt;=$AB527,INDEX(STM,CP536,5)&gt;=$S527,INDEX(STM,CP536,6)&gt;=$R527),1,0)</f>
        <v>#N/A</v>
      </c>
      <c r="CR536" s="4" t="e">
        <f t="shared" ref="CR536" ca="1" si="9793">MATCH(1,OFFSET(CQ527:CQ538,CS535,0,COUNT(CQ527:CQ538)-CS535),0)</f>
        <v>#REF!</v>
      </c>
      <c r="CS536" s="4" t="e">
        <f t="shared" ca="1" si="9652"/>
        <v>#REF!</v>
      </c>
      <c r="CT536" s="692" t="str">
        <f ca="1">IFERROR(VLOOKUP(INDEX(CP527:CP538,CS536),STM,2,FALSE),"----")</f>
        <v>----</v>
      </c>
      <c r="CU536" s="691" t="e">
        <f t="shared" ca="1" si="9653"/>
        <v>#N/A</v>
      </c>
      <c r="CV536" s="4" t="e">
        <f ca="1">IF(AND(INDEX(ELM,CU536,4)&gt;=$AB527,INDEX(ELM,CU536,5)&gt;=$S527,INDEX(ELM,CU536,6)&gt;=$R527),1,0)</f>
        <v>#N/A</v>
      </c>
      <c r="CW536" s="4" t="e">
        <f t="shared" ref="CW536" ca="1" si="9794">MATCH(1,OFFSET(CV527:CV538,CX535,0,COUNT(CV527:CV538)-CX535),0)</f>
        <v>#REF!</v>
      </c>
      <c r="CX536" s="4" t="e">
        <f t="shared" ca="1" si="9655"/>
        <v>#REF!</v>
      </c>
      <c r="CY536" s="692" t="str">
        <f ca="1">IFERROR(VLOOKUP(INDEX(CU527:CU538,CX536),ELM,2,FALSE),"----")</f>
        <v>----</v>
      </c>
      <c r="CZ536" s="691" t="e">
        <f t="shared" ca="1" si="9656"/>
        <v>#N/A</v>
      </c>
      <c r="DA536" s="4" t="e">
        <f ca="1">IF(LEFT($J527,7)="Clad Wo",IF(AND(INDEX(SPPWS,CZ536,4)&gt;=$AB527,INDEX(SPPWS,CZ536,5)&gt;=$S527,INDEX(SPPWS,CZ536,6)&gt;=$R527),1,0),IF(AND(INDEX(SPM,CZ536,4)&gt;=$AB527,INDEX(SPM,CZ536,5)&gt;=$S527,INDEX(SPM,CZ536,6)&gt;=$R527),1,0))</f>
        <v>#N/A</v>
      </c>
      <c r="DB536" s="4" t="e">
        <f t="shared" ref="DB536" ca="1" si="9795">MATCH(1,OFFSET(DA527:DA538,DC535,0,COUNT(DA527:DA538)-DC535),0)</f>
        <v>#REF!</v>
      </c>
      <c r="DC536" s="4" t="e">
        <f t="shared" ca="1" si="9658"/>
        <v>#REF!</v>
      </c>
      <c r="DD536" s="693" t="str">
        <f ca="1">IF(LEFT($J527,7)="Clad Wo",IFERROR(VLOOKUP(INDEX(CZ527:CZ538,DC536),SPPWS,2,FALSE),"----"),IFERROR(VLOOKUP(INDEX(CZ527:CZ538,DC536),SPM,2,FALSE),"----"))</f>
        <v>----</v>
      </c>
      <c r="DE536" s="691" t="e">
        <f t="shared" ca="1" si="9659"/>
        <v>#REF!</v>
      </c>
      <c r="DF536" s="4" t="e" cm="1">
        <f t="array" aca="1" ref="DF536" ca="1">IF(AND(INDEX(INDIRECT(BY527),DE536,4)&gt;=$AB533,INDEX(INDIRECT(BY527),DE536,5)&gt;=$S527,INDEX(INDIRECT(BY527),DE536,6)&gt;=$R527),1,0)</f>
        <v>#REF!</v>
      </c>
      <c r="DG536" s="4" t="e">
        <f t="shared" ref="DG536" ca="1" si="9796">MATCH(1,OFFSET(DF527:DF538,DH535,0,COUNT(DF527:DF538)-DH535),0)</f>
        <v>#REF!</v>
      </c>
      <c r="DH536" s="4" t="e">
        <f t="shared" ca="1" si="9661"/>
        <v>#REF!</v>
      </c>
      <c r="DI536" s="692" t="str" cm="1">
        <f t="array" aca="1" ref="DI536" ca="1">IFERROR(VLOOKUP(INDEX(DE527:DE538,DH536),INDIRECT(BY527),2,FALSE),"----")</f>
        <v>----</v>
      </c>
      <c r="DJ536" s="691" t="e">
        <f t="shared" ca="1" si="9662"/>
        <v>#N/A</v>
      </c>
      <c r="DK536" s="4" t="e">
        <f ca="1">IF(AND(INDEX(SSM,DJ536,4)&gt;=$AB533,INDEX(SSM,DJ536,5)&gt;=$S527,INDEX(SSM,DJ536,6)&gt;=$R527),1,0)</f>
        <v>#N/A</v>
      </c>
      <c r="DL536" s="4" t="e">
        <f t="shared" ref="DL536" ca="1" si="9797">MATCH(1,OFFSET(DK527:DK538,DM535,0,COUNT(DK527:DK538)-DM535),0)</f>
        <v>#REF!</v>
      </c>
      <c r="DM536" s="4" t="e">
        <f t="shared" ca="1" si="9664"/>
        <v>#REF!</v>
      </c>
      <c r="DN536" s="692" t="str">
        <f ca="1">IFERROR(IF(AD534="Nested Steel Stud (wood infill)",VLOOKUP(INDEX(DJ527:DJ538,DM536),SSW,2,FALSE),VLOOKUP(INDEX(DJ527:DJ538,DM536),SSM,2,FALSE)),"----")</f>
        <v>----</v>
      </c>
      <c r="DO536" s="691" t="e">
        <f t="shared" ca="1" si="9665"/>
        <v>#N/A</v>
      </c>
      <c r="DP536" s="4" t="e">
        <f ca="1">IF(AND(INDEX(WSM,DO536,4)&gt;=$AB533,INDEX(WSM,DO536,5)&gt;=$S527,INDEX(WSM,DO536,6)&gt;=$R527),1,0)</f>
        <v>#N/A</v>
      </c>
      <c r="DQ536" s="4" t="e">
        <f t="shared" ref="DQ536" ca="1" si="9798">MATCH(1,OFFSET(DP527:DP538,DR535,0,COUNT(DP527:DP538)-DR535),0)</f>
        <v>#REF!</v>
      </c>
      <c r="DR536" s="4" t="e">
        <f t="shared" ca="1" si="9667"/>
        <v>#REF!</v>
      </c>
      <c r="DS536" s="692" t="str">
        <f ca="1">IFERROR(VLOOKUP(INDEX(DO527:DO538,DR536),WSM,2,FALSE),"----")</f>
        <v>----</v>
      </c>
      <c r="DT536" s="691" t="e">
        <f t="shared" ca="1" si="9668"/>
        <v>#N/A</v>
      </c>
      <c r="DU536" s="4" t="e">
        <f ca="1">IF(AND(INDEX(STM,DT536,4)&gt;=$AB533,INDEX(STM,DT536,5)&gt;=$S527,INDEX(STM,DT536,6)&gt;=$R527),1,0)</f>
        <v>#N/A</v>
      </c>
      <c r="DV536" s="4" t="e">
        <f t="shared" ref="DV536" ca="1" si="9799">MATCH(1,OFFSET(DU527:DU538,DW535,0,COUNT(DU527:DU538)-DW535),0)</f>
        <v>#REF!</v>
      </c>
      <c r="DW536" s="4" t="e">
        <f t="shared" ca="1" si="9670"/>
        <v>#REF!</v>
      </c>
      <c r="DX536" s="692" t="str">
        <f ca="1">IFERROR(VLOOKUP(INDEX(DT527:DT538,DW536),STM,2,FALSE),"----")</f>
        <v>----</v>
      </c>
      <c r="DY536" s="691" t="e">
        <f t="shared" ca="1" si="9671"/>
        <v>#N/A</v>
      </c>
      <c r="DZ536" s="4" t="e">
        <f ca="1">IF(AND(INDEX(ELM,DY536,4)&gt;=$AB533,INDEX(ELM,DY536,5)&gt;=$S527,INDEX(ELM,DY536,6)&gt;=$R527),1,0)</f>
        <v>#N/A</v>
      </c>
      <c r="EA536" s="4" t="e">
        <f t="shared" ref="EA536" ca="1" si="9800">MATCH(1,OFFSET(DZ527:DZ538,EB535,0,COUNT(DZ527:DZ538)-EB535),0)</f>
        <v>#REF!</v>
      </c>
      <c r="EB536" s="4" t="e">
        <f t="shared" ca="1" si="9673"/>
        <v>#REF!</v>
      </c>
      <c r="EC536" s="692" t="str">
        <f ca="1">IFERROR(VLOOKUP(INDEX(DY527:DY538,EB536),ELM,2,FALSE),"----")</f>
        <v>----</v>
      </c>
      <c r="ED536" s="691" t="e">
        <f t="shared" ca="1" si="9674"/>
        <v>#N/A</v>
      </c>
      <c r="EE536" s="4" t="e">
        <f ca="1">IF(LEFT($J527,7)="Clad Wo",IF(AND(INDEX(SPPWS,ED536,4)&gt;=$AB533,INDEX(SPPWS,ED536,5)&gt;=$S527,INDEX(SPPWS,ED536,6)&gt;=$R527),1,0),IF(AND(INDEX(SPM,ED536,4)&gt;=$AB533,INDEX(SPM,ED536,5)&gt;=$S527,INDEX(SPM,ED536,6)&gt;=$R527),1,0))</f>
        <v>#N/A</v>
      </c>
      <c r="EF536" s="4" t="e">
        <f t="shared" ref="EF536" ca="1" si="9801">MATCH(1,OFFSET(EE527:EE538,EG535,0,COUNT(EE527:EE538)-EG535),0)</f>
        <v>#REF!</v>
      </c>
      <c r="EG536" s="4" t="e">
        <f t="shared" ca="1" si="9676"/>
        <v>#REF!</v>
      </c>
      <c r="EH536" s="692" t="str">
        <f ca="1">IF(LEFT($J527,7)="Clad Wo",IFERROR(VLOOKUP(INDEX(ED527:ED538,EG536),SPPWS,2,FALSE),"----"),IFERROR(VLOOKUP(INDEX(ED527:ED538,EG536),SPM,2,FALSE),"----"))</f>
        <v>----</v>
      </c>
    </row>
    <row r="537" spans="1:138" ht="15" customHeight="1" x14ac:dyDescent="0.25">
      <c r="A537" s="1085"/>
      <c r="B537" s="925"/>
      <c r="C537" s="926"/>
      <c r="D537" s="927"/>
      <c r="E537" s="995"/>
      <c r="F537" s="996"/>
      <c r="G537" s="997"/>
      <c r="H537" s="1062"/>
      <c r="I537" s="990"/>
      <c r="J537" s="902"/>
      <c r="K537" s="903"/>
      <c r="L537" s="1002"/>
      <c r="M537" s="923"/>
      <c r="N537" s="1042"/>
      <c r="O537" s="1018"/>
      <c r="P537" s="987"/>
      <c r="Q537" s="1015"/>
      <c r="R537" s="1012"/>
      <c r="S537" s="1006"/>
      <c r="T537" s="1007"/>
      <c r="U537" s="878"/>
      <c r="V537" s="881"/>
      <c r="W537" s="884"/>
      <c r="X537" s="884"/>
      <c r="Y537" s="887"/>
      <c r="Z537" s="887"/>
      <c r="AA537" s="887"/>
      <c r="AB537" s="1081"/>
      <c r="AC537" s="1078"/>
      <c r="AD537" s="1070" t="str">
        <f t="shared" si="8814"/>
        <v>Engineered Lumber</v>
      </c>
      <c r="AE537" s="1071"/>
      <c r="AF537" s="1052"/>
      <c r="AG537" s="1053"/>
      <c r="AH537" s="1053"/>
      <c r="AI537" s="1068"/>
      <c r="AJ537" s="1069"/>
      <c r="AK537" s="154" t="str">
        <f t="shared" ca="1" si="8761"/>
        <v/>
      </c>
      <c r="AL537" s="1059"/>
      <c r="AM537" s="344" t="str">
        <f ca="1">IFERROR(Q527/12*ROUND(VLOOKUP(AF537,OFFSET(ELM,0,1),6,FALSE),2),"")</f>
        <v/>
      </c>
      <c r="AN537" t="str">
        <f t="shared" ca="1" si="8785"/>
        <v/>
      </c>
      <c r="AP537" s="122" t="str">
        <f t="shared" ref="AP537" si="9802">_xlfn.CONCAT(AR537,AS538)</f>
        <v/>
      </c>
      <c r="AQ537" s="683" t="str">
        <f t="shared" si="8985"/>
        <v/>
      </c>
      <c r="AR537" s="4" t="str">
        <f t="shared" si="8745"/>
        <v/>
      </c>
      <c r="AS537" s="4"/>
      <c r="AT537" s="697" t="str">
        <f>AL533</f>
        <v/>
      </c>
      <c r="AU537" s="694" t="e">
        <f t="shared" ca="1" si="9002"/>
        <v>#REF!</v>
      </c>
      <c r="AV537" s="698" t="str">
        <f ca="1">IFERROR(VLOOKUP(AU537,INDIRECT(AQ527),2,FALSE),"----")</f>
        <v>----</v>
      </c>
      <c r="AW537" s="694" t="e">
        <f t="shared" ca="1" si="9003"/>
        <v>#REF!</v>
      </c>
      <c r="AX537" s="698" t="str">
        <f ca="1">IFERROR(VLOOKUP(AW537,INDIRECT(AQ528),2,FALSE),"----")</f>
        <v>----</v>
      </c>
      <c r="AY537" s="694" t="e">
        <f t="shared" ca="1" si="9078"/>
        <v>#REF!</v>
      </c>
      <c r="AZ537" s="698" t="str">
        <f ca="1">IFERROR(VLOOKUP(AY537,INDIRECT(AQ529),2,FALSE),"----")</f>
        <v>----</v>
      </c>
      <c r="BA537" s="694" t="e">
        <f t="shared" ca="1" si="9079"/>
        <v>#REF!</v>
      </c>
      <c r="BB537" s="698" t="str">
        <f ca="1">IFERROR(VLOOKUP(BA537,INDIRECT(AQ530),2,FALSE),"----")</f>
        <v>----</v>
      </c>
      <c r="BC537" s="694" t="e">
        <f t="shared" ca="1" si="9006"/>
        <v>#REF!</v>
      </c>
      <c r="BD537" s="698" t="str">
        <f ca="1">IFERROR(VLOOKUP(BC537,INDIRECT(AQ531),2,FALSE),"----")</f>
        <v>----</v>
      </c>
      <c r="BE537" s="694" t="e">
        <f t="shared" ca="1" si="9007"/>
        <v>#REF!</v>
      </c>
      <c r="BF537" s="698" t="str">
        <f ca="1">IFERROR(VLOOKUP(BE537,INDIRECT(AQ532),2,FALSE),"----")</f>
        <v>----</v>
      </c>
      <c r="BG537" s="702" t="e">
        <f t="shared" ca="1" si="9008"/>
        <v>#REF!</v>
      </c>
      <c r="BH537" s="686" t="str">
        <f ca="1">IFERROR(VLOOKUP(BG537,INDIRECT(AQ533),2,FALSE),"----")</f>
        <v>----</v>
      </c>
      <c r="BI537" s="702" t="e">
        <f t="shared" ca="1" si="9009"/>
        <v>#REF!</v>
      </c>
      <c r="BJ537" s="686" t="str">
        <f ca="1">IFERROR(VLOOKUP(BI537,INDIRECT(AQ534),2,FALSE),"----")</f>
        <v>----</v>
      </c>
      <c r="BK537" s="702" t="e">
        <f t="shared" ca="1" si="9010"/>
        <v>#REF!</v>
      </c>
      <c r="BL537" s="686" t="str">
        <f ca="1">IFERROR(VLOOKUP(BK537,INDIRECT(AQ535),2,FALSE),"----")</f>
        <v>----</v>
      </c>
      <c r="BM537" s="702" t="e">
        <f t="shared" ca="1" si="9011"/>
        <v>#REF!</v>
      </c>
      <c r="BN537" s="686" t="str">
        <f ca="1">IFERROR(VLOOKUP(BM537,INDIRECT(AQ536),2,FALSE),"----")</f>
        <v>----</v>
      </c>
      <c r="BO537" s="702" t="e">
        <f t="shared" ca="1" si="9012"/>
        <v>#REF!</v>
      </c>
      <c r="BP537" s="686" t="str">
        <f ca="1">IFERROR(VLOOKUP(BO537,INDIRECT(AQ537),2,FALSE),"----")</f>
        <v>----</v>
      </c>
      <c r="BQ537" s="702" t="e">
        <f t="shared" ca="1" si="9013"/>
        <v>#REF!</v>
      </c>
      <c r="BR537" s="686" t="str">
        <f ca="1">IFERROR(VLOOKUP(BQ537,INDIRECT(AQ538),2,FALSE),"----")</f>
        <v>----</v>
      </c>
      <c r="BS537" s="695">
        <f>IF(AI537="",1,IF(COUNTIF(BP527:BP538,AI537)=0,2,1))</f>
        <v>1</v>
      </c>
      <c r="BT537" s="696">
        <f>IF(AF537="",1,IF(BP527=".",2,1))</f>
        <v>1</v>
      </c>
      <c r="BU537" s="706"/>
      <c r="BV537" s="155">
        <f ca="1">IF(COUNTIF(EC527:EC538,AF537)=0,IF(AF537&lt;&gt;"",0,1),1)</f>
        <v>1</v>
      </c>
      <c r="BW537" s="157">
        <f ca="1">IFERROR(MATCH(AF537,EC527:EC538,0),1)</f>
        <v>1</v>
      </c>
      <c r="BX537" s="769"/>
      <c r="BY537" s="769"/>
      <c r="BZ537" s="1110"/>
      <c r="CA537" s="691" t="e">
        <f t="shared" ca="1" si="9641"/>
        <v>#REF!</v>
      </c>
      <c r="CB537" s="4" t="e" cm="1">
        <f t="array" aca="1" ref="CB537" ca="1">IF(AND(INDEX(INDIRECT(BY527),CA537,4)&gt;=$AB527,INDEX(INDIRECT(BY527),CA537,5)&gt;=$S527,INDEX(INDIRECT(BY527),CA537,6)&gt;=$R527),1,0)</f>
        <v>#REF!</v>
      </c>
      <c r="CC537" s="4" t="e">
        <f t="shared" ref="CC537" ca="1" si="9803">MATCH(1,OFFSET(CB527:CB538,CD536,0,COUNT(CB527:CB538)-CD536),0)</f>
        <v>#REF!</v>
      </c>
      <c r="CD537" s="4" t="e">
        <f t="shared" ca="1" si="9643"/>
        <v>#REF!</v>
      </c>
      <c r="CE537" s="692" t="str" cm="1">
        <f t="array" aca="1" ref="CE537" ca="1">IFERROR(VLOOKUP(INDEX(CA527:CA538,CD537),INDIRECT(BY527),2,FALSE),"----")</f>
        <v>----</v>
      </c>
      <c r="CF537" s="691" t="e">
        <f t="shared" ca="1" si="9644"/>
        <v>#N/A</v>
      </c>
      <c r="CG537" s="4" t="e">
        <f ca="1">IF(AND(INDEX(SSM,CF537,4)&gt;=$AB527,INDEX(SSM,CF537,5)&gt;=$S527,INDEX(SSM,CF537,6)&gt;=$R527),1,0)</f>
        <v>#N/A</v>
      </c>
      <c r="CH537" s="4" t="e">
        <f t="shared" ref="CH537" ca="1" si="9804">MATCH(1,OFFSET(CG527:CG538,CI536,0,COUNT(CG527:CG538)-CI536),0)</f>
        <v>#REF!</v>
      </c>
      <c r="CI537" s="4" t="e">
        <f t="shared" ca="1" si="9646"/>
        <v>#REF!</v>
      </c>
      <c r="CJ537" s="692" t="str">
        <f ca="1">IFERROR(IF(AD528="Nested Steel Stud (wood infill)",VLOOKUP(INDEX(CF527:CF538,CI537),SSW,2,FALSE),VLOOKUP(INDEX(CF527:CF538,CI537),SSM,2,FALSE)),"----")</f>
        <v>----</v>
      </c>
      <c r="CK537" s="691" t="e">
        <f t="shared" ca="1" si="9647"/>
        <v>#N/A</v>
      </c>
      <c r="CL537" s="4" t="e">
        <f ca="1">IF(AND(INDEX(WSM,CK537,4)&gt;=$AB527,INDEX(WSM,CK537,5)&gt;=$S527,INDEX(WSM,CK537,6)&gt;=$R527),1,0)</f>
        <v>#N/A</v>
      </c>
      <c r="CM537" s="4" t="e">
        <f t="shared" ref="CM537" ca="1" si="9805">MATCH(1,OFFSET(CL527:CL538,CN536,0,COUNT(CL527:CL538)-CN536),0)</f>
        <v>#REF!</v>
      </c>
      <c r="CN537" s="4" t="e">
        <f t="shared" ca="1" si="9649"/>
        <v>#REF!</v>
      </c>
      <c r="CO537" s="692" t="str">
        <f ca="1">IFERROR(VLOOKUP(INDEX(CK527:CK538,CN537),WSM,2,FALSE),"----")</f>
        <v>----</v>
      </c>
      <c r="CP537" s="691" t="e">
        <f t="shared" ca="1" si="9650"/>
        <v>#N/A</v>
      </c>
      <c r="CQ537" s="4" t="e">
        <f ca="1">IF(AND(INDEX(STM,CP537,4)&gt;=$AB527,INDEX(STM,CP537,5)&gt;=$S527,INDEX(STM,CP537,6)&gt;=$R527),1,0)</f>
        <v>#N/A</v>
      </c>
      <c r="CR537" s="4" t="e">
        <f t="shared" ref="CR537" ca="1" si="9806">MATCH(1,OFFSET(CQ527:CQ538,CS536,0,COUNT(CQ527:CQ538)-CS536),0)</f>
        <v>#REF!</v>
      </c>
      <c r="CS537" s="4" t="e">
        <f t="shared" ca="1" si="9652"/>
        <v>#REF!</v>
      </c>
      <c r="CT537" s="692" t="str">
        <f ca="1">IFERROR(VLOOKUP(INDEX(CP527:CP538,CS537),STM,2,FALSE),"----")</f>
        <v>----</v>
      </c>
      <c r="CU537" s="691" t="e">
        <f t="shared" ca="1" si="9653"/>
        <v>#N/A</v>
      </c>
      <c r="CV537" s="4" t="e">
        <f ca="1">IF(AND(INDEX(ELM,CU537,4)&gt;=$AB527,INDEX(ELM,CU537,5)&gt;=$S527,INDEX(ELM,CU537,6)&gt;=$R527),1,0)</f>
        <v>#N/A</v>
      </c>
      <c r="CW537" s="4" t="e">
        <f t="shared" ref="CW537" ca="1" si="9807">MATCH(1,OFFSET(CV527:CV538,CX536,0,COUNT(CV527:CV538)-CX536),0)</f>
        <v>#REF!</v>
      </c>
      <c r="CX537" s="4" t="e">
        <f t="shared" ca="1" si="9655"/>
        <v>#REF!</v>
      </c>
      <c r="CY537" s="692" t="str">
        <f ca="1">IFERROR(VLOOKUP(INDEX(CU527:CU538,CX537),ELM,2,FALSE),"----")</f>
        <v>----</v>
      </c>
      <c r="CZ537" s="691" t="e">
        <f t="shared" ca="1" si="9656"/>
        <v>#N/A</v>
      </c>
      <c r="DA537" s="4" t="e">
        <f ca="1">IF(LEFT($J527,7)="Clad Wo",IF(AND(INDEX(SPPWS,CZ537,4)&gt;=$AB527,INDEX(SPPWS,CZ537,5)&gt;=$S527,INDEX(SPPWS,CZ537,6)&gt;=$R527),1,0),IF(AND(INDEX(SPM,CZ537,4)&gt;=$AB527,INDEX(SPM,CZ537,5)&gt;=$S527,INDEX(SPM,CZ537,6)&gt;=$R527),1,0))</f>
        <v>#N/A</v>
      </c>
      <c r="DB537" s="4" t="e">
        <f t="shared" ref="DB537" ca="1" si="9808">MATCH(1,OFFSET(DA527:DA538,DC536,0,COUNT(DA527:DA538)-DC536),0)</f>
        <v>#REF!</v>
      </c>
      <c r="DC537" s="4" t="e">
        <f t="shared" ca="1" si="9658"/>
        <v>#REF!</v>
      </c>
      <c r="DD537" s="693" t="str">
        <f ca="1">IF(LEFT($J527,7)="Clad Wo",IFERROR(VLOOKUP(INDEX(CZ527:CZ538,DC537),SPPWS,2,FALSE),"----"),IFERROR(VLOOKUP(INDEX(CZ527:CZ538,DC537),SPM,2,FALSE),"----"))</f>
        <v>----</v>
      </c>
      <c r="DE537" s="691" t="e">
        <f t="shared" ca="1" si="9659"/>
        <v>#REF!</v>
      </c>
      <c r="DF537" s="4" t="e" cm="1">
        <f t="array" aca="1" ref="DF537" ca="1">IF(AND(INDEX(INDIRECT(BY527),DE537,4)&gt;=$AB533,INDEX(INDIRECT(BY527),DE537,5)&gt;=$S527,INDEX(INDIRECT(BY527),DE537,6)&gt;=$R527),1,0)</f>
        <v>#REF!</v>
      </c>
      <c r="DG537" s="4" t="e">
        <f t="shared" ref="DG537" ca="1" si="9809">MATCH(1,OFFSET(DF527:DF538,DH536,0,COUNT(DF527:DF538)-DH536),0)</f>
        <v>#REF!</v>
      </c>
      <c r="DH537" s="4" t="e">
        <f t="shared" ca="1" si="9661"/>
        <v>#REF!</v>
      </c>
      <c r="DI537" s="692" t="str" cm="1">
        <f t="array" aca="1" ref="DI537" ca="1">IFERROR(VLOOKUP(INDEX(DE527:DE538,DH537),INDIRECT(BY527),2,FALSE),"----")</f>
        <v>----</v>
      </c>
      <c r="DJ537" s="691" t="e">
        <f t="shared" ca="1" si="9662"/>
        <v>#N/A</v>
      </c>
      <c r="DK537" s="4" t="e">
        <f ca="1">IF(AND(INDEX(SSM,DJ537,4)&gt;=$AB533,INDEX(SSM,DJ537,5)&gt;=$S527,INDEX(SSM,DJ537,6)&gt;=$R527),1,0)</f>
        <v>#N/A</v>
      </c>
      <c r="DL537" s="4" t="e">
        <f t="shared" ref="DL537" ca="1" si="9810">MATCH(1,OFFSET(DK527:DK538,DM536,0,COUNT(DK527:DK538)-DM536),0)</f>
        <v>#REF!</v>
      </c>
      <c r="DM537" s="4" t="e">
        <f t="shared" ca="1" si="9664"/>
        <v>#REF!</v>
      </c>
      <c r="DN537" s="692" t="str">
        <f ca="1">IFERROR(IF(AD534="Nested Steel Stud (wood infill)",VLOOKUP(INDEX(DJ527:DJ538,DM537),SSW,2,FALSE),VLOOKUP(INDEX(DJ527:DJ538,DM537),SSM,2,FALSE)),"----")</f>
        <v>----</v>
      </c>
      <c r="DO537" s="691" t="e">
        <f t="shared" ca="1" si="9665"/>
        <v>#N/A</v>
      </c>
      <c r="DP537" s="4" t="e">
        <f ca="1">IF(AND(INDEX(WSM,DO537,4)&gt;=$AB533,INDEX(WSM,DO537,5)&gt;=$S527,INDEX(WSM,DO537,6)&gt;=$R527),1,0)</f>
        <v>#N/A</v>
      </c>
      <c r="DQ537" s="4" t="e">
        <f t="shared" ref="DQ537" ca="1" si="9811">MATCH(1,OFFSET(DP527:DP538,DR536,0,COUNT(DP527:DP538)-DR536),0)</f>
        <v>#REF!</v>
      </c>
      <c r="DR537" s="4" t="e">
        <f t="shared" ca="1" si="9667"/>
        <v>#REF!</v>
      </c>
      <c r="DS537" s="692" t="str">
        <f ca="1">IFERROR(VLOOKUP(INDEX(DO527:DO538,DR537),WSM,2,FALSE),"----")</f>
        <v>----</v>
      </c>
      <c r="DT537" s="691" t="e">
        <f t="shared" ca="1" si="9668"/>
        <v>#N/A</v>
      </c>
      <c r="DU537" s="4" t="e">
        <f ca="1">IF(AND(INDEX(STM,DT537,4)&gt;=$AB533,INDEX(STM,DT537,5)&gt;=$S527,INDEX(STM,DT537,6)&gt;=$R527),1,0)</f>
        <v>#N/A</v>
      </c>
      <c r="DV537" s="4" t="e">
        <f t="shared" ref="DV537" ca="1" si="9812">MATCH(1,OFFSET(DU527:DU538,DW536,0,COUNT(DU527:DU538)-DW536),0)</f>
        <v>#REF!</v>
      </c>
      <c r="DW537" s="4" t="e">
        <f t="shared" ca="1" si="9670"/>
        <v>#REF!</v>
      </c>
      <c r="DX537" s="692" t="str">
        <f ca="1">IFERROR(VLOOKUP(INDEX(DT527:DT538,DW537),STM,2,FALSE),"----")</f>
        <v>----</v>
      </c>
      <c r="DY537" s="691" t="e">
        <f t="shared" ca="1" si="9671"/>
        <v>#N/A</v>
      </c>
      <c r="DZ537" s="4" t="e">
        <f ca="1">IF(AND(INDEX(ELM,DY537,4)&gt;=$AB533,INDEX(ELM,DY537,5)&gt;=$S527,INDEX(ELM,DY537,6)&gt;=$R527),1,0)</f>
        <v>#N/A</v>
      </c>
      <c r="EA537" s="4" t="e">
        <f t="shared" ref="EA537" ca="1" si="9813">MATCH(1,OFFSET(DZ527:DZ538,EB536,0,COUNT(DZ527:DZ538)-EB536),0)</f>
        <v>#REF!</v>
      </c>
      <c r="EB537" s="4" t="e">
        <f t="shared" ca="1" si="9673"/>
        <v>#REF!</v>
      </c>
      <c r="EC537" s="692" t="str">
        <f ca="1">IFERROR(VLOOKUP(INDEX(DY527:DY538,EB537),ELM,2,FALSE),"----")</f>
        <v>----</v>
      </c>
      <c r="ED537" s="691" t="e">
        <f t="shared" ca="1" si="9674"/>
        <v>#N/A</v>
      </c>
      <c r="EE537" s="4" t="e">
        <f ca="1">IF(LEFT($J527,7)="Clad Wo",IF(AND(INDEX(SPPWS,ED537,4)&gt;=$AB533,INDEX(SPPWS,ED537,5)&gt;=$S527,INDEX(SPPWS,ED537,6)&gt;=$R527),1,0),IF(AND(INDEX(SPM,ED537,4)&gt;=$AB533,INDEX(SPM,ED537,5)&gt;=$S527,INDEX(SPM,ED537,6)&gt;=$R527),1,0))</f>
        <v>#N/A</v>
      </c>
      <c r="EF537" s="4" t="e">
        <f t="shared" ref="EF537" ca="1" si="9814">MATCH(1,OFFSET(EE527:EE538,EG536,0,COUNT(EE527:EE538)-EG536),0)</f>
        <v>#REF!</v>
      </c>
      <c r="EG537" s="4" t="e">
        <f t="shared" ca="1" si="9676"/>
        <v>#REF!</v>
      </c>
      <c r="EH537" s="692" t="str">
        <f ca="1">IF(LEFT($J527,7)="Clad Wo",IFERROR(VLOOKUP(INDEX(ED527:ED538,EG537),SPPWS,2,FALSE),"----"),IFERROR(VLOOKUP(INDEX(ED527:ED538,EG537),SPM,2,FALSE),"----"))</f>
        <v>----</v>
      </c>
    </row>
    <row r="538" spans="1:138" ht="15" customHeight="1" thickBot="1" x14ac:dyDescent="0.3">
      <c r="A538" s="1085"/>
      <c r="B538" s="928"/>
      <c r="C538" s="929"/>
      <c r="D538" s="930"/>
      <c r="E538" s="998"/>
      <c r="F538" s="999"/>
      <c r="G538" s="1000"/>
      <c r="H538" s="1063"/>
      <c r="I538" s="991"/>
      <c r="J538" s="904"/>
      <c r="K538" s="905"/>
      <c r="L538" s="1003"/>
      <c r="M538" s="1065"/>
      <c r="N538" s="1043"/>
      <c r="O538" s="1019"/>
      <c r="P538" s="988"/>
      <c r="Q538" s="1016"/>
      <c r="R538" s="1013"/>
      <c r="S538" s="1008"/>
      <c r="T538" s="1009"/>
      <c r="U538" s="879"/>
      <c r="V538" s="882"/>
      <c r="W538" s="885"/>
      <c r="X538" s="885"/>
      <c r="Y538" s="888"/>
      <c r="Z538" s="888"/>
      <c r="AA538" s="888"/>
      <c r="AB538" s="1082"/>
      <c r="AC538" s="1087"/>
      <c r="AD538" s="1098" t="str">
        <f t="shared" ref="AD538" si="9815">IF(LEFT(J527,7)="Clad Wo","Pella Wood Spr / Steel Pte","Steel Plate")</f>
        <v>Steel Plate</v>
      </c>
      <c r="AE538" s="1099"/>
      <c r="AF538" s="1096"/>
      <c r="AG538" s="1097"/>
      <c r="AH538" s="1097"/>
      <c r="AI538" s="1094"/>
      <c r="AJ538" s="1095"/>
      <c r="AK538" s="163" t="str">
        <f t="shared" ca="1" si="8761"/>
        <v/>
      </c>
      <c r="AL538" s="1060"/>
      <c r="AM538" s="345" t="str">
        <f ca="1">IFERROR(Q527/12*ROUND(VLOOKUP(AF538,OFFSET(SPM,0,1),6,FALSE),2),"")</f>
        <v/>
      </c>
      <c r="AN538" t="str">
        <f t="shared" ca="1" si="8785"/>
        <v/>
      </c>
      <c r="AP538" s="699" t="str">
        <f t="shared" ref="AP538" si="9816">_xlfn.CONCAT(AR538,AS538)</f>
        <v/>
      </c>
      <c r="AQ538" s="700" t="str">
        <f t="shared" si="8985"/>
        <v/>
      </c>
      <c r="AR538" s="160" t="str">
        <f t="shared" si="8745"/>
        <v/>
      </c>
      <c r="AS538" s="160" t="str">
        <f>IFERROR(VLOOKUP(J535, WallType,2,FALSE),"")</f>
        <v/>
      </c>
      <c r="AT538" s="707" t="str">
        <f>AL533</f>
        <v/>
      </c>
      <c r="AU538" s="708" t="e">
        <f t="shared" ca="1" si="9002"/>
        <v>#REF!</v>
      </c>
      <c r="AV538" s="709" t="str">
        <f ca="1">IFERROR(VLOOKUP(AU538,INDIRECT(AQ527),2,FALSE),"----")</f>
        <v>----</v>
      </c>
      <c r="AW538" s="710" t="e">
        <f t="shared" ca="1" si="9003"/>
        <v>#REF!</v>
      </c>
      <c r="AX538" s="709" t="str">
        <f ca="1">IFERROR(VLOOKUP(AW538,INDIRECT(AQ528),2,FALSE),"----")</f>
        <v>----</v>
      </c>
      <c r="AY538" s="710" t="e">
        <f t="shared" ca="1" si="9078"/>
        <v>#REF!</v>
      </c>
      <c r="AZ538" s="709" t="str">
        <f ca="1">IFERROR(VLOOKUP(AY538,INDIRECT(AQ529),2,FALSE),"----")</f>
        <v>----</v>
      </c>
      <c r="BA538" s="710" t="e">
        <f t="shared" ca="1" si="9079"/>
        <v>#REF!</v>
      </c>
      <c r="BB538" s="709" t="str">
        <f ca="1">IFERROR(VLOOKUP(BA538,INDIRECT(AQ530),2,FALSE),"----")</f>
        <v>----</v>
      </c>
      <c r="BC538" s="710" t="e">
        <f t="shared" ca="1" si="9006"/>
        <v>#REF!</v>
      </c>
      <c r="BD538" s="709" t="str">
        <f ca="1">IFERROR(VLOOKUP(BC538,INDIRECT(AQ531),2,FALSE),"----")</f>
        <v>----</v>
      </c>
      <c r="BE538" s="710" t="e">
        <f t="shared" ca="1" si="9007"/>
        <v>#REF!</v>
      </c>
      <c r="BF538" s="709" t="str">
        <f ca="1">IFERROR(VLOOKUP(BE538,INDIRECT(AQ532),2,FALSE),"----")</f>
        <v>----</v>
      </c>
      <c r="BG538" s="710" t="e">
        <f t="shared" ca="1" si="9008"/>
        <v>#REF!</v>
      </c>
      <c r="BH538" s="711" t="str">
        <f ca="1">IFERROR(VLOOKUP(BG538,INDIRECT(AQ533),2,FALSE),"----")</f>
        <v>----</v>
      </c>
      <c r="BI538" s="710" t="e">
        <f t="shared" ca="1" si="9009"/>
        <v>#REF!</v>
      </c>
      <c r="BJ538" s="711" t="str">
        <f ca="1">IFERROR(VLOOKUP(BI538,INDIRECT(AQ534),2,FALSE),"----")</f>
        <v>----</v>
      </c>
      <c r="BK538" s="710" t="e">
        <f t="shared" ca="1" si="9010"/>
        <v>#REF!</v>
      </c>
      <c r="BL538" s="711" t="str">
        <f ca="1">IFERROR(VLOOKUP(BK538,INDIRECT(AQ535),2,FALSE),"----")</f>
        <v>----</v>
      </c>
      <c r="BM538" s="710" t="e">
        <f t="shared" ca="1" si="9011"/>
        <v>#REF!</v>
      </c>
      <c r="BN538" s="711" t="str">
        <f ca="1">IFERROR(VLOOKUP(BM538,INDIRECT(AQ536),2,FALSE),"----")</f>
        <v>----</v>
      </c>
      <c r="BO538" s="710" t="e">
        <f t="shared" ca="1" si="9012"/>
        <v>#REF!</v>
      </c>
      <c r="BP538" s="711" t="str">
        <f ca="1">IFERROR(VLOOKUP(BO538,INDIRECT(AQ537),2,FALSE),"----")</f>
        <v>----</v>
      </c>
      <c r="BQ538" s="710" t="e">
        <f t="shared" ca="1" si="9013"/>
        <v>#REF!</v>
      </c>
      <c r="BR538" s="712" t="str">
        <f ca="1">IFERROR(VLOOKUP(BQ538,INDIRECT(AQ538),2,FALSE),"----")</f>
        <v>----</v>
      </c>
      <c r="BS538" s="695">
        <f>IF(AI538="",1,IF(COUNTIF(BR527:BR538,AI538)=0,2,1))</f>
        <v>1</v>
      </c>
      <c r="BT538" s="713">
        <f>IF(AF538="",1,IF(BR527=".",2,1))</f>
        <v>1</v>
      </c>
      <c r="BV538" s="155">
        <f ca="1">IF(COUNTIF(EH527:EH538,AF538)=0,IF(AF538&lt;&gt;"",0,1),1)</f>
        <v>1</v>
      </c>
      <c r="BW538" s="157">
        <f ca="1">IFERROR(MATCH(AF538,EH527:EH538,0),1)</f>
        <v>1</v>
      </c>
      <c r="BX538" s="718"/>
      <c r="BY538" s="777"/>
      <c r="BZ538" s="1110"/>
      <c r="CA538" s="714" t="e">
        <f t="shared" ca="1" si="9641"/>
        <v>#REF!</v>
      </c>
      <c r="CB538" s="715" t="e" cm="1">
        <f t="array" aca="1" ref="CB538" ca="1">IF(AND(INDEX(INDIRECT(BY527),CA538,4)&gt;=$AB527,INDEX(INDIRECT(BY527),CA538,5)&gt;=$S527,INDEX(INDIRECT(BY527),CA538,6)&gt;=$R527),1,0)</f>
        <v>#REF!</v>
      </c>
      <c r="CC538" s="715" t="e">
        <f t="shared" ref="CC538" ca="1" si="9817">MATCH(1,OFFSET(CB527:CB538,CD537,0,COUNT(CB527:CB538)-CD537),0)</f>
        <v>#REF!</v>
      </c>
      <c r="CD538" s="715" t="e">
        <f t="shared" ca="1" si="9643"/>
        <v>#REF!</v>
      </c>
      <c r="CE538" s="716" t="str" cm="1">
        <f t="array" aca="1" ref="CE538" ca="1">IFERROR(VLOOKUP(INDEX(CA527:CA538,CD538),INDIRECT(BY527),2,FALSE),"----")</f>
        <v>----</v>
      </c>
      <c r="CF538" s="714" t="e">
        <f t="shared" ca="1" si="9644"/>
        <v>#N/A</v>
      </c>
      <c r="CG538" s="715" t="e">
        <f ca="1">IF(AND(INDEX(SSM,CF538,4)&gt;=$AB527,INDEX(SSM,CF538,5)&gt;=$S527,INDEX(SSM,CF538,6)&gt;=$R527),1,0)</f>
        <v>#N/A</v>
      </c>
      <c r="CH538" s="715" t="e">
        <f t="shared" ref="CH538" ca="1" si="9818">MATCH(1,OFFSET(CG527:CG538,CI537,0,COUNT(CG527:CG538)-CI537),0)</f>
        <v>#REF!</v>
      </c>
      <c r="CI538" s="715" t="e">
        <f t="shared" ca="1" si="9646"/>
        <v>#REF!</v>
      </c>
      <c r="CJ538" s="716" t="str">
        <f ca="1">IFERROR(IF(AD528="Nested Steel Stud (wood infill)",VLOOKUP(INDEX(CF527:CF538,CI538),SSW,2,FALSE),VLOOKUP(INDEX(CF527:CF538,CI538),SSM,2,FALSE)),"----")</f>
        <v>----</v>
      </c>
      <c r="CK538" s="714" t="e">
        <f t="shared" ca="1" si="9647"/>
        <v>#N/A</v>
      </c>
      <c r="CL538" s="715" t="e">
        <f ca="1">IF(AND(INDEX(WSM,CK538,4)&gt;=$AB527,INDEX(WSM,CK538,5)&gt;=$S527,INDEX(WSM,CK538,6)&gt;=$R527),1,0)</f>
        <v>#N/A</v>
      </c>
      <c r="CM538" s="715" t="e">
        <f t="shared" ref="CM538" ca="1" si="9819">MATCH(1,OFFSET(CL527:CL538,CN537,0,COUNT(CL527:CL538)-CN537),0)</f>
        <v>#REF!</v>
      </c>
      <c r="CN538" s="715" t="e">
        <f t="shared" ca="1" si="9649"/>
        <v>#REF!</v>
      </c>
      <c r="CO538" s="716" t="str">
        <f ca="1">IFERROR(VLOOKUP(INDEX(CK527:CK538,CN538),WSM,2,FALSE),"----")</f>
        <v>----</v>
      </c>
      <c r="CP538" s="714" t="e">
        <f t="shared" ca="1" si="9650"/>
        <v>#N/A</v>
      </c>
      <c r="CQ538" s="715" t="e">
        <f ca="1">IF(AND(INDEX(STM,CP538,4)&gt;=$AB527,INDEX(STM,CP538,5)&gt;=$S527,INDEX(STM,CP538,6)&gt;=$R527),1,0)</f>
        <v>#N/A</v>
      </c>
      <c r="CR538" s="715" t="e">
        <f t="shared" ref="CR538" ca="1" si="9820">MATCH(1,OFFSET(CQ527:CQ538,CS537,0,COUNT(CQ527:CQ538)-CS537),0)</f>
        <v>#REF!</v>
      </c>
      <c r="CS538" s="715" t="e">
        <f t="shared" ca="1" si="9652"/>
        <v>#REF!</v>
      </c>
      <c r="CT538" s="716" t="str">
        <f ca="1">IFERROR(VLOOKUP(INDEX(CP527:CP538,CS538),STM,2,FALSE),"----")</f>
        <v>----</v>
      </c>
      <c r="CU538" s="714" t="e">
        <f t="shared" ca="1" si="9653"/>
        <v>#N/A</v>
      </c>
      <c r="CV538" s="715" t="e">
        <f ca="1">IF(AND(INDEX(ELM,CU538,4)&gt;=$AB527,INDEX(ELM,CU538,5)&gt;=$S527,INDEX(ELM,CU538,6)&gt;=$R527),1,0)</f>
        <v>#N/A</v>
      </c>
      <c r="CW538" s="715" t="e">
        <f t="shared" ref="CW538" ca="1" si="9821">MATCH(1,OFFSET(CV527:CV538,CX537,0,COUNT(CV527:CV538)-CX537),0)</f>
        <v>#REF!</v>
      </c>
      <c r="CX538" s="715" t="e">
        <f t="shared" ca="1" si="9655"/>
        <v>#REF!</v>
      </c>
      <c r="CY538" s="716" t="str">
        <f ca="1">IFERROR(VLOOKUP(INDEX(CU527:CU538,CX538),ELM,2,FALSE),"----")</f>
        <v>----</v>
      </c>
      <c r="CZ538" s="714" t="e">
        <f t="shared" ca="1" si="9656"/>
        <v>#N/A</v>
      </c>
      <c r="DA538" s="715" t="e">
        <f ca="1">IF(LEFT($J527,7)="Clad Wo",IF(AND(INDEX(SPPWS,CZ538,4)&gt;=$AB527,INDEX(SPPWS,CZ538,5)&gt;=$S527,INDEX(SPPWS,CZ538,6)&gt;=$R527),1,0),IF(AND(INDEX(SPM,CZ538,4)&gt;=$AB527,INDEX(SPM,CZ538,5)&gt;=$S527,INDEX(SPM,CZ538,6)&gt;=$R527),1,0))</f>
        <v>#N/A</v>
      </c>
      <c r="DB538" s="715" t="e">
        <f t="shared" ref="DB538" ca="1" si="9822">MATCH(1,OFFSET(DA527:DA538,DC537,0,COUNT(DA527:DA538)-DC537),0)</f>
        <v>#REF!</v>
      </c>
      <c r="DC538" s="715" t="e">
        <f t="shared" ca="1" si="9658"/>
        <v>#REF!</v>
      </c>
      <c r="DD538" s="717" t="str">
        <f ca="1">IF(LEFT($J527,7)="Clad Wo",IFERROR(VLOOKUP(INDEX(CZ527:CZ538,DC538),SPPWS,2,FALSE),"----"),IFERROR(VLOOKUP(INDEX(CZ527:CZ538,DC538),SPM,2,FALSE),"----"))</f>
        <v>----</v>
      </c>
      <c r="DE538" s="714" t="e">
        <f t="shared" ca="1" si="9659"/>
        <v>#REF!</v>
      </c>
      <c r="DF538" s="715" t="e" cm="1">
        <f t="array" aca="1" ref="DF538" ca="1">IF(AND(INDEX(INDIRECT(BY527),DE538,4)&gt;=$AB533,INDEX(INDIRECT(BY527),DE538,5)&gt;=$S527,INDEX(INDIRECT(BY527),DE538,6)&gt;=$R527),1,0)</f>
        <v>#REF!</v>
      </c>
      <c r="DG538" s="715" t="e">
        <f t="shared" ref="DG538" ca="1" si="9823">MATCH(1,OFFSET(DF527:DF538,DH537,0,COUNT(DF527:DF538)-DH537),0)</f>
        <v>#REF!</v>
      </c>
      <c r="DH538" s="715" t="e">
        <f t="shared" ca="1" si="9661"/>
        <v>#REF!</v>
      </c>
      <c r="DI538" s="716" t="str" cm="1">
        <f t="array" aca="1" ref="DI538" ca="1">IFERROR(VLOOKUP(INDEX(DE527:DE538,DH538),INDIRECT(BY527),2,FALSE),"----")</f>
        <v>----</v>
      </c>
      <c r="DJ538" s="714" t="e">
        <f t="shared" ca="1" si="9662"/>
        <v>#N/A</v>
      </c>
      <c r="DK538" s="715" t="e">
        <f ca="1">IF(AND(INDEX(SSM,DJ538,4)&gt;=$AB533,INDEX(SSM,DJ538,5)&gt;=$S527,INDEX(SSM,DJ538,6)&gt;=$R527),1,0)</f>
        <v>#N/A</v>
      </c>
      <c r="DL538" s="715" t="e">
        <f t="shared" ref="DL538" ca="1" si="9824">MATCH(1,OFFSET(DK527:DK538,DM537,0,COUNT(DK527:DK538)-DM537),0)</f>
        <v>#REF!</v>
      </c>
      <c r="DM538" s="715" t="e">
        <f t="shared" ca="1" si="9664"/>
        <v>#REF!</v>
      </c>
      <c r="DN538" s="716" t="str">
        <f ca="1">IFERROR(IF(AD534="Nested Steel Stud (wood infill)",VLOOKUP(INDEX(DJ527:DJ538,DM538),SSW,2,FALSE),VLOOKUP(INDEX(DJ527:DJ538,DM538),SSM,2,FALSE)),"----")</f>
        <v>----</v>
      </c>
      <c r="DO538" s="714" t="e">
        <f t="shared" ca="1" si="9665"/>
        <v>#N/A</v>
      </c>
      <c r="DP538" s="715" t="e">
        <f ca="1">IF(AND(INDEX(WSM,DO538,4)&gt;=$AB533,INDEX(WSM,DO538,5)&gt;=$S527,INDEX(WSM,DO538,6)&gt;=$R527),1,0)</f>
        <v>#N/A</v>
      </c>
      <c r="DQ538" s="715" t="e">
        <f t="shared" ref="DQ538" ca="1" si="9825">MATCH(1,OFFSET(DP527:DP538,DR537,0,COUNT(DP527:DP538)-DR537),0)</f>
        <v>#REF!</v>
      </c>
      <c r="DR538" s="715" t="e">
        <f t="shared" ca="1" si="9667"/>
        <v>#REF!</v>
      </c>
      <c r="DS538" s="716" t="str">
        <f ca="1">IFERROR(VLOOKUP(INDEX(DO527:DO538,DR538),WSM,2,FALSE),"----")</f>
        <v>----</v>
      </c>
      <c r="DT538" s="714" t="e">
        <f t="shared" ca="1" si="9668"/>
        <v>#N/A</v>
      </c>
      <c r="DU538" s="715" t="e">
        <f ca="1">IF(AND(INDEX(STM,DT538,4)&gt;=$AB533,INDEX(STM,DT538,5)&gt;=$S527,INDEX(STM,DT538,6)&gt;=$R527),1,0)</f>
        <v>#N/A</v>
      </c>
      <c r="DV538" s="715" t="e">
        <f t="shared" ref="DV538" ca="1" si="9826">MATCH(1,OFFSET(DU527:DU538,DW537,0,COUNT(DU527:DU538)-DW537),0)</f>
        <v>#REF!</v>
      </c>
      <c r="DW538" s="715" t="e">
        <f t="shared" ca="1" si="9670"/>
        <v>#REF!</v>
      </c>
      <c r="DX538" s="716" t="str">
        <f ca="1">IFERROR(VLOOKUP(INDEX(DT527:DT538,DW538),STM,2,FALSE),"----")</f>
        <v>----</v>
      </c>
      <c r="DY538" s="714" t="e">
        <f t="shared" ca="1" si="9671"/>
        <v>#N/A</v>
      </c>
      <c r="DZ538" s="715" t="e">
        <f ca="1">IF(AND(INDEX(ELM,DY538,4)&gt;=$AB533,INDEX(ELM,DY538,5)&gt;=$S527,INDEX(ELM,DY538,6)&gt;=$R527),1,0)</f>
        <v>#N/A</v>
      </c>
      <c r="EA538" s="715" t="e">
        <f t="shared" ref="EA538" ca="1" si="9827">MATCH(1,OFFSET(DZ527:DZ538,EB537,0,COUNT(DZ527:DZ538)-EB537),0)</f>
        <v>#REF!</v>
      </c>
      <c r="EB538" s="715" t="e">
        <f t="shared" ca="1" si="9673"/>
        <v>#REF!</v>
      </c>
      <c r="EC538" s="716" t="str">
        <f ca="1">IFERROR(VLOOKUP(INDEX(DY527:DY538,EB538),ELM,2,FALSE),"----")</f>
        <v>----</v>
      </c>
      <c r="ED538" s="714" t="e">
        <f t="shared" ca="1" si="9674"/>
        <v>#N/A</v>
      </c>
      <c r="EE538" s="715" t="e">
        <f ca="1">IF(LEFT($J527,7)="Clad Wo",IF(AND(INDEX(SPPWS,ED538,4)&gt;=$AB533,INDEX(SPPWS,ED538,5)&gt;=$S527,INDEX(SPPWS,ED538,6)&gt;=$R527),1,0),IF(AND(INDEX(SPM,ED538,4)&gt;=$AB533,INDEX(SPM,ED538,5)&gt;=$S527,INDEX(SPM,ED538,6)&gt;=$R527),1,0))</f>
        <v>#N/A</v>
      </c>
      <c r="EF538" s="715" t="e">
        <f t="shared" ref="EF538" ca="1" si="9828">MATCH(1,OFFSET(EE527:EE538,EG537,0,COUNT(EE527:EE538)-EG537),0)</f>
        <v>#REF!</v>
      </c>
      <c r="EG538" s="715" t="e">
        <f t="shared" ca="1" si="9676"/>
        <v>#REF!</v>
      </c>
      <c r="EH538" s="716" t="str">
        <f ca="1">IF(LEFT($J527,7)="Clad Wo",IFERROR(VLOOKUP(INDEX(ED527:ED538,EG538),SPPWS,2,FALSE),"----"),IFERROR(VLOOKUP(INDEX(ED527:ED538,EG538),SPM,2,FALSE),"----"))</f>
        <v>----</v>
      </c>
    </row>
    <row r="539" spans="1:138" ht="15" customHeight="1" thickTop="1" x14ac:dyDescent="0.25">
      <c r="A539" s="1085"/>
      <c r="B539" s="931" t="s">
        <v>92</v>
      </c>
      <c r="C539" s="932"/>
      <c r="D539" s="933"/>
      <c r="E539" s="992"/>
      <c r="F539" s="993"/>
      <c r="G539" s="994"/>
      <c r="H539" s="1061"/>
      <c r="I539" s="989"/>
      <c r="J539" s="906"/>
      <c r="K539" s="907"/>
      <c r="L539" s="1001">
        <f>$W$3</f>
        <v>4</v>
      </c>
      <c r="M539" s="923" t="str">
        <f t="shared" ref="M539" si="9829">IFERROR(IF($AE$13="",IF($AG$19="Wind Loading",MIN($V$31,IF(E$11="ASCE 7-05",$U$26,$V$7)*$V$9*(IF($E$12&lt;60,0.0771*LN(MAX(MIN(500,O539),10)) -1.2737,IF($E$11="ASCE 7-22",0.0524*LN(MAX(MIN(500,O539),50))-1.0278,0.0614*LN(MAX(MIN(500,O539),20)) -1.0829))-$V$8)),$V$7*IF(E$12&lt;60,$V$13*($V$15*0.0771*LN(MAX(MIN(500,O539),10))-1.2737-$V$16),$V$13*$V$15*((0.0524*LN(MAX(MIN(500,O539),20))-1.0278)-$V$16))),-ABS($AE$13)),"")</f>
        <v/>
      </c>
      <c r="N539" s="1042" t="str">
        <f t="shared" ref="N539" si="9830">IFERROR(IF($AE$15="",IF($AG$19="Wind Loading",MAX($U$31,IF(E$11="ASCE 7-05",$U$26,$V$7)*$V$9*((IF($E$12&lt;60,-0.077*LN(MAX(MIN(500,O539),10))+1.1737,IF($E$11="ASCE 7-22",-0.077*LN(MAX(MIN(500,O539),20))+1.0798,-0.093*LN(MAX(MIN(500,O539),20))+1.1776)))+$V$8)),$V$7*IF(E$12&lt;60,$V$13*($V$15*(-0.077*LN(MAX(MIN(500,O539),10))+1.1737)-$V$17),$V$13*$V$15*((-0.077*LN(MAX(MIN(500,O539),20))+1.0798)-$V$17))),ABS($AE$15)),"")</f>
        <v/>
      </c>
      <c r="O539" s="1017" t="str">
        <f>IF(BX546=0,"",IF(AG$14="Trapezoidal",BY546,BX546))</f>
        <v/>
      </c>
      <c r="P539" s="986"/>
      <c r="Q539" s="1014"/>
      <c r="R539" s="1011">
        <f>P539*Q539/8</f>
        <v>0</v>
      </c>
      <c r="S539" s="1004">
        <f t="shared" ref="S539" si="9831">IF(5*(P539*Q539^3/(384*0.125))=0,0,5*(P539*Q539^3/(384*0.125)))</f>
        <v>0</v>
      </c>
      <c r="T539" s="1005"/>
      <c r="U539" s="877" t="e">
        <f ca="1">VLOOKUP(J543,INDIRECT(VLOOKUP(J539,FrameStrength,2,FALSE)),3,FALSE)</f>
        <v>#N/A</v>
      </c>
      <c r="V539" s="880">
        <f t="shared" ref="V539" si="9832">(H539+I539)/2</f>
        <v>0</v>
      </c>
      <c r="W539" s="883" t="e">
        <f t="shared" ref="W539" si="9833">MAX(-M539,N539)*O539</f>
        <v>#VALUE!</v>
      </c>
      <c r="X539" s="883">
        <f t="shared" ref="X539" si="9834">IF(E539&gt;162,(E539/240+0.25),IF(AND(E539&lt;162,E539/175&lt;0.75),E539/175,0.75))</f>
        <v>0</v>
      </c>
      <c r="Y539" s="886">
        <f>IFERROR(IF(AG$14="Trapezoidal",BY547,BX547)+IF($E$17="4",(400*E539^3)/(48*X539),0),0)</f>
        <v>0</v>
      </c>
      <c r="Z539" s="886" t="e">
        <f t="shared" ref="Z539" si="9835">+($V539*MAX(-$M539,$N539)*$E539^2)/(144*8)+IF($E$17=4,(400*$E539)/4,0)</f>
        <v>#VALUE!</v>
      </c>
      <c r="AA539" s="886" t="e">
        <f ca="1">VLOOKUP(J543,INDIRECT(VLOOKUP(J539,FrameStrength,2,FALSE)),2,FALSE)</f>
        <v>#N/A</v>
      </c>
      <c r="AB539" s="1083" t="str">
        <f t="shared" ref="AB539" ca="1" si="9836">IFERROR(Z539-AA539,"")</f>
        <v/>
      </c>
      <c r="AC539" s="1077" t="str">
        <f t="shared" ref="AC539" ca="1" si="9837">IFERROR(Y539-U539,"")</f>
        <v/>
      </c>
      <c r="AD539" s="1100" t="str">
        <f>IFERROR(IF(LEFT(J543,2)="As",VLOOKUP(J543,EIMM,4,FALSE),VLOOKUP(J539,EIMM,4,FALSE)),IF(AND(ISNUMBER(SEARCH("Impervia",J539)),ISNUMBER(SEARCH("door",J543))),'New Lookup Cells'!AF$10,IF(ISNUMBER(SEARCH("Impervia",J539)),'New Lookup Cells'!AF$7,IF(AND(ISNUMBER(SEARCH("250",J539)),ISNUMBER(SEARCH("door",J543))),'New Lookup Cells'!AF$14,IF(ISNUMBER(SEARCH("250",J539)),'New Lookup Cells'!AF$13,"")))))</f>
        <v/>
      </c>
      <c r="AE539" s="1101"/>
      <c r="AF539" s="1050"/>
      <c r="AG539" s="1051"/>
      <c r="AH539" s="1051"/>
      <c r="AI539" s="1088"/>
      <c r="AJ539" s="1089"/>
      <c r="AK539" s="154" t="str">
        <f t="shared" ca="1" si="8761"/>
        <v/>
      </c>
      <c r="AL539" s="1038" t="str">
        <f t="shared" ref="AL539" si="9838">IFERROR(ROUND(SQRT(P539^2+(W539/2+IF($E$17=4,200,0))^2),0),"")</f>
        <v/>
      </c>
      <c r="AM539" s="342" t="s">
        <v>669</v>
      </c>
      <c r="AN539" t="str">
        <f t="shared" ca="1" si="8785"/>
        <v/>
      </c>
      <c r="AP539" s="122" t="str">
        <f t="shared" ref="AP539" si="9839">_xlfn.CONCAT(AR539,AS544)</f>
        <v/>
      </c>
      <c r="AQ539" s="683" t="str">
        <f t="shared" si="8985"/>
        <v/>
      </c>
      <c r="AR539" s="96" t="str">
        <f t="shared" si="8745"/>
        <v/>
      </c>
      <c r="AS539" s="96" t="str">
        <f>IF(COUNTIF(imp_1,AF539)=1,"imp_1",IF(COUNTIF(imp_2,AF539)=1,"imp_2",IF(COUNTIF(imp_3,AF539)=1,"imp_3",IF(COUNTIF(impdoor,AF539)=1,"impdoor",""))))</f>
        <v/>
      </c>
      <c r="AT539" s="684" t="str">
        <f>AL539</f>
        <v/>
      </c>
      <c r="AU539" s="685" t="e">
        <f ca="1">MATCH(AL539,INDIRECT(AP539),-1)</f>
        <v>#REF!</v>
      </c>
      <c r="AV539" s="686" t="str">
        <f ca="1">IFERROR(VLOOKUP(AU539,INDIRECT(AQ539),2,FALSE),"----")</f>
        <v>----</v>
      </c>
      <c r="AW539" s="685" t="e">
        <f ca="1">MATCH(AL539,INDIRECT(AP540),-1)</f>
        <v>#REF!</v>
      </c>
      <c r="AX539" s="686" t="str">
        <f ca="1">IFERROR(VLOOKUP(AW539,INDIRECT(AQ540),2,FALSE),"----")</f>
        <v>----</v>
      </c>
      <c r="AY539" s="685" t="e">
        <f ca="1">MATCH(AL539,INDIRECT(AP541),-1)</f>
        <v>#REF!</v>
      </c>
      <c r="AZ539" s="686" t="str">
        <f ca="1">IFERROR(VLOOKUP(AY539,INDIRECT(AQ541),2,FALSE),"----")</f>
        <v>----</v>
      </c>
      <c r="BA539" s="685" t="e">
        <f ca="1">MATCH(AL539,INDIRECT(AP542),-1)</f>
        <v>#REF!</v>
      </c>
      <c r="BB539" s="686" t="str">
        <f ca="1">IFERROR(VLOOKUP(BA539,INDIRECT(AQ542),2,FALSE),"----")</f>
        <v>----</v>
      </c>
      <c r="BC539" s="685" t="e">
        <f ca="1">MATCH(AL539,INDIRECT(AP543),-1)</f>
        <v>#REF!</v>
      </c>
      <c r="BD539" s="686" t="str">
        <f ca="1">IFERROR(VLOOKUP(BC539,INDIRECT(AQ543),2,FALSE),"----")</f>
        <v>----</v>
      </c>
      <c r="BE539" s="685" t="e">
        <f ca="1">MATCH(AL539,INDIRECT(AP544),-1)</f>
        <v>#REF!</v>
      </c>
      <c r="BF539" s="686" t="str">
        <f ca="1">IFERROR(VLOOKUP(BE539,INDIRECT(AQ544),2,FALSE),"----")</f>
        <v>----</v>
      </c>
      <c r="BG539" s="685" t="e">
        <f ca="1">MATCH(AL545,INDIRECT(AP545),-1)</f>
        <v>#REF!</v>
      </c>
      <c r="BH539" s="686" t="str">
        <f ca="1">IFERROR(VLOOKUP(BG539,INDIRECT(AQ545),2,FALSE),"----")</f>
        <v>----</v>
      </c>
      <c r="BI539" s="685" t="e">
        <f ca="1">MATCH(AL545,INDIRECT(AP546),-1)</f>
        <v>#REF!</v>
      </c>
      <c r="BJ539" s="686" t="str">
        <f ca="1">IFERROR(VLOOKUP(BI539,INDIRECT(AQ546),2,FALSE),"----")</f>
        <v>----</v>
      </c>
      <c r="BK539" s="685" t="e">
        <f ca="1">MATCH(AL545,INDIRECT(AP547),-1)</f>
        <v>#REF!</v>
      </c>
      <c r="BL539" s="686" t="str">
        <f ca="1">IFERROR(VLOOKUP(BK539,INDIRECT(AQ547),2,FALSE),"----")</f>
        <v>----</v>
      </c>
      <c r="BM539" s="685" t="e">
        <f ca="1">MATCH(AL545,INDIRECT(AP548),-1)</f>
        <v>#REF!</v>
      </c>
      <c r="BN539" s="686" t="str">
        <f ca="1">IFERROR(VLOOKUP(BM539,INDIRECT(AQ548),2,FALSE),"----")</f>
        <v>----</v>
      </c>
      <c r="BO539" s="685" t="e">
        <f ca="1">MATCH(AL545,INDIRECT(AP549),-1)</f>
        <v>#REF!</v>
      </c>
      <c r="BP539" s="686" t="str">
        <f ca="1">IFERROR(VLOOKUP(BO539,INDIRECT(AQ549),2,FALSE),"----")</f>
        <v>----</v>
      </c>
      <c r="BQ539" s="685" t="e">
        <f ca="1">MATCH(AL545,INDIRECT(AP550),-1)</f>
        <v>#REF!</v>
      </c>
      <c r="BR539" s="686" t="str">
        <f ca="1">IFERROR(VLOOKUP(BQ539,INDIRECT(AQ550),2,FALSE),"----")</f>
        <v>----</v>
      </c>
      <c r="BS539" s="687">
        <f>IF(AI539="",1,IF(COUNTIF(AV539:AV550,AI539)=0,2,1))</f>
        <v>1</v>
      </c>
      <c r="BT539" s="688">
        <f>IF(AP539="1",1,IF(AF539="",1,IF(AV539=".",2,1)))</f>
        <v>1</v>
      </c>
      <c r="BU539" s="706"/>
      <c r="BV539" s="155">
        <f ca="1">IF(COUNTIF(CE539:CE550,AF539)=0,IF(AF539&lt;&gt;"",0,1),1)</f>
        <v>1</v>
      </c>
      <c r="BW539" s="157">
        <f ca="1">IFERROR(MATCH(AF539,CE539:CE550,0),1)</f>
        <v>1</v>
      </c>
      <c r="BX539" s="769" t="str">
        <f>IFERROR(IF(LEFT(J543,2)="As",VLOOKUP(J543,EIMM,2,FALSE),IF(AND(ISNUMBER(SEARCH("Impervia",J539)),ISNUMBER(SEARCH("door",J543))),VLOOKUP("Impervia Door",EIMM,2,FALSE),IF(AND(ISNUMBER(SEARCH("250",J539)),ISNUMBER(SEARCH("door",J543))),VLOOKUP("250 Series Door",EIMM,2,FALSE),VLOOKUP(J539,EIMM,2,FALSE)))),"")</f>
        <v/>
      </c>
      <c r="BY539" s="769" t="str">
        <f ca="1">IFERROR(VLOOKUP(BX539,OFFSET(EIMM,0,1),2,FALSE),"")</f>
        <v/>
      </c>
      <c r="BZ539" s="1110" t="e">
        <f ca="1">IF((COUNTIF(INDIRECT(SUBSTITUTE(J539," ","_")),J543))=0,IF(J543="",1,0),1)</f>
        <v>#REF!</v>
      </c>
      <c r="CA539" s="691" t="e">
        <f ca="1">MATCH(AC539,INDIRECT(BX539),-1)</f>
        <v>#REF!</v>
      </c>
      <c r="CB539" s="4" t="e" cm="1">
        <f t="array" aca="1" ref="CB539" ca="1">IF(AND(INDEX(INDIRECT(BY539),CA539,4)&gt;=$AB539,INDEX(INDIRECT(BY539),CA539,5)&gt;=$S539,INDEX(INDIRECT(BY539),CA539,6)&gt;=$R539),1,0)</f>
        <v>#REF!</v>
      </c>
      <c r="CC539" s="4" t="e">
        <f t="shared" ref="CC539" ca="1" si="9840">MATCH(1,OFFSET(CB539:CB550,$W$2,0,COUNT(CB539:CB550)-$W$2),0)</f>
        <v>#REF!</v>
      </c>
      <c r="CD539" s="4" t="e">
        <f t="shared" ref="CD539" ca="1" si="9841">$W$2+CC539</f>
        <v>#REF!</v>
      </c>
      <c r="CE539" s="692" t="str" cm="1">
        <f t="array" aca="1" ref="CE539" ca="1">IFERROR(VLOOKUP(INDEX(CA539:CA550,CD539),INDIRECT(BY539),2,FALSE),"----")</f>
        <v>----</v>
      </c>
      <c r="CF539" s="691" t="e">
        <f ca="1">MATCH($AC539,SSEI,-1)</f>
        <v>#N/A</v>
      </c>
      <c r="CG539" s="4" t="e">
        <f ca="1">IF(AND(INDEX(SSM,CF539,4)&gt;=$AB539,INDEX(SSM,CF539,5)&gt;=$S539,INDEX(SSM,CF539,6)&gt;=$R539),1,0)</f>
        <v>#N/A</v>
      </c>
      <c r="CH539" s="4" t="e">
        <f t="shared" ref="CH539" ca="1" si="9842">MATCH(1,OFFSET(CG539:CG550,$W$2,0,COUNT(CG539:CG550)-$W$2),0)</f>
        <v>#REF!</v>
      </c>
      <c r="CI539" s="4" t="e">
        <f t="shared" ref="CI539" ca="1" si="9843">$W$2+CH539</f>
        <v>#REF!</v>
      </c>
      <c r="CJ539" s="692" t="str">
        <f ca="1">IFERROR(IF(AD540="Nested Steel Stud (wood infill)",VLOOKUP(INDEX(CF539:CF550,CI539),SSW,2,FALSE),VLOOKUP(INDEX(CF539:CF550,CI539),SSM,2,FALSE)),"----")</f>
        <v>----</v>
      </c>
      <c r="CK539" s="691" t="e">
        <f ca="1">MATCH($AC539,WSEI,-1)</f>
        <v>#N/A</v>
      </c>
      <c r="CL539" s="4" t="e">
        <f ca="1">IF(AND(INDEX(WSM,CK539,4)&gt;=$AB539,INDEX(WSM,CK539,5)&gt;=$S539,INDEX(WSM,CK539,6)&gt;=$R539),1,0)</f>
        <v>#N/A</v>
      </c>
      <c r="CM539" s="4" t="e">
        <f t="shared" ref="CM539" ca="1" si="9844">MATCH(1,OFFSET(CL539:CL550,$W$2,0,COUNT(CL539:CL550)-$W$2),0)</f>
        <v>#REF!</v>
      </c>
      <c r="CN539" s="4" t="e">
        <f t="shared" ref="CN539" ca="1" si="9845">$W$2+CM539</f>
        <v>#REF!</v>
      </c>
      <c r="CO539" s="692" t="str">
        <f ca="1">IFERROR(VLOOKUP(INDEX(CK539:CK550,CN539),WSM,2,FALSE),"----")</f>
        <v>----</v>
      </c>
      <c r="CP539" s="691" t="e">
        <f ca="1">MATCH($AC539,STEI,-1)</f>
        <v>#N/A</v>
      </c>
      <c r="CQ539" s="4" t="e">
        <f ca="1">IF(AND(INDEX(STM,CP539,4)&gt;=$AB539,INDEX(STM,CP539,5)&gt;=$S539,INDEX(STM,CP539,6)&gt;=$R539),1,0)</f>
        <v>#N/A</v>
      </c>
      <c r="CR539" s="4" t="e">
        <f t="shared" ref="CR539" ca="1" si="9846">MATCH(1,OFFSET(CQ539:CQ550,$W$2,0,COUNT(CQ539:CQ550)-$W$2),0)</f>
        <v>#REF!</v>
      </c>
      <c r="CS539" s="4" t="e">
        <f t="shared" ref="CS539" ca="1" si="9847">$W$2+CR539</f>
        <v>#REF!</v>
      </c>
      <c r="CT539" s="692" t="str">
        <f ca="1">IFERROR(VLOOKUP(INDEX(CP539:CP550,CS539),STM,2,FALSE),"----")</f>
        <v>----</v>
      </c>
      <c r="CU539" s="691" t="e">
        <f ca="1">MATCH($AC539,ELEI,-1)</f>
        <v>#N/A</v>
      </c>
      <c r="CV539" s="4" t="e">
        <f ca="1">IF(AND(INDEX(ELM,CU539,4)&gt;=$AB539,INDEX(ELM,CU539,5)&gt;=$S539,INDEX(ELM,CU539,6)&gt;=$R539),1,0)</f>
        <v>#N/A</v>
      </c>
      <c r="CW539" s="4" t="e">
        <f t="shared" ref="CW539" ca="1" si="9848">MATCH(1,OFFSET(CV539:CV550,$W$2,0,COUNT(CV539:CV550)-$W$2),0)</f>
        <v>#REF!</v>
      </c>
      <c r="CX539" s="4" t="e">
        <f t="shared" ref="CX539" ca="1" si="9849">$W$2+CW539</f>
        <v>#REF!</v>
      </c>
      <c r="CY539" s="692" t="str">
        <f ca="1">IFERROR(VLOOKUP(INDEX(CU539:CU550,CX539),ELM,2,FALSE),"----")</f>
        <v>----</v>
      </c>
      <c r="CZ539" s="691" t="e">
        <f ca="1">IF(LEFT($J539,7)="Clad Wo",MATCH($AC539,SPEIW,-1),MATCH($AC539,SPEI,-1))</f>
        <v>#N/A</v>
      </c>
      <c r="DA539" s="4" t="e">
        <f ca="1">IF(LEFT($J539,7)="Clad Wo",IF(AND(INDEX(SPPWS,CZ539,4)&gt;=$AB539,INDEX(SPPWS,CZ539,5)&gt;=$S539,INDEX(SPPWS,CZ539,6)&gt;=$R539),1,0),IF(AND(INDEX(SPM,CZ539,4)&gt;=$AB539,INDEX(SPM,CZ539,5)&gt;=$S539,INDEX(SPM,CZ539,6)&gt;=$R539),1,0))</f>
        <v>#N/A</v>
      </c>
      <c r="DB539" s="4" t="e">
        <f t="shared" ref="DB539" ca="1" si="9850">MATCH(1,OFFSET(DA539:DA550,$W$2,0,COUNT(DA539:DA550)-$W$2),0)</f>
        <v>#REF!</v>
      </c>
      <c r="DC539" s="4" t="e">
        <f t="shared" ref="DC539" ca="1" si="9851">$W$2+DB539</f>
        <v>#REF!</v>
      </c>
      <c r="DD539" s="693" t="str">
        <f ca="1">IF(LEFT($J539,7)="Clad Wo",IFERROR(VLOOKUP(INDEX(CZ539:CZ550,DC539),SPPWS,2,FALSE),"----"),IFERROR(VLOOKUP(INDEX(CZ539:CZ550,DC539),SPM,2,FALSE),"----"))</f>
        <v>----</v>
      </c>
      <c r="DE539" s="691" t="e">
        <f ca="1">MATCH(AC545,INDIRECT(BX539),-1)</f>
        <v>#REF!</v>
      </c>
      <c r="DF539" s="4" t="e" cm="1">
        <f t="array" aca="1" ref="DF539" ca="1">IF(AND(INDEX(INDIRECT(BY539),DE539,4)&gt;=$AB545,INDEX(INDIRECT(BY539),DE539,5)&gt;=$S539,INDEX(INDIRECT(BY539),DE539,6)&gt;=$R539),1,0)</f>
        <v>#REF!</v>
      </c>
      <c r="DG539" s="4" t="e">
        <f t="shared" ref="DG539" ca="1" si="9852">MATCH(1,OFFSET(DF539:DF550,$W$2,0,COUNT(DF539:DF550)-$W$2),0)</f>
        <v>#REF!</v>
      </c>
      <c r="DH539" s="4" t="e">
        <f t="shared" ref="DH539" ca="1" si="9853">$W$2+DG539</f>
        <v>#REF!</v>
      </c>
      <c r="DI539" s="692" t="str" cm="1">
        <f t="array" aca="1" ref="DI539" ca="1">IFERROR(VLOOKUP(INDEX(DE539:DE550,DH539),INDIRECT(BY539),2,FALSE),"----")</f>
        <v>----</v>
      </c>
      <c r="DJ539" s="691" t="e">
        <f ca="1">MATCH($AC545,SSEI,-1)</f>
        <v>#N/A</v>
      </c>
      <c r="DK539" s="4" t="e">
        <f ca="1">IF(AND(INDEX(SSM,DJ539,4)&gt;=$AB545,INDEX(SSM,DJ539,5)&gt;=$S539,INDEX(SSM,DJ539,6)&gt;=$R539),1,0)</f>
        <v>#N/A</v>
      </c>
      <c r="DL539" s="4" t="e">
        <f t="shared" ref="DL539" ca="1" si="9854">MATCH(1,OFFSET(DK539:DK550,$W$2,0,COUNT(DK539:DK550)-$W$2),0)</f>
        <v>#REF!</v>
      </c>
      <c r="DM539" s="4" t="e">
        <f t="shared" ref="DM539" ca="1" si="9855">$W$2+DL539</f>
        <v>#REF!</v>
      </c>
      <c r="DN539" s="692" t="str">
        <f ca="1">IFERROR(IF(AD546="Nested Steel Stud (wood infill)",VLOOKUP(INDEX(DJ539:DJ550,DM539),SSW,2,FALSE),VLOOKUP(INDEX(DJ539:DJ550,DM539),SSM,2,FALSE)),"----")</f>
        <v>----</v>
      </c>
      <c r="DO539" s="691" t="e">
        <f ca="1">MATCH($AC545,WSEI,-1)</f>
        <v>#N/A</v>
      </c>
      <c r="DP539" s="4" t="e">
        <f ca="1">IF(AND(INDEX(WSM,DO539,4)&gt;=$AB545,INDEX(WSM,DO539,5)&gt;=$S539,INDEX(WSM,DO539,6)&gt;=$R539),1,0)</f>
        <v>#N/A</v>
      </c>
      <c r="DQ539" s="4" t="e">
        <f t="shared" ref="DQ539" ca="1" si="9856">MATCH(1,OFFSET(DP539:DP550,$W$2,0,COUNT(DP539:DP550)-$W$2),0)</f>
        <v>#REF!</v>
      </c>
      <c r="DR539" s="4" t="e">
        <f t="shared" ref="DR539" ca="1" si="9857">$W$2+DQ539</f>
        <v>#REF!</v>
      </c>
      <c r="DS539" s="692" t="str">
        <f ca="1">IFERROR(VLOOKUP(INDEX(DO539:DO550,DR539),WSM,2,FALSE),"----")</f>
        <v>----</v>
      </c>
      <c r="DT539" s="691" t="e">
        <f ca="1">MATCH($AC545,STEI,-1)</f>
        <v>#N/A</v>
      </c>
      <c r="DU539" s="4" t="e">
        <f ca="1">IF(AND(INDEX(STM,DT539,4)&gt;=$AB545,INDEX(STM,DT539,5)&gt;=$S539,INDEX(STM,DT539,6)&gt;=$R539),1,0)</f>
        <v>#N/A</v>
      </c>
      <c r="DV539" s="4" t="e">
        <f t="shared" ref="DV539" ca="1" si="9858">MATCH(1,OFFSET(DU539:DU550,$W$2,0,COUNT(DU539:DU550)-$W$2),0)</f>
        <v>#REF!</v>
      </c>
      <c r="DW539" s="4" t="e">
        <f t="shared" ref="DW539" ca="1" si="9859">$W$2+DV539</f>
        <v>#REF!</v>
      </c>
      <c r="DX539" s="692" t="str">
        <f ca="1">IFERROR(VLOOKUP(INDEX(DT539:DT550,DW539),STM,2,FALSE),"----")</f>
        <v>----</v>
      </c>
      <c r="DY539" s="691" t="e">
        <f ca="1">MATCH($AC545,ELEI,-1)</f>
        <v>#N/A</v>
      </c>
      <c r="DZ539" s="4" t="e">
        <f ca="1">IF(AND(INDEX(ELM,DY539,4)&gt;=$AB545,INDEX(ELM,DY539,5)&gt;=$S539,INDEX(ELM,DY539,6)&gt;=$R539),1,0)</f>
        <v>#N/A</v>
      </c>
      <c r="EA539" s="4" t="e">
        <f t="shared" ref="EA539" ca="1" si="9860">MATCH(1,OFFSET(DZ539:DZ550,$W$2,0,COUNT(DZ539:DZ550)-$W$2),0)</f>
        <v>#REF!</v>
      </c>
      <c r="EB539" s="4" t="e">
        <f t="shared" ref="EB539" ca="1" si="9861">EA539+$W$2</f>
        <v>#REF!</v>
      </c>
      <c r="EC539" s="692" t="str">
        <f ca="1">IFERROR(VLOOKUP(INDEX(DY539:DY550,EB539),ELM,2,FALSE),"----")</f>
        <v>----</v>
      </c>
      <c r="ED539" s="691" t="e">
        <f ca="1">IF(LEFT($J539,7)="Clad Wo",MATCH($AC545,SPEIW,-1),MATCH($AC545,SPEI,-1))</f>
        <v>#N/A</v>
      </c>
      <c r="EE539" s="4" t="e">
        <f ca="1">IF(LEFT($J539,7)="Clad Wo",IF(AND(INDEX(SPPWS,ED539,4)&gt;=$AB545,INDEX(SPPWS,ED539,5)&gt;=$S539,INDEX(SPPWS,ED539,6)&gt;=$R539),1,0),IF(AND(INDEX(SPM,ED539,4)&gt;=$AB545,INDEX(SPM,ED539,5)&gt;=$S539,INDEX(SPM,ED539,6)&gt;=$R539),1,0))</f>
        <v>#N/A</v>
      </c>
      <c r="EF539" s="4" t="e">
        <f t="shared" ref="EF539" ca="1" si="9862">MATCH(1,OFFSET(EE539:EE550,$W$2,0,COUNT(EE539:EE550)-$W$2),0)</f>
        <v>#REF!</v>
      </c>
      <c r="EG539" s="4" t="e">
        <f t="shared" ref="EG539" ca="1" si="9863">$W$2+EF539</f>
        <v>#REF!</v>
      </c>
      <c r="EH539" s="692" t="str">
        <f ca="1">IF(LEFT($J539,7)="Clad Wo",IFERROR(VLOOKUP(INDEX(ED539:ED550,EG539),SPPWS,2,FALSE),"----"),IFERROR(VLOOKUP(INDEX(ED539:ED550,EG539),SPM,2,FALSE),"----"))</f>
        <v>----</v>
      </c>
    </row>
    <row r="540" spans="1:138" ht="15" customHeight="1" x14ac:dyDescent="0.25">
      <c r="A540" s="1085"/>
      <c r="B540" s="925"/>
      <c r="C540" s="926"/>
      <c r="D540" s="927"/>
      <c r="E540" s="995"/>
      <c r="F540" s="996"/>
      <c r="G540" s="997"/>
      <c r="H540" s="1062"/>
      <c r="I540" s="990"/>
      <c r="J540" s="908"/>
      <c r="K540" s="909"/>
      <c r="L540" s="1002"/>
      <c r="M540" s="923"/>
      <c r="N540" s="1042"/>
      <c r="O540" s="1018"/>
      <c r="P540" s="987"/>
      <c r="Q540" s="1015"/>
      <c r="R540" s="1012"/>
      <c r="S540" s="1006"/>
      <c r="T540" s="1007"/>
      <c r="U540" s="878"/>
      <c r="V540" s="881"/>
      <c r="W540" s="884"/>
      <c r="X540" s="884"/>
      <c r="Y540" s="887"/>
      <c r="Z540" s="887"/>
      <c r="AA540" s="887"/>
      <c r="AB540" s="1081"/>
      <c r="AC540" s="1078"/>
      <c r="AD540" s="1102" t="s">
        <v>38</v>
      </c>
      <c r="AE540" s="1103"/>
      <c r="AF540" s="1052"/>
      <c r="AG540" s="1053"/>
      <c r="AH540" s="1053"/>
      <c r="AI540" s="1066"/>
      <c r="AJ540" s="1067"/>
      <c r="AK540" s="156" t="str">
        <f t="shared" ca="1" si="8761"/>
        <v/>
      </c>
      <c r="AL540" s="1039"/>
      <c r="AM540" s="343" t="str">
        <f ca="1">IFERROR(Q539/12*ROUND(VLOOKUP(AF540,OFFSET(SSM,0,1),6,FALSE),2),"")</f>
        <v/>
      </c>
      <c r="AN540" t="str">
        <f t="shared" ca="1" si="8785"/>
        <v/>
      </c>
      <c r="AP540" s="122" t="str">
        <f t="shared" ref="AP540" si="9864">_xlfn.CONCAT(AR540,AS544)</f>
        <v/>
      </c>
      <c r="AQ540" s="683" t="str">
        <f t="shared" si="8985"/>
        <v/>
      </c>
      <c r="AR540" s="96" t="str">
        <f t="shared" si="8745"/>
        <v/>
      </c>
      <c r="AS540" s="96" t="str">
        <f>IF(COUNTIF(Vista_1,AF539)=1,"Vista_1",IF(COUNTIF(Vista_2,AF539)=1,"Vista_2",""))</f>
        <v/>
      </c>
      <c r="AT540" s="684" t="str">
        <f>AL539</f>
        <v/>
      </c>
      <c r="AU540" s="694" t="e">
        <f t="shared" ref="AU540" ca="1" si="9865">AU539-1</f>
        <v>#REF!</v>
      </c>
      <c r="AV540" s="686" t="str">
        <f ca="1">IFERROR(VLOOKUP(AU540,INDIRECT(AQ539),2,FALSE),"----")</f>
        <v>----</v>
      </c>
      <c r="AW540" s="694" t="e">
        <f t="shared" ref="AW540:AW541" ca="1" si="9866">AW539-1</f>
        <v>#REF!</v>
      </c>
      <c r="AX540" s="686" t="str">
        <f ca="1">IFERROR(VLOOKUP(AW540,INDIRECT(AQ540),2,FALSE),"----")</f>
        <v>----</v>
      </c>
      <c r="AY540" s="694" t="e">
        <f t="shared" ref="AY540:AY541" ca="1" si="9867">AY539-1</f>
        <v>#REF!</v>
      </c>
      <c r="AZ540" s="686" t="str">
        <f ca="1">IFERROR(VLOOKUP(AY540,INDIRECT(AQ541),2,FALSE),"----")</f>
        <v>----</v>
      </c>
      <c r="BA540" s="694" t="e">
        <f t="shared" ref="BA540:BA541" ca="1" si="9868">BA539-1</f>
        <v>#REF!</v>
      </c>
      <c r="BB540" s="686" t="str">
        <f ca="1">IFERROR(VLOOKUP(BA540,INDIRECT(AQ542),2,FALSE),"----")</f>
        <v>----</v>
      </c>
      <c r="BC540" s="694" t="e">
        <f t="shared" ref="BC540:BC541" ca="1" si="9869">BC539-1</f>
        <v>#REF!</v>
      </c>
      <c r="BD540" s="686" t="str">
        <f ca="1">IFERROR(VLOOKUP(BC540,INDIRECT(AQ543),2,FALSE),"----")</f>
        <v>----</v>
      </c>
      <c r="BE540" s="694" t="e">
        <f t="shared" ref="BE540" ca="1" si="9870">BE539-1</f>
        <v>#REF!</v>
      </c>
      <c r="BF540" s="686" t="str">
        <f ca="1">IFERROR(VLOOKUP(BE540,INDIRECT(AQ544),2,FALSE),"----")</f>
        <v>----</v>
      </c>
      <c r="BG540" s="694" t="e">
        <f t="shared" ref="BG540" ca="1" si="9871">BG539-1</f>
        <v>#REF!</v>
      </c>
      <c r="BH540" s="686" t="str">
        <f ca="1">IFERROR(VLOOKUP(BG540,INDIRECT(AQ545),2,FALSE),"----")</f>
        <v>----</v>
      </c>
      <c r="BI540" s="694" t="e">
        <f t="shared" ref="BI540:BI541" ca="1" si="9872">BI539-1</f>
        <v>#REF!</v>
      </c>
      <c r="BJ540" s="686" t="str">
        <f ca="1">IFERROR(VLOOKUP(BI540,INDIRECT(AQ546),2,FALSE),"----")</f>
        <v>----</v>
      </c>
      <c r="BK540" s="694" t="e">
        <f t="shared" ref="BK540:BK541" ca="1" si="9873">BK539-1</f>
        <v>#REF!</v>
      </c>
      <c r="BL540" s="686" t="str">
        <f ca="1">IFERROR(VLOOKUP(BK540,INDIRECT(AQ547),2,FALSE),"----")</f>
        <v>----</v>
      </c>
      <c r="BM540" s="694" t="e">
        <f t="shared" ref="BM540:BM541" ca="1" si="9874">BM539-1</f>
        <v>#REF!</v>
      </c>
      <c r="BN540" s="686" t="str">
        <f ca="1">IFERROR(VLOOKUP(BM540,INDIRECT(AQ548),2,FALSE),"----")</f>
        <v>----</v>
      </c>
      <c r="BO540" s="694" t="e">
        <f t="shared" ref="BO540:BO541" ca="1" si="9875">BO539-1</f>
        <v>#REF!</v>
      </c>
      <c r="BP540" s="686" t="str">
        <f ca="1">IFERROR(VLOOKUP(BO540,INDIRECT(AQ549),2,FALSE),"----")</f>
        <v>----</v>
      </c>
      <c r="BQ540" s="694" t="e">
        <f t="shared" ref="BQ540" ca="1" si="9876">BQ539-1</f>
        <v>#REF!</v>
      </c>
      <c r="BR540" s="686" t="str">
        <f ca="1">IFERROR(VLOOKUP(BQ540,INDIRECT(AQ550),2,FALSE),"----")</f>
        <v>----</v>
      </c>
      <c r="BS540" s="695">
        <f>IF(AI540="",1,IF(COUNTIF(AX539:AX550,AI540)=0,2,1))</f>
        <v>1</v>
      </c>
      <c r="BT540" s="696">
        <f>IF(AF540="",1,IF(AX539=".",2,1))</f>
        <v>1</v>
      </c>
      <c r="BU540" s="706"/>
      <c r="BV540" s="155">
        <f ca="1">IF(COUNTIF(CJ539:CJ550,AF540)=0,IF(AF540&lt;&gt;"",0,1),1)</f>
        <v>1</v>
      </c>
      <c r="BW540" s="157">
        <f ca="1">IFERROR(MATCH(AF540,CJ539:CJ550,0),1)</f>
        <v>1</v>
      </c>
      <c r="BX540" s="769"/>
      <c r="BY540" s="769"/>
      <c r="BZ540" s="1110"/>
      <c r="CA540" s="691" t="e">
        <f t="shared" ref="CA540:CA550" ca="1" si="9877">CA539-1</f>
        <v>#REF!</v>
      </c>
      <c r="CB540" s="4" t="e" cm="1">
        <f t="array" aca="1" ref="CB540" ca="1">IF(AND(INDEX(INDIRECT(BY539),CA540,4)&gt;=$AB539,INDEX(INDIRECT(BY539),CA540,5)&gt;=$S539,INDEX(INDIRECT(BY539),CA540,6)&gt;=$R539),1,0)</f>
        <v>#REF!</v>
      </c>
      <c r="CC540" s="4" t="e">
        <f t="shared" ref="CC540" ca="1" si="9878">MATCH(1,OFFSET(CB539:CB550,CD539,0,COUNT(CB539:CB550)-CD539),0)</f>
        <v>#REF!</v>
      </c>
      <c r="CD540" s="4" t="e">
        <f t="shared" ref="CD540:CD550" ca="1" si="9879">CD539+CC540</f>
        <v>#REF!</v>
      </c>
      <c r="CE540" s="692" t="str" cm="1">
        <f t="array" aca="1" ref="CE540" ca="1">IFERROR(VLOOKUP(INDEX(CA539:CA550,CD540),INDIRECT(BY539),2,FALSE),"----")</f>
        <v>----</v>
      </c>
      <c r="CF540" s="691" t="e">
        <f t="shared" ref="CF540:CF550" ca="1" si="9880">CF539-1</f>
        <v>#N/A</v>
      </c>
      <c r="CG540" s="4" t="e">
        <f ca="1">IF(AND(INDEX(SSM,CF540,4)&gt;=$AB539,INDEX(SSM,CF540,5)&gt;=$S539,INDEX(SSM,CF540,6)&gt;=$R539),1,0)</f>
        <v>#N/A</v>
      </c>
      <c r="CH540" s="4" t="e">
        <f t="shared" ref="CH540" ca="1" si="9881">MATCH(1,OFFSET(CG539:CG550,CI539,0,COUNT(CG539:CG550)-CI539),0)</f>
        <v>#REF!</v>
      </c>
      <c r="CI540" s="4" t="e">
        <f t="shared" ref="CI540:CI550" ca="1" si="9882">CI539+CH540</f>
        <v>#REF!</v>
      </c>
      <c r="CJ540" s="692" t="str">
        <f ca="1">IFERROR(IF(AD540="Nested Steel Stud (wood infill)",VLOOKUP(INDEX(CF539:CF550,CI540),SSW,2,FALSE),VLOOKUP(INDEX(CF539:CF550,CI540),SSM,2,FALSE)),"----")</f>
        <v>----</v>
      </c>
      <c r="CK540" s="691" t="e">
        <f t="shared" ref="CK540:CK550" ca="1" si="9883">CK539-1</f>
        <v>#N/A</v>
      </c>
      <c r="CL540" s="4" t="e">
        <f ca="1">IF(AND(INDEX(WSM,CK540,4)&gt;=$AB539,INDEX(WSM,CK540,5)&gt;=$S539,INDEX(WSM,CK540,6)&gt;=$R539),1,0)</f>
        <v>#N/A</v>
      </c>
      <c r="CM540" s="4" t="e">
        <f t="shared" ref="CM540" ca="1" si="9884">MATCH(1,OFFSET(CL539:CL550,CN539,0,COUNT(CL539:CL550)-CN539),0)</f>
        <v>#REF!</v>
      </c>
      <c r="CN540" s="4" t="e">
        <f t="shared" ref="CN540:CN550" ca="1" si="9885">CM540+CN539</f>
        <v>#REF!</v>
      </c>
      <c r="CO540" s="692" t="str">
        <f ca="1">IFERROR(VLOOKUP(INDEX(CK539:CK550,CN540),WSM,2,FALSE),"----")</f>
        <v>----</v>
      </c>
      <c r="CP540" s="691" t="e">
        <f t="shared" ref="CP540:CP550" ca="1" si="9886">CP539-1</f>
        <v>#N/A</v>
      </c>
      <c r="CQ540" s="4" t="e">
        <f ca="1">IF(AND(INDEX(STM,CP540,4)&gt;=$AB539,INDEX(STM,CP540,5)&gt;=$S539,INDEX(STM,CP540,6)&gt;=$R539),1,0)</f>
        <v>#N/A</v>
      </c>
      <c r="CR540" s="4" t="e">
        <f t="shared" ref="CR540" ca="1" si="9887">MATCH(1,OFFSET(CQ539:CQ550,CS539,0,COUNT(CQ539:CQ550)-CS539),0)</f>
        <v>#REF!</v>
      </c>
      <c r="CS540" s="4" t="e">
        <f t="shared" ref="CS540:CS550" ca="1" si="9888">CR540+CS539</f>
        <v>#REF!</v>
      </c>
      <c r="CT540" s="692" t="str">
        <f ca="1">IFERROR(VLOOKUP(INDEX(CP539:CP550,CS540),STM,2,FALSE),"----")</f>
        <v>----</v>
      </c>
      <c r="CU540" s="691" t="e">
        <f t="shared" ref="CU540:CU550" ca="1" si="9889">CU539-1</f>
        <v>#N/A</v>
      </c>
      <c r="CV540" s="4" t="e">
        <f ca="1">IF(AND(INDEX(ELM,CU540,4)&gt;=$AB539,INDEX(ELM,CU540,5)&gt;=$S539,INDEX(ELM,CU540,6)&gt;=$R539),1,0)</f>
        <v>#N/A</v>
      </c>
      <c r="CW540" s="4" t="e">
        <f t="shared" ref="CW540" ca="1" si="9890">MATCH(1,OFFSET(CV539:CV550,CX539,0,COUNT(CV539:CV550)-CX539),0)</f>
        <v>#REF!</v>
      </c>
      <c r="CX540" s="4" t="e">
        <f t="shared" ref="CX540:CX550" ca="1" si="9891">CW540+CX539</f>
        <v>#REF!</v>
      </c>
      <c r="CY540" s="692" t="str">
        <f ca="1">IFERROR(VLOOKUP(INDEX(CU539:CU550,CX540),ELM,2,FALSE),"----")</f>
        <v>----</v>
      </c>
      <c r="CZ540" s="691" t="e">
        <f t="shared" ref="CZ540:CZ550" ca="1" si="9892">CZ539-1</f>
        <v>#N/A</v>
      </c>
      <c r="DA540" s="4" t="e">
        <f ca="1">IF(LEFT($J539,7)="Clad Wo",IF(AND(INDEX(SPPWS,CZ540,4)&gt;=$AB539,INDEX(SPPWS,CZ540,5)&gt;=$S539,INDEX(SPPWS,CZ540,6)&gt;=$R539),1,0),IF(AND(INDEX(SPM,CZ540,4)&gt;=$AB539,INDEX(SPM,CZ540,5)&gt;=$S539,INDEX(SPM,CZ540,6)&gt;=$R539),1,0))</f>
        <v>#N/A</v>
      </c>
      <c r="DB540" s="4" t="e">
        <f t="shared" ref="DB540" ca="1" si="9893">MATCH(1,OFFSET(DA539:DA550,DC539,0,COUNT(DA539:DA550)-DC539),0)</f>
        <v>#REF!</v>
      </c>
      <c r="DC540" s="4" t="e">
        <f t="shared" ref="DC540:DC550" ca="1" si="9894">DC539+DB540</f>
        <v>#REF!</v>
      </c>
      <c r="DD540" s="693" t="str">
        <f ca="1">IF(LEFT($J539,7)="Clad Wo",IFERROR(VLOOKUP(INDEX(CZ539:CZ550,DC540),SPPWS,2,FALSE),"----"),IFERROR(VLOOKUP(INDEX(CZ539:CZ550,DC540),SPM,2,FALSE),"----"))</f>
        <v>----</v>
      </c>
      <c r="DE540" s="691" t="e">
        <f t="shared" ref="DE540:DE550" ca="1" si="9895">DE539-1</f>
        <v>#REF!</v>
      </c>
      <c r="DF540" s="4" t="e" cm="1">
        <f t="array" aca="1" ref="DF540" ca="1">IF(AND(INDEX(INDIRECT(BY539),DE540,4)&gt;=$AB545,INDEX(INDIRECT(BY539),DE540,5)&gt;=$S539,INDEX(INDIRECT(BY539),DE540,6)&gt;=$R539),1,0)</f>
        <v>#REF!</v>
      </c>
      <c r="DG540" s="4" t="e">
        <f t="shared" ref="DG540" ca="1" si="9896">MATCH(1,OFFSET(DF539:DF550,DH539,0,COUNT(DF539:DF550)-DH539),0)</f>
        <v>#REF!</v>
      </c>
      <c r="DH540" s="4" t="e">
        <f t="shared" ref="DH540:DH550" ca="1" si="9897">DH539+DG540</f>
        <v>#REF!</v>
      </c>
      <c r="DI540" s="692" t="str" cm="1">
        <f t="array" aca="1" ref="DI540" ca="1">IFERROR(VLOOKUP(INDEX(DE539:DE550,DH540),INDIRECT(BY539),2,FALSE),"----")</f>
        <v>----</v>
      </c>
      <c r="DJ540" s="691" t="e">
        <f t="shared" ref="DJ540:DJ550" ca="1" si="9898">DJ539-1</f>
        <v>#N/A</v>
      </c>
      <c r="DK540" s="4" t="e">
        <f ca="1">IF(AND(INDEX(SSM,DJ540,4)&gt;=$AB545,INDEX(SSM,DJ540,5)&gt;=$S539,INDEX(SSM,DJ540,6)&gt;=$R539),1,0)</f>
        <v>#N/A</v>
      </c>
      <c r="DL540" s="4" t="e">
        <f t="shared" ref="DL540" ca="1" si="9899">MATCH(1,OFFSET(DK539:DK550,DM539,0,COUNT(DK539:DK550)-DM539),0)</f>
        <v>#REF!</v>
      </c>
      <c r="DM540" s="4" t="e">
        <f t="shared" ref="DM540:DM550" ca="1" si="9900">DL540+DM539</f>
        <v>#REF!</v>
      </c>
      <c r="DN540" s="692" t="str">
        <f ca="1">IFERROR(IF(AD546="Nested Steel Stud (wood infill)",VLOOKUP(INDEX(DJ539:DJ550,DM540),SSW,2,FALSE),VLOOKUP(INDEX(DJ539:DJ550,DM540),SSM,2,FALSE)),"----")</f>
        <v>----</v>
      </c>
      <c r="DO540" s="691" t="e">
        <f t="shared" ref="DO540:DO550" ca="1" si="9901">DO539-1</f>
        <v>#N/A</v>
      </c>
      <c r="DP540" s="4" t="e">
        <f ca="1">IF(AND(INDEX(WSM,DO540,4)&gt;=$AB545,INDEX(WSM,DO540,5)&gt;=$S539,INDEX(WSM,DO540,6)&gt;=$R539),1,0)</f>
        <v>#N/A</v>
      </c>
      <c r="DQ540" s="4" t="e">
        <f t="shared" ref="DQ540" ca="1" si="9902">MATCH(1,OFFSET(DP539:DP550,DR539,0,COUNT(DP539:DP550)-DR539),0)</f>
        <v>#REF!</v>
      </c>
      <c r="DR540" s="4" t="e">
        <f t="shared" ref="DR540:DR550" ca="1" si="9903">DQ540+DR539</f>
        <v>#REF!</v>
      </c>
      <c r="DS540" s="692" t="str">
        <f ca="1">IFERROR(VLOOKUP(INDEX(DO539:DO550,DR540),WSM,2,FALSE),"----")</f>
        <v>----</v>
      </c>
      <c r="DT540" s="691" t="e">
        <f t="shared" ref="DT540:DT550" ca="1" si="9904">DT539-1</f>
        <v>#N/A</v>
      </c>
      <c r="DU540" s="4" t="e">
        <f ca="1">IF(AND(INDEX(STM,DT540,4)&gt;=$AB545,INDEX(STM,DT540,5)&gt;=$S539,INDEX(STM,DT540,6)&gt;=$R539),1,0)</f>
        <v>#N/A</v>
      </c>
      <c r="DV540" s="4" t="e">
        <f t="shared" ref="DV540" ca="1" si="9905">MATCH(1,OFFSET(DU539:DU550,DW539,0,COUNT(DU539:DU550)-DW539),0)</f>
        <v>#REF!</v>
      </c>
      <c r="DW540" s="4" t="e">
        <f t="shared" ref="DW540:DW550" ca="1" si="9906">DV540+DW539</f>
        <v>#REF!</v>
      </c>
      <c r="DX540" s="692" t="str">
        <f ca="1">IFERROR(VLOOKUP(INDEX(DT539:DT550,DW540),STM,2,FALSE),"----")</f>
        <v>----</v>
      </c>
      <c r="DY540" s="691" t="e">
        <f t="shared" ref="DY540:DY550" ca="1" si="9907">DY539-1</f>
        <v>#N/A</v>
      </c>
      <c r="DZ540" s="4" t="e">
        <f ca="1">IF(AND(INDEX(ELM,DY540,4)&gt;=$AB545,INDEX(ELM,DY540,5)&gt;=$S539,INDEX(ELM,DY540,6)&gt;=$R539),1,0)</f>
        <v>#N/A</v>
      </c>
      <c r="EA540" s="4" t="e">
        <f t="shared" ref="EA540" ca="1" si="9908">MATCH(1,OFFSET(DZ539:DZ550,EB539,0,COUNT(DZ539:DZ550)-EB539),0)</f>
        <v>#REF!</v>
      </c>
      <c r="EB540" s="4" t="e">
        <f t="shared" ref="EB540:EB550" ca="1" si="9909">EA540+EB539</f>
        <v>#REF!</v>
      </c>
      <c r="EC540" s="692" t="str">
        <f ca="1">IFERROR(VLOOKUP(INDEX(DY539:DY550,EB540),ELM,2,FALSE),"----")</f>
        <v>----</v>
      </c>
      <c r="ED540" s="691" t="e">
        <f t="shared" ref="ED540:ED550" ca="1" si="9910">ED539-1</f>
        <v>#N/A</v>
      </c>
      <c r="EE540" s="4" t="e">
        <f ca="1">IF(LEFT($J539,7)="Clad Wo",IF(AND(INDEX(SPPWS,ED540,4)&gt;=$AB545,INDEX(SPPWS,ED540,5)&gt;=$S539,INDEX(SPPWS,ED540,6)&gt;=$R539),1,0),IF(AND(INDEX(SPM,ED540,4)&gt;=$AB545,INDEX(SPM,ED540,5)&gt;=$S539,INDEX(SPM,ED540,6)&gt;=$R539),1,0))</f>
        <v>#N/A</v>
      </c>
      <c r="EF540" s="4" t="e">
        <f t="shared" ref="EF540" ca="1" si="9911">MATCH(1,OFFSET(EE539:EE550,EG539,0,COUNT(EE539:EE550)-EG539),0)</f>
        <v>#REF!</v>
      </c>
      <c r="EG540" s="4" t="e">
        <f t="shared" ref="EG540:EG550" ca="1" si="9912">EG539+EF540</f>
        <v>#REF!</v>
      </c>
      <c r="EH540" s="692" t="str">
        <f ca="1">IF(LEFT($J539,7)="Clad Wo",IFERROR(VLOOKUP(INDEX(ED539:ED550,EG540),SPPWS,2,FALSE),"----"),IFERROR(VLOOKUP(INDEX(ED539:ED550,EG540),SPM,2,FALSE),"----"))</f>
        <v>----</v>
      </c>
    </row>
    <row r="541" spans="1:138" ht="15" customHeight="1" x14ac:dyDescent="0.25">
      <c r="A541" s="1085"/>
      <c r="B541" s="925"/>
      <c r="C541" s="926"/>
      <c r="D541" s="927"/>
      <c r="E541" s="995"/>
      <c r="F541" s="996"/>
      <c r="G541" s="997"/>
      <c r="H541" s="1062"/>
      <c r="I541" s="990"/>
      <c r="J541" s="908"/>
      <c r="K541" s="909"/>
      <c r="L541" s="1002"/>
      <c r="M541" s="923"/>
      <c r="N541" s="1042"/>
      <c r="O541" s="1018"/>
      <c r="P541" s="987"/>
      <c r="Q541" s="1015"/>
      <c r="R541" s="1012"/>
      <c r="S541" s="1006"/>
      <c r="T541" s="1007"/>
      <c r="U541" s="878"/>
      <c r="V541" s="881"/>
      <c r="W541" s="884"/>
      <c r="X541" s="884"/>
      <c r="Y541" s="887"/>
      <c r="Z541" s="887"/>
      <c r="AA541" s="887"/>
      <c r="AB541" s="1081"/>
      <c r="AC541" s="1078"/>
      <c r="AD541" s="1070" t="s">
        <v>333</v>
      </c>
      <c r="AE541" s="1071"/>
      <c r="AF541" s="1052"/>
      <c r="AG541" s="1053"/>
      <c r="AH541" s="1053"/>
      <c r="AI541" s="1066"/>
      <c r="AJ541" s="1067"/>
      <c r="AK541" s="154" t="str">
        <f t="shared" ca="1" si="8761"/>
        <v/>
      </c>
      <c r="AL541" s="1039"/>
      <c r="AM541" s="344" t="str">
        <f ca="1">IFERROR(Q539/12*ROUND(VLOOKUP(AF541,OFFSET(WSM,0,1),6,FALSE),2),"")</f>
        <v/>
      </c>
      <c r="AN541" t="str">
        <f t="shared" ca="1" si="8785"/>
        <v/>
      </c>
      <c r="AP541" s="122" t="str">
        <f t="shared" ref="AP541" si="9913">_xlfn.CONCAT(AR541,AS544)</f>
        <v/>
      </c>
      <c r="AQ541" s="683" t="str">
        <f t="shared" si="8985"/>
        <v/>
      </c>
      <c r="AR541" s="4" t="str">
        <f t="shared" si="8745"/>
        <v/>
      </c>
      <c r="AS541" s="4"/>
      <c r="AT541" s="697" t="str">
        <f>AL539</f>
        <v/>
      </c>
      <c r="AU541" s="694" t="e">
        <f t="shared" ca="1" si="9002"/>
        <v>#REF!</v>
      </c>
      <c r="AV541" s="686" t="str">
        <f ca="1">IFERROR(VLOOKUP(AU541,INDIRECT(AQ539),2,FALSE),"----")</f>
        <v>----</v>
      </c>
      <c r="AW541" s="694" t="e">
        <f t="shared" ca="1" si="9866"/>
        <v>#REF!</v>
      </c>
      <c r="AX541" s="686" t="str">
        <f ca="1">IFERROR(VLOOKUP(AW541,INDIRECT(AQ540),2,FALSE),"----")</f>
        <v>----</v>
      </c>
      <c r="AY541" s="694" t="e">
        <f t="shared" ca="1" si="9867"/>
        <v>#REF!</v>
      </c>
      <c r="AZ541" s="686" t="str">
        <f ca="1">IFERROR(VLOOKUP(AY541,INDIRECT(AQ541),2,FALSE),"----")</f>
        <v>----</v>
      </c>
      <c r="BA541" s="694" t="e">
        <f t="shared" ca="1" si="9868"/>
        <v>#REF!</v>
      </c>
      <c r="BB541" s="686" t="str">
        <f ca="1">IFERROR(VLOOKUP(BA541,INDIRECT(AQ542),2,FALSE),"----")</f>
        <v>----</v>
      </c>
      <c r="BC541" s="694" t="e">
        <f t="shared" ca="1" si="9869"/>
        <v>#REF!</v>
      </c>
      <c r="BD541" s="686" t="str">
        <f ca="1">IFERROR(VLOOKUP(BC541,INDIRECT(AQ543),2,FALSE),"----")</f>
        <v>----</v>
      </c>
      <c r="BE541" s="694" t="e">
        <f t="shared" ca="1" si="9007"/>
        <v>#REF!</v>
      </c>
      <c r="BF541" s="686" t="str">
        <f ca="1">IFERROR(VLOOKUP(BE541,INDIRECT(AQ544),2,FALSE),"----")</f>
        <v>----</v>
      </c>
      <c r="BG541" s="694" t="e">
        <f t="shared" ca="1" si="9008"/>
        <v>#REF!</v>
      </c>
      <c r="BH541" s="686" t="str">
        <f ca="1">IFERROR(VLOOKUP(BG541,INDIRECT(AQ545),2,FALSE),"----")</f>
        <v>----</v>
      </c>
      <c r="BI541" s="694" t="e">
        <f t="shared" ca="1" si="9872"/>
        <v>#REF!</v>
      </c>
      <c r="BJ541" s="686" t="str">
        <f ca="1">IFERROR(VLOOKUP(BI541,INDIRECT(AQ546),2,FALSE),"----")</f>
        <v>----</v>
      </c>
      <c r="BK541" s="694" t="e">
        <f t="shared" ca="1" si="9873"/>
        <v>#REF!</v>
      </c>
      <c r="BL541" s="686" t="str">
        <f ca="1">IFERROR(VLOOKUP(BK541,INDIRECT(AQ547),2,FALSE),"----")</f>
        <v>----</v>
      </c>
      <c r="BM541" s="694" t="e">
        <f t="shared" ca="1" si="9874"/>
        <v>#REF!</v>
      </c>
      <c r="BN541" s="686" t="str">
        <f ca="1">IFERROR(VLOOKUP(BM541,INDIRECT(AQ548),2,FALSE),"----")</f>
        <v>----</v>
      </c>
      <c r="BO541" s="694" t="e">
        <f t="shared" ca="1" si="9875"/>
        <v>#REF!</v>
      </c>
      <c r="BP541" s="686" t="str">
        <f ca="1">IFERROR(VLOOKUP(BO541,INDIRECT(AQ549),2,FALSE),"----")</f>
        <v>----</v>
      </c>
      <c r="BQ541" s="694" t="e">
        <f t="shared" ca="1" si="9013"/>
        <v>#REF!</v>
      </c>
      <c r="BR541" s="686" t="str">
        <f ca="1">IFERROR(VLOOKUP(BQ541,INDIRECT(AQ550),2,FALSE),"----")</f>
        <v>----</v>
      </c>
      <c r="BS541" s="695">
        <f>IF(AI541="",1,IF(COUNTIF(AZ539:AZ550,AI541)=0,2,1))</f>
        <v>1</v>
      </c>
      <c r="BT541" s="696">
        <f>IF(AF541="",1,IF(AZ539=".",2,1))</f>
        <v>1</v>
      </c>
      <c r="BU541" s="706"/>
      <c r="BV541" s="155">
        <f ca="1">IF(COUNTIF(CO539:CO550,AF541)=0,IF(AF541&lt;&gt;"",0,1),1)</f>
        <v>1</v>
      </c>
      <c r="BW541" s="157">
        <f ca="1">IFERROR(MATCH(AF541,CO539:CO550,0),1)</f>
        <v>1</v>
      </c>
      <c r="BX541" s="769"/>
      <c r="BY541" s="769"/>
      <c r="BZ541" s="1110"/>
      <c r="CA541" s="691" t="e">
        <f t="shared" ca="1" si="9877"/>
        <v>#REF!</v>
      </c>
      <c r="CB541" s="4" t="e" cm="1">
        <f t="array" aca="1" ref="CB541" ca="1">IF(AND(INDEX(INDIRECT(BY539),CA541,4)&gt;=$AB539,INDEX(INDIRECT(BY539),CA541,5)&gt;=$S539,INDEX(INDIRECT(BY539),CA541,6)&gt;=$R539),1,0)</f>
        <v>#REF!</v>
      </c>
      <c r="CC541" s="4" t="e">
        <f t="shared" ref="CC541" ca="1" si="9914">MATCH(1,OFFSET(CB539:CB550,CD540,0,COUNT(CB539:CB550)-CD540),0)</f>
        <v>#REF!</v>
      </c>
      <c r="CD541" s="4" t="e">
        <f t="shared" ca="1" si="9879"/>
        <v>#REF!</v>
      </c>
      <c r="CE541" s="692" t="str" cm="1">
        <f t="array" aca="1" ref="CE541" ca="1">IFERROR(VLOOKUP(INDEX(CA539:CA550,CD541),INDIRECT(BY539),2,FALSE),"----")</f>
        <v>----</v>
      </c>
      <c r="CF541" s="691" t="e">
        <f t="shared" ca="1" si="9880"/>
        <v>#N/A</v>
      </c>
      <c r="CG541" s="4" t="e">
        <f ca="1">IF(AND(INDEX(SSM,CF541,4)&gt;=$AB539,INDEX(SSM,CF541,5)&gt;=$S539,INDEX(SSM,CF541,6)&gt;=$R539),1,0)</f>
        <v>#N/A</v>
      </c>
      <c r="CH541" s="4" t="e">
        <f t="shared" ref="CH541" ca="1" si="9915">MATCH(1,OFFSET(CG539:CG550,CI540,0,COUNT(CG539:CG550)-CI540),0)</f>
        <v>#REF!</v>
      </c>
      <c r="CI541" s="4" t="e">
        <f t="shared" ca="1" si="9882"/>
        <v>#REF!</v>
      </c>
      <c r="CJ541" s="692" t="str">
        <f ca="1">IFERROR(IF(AD540="Nested Steel Stud (wood infill)",VLOOKUP(INDEX(CF539:CF550,CI541),SSW,2,FALSE),VLOOKUP(INDEX(CF539:CF550,CI541),SSM,2,FALSE)),"----")</f>
        <v>----</v>
      </c>
      <c r="CK541" s="691" t="e">
        <f t="shared" ca="1" si="9883"/>
        <v>#N/A</v>
      </c>
      <c r="CL541" s="4" t="e">
        <f ca="1">IF(AND(INDEX(WSM,CK541,4)&gt;=$AB539,INDEX(WSM,CK541,5)&gt;=$S539,INDEX(WSM,CK541,6)&gt;=$R539),1,0)</f>
        <v>#N/A</v>
      </c>
      <c r="CM541" s="4" t="e">
        <f t="shared" ref="CM541" ca="1" si="9916">MATCH(1,OFFSET(CL539:CL550,CN540,0,COUNT(CL539:CL550)-CN540),0)</f>
        <v>#REF!</v>
      </c>
      <c r="CN541" s="4" t="e">
        <f t="shared" ca="1" si="9885"/>
        <v>#REF!</v>
      </c>
      <c r="CO541" s="692" t="str">
        <f ca="1">IFERROR(VLOOKUP(INDEX(CK539:CK550,CN541),WSM,2,FALSE),"----")</f>
        <v>----</v>
      </c>
      <c r="CP541" s="691" t="e">
        <f t="shared" ca="1" si="9886"/>
        <v>#N/A</v>
      </c>
      <c r="CQ541" s="4" t="e">
        <f ca="1">IF(AND(INDEX(STM,CP541,4)&gt;=$AB539,INDEX(STM,CP541,5)&gt;=$S539,INDEX(STM,CP541,6)&gt;=$R539),1,0)</f>
        <v>#N/A</v>
      </c>
      <c r="CR541" s="4" t="e">
        <f t="shared" ref="CR541" ca="1" si="9917">MATCH(1,OFFSET(CQ539:CQ550,CS540,0,COUNT(CQ539:CQ550)-CS540),0)</f>
        <v>#REF!</v>
      </c>
      <c r="CS541" s="4" t="e">
        <f t="shared" ca="1" si="9888"/>
        <v>#REF!</v>
      </c>
      <c r="CT541" s="692" t="str">
        <f ca="1">IFERROR(VLOOKUP(INDEX(CP539:CP550,CS541),STM,2,FALSE),"----")</f>
        <v>----</v>
      </c>
      <c r="CU541" s="691" t="e">
        <f t="shared" ca="1" si="9889"/>
        <v>#N/A</v>
      </c>
      <c r="CV541" s="4" t="e">
        <f ca="1">IF(AND(INDEX(ELM,CU541,4)&gt;=$AB539,INDEX(ELM,CU541,5)&gt;=$S539,INDEX(ELM,CU541,6)&gt;=$R539),1,0)</f>
        <v>#N/A</v>
      </c>
      <c r="CW541" s="4" t="e">
        <f t="shared" ref="CW541" ca="1" si="9918">MATCH(1,OFFSET(CV539:CV550,CX540,0,COUNT(CV539:CV550)-CX540),0)</f>
        <v>#REF!</v>
      </c>
      <c r="CX541" s="4" t="e">
        <f t="shared" ca="1" si="9891"/>
        <v>#REF!</v>
      </c>
      <c r="CY541" s="692" t="str">
        <f ca="1">IFERROR(VLOOKUP(INDEX(CU539:CU550,CX541),ELM,2,FALSE),"----")</f>
        <v>----</v>
      </c>
      <c r="CZ541" s="691" t="e">
        <f t="shared" ca="1" si="9892"/>
        <v>#N/A</v>
      </c>
      <c r="DA541" s="4" t="e">
        <f ca="1">IF(LEFT($J539,7)="Clad Wo",IF(AND(INDEX(SPPWS,CZ541,4)&gt;=$AB539,INDEX(SPPWS,CZ541,5)&gt;=$S539,INDEX(SPPWS,CZ541,6)&gt;=$R539),1,0),IF(AND(INDEX(SPM,CZ541,4)&gt;=$AB539,INDEX(SPM,CZ541,5)&gt;=$S539,INDEX(SPM,CZ541,6)&gt;=$R539),1,0))</f>
        <v>#N/A</v>
      </c>
      <c r="DB541" s="4" t="e">
        <f t="shared" ref="DB541" ca="1" si="9919">MATCH(1,OFFSET(DA539:DA550,DC540,0,COUNT(DA539:DA550)-DC540),0)</f>
        <v>#REF!</v>
      </c>
      <c r="DC541" s="4" t="e">
        <f t="shared" ca="1" si="9894"/>
        <v>#REF!</v>
      </c>
      <c r="DD541" s="693" t="str">
        <f ca="1">IF(LEFT($J539,7)="Clad Wo",IFERROR(VLOOKUP(INDEX(CZ539:CZ550,DC541),SPPWS,2,FALSE),"----"),IFERROR(VLOOKUP(INDEX(CZ539:CZ550,DC541),SPM,2,FALSE),"----"))</f>
        <v>----</v>
      </c>
      <c r="DE541" s="691" t="e">
        <f t="shared" ca="1" si="9895"/>
        <v>#REF!</v>
      </c>
      <c r="DF541" s="4" t="e" cm="1">
        <f t="array" aca="1" ref="DF541" ca="1">IF(AND(INDEX(INDIRECT(BY539),DE541,4)&gt;=$AB545,INDEX(INDIRECT(BY539),DE541,5)&gt;=$S539,INDEX(INDIRECT(BY539),DE541,6)&gt;=$R539),1,0)</f>
        <v>#REF!</v>
      </c>
      <c r="DG541" s="4" t="e">
        <f t="shared" ref="DG541" ca="1" si="9920">MATCH(1,OFFSET(DF539:DF550,DH540,0,COUNT(DF539:DF550)-DH540),0)</f>
        <v>#REF!</v>
      </c>
      <c r="DH541" s="4" t="e">
        <f t="shared" ca="1" si="9897"/>
        <v>#REF!</v>
      </c>
      <c r="DI541" s="692" t="str" cm="1">
        <f t="array" aca="1" ref="DI541" ca="1">IFERROR(VLOOKUP(INDEX(DE539:DE550,DH541),INDIRECT(BY539),2,FALSE),"----")</f>
        <v>----</v>
      </c>
      <c r="DJ541" s="691" t="e">
        <f t="shared" ca="1" si="9898"/>
        <v>#N/A</v>
      </c>
      <c r="DK541" s="4" t="e">
        <f ca="1">IF(AND(INDEX(SSM,DJ541,4)&gt;=$AB545,INDEX(SSM,DJ541,5)&gt;=$S539,INDEX(SSM,DJ541,6)&gt;=$R539),1,0)</f>
        <v>#N/A</v>
      </c>
      <c r="DL541" s="4" t="e">
        <f t="shared" ref="DL541" ca="1" si="9921">MATCH(1,OFFSET(DK539:DK550,DM540,0,COUNT(DK539:DK550)-DM540),0)</f>
        <v>#REF!</v>
      </c>
      <c r="DM541" s="4" t="e">
        <f t="shared" ca="1" si="9900"/>
        <v>#REF!</v>
      </c>
      <c r="DN541" s="692" t="str">
        <f ca="1">IFERROR(IF(AD546="Nested Steel Stud (wood infill)",VLOOKUP(INDEX(DJ539:DJ550,DM541),SSW,2,FALSE),VLOOKUP(INDEX(DJ539:DJ550,DM541),SSM,2,FALSE)),"----")</f>
        <v>----</v>
      </c>
      <c r="DO541" s="691" t="e">
        <f t="shared" ca="1" si="9901"/>
        <v>#N/A</v>
      </c>
      <c r="DP541" s="4" t="e">
        <f ca="1">IF(AND(INDEX(WSM,DO541,4)&gt;=$AB545,INDEX(WSM,DO541,5)&gt;=$S539,INDEX(WSM,DO541,6)&gt;=$R539),1,0)</f>
        <v>#N/A</v>
      </c>
      <c r="DQ541" s="4" t="e">
        <f t="shared" ref="DQ541" ca="1" si="9922">MATCH(1,OFFSET(DP539:DP550,DR540,0,COUNT(DP539:DP550)-DR540),0)</f>
        <v>#REF!</v>
      </c>
      <c r="DR541" s="4" t="e">
        <f t="shared" ca="1" si="9903"/>
        <v>#REF!</v>
      </c>
      <c r="DS541" s="692" t="str">
        <f ca="1">IFERROR(VLOOKUP(INDEX(DO539:DO550,DR541),WSM,2,FALSE),"----")</f>
        <v>----</v>
      </c>
      <c r="DT541" s="691" t="e">
        <f t="shared" ca="1" si="9904"/>
        <v>#N/A</v>
      </c>
      <c r="DU541" s="4" t="e">
        <f ca="1">IF(AND(INDEX(STM,DT541,4)&gt;=$AB545,INDEX(STM,DT541,5)&gt;=$S539,INDEX(STM,DT541,6)&gt;=$R539),1,0)</f>
        <v>#N/A</v>
      </c>
      <c r="DV541" s="4" t="e">
        <f t="shared" ref="DV541" ca="1" si="9923">MATCH(1,OFFSET(DU539:DU550,DW540,0,COUNT(DU539:DU550)-DW540),0)</f>
        <v>#REF!</v>
      </c>
      <c r="DW541" s="4" t="e">
        <f t="shared" ca="1" si="9906"/>
        <v>#REF!</v>
      </c>
      <c r="DX541" s="692" t="str">
        <f ca="1">IFERROR(VLOOKUP(INDEX(DT539:DT550,DW541),STM,2,FALSE),"----")</f>
        <v>----</v>
      </c>
      <c r="DY541" s="691" t="e">
        <f t="shared" ca="1" si="9907"/>
        <v>#N/A</v>
      </c>
      <c r="DZ541" s="4" t="e">
        <f ca="1">IF(AND(INDEX(ELM,DY541,4)&gt;=$AB545,INDEX(ELM,DY541,5)&gt;=$S539,INDEX(ELM,DY541,6)&gt;=$R539),1,0)</f>
        <v>#N/A</v>
      </c>
      <c r="EA541" s="4" t="e">
        <f t="shared" ref="EA541" ca="1" si="9924">MATCH(1,OFFSET(DZ539:DZ550,EB540,0,COUNT(DZ539:DZ550)-EB540),0)</f>
        <v>#REF!</v>
      </c>
      <c r="EB541" s="4" t="e">
        <f t="shared" ca="1" si="9909"/>
        <v>#REF!</v>
      </c>
      <c r="EC541" s="692" t="str">
        <f ca="1">IFERROR(VLOOKUP(INDEX(DY539:DY550,EB541),ELM,2,FALSE),"----")</f>
        <v>----</v>
      </c>
      <c r="ED541" s="691" t="e">
        <f t="shared" ca="1" si="9910"/>
        <v>#N/A</v>
      </c>
      <c r="EE541" s="4" t="e">
        <f ca="1">IF(LEFT($J539,7)="Clad Wo",IF(AND(INDEX(SPPWS,ED541,4)&gt;=$AB545,INDEX(SPPWS,ED541,5)&gt;=$S539,INDEX(SPPWS,ED541,6)&gt;=$R539),1,0),IF(AND(INDEX(SPM,ED541,4)&gt;=$AB545,INDEX(SPM,ED541,5)&gt;=$S539,INDEX(SPM,ED541,6)&gt;=$R539),1,0))</f>
        <v>#N/A</v>
      </c>
      <c r="EF541" s="4" t="e">
        <f t="shared" ref="EF541" ca="1" si="9925">MATCH(1,OFFSET(EE539:EE550,EG540,0,COUNT(EE539:EE550)-EG540),0)</f>
        <v>#REF!</v>
      </c>
      <c r="EG541" s="4" t="e">
        <f t="shared" ca="1" si="9912"/>
        <v>#REF!</v>
      </c>
      <c r="EH541" s="692" t="str">
        <f ca="1">IF(LEFT($J539,7)="Clad Wo",IFERROR(VLOOKUP(INDEX(ED539:ED550,EG541),SPPWS,2,FALSE),"----"),IFERROR(VLOOKUP(INDEX(ED539:ED550,EG541),SPM,2,FALSE),"----"))</f>
        <v>----</v>
      </c>
    </row>
    <row r="542" spans="1:138" ht="15" customHeight="1" x14ac:dyDescent="0.25">
      <c r="A542" s="1085"/>
      <c r="B542" s="925"/>
      <c r="C542" s="926"/>
      <c r="D542" s="927"/>
      <c r="E542" s="995"/>
      <c r="F542" s="996"/>
      <c r="G542" s="997"/>
      <c r="H542" s="1062"/>
      <c r="I542" s="990"/>
      <c r="J542" s="908"/>
      <c r="K542" s="909"/>
      <c r="L542" s="1002"/>
      <c r="M542" s="923"/>
      <c r="N542" s="1042"/>
      <c r="O542" s="1018"/>
      <c r="P542" s="987"/>
      <c r="Q542" s="1015"/>
      <c r="R542" s="1012"/>
      <c r="S542" s="1006"/>
      <c r="T542" s="1007"/>
      <c r="U542" s="878"/>
      <c r="V542" s="881"/>
      <c r="W542" s="884"/>
      <c r="X542" s="884"/>
      <c r="Y542" s="887"/>
      <c r="Z542" s="887"/>
      <c r="AA542" s="887"/>
      <c r="AB542" s="1081"/>
      <c r="AC542" s="1078"/>
      <c r="AD542" s="1070" t="s">
        <v>37</v>
      </c>
      <c r="AE542" s="1071"/>
      <c r="AF542" s="1052"/>
      <c r="AG542" s="1053"/>
      <c r="AH542" s="1053"/>
      <c r="AI542" s="1066"/>
      <c r="AJ542" s="1067"/>
      <c r="AK542" s="156" t="str">
        <f t="shared" ca="1" si="8761"/>
        <v/>
      </c>
      <c r="AL542" s="1039"/>
      <c r="AM542" s="343" t="str">
        <f ca="1">IFERROR(Q539/12*ROUND(VLOOKUP(AF542,OFFSET(STM,0,1),6,FALSE),2),"")</f>
        <v/>
      </c>
      <c r="AN542" t="str">
        <f t="shared" ca="1" si="8785"/>
        <v/>
      </c>
      <c r="AP542" s="122" t="str">
        <f t="shared" ref="AP542" si="9926">_xlfn.CONCAT(AR542,AS544)</f>
        <v/>
      </c>
      <c r="AQ542" s="683" t="str">
        <f t="shared" si="8985"/>
        <v/>
      </c>
      <c r="AR542" s="4" t="str">
        <f t="shared" si="8745"/>
        <v/>
      </c>
      <c r="AS542" s="4"/>
      <c r="AT542" s="697" t="str">
        <f>AL539</f>
        <v/>
      </c>
      <c r="AU542" s="694" t="e">
        <f t="shared" ca="1" si="9002"/>
        <v>#REF!</v>
      </c>
      <c r="AV542" s="686" t="str">
        <f ca="1">IFERROR(VLOOKUP(AU542,INDIRECT(AQ539),2,FALSE),"----")</f>
        <v>----</v>
      </c>
      <c r="AW542" s="694" t="e">
        <f t="shared" ca="1" si="9003"/>
        <v>#REF!</v>
      </c>
      <c r="AX542" s="686" t="str">
        <f ca="1">IFERROR(VLOOKUP(AW542,INDIRECT(AQ540),2,FALSE),"----")</f>
        <v>----</v>
      </c>
      <c r="AY542" s="694" t="e">
        <f t="shared" ref="AY542" ca="1" si="9927">AY541-1</f>
        <v>#REF!</v>
      </c>
      <c r="AZ542" s="686" t="str">
        <f ca="1">IFERROR(VLOOKUP(AY542,INDIRECT(AQ541),2,FALSE),"----")</f>
        <v>----</v>
      </c>
      <c r="BA542" s="694" t="e">
        <f t="shared" ref="BA542" ca="1" si="9928">BA541-1</f>
        <v>#REF!</v>
      </c>
      <c r="BB542" s="686" t="str">
        <f ca="1">IFERROR(VLOOKUP(BA542,INDIRECT(AQ542),2,FALSE),"----")</f>
        <v>----</v>
      </c>
      <c r="BC542" s="694" t="e">
        <f t="shared" ca="1" si="9006"/>
        <v>#REF!</v>
      </c>
      <c r="BD542" s="686" t="str">
        <f ca="1">IFERROR(VLOOKUP(BC542,INDIRECT(AQ543),2,FALSE),"----")</f>
        <v>----</v>
      </c>
      <c r="BE542" s="694" t="e">
        <f t="shared" ca="1" si="9007"/>
        <v>#REF!</v>
      </c>
      <c r="BF542" s="686" t="str">
        <f ca="1">IFERROR(VLOOKUP(BE542,INDIRECT(AQ544),2,FALSE),"----")</f>
        <v>----</v>
      </c>
      <c r="BG542" s="694" t="e">
        <f t="shared" ca="1" si="9008"/>
        <v>#REF!</v>
      </c>
      <c r="BH542" s="686" t="str">
        <f ca="1">IFERROR(VLOOKUP(BG542,INDIRECT(AQ545),2,FALSE),"----")</f>
        <v>----</v>
      </c>
      <c r="BI542" s="694" t="e">
        <f t="shared" ca="1" si="9009"/>
        <v>#REF!</v>
      </c>
      <c r="BJ542" s="686" t="str">
        <f ca="1">IFERROR(VLOOKUP(BI542,INDIRECT(AQ546),2,FALSE),"----")</f>
        <v>----</v>
      </c>
      <c r="BK542" s="694" t="e">
        <f t="shared" ca="1" si="9010"/>
        <v>#REF!</v>
      </c>
      <c r="BL542" s="686" t="str">
        <f ca="1">IFERROR(VLOOKUP(BK542,INDIRECT(AQ547),2,FALSE),"----")</f>
        <v>----</v>
      </c>
      <c r="BM542" s="694" t="e">
        <f t="shared" ca="1" si="9011"/>
        <v>#REF!</v>
      </c>
      <c r="BN542" s="686" t="str">
        <f ca="1">IFERROR(VLOOKUP(BM542,INDIRECT(AQ548),2,FALSE),"----")</f>
        <v>----</v>
      </c>
      <c r="BO542" s="694" t="e">
        <f t="shared" ca="1" si="9012"/>
        <v>#REF!</v>
      </c>
      <c r="BP542" s="686" t="str">
        <f ca="1">IFERROR(VLOOKUP(BO542,INDIRECT(AQ549),2,FALSE),"----")</f>
        <v>----</v>
      </c>
      <c r="BQ542" s="694" t="e">
        <f t="shared" ca="1" si="9013"/>
        <v>#REF!</v>
      </c>
      <c r="BR542" s="686" t="str">
        <f ca="1">IFERROR(VLOOKUP(BQ542,INDIRECT(AQ550),2,FALSE),"----")</f>
        <v>----</v>
      </c>
      <c r="BS542" s="695">
        <f>IF(AI542="",1,IF(COUNTIF(BB539:BB550,AI542)=0,2,1))</f>
        <v>1</v>
      </c>
      <c r="BT542" s="696">
        <f>IF(AF542="",1,IF(BB539=".",2,1))</f>
        <v>1</v>
      </c>
      <c r="BU542" s="706"/>
      <c r="BV542" s="155">
        <f ca="1">IF(COUNTIF(CT539:CT550,AF542)=0,IF(AF542&lt;&gt;"",0,1),1)</f>
        <v>1</v>
      </c>
      <c r="BW542" s="157">
        <f ca="1">IFERROR(MATCH(AF542,CT539:CT550,0),1)</f>
        <v>1</v>
      </c>
      <c r="BX542" s="769"/>
      <c r="BY542" s="769"/>
      <c r="BZ542" s="1110"/>
      <c r="CA542" s="691" t="e">
        <f t="shared" ca="1" si="9877"/>
        <v>#REF!</v>
      </c>
      <c r="CB542" s="4" t="e" cm="1">
        <f t="array" aca="1" ref="CB542" ca="1">IF(AND(INDEX(INDIRECT(BY539),CA542,4)&gt;=$AB539,INDEX(INDIRECT(BY539),CA542,5)&gt;=$S539,INDEX(INDIRECT(BY539),CA542,6)&gt;=$R539),1,0)</f>
        <v>#REF!</v>
      </c>
      <c r="CC542" s="4" t="e">
        <f t="shared" ref="CC542" ca="1" si="9929">MATCH(1,OFFSET(CB539:CB550,CD541,0,COUNT(CB539:CB550)-CD541),0)</f>
        <v>#REF!</v>
      </c>
      <c r="CD542" s="4" t="e">
        <f t="shared" ca="1" si="9879"/>
        <v>#REF!</v>
      </c>
      <c r="CE542" s="692" t="str" cm="1">
        <f t="array" aca="1" ref="CE542" ca="1">IFERROR(VLOOKUP(INDEX(CA539:CA550,CD542),INDIRECT(BY539),2,FALSE),"----")</f>
        <v>----</v>
      </c>
      <c r="CF542" s="691" t="e">
        <f t="shared" ca="1" si="9880"/>
        <v>#N/A</v>
      </c>
      <c r="CG542" s="4" t="e">
        <f ca="1">IF(AND(INDEX(SSM,CF542,4)&gt;=$AB539,INDEX(SSM,CF542,5)&gt;=$S539,INDEX(SSM,CF542,6)&gt;=$R539),1,0)</f>
        <v>#N/A</v>
      </c>
      <c r="CH542" s="4" t="e">
        <f t="shared" ref="CH542" ca="1" si="9930">MATCH(1,OFFSET(CG539:CG550,CI541,0,COUNT(CG539:CG550)-CI541),0)</f>
        <v>#REF!</v>
      </c>
      <c r="CI542" s="4" t="e">
        <f t="shared" ca="1" si="9882"/>
        <v>#REF!</v>
      </c>
      <c r="CJ542" s="692" t="str">
        <f ca="1">IFERROR(IF(AD540="Nested Steel Stud (wood infill)",VLOOKUP(INDEX(CF539:CF550,CI542),SSW,2,FALSE),VLOOKUP(INDEX(CF539:CF550,CI542),SSM,2,FALSE)),"----")</f>
        <v>----</v>
      </c>
      <c r="CK542" s="691" t="e">
        <f t="shared" ca="1" si="9883"/>
        <v>#N/A</v>
      </c>
      <c r="CL542" s="4" t="e">
        <f ca="1">IF(AND(INDEX(WSM,CK542,4)&gt;=$AB539,INDEX(WSM,CK542,5)&gt;=$S539,INDEX(WSM,CK542,6)&gt;=$R539),1,0)</f>
        <v>#N/A</v>
      </c>
      <c r="CM542" s="4" t="e">
        <f t="shared" ref="CM542" ca="1" si="9931">MATCH(1,OFFSET(CL539:CL550,CN541,0,COUNT(CL539:CL550)-CN541),0)</f>
        <v>#REF!</v>
      </c>
      <c r="CN542" s="4" t="e">
        <f t="shared" ca="1" si="9885"/>
        <v>#REF!</v>
      </c>
      <c r="CO542" s="692" t="str">
        <f ca="1">IFERROR(VLOOKUP(INDEX(CK539:CK550,CN542),WSM,2,FALSE),"----")</f>
        <v>----</v>
      </c>
      <c r="CP542" s="691" t="e">
        <f t="shared" ca="1" si="9886"/>
        <v>#N/A</v>
      </c>
      <c r="CQ542" s="4" t="e">
        <f ca="1">IF(AND(INDEX(STM,CP542,4)&gt;=$AB539,INDEX(STM,CP542,5)&gt;=$S539,INDEX(STM,CP542,6)&gt;=$R539),1,0)</f>
        <v>#N/A</v>
      </c>
      <c r="CR542" s="4" t="e">
        <f t="shared" ref="CR542" ca="1" si="9932">MATCH(1,OFFSET(CQ539:CQ550,CS541,0,COUNT(CQ539:CQ550)-CS541),0)</f>
        <v>#REF!</v>
      </c>
      <c r="CS542" s="4" t="e">
        <f t="shared" ca="1" si="9888"/>
        <v>#REF!</v>
      </c>
      <c r="CT542" s="692" t="str">
        <f ca="1">IFERROR(VLOOKUP(INDEX(CP539:CP550,CS542),STM,2,FALSE),"----")</f>
        <v>----</v>
      </c>
      <c r="CU542" s="691" t="e">
        <f t="shared" ca="1" si="9889"/>
        <v>#N/A</v>
      </c>
      <c r="CV542" s="4" t="e">
        <f ca="1">IF(AND(INDEX(ELM,CU542,4)&gt;=$AB539,INDEX(ELM,CU542,5)&gt;=$S539,INDEX(ELM,CU542,6)&gt;=$R539),1,0)</f>
        <v>#N/A</v>
      </c>
      <c r="CW542" s="4" t="e">
        <f t="shared" ref="CW542" ca="1" si="9933">MATCH(1,OFFSET(CV539:CV550,CX541,0,COUNT(CV539:CV550)-CX541),0)</f>
        <v>#REF!</v>
      </c>
      <c r="CX542" s="4" t="e">
        <f t="shared" ca="1" si="9891"/>
        <v>#REF!</v>
      </c>
      <c r="CY542" s="692" t="str">
        <f ca="1">IFERROR(VLOOKUP(INDEX(CU539:CU550,CX542),ELM,2,FALSE),"----")</f>
        <v>----</v>
      </c>
      <c r="CZ542" s="691" t="e">
        <f t="shared" ca="1" si="9892"/>
        <v>#N/A</v>
      </c>
      <c r="DA542" s="4" t="e">
        <f ca="1">IF(LEFT($J539,7)="Clad Wo",IF(AND(INDEX(SPPWS,CZ542,4)&gt;=$AB539,INDEX(SPPWS,CZ542,5)&gt;=$S539,INDEX(SPPWS,CZ542,6)&gt;=$R539),1,0),IF(AND(INDEX(SPM,CZ542,4)&gt;=$AB539,INDEX(SPM,CZ542,5)&gt;=$S539,INDEX(SPM,CZ542,6)&gt;=$R539),1,0))</f>
        <v>#N/A</v>
      </c>
      <c r="DB542" s="4" t="e">
        <f t="shared" ref="DB542" ca="1" si="9934">MATCH(1,OFFSET(DA539:DA550,DC541,0,COUNT(DA539:DA550)-DC541),0)</f>
        <v>#REF!</v>
      </c>
      <c r="DC542" s="4" t="e">
        <f t="shared" ca="1" si="9894"/>
        <v>#REF!</v>
      </c>
      <c r="DD542" s="693" t="str">
        <f ca="1">IF(LEFT($J539,7)="Clad Wo",IFERROR(VLOOKUP(INDEX(CZ539:CZ550,DC542),SPPWS,2,FALSE),"----"),IFERROR(VLOOKUP(INDEX(CZ539:CZ550,DC542),SPM,2,FALSE),"----"))</f>
        <v>----</v>
      </c>
      <c r="DE542" s="691" t="e">
        <f t="shared" ca="1" si="9895"/>
        <v>#REF!</v>
      </c>
      <c r="DF542" s="4" t="e" cm="1">
        <f t="array" aca="1" ref="DF542" ca="1">IF(AND(INDEX(INDIRECT(BY539),DE542,4)&gt;=$AB545,INDEX(INDIRECT(BY539),DE542,5)&gt;=$S539,INDEX(INDIRECT(BY539),DE542,6)&gt;=$R539),1,0)</f>
        <v>#REF!</v>
      </c>
      <c r="DG542" s="4" t="e">
        <f t="shared" ref="DG542" ca="1" si="9935">MATCH(1,OFFSET(DF539:DF550,DH541,0,COUNT(DF539:DF550)-DH541),0)</f>
        <v>#REF!</v>
      </c>
      <c r="DH542" s="4" t="e">
        <f t="shared" ca="1" si="9897"/>
        <v>#REF!</v>
      </c>
      <c r="DI542" s="692" t="str" cm="1">
        <f t="array" aca="1" ref="DI542" ca="1">IFERROR(VLOOKUP(INDEX(DE539:DE550,DH542),INDIRECT(BY539),2,FALSE),"----")</f>
        <v>----</v>
      </c>
      <c r="DJ542" s="691" t="e">
        <f t="shared" ca="1" si="9898"/>
        <v>#N/A</v>
      </c>
      <c r="DK542" s="4" t="e">
        <f ca="1">IF(AND(INDEX(SSM,DJ542,4)&gt;=$AB545,INDEX(SSM,DJ542,5)&gt;=$S539,INDEX(SSM,DJ542,6)&gt;=$R539),1,0)</f>
        <v>#N/A</v>
      </c>
      <c r="DL542" s="4" t="e">
        <f t="shared" ref="DL542" ca="1" si="9936">MATCH(1,OFFSET(DK539:DK550,DM541,0,COUNT(DK539:DK550)-DM541),0)</f>
        <v>#REF!</v>
      </c>
      <c r="DM542" s="4" t="e">
        <f t="shared" ca="1" si="9900"/>
        <v>#REF!</v>
      </c>
      <c r="DN542" s="692" t="str">
        <f ca="1">IFERROR(IF(AD546="Nested Steel Stud (wood infill)",VLOOKUP(INDEX(DJ539:DJ550,DM542),SSW,2,FALSE),VLOOKUP(INDEX(DJ539:DJ550,DM542),SSM,2,FALSE)),"----")</f>
        <v>----</v>
      </c>
      <c r="DO542" s="691" t="e">
        <f t="shared" ca="1" si="9901"/>
        <v>#N/A</v>
      </c>
      <c r="DP542" s="4" t="e">
        <f ca="1">IF(AND(INDEX(WSM,DO542,4)&gt;=$AB545,INDEX(WSM,DO542,5)&gt;=$S539,INDEX(WSM,DO542,6)&gt;=$R539),1,0)</f>
        <v>#N/A</v>
      </c>
      <c r="DQ542" s="4" t="e">
        <f t="shared" ref="DQ542" ca="1" si="9937">MATCH(1,OFFSET(DP539:DP550,DR541,0,COUNT(DP539:DP550)-DR541),0)</f>
        <v>#REF!</v>
      </c>
      <c r="DR542" s="4" t="e">
        <f t="shared" ca="1" si="9903"/>
        <v>#REF!</v>
      </c>
      <c r="DS542" s="692" t="str">
        <f ca="1">IFERROR(VLOOKUP(INDEX(DO539:DO550,DR542),WSM,2,FALSE),"----")</f>
        <v>----</v>
      </c>
      <c r="DT542" s="691" t="e">
        <f t="shared" ca="1" si="9904"/>
        <v>#N/A</v>
      </c>
      <c r="DU542" s="4" t="e">
        <f ca="1">IF(AND(INDEX(STM,DT542,4)&gt;=$AB545,INDEX(STM,DT542,5)&gt;=$S539,INDEX(STM,DT542,6)&gt;=$R539),1,0)</f>
        <v>#N/A</v>
      </c>
      <c r="DV542" s="4" t="e">
        <f t="shared" ref="DV542" ca="1" si="9938">MATCH(1,OFFSET(DU539:DU550,DW541,0,COUNT(DU539:DU550)-DW541),0)</f>
        <v>#REF!</v>
      </c>
      <c r="DW542" s="4" t="e">
        <f t="shared" ca="1" si="9906"/>
        <v>#REF!</v>
      </c>
      <c r="DX542" s="692" t="str">
        <f ca="1">IFERROR(VLOOKUP(INDEX(DT539:DT550,DW542),STM,2,FALSE),"----")</f>
        <v>----</v>
      </c>
      <c r="DY542" s="691" t="e">
        <f t="shared" ca="1" si="9907"/>
        <v>#N/A</v>
      </c>
      <c r="DZ542" s="4" t="e">
        <f ca="1">IF(AND(INDEX(ELM,DY542,4)&gt;=$AB545,INDEX(ELM,DY542,5)&gt;=$S539,INDEX(ELM,DY542,6)&gt;=$R539),1,0)</f>
        <v>#N/A</v>
      </c>
      <c r="EA542" s="4" t="e">
        <f t="shared" ref="EA542" ca="1" si="9939">MATCH(1,OFFSET(DZ539:DZ550,EB541,0,COUNT(DZ539:DZ550)-EB541),0)</f>
        <v>#REF!</v>
      </c>
      <c r="EB542" s="4" t="e">
        <f t="shared" ca="1" si="9909"/>
        <v>#REF!</v>
      </c>
      <c r="EC542" s="692" t="str">
        <f ca="1">IFERROR(VLOOKUP(INDEX(DY539:DY550,EB542),ELM,2,FALSE),"----")</f>
        <v>----</v>
      </c>
      <c r="ED542" s="691" t="e">
        <f t="shared" ca="1" si="9910"/>
        <v>#N/A</v>
      </c>
      <c r="EE542" s="4" t="e">
        <f ca="1">IF(LEFT($J539,7)="Clad Wo",IF(AND(INDEX(SPPWS,ED542,4)&gt;=$AB545,INDEX(SPPWS,ED542,5)&gt;=$S539,INDEX(SPPWS,ED542,6)&gt;=$R539),1,0),IF(AND(INDEX(SPM,ED542,4)&gt;=$AB545,INDEX(SPM,ED542,5)&gt;=$S539,INDEX(SPM,ED542,6)&gt;=$R539),1,0))</f>
        <v>#N/A</v>
      </c>
      <c r="EF542" s="4" t="e">
        <f t="shared" ref="EF542" ca="1" si="9940">MATCH(1,OFFSET(EE539:EE550,EG541,0,COUNT(EE539:EE550)-EG541),0)</f>
        <v>#REF!</v>
      </c>
      <c r="EG542" s="4" t="e">
        <f t="shared" ca="1" si="9912"/>
        <v>#REF!</v>
      </c>
      <c r="EH542" s="692" t="str">
        <f ca="1">IF(LEFT($J539,7)="Clad Wo",IFERROR(VLOOKUP(INDEX(ED539:ED550,EG542),SPPWS,2,FALSE),"----"),IFERROR(VLOOKUP(INDEX(ED539:ED550,EG542),SPM,2,FALSE),"----"))</f>
        <v>----</v>
      </c>
    </row>
    <row r="543" spans="1:138" ht="15" customHeight="1" x14ac:dyDescent="0.25">
      <c r="A543" s="1085"/>
      <c r="B543" s="925"/>
      <c r="C543" s="926"/>
      <c r="D543" s="927"/>
      <c r="E543" s="995"/>
      <c r="F543" s="996"/>
      <c r="G543" s="997"/>
      <c r="H543" s="1062"/>
      <c r="I543" s="990"/>
      <c r="J543" s="910"/>
      <c r="K543" s="911"/>
      <c r="L543" s="1002"/>
      <c r="M543" s="923"/>
      <c r="N543" s="1042"/>
      <c r="O543" s="1018"/>
      <c r="P543" s="987"/>
      <c r="Q543" s="1015"/>
      <c r="R543" s="1012"/>
      <c r="S543" s="1006"/>
      <c r="T543" s="1007"/>
      <c r="U543" s="878"/>
      <c r="V543" s="881"/>
      <c r="W543" s="884"/>
      <c r="X543" s="884"/>
      <c r="Y543" s="887"/>
      <c r="Z543" s="887"/>
      <c r="AA543" s="887"/>
      <c r="AB543" s="1081"/>
      <c r="AC543" s="1078"/>
      <c r="AD543" s="1070" t="s">
        <v>39</v>
      </c>
      <c r="AE543" s="1071"/>
      <c r="AF543" s="1052"/>
      <c r="AG543" s="1053"/>
      <c r="AH543" s="1053"/>
      <c r="AI543" s="1068"/>
      <c r="AJ543" s="1069"/>
      <c r="AK543" s="154" t="str">
        <f t="shared" ca="1" si="8761"/>
        <v/>
      </c>
      <c r="AL543" s="1039"/>
      <c r="AM543" s="344" t="str">
        <f ca="1">IFERROR(Q539/12*ROUND(VLOOKUP(AF543,OFFSET(ELM,0,1),6,FALSE),2),"")</f>
        <v/>
      </c>
      <c r="AN543" t="str">
        <f t="shared" ca="1" si="8785"/>
        <v/>
      </c>
      <c r="AP543" s="122" t="str">
        <f t="shared" ref="AP543" si="9941">_xlfn.CONCAT(AR543,AS544)</f>
        <v/>
      </c>
      <c r="AQ543" s="683" t="str">
        <f t="shared" si="8985"/>
        <v/>
      </c>
      <c r="AR543" s="4" t="str">
        <f t="shared" si="8745"/>
        <v/>
      </c>
      <c r="AS543" s="4"/>
      <c r="AT543" s="697" t="str">
        <f>AL539</f>
        <v/>
      </c>
      <c r="AU543" s="694" t="e">
        <f t="shared" ca="1" si="9002"/>
        <v>#REF!</v>
      </c>
      <c r="AV543" s="698" t="str">
        <f ca="1">IFERROR(VLOOKUP(AU543,INDIRECT(AQ539),2,FALSE),"----")</f>
        <v>----</v>
      </c>
      <c r="AW543" s="694" t="e">
        <f t="shared" ca="1" si="9003"/>
        <v>#REF!</v>
      </c>
      <c r="AX543" s="698" t="str">
        <f ca="1">IFERROR(VLOOKUP(AW543,INDIRECT(AQ540),2,FALSE),"----")</f>
        <v>----</v>
      </c>
      <c r="AY543" s="694" t="e">
        <f t="shared" ref="AY543" ca="1" si="9942">AY542-1</f>
        <v>#REF!</v>
      </c>
      <c r="AZ543" s="698" t="str">
        <f ca="1">IFERROR(VLOOKUP(AY543,INDIRECT(AQ541),2,FALSE),"----")</f>
        <v>----</v>
      </c>
      <c r="BA543" s="694" t="e">
        <f t="shared" ref="BA543" ca="1" si="9943">BA542-1</f>
        <v>#REF!</v>
      </c>
      <c r="BB543" s="698" t="str">
        <f ca="1">IFERROR(VLOOKUP(BA543,INDIRECT(AQ542),2,FALSE),"----")</f>
        <v>----</v>
      </c>
      <c r="BC543" s="694" t="e">
        <f t="shared" ca="1" si="9006"/>
        <v>#REF!</v>
      </c>
      <c r="BD543" s="698" t="str">
        <f ca="1">IFERROR(VLOOKUP(BC543,INDIRECT(AQ543),2,FALSE),"----")</f>
        <v>----</v>
      </c>
      <c r="BE543" s="694" t="e">
        <f t="shared" ca="1" si="9007"/>
        <v>#REF!</v>
      </c>
      <c r="BF543" s="698" t="str">
        <f ca="1">IFERROR(VLOOKUP(BE543,INDIRECT(AQ544),2,FALSE),"----")</f>
        <v>----</v>
      </c>
      <c r="BG543" s="694" t="e">
        <f t="shared" ca="1" si="9008"/>
        <v>#REF!</v>
      </c>
      <c r="BH543" s="686" t="str">
        <f ca="1">IFERROR(VLOOKUP(BG543,INDIRECT(AQ545),2,FALSE),"----")</f>
        <v>----</v>
      </c>
      <c r="BI543" s="694" t="e">
        <f t="shared" ca="1" si="9009"/>
        <v>#REF!</v>
      </c>
      <c r="BJ543" s="686" t="str">
        <f ca="1">IFERROR(VLOOKUP(BI543,INDIRECT(AQ546),2,FALSE),"----")</f>
        <v>----</v>
      </c>
      <c r="BK543" s="694" t="e">
        <f t="shared" ca="1" si="9010"/>
        <v>#REF!</v>
      </c>
      <c r="BL543" s="686" t="str">
        <f ca="1">IFERROR(VLOOKUP(BK543,INDIRECT(AQ547),2,FALSE),"----")</f>
        <v>----</v>
      </c>
      <c r="BM543" s="694" t="e">
        <f t="shared" ca="1" si="9011"/>
        <v>#REF!</v>
      </c>
      <c r="BN543" s="686" t="str">
        <f ca="1">IFERROR(VLOOKUP(BM543,INDIRECT(AQ548),2,FALSE),"----")</f>
        <v>----</v>
      </c>
      <c r="BO543" s="694" t="e">
        <f t="shared" ca="1" si="9012"/>
        <v>#REF!</v>
      </c>
      <c r="BP543" s="686" t="str">
        <f ca="1">IFERROR(VLOOKUP(BO543,INDIRECT(AQ549),2,FALSE),"----")</f>
        <v>----</v>
      </c>
      <c r="BQ543" s="694" t="e">
        <f t="shared" ca="1" si="9013"/>
        <v>#REF!</v>
      </c>
      <c r="BR543" s="686" t="str">
        <f ca="1">IFERROR(VLOOKUP(BQ543,INDIRECT(AQ550),2,FALSE),"----")</f>
        <v>----</v>
      </c>
      <c r="BS543" s="695">
        <f>IF(AI543="",1,IF(COUNTIF(BD539:BD550,AI543)=0,2,1))</f>
        <v>1</v>
      </c>
      <c r="BT543" s="696">
        <f>IF(AF543="",1,IF(BD539=".",2,1))</f>
        <v>1</v>
      </c>
      <c r="BU543" s="706"/>
      <c r="BV543" s="155">
        <f ca="1">IF(COUNTIF(CY539:CY550,AF543)=0,IF(AF543&lt;&gt;"",0,1),1)</f>
        <v>1</v>
      </c>
      <c r="BW543" s="157">
        <f ca="1">IFERROR(MATCH(AF543,CY539:CY550,0),1)</f>
        <v>1</v>
      </c>
      <c r="BX543" s="769"/>
      <c r="BY543" s="769"/>
      <c r="BZ543" s="1110"/>
      <c r="CA543" s="691" t="e">
        <f t="shared" ca="1" si="9877"/>
        <v>#REF!</v>
      </c>
      <c r="CB543" s="4" t="e" cm="1">
        <f t="array" aca="1" ref="CB543" ca="1">IF(AND(INDEX(INDIRECT(BY539),CA543,4)&gt;=$AB539,INDEX(INDIRECT(BY539),CA543,5)&gt;=$S539,INDEX(INDIRECT(BY539),CA543,6)&gt;=$R539),1,0)</f>
        <v>#REF!</v>
      </c>
      <c r="CC543" s="4" t="e">
        <f t="shared" ref="CC543" ca="1" si="9944">MATCH(1,OFFSET(CB539:CB550,CD542,0,COUNT(CB539:CB550)-CD542),0)</f>
        <v>#REF!</v>
      </c>
      <c r="CD543" s="4" t="e">
        <f t="shared" ca="1" si="9879"/>
        <v>#REF!</v>
      </c>
      <c r="CE543" s="692" t="str" cm="1">
        <f t="array" aca="1" ref="CE543" ca="1">IFERROR(VLOOKUP(INDEX(CA539:CA550,CD543),INDIRECT(BY539),2,FALSE),"----")</f>
        <v>----</v>
      </c>
      <c r="CF543" s="691" t="e">
        <f t="shared" ca="1" si="9880"/>
        <v>#N/A</v>
      </c>
      <c r="CG543" s="4" t="e">
        <f ca="1">IF(AND(INDEX(SSM,CF543,4)&gt;=$AB539,INDEX(SSM,CF543,5)&gt;=$S539,INDEX(SSM,CF543,6)&gt;=$R539),1,0)</f>
        <v>#N/A</v>
      </c>
      <c r="CH543" s="4" t="e">
        <f t="shared" ref="CH543" ca="1" si="9945">MATCH(1,OFFSET(CG539:CG550,CI542,0,COUNT(CG539:CG550)-CI542),0)</f>
        <v>#REF!</v>
      </c>
      <c r="CI543" s="4" t="e">
        <f t="shared" ca="1" si="9882"/>
        <v>#REF!</v>
      </c>
      <c r="CJ543" s="692" t="str">
        <f ca="1">IFERROR(IF(AD540="Nested Steel Stud (wood infill)",VLOOKUP(INDEX(CF539:CF550,CI543),SSW,2,FALSE),VLOOKUP(INDEX(CF539:CF550,CI543),SSM,2,FALSE)),"----")</f>
        <v>----</v>
      </c>
      <c r="CK543" s="691" t="e">
        <f t="shared" ca="1" si="9883"/>
        <v>#N/A</v>
      </c>
      <c r="CL543" s="4" t="e">
        <f ca="1">IF(AND(INDEX(WSM,CK543,4)&gt;=$AB539,INDEX(WSM,CK543,5)&gt;=$S539,INDEX(WSM,CK543,6)&gt;=$R539),1,0)</f>
        <v>#N/A</v>
      </c>
      <c r="CM543" s="4" t="e">
        <f t="shared" ref="CM543" ca="1" si="9946">MATCH(1,OFFSET(CL539:CL550,CN542,0,COUNT(CL539:CL550)-CN542),0)</f>
        <v>#REF!</v>
      </c>
      <c r="CN543" s="4" t="e">
        <f t="shared" ca="1" si="9885"/>
        <v>#REF!</v>
      </c>
      <c r="CO543" s="692" t="str">
        <f ca="1">IFERROR(VLOOKUP(INDEX(CK539:CK550,CN543),WSM,2,FALSE),"----")</f>
        <v>----</v>
      </c>
      <c r="CP543" s="691" t="e">
        <f t="shared" ca="1" si="9886"/>
        <v>#N/A</v>
      </c>
      <c r="CQ543" s="4" t="e">
        <f ca="1">IF(AND(INDEX(STM,CP543,4)&gt;=$AB539,INDEX(STM,CP543,5)&gt;=$S539,INDEX(STM,CP543,6)&gt;=$R539),1,0)</f>
        <v>#N/A</v>
      </c>
      <c r="CR543" s="4" t="e">
        <f t="shared" ref="CR543" ca="1" si="9947">MATCH(1,OFFSET(CQ539:CQ550,CS542,0,COUNT(CQ539:CQ550)-CS542),0)</f>
        <v>#REF!</v>
      </c>
      <c r="CS543" s="4" t="e">
        <f t="shared" ca="1" si="9888"/>
        <v>#REF!</v>
      </c>
      <c r="CT543" s="692" t="str">
        <f ca="1">IFERROR(VLOOKUP(INDEX(CP539:CP550,CS543),STM,2,FALSE),"----")</f>
        <v>----</v>
      </c>
      <c r="CU543" s="691" t="e">
        <f t="shared" ca="1" si="9889"/>
        <v>#N/A</v>
      </c>
      <c r="CV543" s="4" t="e">
        <f ca="1">IF(AND(INDEX(ELM,CU543,4)&gt;=$AB539,INDEX(ELM,CU543,5)&gt;=$S539,INDEX(ELM,CU543,6)&gt;=$R539),1,0)</f>
        <v>#N/A</v>
      </c>
      <c r="CW543" s="4" t="e">
        <f t="shared" ref="CW543" ca="1" si="9948">MATCH(1,OFFSET(CV539:CV550,CX542,0,COUNT(CV539:CV550)-CX542),0)</f>
        <v>#REF!</v>
      </c>
      <c r="CX543" s="4" t="e">
        <f t="shared" ca="1" si="9891"/>
        <v>#REF!</v>
      </c>
      <c r="CY543" s="692" t="str">
        <f ca="1">IFERROR(VLOOKUP(INDEX(CU539:CU550,CX543),ELM,2,FALSE),"----")</f>
        <v>----</v>
      </c>
      <c r="CZ543" s="691" t="e">
        <f t="shared" ca="1" si="9892"/>
        <v>#N/A</v>
      </c>
      <c r="DA543" s="4" t="e">
        <f ca="1">IF(LEFT($J539,7)="Clad Wo",IF(AND(INDEX(SPPWS,CZ543,4)&gt;=$AB539,INDEX(SPPWS,CZ543,5)&gt;=$S539,INDEX(SPPWS,CZ543,6)&gt;=$R539),1,0),IF(AND(INDEX(SPM,CZ543,4)&gt;=$AB539,INDEX(SPM,CZ543,5)&gt;=$S539,INDEX(SPM,CZ543,6)&gt;=$R539),1,0))</f>
        <v>#N/A</v>
      </c>
      <c r="DB543" s="4" t="e">
        <f t="shared" ref="DB543" ca="1" si="9949">MATCH(1,OFFSET(DA539:DA550,DC542,0,COUNT(DA539:DA550)-DC542),0)</f>
        <v>#REF!</v>
      </c>
      <c r="DC543" s="4" t="e">
        <f t="shared" ca="1" si="9894"/>
        <v>#REF!</v>
      </c>
      <c r="DD543" s="693" t="str">
        <f ca="1">IF(LEFT($J539,7)="Clad Wo",IFERROR(VLOOKUP(INDEX(CZ539:CZ550,DC543),SPPWS,2,FALSE),"----"),IFERROR(VLOOKUP(INDEX(CZ539:CZ550,DC543),SPM,2,FALSE),"----"))</f>
        <v>----</v>
      </c>
      <c r="DE543" s="691" t="e">
        <f t="shared" ca="1" si="9895"/>
        <v>#REF!</v>
      </c>
      <c r="DF543" s="4" t="e" cm="1">
        <f t="array" aca="1" ref="DF543" ca="1">IF(AND(INDEX(INDIRECT(BY539),DE543,4)&gt;=$AB545,INDEX(INDIRECT(BY539),DE543,5)&gt;=$S539,INDEX(INDIRECT(BY539),DE543,6)&gt;=$R539),1,0)</f>
        <v>#REF!</v>
      </c>
      <c r="DG543" s="4" t="e">
        <f t="shared" ref="DG543" ca="1" si="9950">MATCH(1,OFFSET(DF539:DF550,DH542,0,COUNT(DF539:DF550)-DH542),0)</f>
        <v>#REF!</v>
      </c>
      <c r="DH543" s="4" t="e">
        <f t="shared" ca="1" si="9897"/>
        <v>#REF!</v>
      </c>
      <c r="DI543" s="692" t="str" cm="1">
        <f t="array" aca="1" ref="DI543" ca="1">IFERROR(VLOOKUP(INDEX(DE539:DE550,DH543),INDIRECT(BY539),2,FALSE),"----")</f>
        <v>----</v>
      </c>
      <c r="DJ543" s="691" t="e">
        <f t="shared" ca="1" si="9898"/>
        <v>#N/A</v>
      </c>
      <c r="DK543" s="4" t="e">
        <f ca="1">IF(AND(INDEX(SSM,DJ543,4)&gt;=$AB545,INDEX(SSM,DJ543,5)&gt;=$S539,INDEX(SSM,DJ543,6)&gt;=$R539),1,0)</f>
        <v>#N/A</v>
      </c>
      <c r="DL543" s="4" t="e">
        <f t="shared" ref="DL543" ca="1" si="9951">MATCH(1,OFFSET(DK539:DK550,DM542,0,COUNT(DK539:DK550)-DM542),0)</f>
        <v>#REF!</v>
      </c>
      <c r="DM543" s="4" t="e">
        <f t="shared" ca="1" si="9900"/>
        <v>#REF!</v>
      </c>
      <c r="DN543" s="692" t="str">
        <f ca="1">IFERROR(IF(AD546="Nested Steel Stud (wood infill)",VLOOKUP(INDEX(DJ539:DJ550,DM543),SSW,2,FALSE),VLOOKUP(INDEX(DJ539:DJ550,DM543),SSM,2,FALSE)),"----")</f>
        <v>----</v>
      </c>
      <c r="DO543" s="691" t="e">
        <f t="shared" ca="1" si="9901"/>
        <v>#N/A</v>
      </c>
      <c r="DP543" s="4" t="e">
        <f ca="1">IF(AND(INDEX(WSM,DO543,4)&gt;=$AB545,INDEX(WSM,DO543,5)&gt;=$S539,INDEX(WSM,DO543,6)&gt;=$R539),1,0)</f>
        <v>#N/A</v>
      </c>
      <c r="DQ543" s="4" t="e">
        <f t="shared" ref="DQ543" ca="1" si="9952">MATCH(1,OFFSET(DP539:DP550,DR542,0,COUNT(DP539:DP550)-DR542),0)</f>
        <v>#REF!</v>
      </c>
      <c r="DR543" s="4" t="e">
        <f t="shared" ca="1" si="9903"/>
        <v>#REF!</v>
      </c>
      <c r="DS543" s="692" t="str">
        <f ca="1">IFERROR(VLOOKUP(INDEX(DO539:DO550,DR543),WSM,2,FALSE),"----")</f>
        <v>----</v>
      </c>
      <c r="DT543" s="691" t="e">
        <f t="shared" ca="1" si="9904"/>
        <v>#N/A</v>
      </c>
      <c r="DU543" s="4" t="e">
        <f ca="1">IF(AND(INDEX(STM,DT543,4)&gt;=$AB545,INDEX(STM,DT543,5)&gt;=$S539,INDEX(STM,DT543,6)&gt;=$R539),1,0)</f>
        <v>#N/A</v>
      </c>
      <c r="DV543" s="4" t="e">
        <f t="shared" ref="DV543" ca="1" si="9953">MATCH(1,OFFSET(DU539:DU550,DW542,0,COUNT(DU539:DU550)-DW542),0)</f>
        <v>#REF!</v>
      </c>
      <c r="DW543" s="4" t="e">
        <f t="shared" ca="1" si="9906"/>
        <v>#REF!</v>
      </c>
      <c r="DX543" s="692" t="str">
        <f ca="1">IFERROR(VLOOKUP(INDEX(DT539:DT550,DW543),STM,2,FALSE),"----")</f>
        <v>----</v>
      </c>
      <c r="DY543" s="691" t="e">
        <f t="shared" ca="1" si="9907"/>
        <v>#N/A</v>
      </c>
      <c r="DZ543" s="4" t="e">
        <f ca="1">IF(AND(INDEX(ELM,DY543,4)&gt;=$AB545,INDEX(ELM,DY543,5)&gt;=$S539,INDEX(ELM,DY543,6)&gt;=$R539),1,0)</f>
        <v>#N/A</v>
      </c>
      <c r="EA543" s="4" t="e">
        <f t="shared" ref="EA543" ca="1" si="9954">MATCH(1,OFFSET(DZ539:DZ550,EB542,0,COUNT(DZ539:DZ550)-EB542),0)</f>
        <v>#REF!</v>
      </c>
      <c r="EB543" s="4" t="e">
        <f t="shared" ca="1" si="9909"/>
        <v>#REF!</v>
      </c>
      <c r="EC543" s="692" t="str">
        <f ca="1">IFERROR(VLOOKUP(INDEX(DY539:DY550,EB543),ELM,2,FALSE),"----")</f>
        <v>----</v>
      </c>
      <c r="ED543" s="691" t="e">
        <f t="shared" ca="1" si="9910"/>
        <v>#N/A</v>
      </c>
      <c r="EE543" s="4" t="e">
        <f ca="1">IF(LEFT($J539,7)="Clad Wo",IF(AND(INDEX(SPPWS,ED543,4)&gt;=$AB545,INDEX(SPPWS,ED543,5)&gt;=$S539,INDEX(SPPWS,ED543,6)&gt;=$R539),1,0),IF(AND(INDEX(SPM,ED543,4)&gt;=$AB545,INDEX(SPM,ED543,5)&gt;=$S539,INDEX(SPM,ED543,6)&gt;=$R539),1,0))</f>
        <v>#N/A</v>
      </c>
      <c r="EF543" s="4" t="e">
        <f t="shared" ref="EF543" ca="1" si="9955">MATCH(1,OFFSET(EE539:EE550,EG542,0,COUNT(EE539:EE550)-EG542),0)</f>
        <v>#REF!</v>
      </c>
      <c r="EG543" s="4" t="e">
        <f t="shared" ca="1" si="9912"/>
        <v>#REF!</v>
      </c>
      <c r="EH543" s="692" t="str">
        <f ca="1">IF(LEFT($J539,7)="Clad Wo",IFERROR(VLOOKUP(INDEX(ED539:ED550,EG543),SPPWS,2,FALSE),"----"),IFERROR(VLOOKUP(INDEX(ED539:ED550,EG543),SPM,2,FALSE),"----"))</f>
        <v>----</v>
      </c>
    </row>
    <row r="544" spans="1:138" ht="15" customHeight="1" thickBot="1" x14ac:dyDescent="0.3">
      <c r="A544" s="1085"/>
      <c r="B544" s="934"/>
      <c r="C544" s="935"/>
      <c r="D544" s="936"/>
      <c r="E544" s="995"/>
      <c r="F544" s="996"/>
      <c r="G544" s="997"/>
      <c r="H544" s="1062"/>
      <c r="I544" s="990"/>
      <c r="J544" s="908"/>
      <c r="K544" s="909"/>
      <c r="L544" s="1010"/>
      <c r="M544" s="924"/>
      <c r="N544" s="1044"/>
      <c r="O544" s="1018"/>
      <c r="P544" s="987"/>
      <c r="Q544" s="1015"/>
      <c r="R544" s="1012"/>
      <c r="S544" s="1006"/>
      <c r="T544" s="1007"/>
      <c r="U544" s="878"/>
      <c r="V544" s="881"/>
      <c r="W544" s="889"/>
      <c r="X544" s="884"/>
      <c r="Y544" s="890"/>
      <c r="Z544" s="890"/>
      <c r="AA544" s="887"/>
      <c r="AB544" s="1084"/>
      <c r="AC544" s="1079"/>
      <c r="AD544" s="1072" t="str">
        <f t="shared" ref="AD544" si="9956">IF(LEFT(J539,7)="Clad Wo","Pella Wood Spr / Steel Pte","Steel Plate")</f>
        <v>Steel Plate</v>
      </c>
      <c r="AE544" s="1073"/>
      <c r="AF544" s="1054"/>
      <c r="AG544" s="1055"/>
      <c r="AH544" s="1055"/>
      <c r="AI544" s="1092"/>
      <c r="AJ544" s="1093"/>
      <c r="AK544" s="159" t="str">
        <f t="shared" ca="1" si="8761"/>
        <v/>
      </c>
      <c r="AL544" s="1040"/>
      <c r="AM544" s="345" t="str">
        <f ca="1">IFERROR(Q539/12*ROUND(VLOOKUP(AF544,OFFSET(SPM,0,1),6,FALSE),2),"")</f>
        <v/>
      </c>
      <c r="AN544" t="str">
        <f t="shared" ca="1" si="8785"/>
        <v/>
      </c>
      <c r="AP544" s="699" t="str">
        <f t="shared" ref="AP544" si="9957">_xlfn.CONCAT(AR544,AS544)</f>
        <v/>
      </c>
      <c r="AQ544" s="700" t="str">
        <f t="shared" si="8985"/>
        <v/>
      </c>
      <c r="AR544" s="160" t="str">
        <f t="shared" si="8745"/>
        <v/>
      </c>
      <c r="AS544" s="160" t="str">
        <f>IFERROR(VLOOKUP(J547, WallType,2,FALSE),"")</f>
        <v/>
      </c>
      <c r="AT544" s="701" t="str">
        <f>AL539</f>
        <v/>
      </c>
      <c r="AU544" s="694" t="e">
        <f t="shared" ca="1" si="9002"/>
        <v>#REF!</v>
      </c>
      <c r="AV544" s="698" t="str">
        <f ca="1">IFERROR(VLOOKUP(AU544,INDIRECT(AQ539),2,FALSE),"----")</f>
        <v>----</v>
      </c>
      <c r="AW544" s="702" t="e">
        <f t="shared" ca="1" si="9003"/>
        <v>#REF!</v>
      </c>
      <c r="AX544" s="698" t="str">
        <f ca="1">IFERROR(VLOOKUP(AW544,INDIRECT(AQ540),2,FALSE),"----")</f>
        <v>----</v>
      </c>
      <c r="AY544" s="702" t="e">
        <f t="shared" ref="AY544" ca="1" si="9958">AY543-1</f>
        <v>#REF!</v>
      </c>
      <c r="AZ544" s="698" t="str">
        <f ca="1">IFERROR(VLOOKUP(AY544,INDIRECT(AQ541),2,FALSE),"----")</f>
        <v>----</v>
      </c>
      <c r="BA544" s="702" t="e">
        <f t="shared" ref="BA544" ca="1" si="9959">BA543-1</f>
        <v>#REF!</v>
      </c>
      <c r="BB544" s="698" t="str">
        <f ca="1">IFERROR(VLOOKUP(BA544,INDIRECT(AQ542),2,FALSE),"----")</f>
        <v>----</v>
      </c>
      <c r="BC544" s="702" t="e">
        <f t="shared" ca="1" si="9006"/>
        <v>#REF!</v>
      </c>
      <c r="BD544" s="698" t="str">
        <f ca="1">IFERROR(VLOOKUP(BC544,INDIRECT(AQ543),2,FALSE),"----")</f>
        <v>----</v>
      </c>
      <c r="BE544" s="702" t="e">
        <f t="shared" ca="1" si="9007"/>
        <v>#REF!</v>
      </c>
      <c r="BF544" s="698" t="str">
        <f ca="1">IFERROR(VLOOKUP(BE544,INDIRECT(AQ544),2,FALSE),"----")</f>
        <v>----</v>
      </c>
      <c r="BG544" s="702" t="e">
        <f t="shared" ca="1" si="9008"/>
        <v>#REF!</v>
      </c>
      <c r="BH544" s="686" t="str">
        <f ca="1">IFERROR(VLOOKUP(BG544,INDIRECT(AQ545),2,FALSE),"----")</f>
        <v>----</v>
      </c>
      <c r="BI544" s="702" t="e">
        <f t="shared" ca="1" si="9009"/>
        <v>#REF!</v>
      </c>
      <c r="BJ544" s="686" t="str">
        <f ca="1">IFERROR(VLOOKUP(BI544,INDIRECT(AQ546),2,FALSE),"----")</f>
        <v>----</v>
      </c>
      <c r="BK544" s="702" t="e">
        <f t="shared" ca="1" si="9010"/>
        <v>#REF!</v>
      </c>
      <c r="BL544" s="686" t="str">
        <f ca="1">IFERROR(VLOOKUP(BK544,INDIRECT(AQ547),2,FALSE),"----")</f>
        <v>----</v>
      </c>
      <c r="BM544" s="702" t="e">
        <f t="shared" ca="1" si="9011"/>
        <v>#REF!</v>
      </c>
      <c r="BN544" s="686" t="str">
        <f ca="1">IFERROR(VLOOKUP(BM544,INDIRECT(AQ548),2,FALSE),"----")</f>
        <v>----</v>
      </c>
      <c r="BO544" s="702" t="e">
        <f t="shared" ca="1" si="9012"/>
        <v>#REF!</v>
      </c>
      <c r="BP544" s="686" t="str">
        <f ca="1">IFERROR(VLOOKUP(BO544,INDIRECT(AQ549),2,FALSE),"----")</f>
        <v>----</v>
      </c>
      <c r="BQ544" s="702" t="e">
        <f t="shared" ca="1" si="9013"/>
        <v>#REF!</v>
      </c>
      <c r="BR544" s="686" t="str">
        <f ca="1">IFERROR(VLOOKUP(BQ544,INDIRECT(AQ550),2,FALSE),"----")</f>
        <v>----</v>
      </c>
      <c r="BS544" s="703">
        <f>IF(AI544="",1,IF(COUNTIF(BF539:BF550,AI544)=0,2,1))</f>
        <v>1</v>
      </c>
      <c r="BT544" s="704">
        <f>IF(AF544="",1,IF(BF539=".",2,1))</f>
        <v>1</v>
      </c>
      <c r="BV544" s="155">
        <f ca="1">IF(COUNTIF(DD539:DD550,AF544)=0,IF(AF544&lt;&gt;"",0,1),1)</f>
        <v>1</v>
      </c>
      <c r="BW544" s="157">
        <f ca="1">IFERROR(MATCH(AF544,DD539:DD550,0),1)</f>
        <v>1</v>
      </c>
      <c r="BX544" s="875" t="s">
        <v>1594</v>
      </c>
      <c r="BY544" s="876"/>
      <c r="BZ544" s="1110"/>
      <c r="CA544" s="691" t="e">
        <f t="shared" ca="1" si="9877"/>
        <v>#REF!</v>
      </c>
      <c r="CB544" s="4" t="e" cm="1">
        <f t="array" aca="1" ref="CB544" ca="1">IF(AND(INDEX(INDIRECT(BY539),CA544,4)&gt;=$AB539,INDEX(INDIRECT(BY539),CA544,5)&gt;=$S539,INDEX(INDIRECT(BY539),CA544,6)&gt;=$R539),1,0)</f>
        <v>#REF!</v>
      </c>
      <c r="CC544" s="4" t="e">
        <f t="shared" ref="CC544" ca="1" si="9960">MATCH(1,OFFSET(CB539:CB550,CD543,0,COUNT(CB539:CB550)-CD543),0)</f>
        <v>#REF!</v>
      </c>
      <c r="CD544" s="4" t="e">
        <f t="shared" ca="1" si="9879"/>
        <v>#REF!</v>
      </c>
      <c r="CE544" s="692" t="str" cm="1">
        <f t="array" aca="1" ref="CE544" ca="1">IFERROR(VLOOKUP(INDEX(CA539:CA550,CD544),INDIRECT(BY539),2,FALSE),"----")</f>
        <v>----</v>
      </c>
      <c r="CF544" s="691" t="e">
        <f t="shared" ca="1" si="9880"/>
        <v>#N/A</v>
      </c>
      <c r="CG544" s="4" t="e">
        <f ca="1">IF(AND(INDEX(SSM,CF544,4)&gt;=$AB539,INDEX(SSM,CF544,5)&gt;=$S539,INDEX(SSM,CF544,6)&gt;=$R539),1,0)</f>
        <v>#N/A</v>
      </c>
      <c r="CH544" s="4" t="e">
        <f t="shared" ref="CH544" ca="1" si="9961">MATCH(1,OFFSET(CG539:CG550,CI543,0,COUNT(CG539:CG550)-CI543),0)</f>
        <v>#REF!</v>
      </c>
      <c r="CI544" s="4" t="e">
        <f t="shared" ca="1" si="9882"/>
        <v>#REF!</v>
      </c>
      <c r="CJ544" s="692" t="str">
        <f ca="1">IFERROR(IF(AD540="Nested Steel Stud (wood infill)",VLOOKUP(INDEX(CF539:CF550,CI544),SSW,2,FALSE),VLOOKUP(INDEX(CF539:CF550,CI544),SSM,2,FALSE)),"----")</f>
        <v>----</v>
      </c>
      <c r="CK544" s="691" t="e">
        <f t="shared" ca="1" si="9883"/>
        <v>#N/A</v>
      </c>
      <c r="CL544" s="4" t="e">
        <f ca="1">IF(AND(INDEX(WSM,CK544,4)&gt;=$AB539,INDEX(WSM,CK544,5)&gt;=$S539,INDEX(WSM,CK544,6)&gt;=$R539),1,0)</f>
        <v>#N/A</v>
      </c>
      <c r="CM544" s="4" t="e">
        <f t="shared" ref="CM544" ca="1" si="9962">MATCH(1,OFFSET(CL539:CL550,CN543,0,COUNT(CL539:CL550)-CN543),0)</f>
        <v>#REF!</v>
      </c>
      <c r="CN544" s="4" t="e">
        <f t="shared" ca="1" si="9885"/>
        <v>#REF!</v>
      </c>
      <c r="CO544" s="692" t="str">
        <f ca="1">IFERROR(VLOOKUP(INDEX(CK539:CK550,CN544),WSM,2,FALSE),"----")</f>
        <v>----</v>
      </c>
      <c r="CP544" s="691" t="e">
        <f t="shared" ca="1" si="9886"/>
        <v>#N/A</v>
      </c>
      <c r="CQ544" s="4" t="e">
        <f ca="1">IF(AND(INDEX(STM,CP544,4)&gt;=$AB539,INDEX(STM,CP544,5)&gt;=$S539,INDEX(STM,CP544,6)&gt;=$R539),1,0)</f>
        <v>#N/A</v>
      </c>
      <c r="CR544" s="4" t="e">
        <f t="shared" ref="CR544" ca="1" si="9963">MATCH(1,OFFSET(CQ539:CQ550,CS543,0,COUNT(CQ539:CQ550)-CS543),0)</f>
        <v>#REF!</v>
      </c>
      <c r="CS544" s="4" t="e">
        <f t="shared" ca="1" si="9888"/>
        <v>#REF!</v>
      </c>
      <c r="CT544" s="692" t="str">
        <f ca="1">IFERROR(VLOOKUP(INDEX(CP539:CP550,CS544),STM,2,FALSE),"----")</f>
        <v>----</v>
      </c>
      <c r="CU544" s="691" t="e">
        <f t="shared" ca="1" si="9889"/>
        <v>#N/A</v>
      </c>
      <c r="CV544" s="4" t="e">
        <f ca="1">IF(AND(INDEX(ELM,CU544,4)&gt;=$AB539,INDEX(ELM,CU544,5)&gt;=$S539,INDEX(ELM,CU544,6)&gt;=$R539),1,0)</f>
        <v>#N/A</v>
      </c>
      <c r="CW544" s="4" t="e">
        <f t="shared" ref="CW544" ca="1" si="9964">MATCH(1,OFFSET(CV539:CV550,CX543,0,COUNT(CV539:CV550)-CX543),0)</f>
        <v>#REF!</v>
      </c>
      <c r="CX544" s="4" t="e">
        <f t="shared" ca="1" si="9891"/>
        <v>#REF!</v>
      </c>
      <c r="CY544" s="692" t="str">
        <f ca="1">IFERROR(VLOOKUP(INDEX(CU539:CU550,CX544),ELM,2,FALSE),"----")</f>
        <v>----</v>
      </c>
      <c r="CZ544" s="691" t="e">
        <f t="shared" ca="1" si="9892"/>
        <v>#N/A</v>
      </c>
      <c r="DA544" s="4" t="e">
        <f ca="1">IF(LEFT($J539,7)="Clad Wo",IF(AND(INDEX(SPPWS,CZ544,4)&gt;=$AB539,INDEX(SPPWS,CZ544,5)&gt;=$S539,INDEX(SPPWS,CZ544,6)&gt;=$R539),1,0),IF(AND(INDEX(SPM,CZ544,4)&gt;=$AB539,INDEX(SPM,CZ544,5)&gt;=$S539,INDEX(SPM,CZ544,6)&gt;=$R539),1,0))</f>
        <v>#N/A</v>
      </c>
      <c r="DB544" s="4" t="e">
        <f t="shared" ref="DB544" ca="1" si="9965">MATCH(1,OFFSET(DA539:DA550,DC543,0,COUNT(DA539:DA550)-DC543),0)</f>
        <v>#REF!</v>
      </c>
      <c r="DC544" s="4" t="e">
        <f t="shared" ca="1" si="9894"/>
        <v>#REF!</v>
      </c>
      <c r="DD544" s="693" t="str">
        <f ca="1">IF(LEFT($J539,7)="Clad Wo",IFERROR(VLOOKUP(INDEX(CZ539:CZ550,DC544),SPPWS,2,FALSE),"----"),IFERROR(VLOOKUP(INDEX(CZ539:CZ550,DC544),SPM,2,FALSE),"----"))</f>
        <v>----</v>
      </c>
      <c r="DE544" s="691" t="e">
        <f t="shared" ca="1" si="9895"/>
        <v>#REF!</v>
      </c>
      <c r="DF544" s="4" t="e" cm="1">
        <f t="array" aca="1" ref="DF544" ca="1">IF(AND(INDEX(INDIRECT(BY539),DE544,4)&gt;=$AB545,INDEX(INDIRECT(BY539),DE544,5)&gt;=$S539,INDEX(INDIRECT(BY539),DE544,6)&gt;=$R539),1,0)</f>
        <v>#REF!</v>
      </c>
      <c r="DG544" s="4" t="e">
        <f t="shared" ref="DG544" ca="1" si="9966">MATCH(1,OFFSET(DF539:DF550,DH543,0,COUNT(DF539:DF550)-DH543),0)</f>
        <v>#REF!</v>
      </c>
      <c r="DH544" s="4" t="e">
        <f t="shared" ca="1" si="9897"/>
        <v>#REF!</v>
      </c>
      <c r="DI544" s="692" t="str" cm="1">
        <f t="array" aca="1" ref="DI544" ca="1">IFERROR(VLOOKUP(INDEX(DE539:DE550,DH544),INDIRECT(BY539),2,FALSE),"----")</f>
        <v>----</v>
      </c>
      <c r="DJ544" s="691" t="e">
        <f t="shared" ca="1" si="9898"/>
        <v>#N/A</v>
      </c>
      <c r="DK544" s="4" t="e">
        <f ca="1">IF(AND(INDEX(SSM,DJ544,4)&gt;=$AB545,INDEX(SSM,DJ544,5)&gt;=$S539,INDEX(SSM,DJ544,6)&gt;=$R539),1,0)</f>
        <v>#N/A</v>
      </c>
      <c r="DL544" s="4" t="e">
        <f t="shared" ref="DL544" ca="1" si="9967">MATCH(1,OFFSET(DK539:DK550,DM543,0,COUNT(DK539:DK550)-DM543),0)</f>
        <v>#REF!</v>
      </c>
      <c r="DM544" s="4" t="e">
        <f t="shared" ca="1" si="9900"/>
        <v>#REF!</v>
      </c>
      <c r="DN544" s="692" t="str">
        <f ca="1">IFERROR(IF(AD546="Nested Steel Stud (wood infill)",VLOOKUP(INDEX(DJ539:DJ550,DM544),SSW,2,FALSE),VLOOKUP(INDEX(DJ539:DJ550,DM544),SSM,2,FALSE)),"----")</f>
        <v>----</v>
      </c>
      <c r="DO544" s="691" t="e">
        <f t="shared" ca="1" si="9901"/>
        <v>#N/A</v>
      </c>
      <c r="DP544" s="4" t="e">
        <f ca="1">IF(AND(INDEX(WSM,DO544,4)&gt;=$AB545,INDEX(WSM,DO544,5)&gt;=$S539,INDEX(WSM,DO544,6)&gt;=$R539),1,0)</f>
        <v>#N/A</v>
      </c>
      <c r="DQ544" s="4" t="e">
        <f t="shared" ref="DQ544" ca="1" si="9968">MATCH(1,OFFSET(DP539:DP550,DR543,0,COUNT(DP539:DP550)-DR543),0)</f>
        <v>#REF!</v>
      </c>
      <c r="DR544" s="4" t="e">
        <f t="shared" ca="1" si="9903"/>
        <v>#REF!</v>
      </c>
      <c r="DS544" s="692" t="str">
        <f ca="1">IFERROR(VLOOKUP(INDEX(DO539:DO550,DR544),WSM,2,FALSE),"----")</f>
        <v>----</v>
      </c>
      <c r="DT544" s="691" t="e">
        <f t="shared" ca="1" si="9904"/>
        <v>#N/A</v>
      </c>
      <c r="DU544" s="4" t="e">
        <f ca="1">IF(AND(INDEX(STM,DT544,4)&gt;=$AB545,INDEX(STM,DT544,5)&gt;=$S539,INDEX(STM,DT544,6)&gt;=$R539),1,0)</f>
        <v>#N/A</v>
      </c>
      <c r="DV544" s="4" t="e">
        <f t="shared" ref="DV544" ca="1" si="9969">MATCH(1,OFFSET(DU539:DU550,DW543,0,COUNT(DU539:DU550)-DW543),0)</f>
        <v>#REF!</v>
      </c>
      <c r="DW544" s="4" t="e">
        <f t="shared" ca="1" si="9906"/>
        <v>#REF!</v>
      </c>
      <c r="DX544" s="692" t="str">
        <f ca="1">IFERROR(VLOOKUP(INDEX(DT539:DT550,DW544),STM,2,FALSE),"----")</f>
        <v>----</v>
      </c>
      <c r="DY544" s="691" t="e">
        <f t="shared" ca="1" si="9907"/>
        <v>#N/A</v>
      </c>
      <c r="DZ544" s="4" t="e">
        <f ca="1">IF(AND(INDEX(ELM,DY544,4)&gt;=$AB545,INDEX(ELM,DY544,5)&gt;=$S539,INDEX(ELM,DY544,6)&gt;=$R539),1,0)</f>
        <v>#N/A</v>
      </c>
      <c r="EA544" s="4" t="e">
        <f t="shared" ref="EA544" ca="1" si="9970">MATCH(1,OFFSET(DZ539:DZ550,EB543,0,COUNT(DZ539:DZ550)-EB543),0)</f>
        <v>#REF!</v>
      </c>
      <c r="EB544" s="4" t="e">
        <f t="shared" ca="1" si="9909"/>
        <v>#REF!</v>
      </c>
      <c r="EC544" s="692" t="str">
        <f ca="1">IFERROR(VLOOKUP(INDEX(DY539:DY550,EB544),ELM,2,FALSE),"----")</f>
        <v>----</v>
      </c>
      <c r="ED544" s="691" t="e">
        <f t="shared" ca="1" si="9910"/>
        <v>#N/A</v>
      </c>
      <c r="EE544" s="4" t="e">
        <f ca="1">IF(LEFT($J539,7)="Clad Wo",IF(AND(INDEX(SPPWS,ED544,4)&gt;=$AB545,INDEX(SPPWS,ED544,5)&gt;=$S539,INDEX(SPPWS,ED544,6)&gt;=$R539),1,0),IF(AND(INDEX(SPM,ED544,4)&gt;=$AB545,INDEX(SPM,ED544,5)&gt;=$S539,INDEX(SPM,ED544,6)&gt;=$R539),1,0))</f>
        <v>#N/A</v>
      </c>
      <c r="EF544" s="4" t="e">
        <f t="shared" ref="EF544" ca="1" si="9971">MATCH(1,OFFSET(EE539:EE550,EG543,0,COUNT(EE539:EE550)-EG543),0)</f>
        <v>#REF!</v>
      </c>
      <c r="EG544" s="4" t="e">
        <f t="shared" ca="1" si="9912"/>
        <v>#REF!</v>
      </c>
      <c r="EH544" s="692" t="str">
        <f ca="1">IF(LEFT($J539,7)="Clad Wo",IFERROR(VLOOKUP(INDEX(ED539:ED550,EG544),SPPWS,2,FALSE),"----"),IFERROR(VLOOKUP(INDEX(ED539:ED550,EG544),SPM,2,FALSE),"----"))</f>
        <v>----</v>
      </c>
    </row>
    <row r="545" spans="1:138" ht="15" customHeight="1" x14ac:dyDescent="0.25">
      <c r="A545" s="1085"/>
      <c r="B545" s="925" t="s">
        <v>409</v>
      </c>
      <c r="C545" s="926"/>
      <c r="D545" s="927"/>
      <c r="E545" s="995"/>
      <c r="F545" s="996"/>
      <c r="G545" s="997"/>
      <c r="H545" s="1062"/>
      <c r="I545" s="990"/>
      <c r="J545" s="908"/>
      <c r="K545" s="909"/>
      <c r="L545" s="1001">
        <f>L539+1</f>
        <v>5</v>
      </c>
      <c r="M545" s="1064" t="str">
        <f t="shared" ref="M545" si="9972">IFERROR(IF($AE$17="",IF($AG$19="Wind Loading",MIN($V$31,IF(E$11="ASCE 7-05",$U$26,$V$7)*$V$9*(IF($E$12&lt;60,0.156*LN(MAX(MIN(500,O539),10)) -1.7618,IF($E$11="ASCE 7-22", 0.2026*LN(MAX(MIN(500,O539),20))-2.2638,0.2503*LN(MAX(MIN(500,O539),20)) -2.5526))-$V$8)),$V$7*IF(E$12&lt;60,$V$13*($V$15*(0.156*LN(MAX(MIN(500,O539),10)) -1.7618)-$V$16),$V$13*$V$15*((0.2026*LN(MAX(MIN(500,O539),20))-2.2638)-$V$16))),-ABS($AE$17)),"")</f>
        <v/>
      </c>
      <c r="N545" s="1041" t="str">
        <f t="shared" ref="N545" si="9973">IFERROR(IF($AE$19="",IF($AG$19="Wind Loading",MAX($U$31,IF(E$11="ASCE 7-05",$U$26,$V$7)*$V$9*((IF($E$12&lt;60,-0.077*LN(MAX(MIN(500,O539),10))+1.1737,IF($E$11="ASCE 7-22",-0.077*LN(MAX(MIN(500,O539),20))+1.0798,-0.093*LN(MAX(MIN(500,O539),20))+1.1776)))+$V$8)),$V$7*IF(E$12&lt;60,$V$13*($V$15*(-0.077*LN(MAX(MIN(500,O539),10))+1.1737)-$V$17),$V$13*$V$15*((-0.077*LN(MAX(MIN(500,O539),20))+1.0798)-$V$17))),ABS($AE$19)),"")</f>
        <v/>
      </c>
      <c r="O545" s="1018"/>
      <c r="P545" s="987"/>
      <c r="Q545" s="1015"/>
      <c r="R545" s="1012">
        <f>P545*Q545/8</f>
        <v>0</v>
      </c>
      <c r="S545" s="1006"/>
      <c r="T545" s="1007"/>
      <c r="U545" s="878"/>
      <c r="V545" s="881"/>
      <c r="W545" s="883" t="e">
        <f t="shared" ref="W545" si="9974">MAX(-M545,N545)*O539</f>
        <v>#VALUE!</v>
      </c>
      <c r="X545" s="884"/>
      <c r="Y545" s="886">
        <f>IFERROR(IF(AG$14="Trapezoidal",BY548,BX548)+IF($E$17="4",(400*E539^3)/(48*X539),0),0)</f>
        <v>0</v>
      </c>
      <c r="Z545" s="886" t="e">
        <f t="shared" ref="Z545" si="9975">+($V539*MAX(-$M545,$N545)*$E539^2)/(144*8)+IF($E$17=4,(400*$E539)/4,0)</f>
        <v>#VALUE!</v>
      </c>
      <c r="AA545" s="887"/>
      <c r="AB545" s="1080" t="str">
        <f t="shared" ref="AB545" ca="1" si="9976">IFERROR(Z545-AA539,"")</f>
        <v/>
      </c>
      <c r="AC545" s="1086" t="str">
        <f t="shared" ref="AC545" ca="1" si="9977">IFERROR(Y545-U539,"")</f>
        <v/>
      </c>
      <c r="AD545" s="1074" t="str">
        <f t="shared" ref="AD545" si="9978">AD539</f>
        <v/>
      </c>
      <c r="AE545" s="1075"/>
      <c r="AF545" s="1056"/>
      <c r="AG545" s="1057"/>
      <c r="AH545" s="1057"/>
      <c r="AI545" s="1088"/>
      <c r="AJ545" s="1089"/>
      <c r="AK545" s="162" t="str">
        <f t="shared" ca="1" si="8761"/>
        <v/>
      </c>
      <c r="AL545" s="1058" t="str">
        <f t="shared" ref="AL545" si="9979">IFERROR(ROUND(SQRT(P539^2+(W545/2+IF($E$17=4,200,0))^2),0),"")</f>
        <v/>
      </c>
      <c r="AM545" s="342" t="s">
        <v>669</v>
      </c>
      <c r="AN545" t="str">
        <f t="shared" ca="1" si="8785"/>
        <v/>
      </c>
      <c r="AP545" s="122" t="str">
        <f t="shared" ref="AP545" si="9980">_xlfn.CONCAT(AR545,AS550)</f>
        <v/>
      </c>
      <c r="AQ545" s="683" t="str">
        <f t="shared" si="8985"/>
        <v/>
      </c>
      <c r="AR545" s="96" t="str">
        <f t="shared" si="8745"/>
        <v/>
      </c>
      <c r="AS545" s="96" t="str">
        <f>IF(COUNTIF(imp_1,AF545)=1,"imp_1",IF(COUNTIF(imp_2,AF545)=1,"imp_2",IF(COUNTIF(imp_3,AF545)=1,"imp_3",IF(COUNTIF(impdoor,AF545)=1,"impdoor",""))))</f>
        <v/>
      </c>
      <c r="AT545" s="684" t="str">
        <f>AL545</f>
        <v/>
      </c>
      <c r="AU545" s="685" t="e">
        <f t="shared" ca="1" si="9002"/>
        <v>#REF!</v>
      </c>
      <c r="AV545" s="686" t="str">
        <f ca="1">IFERROR(VLOOKUP(AU545,INDIRECT(AQ539),2,FALSE),"----")</f>
        <v>----</v>
      </c>
      <c r="AW545" s="685" t="e">
        <f t="shared" ca="1" si="9003"/>
        <v>#REF!</v>
      </c>
      <c r="AX545" s="686" t="str">
        <f ca="1">IFERROR(VLOOKUP(AW545,INDIRECT(AQ540),2,FALSE),"----")</f>
        <v>----</v>
      </c>
      <c r="AY545" s="685" t="e">
        <f t="shared" ca="1" si="9722"/>
        <v>#REF!</v>
      </c>
      <c r="AZ545" s="686" t="str">
        <f ca="1">IFERROR(VLOOKUP(AY545,INDIRECT(AQ541),2,FALSE),"----")</f>
        <v>----</v>
      </c>
      <c r="BA545" s="685" t="e">
        <f t="shared" ca="1" si="9723"/>
        <v>#REF!</v>
      </c>
      <c r="BB545" s="686" t="str">
        <f ca="1">IFERROR(VLOOKUP(BA545,INDIRECT(AQ542),2,FALSE),"----")</f>
        <v>----</v>
      </c>
      <c r="BC545" s="685" t="e">
        <f t="shared" ca="1" si="9006"/>
        <v>#REF!</v>
      </c>
      <c r="BD545" s="686" t="str">
        <f ca="1">IFERROR(VLOOKUP(BC545,INDIRECT(AQ543),2,FALSE),"----")</f>
        <v>----</v>
      </c>
      <c r="BE545" s="685" t="e">
        <f t="shared" ca="1" si="9007"/>
        <v>#REF!</v>
      </c>
      <c r="BF545" s="686" t="str">
        <f ca="1">IFERROR(VLOOKUP(BE545,INDIRECT(AQ544),2,FALSE),"----")</f>
        <v>----</v>
      </c>
      <c r="BG545" s="702" t="e">
        <f t="shared" ca="1" si="9008"/>
        <v>#REF!</v>
      </c>
      <c r="BH545" s="686" t="str">
        <f ca="1">IFERROR(VLOOKUP(BG545,INDIRECT(AQ545),2,FALSE),"----")</f>
        <v>----</v>
      </c>
      <c r="BI545" s="702" t="e">
        <f t="shared" ca="1" si="9009"/>
        <v>#REF!</v>
      </c>
      <c r="BJ545" s="686" t="str">
        <f ca="1">IFERROR(VLOOKUP(BI545,INDIRECT(AQ546),2,FALSE),"----")</f>
        <v>----</v>
      </c>
      <c r="BK545" s="702" t="e">
        <f t="shared" ca="1" si="9010"/>
        <v>#REF!</v>
      </c>
      <c r="BL545" s="686" t="str">
        <f ca="1">IFERROR(VLOOKUP(BK545,INDIRECT(AQ547),2,FALSE),"----")</f>
        <v>----</v>
      </c>
      <c r="BM545" s="702" t="e">
        <f t="shared" ca="1" si="9011"/>
        <v>#REF!</v>
      </c>
      <c r="BN545" s="686" t="str">
        <f ca="1">IFERROR(VLOOKUP(BM545,INDIRECT(AQ548),2,FALSE),"----")</f>
        <v>----</v>
      </c>
      <c r="BO545" s="702" t="e">
        <f t="shared" ca="1" si="9012"/>
        <v>#REF!</v>
      </c>
      <c r="BP545" s="686" t="str">
        <f ca="1">IFERROR(VLOOKUP(BO545,INDIRECT(AQ549),2,FALSE),"----")</f>
        <v>----</v>
      </c>
      <c r="BQ545" s="702" t="e">
        <f t="shared" ca="1" si="9013"/>
        <v>#REF!</v>
      </c>
      <c r="BR545" s="686" t="str">
        <f ca="1">IFERROR(VLOOKUP(BQ545,INDIRECT(AQ550),2,FALSE),"----")</f>
        <v>----</v>
      </c>
      <c r="BS545" s="695">
        <f>IF(AI545="",1,IF(COUNTIF(BH539:BH550,AI545)=0,2,1))</f>
        <v>1</v>
      </c>
      <c r="BT545" s="696">
        <f>IF(AP545="1",1,IF(AF545="",1,IF(BH539=".",2,1)))</f>
        <v>1</v>
      </c>
      <c r="BU545" s="706"/>
      <c r="BV545" s="155">
        <f ca="1">IF(COUNTIF(DI539:DI550,AF545)=0,IF(AF545&lt;&gt;"",0,1),1)</f>
        <v>1</v>
      </c>
      <c r="BW545" s="157">
        <f ca="1">IFERROR(MATCH(AF545,DI539:DI550,0),1)</f>
        <v>1</v>
      </c>
      <c r="BX545" s="769" t="s">
        <v>1593</v>
      </c>
      <c r="BY545" s="769" t="s">
        <v>1629</v>
      </c>
      <c r="BZ545" s="1110"/>
      <c r="CA545" s="691" t="e">
        <f t="shared" ca="1" si="9877"/>
        <v>#REF!</v>
      </c>
      <c r="CB545" s="4" t="e" cm="1">
        <f t="array" aca="1" ref="CB545" ca="1">IF(AND(INDEX(INDIRECT(BY539),CA545,4)&gt;=$AB539,INDEX(INDIRECT(BY539),CA545,5)&gt;=$S539,INDEX(INDIRECT(BY539),CA545,6)&gt;=$R539),1,0)</f>
        <v>#REF!</v>
      </c>
      <c r="CC545" s="4" t="e">
        <f t="shared" ref="CC545" ca="1" si="9981">MATCH(1,OFFSET(CB539:CB550,CD544,0,COUNT(CB539:CB550)-CD544),0)</f>
        <v>#REF!</v>
      </c>
      <c r="CD545" s="4" t="e">
        <f t="shared" ca="1" si="9879"/>
        <v>#REF!</v>
      </c>
      <c r="CE545" s="692" t="str" cm="1">
        <f t="array" aca="1" ref="CE545" ca="1">IFERROR(VLOOKUP(INDEX(CA539:CA550,CD545),INDIRECT(BY539),2,FALSE),"----")</f>
        <v>----</v>
      </c>
      <c r="CF545" s="691" t="e">
        <f t="shared" ca="1" si="9880"/>
        <v>#N/A</v>
      </c>
      <c r="CG545" s="4" t="e">
        <f ca="1">IF(AND(INDEX(SSM,CF545,4)&gt;=$AB539,INDEX(SSM,CF545,5)&gt;=$S539,INDEX(SSM,CF545,6)&gt;=$R539),1,0)</f>
        <v>#N/A</v>
      </c>
      <c r="CH545" s="4" t="e">
        <f t="shared" ref="CH545" ca="1" si="9982">MATCH(1,OFFSET(CG539:CG550,CI544,0,COUNT(CG539:CG550)-CI544),0)</f>
        <v>#REF!</v>
      </c>
      <c r="CI545" s="4" t="e">
        <f t="shared" ca="1" si="9882"/>
        <v>#REF!</v>
      </c>
      <c r="CJ545" s="692" t="str">
        <f ca="1">IFERROR(IF(AD540="Nested Steel Stud (wood infill)",VLOOKUP(INDEX(CF539:CF550,CI545),SSW,2,FALSE),VLOOKUP(INDEX(CF539:CF550,CI545),SSM,2,FALSE)),"----")</f>
        <v>----</v>
      </c>
      <c r="CK545" s="691" t="e">
        <f t="shared" ca="1" si="9883"/>
        <v>#N/A</v>
      </c>
      <c r="CL545" s="4" t="e">
        <f ca="1">IF(AND(INDEX(WSM,CK545,4)&gt;=$AB539,INDEX(WSM,CK545,5)&gt;=$S539,INDEX(WSM,CK545,6)&gt;=$R539),1,0)</f>
        <v>#N/A</v>
      </c>
      <c r="CM545" s="4" t="e">
        <f t="shared" ref="CM545" ca="1" si="9983">MATCH(1,OFFSET(CL539:CL550,CN544,0,COUNT(CL539:CL550)-CN544),0)</f>
        <v>#REF!</v>
      </c>
      <c r="CN545" s="4" t="e">
        <f t="shared" ca="1" si="9885"/>
        <v>#REF!</v>
      </c>
      <c r="CO545" s="692" t="str">
        <f ca="1">IFERROR(VLOOKUP(INDEX(CK539:CK550,CN545),WSM,2,FALSE),"----")</f>
        <v>----</v>
      </c>
      <c r="CP545" s="691" t="e">
        <f t="shared" ca="1" si="9886"/>
        <v>#N/A</v>
      </c>
      <c r="CQ545" s="4" t="e">
        <f ca="1">IF(AND(INDEX(STM,CP545,4)&gt;=$AB539,INDEX(STM,CP545,5)&gt;=$S539,INDEX(STM,CP545,6)&gt;=$R539),1,0)</f>
        <v>#N/A</v>
      </c>
      <c r="CR545" s="4" t="e">
        <f t="shared" ref="CR545" ca="1" si="9984">MATCH(1,OFFSET(CQ539:CQ550,CS544,0,COUNT(CQ539:CQ550)-CS544),0)</f>
        <v>#REF!</v>
      </c>
      <c r="CS545" s="4" t="e">
        <f t="shared" ca="1" si="9888"/>
        <v>#REF!</v>
      </c>
      <c r="CT545" s="692" t="str">
        <f ca="1">IFERROR(VLOOKUP(INDEX(CP539:CP550,CS545),STM,2,FALSE),"----")</f>
        <v>----</v>
      </c>
      <c r="CU545" s="691" t="e">
        <f t="shared" ca="1" si="9889"/>
        <v>#N/A</v>
      </c>
      <c r="CV545" s="4" t="e">
        <f ca="1">IF(AND(INDEX(ELM,CU545,4)&gt;=$AB539,INDEX(ELM,CU545,5)&gt;=$S539,INDEX(ELM,CU545,6)&gt;=$R539),1,0)</f>
        <v>#N/A</v>
      </c>
      <c r="CW545" s="4" t="e">
        <f t="shared" ref="CW545" ca="1" si="9985">MATCH(1,OFFSET(CV539:CV550,CX544,0,COUNT(CV539:CV550)-CX544),0)</f>
        <v>#REF!</v>
      </c>
      <c r="CX545" s="4" t="e">
        <f t="shared" ca="1" si="9891"/>
        <v>#REF!</v>
      </c>
      <c r="CY545" s="692" t="str">
        <f ca="1">IFERROR(VLOOKUP(INDEX(CU539:CU550,CX545),ELM,2,FALSE),"----")</f>
        <v>----</v>
      </c>
      <c r="CZ545" s="691" t="e">
        <f t="shared" ca="1" si="9892"/>
        <v>#N/A</v>
      </c>
      <c r="DA545" s="4" t="e">
        <f ca="1">IF(LEFT($J539,7)="Clad Wo",IF(AND(INDEX(SPPWS,CZ545,4)&gt;=$AB539,INDEX(SPPWS,CZ545,5)&gt;=$S539,INDEX(SPPWS,CZ545,6)&gt;=$R539),1,0),IF(AND(INDEX(SPM,CZ545,4)&gt;=$AB539,INDEX(SPM,CZ545,5)&gt;=$S539,INDEX(SPM,CZ545,6)&gt;=$R539),1,0))</f>
        <v>#N/A</v>
      </c>
      <c r="DB545" s="4" t="e">
        <f t="shared" ref="DB545" ca="1" si="9986">MATCH(1,OFFSET(DA539:DA550,DC544,0,COUNT(DA539:DA550)-DC544),0)</f>
        <v>#REF!</v>
      </c>
      <c r="DC545" s="4" t="e">
        <f t="shared" ca="1" si="9894"/>
        <v>#REF!</v>
      </c>
      <c r="DD545" s="693" t="str">
        <f ca="1">IF(LEFT($J539,7)="Clad Wo",IFERROR(VLOOKUP(INDEX(CZ539:CZ550,DC545),SPPWS,2,FALSE),"----"),IFERROR(VLOOKUP(INDEX(CZ539:CZ550,DC545),SPM,2,FALSE),"----"))</f>
        <v>----</v>
      </c>
      <c r="DE545" s="691" t="e">
        <f t="shared" ca="1" si="9895"/>
        <v>#REF!</v>
      </c>
      <c r="DF545" s="4" t="e" cm="1">
        <f t="array" aca="1" ref="DF545" ca="1">IF(AND(INDEX(INDIRECT(BY539),DE545,4)&gt;=$AB545,INDEX(INDIRECT(BY539),DE545,5)&gt;=$S539,INDEX(INDIRECT(BY539),DE545,6)&gt;=$R539),1,0)</f>
        <v>#REF!</v>
      </c>
      <c r="DG545" s="4" t="e">
        <f t="shared" ref="DG545" ca="1" si="9987">MATCH(1,OFFSET(DF539:DF550,DH544,0,COUNT(DF539:DF550)-DH544),0)</f>
        <v>#REF!</v>
      </c>
      <c r="DH545" s="4" t="e">
        <f t="shared" ca="1" si="9897"/>
        <v>#REF!</v>
      </c>
      <c r="DI545" s="692" t="str" cm="1">
        <f t="array" aca="1" ref="DI545" ca="1">IFERROR(VLOOKUP(INDEX(DE539:DE550,DH545),INDIRECT(BY539),2,FALSE),"----")</f>
        <v>----</v>
      </c>
      <c r="DJ545" s="691" t="e">
        <f t="shared" ca="1" si="9898"/>
        <v>#N/A</v>
      </c>
      <c r="DK545" s="4" t="e">
        <f ca="1">IF(AND(INDEX(SSM,DJ545,4)&gt;=$AB545,INDEX(SSM,DJ545,5)&gt;=$S539,INDEX(SSM,DJ545,6)&gt;=$R539),1,0)</f>
        <v>#N/A</v>
      </c>
      <c r="DL545" s="4" t="e">
        <f t="shared" ref="DL545" ca="1" si="9988">MATCH(1,OFFSET(DK539:DK550,DM544,0,COUNT(DK539:DK550)-DM544),0)</f>
        <v>#REF!</v>
      </c>
      <c r="DM545" s="4" t="e">
        <f t="shared" ca="1" si="9900"/>
        <v>#REF!</v>
      </c>
      <c r="DN545" s="692" t="str">
        <f ca="1">IFERROR(IF(AD546="Nested Steel Stud (wood infill)",VLOOKUP(INDEX(DJ539:DJ550,DM545),SSW,2,FALSE),VLOOKUP(INDEX(DJ539:DJ550,DM545),SSM,2,FALSE)),"----")</f>
        <v>----</v>
      </c>
      <c r="DO545" s="691" t="e">
        <f t="shared" ca="1" si="9901"/>
        <v>#N/A</v>
      </c>
      <c r="DP545" s="4" t="e">
        <f ca="1">IF(AND(INDEX(WSM,DO545,4)&gt;=$AB545,INDEX(WSM,DO545,5)&gt;=$S539,INDEX(WSM,DO545,6)&gt;=$R539),1,0)</f>
        <v>#N/A</v>
      </c>
      <c r="DQ545" s="4" t="e">
        <f t="shared" ref="DQ545" ca="1" si="9989">MATCH(1,OFFSET(DP539:DP550,DR544,0,COUNT(DP539:DP550)-DR544),0)</f>
        <v>#REF!</v>
      </c>
      <c r="DR545" s="4" t="e">
        <f t="shared" ca="1" si="9903"/>
        <v>#REF!</v>
      </c>
      <c r="DS545" s="692" t="str">
        <f ca="1">IFERROR(VLOOKUP(INDEX(DO539:DO550,DR545),WSM,2,FALSE),"----")</f>
        <v>----</v>
      </c>
      <c r="DT545" s="691" t="e">
        <f t="shared" ca="1" si="9904"/>
        <v>#N/A</v>
      </c>
      <c r="DU545" s="4" t="e">
        <f ca="1">IF(AND(INDEX(STM,DT545,4)&gt;=$AB545,INDEX(STM,DT545,5)&gt;=$S539,INDEX(STM,DT545,6)&gt;=$R539),1,0)</f>
        <v>#N/A</v>
      </c>
      <c r="DV545" s="4" t="e">
        <f t="shared" ref="DV545" ca="1" si="9990">MATCH(1,OFFSET(DU539:DU550,DW544,0,COUNT(DU539:DU550)-DW544),0)</f>
        <v>#REF!</v>
      </c>
      <c r="DW545" s="4" t="e">
        <f t="shared" ca="1" si="9906"/>
        <v>#REF!</v>
      </c>
      <c r="DX545" s="692" t="str">
        <f ca="1">IFERROR(VLOOKUP(INDEX(DT539:DT550,DW545),STM,2,FALSE),"----")</f>
        <v>----</v>
      </c>
      <c r="DY545" s="691" t="e">
        <f t="shared" ca="1" si="9907"/>
        <v>#N/A</v>
      </c>
      <c r="DZ545" s="4" t="e">
        <f ca="1">IF(AND(INDEX(ELM,DY545,4)&gt;=$AB545,INDEX(ELM,DY545,5)&gt;=$S539,INDEX(ELM,DY545,6)&gt;=$R539),1,0)</f>
        <v>#N/A</v>
      </c>
      <c r="EA545" s="4" t="e">
        <f t="shared" ref="EA545" ca="1" si="9991">MATCH(1,OFFSET(DZ539:DZ550,EB544,0,COUNT(DZ539:DZ550)-EB544),0)</f>
        <v>#REF!</v>
      </c>
      <c r="EB545" s="4" t="e">
        <f t="shared" ca="1" si="9909"/>
        <v>#REF!</v>
      </c>
      <c r="EC545" s="692" t="str">
        <f ca="1">IFERROR(VLOOKUP(INDEX(DY539:DY550,EB545),ELM,2,FALSE),"----")</f>
        <v>----</v>
      </c>
      <c r="ED545" s="691" t="e">
        <f t="shared" ca="1" si="9910"/>
        <v>#N/A</v>
      </c>
      <c r="EE545" s="4" t="e">
        <f ca="1">IF(LEFT($J539,7)="Clad Wo",IF(AND(INDEX(SPPWS,ED545,4)&gt;=$AB545,INDEX(SPPWS,ED545,5)&gt;=$S539,INDEX(SPPWS,ED545,6)&gt;=$R539),1,0),IF(AND(INDEX(SPM,ED545,4)&gt;=$AB545,INDEX(SPM,ED545,5)&gt;=$S539,INDEX(SPM,ED545,6)&gt;=$R539),1,0))</f>
        <v>#N/A</v>
      </c>
      <c r="EF545" s="4" t="e">
        <f t="shared" ref="EF545" ca="1" si="9992">MATCH(1,OFFSET(EE539:EE550,EG544,0,COUNT(EE539:EE550)-EG544),0)</f>
        <v>#REF!</v>
      </c>
      <c r="EG545" s="4" t="e">
        <f t="shared" ca="1" si="9912"/>
        <v>#REF!</v>
      </c>
      <c r="EH545" s="692" t="str">
        <f ca="1">IF(LEFT($J539,7)="Clad Wo",IFERROR(VLOOKUP(INDEX(ED539:ED550,EG545),SPPWS,2,FALSE),"----"),IFERROR(VLOOKUP(INDEX(ED539:ED550,EG545),SPM,2,FALSE),"----"))</f>
        <v>----</v>
      </c>
    </row>
    <row r="546" spans="1:138" ht="15" customHeight="1" x14ac:dyDescent="0.25">
      <c r="A546" s="1085"/>
      <c r="B546" s="925"/>
      <c r="C546" s="926"/>
      <c r="D546" s="927"/>
      <c r="E546" s="995"/>
      <c r="F546" s="996"/>
      <c r="G546" s="997"/>
      <c r="H546" s="1062"/>
      <c r="I546" s="990"/>
      <c r="J546" s="912"/>
      <c r="K546" s="913"/>
      <c r="L546" s="1002"/>
      <c r="M546" s="923"/>
      <c r="N546" s="1042"/>
      <c r="O546" s="1018"/>
      <c r="P546" s="987"/>
      <c r="Q546" s="1015"/>
      <c r="R546" s="1012"/>
      <c r="S546" s="1006"/>
      <c r="T546" s="1007"/>
      <c r="U546" s="878"/>
      <c r="V546" s="881"/>
      <c r="W546" s="884"/>
      <c r="X546" s="884"/>
      <c r="Y546" s="887"/>
      <c r="Z546" s="887"/>
      <c r="AA546" s="887"/>
      <c r="AB546" s="1081"/>
      <c r="AC546" s="1078"/>
      <c r="AD546" s="1070" t="str">
        <f t="shared" ref="AD546" si="9993">IF(ISBLANK(AD540)=TRUE,"",AD540)</f>
        <v>Nested Steel Stud</v>
      </c>
      <c r="AE546" s="1071"/>
      <c r="AF546" s="1052"/>
      <c r="AG546" s="1053"/>
      <c r="AH546" s="1053"/>
      <c r="AI546" s="1066"/>
      <c r="AJ546" s="1067"/>
      <c r="AK546" s="156" t="str">
        <f t="shared" ca="1" si="8761"/>
        <v/>
      </c>
      <c r="AL546" s="1059"/>
      <c r="AM546" s="343" t="str">
        <f ca="1">IFERROR(Q539/12*ROUND(VLOOKUP(AF546,OFFSET(SSM,0,1),6,FALSE),2),"")</f>
        <v/>
      </c>
      <c r="AN546" t="str">
        <f t="shared" ca="1" si="8785"/>
        <v/>
      </c>
      <c r="AP546" s="122" t="str">
        <f t="shared" ref="AP546" si="9994">_xlfn.CONCAT(AR546,AS550)</f>
        <v/>
      </c>
      <c r="AQ546" s="683" t="str">
        <f t="shared" si="8985"/>
        <v/>
      </c>
      <c r="AR546" s="96" t="str">
        <f t="shared" si="8745"/>
        <v/>
      </c>
      <c r="AS546" s="96" t="str">
        <f>IF(COUNTIF(Vista_1,AF545)=1,"Vista_1",IF(COUNTIF(Vista_2,AF545)=1,"Vista_2",""))</f>
        <v/>
      </c>
      <c r="AT546" s="684" t="str">
        <f>AL545</f>
        <v/>
      </c>
      <c r="AU546" s="694" t="e">
        <f t="shared" ca="1" si="9002"/>
        <v>#REF!</v>
      </c>
      <c r="AV546" s="686" t="str">
        <f ca="1">IFERROR(VLOOKUP(AU546,INDIRECT(AQ539),2,FALSE),"----")</f>
        <v>----</v>
      </c>
      <c r="AW546" s="694" t="e">
        <f t="shared" ca="1" si="9003"/>
        <v>#REF!</v>
      </c>
      <c r="AX546" s="686" t="str">
        <f ca="1">IFERROR(VLOOKUP(AW546,INDIRECT(AQ540),2,FALSE),"----")</f>
        <v>----</v>
      </c>
      <c r="AY546" s="694" t="e">
        <f t="shared" ca="1" si="9722"/>
        <v>#REF!</v>
      </c>
      <c r="AZ546" s="686" t="str">
        <f ca="1">IFERROR(VLOOKUP(AY546,INDIRECT(AQ541),2,FALSE),"----")</f>
        <v>----</v>
      </c>
      <c r="BA546" s="694" t="e">
        <f t="shared" ca="1" si="9723"/>
        <v>#REF!</v>
      </c>
      <c r="BB546" s="686" t="str">
        <f ca="1">IFERROR(VLOOKUP(BA546,INDIRECT(AQ542),2,FALSE),"----")</f>
        <v>----</v>
      </c>
      <c r="BC546" s="694" t="e">
        <f t="shared" ca="1" si="9006"/>
        <v>#REF!</v>
      </c>
      <c r="BD546" s="686" t="str">
        <f ca="1">IFERROR(VLOOKUP(BC546,INDIRECT(AQ543),2,FALSE),"----")</f>
        <v>----</v>
      </c>
      <c r="BE546" s="694" t="e">
        <f t="shared" ca="1" si="9007"/>
        <v>#REF!</v>
      </c>
      <c r="BF546" s="686" t="str">
        <f ca="1">IFERROR(VLOOKUP(BE546,INDIRECT(AQ544),2,FALSE),"----")</f>
        <v>----</v>
      </c>
      <c r="BG546" s="702" t="e">
        <f t="shared" ca="1" si="9008"/>
        <v>#REF!</v>
      </c>
      <c r="BH546" s="686" t="str">
        <f ca="1">IFERROR(VLOOKUP(BG546,INDIRECT(AQ545),2,FALSE),"----")</f>
        <v>----</v>
      </c>
      <c r="BI546" s="702" t="e">
        <f t="shared" ca="1" si="9009"/>
        <v>#REF!</v>
      </c>
      <c r="BJ546" s="686" t="str">
        <f ca="1">IFERROR(VLOOKUP(BI546,INDIRECT(AQ546),2,FALSE),"----")</f>
        <v>----</v>
      </c>
      <c r="BK546" s="702" t="e">
        <f t="shared" ca="1" si="9010"/>
        <v>#REF!</v>
      </c>
      <c r="BL546" s="686" t="str">
        <f ca="1">IFERROR(VLOOKUP(BK546,INDIRECT(AQ547),2,FALSE),"----")</f>
        <v>----</v>
      </c>
      <c r="BM546" s="702" t="e">
        <f t="shared" ca="1" si="9011"/>
        <v>#REF!</v>
      </c>
      <c r="BN546" s="686" t="str">
        <f ca="1">IFERROR(VLOOKUP(BM546,INDIRECT(AQ548),2,FALSE),"----")</f>
        <v>----</v>
      </c>
      <c r="BO546" s="702" t="e">
        <f t="shared" ca="1" si="9012"/>
        <v>#REF!</v>
      </c>
      <c r="BP546" s="686" t="str">
        <f ca="1">IFERROR(VLOOKUP(BO546,INDIRECT(AQ549),2,FALSE),"----")</f>
        <v>----</v>
      </c>
      <c r="BQ546" s="702" t="e">
        <f t="shared" ca="1" si="9013"/>
        <v>#REF!</v>
      </c>
      <c r="BR546" s="686" t="str">
        <f ca="1">IFERROR(VLOOKUP(BQ546,INDIRECT(AQ550),2,FALSE),"----")</f>
        <v>----</v>
      </c>
      <c r="BS546" s="695">
        <f>IF(AI546="",1,IF(COUNTIF(BJ539:BJ550,AI546)=0,2,1))</f>
        <v>1</v>
      </c>
      <c r="BT546" s="696">
        <f>IF(AF546="",1,IF(BJ539=".",2,1))</f>
        <v>1</v>
      </c>
      <c r="BU546" s="706"/>
      <c r="BV546" s="155">
        <f ca="1">IF(COUNTIF(DN539:DN550,AF546)=0,IF(AF546&lt;&gt;"",0,1),1)</f>
        <v>1</v>
      </c>
      <c r="BW546" s="157">
        <f ca="1">IFERROR(MATCH(AF546,DN539:DN550,0),1)</f>
        <v>1</v>
      </c>
      <c r="BX546" s="769">
        <f t="shared" ref="BX546" si="9995">E539*(H539+I539)/144/2</f>
        <v>0</v>
      </c>
      <c r="BY546" s="769">
        <f>SUM(IF(H539&gt;E539,E539^2/4,(H539*E539/2)-(H539^2/4))/144,IF(I539&gt;E539,E539^2/4,(I539*E539/2)-(I539^2/4))/144)</f>
        <v>0</v>
      </c>
      <c r="BZ546" s="1110"/>
      <c r="CA546" s="691" t="e">
        <f t="shared" ca="1" si="9877"/>
        <v>#REF!</v>
      </c>
      <c r="CB546" s="4" t="e" cm="1">
        <f t="array" aca="1" ref="CB546" ca="1">IF(AND(INDEX(INDIRECT(BY539),CA546,4)&gt;=$AB539,INDEX(INDIRECT(BY539),CA546,5)&gt;=$S539,INDEX(INDIRECT(BY539),CA546,6)&gt;=$R539),1,0)</f>
        <v>#REF!</v>
      </c>
      <c r="CC546" s="4" t="e">
        <f t="shared" ref="CC546" ca="1" si="9996">MATCH(1,OFFSET(CB539:CB550,CD545,0,COUNT(CB539:CB550)-CD545),0)</f>
        <v>#REF!</v>
      </c>
      <c r="CD546" s="4" t="e">
        <f t="shared" ca="1" si="9879"/>
        <v>#REF!</v>
      </c>
      <c r="CE546" s="692" t="str" cm="1">
        <f t="array" aca="1" ref="CE546" ca="1">IFERROR(VLOOKUP(INDEX(CA539:CA550,CD546),INDIRECT(BY539),2,FALSE),"----")</f>
        <v>----</v>
      </c>
      <c r="CF546" s="691" t="e">
        <f t="shared" ca="1" si="9880"/>
        <v>#N/A</v>
      </c>
      <c r="CG546" s="4" t="e">
        <f ca="1">IF(AND(INDEX(SSM,CF546,4)&gt;=$AB539,INDEX(SSM,CF546,5)&gt;=$S539,INDEX(SSM,CF546,6)&gt;=$R539),1,0)</f>
        <v>#N/A</v>
      </c>
      <c r="CH546" s="4" t="e">
        <f t="shared" ref="CH546" ca="1" si="9997">MATCH(1,OFFSET(CG539:CG550,CI545,0,COUNT(CG539:CG550)-CI545),0)</f>
        <v>#REF!</v>
      </c>
      <c r="CI546" s="4" t="e">
        <f t="shared" ca="1" si="9882"/>
        <v>#REF!</v>
      </c>
      <c r="CJ546" s="692" t="str">
        <f ca="1">IFERROR(IF(AD540="Nested Steel Stud (wood infill)",VLOOKUP(INDEX(CF539:CF550,CI546),SSW,2,FALSE),VLOOKUP(INDEX(CF539:CF550,CI546),SSM,2,FALSE)),"----")</f>
        <v>----</v>
      </c>
      <c r="CK546" s="691" t="e">
        <f t="shared" ca="1" si="9883"/>
        <v>#N/A</v>
      </c>
      <c r="CL546" s="4" t="e">
        <f ca="1">IF(AND(INDEX(WSM,CK546,4)&gt;=$AB539,INDEX(WSM,CK546,5)&gt;=$S539,INDEX(WSM,CK546,6)&gt;=$R539),1,0)</f>
        <v>#N/A</v>
      </c>
      <c r="CM546" s="4" t="e">
        <f t="shared" ref="CM546" ca="1" si="9998">MATCH(1,OFFSET(CL539:CL550,CN545,0,COUNT(CL539:CL550)-CN545),0)</f>
        <v>#REF!</v>
      </c>
      <c r="CN546" s="4" t="e">
        <f t="shared" ca="1" si="9885"/>
        <v>#REF!</v>
      </c>
      <c r="CO546" s="692" t="str">
        <f ca="1">IFERROR(VLOOKUP(INDEX(CK539:CK550,CN546),WSM,2,FALSE),"----")</f>
        <v>----</v>
      </c>
      <c r="CP546" s="691" t="e">
        <f t="shared" ca="1" si="9886"/>
        <v>#N/A</v>
      </c>
      <c r="CQ546" s="4" t="e">
        <f ca="1">IF(AND(INDEX(STM,CP546,4)&gt;=$AB539,INDEX(STM,CP546,5)&gt;=$S539,INDEX(STM,CP546,6)&gt;=$R539),1,0)</f>
        <v>#N/A</v>
      </c>
      <c r="CR546" s="4" t="e">
        <f t="shared" ref="CR546" ca="1" si="9999">MATCH(1,OFFSET(CQ539:CQ550,CS545,0,COUNT(CQ539:CQ550)-CS545),0)</f>
        <v>#REF!</v>
      </c>
      <c r="CS546" s="4" t="e">
        <f t="shared" ca="1" si="9888"/>
        <v>#REF!</v>
      </c>
      <c r="CT546" s="692" t="str">
        <f ca="1">IFERROR(VLOOKUP(INDEX(CP539:CP550,CS546),STM,2,FALSE),"----")</f>
        <v>----</v>
      </c>
      <c r="CU546" s="691" t="e">
        <f t="shared" ca="1" si="9889"/>
        <v>#N/A</v>
      </c>
      <c r="CV546" s="4" t="e">
        <f ca="1">IF(AND(INDEX(ELM,CU546,4)&gt;=$AB539,INDEX(ELM,CU546,5)&gt;=$S539,INDEX(ELM,CU546,6)&gt;=$R539),1,0)</f>
        <v>#N/A</v>
      </c>
      <c r="CW546" s="4" t="e">
        <f t="shared" ref="CW546" ca="1" si="10000">MATCH(1,OFFSET(CV539:CV550,CX545,0,COUNT(CV539:CV550)-CX545),0)</f>
        <v>#REF!</v>
      </c>
      <c r="CX546" s="4" t="e">
        <f t="shared" ca="1" si="9891"/>
        <v>#REF!</v>
      </c>
      <c r="CY546" s="692" t="str">
        <f ca="1">IFERROR(VLOOKUP(INDEX(CU539:CU550,CX546),ELM,2,FALSE),"----")</f>
        <v>----</v>
      </c>
      <c r="CZ546" s="691" t="e">
        <f t="shared" ca="1" si="9892"/>
        <v>#N/A</v>
      </c>
      <c r="DA546" s="4" t="e">
        <f ca="1">IF(LEFT($J539,7)="Clad Wo",IF(AND(INDEX(SPPWS,CZ546,4)&gt;=$AB539,INDEX(SPPWS,CZ546,5)&gt;=$S539,INDEX(SPPWS,CZ546,6)&gt;=$R539),1,0),IF(AND(INDEX(SPM,CZ546,4)&gt;=$AB539,INDEX(SPM,CZ546,5)&gt;=$S539,INDEX(SPM,CZ546,6)&gt;=$R539),1,0))</f>
        <v>#N/A</v>
      </c>
      <c r="DB546" s="4" t="e">
        <f t="shared" ref="DB546" ca="1" si="10001">MATCH(1,OFFSET(DA539:DA550,DC545,0,COUNT(DA539:DA550)-DC545),0)</f>
        <v>#REF!</v>
      </c>
      <c r="DC546" s="4" t="e">
        <f t="shared" ca="1" si="9894"/>
        <v>#REF!</v>
      </c>
      <c r="DD546" s="693" t="str">
        <f ca="1">IF(LEFT($J539,7)="Clad Wo",IFERROR(VLOOKUP(INDEX(CZ539:CZ550,DC546),SPPWS,2,FALSE),"----"),IFERROR(VLOOKUP(INDEX(CZ539:CZ550,DC546),SPM,2,FALSE),"----"))</f>
        <v>----</v>
      </c>
      <c r="DE546" s="691" t="e">
        <f t="shared" ca="1" si="9895"/>
        <v>#REF!</v>
      </c>
      <c r="DF546" s="4" t="e" cm="1">
        <f t="array" aca="1" ref="DF546" ca="1">IF(AND(INDEX(INDIRECT(BY539),DE546,4)&gt;=$AB545,INDEX(INDIRECT(BY539),DE546,5)&gt;=$S539,INDEX(INDIRECT(BY539),DE546,6)&gt;=$R539),1,0)</f>
        <v>#REF!</v>
      </c>
      <c r="DG546" s="4" t="e">
        <f t="shared" ref="DG546" ca="1" si="10002">MATCH(1,OFFSET(DF539:DF550,DH545,0,COUNT(DF539:DF550)-DH545),0)</f>
        <v>#REF!</v>
      </c>
      <c r="DH546" s="4" t="e">
        <f t="shared" ca="1" si="9897"/>
        <v>#REF!</v>
      </c>
      <c r="DI546" s="692" t="str" cm="1">
        <f t="array" aca="1" ref="DI546" ca="1">IFERROR(VLOOKUP(INDEX(DE539:DE550,DH546),INDIRECT(BY539),2,FALSE),"----")</f>
        <v>----</v>
      </c>
      <c r="DJ546" s="691" t="e">
        <f t="shared" ca="1" si="9898"/>
        <v>#N/A</v>
      </c>
      <c r="DK546" s="4" t="e">
        <f ca="1">IF(AND(INDEX(SSM,DJ546,4)&gt;=$AB545,INDEX(SSM,DJ546,5)&gt;=$S539,INDEX(SSM,DJ546,6)&gt;=$R539),1,0)</f>
        <v>#N/A</v>
      </c>
      <c r="DL546" s="4" t="e">
        <f t="shared" ref="DL546" ca="1" si="10003">MATCH(1,OFFSET(DK539:DK550,DM545,0,COUNT(DK539:DK550)-DM545),0)</f>
        <v>#REF!</v>
      </c>
      <c r="DM546" s="4" t="e">
        <f t="shared" ca="1" si="9900"/>
        <v>#REF!</v>
      </c>
      <c r="DN546" s="692" t="str">
        <f ca="1">IFERROR(IF(AD546="Nested Steel Stud (wood infill)",VLOOKUP(INDEX(DJ539:DJ550,DM546),SSW,2,FALSE),VLOOKUP(INDEX(DJ539:DJ550,DM546),SSM,2,FALSE)),"----")</f>
        <v>----</v>
      </c>
      <c r="DO546" s="691" t="e">
        <f t="shared" ca="1" si="9901"/>
        <v>#N/A</v>
      </c>
      <c r="DP546" s="4" t="e">
        <f ca="1">IF(AND(INDEX(WSM,DO546,4)&gt;=$AB545,INDEX(WSM,DO546,5)&gt;=$S539,INDEX(WSM,DO546,6)&gt;=$R539),1,0)</f>
        <v>#N/A</v>
      </c>
      <c r="DQ546" s="4" t="e">
        <f t="shared" ref="DQ546" ca="1" si="10004">MATCH(1,OFFSET(DP539:DP550,DR545,0,COUNT(DP539:DP550)-DR545),0)</f>
        <v>#REF!</v>
      </c>
      <c r="DR546" s="4" t="e">
        <f t="shared" ca="1" si="9903"/>
        <v>#REF!</v>
      </c>
      <c r="DS546" s="692" t="str">
        <f ca="1">IFERROR(VLOOKUP(INDEX(DO539:DO550,DR546),WSM,2,FALSE),"----")</f>
        <v>----</v>
      </c>
      <c r="DT546" s="691" t="e">
        <f t="shared" ca="1" si="9904"/>
        <v>#N/A</v>
      </c>
      <c r="DU546" s="4" t="e">
        <f ca="1">IF(AND(INDEX(STM,DT546,4)&gt;=$AB545,INDEX(STM,DT546,5)&gt;=$S539,INDEX(STM,DT546,6)&gt;=$R539),1,0)</f>
        <v>#N/A</v>
      </c>
      <c r="DV546" s="4" t="e">
        <f t="shared" ref="DV546" ca="1" si="10005">MATCH(1,OFFSET(DU539:DU550,DW545,0,COUNT(DU539:DU550)-DW545),0)</f>
        <v>#REF!</v>
      </c>
      <c r="DW546" s="4" t="e">
        <f t="shared" ca="1" si="9906"/>
        <v>#REF!</v>
      </c>
      <c r="DX546" s="692" t="str">
        <f ca="1">IFERROR(VLOOKUP(INDEX(DT539:DT550,DW546),STM,2,FALSE),"----")</f>
        <v>----</v>
      </c>
      <c r="DY546" s="691" t="e">
        <f t="shared" ca="1" si="9907"/>
        <v>#N/A</v>
      </c>
      <c r="DZ546" s="4" t="e">
        <f ca="1">IF(AND(INDEX(ELM,DY546,4)&gt;=$AB545,INDEX(ELM,DY546,5)&gt;=$S539,INDEX(ELM,DY546,6)&gt;=$R539),1,0)</f>
        <v>#N/A</v>
      </c>
      <c r="EA546" s="4" t="e">
        <f t="shared" ref="EA546" ca="1" si="10006">MATCH(1,OFFSET(DZ539:DZ550,EB545,0,COUNT(DZ539:DZ550)-EB545),0)</f>
        <v>#REF!</v>
      </c>
      <c r="EB546" s="4" t="e">
        <f t="shared" ca="1" si="9909"/>
        <v>#REF!</v>
      </c>
      <c r="EC546" s="692" t="str">
        <f ca="1">IFERROR(VLOOKUP(INDEX(DY539:DY550,EB546),ELM,2,FALSE),"----")</f>
        <v>----</v>
      </c>
      <c r="ED546" s="691" t="e">
        <f t="shared" ca="1" si="9910"/>
        <v>#N/A</v>
      </c>
      <c r="EE546" s="4" t="e">
        <f ca="1">IF(LEFT($J539,7)="Clad Wo",IF(AND(INDEX(SPPWS,ED546,4)&gt;=$AB545,INDEX(SPPWS,ED546,5)&gt;=$S539,INDEX(SPPWS,ED546,6)&gt;=$R539),1,0),IF(AND(INDEX(SPM,ED546,4)&gt;=$AB545,INDEX(SPM,ED546,5)&gt;=$S539,INDEX(SPM,ED546,6)&gt;=$R539),1,0))</f>
        <v>#N/A</v>
      </c>
      <c r="EF546" s="4" t="e">
        <f t="shared" ref="EF546" ca="1" si="10007">MATCH(1,OFFSET(EE539:EE550,EG545,0,COUNT(EE539:EE550)-EG545),0)</f>
        <v>#REF!</v>
      </c>
      <c r="EG546" s="4" t="e">
        <f t="shared" ca="1" si="9912"/>
        <v>#REF!</v>
      </c>
      <c r="EH546" s="692" t="str">
        <f ca="1">IF(LEFT($J539,7)="Clad Wo",IFERROR(VLOOKUP(INDEX(ED539:ED550,EG546),SPPWS,2,FALSE),"----"),IFERROR(VLOOKUP(INDEX(ED539:ED550,EG546),SPM,2,FALSE),"----"))</f>
        <v>----</v>
      </c>
    </row>
    <row r="547" spans="1:138" ht="15" customHeight="1" x14ac:dyDescent="0.25">
      <c r="A547" s="1085"/>
      <c r="B547" s="925"/>
      <c r="C547" s="926"/>
      <c r="D547" s="927"/>
      <c r="E547" s="995"/>
      <c r="F547" s="996"/>
      <c r="G547" s="997"/>
      <c r="H547" s="1062"/>
      <c r="I547" s="990"/>
      <c r="J547" s="902"/>
      <c r="K547" s="903"/>
      <c r="L547" s="1002"/>
      <c r="M547" s="923"/>
      <c r="N547" s="1042"/>
      <c r="O547" s="1018"/>
      <c r="P547" s="987"/>
      <c r="Q547" s="1015"/>
      <c r="R547" s="1012"/>
      <c r="S547" s="1006"/>
      <c r="T547" s="1007"/>
      <c r="U547" s="878"/>
      <c r="V547" s="881"/>
      <c r="W547" s="884"/>
      <c r="X547" s="884"/>
      <c r="Y547" s="887"/>
      <c r="Z547" s="887"/>
      <c r="AA547" s="887"/>
      <c r="AB547" s="1081"/>
      <c r="AC547" s="1078"/>
      <c r="AD547" s="1070" t="str">
        <f t="shared" si="8814"/>
        <v>Wood Stud Framing</v>
      </c>
      <c r="AE547" s="1071"/>
      <c r="AF547" s="1052"/>
      <c r="AG547" s="1053"/>
      <c r="AH547" s="1053"/>
      <c r="AI547" s="1066"/>
      <c r="AJ547" s="1067"/>
      <c r="AK547" s="156" t="str">
        <f t="shared" ca="1" si="8761"/>
        <v/>
      </c>
      <c r="AL547" s="1059"/>
      <c r="AM547" s="344" t="str">
        <f ca="1">IFERROR(Q539/12*ROUND(VLOOKUP(AF547,OFFSET(WSM,0,1),6,FALSE),2),"")</f>
        <v/>
      </c>
      <c r="AN547" t="str">
        <f t="shared" ca="1" si="8785"/>
        <v/>
      </c>
      <c r="AP547" s="122" t="str">
        <f t="shared" ref="AP547" si="10008">_xlfn.CONCAT(AR547,AS550)</f>
        <v/>
      </c>
      <c r="AQ547" s="683" t="str">
        <f t="shared" si="8985"/>
        <v/>
      </c>
      <c r="AR547" s="4" t="str">
        <f t="shared" ref="AR547:AR610" si="10009">IFERROR(VLOOKUP(AF547,MullList,2,FALSE),"")</f>
        <v/>
      </c>
      <c r="AS547" s="4"/>
      <c r="AT547" s="697" t="str">
        <f>AL545</f>
        <v/>
      </c>
      <c r="AU547" s="694" t="e">
        <f t="shared" ca="1" si="9002"/>
        <v>#REF!</v>
      </c>
      <c r="AV547" s="686" t="str">
        <f ca="1">IFERROR(VLOOKUP(AU547,INDIRECT(AQ539),2,FALSE),"----")</f>
        <v>----</v>
      </c>
      <c r="AW547" s="694" t="e">
        <f t="shared" ca="1" si="9003"/>
        <v>#REF!</v>
      </c>
      <c r="AX547" s="686" t="str">
        <f ca="1">IFERROR(VLOOKUP(AW547,INDIRECT(AQ540),2,FALSE),"----")</f>
        <v>----</v>
      </c>
      <c r="AY547" s="694" t="e">
        <f t="shared" ca="1" si="9722"/>
        <v>#REF!</v>
      </c>
      <c r="AZ547" s="686" t="str">
        <f ca="1">IFERROR(VLOOKUP(AY547,INDIRECT(AQ541),2,FALSE),"----")</f>
        <v>----</v>
      </c>
      <c r="BA547" s="694" t="e">
        <f t="shared" ca="1" si="9723"/>
        <v>#REF!</v>
      </c>
      <c r="BB547" s="686" t="str">
        <f ca="1">IFERROR(VLOOKUP(BA547,INDIRECT(AQ542),2,FALSE),"----")</f>
        <v>----</v>
      </c>
      <c r="BC547" s="694" t="e">
        <f t="shared" ca="1" si="9006"/>
        <v>#REF!</v>
      </c>
      <c r="BD547" s="686" t="str">
        <f ca="1">IFERROR(VLOOKUP(BC547,INDIRECT(AQ543),2,FALSE),"----")</f>
        <v>----</v>
      </c>
      <c r="BE547" s="694" t="e">
        <f t="shared" ca="1" si="9007"/>
        <v>#REF!</v>
      </c>
      <c r="BF547" s="686" t="str">
        <f ca="1">IFERROR(VLOOKUP(BE547,INDIRECT(AQ544),2,FALSE),"----")</f>
        <v>----</v>
      </c>
      <c r="BG547" s="702" t="e">
        <f t="shared" ca="1" si="9008"/>
        <v>#REF!</v>
      </c>
      <c r="BH547" s="686" t="str">
        <f ca="1">IFERROR(VLOOKUP(BG547,INDIRECT(AQ545),2,FALSE),"----")</f>
        <v>----</v>
      </c>
      <c r="BI547" s="702" t="e">
        <f t="shared" ca="1" si="9009"/>
        <v>#REF!</v>
      </c>
      <c r="BJ547" s="686" t="str">
        <f ca="1">IFERROR(VLOOKUP(BI547,INDIRECT(AQ546),2,FALSE),"----")</f>
        <v>----</v>
      </c>
      <c r="BK547" s="702" t="e">
        <f t="shared" ca="1" si="9010"/>
        <v>#REF!</v>
      </c>
      <c r="BL547" s="686" t="str">
        <f ca="1">IFERROR(VLOOKUP(BK547,INDIRECT(AQ547),2,FALSE),"----")</f>
        <v>----</v>
      </c>
      <c r="BM547" s="702" t="e">
        <f t="shared" ca="1" si="9011"/>
        <v>#REF!</v>
      </c>
      <c r="BN547" s="686" t="str">
        <f ca="1">IFERROR(VLOOKUP(BM547,INDIRECT(AQ548),2,FALSE),"----")</f>
        <v>----</v>
      </c>
      <c r="BO547" s="702" t="e">
        <f t="shared" ca="1" si="9012"/>
        <v>#REF!</v>
      </c>
      <c r="BP547" s="686" t="str">
        <f ca="1">IFERROR(VLOOKUP(BO547,INDIRECT(AQ549),2,FALSE),"----")</f>
        <v>----</v>
      </c>
      <c r="BQ547" s="702" t="e">
        <f t="shared" ca="1" si="9013"/>
        <v>#REF!</v>
      </c>
      <c r="BR547" s="686" t="str">
        <f ca="1">IFERROR(VLOOKUP(BQ547,INDIRECT(AQ550),2,FALSE),"----")</f>
        <v>----</v>
      </c>
      <c r="BS547" s="695">
        <f>IF(AI547="",1,IF(COUNTIF(BL539:BL550,AI547)=0,2,1))</f>
        <v>1</v>
      </c>
      <c r="BT547" s="696">
        <f>IF(AF547="",1,IF(BL539=".",2,1))</f>
        <v>1</v>
      </c>
      <c r="BU547" s="706"/>
      <c r="BV547" s="155">
        <f ca="1">IF(COUNTIF(DS539:DS550,AF547)=0,IF(AF547&lt;&gt;"",0,1),1)</f>
        <v>1</v>
      </c>
      <c r="BW547" s="157">
        <f ca="1">IFERROR(MATCH(AF547,DS539:DS550,0),1)</f>
        <v>1</v>
      </c>
      <c r="BX547" s="769" t="e">
        <f t="shared" ref="BX547" si="10010">5*E539^3*W539/(384*X539)</f>
        <v>#VALUE!</v>
      </c>
      <c r="BY547" s="769" t="e">
        <f t="shared" ref="BY547" si="10011">W539*E539^3/(60*X539)</f>
        <v>#VALUE!</v>
      </c>
      <c r="BZ547" s="1110"/>
      <c r="CA547" s="691" t="e">
        <f t="shared" ca="1" si="9877"/>
        <v>#REF!</v>
      </c>
      <c r="CB547" s="4" t="e" cm="1">
        <f t="array" aca="1" ref="CB547" ca="1">IF(AND(INDEX(INDIRECT(BY539),CA547,4)&gt;=$AB539,INDEX(INDIRECT(BY539),CA547,5)&gt;=$S539,INDEX(INDIRECT(BY539),CA547,6)&gt;=$R539),1,0)</f>
        <v>#REF!</v>
      </c>
      <c r="CC547" s="4" t="e">
        <f t="shared" ref="CC547" ca="1" si="10012">MATCH(1,OFFSET(CB539:CB550,CD546,0,COUNT(CB539:CB550)-CD546),0)</f>
        <v>#REF!</v>
      </c>
      <c r="CD547" s="4" t="e">
        <f t="shared" ca="1" si="9879"/>
        <v>#REF!</v>
      </c>
      <c r="CE547" s="692" t="str" cm="1">
        <f t="array" aca="1" ref="CE547" ca="1">IFERROR(VLOOKUP(INDEX(CA539:CA550,CD547),INDIRECT(BY539),2,FALSE),"----")</f>
        <v>----</v>
      </c>
      <c r="CF547" s="691" t="e">
        <f t="shared" ca="1" si="9880"/>
        <v>#N/A</v>
      </c>
      <c r="CG547" s="4" t="e">
        <f ca="1">IF(AND(INDEX(SSM,CF547,4)&gt;=$AB539,INDEX(SSM,CF547,5)&gt;=$S539,INDEX(SSM,CF547,6)&gt;=$R539),1,0)</f>
        <v>#N/A</v>
      </c>
      <c r="CH547" s="4" t="e">
        <f t="shared" ref="CH547" ca="1" si="10013">MATCH(1,OFFSET(CG539:CG550,CI546,0,COUNT(CG539:CG550)-CI546),0)</f>
        <v>#REF!</v>
      </c>
      <c r="CI547" s="4" t="e">
        <f t="shared" ca="1" si="9882"/>
        <v>#REF!</v>
      </c>
      <c r="CJ547" s="692" t="str">
        <f ca="1">IFERROR(IF(AD540="Nested Steel Stud (wood infill)",VLOOKUP(INDEX(CF539:CF550,CI547),SSW,2,FALSE),VLOOKUP(INDEX(CF539:CF550,CI547),SSM,2,FALSE)),"----")</f>
        <v>----</v>
      </c>
      <c r="CK547" s="691" t="e">
        <f t="shared" ca="1" si="9883"/>
        <v>#N/A</v>
      </c>
      <c r="CL547" s="4" t="e">
        <f ca="1">IF(AND(INDEX(WSM,CK547,4)&gt;=$AB539,INDEX(WSM,CK547,5)&gt;=$S539,INDEX(WSM,CK547,6)&gt;=$R539),1,0)</f>
        <v>#N/A</v>
      </c>
      <c r="CM547" s="4" t="e">
        <f t="shared" ref="CM547" ca="1" si="10014">MATCH(1,OFFSET(CL539:CL550,CN546,0,COUNT(CL539:CL550)-CN546),0)</f>
        <v>#REF!</v>
      </c>
      <c r="CN547" s="4" t="e">
        <f t="shared" ca="1" si="9885"/>
        <v>#REF!</v>
      </c>
      <c r="CO547" s="692" t="str">
        <f ca="1">IFERROR(VLOOKUP(INDEX(CK539:CK550,CN547),WSM,2,FALSE),"----")</f>
        <v>----</v>
      </c>
      <c r="CP547" s="691" t="e">
        <f t="shared" ca="1" si="9886"/>
        <v>#N/A</v>
      </c>
      <c r="CQ547" s="4" t="e">
        <f ca="1">IF(AND(INDEX(STM,CP547,4)&gt;=$AB539,INDEX(STM,CP547,5)&gt;=$S539,INDEX(STM,CP547,6)&gt;=$R539),1,0)</f>
        <v>#N/A</v>
      </c>
      <c r="CR547" s="4" t="e">
        <f t="shared" ref="CR547" ca="1" si="10015">MATCH(1,OFFSET(CQ539:CQ550,CS546,0,COUNT(CQ539:CQ550)-CS546),0)</f>
        <v>#REF!</v>
      </c>
      <c r="CS547" s="4" t="e">
        <f t="shared" ca="1" si="9888"/>
        <v>#REF!</v>
      </c>
      <c r="CT547" s="692" t="str">
        <f ca="1">IFERROR(VLOOKUP(INDEX(CP539:CP550,CS547),STM,2,FALSE),"----")</f>
        <v>----</v>
      </c>
      <c r="CU547" s="691" t="e">
        <f t="shared" ca="1" si="9889"/>
        <v>#N/A</v>
      </c>
      <c r="CV547" s="4" t="e">
        <f ca="1">IF(AND(INDEX(ELM,CU547,4)&gt;=$AB539,INDEX(ELM,CU547,5)&gt;=$S539,INDEX(ELM,CU547,6)&gt;=$R539),1,0)</f>
        <v>#N/A</v>
      </c>
      <c r="CW547" s="4" t="e">
        <f t="shared" ref="CW547" ca="1" si="10016">MATCH(1,OFFSET(CV539:CV550,CX546,0,COUNT(CV539:CV550)-CX546),0)</f>
        <v>#REF!</v>
      </c>
      <c r="CX547" s="4" t="e">
        <f t="shared" ca="1" si="9891"/>
        <v>#REF!</v>
      </c>
      <c r="CY547" s="692" t="str">
        <f ca="1">IFERROR(VLOOKUP(INDEX(CU539:CU550,CX547),ELM,2,FALSE),"----")</f>
        <v>----</v>
      </c>
      <c r="CZ547" s="691" t="e">
        <f t="shared" ca="1" si="9892"/>
        <v>#N/A</v>
      </c>
      <c r="DA547" s="4" t="e">
        <f ca="1">IF(LEFT($J539,7)="Clad Wo",IF(AND(INDEX(SPPWS,CZ547,4)&gt;=$AB539,INDEX(SPPWS,CZ547,5)&gt;=$S539,INDEX(SPPWS,CZ547,6)&gt;=$R539),1,0),IF(AND(INDEX(SPM,CZ547,4)&gt;=$AB539,INDEX(SPM,CZ547,5)&gt;=$S539,INDEX(SPM,CZ547,6)&gt;=$R539),1,0))</f>
        <v>#N/A</v>
      </c>
      <c r="DB547" s="4" t="e">
        <f t="shared" ref="DB547" ca="1" si="10017">MATCH(1,OFFSET(DA539:DA550,DC546,0,COUNT(DA539:DA550)-DC546),0)</f>
        <v>#REF!</v>
      </c>
      <c r="DC547" s="4" t="e">
        <f t="shared" ca="1" si="9894"/>
        <v>#REF!</v>
      </c>
      <c r="DD547" s="693" t="str">
        <f ca="1">IF(LEFT($J539,7)="Clad Wo",IFERROR(VLOOKUP(INDEX(CZ539:CZ550,DC547),SPPWS,2,FALSE),"----"),IFERROR(VLOOKUP(INDEX(CZ539:CZ550,DC547),SPM,2,FALSE),"----"))</f>
        <v>----</v>
      </c>
      <c r="DE547" s="691" t="e">
        <f t="shared" ca="1" si="9895"/>
        <v>#REF!</v>
      </c>
      <c r="DF547" s="4" t="e" cm="1">
        <f t="array" aca="1" ref="DF547" ca="1">IF(AND(INDEX(INDIRECT(BY539),DE547,4)&gt;=$AB545,INDEX(INDIRECT(BY539),DE547,5)&gt;=$S539,INDEX(INDIRECT(BY539),DE547,6)&gt;=$R539),1,0)</f>
        <v>#REF!</v>
      </c>
      <c r="DG547" s="4" t="e">
        <f t="shared" ref="DG547" ca="1" si="10018">MATCH(1,OFFSET(DF539:DF550,DH546,0,COUNT(DF539:DF550)-DH546),0)</f>
        <v>#REF!</v>
      </c>
      <c r="DH547" s="4" t="e">
        <f t="shared" ca="1" si="9897"/>
        <v>#REF!</v>
      </c>
      <c r="DI547" s="692" t="str" cm="1">
        <f t="array" aca="1" ref="DI547" ca="1">IFERROR(VLOOKUP(INDEX(DE539:DE550,DH547),INDIRECT(BY539),2,FALSE),"----")</f>
        <v>----</v>
      </c>
      <c r="DJ547" s="691" t="e">
        <f t="shared" ca="1" si="9898"/>
        <v>#N/A</v>
      </c>
      <c r="DK547" s="4" t="e">
        <f ca="1">IF(AND(INDEX(SSM,DJ547,4)&gt;=$AB545,INDEX(SSM,DJ547,5)&gt;=$S539,INDEX(SSM,DJ547,6)&gt;=$R539),1,0)</f>
        <v>#N/A</v>
      </c>
      <c r="DL547" s="4" t="e">
        <f t="shared" ref="DL547" ca="1" si="10019">MATCH(1,OFFSET(DK539:DK550,DM546,0,COUNT(DK539:DK550)-DM546),0)</f>
        <v>#REF!</v>
      </c>
      <c r="DM547" s="4" t="e">
        <f t="shared" ca="1" si="9900"/>
        <v>#REF!</v>
      </c>
      <c r="DN547" s="692" t="str">
        <f ca="1">IFERROR(IF(AD546="Nested Steel Stud (wood infill)",VLOOKUP(INDEX(DJ539:DJ550,DM547),SSW,2,FALSE),VLOOKUP(INDEX(DJ539:DJ550,DM547),SSM,2,FALSE)),"----")</f>
        <v>----</v>
      </c>
      <c r="DO547" s="691" t="e">
        <f t="shared" ca="1" si="9901"/>
        <v>#N/A</v>
      </c>
      <c r="DP547" s="4" t="e">
        <f ca="1">IF(AND(INDEX(WSM,DO547,4)&gt;=$AB545,INDEX(WSM,DO547,5)&gt;=$S539,INDEX(WSM,DO547,6)&gt;=$R539),1,0)</f>
        <v>#N/A</v>
      </c>
      <c r="DQ547" s="4" t="e">
        <f t="shared" ref="DQ547" ca="1" si="10020">MATCH(1,OFFSET(DP539:DP550,DR546,0,COUNT(DP539:DP550)-DR546),0)</f>
        <v>#REF!</v>
      </c>
      <c r="DR547" s="4" t="e">
        <f t="shared" ca="1" si="9903"/>
        <v>#REF!</v>
      </c>
      <c r="DS547" s="692" t="str">
        <f ca="1">IFERROR(VLOOKUP(INDEX(DO539:DO550,DR547),WSM,2,FALSE),"----")</f>
        <v>----</v>
      </c>
      <c r="DT547" s="691" t="e">
        <f t="shared" ca="1" si="9904"/>
        <v>#N/A</v>
      </c>
      <c r="DU547" s="4" t="e">
        <f ca="1">IF(AND(INDEX(STM,DT547,4)&gt;=$AB545,INDEX(STM,DT547,5)&gt;=$S539,INDEX(STM,DT547,6)&gt;=$R539),1,0)</f>
        <v>#N/A</v>
      </c>
      <c r="DV547" s="4" t="e">
        <f t="shared" ref="DV547" ca="1" si="10021">MATCH(1,OFFSET(DU539:DU550,DW546,0,COUNT(DU539:DU550)-DW546),0)</f>
        <v>#REF!</v>
      </c>
      <c r="DW547" s="4" t="e">
        <f t="shared" ca="1" si="9906"/>
        <v>#REF!</v>
      </c>
      <c r="DX547" s="692" t="str">
        <f ca="1">IFERROR(VLOOKUP(INDEX(DT539:DT550,DW547),STM,2,FALSE),"----")</f>
        <v>----</v>
      </c>
      <c r="DY547" s="691" t="e">
        <f t="shared" ca="1" si="9907"/>
        <v>#N/A</v>
      </c>
      <c r="DZ547" s="4" t="e">
        <f ca="1">IF(AND(INDEX(ELM,DY547,4)&gt;=$AB545,INDEX(ELM,DY547,5)&gt;=$S539,INDEX(ELM,DY547,6)&gt;=$R539),1,0)</f>
        <v>#N/A</v>
      </c>
      <c r="EA547" s="4" t="e">
        <f t="shared" ref="EA547" ca="1" si="10022">MATCH(1,OFFSET(DZ539:DZ550,EB546,0,COUNT(DZ539:DZ550)-EB546),0)</f>
        <v>#REF!</v>
      </c>
      <c r="EB547" s="4" t="e">
        <f t="shared" ca="1" si="9909"/>
        <v>#REF!</v>
      </c>
      <c r="EC547" s="692" t="str">
        <f ca="1">IFERROR(VLOOKUP(INDEX(DY539:DY550,EB547),ELM,2,FALSE),"----")</f>
        <v>----</v>
      </c>
      <c r="ED547" s="691" t="e">
        <f t="shared" ca="1" si="9910"/>
        <v>#N/A</v>
      </c>
      <c r="EE547" s="4" t="e">
        <f ca="1">IF(LEFT($J539,7)="Clad Wo",IF(AND(INDEX(SPPWS,ED547,4)&gt;=$AB545,INDEX(SPPWS,ED547,5)&gt;=$S539,INDEX(SPPWS,ED547,6)&gt;=$R539),1,0),IF(AND(INDEX(SPM,ED547,4)&gt;=$AB545,INDEX(SPM,ED547,5)&gt;=$S539,INDEX(SPM,ED547,6)&gt;=$R539),1,0))</f>
        <v>#N/A</v>
      </c>
      <c r="EF547" s="4" t="e">
        <f t="shared" ref="EF547" ca="1" si="10023">MATCH(1,OFFSET(EE539:EE550,EG546,0,COUNT(EE539:EE550)-EG546),0)</f>
        <v>#REF!</v>
      </c>
      <c r="EG547" s="4" t="e">
        <f t="shared" ca="1" si="9912"/>
        <v>#REF!</v>
      </c>
      <c r="EH547" s="692" t="str">
        <f ca="1">IF(LEFT($J539,7)="Clad Wo",IFERROR(VLOOKUP(INDEX(ED539:ED550,EG547),SPPWS,2,FALSE),"----"),IFERROR(VLOOKUP(INDEX(ED539:ED550,EG547),SPM,2,FALSE),"----"))</f>
        <v>----</v>
      </c>
    </row>
    <row r="548" spans="1:138" ht="15" customHeight="1" x14ac:dyDescent="0.25">
      <c r="A548" s="1085"/>
      <c r="B548" s="925"/>
      <c r="C548" s="926"/>
      <c r="D548" s="927"/>
      <c r="E548" s="995"/>
      <c r="F548" s="996"/>
      <c r="G548" s="997"/>
      <c r="H548" s="1062"/>
      <c r="I548" s="990"/>
      <c r="J548" s="902"/>
      <c r="K548" s="903"/>
      <c r="L548" s="1002"/>
      <c r="M548" s="923"/>
      <c r="N548" s="1042"/>
      <c r="O548" s="1018"/>
      <c r="P548" s="987"/>
      <c r="Q548" s="1015"/>
      <c r="R548" s="1012"/>
      <c r="S548" s="1006"/>
      <c r="T548" s="1007"/>
      <c r="U548" s="878"/>
      <c r="V548" s="881"/>
      <c r="W548" s="884"/>
      <c r="X548" s="884"/>
      <c r="Y548" s="887"/>
      <c r="Z548" s="887"/>
      <c r="AA548" s="887"/>
      <c r="AB548" s="1081"/>
      <c r="AC548" s="1078"/>
      <c r="AD548" s="1070" t="str">
        <f t="shared" si="8814"/>
        <v>Steel Tube</v>
      </c>
      <c r="AE548" s="1071"/>
      <c r="AF548" s="1052"/>
      <c r="AG548" s="1053"/>
      <c r="AH548" s="1053"/>
      <c r="AI548" s="1066"/>
      <c r="AJ548" s="1067"/>
      <c r="AK548" s="156" t="str">
        <f t="shared" ref="AK548:AK611" ca="1" si="10024">IFERROR(VLOOKUP(AI548,OFFSET(INDIRECT(AQ548),0,1),2,FALSE),"")</f>
        <v/>
      </c>
      <c r="AL548" s="1059"/>
      <c r="AM548" s="343" t="str">
        <f ca="1">IFERROR(Q539/12*ROUND(VLOOKUP(AF548,OFFSET(STM,0,1),6,FALSE),2),"")</f>
        <v/>
      </c>
      <c r="AN548" t="str">
        <f t="shared" ca="1" si="8785"/>
        <v/>
      </c>
      <c r="AP548" s="122" t="str">
        <f t="shared" ref="AP548" si="10025">_xlfn.CONCAT(AR548,AS550)</f>
        <v/>
      </c>
      <c r="AQ548" s="683" t="str">
        <f t="shared" si="8985"/>
        <v/>
      </c>
      <c r="AR548" s="4" t="str">
        <f t="shared" si="10009"/>
        <v/>
      </c>
      <c r="AS548" s="4"/>
      <c r="AT548" s="697" t="str">
        <f>AL545</f>
        <v/>
      </c>
      <c r="AU548" s="694" t="e">
        <f t="shared" ca="1" si="9002"/>
        <v>#REF!</v>
      </c>
      <c r="AV548" s="686" t="str">
        <f ca="1">IFERROR(VLOOKUP(AU548,INDIRECT(AQ539),2,FALSE),"----")</f>
        <v>----</v>
      </c>
      <c r="AW548" s="694" t="e">
        <f t="shared" ca="1" si="9003"/>
        <v>#REF!</v>
      </c>
      <c r="AX548" s="686" t="str">
        <f ca="1">IFERROR(VLOOKUP(AW548,INDIRECT(AQ540),2,FALSE),"----")</f>
        <v>----</v>
      </c>
      <c r="AY548" s="694" t="e">
        <f t="shared" ca="1" si="9078"/>
        <v>#REF!</v>
      </c>
      <c r="AZ548" s="686" t="str">
        <f ca="1">IFERROR(VLOOKUP(AY548,INDIRECT(AQ541),2,FALSE),"----")</f>
        <v>----</v>
      </c>
      <c r="BA548" s="694" t="e">
        <f t="shared" ca="1" si="9079"/>
        <v>#REF!</v>
      </c>
      <c r="BB548" s="686" t="str">
        <f ca="1">IFERROR(VLOOKUP(BA548,INDIRECT(AQ542),2,FALSE),"----")</f>
        <v>----</v>
      </c>
      <c r="BC548" s="694" t="e">
        <f t="shared" ca="1" si="9006"/>
        <v>#REF!</v>
      </c>
      <c r="BD548" s="686" t="str">
        <f ca="1">IFERROR(VLOOKUP(BC548,INDIRECT(AQ543),2,FALSE),"----")</f>
        <v>----</v>
      </c>
      <c r="BE548" s="694" t="e">
        <f t="shared" ca="1" si="9007"/>
        <v>#REF!</v>
      </c>
      <c r="BF548" s="686" t="str">
        <f ca="1">IFERROR(VLOOKUP(BE548,INDIRECT(AQ544),2,FALSE),"----")</f>
        <v>----</v>
      </c>
      <c r="BG548" s="702" t="e">
        <f t="shared" ca="1" si="9008"/>
        <v>#REF!</v>
      </c>
      <c r="BH548" s="686" t="str">
        <f ca="1">IFERROR(VLOOKUP(BG548,INDIRECT(AQ545),2,FALSE),"----")</f>
        <v>----</v>
      </c>
      <c r="BI548" s="702" t="e">
        <f t="shared" ca="1" si="9009"/>
        <v>#REF!</v>
      </c>
      <c r="BJ548" s="686" t="str">
        <f ca="1">IFERROR(VLOOKUP(BI548,INDIRECT(AQ546),2,FALSE),"----")</f>
        <v>----</v>
      </c>
      <c r="BK548" s="702" t="e">
        <f t="shared" ca="1" si="9010"/>
        <v>#REF!</v>
      </c>
      <c r="BL548" s="686" t="str">
        <f ca="1">IFERROR(VLOOKUP(BK548,INDIRECT(AQ547),2,FALSE),"----")</f>
        <v>----</v>
      </c>
      <c r="BM548" s="702" t="e">
        <f t="shared" ca="1" si="9011"/>
        <v>#REF!</v>
      </c>
      <c r="BN548" s="686" t="str">
        <f ca="1">IFERROR(VLOOKUP(BM548,INDIRECT(AQ548),2,FALSE),"----")</f>
        <v>----</v>
      </c>
      <c r="BO548" s="702" t="e">
        <f t="shared" ca="1" si="9012"/>
        <v>#REF!</v>
      </c>
      <c r="BP548" s="686" t="str">
        <f ca="1">IFERROR(VLOOKUP(BO548,INDIRECT(AQ549),2,FALSE),"----")</f>
        <v>----</v>
      </c>
      <c r="BQ548" s="702" t="e">
        <f t="shared" ca="1" si="9013"/>
        <v>#REF!</v>
      </c>
      <c r="BR548" s="686" t="str">
        <f ca="1">IFERROR(VLOOKUP(BQ548,INDIRECT(AQ550),2,FALSE),"----")</f>
        <v>----</v>
      </c>
      <c r="BS548" s="695">
        <f>IF(AI548="",1,IF(COUNTIF(BN539:BN550,AI548)=0,2,1))</f>
        <v>1</v>
      </c>
      <c r="BT548" s="696">
        <f>IF(AF548="",1,IF(BN539=".",2,1))</f>
        <v>1</v>
      </c>
      <c r="BU548" s="706"/>
      <c r="BV548" s="155">
        <f ca="1">IF(COUNTIF(DX539:DX550,AF548)=0,IF(AF548&lt;&gt;"",0,1),1)</f>
        <v>1</v>
      </c>
      <c r="BW548" s="157">
        <f ca="1">IFERROR(MATCH(AF548,DX539:DX550,0),1)</f>
        <v>1</v>
      </c>
      <c r="BX548" s="769" t="e">
        <f t="shared" ref="BX548" si="10026">5*E539^3*W545/(384*X539)</f>
        <v>#VALUE!</v>
      </c>
      <c r="BY548" s="769" t="e">
        <f t="shared" ref="BY548" si="10027">E539^3*W545/(60*X539)</f>
        <v>#VALUE!</v>
      </c>
      <c r="BZ548" s="1110"/>
      <c r="CA548" s="691" t="e">
        <f t="shared" ca="1" si="9877"/>
        <v>#REF!</v>
      </c>
      <c r="CB548" s="4" t="e" cm="1">
        <f t="array" aca="1" ref="CB548" ca="1">IF(AND(INDEX(INDIRECT(BY539),CA548,4)&gt;=$AB539,INDEX(INDIRECT(BY539),CA548,5)&gt;=$S539,INDEX(INDIRECT(BY539),CA548,6)&gt;=$R539),1,0)</f>
        <v>#REF!</v>
      </c>
      <c r="CC548" s="4" t="e">
        <f t="shared" ref="CC548" ca="1" si="10028">MATCH(1,OFFSET(CB539:CB550,CD547,0,COUNT(CB539:CB550)-CD547),0)</f>
        <v>#REF!</v>
      </c>
      <c r="CD548" s="4" t="e">
        <f t="shared" ca="1" si="9879"/>
        <v>#REF!</v>
      </c>
      <c r="CE548" s="692" t="str" cm="1">
        <f t="array" aca="1" ref="CE548" ca="1">IFERROR(VLOOKUP(INDEX(CA539:CA550,CD548),INDIRECT(BY539),2,FALSE),"----")</f>
        <v>----</v>
      </c>
      <c r="CF548" s="691" t="e">
        <f t="shared" ca="1" si="9880"/>
        <v>#N/A</v>
      </c>
      <c r="CG548" s="4" t="e">
        <f ca="1">IF(AND(INDEX(SSM,CF548,4)&gt;=$AB539,INDEX(SSM,CF548,5)&gt;=$S539,INDEX(SSM,CF548,6)&gt;=$R539),1,0)</f>
        <v>#N/A</v>
      </c>
      <c r="CH548" s="4" t="e">
        <f t="shared" ref="CH548" ca="1" si="10029">MATCH(1,OFFSET(CG539:CG550,CI547,0,COUNT(CG539:CG550)-CI547),0)</f>
        <v>#REF!</v>
      </c>
      <c r="CI548" s="4" t="e">
        <f t="shared" ca="1" si="9882"/>
        <v>#REF!</v>
      </c>
      <c r="CJ548" s="692" t="str">
        <f ca="1">IFERROR(IF(AD540="Nested Steel Stud (wood infill)",VLOOKUP(INDEX(CF539:CF550,CI548),SSW,2,FALSE),VLOOKUP(INDEX(CF539:CF550,CI548),SSM,2,FALSE)),"----")</f>
        <v>----</v>
      </c>
      <c r="CK548" s="691" t="e">
        <f t="shared" ca="1" si="9883"/>
        <v>#N/A</v>
      </c>
      <c r="CL548" s="4" t="e">
        <f ca="1">IF(AND(INDEX(WSM,CK548,4)&gt;=$AB539,INDEX(WSM,CK548,5)&gt;=$S539,INDEX(WSM,CK548,6)&gt;=$R539),1,0)</f>
        <v>#N/A</v>
      </c>
      <c r="CM548" s="4" t="e">
        <f t="shared" ref="CM548" ca="1" si="10030">MATCH(1,OFFSET(CL539:CL550,CN547,0,COUNT(CL539:CL550)-CN547),0)</f>
        <v>#REF!</v>
      </c>
      <c r="CN548" s="4" t="e">
        <f t="shared" ca="1" si="9885"/>
        <v>#REF!</v>
      </c>
      <c r="CO548" s="692" t="str">
        <f ca="1">IFERROR(VLOOKUP(INDEX(CK539:CK550,CN548),WSM,2,FALSE),"----")</f>
        <v>----</v>
      </c>
      <c r="CP548" s="691" t="e">
        <f t="shared" ca="1" si="9886"/>
        <v>#N/A</v>
      </c>
      <c r="CQ548" s="4" t="e">
        <f ca="1">IF(AND(INDEX(STM,CP548,4)&gt;=$AB539,INDEX(STM,CP548,5)&gt;=$S539,INDEX(STM,CP548,6)&gt;=$R539),1,0)</f>
        <v>#N/A</v>
      </c>
      <c r="CR548" s="4" t="e">
        <f t="shared" ref="CR548" ca="1" si="10031">MATCH(1,OFFSET(CQ539:CQ550,CS547,0,COUNT(CQ539:CQ550)-CS547),0)</f>
        <v>#REF!</v>
      </c>
      <c r="CS548" s="4" t="e">
        <f t="shared" ca="1" si="9888"/>
        <v>#REF!</v>
      </c>
      <c r="CT548" s="692" t="str">
        <f ca="1">IFERROR(VLOOKUP(INDEX(CP539:CP550,CS548),STM,2,FALSE),"----")</f>
        <v>----</v>
      </c>
      <c r="CU548" s="691" t="e">
        <f t="shared" ca="1" si="9889"/>
        <v>#N/A</v>
      </c>
      <c r="CV548" s="4" t="e">
        <f ca="1">IF(AND(INDEX(ELM,CU548,4)&gt;=$AB539,INDEX(ELM,CU548,5)&gt;=$S539,INDEX(ELM,CU548,6)&gt;=$R539),1,0)</f>
        <v>#N/A</v>
      </c>
      <c r="CW548" s="4" t="e">
        <f t="shared" ref="CW548" ca="1" si="10032">MATCH(1,OFFSET(CV539:CV550,CX547,0,COUNT(CV539:CV550)-CX547),0)</f>
        <v>#REF!</v>
      </c>
      <c r="CX548" s="4" t="e">
        <f t="shared" ca="1" si="9891"/>
        <v>#REF!</v>
      </c>
      <c r="CY548" s="692" t="str">
        <f ca="1">IFERROR(VLOOKUP(INDEX(CU539:CU550,CX548),ELM,2,FALSE),"----")</f>
        <v>----</v>
      </c>
      <c r="CZ548" s="691" t="e">
        <f t="shared" ca="1" si="9892"/>
        <v>#N/A</v>
      </c>
      <c r="DA548" s="4" t="e">
        <f ca="1">IF(LEFT($J539,7)="Clad Wo",IF(AND(INDEX(SPPWS,CZ548,4)&gt;=$AB539,INDEX(SPPWS,CZ548,5)&gt;=$S539,INDEX(SPPWS,CZ548,6)&gt;=$R539),1,0),IF(AND(INDEX(SPM,CZ548,4)&gt;=$AB539,INDEX(SPM,CZ548,5)&gt;=$S539,INDEX(SPM,CZ548,6)&gt;=$R539),1,0))</f>
        <v>#N/A</v>
      </c>
      <c r="DB548" s="4" t="e">
        <f t="shared" ref="DB548" ca="1" si="10033">MATCH(1,OFFSET(DA539:DA550,DC547,0,COUNT(DA539:DA550)-DC547),0)</f>
        <v>#REF!</v>
      </c>
      <c r="DC548" s="4" t="e">
        <f t="shared" ca="1" si="9894"/>
        <v>#REF!</v>
      </c>
      <c r="DD548" s="693" t="str">
        <f ca="1">IF(LEFT($J539,7)="Clad Wo",IFERROR(VLOOKUP(INDEX(CZ539:CZ550,DC548),SPPWS,2,FALSE),"----"),IFERROR(VLOOKUP(INDEX(CZ539:CZ550,DC548),SPM,2,FALSE),"----"))</f>
        <v>----</v>
      </c>
      <c r="DE548" s="691" t="e">
        <f t="shared" ca="1" si="9895"/>
        <v>#REF!</v>
      </c>
      <c r="DF548" s="4" t="e" cm="1">
        <f t="array" aca="1" ref="DF548" ca="1">IF(AND(INDEX(INDIRECT(BY539),DE548,4)&gt;=$AB545,INDEX(INDIRECT(BY539),DE548,5)&gt;=$S539,INDEX(INDIRECT(BY539),DE548,6)&gt;=$R539),1,0)</f>
        <v>#REF!</v>
      </c>
      <c r="DG548" s="4" t="e">
        <f t="shared" ref="DG548" ca="1" si="10034">MATCH(1,OFFSET(DF539:DF550,DH547,0,COUNT(DF539:DF550)-DH547),0)</f>
        <v>#REF!</v>
      </c>
      <c r="DH548" s="4" t="e">
        <f t="shared" ca="1" si="9897"/>
        <v>#REF!</v>
      </c>
      <c r="DI548" s="692" t="str" cm="1">
        <f t="array" aca="1" ref="DI548" ca="1">IFERROR(VLOOKUP(INDEX(DE539:DE550,DH548),INDIRECT(BY539),2,FALSE),"----")</f>
        <v>----</v>
      </c>
      <c r="DJ548" s="691" t="e">
        <f t="shared" ca="1" si="9898"/>
        <v>#N/A</v>
      </c>
      <c r="DK548" s="4" t="e">
        <f ca="1">IF(AND(INDEX(SSM,DJ548,4)&gt;=$AB545,INDEX(SSM,DJ548,5)&gt;=$S539,INDEX(SSM,DJ548,6)&gt;=$R539),1,0)</f>
        <v>#N/A</v>
      </c>
      <c r="DL548" s="4" t="e">
        <f t="shared" ref="DL548" ca="1" si="10035">MATCH(1,OFFSET(DK539:DK550,DM547,0,COUNT(DK539:DK550)-DM547),0)</f>
        <v>#REF!</v>
      </c>
      <c r="DM548" s="4" t="e">
        <f t="shared" ca="1" si="9900"/>
        <v>#REF!</v>
      </c>
      <c r="DN548" s="692" t="str">
        <f ca="1">IFERROR(IF(AD546="Nested Steel Stud (wood infill)",VLOOKUP(INDEX(DJ539:DJ550,DM548),SSW,2,FALSE),VLOOKUP(INDEX(DJ539:DJ550,DM548),SSM,2,FALSE)),"----")</f>
        <v>----</v>
      </c>
      <c r="DO548" s="691" t="e">
        <f t="shared" ca="1" si="9901"/>
        <v>#N/A</v>
      </c>
      <c r="DP548" s="4" t="e">
        <f ca="1">IF(AND(INDEX(WSM,DO548,4)&gt;=$AB545,INDEX(WSM,DO548,5)&gt;=$S539,INDEX(WSM,DO548,6)&gt;=$R539),1,0)</f>
        <v>#N/A</v>
      </c>
      <c r="DQ548" s="4" t="e">
        <f t="shared" ref="DQ548" ca="1" si="10036">MATCH(1,OFFSET(DP539:DP550,DR547,0,COUNT(DP539:DP550)-DR547),0)</f>
        <v>#REF!</v>
      </c>
      <c r="DR548" s="4" t="e">
        <f t="shared" ca="1" si="9903"/>
        <v>#REF!</v>
      </c>
      <c r="DS548" s="692" t="str">
        <f ca="1">IFERROR(VLOOKUP(INDEX(DO539:DO550,DR548),WSM,2,FALSE),"----")</f>
        <v>----</v>
      </c>
      <c r="DT548" s="691" t="e">
        <f t="shared" ca="1" si="9904"/>
        <v>#N/A</v>
      </c>
      <c r="DU548" s="4" t="e">
        <f ca="1">IF(AND(INDEX(STM,DT548,4)&gt;=$AB545,INDEX(STM,DT548,5)&gt;=$S539,INDEX(STM,DT548,6)&gt;=$R539),1,0)</f>
        <v>#N/A</v>
      </c>
      <c r="DV548" s="4" t="e">
        <f t="shared" ref="DV548" ca="1" si="10037">MATCH(1,OFFSET(DU539:DU550,DW547,0,COUNT(DU539:DU550)-DW547),0)</f>
        <v>#REF!</v>
      </c>
      <c r="DW548" s="4" t="e">
        <f t="shared" ca="1" si="9906"/>
        <v>#REF!</v>
      </c>
      <c r="DX548" s="692" t="str">
        <f ca="1">IFERROR(VLOOKUP(INDEX(DT539:DT550,DW548),STM,2,FALSE),"----")</f>
        <v>----</v>
      </c>
      <c r="DY548" s="691" t="e">
        <f t="shared" ca="1" si="9907"/>
        <v>#N/A</v>
      </c>
      <c r="DZ548" s="4" t="e">
        <f ca="1">IF(AND(INDEX(ELM,DY548,4)&gt;=$AB545,INDEX(ELM,DY548,5)&gt;=$S539,INDEX(ELM,DY548,6)&gt;=$R539),1,0)</f>
        <v>#N/A</v>
      </c>
      <c r="EA548" s="4" t="e">
        <f t="shared" ref="EA548" ca="1" si="10038">MATCH(1,OFFSET(DZ539:DZ550,EB547,0,COUNT(DZ539:DZ550)-EB547),0)</f>
        <v>#REF!</v>
      </c>
      <c r="EB548" s="4" t="e">
        <f t="shared" ca="1" si="9909"/>
        <v>#REF!</v>
      </c>
      <c r="EC548" s="692" t="str">
        <f ca="1">IFERROR(VLOOKUP(INDEX(DY539:DY550,EB548),ELM,2,FALSE),"----")</f>
        <v>----</v>
      </c>
      <c r="ED548" s="691" t="e">
        <f t="shared" ca="1" si="9910"/>
        <v>#N/A</v>
      </c>
      <c r="EE548" s="4" t="e">
        <f ca="1">IF(LEFT($J539,7)="Clad Wo",IF(AND(INDEX(SPPWS,ED548,4)&gt;=$AB545,INDEX(SPPWS,ED548,5)&gt;=$S539,INDEX(SPPWS,ED548,6)&gt;=$R539),1,0),IF(AND(INDEX(SPM,ED548,4)&gt;=$AB545,INDEX(SPM,ED548,5)&gt;=$S539,INDEX(SPM,ED548,6)&gt;=$R539),1,0))</f>
        <v>#N/A</v>
      </c>
      <c r="EF548" s="4" t="e">
        <f t="shared" ref="EF548" ca="1" si="10039">MATCH(1,OFFSET(EE539:EE550,EG547,0,COUNT(EE539:EE550)-EG547),0)</f>
        <v>#REF!</v>
      </c>
      <c r="EG548" s="4" t="e">
        <f t="shared" ca="1" si="9912"/>
        <v>#REF!</v>
      </c>
      <c r="EH548" s="692" t="str">
        <f ca="1">IF(LEFT($J539,7)="Clad Wo",IFERROR(VLOOKUP(INDEX(ED539:ED550,EG548),SPPWS,2,FALSE),"----"),IFERROR(VLOOKUP(INDEX(ED539:ED550,EG548),SPM,2,FALSE),"----"))</f>
        <v>----</v>
      </c>
    </row>
    <row r="549" spans="1:138" ht="15" customHeight="1" x14ac:dyDescent="0.25">
      <c r="A549" s="1085"/>
      <c r="B549" s="925"/>
      <c r="C549" s="926"/>
      <c r="D549" s="927"/>
      <c r="E549" s="995"/>
      <c r="F549" s="996"/>
      <c r="G549" s="997"/>
      <c r="H549" s="1062"/>
      <c r="I549" s="990"/>
      <c r="J549" s="902"/>
      <c r="K549" s="903"/>
      <c r="L549" s="1002"/>
      <c r="M549" s="923"/>
      <c r="N549" s="1042"/>
      <c r="O549" s="1018"/>
      <c r="P549" s="987"/>
      <c r="Q549" s="1015"/>
      <c r="R549" s="1012"/>
      <c r="S549" s="1006"/>
      <c r="T549" s="1007"/>
      <c r="U549" s="878"/>
      <c r="V549" s="881"/>
      <c r="W549" s="884"/>
      <c r="X549" s="884"/>
      <c r="Y549" s="887"/>
      <c r="Z549" s="887"/>
      <c r="AA549" s="887"/>
      <c r="AB549" s="1081"/>
      <c r="AC549" s="1078"/>
      <c r="AD549" s="1070" t="str">
        <f t="shared" si="8814"/>
        <v>Engineered Lumber</v>
      </c>
      <c r="AE549" s="1071"/>
      <c r="AF549" s="1052"/>
      <c r="AG549" s="1053"/>
      <c r="AH549" s="1053"/>
      <c r="AI549" s="1068"/>
      <c r="AJ549" s="1069"/>
      <c r="AK549" s="154" t="str">
        <f t="shared" ca="1" si="10024"/>
        <v/>
      </c>
      <c r="AL549" s="1059"/>
      <c r="AM549" s="344" t="str">
        <f ca="1">IFERROR(Q539/12*ROUND(VLOOKUP(AF549,OFFSET(ELM,0,1),6,FALSE),2),"")</f>
        <v/>
      </c>
      <c r="AN549" t="str">
        <f t="shared" ref="AN549:AN612" ca="1" si="10040">IF(BW549&gt;1,"Lighter Reinforcement Options Available","")</f>
        <v/>
      </c>
      <c r="AP549" s="122" t="str">
        <f t="shared" ref="AP549" si="10041">_xlfn.CONCAT(AR549,AS550)</f>
        <v/>
      </c>
      <c r="AQ549" s="683" t="str">
        <f t="shared" si="8985"/>
        <v/>
      </c>
      <c r="AR549" s="4" t="str">
        <f t="shared" si="10009"/>
        <v/>
      </c>
      <c r="AS549" s="4"/>
      <c r="AT549" s="697" t="str">
        <f>AL545</f>
        <v/>
      </c>
      <c r="AU549" s="694" t="e">
        <f t="shared" ca="1" si="9002"/>
        <v>#REF!</v>
      </c>
      <c r="AV549" s="698" t="str">
        <f ca="1">IFERROR(VLOOKUP(AU549,INDIRECT(AQ539),2,FALSE),"----")</f>
        <v>----</v>
      </c>
      <c r="AW549" s="694" t="e">
        <f t="shared" ca="1" si="9003"/>
        <v>#REF!</v>
      </c>
      <c r="AX549" s="698" t="str">
        <f ca="1">IFERROR(VLOOKUP(AW549,INDIRECT(AQ540),2,FALSE),"----")</f>
        <v>----</v>
      </c>
      <c r="AY549" s="694" t="e">
        <f t="shared" ca="1" si="9078"/>
        <v>#REF!</v>
      </c>
      <c r="AZ549" s="698" t="str">
        <f ca="1">IFERROR(VLOOKUP(AY549,INDIRECT(AQ541),2,FALSE),"----")</f>
        <v>----</v>
      </c>
      <c r="BA549" s="694" t="e">
        <f t="shared" ca="1" si="9079"/>
        <v>#REF!</v>
      </c>
      <c r="BB549" s="698" t="str">
        <f ca="1">IFERROR(VLOOKUP(BA549,INDIRECT(AQ542),2,FALSE),"----")</f>
        <v>----</v>
      </c>
      <c r="BC549" s="694" t="e">
        <f t="shared" ca="1" si="9006"/>
        <v>#REF!</v>
      </c>
      <c r="BD549" s="698" t="str">
        <f ca="1">IFERROR(VLOOKUP(BC549,INDIRECT(AQ543),2,FALSE),"----")</f>
        <v>----</v>
      </c>
      <c r="BE549" s="694" t="e">
        <f t="shared" ca="1" si="9007"/>
        <v>#REF!</v>
      </c>
      <c r="BF549" s="698" t="str">
        <f ca="1">IFERROR(VLOOKUP(BE549,INDIRECT(AQ544),2,FALSE),"----")</f>
        <v>----</v>
      </c>
      <c r="BG549" s="702" t="e">
        <f t="shared" ca="1" si="9008"/>
        <v>#REF!</v>
      </c>
      <c r="BH549" s="686" t="str">
        <f ca="1">IFERROR(VLOOKUP(BG549,INDIRECT(AQ545),2,FALSE),"----")</f>
        <v>----</v>
      </c>
      <c r="BI549" s="702" t="e">
        <f t="shared" ca="1" si="9009"/>
        <v>#REF!</v>
      </c>
      <c r="BJ549" s="686" t="str">
        <f ca="1">IFERROR(VLOOKUP(BI549,INDIRECT(AQ546),2,FALSE),"----")</f>
        <v>----</v>
      </c>
      <c r="BK549" s="702" t="e">
        <f t="shared" ca="1" si="9010"/>
        <v>#REF!</v>
      </c>
      <c r="BL549" s="686" t="str">
        <f ca="1">IFERROR(VLOOKUP(BK549,INDIRECT(AQ547),2,FALSE),"----")</f>
        <v>----</v>
      </c>
      <c r="BM549" s="702" t="e">
        <f t="shared" ca="1" si="9011"/>
        <v>#REF!</v>
      </c>
      <c r="BN549" s="686" t="str">
        <f ca="1">IFERROR(VLOOKUP(BM549,INDIRECT(AQ548),2,FALSE),"----")</f>
        <v>----</v>
      </c>
      <c r="BO549" s="702" t="e">
        <f t="shared" ca="1" si="9012"/>
        <v>#REF!</v>
      </c>
      <c r="BP549" s="686" t="str">
        <f ca="1">IFERROR(VLOOKUP(BO549,INDIRECT(AQ549),2,FALSE),"----")</f>
        <v>----</v>
      </c>
      <c r="BQ549" s="702" t="e">
        <f t="shared" ca="1" si="9013"/>
        <v>#REF!</v>
      </c>
      <c r="BR549" s="686" t="str">
        <f ca="1">IFERROR(VLOOKUP(BQ549,INDIRECT(AQ550),2,FALSE),"----")</f>
        <v>----</v>
      </c>
      <c r="BS549" s="695">
        <f>IF(AI549="",1,IF(COUNTIF(BP539:BP550,AI549)=0,2,1))</f>
        <v>1</v>
      </c>
      <c r="BT549" s="696">
        <f>IF(AF549="",1,IF(BP539=".",2,1))</f>
        <v>1</v>
      </c>
      <c r="BU549" s="706"/>
      <c r="BV549" s="155">
        <f ca="1">IF(COUNTIF(EC539:EC550,AF549)=0,IF(AF549&lt;&gt;"",0,1),1)</f>
        <v>1</v>
      </c>
      <c r="BW549" s="157">
        <f ca="1">IFERROR(MATCH(AF549,EC539:EC550,0),1)</f>
        <v>1</v>
      </c>
      <c r="BX549" s="769"/>
      <c r="BY549" s="769"/>
      <c r="BZ549" s="1110"/>
      <c r="CA549" s="691" t="e">
        <f t="shared" ca="1" si="9877"/>
        <v>#REF!</v>
      </c>
      <c r="CB549" s="4" t="e" cm="1">
        <f t="array" aca="1" ref="CB549" ca="1">IF(AND(INDEX(INDIRECT(BY539),CA549,4)&gt;=$AB539,INDEX(INDIRECT(BY539),CA549,5)&gt;=$S539,INDEX(INDIRECT(BY539),CA549,6)&gt;=$R539),1,0)</f>
        <v>#REF!</v>
      </c>
      <c r="CC549" s="4" t="e">
        <f t="shared" ref="CC549" ca="1" si="10042">MATCH(1,OFFSET(CB539:CB550,CD548,0,COUNT(CB539:CB550)-CD548),0)</f>
        <v>#REF!</v>
      </c>
      <c r="CD549" s="4" t="e">
        <f t="shared" ca="1" si="9879"/>
        <v>#REF!</v>
      </c>
      <c r="CE549" s="692" t="str" cm="1">
        <f t="array" aca="1" ref="CE549" ca="1">IFERROR(VLOOKUP(INDEX(CA539:CA550,CD549),INDIRECT(BY539),2,FALSE),"----")</f>
        <v>----</v>
      </c>
      <c r="CF549" s="691" t="e">
        <f t="shared" ca="1" si="9880"/>
        <v>#N/A</v>
      </c>
      <c r="CG549" s="4" t="e">
        <f ca="1">IF(AND(INDEX(SSM,CF549,4)&gt;=$AB539,INDEX(SSM,CF549,5)&gt;=$S539,INDEX(SSM,CF549,6)&gt;=$R539),1,0)</f>
        <v>#N/A</v>
      </c>
      <c r="CH549" s="4" t="e">
        <f t="shared" ref="CH549" ca="1" si="10043">MATCH(1,OFFSET(CG539:CG550,CI548,0,COUNT(CG539:CG550)-CI548),0)</f>
        <v>#REF!</v>
      </c>
      <c r="CI549" s="4" t="e">
        <f t="shared" ca="1" si="9882"/>
        <v>#REF!</v>
      </c>
      <c r="CJ549" s="692" t="str">
        <f ca="1">IFERROR(IF(AD540="Nested Steel Stud (wood infill)",VLOOKUP(INDEX(CF539:CF550,CI549),SSW,2,FALSE),VLOOKUP(INDEX(CF539:CF550,CI549),SSM,2,FALSE)),"----")</f>
        <v>----</v>
      </c>
      <c r="CK549" s="691" t="e">
        <f t="shared" ca="1" si="9883"/>
        <v>#N/A</v>
      </c>
      <c r="CL549" s="4" t="e">
        <f ca="1">IF(AND(INDEX(WSM,CK549,4)&gt;=$AB539,INDEX(WSM,CK549,5)&gt;=$S539,INDEX(WSM,CK549,6)&gt;=$R539),1,0)</f>
        <v>#N/A</v>
      </c>
      <c r="CM549" s="4" t="e">
        <f t="shared" ref="CM549" ca="1" si="10044">MATCH(1,OFFSET(CL539:CL550,CN548,0,COUNT(CL539:CL550)-CN548),0)</f>
        <v>#REF!</v>
      </c>
      <c r="CN549" s="4" t="e">
        <f t="shared" ca="1" si="9885"/>
        <v>#REF!</v>
      </c>
      <c r="CO549" s="692" t="str">
        <f ca="1">IFERROR(VLOOKUP(INDEX(CK539:CK550,CN549),WSM,2,FALSE),"----")</f>
        <v>----</v>
      </c>
      <c r="CP549" s="691" t="e">
        <f t="shared" ca="1" si="9886"/>
        <v>#N/A</v>
      </c>
      <c r="CQ549" s="4" t="e">
        <f ca="1">IF(AND(INDEX(STM,CP549,4)&gt;=$AB539,INDEX(STM,CP549,5)&gt;=$S539,INDEX(STM,CP549,6)&gt;=$R539),1,0)</f>
        <v>#N/A</v>
      </c>
      <c r="CR549" s="4" t="e">
        <f t="shared" ref="CR549" ca="1" si="10045">MATCH(1,OFFSET(CQ539:CQ550,CS548,0,COUNT(CQ539:CQ550)-CS548),0)</f>
        <v>#REF!</v>
      </c>
      <c r="CS549" s="4" t="e">
        <f t="shared" ca="1" si="9888"/>
        <v>#REF!</v>
      </c>
      <c r="CT549" s="692" t="str">
        <f ca="1">IFERROR(VLOOKUP(INDEX(CP539:CP550,CS549),STM,2,FALSE),"----")</f>
        <v>----</v>
      </c>
      <c r="CU549" s="691" t="e">
        <f t="shared" ca="1" si="9889"/>
        <v>#N/A</v>
      </c>
      <c r="CV549" s="4" t="e">
        <f ca="1">IF(AND(INDEX(ELM,CU549,4)&gt;=$AB539,INDEX(ELM,CU549,5)&gt;=$S539,INDEX(ELM,CU549,6)&gt;=$R539),1,0)</f>
        <v>#N/A</v>
      </c>
      <c r="CW549" s="4" t="e">
        <f t="shared" ref="CW549" ca="1" si="10046">MATCH(1,OFFSET(CV539:CV550,CX548,0,COUNT(CV539:CV550)-CX548),0)</f>
        <v>#REF!</v>
      </c>
      <c r="CX549" s="4" t="e">
        <f t="shared" ca="1" si="9891"/>
        <v>#REF!</v>
      </c>
      <c r="CY549" s="692" t="str">
        <f ca="1">IFERROR(VLOOKUP(INDEX(CU539:CU550,CX549),ELM,2,FALSE),"----")</f>
        <v>----</v>
      </c>
      <c r="CZ549" s="691" t="e">
        <f t="shared" ca="1" si="9892"/>
        <v>#N/A</v>
      </c>
      <c r="DA549" s="4" t="e">
        <f ca="1">IF(LEFT($J539,7)="Clad Wo",IF(AND(INDEX(SPPWS,CZ549,4)&gt;=$AB539,INDEX(SPPWS,CZ549,5)&gt;=$S539,INDEX(SPPWS,CZ549,6)&gt;=$R539),1,0),IF(AND(INDEX(SPM,CZ549,4)&gt;=$AB539,INDEX(SPM,CZ549,5)&gt;=$S539,INDEX(SPM,CZ549,6)&gt;=$R539),1,0))</f>
        <v>#N/A</v>
      </c>
      <c r="DB549" s="4" t="e">
        <f t="shared" ref="DB549" ca="1" si="10047">MATCH(1,OFFSET(DA539:DA550,DC548,0,COUNT(DA539:DA550)-DC548),0)</f>
        <v>#REF!</v>
      </c>
      <c r="DC549" s="4" t="e">
        <f t="shared" ca="1" si="9894"/>
        <v>#REF!</v>
      </c>
      <c r="DD549" s="693" t="str">
        <f ca="1">IF(LEFT($J539,7)="Clad Wo",IFERROR(VLOOKUP(INDEX(CZ539:CZ550,DC549),SPPWS,2,FALSE),"----"),IFERROR(VLOOKUP(INDEX(CZ539:CZ550,DC549),SPM,2,FALSE),"----"))</f>
        <v>----</v>
      </c>
      <c r="DE549" s="691" t="e">
        <f t="shared" ca="1" si="9895"/>
        <v>#REF!</v>
      </c>
      <c r="DF549" s="4" t="e" cm="1">
        <f t="array" aca="1" ref="DF549" ca="1">IF(AND(INDEX(INDIRECT(BY539),DE549,4)&gt;=$AB545,INDEX(INDIRECT(BY539),DE549,5)&gt;=$S539,INDEX(INDIRECT(BY539),DE549,6)&gt;=$R539),1,0)</f>
        <v>#REF!</v>
      </c>
      <c r="DG549" s="4" t="e">
        <f t="shared" ref="DG549" ca="1" si="10048">MATCH(1,OFFSET(DF539:DF550,DH548,0,COUNT(DF539:DF550)-DH548),0)</f>
        <v>#REF!</v>
      </c>
      <c r="DH549" s="4" t="e">
        <f t="shared" ca="1" si="9897"/>
        <v>#REF!</v>
      </c>
      <c r="DI549" s="692" t="str" cm="1">
        <f t="array" aca="1" ref="DI549" ca="1">IFERROR(VLOOKUP(INDEX(DE539:DE550,DH549),INDIRECT(BY539),2,FALSE),"----")</f>
        <v>----</v>
      </c>
      <c r="DJ549" s="691" t="e">
        <f t="shared" ca="1" si="9898"/>
        <v>#N/A</v>
      </c>
      <c r="DK549" s="4" t="e">
        <f ca="1">IF(AND(INDEX(SSM,DJ549,4)&gt;=$AB545,INDEX(SSM,DJ549,5)&gt;=$S539,INDEX(SSM,DJ549,6)&gt;=$R539),1,0)</f>
        <v>#N/A</v>
      </c>
      <c r="DL549" s="4" t="e">
        <f t="shared" ref="DL549" ca="1" si="10049">MATCH(1,OFFSET(DK539:DK550,DM548,0,COUNT(DK539:DK550)-DM548),0)</f>
        <v>#REF!</v>
      </c>
      <c r="DM549" s="4" t="e">
        <f t="shared" ca="1" si="9900"/>
        <v>#REF!</v>
      </c>
      <c r="DN549" s="692" t="str">
        <f ca="1">IFERROR(IF(AD546="Nested Steel Stud (wood infill)",VLOOKUP(INDEX(DJ539:DJ550,DM549),SSW,2,FALSE),VLOOKUP(INDEX(DJ539:DJ550,DM549),SSM,2,FALSE)),"----")</f>
        <v>----</v>
      </c>
      <c r="DO549" s="691" t="e">
        <f t="shared" ca="1" si="9901"/>
        <v>#N/A</v>
      </c>
      <c r="DP549" s="4" t="e">
        <f ca="1">IF(AND(INDEX(WSM,DO549,4)&gt;=$AB545,INDEX(WSM,DO549,5)&gt;=$S539,INDEX(WSM,DO549,6)&gt;=$R539),1,0)</f>
        <v>#N/A</v>
      </c>
      <c r="DQ549" s="4" t="e">
        <f t="shared" ref="DQ549" ca="1" si="10050">MATCH(1,OFFSET(DP539:DP550,DR548,0,COUNT(DP539:DP550)-DR548),0)</f>
        <v>#REF!</v>
      </c>
      <c r="DR549" s="4" t="e">
        <f t="shared" ca="1" si="9903"/>
        <v>#REF!</v>
      </c>
      <c r="DS549" s="692" t="str">
        <f ca="1">IFERROR(VLOOKUP(INDEX(DO539:DO550,DR549),WSM,2,FALSE),"----")</f>
        <v>----</v>
      </c>
      <c r="DT549" s="691" t="e">
        <f t="shared" ca="1" si="9904"/>
        <v>#N/A</v>
      </c>
      <c r="DU549" s="4" t="e">
        <f ca="1">IF(AND(INDEX(STM,DT549,4)&gt;=$AB545,INDEX(STM,DT549,5)&gt;=$S539,INDEX(STM,DT549,6)&gt;=$R539),1,0)</f>
        <v>#N/A</v>
      </c>
      <c r="DV549" s="4" t="e">
        <f t="shared" ref="DV549" ca="1" si="10051">MATCH(1,OFFSET(DU539:DU550,DW548,0,COUNT(DU539:DU550)-DW548),0)</f>
        <v>#REF!</v>
      </c>
      <c r="DW549" s="4" t="e">
        <f t="shared" ca="1" si="9906"/>
        <v>#REF!</v>
      </c>
      <c r="DX549" s="692" t="str">
        <f ca="1">IFERROR(VLOOKUP(INDEX(DT539:DT550,DW549),STM,2,FALSE),"----")</f>
        <v>----</v>
      </c>
      <c r="DY549" s="691" t="e">
        <f t="shared" ca="1" si="9907"/>
        <v>#N/A</v>
      </c>
      <c r="DZ549" s="4" t="e">
        <f ca="1">IF(AND(INDEX(ELM,DY549,4)&gt;=$AB545,INDEX(ELM,DY549,5)&gt;=$S539,INDEX(ELM,DY549,6)&gt;=$R539),1,0)</f>
        <v>#N/A</v>
      </c>
      <c r="EA549" s="4" t="e">
        <f t="shared" ref="EA549" ca="1" si="10052">MATCH(1,OFFSET(DZ539:DZ550,EB548,0,COUNT(DZ539:DZ550)-EB548),0)</f>
        <v>#REF!</v>
      </c>
      <c r="EB549" s="4" t="e">
        <f t="shared" ca="1" si="9909"/>
        <v>#REF!</v>
      </c>
      <c r="EC549" s="692" t="str">
        <f ca="1">IFERROR(VLOOKUP(INDEX(DY539:DY550,EB549),ELM,2,FALSE),"----")</f>
        <v>----</v>
      </c>
      <c r="ED549" s="691" t="e">
        <f t="shared" ca="1" si="9910"/>
        <v>#N/A</v>
      </c>
      <c r="EE549" s="4" t="e">
        <f ca="1">IF(LEFT($J539,7)="Clad Wo",IF(AND(INDEX(SPPWS,ED549,4)&gt;=$AB545,INDEX(SPPWS,ED549,5)&gt;=$S539,INDEX(SPPWS,ED549,6)&gt;=$R539),1,0),IF(AND(INDEX(SPM,ED549,4)&gt;=$AB545,INDEX(SPM,ED549,5)&gt;=$S539,INDEX(SPM,ED549,6)&gt;=$R539),1,0))</f>
        <v>#N/A</v>
      </c>
      <c r="EF549" s="4" t="e">
        <f t="shared" ref="EF549" ca="1" si="10053">MATCH(1,OFFSET(EE539:EE550,EG548,0,COUNT(EE539:EE550)-EG548),0)</f>
        <v>#REF!</v>
      </c>
      <c r="EG549" s="4" t="e">
        <f t="shared" ca="1" si="9912"/>
        <v>#REF!</v>
      </c>
      <c r="EH549" s="692" t="str">
        <f ca="1">IF(LEFT($J539,7)="Clad Wo",IFERROR(VLOOKUP(INDEX(ED539:ED550,EG549),SPPWS,2,FALSE),"----"),IFERROR(VLOOKUP(INDEX(ED539:ED550,EG549),SPM,2,FALSE),"----"))</f>
        <v>----</v>
      </c>
    </row>
    <row r="550" spans="1:138" ht="15" customHeight="1" thickBot="1" x14ac:dyDescent="0.3">
      <c r="A550" s="1085"/>
      <c r="B550" s="928"/>
      <c r="C550" s="929"/>
      <c r="D550" s="930"/>
      <c r="E550" s="998"/>
      <c r="F550" s="999"/>
      <c r="G550" s="1000"/>
      <c r="H550" s="1063"/>
      <c r="I550" s="991"/>
      <c r="J550" s="904"/>
      <c r="K550" s="905"/>
      <c r="L550" s="1003"/>
      <c r="M550" s="1065"/>
      <c r="N550" s="1043"/>
      <c r="O550" s="1019"/>
      <c r="P550" s="988"/>
      <c r="Q550" s="1016"/>
      <c r="R550" s="1013"/>
      <c r="S550" s="1008"/>
      <c r="T550" s="1009"/>
      <c r="U550" s="879"/>
      <c r="V550" s="882"/>
      <c r="W550" s="885"/>
      <c r="X550" s="885"/>
      <c r="Y550" s="888"/>
      <c r="Z550" s="888"/>
      <c r="AA550" s="888"/>
      <c r="AB550" s="1082"/>
      <c r="AC550" s="1087"/>
      <c r="AD550" s="1098" t="str">
        <f t="shared" ref="AD550" si="10054">IF(LEFT(J539,7)="Clad Wo","Pella Wood Spr / Steel Pte","Steel Plate")</f>
        <v>Steel Plate</v>
      </c>
      <c r="AE550" s="1099"/>
      <c r="AF550" s="1096"/>
      <c r="AG550" s="1097"/>
      <c r="AH550" s="1097"/>
      <c r="AI550" s="1094"/>
      <c r="AJ550" s="1095"/>
      <c r="AK550" s="163" t="str">
        <f t="shared" ca="1" si="10024"/>
        <v/>
      </c>
      <c r="AL550" s="1060"/>
      <c r="AM550" s="345" t="str">
        <f ca="1">IFERROR(Q539/12*ROUND(VLOOKUP(AF550,OFFSET(SPM,0,1),6,FALSE),2),"")</f>
        <v/>
      </c>
      <c r="AN550" t="str">
        <f t="shared" ca="1" si="10040"/>
        <v/>
      </c>
      <c r="AP550" s="699" t="str">
        <f t="shared" ref="AP550" si="10055">_xlfn.CONCAT(AR550,AS550)</f>
        <v/>
      </c>
      <c r="AQ550" s="700" t="str">
        <f t="shared" si="8985"/>
        <v/>
      </c>
      <c r="AR550" s="160" t="str">
        <f t="shared" si="10009"/>
        <v/>
      </c>
      <c r="AS550" s="160" t="str">
        <f>IFERROR(VLOOKUP(J547, WallType,2,FALSE),"")</f>
        <v/>
      </c>
      <c r="AT550" s="707" t="str">
        <f>AL545</f>
        <v/>
      </c>
      <c r="AU550" s="708" t="e">
        <f t="shared" ca="1" si="9002"/>
        <v>#REF!</v>
      </c>
      <c r="AV550" s="709" t="str">
        <f ca="1">IFERROR(VLOOKUP(AU550,INDIRECT(AQ539),2,FALSE),"----")</f>
        <v>----</v>
      </c>
      <c r="AW550" s="710" t="e">
        <f t="shared" ca="1" si="9003"/>
        <v>#REF!</v>
      </c>
      <c r="AX550" s="709" t="str">
        <f ca="1">IFERROR(VLOOKUP(AW550,INDIRECT(AQ540),2,FALSE),"----")</f>
        <v>----</v>
      </c>
      <c r="AY550" s="710" t="e">
        <f t="shared" ca="1" si="9078"/>
        <v>#REF!</v>
      </c>
      <c r="AZ550" s="709" t="str">
        <f ca="1">IFERROR(VLOOKUP(AY550,INDIRECT(AQ541),2,FALSE),"----")</f>
        <v>----</v>
      </c>
      <c r="BA550" s="710" t="e">
        <f t="shared" ca="1" si="9079"/>
        <v>#REF!</v>
      </c>
      <c r="BB550" s="709" t="str">
        <f ca="1">IFERROR(VLOOKUP(BA550,INDIRECT(AQ542),2,FALSE),"----")</f>
        <v>----</v>
      </c>
      <c r="BC550" s="710" t="e">
        <f t="shared" ca="1" si="9006"/>
        <v>#REF!</v>
      </c>
      <c r="BD550" s="709" t="str">
        <f ca="1">IFERROR(VLOOKUP(BC550,INDIRECT(AQ543),2,FALSE),"----")</f>
        <v>----</v>
      </c>
      <c r="BE550" s="710" t="e">
        <f t="shared" ca="1" si="9007"/>
        <v>#REF!</v>
      </c>
      <c r="BF550" s="709" t="str">
        <f ca="1">IFERROR(VLOOKUP(BE550,INDIRECT(AQ544),2,FALSE),"----")</f>
        <v>----</v>
      </c>
      <c r="BG550" s="710" t="e">
        <f t="shared" ca="1" si="9008"/>
        <v>#REF!</v>
      </c>
      <c r="BH550" s="711" t="str">
        <f ca="1">IFERROR(VLOOKUP(BG550,INDIRECT(AQ545),2,FALSE),"----")</f>
        <v>----</v>
      </c>
      <c r="BI550" s="710" t="e">
        <f t="shared" ca="1" si="9009"/>
        <v>#REF!</v>
      </c>
      <c r="BJ550" s="711" t="str">
        <f ca="1">IFERROR(VLOOKUP(BI550,INDIRECT(AQ546),2,FALSE),"----")</f>
        <v>----</v>
      </c>
      <c r="BK550" s="710" t="e">
        <f t="shared" ca="1" si="9010"/>
        <v>#REF!</v>
      </c>
      <c r="BL550" s="711" t="str">
        <f ca="1">IFERROR(VLOOKUP(BK550,INDIRECT(AQ547),2,FALSE),"----")</f>
        <v>----</v>
      </c>
      <c r="BM550" s="710" t="e">
        <f t="shared" ca="1" si="9011"/>
        <v>#REF!</v>
      </c>
      <c r="BN550" s="711" t="str">
        <f ca="1">IFERROR(VLOOKUP(BM550,INDIRECT(AQ548),2,FALSE),"----")</f>
        <v>----</v>
      </c>
      <c r="BO550" s="710" t="e">
        <f t="shared" ca="1" si="9012"/>
        <v>#REF!</v>
      </c>
      <c r="BP550" s="711" t="str">
        <f ca="1">IFERROR(VLOOKUP(BO550,INDIRECT(AQ549),2,FALSE),"----")</f>
        <v>----</v>
      </c>
      <c r="BQ550" s="710" t="e">
        <f t="shared" ca="1" si="9013"/>
        <v>#REF!</v>
      </c>
      <c r="BR550" s="712" t="str">
        <f ca="1">IFERROR(VLOOKUP(BQ550,INDIRECT(AQ550),2,FALSE),"----")</f>
        <v>----</v>
      </c>
      <c r="BS550" s="695">
        <f>IF(AI550="",1,IF(COUNTIF(BR539:BR550,AI550)=0,2,1))</f>
        <v>1</v>
      </c>
      <c r="BT550" s="713">
        <f>IF(AF550="",1,IF(BR539=".",2,1))</f>
        <v>1</v>
      </c>
      <c r="BV550" s="155">
        <f ca="1">IF(COUNTIF(EH539:EH550,AF550)=0,IF(AF550&lt;&gt;"",0,1),1)</f>
        <v>1</v>
      </c>
      <c r="BW550" s="157">
        <f ca="1">IFERROR(MATCH(AF550,EH539:EH550,0),1)</f>
        <v>1</v>
      </c>
      <c r="BX550" s="718"/>
      <c r="BY550" s="777"/>
      <c r="BZ550" s="1110"/>
      <c r="CA550" s="714" t="e">
        <f t="shared" ca="1" si="9877"/>
        <v>#REF!</v>
      </c>
      <c r="CB550" s="715" t="e" cm="1">
        <f t="array" aca="1" ref="CB550" ca="1">IF(AND(INDEX(INDIRECT(BY539),CA550,4)&gt;=$AB539,INDEX(INDIRECT(BY539),CA550,5)&gt;=$S539,INDEX(INDIRECT(BY539),CA550,6)&gt;=$R539),1,0)</f>
        <v>#REF!</v>
      </c>
      <c r="CC550" s="715" t="e">
        <f t="shared" ref="CC550" ca="1" si="10056">MATCH(1,OFFSET(CB539:CB550,CD549,0,COUNT(CB539:CB550)-CD549),0)</f>
        <v>#REF!</v>
      </c>
      <c r="CD550" s="715" t="e">
        <f t="shared" ca="1" si="9879"/>
        <v>#REF!</v>
      </c>
      <c r="CE550" s="716" t="str" cm="1">
        <f t="array" aca="1" ref="CE550" ca="1">IFERROR(VLOOKUP(INDEX(CA539:CA550,CD550),INDIRECT(BY539),2,FALSE),"----")</f>
        <v>----</v>
      </c>
      <c r="CF550" s="714" t="e">
        <f t="shared" ca="1" si="9880"/>
        <v>#N/A</v>
      </c>
      <c r="CG550" s="715" t="e">
        <f ca="1">IF(AND(INDEX(SSM,CF550,4)&gt;=$AB539,INDEX(SSM,CF550,5)&gt;=$S539,INDEX(SSM,CF550,6)&gt;=$R539),1,0)</f>
        <v>#N/A</v>
      </c>
      <c r="CH550" s="715" t="e">
        <f t="shared" ref="CH550" ca="1" si="10057">MATCH(1,OFFSET(CG539:CG550,CI549,0,COUNT(CG539:CG550)-CI549),0)</f>
        <v>#REF!</v>
      </c>
      <c r="CI550" s="715" t="e">
        <f t="shared" ca="1" si="9882"/>
        <v>#REF!</v>
      </c>
      <c r="CJ550" s="716" t="str">
        <f ca="1">IFERROR(IF(AD540="Nested Steel Stud (wood infill)",VLOOKUP(INDEX(CF539:CF550,CI550),SSW,2,FALSE),VLOOKUP(INDEX(CF539:CF550,CI550),SSM,2,FALSE)),"----")</f>
        <v>----</v>
      </c>
      <c r="CK550" s="714" t="e">
        <f t="shared" ca="1" si="9883"/>
        <v>#N/A</v>
      </c>
      <c r="CL550" s="715" t="e">
        <f ca="1">IF(AND(INDEX(WSM,CK550,4)&gt;=$AB539,INDEX(WSM,CK550,5)&gt;=$S539,INDEX(WSM,CK550,6)&gt;=$R539),1,0)</f>
        <v>#N/A</v>
      </c>
      <c r="CM550" s="715" t="e">
        <f t="shared" ref="CM550" ca="1" si="10058">MATCH(1,OFFSET(CL539:CL550,CN549,0,COUNT(CL539:CL550)-CN549),0)</f>
        <v>#REF!</v>
      </c>
      <c r="CN550" s="715" t="e">
        <f t="shared" ca="1" si="9885"/>
        <v>#REF!</v>
      </c>
      <c r="CO550" s="716" t="str">
        <f ca="1">IFERROR(VLOOKUP(INDEX(CK539:CK550,CN550),WSM,2,FALSE),"----")</f>
        <v>----</v>
      </c>
      <c r="CP550" s="714" t="e">
        <f t="shared" ca="1" si="9886"/>
        <v>#N/A</v>
      </c>
      <c r="CQ550" s="715" t="e">
        <f ca="1">IF(AND(INDEX(STM,CP550,4)&gt;=$AB539,INDEX(STM,CP550,5)&gt;=$S539,INDEX(STM,CP550,6)&gt;=$R539),1,0)</f>
        <v>#N/A</v>
      </c>
      <c r="CR550" s="715" t="e">
        <f t="shared" ref="CR550" ca="1" si="10059">MATCH(1,OFFSET(CQ539:CQ550,CS549,0,COUNT(CQ539:CQ550)-CS549),0)</f>
        <v>#REF!</v>
      </c>
      <c r="CS550" s="715" t="e">
        <f t="shared" ca="1" si="9888"/>
        <v>#REF!</v>
      </c>
      <c r="CT550" s="716" t="str">
        <f ca="1">IFERROR(VLOOKUP(INDEX(CP539:CP550,CS550),STM,2,FALSE),"----")</f>
        <v>----</v>
      </c>
      <c r="CU550" s="714" t="e">
        <f t="shared" ca="1" si="9889"/>
        <v>#N/A</v>
      </c>
      <c r="CV550" s="715" t="e">
        <f ca="1">IF(AND(INDEX(ELM,CU550,4)&gt;=$AB539,INDEX(ELM,CU550,5)&gt;=$S539,INDEX(ELM,CU550,6)&gt;=$R539),1,0)</f>
        <v>#N/A</v>
      </c>
      <c r="CW550" s="715" t="e">
        <f t="shared" ref="CW550" ca="1" si="10060">MATCH(1,OFFSET(CV539:CV550,CX549,0,COUNT(CV539:CV550)-CX549),0)</f>
        <v>#REF!</v>
      </c>
      <c r="CX550" s="715" t="e">
        <f t="shared" ca="1" si="9891"/>
        <v>#REF!</v>
      </c>
      <c r="CY550" s="716" t="str">
        <f ca="1">IFERROR(VLOOKUP(INDEX(CU539:CU550,CX550),ELM,2,FALSE),"----")</f>
        <v>----</v>
      </c>
      <c r="CZ550" s="714" t="e">
        <f t="shared" ca="1" si="9892"/>
        <v>#N/A</v>
      </c>
      <c r="DA550" s="715" t="e">
        <f ca="1">IF(LEFT($J539,7)="Clad Wo",IF(AND(INDEX(SPPWS,CZ550,4)&gt;=$AB539,INDEX(SPPWS,CZ550,5)&gt;=$S539,INDEX(SPPWS,CZ550,6)&gt;=$R539),1,0),IF(AND(INDEX(SPM,CZ550,4)&gt;=$AB539,INDEX(SPM,CZ550,5)&gt;=$S539,INDEX(SPM,CZ550,6)&gt;=$R539),1,0))</f>
        <v>#N/A</v>
      </c>
      <c r="DB550" s="715" t="e">
        <f t="shared" ref="DB550" ca="1" si="10061">MATCH(1,OFFSET(DA539:DA550,DC549,0,COUNT(DA539:DA550)-DC549),0)</f>
        <v>#REF!</v>
      </c>
      <c r="DC550" s="715" t="e">
        <f t="shared" ca="1" si="9894"/>
        <v>#REF!</v>
      </c>
      <c r="DD550" s="717" t="str">
        <f ca="1">IF(LEFT($J539,7)="Clad Wo",IFERROR(VLOOKUP(INDEX(CZ539:CZ550,DC550),SPPWS,2,FALSE),"----"),IFERROR(VLOOKUP(INDEX(CZ539:CZ550,DC550),SPM,2,FALSE),"----"))</f>
        <v>----</v>
      </c>
      <c r="DE550" s="714" t="e">
        <f t="shared" ca="1" si="9895"/>
        <v>#REF!</v>
      </c>
      <c r="DF550" s="715" t="e" cm="1">
        <f t="array" aca="1" ref="DF550" ca="1">IF(AND(INDEX(INDIRECT(BY539),DE550,4)&gt;=$AB545,INDEX(INDIRECT(BY539),DE550,5)&gt;=$S539,INDEX(INDIRECT(BY539),DE550,6)&gt;=$R539),1,0)</f>
        <v>#REF!</v>
      </c>
      <c r="DG550" s="715" t="e">
        <f t="shared" ref="DG550" ca="1" si="10062">MATCH(1,OFFSET(DF539:DF550,DH549,0,COUNT(DF539:DF550)-DH549),0)</f>
        <v>#REF!</v>
      </c>
      <c r="DH550" s="715" t="e">
        <f t="shared" ca="1" si="9897"/>
        <v>#REF!</v>
      </c>
      <c r="DI550" s="716" t="str" cm="1">
        <f t="array" aca="1" ref="DI550" ca="1">IFERROR(VLOOKUP(INDEX(DE539:DE550,DH550),INDIRECT(BY539),2,FALSE),"----")</f>
        <v>----</v>
      </c>
      <c r="DJ550" s="714" t="e">
        <f t="shared" ca="1" si="9898"/>
        <v>#N/A</v>
      </c>
      <c r="DK550" s="715" t="e">
        <f ca="1">IF(AND(INDEX(SSM,DJ550,4)&gt;=$AB545,INDEX(SSM,DJ550,5)&gt;=$S539,INDEX(SSM,DJ550,6)&gt;=$R539),1,0)</f>
        <v>#N/A</v>
      </c>
      <c r="DL550" s="715" t="e">
        <f t="shared" ref="DL550" ca="1" si="10063">MATCH(1,OFFSET(DK539:DK550,DM549,0,COUNT(DK539:DK550)-DM549),0)</f>
        <v>#REF!</v>
      </c>
      <c r="DM550" s="715" t="e">
        <f t="shared" ca="1" si="9900"/>
        <v>#REF!</v>
      </c>
      <c r="DN550" s="716" t="str">
        <f ca="1">IFERROR(IF(AD546="Nested Steel Stud (wood infill)",VLOOKUP(INDEX(DJ539:DJ550,DM550),SSW,2,FALSE),VLOOKUP(INDEX(DJ539:DJ550,DM550),SSM,2,FALSE)),"----")</f>
        <v>----</v>
      </c>
      <c r="DO550" s="714" t="e">
        <f t="shared" ca="1" si="9901"/>
        <v>#N/A</v>
      </c>
      <c r="DP550" s="715" t="e">
        <f ca="1">IF(AND(INDEX(WSM,DO550,4)&gt;=$AB545,INDEX(WSM,DO550,5)&gt;=$S539,INDEX(WSM,DO550,6)&gt;=$R539),1,0)</f>
        <v>#N/A</v>
      </c>
      <c r="DQ550" s="715" t="e">
        <f t="shared" ref="DQ550" ca="1" si="10064">MATCH(1,OFFSET(DP539:DP550,DR549,0,COUNT(DP539:DP550)-DR549),0)</f>
        <v>#REF!</v>
      </c>
      <c r="DR550" s="715" t="e">
        <f t="shared" ca="1" si="9903"/>
        <v>#REF!</v>
      </c>
      <c r="DS550" s="716" t="str">
        <f ca="1">IFERROR(VLOOKUP(INDEX(DO539:DO550,DR550),WSM,2,FALSE),"----")</f>
        <v>----</v>
      </c>
      <c r="DT550" s="714" t="e">
        <f t="shared" ca="1" si="9904"/>
        <v>#N/A</v>
      </c>
      <c r="DU550" s="715" t="e">
        <f ca="1">IF(AND(INDEX(STM,DT550,4)&gt;=$AB545,INDEX(STM,DT550,5)&gt;=$S539,INDEX(STM,DT550,6)&gt;=$R539),1,0)</f>
        <v>#N/A</v>
      </c>
      <c r="DV550" s="715" t="e">
        <f t="shared" ref="DV550" ca="1" si="10065">MATCH(1,OFFSET(DU539:DU550,DW549,0,COUNT(DU539:DU550)-DW549),0)</f>
        <v>#REF!</v>
      </c>
      <c r="DW550" s="715" t="e">
        <f t="shared" ca="1" si="9906"/>
        <v>#REF!</v>
      </c>
      <c r="DX550" s="716" t="str">
        <f ca="1">IFERROR(VLOOKUP(INDEX(DT539:DT550,DW550),STM,2,FALSE),"----")</f>
        <v>----</v>
      </c>
      <c r="DY550" s="714" t="e">
        <f t="shared" ca="1" si="9907"/>
        <v>#N/A</v>
      </c>
      <c r="DZ550" s="715" t="e">
        <f ca="1">IF(AND(INDEX(ELM,DY550,4)&gt;=$AB545,INDEX(ELM,DY550,5)&gt;=$S539,INDEX(ELM,DY550,6)&gt;=$R539),1,0)</f>
        <v>#N/A</v>
      </c>
      <c r="EA550" s="715" t="e">
        <f t="shared" ref="EA550" ca="1" si="10066">MATCH(1,OFFSET(DZ539:DZ550,EB549,0,COUNT(DZ539:DZ550)-EB549),0)</f>
        <v>#REF!</v>
      </c>
      <c r="EB550" s="715" t="e">
        <f t="shared" ca="1" si="9909"/>
        <v>#REF!</v>
      </c>
      <c r="EC550" s="716" t="str">
        <f ca="1">IFERROR(VLOOKUP(INDEX(DY539:DY550,EB550),ELM,2,FALSE),"----")</f>
        <v>----</v>
      </c>
      <c r="ED550" s="714" t="e">
        <f t="shared" ca="1" si="9910"/>
        <v>#N/A</v>
      </c>
      <c r="EE550" s="715" t="e">
        <f ca="1">IF(LEFT($J539,7)="Clad Wo",IF(AND(INDEX(SPPWS,ED550,4)&gt;=$AB545,INDEX(SPPWS,ED550,5)&gt;=$S539,INDEX(SPPWS,ED550,6)&gt;=$R539),1,0),IF(AND(INDEX(SPM,ED550,4)&gt;=$AB545,INDEX(SPM,ED550,5)&gt;=$S539,INDEX(SPM,ED550,6)&gt;=$R539),1,0))</f>
        <v>#N/A</v>
      </c>
      <c r="EF550" s="715" t="e">
        <f t="shared" ref="EF550" ca="1" si="10067">MATCH(1,OFFSET(EE539:EE550,EG549,0,COUNT(EE539:EE550)-EG549),0)</f>
        <v>#REF!</v>
      </c>
      <c r="EG550" s="715" t="e">
        <f t="shared" ca="1" si="9912"/>
        <v>#REF!</v>
      </c>
      <c r="EH550" s="716" t="str">
        <f ca="1">IF(LEFT($J539,7)="Clad Wo",IFERROR(VLOOKUP(INDEX(ED539:ED550,EG550),SPPWS,2,FALSE),"----"),IFERROR(VLOOKUP(INDEX(ED539:ED550,EG550),SPM,2,FALSE),"----"))</f>
        <v>----</v>
      </c>
    </row>
    <row r="551" spans="1:138" ht="15" customHeight="1" thickTop="1" x14ac:dyDescent="0.25">
      <c r="A551" s="1085"/>
      <c r="B551" s="931" t="s">
        <v>92</v>
      </c>
      <c r="C551" s="932"/>
      <c r="D551" s="933"/>
      <c r="E551" s="992"/>
      <c r="F551" s="993"/>
      <c r="G551" s="994"/>
      <c r="H551" s="1061"/>
      <c r="I551" s="989"/>
      <c r="J551" s="906"/>
      <c r="K551" s="907"/>
      <c r="L551" s="1001">
        <f>$W$3</f>
        <v>4</v>
      </c>
      <c r="M551" s="923" t="str">
        <f t="shared" ref="M551" si="10068">IFERROR(IF($AE$13="",IF($AG$19="Wind Loading",MIN($V$31,IF(E$11="ASCE 7-05",$U$26,$V$7)*$V$9*(IF($E$12&lt;60,0.0771*LN(MAX(MIN(500,O551),10)) -1.2737,IF($E$11="ASCE 7-22",0.0524*LN(MAX(MIN(500,O551),50))-1.0278,0.0614*LN(MAX(MIN(500,O551),20)) -1.0829))-$V$8)),$V$7*IF(E$12&lt;60,$V$13*($V$15*0.0771*LN(MAX(MIN(500,O551),10))-1.2737-$V$16),$V$13*$V$15*((0.0524*LN(MAX(MIN(500,O551),20))-1.0278)-$V$16))),-ABS($AE$13)),"")</f>
        <v/>
      </c>
      <c r="N551" s="1042" t="str">
        <f t="shared" ref="N551" si="10069">IFERROR(IF($AE$15="",IF($AG$19="Wind Loading",MAX($U$31,IF(E$11="ASCE 7-05",$U$26,$V$7)*$V$9*((IF($E$12&lt;60,-0.077*LN(MAX(MIN(500,O551),10))+1.1737,IF($E$11="ASCE 7-22",-0.077*LN(MAX(MIN(500,O551),20))+1.0798,-0.093*LN(MAX(MIN(500,O551),20))+1.1776)))+$V$8)),$V$7*IF(E$12&lt;60,$V$13*($V$15*(-0.077*LN(MAX(MIN(500,O551),10))+1.1737)-$V$17),$V$13*$V$15*((-0.077*LN(MAX(MIN(500,O551),20))+1.0798)-$V$17))),ABS($AE$15)),"")</f>
        <v/>
      </c>
      <c r="O551" s="1017" t="str">
        <f>IF(BX558=0,"",IF(AG$14="Trapezoidal",BY558,BX558))</f>
        <v/>
      </c>
      <c r="P551" s="986"/>
      <c r="Q551" s="1014"/>
      <c r="R551" s="1011">
        <f>P551*Q551/8</f>
        <v>0</v>
      </c>
      <c r="S551" s="1004">
        <f t="shared" ref="S551" si="10070">IF(5*(P551*Q551^3/(384*0.125))=0,0,5*(P551*Q551^3/(384*0.125)))</f>
        <v>0</v>
      </c>
      <c r="T551" s="1005"/>
      <c r="U551" s="877" t="e">
        <f ca="1">VLOOKUP(J555,INDIRECT(VLOOKUP(J551,FrameStrength,2,FALSE)),3,FALSE)</f>
        <v>#N/A</v>
      </c>
      <c r="V551" s="880">
        <f t="shared" ref="V551" si="10071">(H551+I551)/2</f>
        <v>0</v>
      </c>
      <c r="W551" s="883" t="e">
        <f t="shared" ref="W551" si="10072">MAX(-M551,N551)*O551</f>
        <v>#VALUE!</v>
      </c>
      <c r="X551" s="883">
        <f t="shared" ref="X551" si="10073">IF(E551&gt;162,(E551/240+0.25),IF(AND(E551&lt;162,E551/175&lt;0.75),E551/175,0.75))</f>
        <v>0</v>
      </c>
      <c r="Y551" s="886">
        <f>IFERROR(IF(AG$14="Trapezoidal",BY559,BX559)+IF($E$17="4",(400*E551^3)/(48*X551),0),0)</f>
        <v>0</v>
      </c>
      <c r="Z551" s="886" t="e">
        <f t="shared" ref="Z551" si="10074">+($V551*MAX(-$M551,$N551)*$E551^2)/(144*8)+IF($E$17=4,(400*$E551)/4,0)</f>
        <v>#VALUE!</v>
      </c>
      <c r="AA551" s="886" t="e">
        <f ca="1">VLOOKUP(J555,INDIRECT(VLOOKUP(J551,FrameStrength,2,FALSE)),2,FALSE)</f>
        <v>#N/A</v>
      </c>
      <c r="AB551" s="1083" t="str">
        <f t="shared" ref="AB551" ca="1" si="10075">IFERROR(Z551-AA551,"")</f>
        <v/>
      </c>
      <c r="AC551" s="1077" t="str">
        <f t="shared" ref="AC551" ca="1" si="10076">IFERROR(Y551-U551,"")</f>
        <v/>
      </c>
      <c r="AD551" s="1100" t="str">
        <f>IFERROR(IF(LEFT(J555,2)="As",VLOOKUP(J555,EIMM,4,FALSE),VLOOKUP(J551,EIMM,4,FALSE)),IF(AND(ISNUMBER(SEARCH("Impervia",J551)),ISNUMBER(SEARCH("door",J555))),'New Lookup Cells'!AF$10,IF(ISNUMBER(SEARCH("Impervia",J551)),'New Lookup Cells'!AF$7,IF(AND(ISNUMBER(SEARCH("250",J551)),ISNUMBER(SEARCH("door",J555))),'New Lookup Cells'!AF$14,IF(ISNUMBER(SEARCH("250",J551)),'New Lookup Cells'!AF$13,"")))))</f>
        <v/>
      </c>
      <c r="AE551" s="1101"/>
      <c r="AF551" s="1050"/>
      <c r="AG551" s="1051"/>
      <c r="AH551" s="1051"/>
      <c r="AI551" s="1088"/>
      <c r="AJ551" s="1089"/>
      <c r="AK551" s="154" t="str">
        <f t="shared" ca="1" si="10024"/>
        <v/>
      </c>
      <c r="AL551" s="1038" t="str">
        <f t="shared" ref="AL551" si="10077">IFERROR(ROUND(SQRT(P551^2+(W551/2+IF($E$17=4,200,0))^2),0),"")</f>
        <v/>
      </c>
      <c r="AM551" s="342" t="s">
        <v>669</v>
      </c>
      <c r="AN551" t="str">
        <f t="shared" ca="1" si="10040"/>
        <v/>
      </c>
      <c r="AP551" s="122" t="str">
        <f t="shared" ref="AP551" si="10078">_xlfn.CONCAT(AR551,AS556)</f>
        <v/>
      </c>
      <c r="AQ551" s="683" t="str">
        <f t="shared" si="8985"/>
        <v/>
      </c>
      <c r="AR551" s="96" t="str">
        <f t="shared" si="10009"/>
        <v/>
      </c>
      <c r="AS551" s="96" t="str">
        <f>IF(COUNTIF(imp_1,AF551)=1,"imp_1",IF(COUNTIF(imp_2,AF551)=1,"imp_2",IF(COUNTIF(imp_3,AF551)=1,"imp_3",IF(COUNTIF(impdoor,AF551)=1,"impdoor",""))))</f>
        <v/>
      </c>
      <c r="AT551" s="684" t="str">
        <f>AL551</f>
        <v/>
      </c>
      <c r="AU551" s="685" t="e">
        <f ca="1">MATCH(AL551,INDIRECT(AP551),-1)</f>
        <v>#REF!</v>
      </c>
      <c r="AV551" s="686" t="str">
        <f ca="1">IFERROR(VLOOKUP(AU551,INDIRECT(AQ551),2,FALSE),"----")</f>
        <v>----</v>
      </c>
      <c r="AW551" s="685" t="e">
        <f ca="1">MATCH(AL551,INDIRECT(AP552),-1)</f>
        <v>#REF!</v>
      </c>
      <c r="AX551" s="686" t="str">
        <f ca="1">IFERROR(VLOOKUP(AW551,INDIRECT(AQ552),2,FALSE),"----")</f>
        <v>----</v>
      </c>
      <c r="AY551" s="685" t="e">
        <f ca="1">MATCH(AL551,INDIRECT(AP553),-1)</f>
        <v>#REF!</v>
      </c>
      <c r="AZ551" s="686" t="str">
        <f ca="1">IFERROR(VLOOKUP(AY551,INDIRECT(AQ553),2,FALSE),"----")</f>
        <v>----</v>
      </c>
      <c r="BA551" s="685" t="e">
        <f ca="1">MATCH(AL551,INDIRECT(AP554),-1)</f>
        <v>#REF!</v>
      </c>
      <c r="BB551" s="686" t="str">
        <f ca="1">IFERROR(VLOOKUP(BA551,INDIRECT(AQ554),2,FALSE),"----")</f>
        <v>----</v>
      </c>
      <c r="BC551" s="685" t="e">
        <f ca="1">MATCH(AL551,INDIRECT(AP555),-1)</f>
        <v>#REF!</v>
      </c>
      <c r="BD551" s="686" t="str">
        <f ca="1">IFERROR(VLOOKUP(BC551,INDIRECT(AQ555),2,FALSE),"----")</f>
        <v>----</v>
      </c>
      <c r="BE551" s="685" t="e">
        <f ca="1">MATCH(AL551,INDIRECT(AP556),-1)</f>
        <v>#REF!</v>
      </c>
      <c r="BF551" s="686" t="str">
        <f ca="1">IFERROR(VLOOKUP(BE551,INDIRECT(AQ556),2,FALSE),"----")</f>
        <v>----</v>
      </c>
      <c r="BG551" s="685" t="e">
        <f ca="1">MATCH(AL557,INDIRECT(AP557),-1)</f>
        <v>#REF!</v>
      </c>
      <c r="BH551" s="686" t="str">
        <f ca="1">IFERROR(VLOOKUP(BG551,INDIRECT(AQ557),2,FALSE),"----")</f>
        <v>----</v>
      </c>
      <c r="BI551" s="685" t="e">
        <f ca="1">MATCH(AL557,INDIRECT(AP558),-1)</f>
        <v>#REF!</v>
      </c>
      <c r="BJ551" s="686" t="str">
        <f ca="1">IFERROR(VLOOKUP(BI551,INDIRECT(AQ558),2,FALSE),"----")</f>
        <v>----</v>
      </c>
      <c r="BK551" s="685" t="e">
        <f ca="1">MATCH(AL557,INDIRECT(AP559),-1)</f>
        <v>#REF!</v>
      </c>
      <c r="BL551" s="686" t="str">
        <f ca="1">IFERROR(VLOOKUP(BK551,INDIRECT(AQ559),2,FALSE),"----")</f>
        <v>----</v>
      </c>
      <c r="BM551" s="685" t="e">
        <f ca="1">MATCH(AL557,INDIRECT(AP560),-1)</f>
        <v>#REF!</v>
      </c>
      <c r="BN551" s="686" t="str">
        <f ca="1">IFERROR(VLOOKUP(BM551,INDIRECT(AQ560),2,FALSE),"----")</f>
        <v>----</v>
      </c>
      <c r="BO551" s="685" t="e">
        <f ca="1">MATCH(AL557,INDIRECT(AP561),-1)</f>
        <v>#REF!</v>
      </c>
      <c r="BP551" s="686" t="str">
        <f ca="1">IFERROR(VLOOKUP(BO551,INDIRECT(AQ561),2,FALSE),"----")</f>
        <v>----</v>
      </c>
      <c r="BQ551" s="685" t="e">
        <f ca="1">MATCH(AL557,INDIRECT(AP562),-1)</f>
        <v>#REF!</v>
      </c>
      <c r="BR551" s="686" t="str">
        <f ca="1">IFERROR(VLOOKUP(BQ551,INDIRECT(AQ562),2,FALSE),"----")</f>
        <v>----</v>
      </c>
      <c r="BS551" s="687">
        <f>IF(AI551="",1,IF(COUNTIF(AV551:AV562,AI551)=0,2,1))</f>
        <v>1</v>
      </c>
      <c r="BT551" s="688">
        <f>IF(AP551="1",1,IF(AF551="",1,IF(AV551=".",2,1)))</f>
        <v>1</v>
      </c>
      <c r="BU551" s="706"/>
      <c r="BV551" s="155">
        <f ca="1">IF(COUNTIF(CE551:CE562,AF551)=0,IF(AF551&lt;&gt;"",0,1),1)</f>
        <v>1</v>
      </c>
      <c r="BW551" s="157">
        <f ca="1">IFERROR(MATCH(AF551,CE551:CE562,0),1)</f>
        <v>1</v>
      </c>
      <c r="BX551" s="769" t="str">
        <f>IFERROR(IF(LEFT(J555,2)="As",VLOOKUP(J555,EIMM,2,FALSE),IF(AND(ISNUMBER(SEARCH("Impervia",J551)),ISNUMBER(SEARCH("door",J555))),VLOOKUP("Impervia Door",EIMM,2,FALSE),IF(AND(ISNUMBER(SEARCH("250",J551)),ISNUMBER(SEARCH("door",J555))),VLOOKUP("250 Series Door",EIMM,2,FALSE),VLOOKUP(J551,EIMM,2,FALSE)))),"")</f>
        <v/>
      </c>
      <c r="BY551" s="769" t="str">
        <f ca="1">IFERROR(VLOOKUP(BX551,OFFSET(EIMM,0,1),2,FALSE),"")</f>
        <v/>
      </c>
      <c r="BZ551" s="1110" t="e">
        <f ca="1">IF((COUNTIF(INDIRECT(SUBSTITUTE(J551," ","_")),J555))=0,IF(J555="",1,0),1)</f>
        <v>#REF!</v>
      </c>
      <c r="CA551" s="691" t="e">
        <f ca="1">MATCH(AC551,INDIRECT(BX551),-1)</f>
        <v>#REF!</v>
      </c>
      <c r="CB551" s="4" t="e" cm="1">
        <f t="array" aca="1" ref="CB551" ca="1">IF(AND(INDEX(INDIRECT(BY551),CA551,4)&gt;=$AB551,INDEX(INDIRECT(BY551),CA551,5)&gt;=$S551,INDEX(INDIRECT(BY551),CA551,6)&gt;=$R551),1,0)</f>
        <v>#REF!</v>
      </c>
      <c r="CC551" s="4" t="e">
        <f t="shared" ref="CC551" ca="1" si="10079">MATCH(1,OFFSET(CB551:CB562,$W$2,0,COUNT(CB551:CB562)-$W$2),0)</f>
        <v>#REF!</v>
      </c>
      <c r="CD551" s="4" t="e">
        <f t="shared" ref="CD551" ca="1" si="10080">$W$2+CC551</f>
        <v>#REF!</v>
      </c>
      <c r="CE551" s="692" t="str" cm="1">
        <f t="array" aca="1" ref="CE551" ca="1">IFERROR(VLOOKUP(INDEX(CA551:CA562,CD551),INDIRECT(BY551),2,FALSE),"----")</f>
        <v>----</v>
      </c>
      <c r="CF551" s="691" t="e">
        <f ca="1">MATCH($AC551,SSEI,-1)</f>
        <v>#N/A</v>
      </c>
      <c r="CG551" s="4" t="e">
        <f ca="1">IF(AND(INDEX(SSM,CF551,4)&gt;=$AB551,INDEX(SSM,CF551,5)&gt;=$S551,INDEX(SSM,CF551,6)&gt;=$R551),1,0)</f>
        <v>#N/A</v>
      </c>
      <c r="CH551" s="4" t="e">
        <f t="shared" ref="CH551" ca="1" si="10081">MATCH(1,OFFSET(CG551:CG562,$W$2,0,COUNT(CG551:CG562)-$W$2),0)</f>
        <v>#REF!</v>
      </c>
      <c r="CI551" s="4" t="e">
        <f t="shared" ref="CI551" ca="1" si="10082">$W$2+CH551</f>
        <v>#REF!</v>
      </c>
      <c r="CJ551" s="692" t="str">
        <f ca="1">IFERROR(IF(AD552="Nested Steel Stud (wood infill)",VLOOKUP(INDEX(CF551:CF562,CI551),SSW,2,FALSE),VLOOKUP(INDEX(CF551:CF562,CI551),SSM,2,FALSE)),"----")</f>
        <v>----</v>
      </c>
      <c r="CK551" s="691" t="e">
        <f ca="1">MATCH($AC551,WSEI,-1)</f>
        <v>#N/A</v>
      </c>
      <c r="CL551" s="4" t="e">
        <f ca="1">IF(AND(INDEX(WSM,CK551,4)&gt;=$AB551,INDEX(WSM,CK551,5)&gt;=$S551,INDEX(WSM,CK551,6)&gt;=$R551),1,0)</f>
        <v>#N/A</v>
      </c>
      <c r="CM551" s="4" t="e">
        <f t="shared" ref="CM551" ca="1" si="10083">MATCH(1,OFFSET(CL551:CL562,$W$2,0,COUNT(CL551:CL562)-$W$2),0)</f>
        <v>#REF!</v>
      </c>
      <c r="CN551" s="4" t="e">
        <f t="shared" ref="CN551" ca="1" si="10084">$W$2+CM551</f>
        <v>#REF!</v>
      </c>
      <c r="CO551" s="692" t="str">
        <f ca="1">IFERROR(VLOOKUP(INDEX(CK551:CK562,CN551),WSM,2,FALSE),"----")</f>
        <v>----</v>
      </c>
      <c r="CP551" s="691" t="e">
        <f ca="1">MATCH($AC551,STEI,-1)</f>
        <v>#N/A</v>
      </c>
      <c r="CQ551" s="4" t="e">
        <f ca="1">IF(AND(INDEX(STM,CP551,4)&gt;=$AB551,INDEX(STM,CP551,5)&gt;=$S551,INDEX(STM,CP551,6)&gt;=$R551),1,0)</f>
        <v>#N/A</v>
      </c>
      <c r="CR551" s="4" t="e">
        <f t="shared" ref="CR551" ca="1" si="10085">MATCH(1,OFFSET(CQ551:CQ562,$W$2,0,COUNT(CQ551:CQ562)-$W$2),0)</f>
        <v>#REF!</v>
      </c>
      <c r="CS551" s="4" t="e">
        <f t="shared" ref="CS551" ca="1" si="10086">$W$2+CR551</f>
        <v>#REF!</v>
      </c>
      <c r="CT551" s="692" t="str">
        <f ca="1">IFERROR(VLOOKUP(INDEX(CP551:CP562,CS551),STM,2,FALSE),"----")</f>
        <v>----</v>
      </c>
      <c r="CU551" s="691" t="e">
        <f ca="1">MATCH($AC551,ELEI,-1)</f>
        <v>#N/A</v>
      </c>
      <c r="CV551" s="4" t="e">
        <f ca="1">IF(AND(INDEX(ELM,CU551,4)&gt;=$AB551,INDEX(ELM,CU551,5)&gt;=$S551,INDEX(ELM,CU551,6)&gt;=$R551),1,0)</f>
        <v>#N/A</v>
      </c>
      <c r="CW551" s="4" t="e">
        <f t="shared" ref="CW551" ca="1" si="10087">MATCH(1,OFFSET(CV551:CV562,$W$2,0,COUNT(CV551:CV562)-$W$2),0)</f>
        <v>#REF!</v>
      </c>
      <c r="CX551" s="4" t="e">
        <f t="shared" ref="CX551" ca="1" si="10088">$W$2+CW551</f>
        <v>#REF!</v>
      </c>
      <c r="CY551" s="692" t="str">
        <f ca="1">IFERROR(VLOOKUP(INDEX(CU551:CU562,CX551),ELM,2,FALSE),"----")</f>
        <v>----</v>
      </c>
      <c r="CZ551" s="691" t="e">
        <f ca="1">IF(LEFT($J551,7)="Clad Wo",MATCH($AC551,SPEIW,-1),MATCH($AC551,SPEI,-1))</f>
        <v>#N/A</v>
      </c>
      <c r="DA551" s="4" t="e">
        <f ca="1">IF(LEFT($J551,7)="Clad Wo",IF(AND(INDEX(SPPWS,CZ551,4)&gt;=$AB551,INDEX(SPPWS,CZ551,5)&gt;=$S551,INDEX(SPPWS,CZ551,6)&gt;=$R551),1,0),IF(AND(INDEX(SPM,CZ551,4)&gt;=$AB551,INDEX(SPM,CZ551,5)&gt;=$S551,INDEX(SPM,CZ551,6)&gt;=$R551),1,0))</f>
        <v>#N/A</v>
      </c>
      <c r="DB551" s="4" t="e">
        <f t="shared" ref="DB551" ca="1" si="10089">MATCH(1,OFFSET(DA551:DA562,$W$2,0,COUNT(DA551:DA562)-$W$2),0)</f>
        <v>#REF!</v>
      </c>
      <c r="DC551" s="4" t="e">
        <f t="shared" ref="DC551" ca="1" si="10090">$W$2+DB551</f>
        <v>#REF!</v>
      </c>
      <c r="DD551" s="693" t="str">
        <f ca="1">IF(LEFT($J551,7)="Clad Wo",IFERROR(VLOOKUP(INDEX(CZ551:CZ562,DC551),SPPWS,2,FALSE),"----"),IFERROR(VLOOKUP(INDEX(CZ551:CZ562,DC551),SPM,2,FALSE),"----"))</f>
        <v>----</v>
      </c>
      <c r="DE551" s="691" t="e">
        <f ca="1">MATCH(AC557,INDIRECT(BX551),-1)</f>
        <v>#REF!</v>
      </c>
      <c r="DF551" s="4" t="e" cm="1">
        <f t="array" aca="1" ref="DF551" ca="1">IF(AND(INDEX(INDIRECT(BY551),DE551,4)&gt;=$AB557,INDEX(INDIRECT(BY551),DE551,5)&gt;=$S551,INDEX(INDIRECT(BY551),DE551,6)&gt;=$R551),1,0)</f>
        <v>#REF!</v>
      </c>
      <c r="DG551" s="4" t="e">
        <f t="shared" ref="DG551" ca="1" si="10091">MATCH(1,OFFSET(DF551:DF562,$W$2,0,COUNT(DF551:DF562)-$W$2),0)</f>
        <v>#REF!</v>
      </c>
      <c r="DH551" s="4" t="e">
        <f t="shared" ref="DH551" ca="1" si="10092">$W$2+DG551</f>
        <v>#REF!</v>
      </c>
      <c r="DI551" s="692" t="str" cm="1">
        <f t="array" aca="1" ref="DI551" ca="1">IFERROR(VLOOKUP(INDEX(DE551:DE562,DH551),INDIRECT(BY551),2,FALSE),"----")</f>
        <v>----</v>
      </c>
      <c r="DJ551" s="691" t="e">
        <f ca="1">MATCH($AC557,SSEI,-1)</f>
        <v>#N/A</v>
      </c>
      <c r="DK551" s="4" t="e">
        <f ca="1">IF(AND(INDEX(SSM,DJ551,4)&gt;=$AB557,INDEX(SSM,DJ551,5)&gt;=$S551,INDEX(SSM,DJ551,6)&gt;=$R551),1,0)</f>
        <v>#N/A</v>
      </c>
      <c r="DL551" s="4" t="e">
        <f t="shared" ref="DL551" ca="1" si="10093">MATCH(1,OFFSET(DK551:DK562,$W$2,0,COUNT(DK551:DK562)-$W$2),0)</f>
        <v>#REF!</v>
      </c>
      <c r="DM551" s="4" t="e">
        <f t="shared" ref="DM551" ca="1" si="10094">$W$2+DL551</f>
        <v>#REF!</v>
      </c>
      <c r="DN551" s="692" t="str">
        <f ca="1">IFERROR(IF(AD558="Nested Steel Stud (wood infill)",VLOOKUP(INDEX(DJ551:DJ562,DM551),SSW,2,FALSE),VLOOKUP(INDEX(DJ551:DJ562,DM551),SSM,2,FALSE)),"----")</f>
        <v>----</v>
      </c>
      <c r="DO551" s="691" t="e">
        <f ca="1">MATCH($AC557,WSEI,-1)</f>
        <v>#N/A</v>
      </c>
      <c r="DP551" s="4" t="e">
        <f ca="1">IF(AND(INDEX(WSM,DO551,4)&gt;=$AB557,INDEX(WSM,DO551,5)&gt;=$S551,INDEX(WSM,DO551,6)&gt;=$R551),1,0)</f>
        <v>#N/A</v>
      </c>
      <c r="DQ551" s="4" t="e">
        <f t="shared" ref="DQ551" ca="1" si="10095">MATCH(1,OFFSET(DP551:DP562,$W$2,0,COUNT(DP551:DP562)-$W$2),0)</f>
        <v>#REF!</v>
      </c>
      <c r="DR551" s="4" t="e">
        <f t="shared" ref="DR551" ca="1" si="10096">$W$2+DQ551</f>
        <v>#REF!</v>
      </c>
      <c r="DS551" s="692" t="str">
        <f ca="1">IFERROR(VLOOKUP(INDEX(DO551:DO562,DR551),WSM,2,FALSE),"----")</f>
        <v>----</v>
      </c>
      <c r="DT551" s="691" t="e">
        <f ca="1">MATCH($AC557,STEI,-1)</f>
        <v>#N/A</v>
      </c>
      <c r="DU551" s="4" t="e">
        <f ca="1">IF(AND(INDEX(STM,DT551,4)&gt;=$AB557,INDEX(STM,DT551,5)&gt;=$S551,INDEX(STM,DT551,6)&gt;=$R551),1,0)</f>
        <v>#N/A</v>
      </c>
      <c r="DV551" s="4" t="e">
        <f t="shared" ref="DV551" ca="1" si="10097">MATCH(1,OFFSET(DU551:DU562,$W$2,0,COUNT(DU551:DU562)-$W$2),0)</f>
        <v>#REF!</v>
      </c>
      <c r="DW551" s="4" t="e">
        <f t="shared" ref="DW551" ca="1" si="10098">$W$2+DV551</f>
        <v>#REF!</v>
      </c>
      <c r="DX551" s="692" t="str">
        <f ca="1">IFERROR(VLOOKUP(INDEX(DT551:DT562,DW551),STM,2,FALSE),"----")</f>
        <v>----</v>
      </c>
      <c r="DY551" s="691" t="e">
        <f ca="1">MATCH($AC557,ELEI,-1)</f>
        <v>#N/A</v>
      </c>
      <c r="DZ551" s="4" t="e">
        <f ca="1">IF(AND(INDEX(ELM,DY551,4)&gt;=$AB557,INDEX(ELM,DY551,5)&gt;=$S551,INDEX(ELM,DY551,6)&gt;=$R551),1,0)</f>
        <v>#N/A</v>
      </c>
      <c r="EA551" s="4" t="e">
        <f t="shared" ref="EA551" ca="1" si="10099">MATCH(1,OFFSET(DZ551:DZ562,$W$2,0,COUNT(DZ551:DZ562)-$W$2),0)</f>
        <v>#REF!</v>
      </c>
      <c r="EB551" s="4" t="e">
        <f t="shared" ref="EB551" ca="1" si="10100">EA551+$W$2</f>
        <v>#REF!</v>
      </c>
      <c r="EC551" s="692" t="str">
        <f ca="1">IFERROR(VLOOKUP(INDEX(DY551:DY562,EB551),ELM,2,FALSE),"----")</f>
        <v>----</v>
      </c>
      <c r="ED551" s="691" t="e">
        <f ca="1">IF(LEFT($J551,7)="Clad Wo",MATCH($AC557,SPEIW,-1),MATCH($AC557,SPEI,-1))</f>
        <v>#N/A</v>
      </c>
      <c r="EE551" s="4" t="e">
        <f ca="1">IF(LEFT($J551,7)="Clad Wo",IF(AND(INDEX(SPPWS,ED551,4)&gt;=$AB557,INDEX(SPPWS,ED551,5)&gt;=$S551,INDEX(SPPWS,ED551,6)&gt;=$R551),1,0),IF(AND(INDEX(SPM,ED551,4)&gt;=$AB557,INDEX(SPM,ED551,5)&gt;=$S551,INDEX(SPM,ED551,6)&gt;=$R551),1,0))</f>
        <v>#N/A</v>
      </c>
      <c r="EF551" s="4" t="e">
        <f t="shared" ref="EF551" ca="1" si="10101">MATCH(1,OFFSET(EE551:EE562,$W$2,0,COUNT(EE551:EE562)-$W$2),0)</f>
        <v>#REF!</v>
      </c>
      <c r="EG551" s="4" t="e">
        <f t="shared" ref="EG551" ca="1" si="10102">$W$2+EF551</f>
        <v>#REF!</v>
      </c>
      <c r="EH551" s="692" t="str">
        <f ca="1">IF(LEFT($J551,7)="Clad Wo",IFERROR(VLOOKUP(INDEX(ED551:ED562,EG551),SPPWS,2,FALSE),"----"),IFERROR(VLOOKUP(INDEX(ED551:ED562,EG551),SPM,2,FALSE),"----"))</f>
        <v>----</v>
      </c>
    </row>
    <row r="552" spans="1:138" ht="15" customHeight="1" x14ac:dyDescent="0.25">
      <c r="A552" s="1085"/>
      <c r="B552" s="925"/>
      <c r="C552" s="926"/>
      <c r="D552" s="927"/>
      <c r="E552" s="995"/>
      <c r="F552" s="996"/>
      <c r="G552" s="997"/>
      <c r="H552" s="1062"/>
      <c r="I552" s="990"/>
      <c r="J552" s="908"/>
      <c r="K552" s="909"/>
      <c r="L552" s="1002"/>
      <c r="M552" s="923"/>
      <c r="N552" s="1042"/>
      <c r="O552" s="1018"/>
      <c r="P552" s="987"/>
      <c r="Q552" s="1015"/>
      <c r="R552" s="1012"/>
      <c r="S552" s="1006"/>
      <c r="T552" s="1007"/>
      <c r="U552" s="878"/>
      <c r="V552" s="881"/>
      <c r="W552" s="884"/>
      <c r="X552" s="884"/>
      <c r="Y552" s="887"/>
      <c r="Z552" s="887"/>
      <c r="AA552" s="887"/>
      <c r="AB552" s="1081"/>
      <c r="AC552" s="1078"/>
      <c r="AD552" s="1102" t="s">
        <v>38</v>
      </c>
      <c r="AE552" s="1103"/>
      <c r="AF552" s="1052"/>
      <c r="AG552" s="1053"/>
      <c r="AH552" s="1053"/>
      <c r="AI552" s="1066"/>
      <c r="AJ552" s="1067"/>
      <c r="AK552" s="156" t="str">
        <f t="shared" ca="1" si="10024"/>
        <v/>
      </c>
      <c r="AL552" s="1039"/>
      <c r="AM552" s="343" t="str">
        <f ca="1">IFERROR(Q551/12*ROUND(VLOOKUP(AF552,OFFSET(SSM,0,1),6,FALSE),2),"")</f>
        <v/>
      </c>
      <c r="AN552" t="str">
        <f t="shared" ca="1" si="10040"/>
        <v/>
      </c>
      <c r="AP552" s="122" t="str">
        <f t="shared" ref="AP552" si="10103">_xlfn.CONCAT(AR552,AS556)</f>
        <v/>
      </c>
      <c r="AQ552" s="683" t="str">
        <f t="shared" si="8985"/>
        <v/>
      </c>
      <c r="AR552" s="96" t="str">
        <f t="shared" si="10009"/>
        <v/>
      </c>
      <c r="AS552" s="96" t="str">
        <f>IF(COUNTIF(Vista_1,AF551)=1,"Vista_1",IF(COUNTIF(Vista_2,AF551)=1,"Vista_2",""))</f>
        <v/>
      </c>
      <c r="AT552" s="684" t="str">
        <f>AL551</f>
        <v/>
      </c>
      <c r="AU552" s="694" t="e">
        <f t="shared" ref="AU552" ca="1" si="10104">AU551-1</f>
        <v>#REF!</v>
      </c>
      <c r="AV552" s="686" t="str">
        <f ca="1">IFERROR(VLOOKUP(AU552,INDIRECT(AQ551),2,FALSE),"----")</f>
        <v>----</v>
      </c>
      <c r="AW552" s="694" t="e">
        <f t="shared" ref="AW552:AW553" ca="1" si="10105">AW551-1</f>
        <v>#REF!</v>
      </c>
      <c r="AX552" s="686" t="str">
        <f ca="1">IFERROR(VLOOKUP(AW552,INDIRECT(AQ552),2,FALSE),"----")</f>
        <v>----</v>
      </c>
      <c r="AY552" s="694" t="e">
        <f t="shared" ref="AY552:AY553" ca="1" si="10106">AY551-1</f>
        <v>#REF!</v>
      </c>
      <c r="AZ552" s="686" t="str">
        <f ca="1">IFERROR(VLOOKUP(AY552,INDIRECT(AQ553),2,FALSE),"----")</f>
        <v>----</v>
      </c>
      <c r="BA552" s="694" t="e">
        <f t="shared" ref="BA552:BA553" ca="1" si="10107">BA551-1</f>
        <v>#REF!</v>
      </c>
      <c r="BB552" s="686" t="str">
        <f ca="1">IFERROR(VLOOKUP(BA552,INDIRECT(AQ554),2,FALSE),"----")</f>
        <v>----</v>
      </c>
      <c r="BC552" s="694" t="e">
        <f t="shared" ref="BC552:BC553" ca="1" si="10108">BC551-1</f>
        <v>#REF!</v>
      </c>
      <c r="BD552" s="686" t="str">
        <f ca="1">IFERROR(VLOOKUP(BC552,INDIRECT(AQ555),2,FALSE),"----")</f>
        <v>----</v>
      </c>
      <c r="BE552" s="694" t="e">
        <f t="shared" ref="BE552" ca="1" si="10109">BE551-1</f>
        <v>#REF!</v>
      </c>
      <c r="BF552" s="686" t="str">
        <f ca="1">IFERROR(VLOOKUP(BE552,INDIRECT(AQ556),2,FALSE),"----")</f>
        <v>----</v>
      </c>
      <c r="BG552" s="694" t="e">
        <f t="shared" ref="BG552" ca="1" si="10110">BG551-1</f>
        <v>#REF!</v>
      </c>
      <c r="BH552" s="686" t="str">
        <f ca="1">IFERROR(VLOOKUP(BG552,INDIRECT(AQ557),2,FALSE),"----")</f>
        <v>----</v>
      </c>
      <c r="BI552" s="694" t="e">
        <f t="shared" ref="BI552:BI553" ca="1" si="10111">BI551-1</f>
        <v>#REF!</v>
      </c>
      <c r="BJ552" s="686" t="str">
        <f ca="1">IFERROR(VLOOKUP(BI552,INDIRECT(AQ558),2,FALSE),"----")</f>
        <v>----</v>
      </c>
      <c r="BK552" s="694" t="e">
        <f t="shared" ref="BK552:BK553" ca="1" si="10112">BK551-1</f>
        <v>#REF!</v>
      </c>
      <c r="BL552" s="686" t="str">
        <f ca="1">IFERROR(VLOOKUP(BK552,INDIRECT(AQ559),2,FALSE),"----")</f>
        <v>----</v>
      </c>
      <c r="BM552" s="694" t="e">
        <f t="shared" ref="BM552:BM553" ca="1" si="10113">BM551-1</f>
        <v>#REF!</v>
      </c>
      <c r="BN552" s="686" t="str">
        <f ca="1">IFERROR(VLOOKUP(BM552,INDIRECT(AQ560),2,FALSE),"----")</f>
        <v>----</v>
      </c>
      <c r="BO552" s="694" t="e">
        <f t="shared" ref="BO552:BO553" ca="1" si="10114">BO551-1</f>
        <v>#REF!</v>
      </c>
      <c r="BP552" s="686" t="str">
        <f ca="1">IFERROR(VLOOKUP(BO552,INDIRECT(AQ561),2,FALSE),"----")</f>
        <v>----</v>
      </c>
      <c r="BQ552" s="694" t="e">
        <f t="shared" ref="BQ552" ca="1" si="10115">BQ551-1</f>
        <v>#REF!</v>
      </c>
      <c r="BR552" s="686" t="str">
        <f ca="1">IFERROR(VLOOKUP(BQ552,INDIRECT(AQ562),2,FALSE),"----")</f>
        <v>----</v>
      </c>
      <c r="BS552" s="695">
        <f>IF(AI552="",1,IF(COUNTIF(AX551:AX562,AI552)=0,2,1))</f>
        <v>1</v>
      </c>
      <c r="BT552" s="696">
        <f>IF(AF552="",1,IF(AX551=".",2,1))</f>
        <v>1</v>
      </c>
      <c r="BU552" s="706"/>
      <c r="BV552" s="155">
        <f ca="1">IF(COUNTIF(CJ551:CJ562,AF552)=0,IF(AF552&lt;&gt;"",0,1),1)</f>
        <v>1</v>
      </c>
      <c r="BW552" s="157">
        <f ca="1">IFERROR(MATCH(AF552,CJ551:CJ562,0),1)</f>
        <v>1</v>
      </c>
      <c r="BX552" s="769"/>
      <c r="BY552" s="769"/>
      <c r="BZ552" s="1110"/>
      <c r="CA552" s="691" t="e">
        <f t="shared" ref="CA552:CA562" ca="1" si="10116">CA551-1</f>
        <v>#REF!</v>
      </c>
      <c r="CB552" s="4" t="e" cm="1">
        <f t="array" aca="1" ref="CB552" ca="1">IF(AND(INDEX(INDIRECT(BY551),CA552,4)&gt;=$AB551,INDEX(INDIRECT(BY551),CA552,5)&gt;=$S551,INDEX(INDIRECT(BY551),CA552,6)&gt;=$R551),1,0)</f>
        <v>#REF!</v>
      </c>
      <c r="CC552" s="4" t="e">
        <f t="shared" ref="CC552" ca="1" si="10117">MATCH(1,OFFSET(CB551:CB562,CD551,0,COUNT(CB551:CB562)-CD551),0)</f>
        <v>#REF!</v>
      </c>
      <c r="CD552" s="4" t="e">
        <f t="shared" ref="CD552:CD562" ca="1" si="10118">CD551+CC552</f>
        <v>#REF!</v>
      </c>
      <c r="CE552" s="692" t="str" cm="1">
        <f t="array" aca="1" ref="CE552" ca="1">IFERROR(VLOOKUP(INDEX(CA551:CA562,CD552),INDIRECT(BY551),2,FALSE),"----")</f>
        <v>----</v>
      </c>
      <c r="CF552" s="691" t="e">
        <f t="shared" ref="CF552:CF562" ca="1" si="10119">CF551-1</f>
        <v>#N/A</v>
      </c>
      <c r="CG552" s="4" t="e">
        <f ca="1">IF(AND(INDEX(SSM,CF552,4)&gt;=$AB551,INDEX(SSM,CF552,5)&gt;=$S551,INDEX(SSM,CF552,6)&gt;=$R551),1,0)</f>
        <v>#N/A</v>
      </c>
      <c r="CH552" s="4" t="e">
        <f t="shared" ref="CH552" ca="1" si="10120">MATCH(1,OFFSET(CG551:CG562,CI551,0,COUNT(CG551:CG562)-CI551),0)</f>
        <v>#REF!</v>
      </c>
      <c r="CI552" s="4" t="e">
        <f t="shared" ref="CI552:CI562" ca="1" si="10121">CI551+CH552</f>
        <v>#REF!</v>
      </c>
      <c r="CJ552" s="692" t="str">
        <f ca="1">IFERROR(IF(AD552="Nested Steel Stud (wood infill)",VLOOKUP(INDEX(CF551:CF562,CI552),SSW,2,FALSE),VLOOKUP(INDEX(CF551:CF562,CI552),SSM,2,FALSE)),"----")</f>
        <v>----</v>
      </c>
      <c r="CK552" s="691" t="e">
        <f t="shared" ref="CK552:CK562" ca="1" si="10122">CK551-1</f>
        <v>#N/A</v>
      </c>
      <c r="CL552" s="4" t="e">
        <f ca="1">IF(AND(INDEX(WSM,CK552,4)&gt;=$AB551,INDEX(WSM,CK552,5)&gt;=$S551,INDEX(WSM,CK552,6)&gt;=$R551),1,0)</f>
        <v>#N/A</v>
      </c>
      <c r="CM552" s="4" t="e">
        <f t="shared" ref="CM552" ca="1" si="10123">MATCH(1,OFFSET(CL551:CL562,CN551,0,COUNT(CL551:CL562)-CN551),0)</f>
        <v>#REF!</v>
      </c>
      <c r="CN552" s="4" t="e">
        <f t="shared" ref="CN552:CN562" ca="1" si="10124">CM552+CN551</f>
        <v>#REF!</v>
      </c>
      <c r="CO552" s="692" t="str">
        <f ca="1">IFERROR(VLOOKUP(INDEX(CK551:CK562,CN552),WSM,2,FALSE),"----")</f>
        <v>----</v>
      </c>
      <c r="CP552" s="691" t="e">
        <f t="shared" ref="CP552:CP562" ca="1" si="10125">CP551-1</f>
        <v>#N/A</v>
      </c>
      <c r="CQ552" s="4" t="e">
        <f ca="1">IF(AND(INDEX(STM,CP552,4)&gt;=$AB551,INDEX(STM,CP552,5)&gt;=$S551,INDEX(STM,CP552,6)&gt;=$R551),1,0)</f>
        <v>#N/A</v>
      </c>
      <c r="CR552" s="4" t="e">
        <f t="shared" ref="CR552" ca="1" si="10126">MATCH(1,OFFSET(CQ551:CQ562,CS551,0,COUNT(CQ551:CQ562)-CS551),0)</f>
        <v>#REF!</v>
      </c>
      <c r="CS552" s="4" t="e">
        <f t="shared" ref="CS552:CS562" ca="1" si="10127">CR552+CS551</f>
        <v>#REF!</v>
      </c>
      <c r="CT552" s="692" t="str">
        <f ca="1">IFERROR(VLOOKUP(INDEX(CP551:CP562,CS552),STM,2,FALSE),"----")</f>
        <v>----</v>
      </c>
      <c r="CU552" s="691" t="e">
        <f t="shared" ref="CU552:CU562" ca="1" si="10128">CU551-1</f>
        <v>#N/A</v>
      </c>
      <c r="CV552" s="4" t="e">
        <f ca="1">IF(AND(INDEX(ELM,CU552,4)&gt;=$AB551,INDEX(ELM,CU552,5)&gt;=$S551,INDEX(ELM,CU552,6)&gt;=$R551),1,0)</f>
        <v>#N/A</v>
      </c>
      <c r="CW552" s="4" t="e">
        <f t="shared" ref="CW552" ca="1" si="10129">MATCH(1,OFFSET(CV551:CV562,CX551,0,COUNT(CV551:CV562)-CX551),0)</f>
        <v>#REF!</v>
      </c>
      <c r="CX552" s="4" t="e">
        <f t="shared" ref="CX552:CX562" ca="1" si="10130">CW552+CX551</f>
        <v>#REF!</v>
      </c>
      <c r="CY552" s="692" t="str">
        <f ca="1">IFERROR(VLOOKUP(INDEX(CU551:CU562,CX552),ELM,2,FALSE),"----")</f>
        <v>----</v>
      </c>
      <c r="CZ552" s="691" t="e">
        <f t="shared" ref="CZ552:CZ562" ca="1" si="10131">CZ551-1</f>
        <v>#N/A</v>
      </c>
      <c r="DA552" s="4" t="e">
        <f ca="1">IF(LEFT($J551,7)="Clad Wo",IF(AND(INDEX(SPPWS,CZ552,4)&gt;=$AB551,INDEX(SPPWS,CZ552,5)&gt;=$S551,INDEX(SPPWS,CZ552,6)&gt;=$R551),1,0),IF(AND(INDEX(SPM,CZ552,4)&gt;=$AB551,INDEX(SPM,CZ552,5)&gt;=$S551,INDEX(SPM,CZ552,6)&gt;=$R551),1,0))</f>
        <v>#N/A</v>
      </c>
      <c r="DB552" s="4" t="e">
        <f t="shared" ref="DB552" ca="1" si="10132">MATCH(1,OFFSET(DA551:DA562,DC551,0,COUNT(DA551:DA562)-DC551),0)</f>
        <v>#REF!</v>
      </c>
      <c r="DC552" s="4" t="e">
        <f t="shared" ref="DC552:DC562" ca="1" si="10133">DC551+DB552</f>
        <v>#REF!</v>
      </c>
      <c r="DD552" s="693" t="str">
        <f ca="1">IF(LEFT($J551,7)="Clad Wo",IFERROR(VLOOKUP(INDEX(CZ551:CZ562,DC552),SPPWS,2,FALSE),"----"),IFERROR(VLOOKUP(INDEX(CZ551:CZ562,DC552),SPM,2,FALSE),"----"))</f>
        <v>----</v>
      </c>
      <c r="DE552" s="691" t="e">
        <f t="shared" ref="DE552:DE562" ca="1" si="10134">DE551-1</f>
        <v>#REF!</v>
      </c>
      <c r="DF552" s="4" t="e" cm="1">
        <f t="array" aca="1" ref="DF552" ca="1">IF(AND(INDEX(INDIRECT(BY551),DE552,4)&gt;=$AB557,INDEX(INDIRECT(BY551),DE552,5)&gt;=$S551,INDEX(INDIRECT(BY551),DE552,6)&gt;=$R551),1,0)</f>
        <v>#REF!</v>
      </c>
      <c r="DG552" s="4" t="e">
        <f t="shared" ref="DG552" ca="1" si="10135">MATCH(1,OFFSET(DF551:DF562,DH551,0,COUNT(DF551:DF562)-DH551),0)</f>
        <v>#REF!</v>
      </c>
      <c r="DH552" s="4" t="e">
        <f t="shared" ref="DH552:DH562" ca="1" si="10136">DH551+DG552</f>
        <v>#REF!</v>
      </c>
      <c r="DI552" s="692" t="str" cm="1">
        <f t="array" aca="1" ref="DI552" ca="1">IFERROR(VLOOKUP(INDEX(DE551:DE562,DH552),INDIRECT(BY551),2,FALSE),"----")</f>
        <v>----</v>
      </c>
      <c r="DJ552" s="691" t="e">
        <f t="shared" ref="DJ552:DJ562" ca="1" si="10137">DJ551-1</f>
        <v>#N/A</v>
      </c>
      <c r="DK552" s="4" t="e">
        <f ca="1">IF(AND(INDEX(SSM,DJ552,4)&gt;=$AB557,INDEX(SSM,DJ552,5)&gt;=$S551,INDEX(SSM,DJ552,6)&gt;=$R551),1,0)</f>
        <v>#N/A</v>
      </c>
      <c r="DL552" s="4" t="e">
        <f t="shared" ref="DL552" ca="1" si="10138">MATCH(1,OFFSET(DK551:DK562,DM551,0,COUNT(DK551:DK562)-DM551),0)</f>
        <v>#REF!</v>
      </c>
      <c r="DM552" s="4" t="e">
        <f t="shared" ref="DM552:DM562" ca="1" si="10139">DL552+DM551</f>
        <v>#REF!</v>
      </c>
      <c r="DN552" s="692" t="str">
        <f ca="1">IFERROR(IF(AD558="Nested Steel Stud (wood infill)",VLOOKUP(INDEX(DJ551:DJ562,DM552),SSW,2,FALSE),VLOOKUP(INDEX(DJ551:DJ562,DM552),SSM,2,FALSE)),"----")</f>
        <v>----</v>
      </c>
      <c r="DO552" s="691" t="e">
        <f t="shared" ref="DO552:DO562" ca="1" si="10140">DO551-1</f>
        <v>#N/A</v>
      </c>
      <c r="DP552" s="4" t="e">
        <f ca="1">IF(AND(INDEX(WSM,DO552,4)&gt;=$AB557,INDEX(WSM,DO552,5)&gt;=$S551,INDEX(WSM,DO552,6)&gt;=$R551),1,0)</f>
        <v>#N/A</v>
      </c>
      <c r="DQ552" s="4" t="e">
        <f t="shared" ref="DQ552" ca="1" si="10141">MATCH(1,OFFSET(DP551:DP562,DR551,0,COUNT(DP551:DP562)-DR551),0)</f>
        <v>#REF!</v>
      </c>
      <c r="DR552" s="4" t="e">
        <f t="shared" ref="DR552:DR562" ca="1" si="10142">DQ552+DR551</f>
        <v>#REF!</v>
      </c>
      <c r="DS552" s="692" t="str">
        <f ca="1">IFERROR(VLOOKUP(INDEX(DO551:DO562,DR552),WSM,2,FALSE),"----")</f>
        <v>----</v>
      </c>
      <c r="DT552" s="691" t="e">
        <f t="shared" ref="DT552:DT562" ca="1" si="10143">DT551-1</f>
        <v>#N/A</v>
      </c>
      <c r="DU552" s="4" t="e">
        <f ca="1">IF(AND(INDEX(STM,DT552,4)&gt;=$AB557,INDEX(STM,DT552,5)&gt;=$S551,INDEX(STM,DT552,6)&gt;=$R551),1,0)</f>
        <v>#N/A</v>
      </c>
      <c r="DV552" s="4" t="e">
        <f t="shared" ref="DV552" ca="1" si="10144">MATCH(1,OFFSET(DU551:DU562,DW551,0,COUNT(DU551:DU562)-DW551),0)</f>
        <v>#REF!</v>
      </c>
      <c r="DW552" s="4" t="e">
        <f t="shared" ref="DW552:DW562" ca="1" si="10145">DV552+DW551</f>
        <v>#REF!</v>
      </c>
      <c r="DX552" s="692" t="str">
        <f ca="1">IFERROR(VLOOKUP(INDEX(DT551:DT562,DW552),STM,2,FALSE),"----")</f>
        <v>----</v>
      </c>
      <c r="DY552" s="691" t="e">
        <f t="shared" ref="DY552:DY562" ca="1" si="10146">DY551-1</f>
        <v>#N/A</v>
      </c>
      <c r="DZ552" s="4" t="e">
        <f ca="1">IF(AND(INDEX(ELM,DY552,4)&gt;=$AB557,INDEX(ELM,DY552,5)&gt;=$S551,INDEX(ELM,DY552,6)&gt;=$R551),1,0)</f>
        <v>#N/A</v>
      </c>
      <c r="EA552" s="4" t="e">
        <f t="shared" ref="EA552" ca="1" si="10147">MATCH(1,OFFSET(DZ551:DZ562,EB551,0,COUNT(DZ551:DZ562)-EB551),0)</f>
        <v>#REF!</v>
      </c>
      <c r="EB552" s="4" t="e">
        <f t="shared" ref="EB552:EB562" ca="1" si="10148">EA552+EB551</f>
        <v>#REF!</v>
      </c>
      <c r="EC552" s="692" t="str">
        <f ca="1">IFERROR(VLOOKUP(INDEX(DY551:DY562,EB552),ELM,2,FALSE),"----")</f>
        <v>----</v>
      </c>
      <c r="ED552" s="691" t="e">
        <f t="shared" ref="ED552:ED562" ca="1" si="10149">ED551-1</f>
        <v>#N/A</v>
      </c>
      <c r="EE552" s="4" t="e">
        <f ca="1">IF(LEFT($J551,7)="Clad Wo",IF(AND(INDEX(SPPWS,ED552,4)&gt;=$AB557,INDEX(SPPWS,ED552,5)&gt;=$S551,INDEX(SPPWS,ED552,6)&gt;=$R551),1,0),IF(AND(INDEX(SPM,ED552,4)&gt;=$AB557,INDEX(SPM,ED552,5)&gt;=$S551,INDEX(SPM,ED552,6)&gt;=$R551),1,0))</f>
        <v>#N/A</v>
      </c>
      <c r="EF552" s="4" t="e">
        <f t="shared" ref="EF552" ca="1" si="10150">MATCH(1,OFFSET(EE551:EE562,EG551,0,COUNT(EE551:EE562)-EG551),0)</f>
        <v>#REF!</v>
      </c>
      <c r="EG552" s="4" t="e">
        <f t="shared" ref="EG552:EG562" ca="1" si="10151">EG551+EF552</f>
        <v>#REF!</v>
      </c>
      <c r="EH552" s="692" t="str">
        <f ca="1">IF(LEFT($J551,7)="Clad Wo",IFERROR(VLOOKUP(INDEX(ED551:ED562,EG552),SPPWS,2,FALSE),"----"),IFERROR(VLOOKUP(INDEX(ED551:ED562,EG552),SPM,2,FALSE),"----"))</f>
        <v>----</v>
      </c>
    </row>
    <row r="553" spans="1:138" ht="15" customHeight="1" x14ac:dyDescent="0.25">
      <c r="A553" s="1085"/>
      <c r="B553" s="925"/>
      <c r="C553" s="926"/>
      <c r="D553" s="927"/>
      <c r="E553" s="995"/>
      <c r="F553" s="996"/>
      <c r="G553" s="997"/>
      <c r="H553" s="1062"/>
      <c r="I553" s="990"/>
      <c r="J553" s="908"/>
      <c r="K553" s="909"/>
      <c r="L553" s="1002"/>
      <c r="M553" s="923"/>
      <c r="N553" s="1042"/>
      <c r="O553" s="1018"/>
      <c r="P553" s="987"/>
      <c r="Q553" s="1015"/>
      <c r="R553" s="1012"/>
      <c r="S553" s="1006"/>
      <c r="T553" s="1007"/>
      <c r="U553" s="878"/>
      <c r="V553" s="881"/>
      <c r="W553" s="884"/>
      <c r="X553" s="884"/>
      <c r="Y553" s="887"/>
      <c r="Z553" s="887"/>
      <c r="AA553" s="887"/>
      <c r="AB553" s="1081"/>
      <c r="AC553" s="1078"/>
      <c r="AD553" s="1070" t="s">
        <v>333</v>
      </c>
      <c r="AE553" s="1071"/>
      <c r="AF553" s="1052"/>
      <c r="AG553" s="1053"/>
      <c r="AH553" s="1053"/>
      <c r="AI553" s="1066"/>
      <c r="AJ553" s="1067"/>
      <c r="AK553" s="154" t="str">
        <f t="shared" ca="1" si="10024"/>
        <v/>
      </c>
      <c r="AL553" s="1039"/>
      <c r="AM553" s="344" t="str">
        <f ca="1">IFERROR(Q551/12*ROUND(VLOOKUP(AF553,OFFSET(WSM,0,1),6,FALSE),2),"")</f>
        <v/>
      </c>
      <c r="AN553" t="str">
        <f t="shared" ca="1" si="10040"/>
        <v/>
      </c>
      <c r="AP553" s="122" t="str">
        <f t="shared" ref="AP553" si="10152">_xlfn.CONCAT(AR553,AS556)</f>
        <v/>
      </c>
      <c r="AQ553" s="683" t="str">
        <f t="shared" si="8985"/>
        <v/>
      </c>
      <c r="AR553" s="4" t="str">
        <f t="shared" si="10009"/>
        <v/>
      </c>
      <c r="AS553" s="4"/>
      <c r="AT553" s="697" t="str">
        <f>AL551</f>
        <v/>
      </c>
      <c r="AU553" s="694" t="e">
        <f t="shared" ca="1" si="9002"/>
        <v>#REF!</v>
      </c>
      <c r="AV553" s="686" t="str">
        <f ca="1">IFERROR(VLOOKUP(AU553,INDIRECT(AQ551),2,FALSE),"----")</f>
        <v>----</v>
      </c>
      <c r="AW553" s="694" t="e">
        <f t="shared" ca="1" si="10105"/>
        <v>#REF!</v>
      </c>
      <c r="AX553" s="686" t="str">
        <f ca="1">IFERROR(VLOOKUP(AW553,INDIRECT(AQ552),2,FALSE),"----")</f>
        <v>----</v>
      </c>
      <c r="AY553" s="694" t="e">
        <f t="shared" ca="1" si="10106"/>
        <v>#REF!</v>
      </c>
      <c r="AZ553" s="686" t="str">
        <f ca="1">IFERROR(VLOOKUP(AY553,INDIRECT(AQ553),2,FALSE),"----")</f>
        <v>----</v>
      </c>
      <c r="BA553" s="694" t="e">
        <f t="shared" ca="1" si="10107"/>
        <v>#REF!</v>
      </c>
      <c r="BB553" s="686" t="str">
        <f ca="1">IFERROR(VLOOKUP(BA553,INDIRECT(AQ554),2,FALSE),"----")</f>
        <v>----</v>
      </c>
      <c r="BC553" s="694" t="e">
        <f t="shared" ca="1" si="10108"/>
        <v>#REF!</v>
      </c>
      <c r="BD553" s="686" t="str">
        <f ca="1">IFERROR(VLOOKUP(BC553,INDIRECT(AQ555),2,FALSE),"----")</f>
        <v>----</v>
      </c>
      <c r="BE553" s="694" t="e">
        <f t="shared" ca="1" si="9007"/>
        <v>#REF!</v>
      </c>
      <c r="BF553" s="686" t="str">
        <f ca="1">IFERROR(VLOOKUP(BE553,INDIRECT(AQ556),2,FALSE),"----")</f>
        <v>----</v>
      </c>
      <c r="BG553" s="694" t="e">
        <f t="shared" ca="1" si="9008"/>
        <v>#REF!</v>
      </c>
      <c r="BH553" s="686" t="str">
        <f ca="1">IFERROR(VLOOKUP(BG553,INDIRECT(AQ557),2,FALSE),"----")</f>
        <v>----</v>
      </c>
      <c r="BI553" s="694" t="e">
        <f t="shared" ca="1" si="10111"/>
        <v>#REF!</v>
      </c>
      <c r="BJ553" s="686" t="str">
        <f ca="1">IFERROR(VLOOKUP(BI553,INDIRECT(AQ558),2,FALSE),"----")</f>
        <v>----</v>
      </c>
      <c r="BK553" s="694" t="e">
        <f t="shared" ca="1" si="10112"/>
        <v>#REF!</v>
      </c>
      <c r="BL553" s="686" t="str">
        <f ca="1">IFERROR(VLOOKUP(BK553,INDIRECT(AQ559),2,FALSE),"----")</f>
        <v>----</v>
      </c>
      <c r="BM553" s="694" t="e">
        <f t="shared" ca="1" si="10113"/>
        <v>#REF!</v>
      </c>
      <c r="BN553" s="686" t="str">
        <f ca="1">IFERROR(VLOOKUP(BM553,INDIRECT(AQ560),2,FALSE),"----")</f>
        <v>----</v>
      </c>
      <c r="BO553" s="694" t="e">
        <f t="shared" ca="1" si="10114"/>
        <v>#REF!</v>
      </c>
      <c r="BP553" s="686" t="str">
        <f ca="1">IFERROR(VLOOKUP(BO553,INDIRECT(AQ561),2,FALSE),"----")</f>
        <v>----</v>
      </c>
      <c r="BQ553" s="694" t="e">
        <f t="shared" ca="1" si="9013"/>
        <v>#REF!</v>
      </c>
      <c r="BR553" s="686" t="str">
        <f ca="1">IFERROR(VLOOKUP(BQ553,INDIRECT(AQ562),2,FALSE),"----")</f>
        <v>----</v>
      </c>
      <c r="BS553" s="695">
        <f>IF(AI553="",1,IF(COUNTIF(AZ551:AZ562,AI553)=0,2,1))</f>
        <v>1</v>
      </c>
      <c r="BT553" s="696">
        <f>IF(AF553="",1,IF(AZ551=".",2,1))</f>
        <v>1</v>
      </c>
      <c r="BU553" s="706"/>
      <c r="BV553" s="155">
        <f ca="1">IF(COUNTIF(CO551:CO562,AF553)=0,IF(AF553&lt;&gt;"",0,1),1)</f>
        <v>1</v>
      </c>
      <c r="BW553" s="157">
        <f ca="1">IFERROR(MATCH(AF553,CO551:CO562,0),1)</f>
        <v>1</v>
      </c>
      <c r="BX553" s="769"/>
      <c r="BY553" s="769"/>
      <c r="BZ553" s="1110"/>
      <c r="CA553" s="691" t="e">
        <f t="shared" ca="1" si="10116"/>
        <v>#REF!</v>
      </c>
      <c r="CB553" s="4" t="e" cm="1">
        <f t="array" aca="1" ref="CB553" ca="1">IF(AND(INDEX(INDIRECT(BY551),CA553,4)&gt;=$AB551,INDEX(INDIRECT(BY551),CA553,5)&gt;=$S551,INDEX(INDIRECT(BY551),CA553,6)&gt;=$R551),1,0)</f>
        <v>#REF!</v>
      </c>
      <c r="CC553" s="4" t="e">
        <f t="shared" ref="CC553" ca="1" si="10153">MATCH(1,OFFSET(CB551:CB562,CD552,0,COUNT(CB551:CB562)-CD552),0)</f>
        <v>#REF!</v>
      </c>
      <c r="CD553" s="4" t="e">
        <f t="shared" ca="1" si="10118"/>
        <v>#REF!</v>
      </c>
      <c r="CE553" s="692" t="str" cm="1">
        <f t="array" aca="1" ref="CE553" ca="1">IFERROR(VLOOKUP(INDEX(CA551:CA562,CD553),INDIRECT(BY551),2,FALSE),"----")</f>
        <v>----</v>
      </c>
      <c r="CF553" s="691" t="e">
        <f t="shared" ca="1" si="10119"/>
        <v>#N/A</v>
      </c>
      <c r="CG553" s="4" t="e">
        <f ca="1">IF(AND(INDEX(SSM,CF553,4)&gt;=$AB551,INDEX(SSM,CF553,5)&gt;=$S551,INDEX(SSM,CF553,6)&gt;=$R551),1,0)</f>
        <v>#N/A</v>
      </c>
      <c r="CH553" s="4" t="e">
        <f t="shared" ref="CH553" ca="1" si="10154">MATCH(1,OFFSET(CG551:CG562,CI552,0,COUNT(CG551:CG562)-CI552),0)</f>
        <v>#REF!</v>
      </c>
      <c r="CI553" s="4" t="e">
        <f t="shared" ca="1" si="10121"/>
        <v>#REF!</v>
      </c>
      <c r="CJ553" s="692" t="str">
        <f ca="1">IFERROR(IF(AD552="Nested Steel Stud (wood infill)",VLOOKUP(INDEX(CF551:CF562,CI553),SSW,2,FALSE),VLOOKUP(INDEX(CF551:CF562,CI553),SSM,2,FALSE)),"----")</f>
        <v>----</v>
      </c>
      <c r="CK553" s="691" t="e">
        <f t="shared" ca="1" si="10122"/>
        <v>#N/A</v>
      </c>
      <c r="CL553" s="4" t="e">
        <f ca="1">IF(AND(INDEX(WSM,CK553,4)&gt;=$AB551,INDEX(WSM,CK553,5)&gt;=$S551,INDEX(WSM,CK553,6)&gt;=$R551),1,0)</f>
        <v>#N/A</v>
      </c>
      <c r="CM553" s="4" t="e">
        <f t="shared" ref="CM553" ca="1" si="10155">MATCH(1,OFFSET(CL551:CL562,CN552,0,COUNT(CL551:CL562)-CN552),0)</f>
        <v>#REF!</v>
      </c>
      <c r="CN553" s="4" t="e">
        <f t="shared" ca="1" si="10124"/>
        <v>#REF!</v>
      </c>
      <c r="CO553" s="692" t="str">
        <f ca="1">IFERROR(VLOOKUP(INDEX(CK551:CK562,CN553),WSM,2,FALSE),"----")</f>
        <v>----</v>
      </c>
      <c r="CP553" s="691" t="e">
        <f t="shared" ca="1" si="10125"/>
        <v>#N/A</v>
      </c>
      <c r="CQ553" s="4" t="e">
        <f ca="1">IF(AND(INDEX(STM,CP553,4)&gt;=$AB551,INDEX(STM,CP553,5)&gt;=$S551,INDEX(STM,CP553,6)&gt;=$R551),1,0)</f>
        <v>#N/A</v>
      </c>
      <c r="CR553" s="4" t="e">
        <f t="shared" ref="CR553" ca="1" si="10156">MATCH(1,OFFSET(CQ551:CQ562,CS552,0,COUNT(CQ551:CQ562)-CS552),0)</f>
        <v>#REF!</v>
      </c>
      <c r="CS553" s="4" t="e">
        <f t="shared" ca="1" si="10127"/>
        <v>#REF!</v>
      </c>
      <c r="CT553" s="692" t="str">
        <f ca="1">IFERROR(VLOOKUP(INDEX(CP551:CP562,CS553),STM,2,FALSE),"----")</f>
        <v>----</v>
      </c>
      <c r="CU553" s="691" t="e">
        <f t="shared" ca="1" si="10128"/>
        <v>#N/A</v>
      </c>
      <c r="CV553" s="4" t="e">
        <f ca="1">IF(AND(INDEX(ELM,CU553,4)&gt;=$AB551,INDEX(ELM,CU553,5)&gt;=$S551,INDEX(ELM,CU553,6)&gt;=$R551),1,0)</f>
        <v>#N/A</v>
      </c>
      <c r="CW553" s="4" t="e">
        <f t="shared" ref="CW553" ca="1" si="10157">MATCH(1,OFFSET(CV551:CV562,CX552,0,COUNT(CV551:CV562)-CX552),0)</f>
        <v>#REF!</v>
      </c>
      <c r="CX553" s="4" t="e">
        <f t="shared" ca="1" si="10130"/>
        <v>#REF!</v>
      </c>
      <c r="CY553" s="692" t="str">
        <f ca="1">IFERROR(VLOOKUP(INDEX(CU551:CU562,CX553),ELM,2,FALSE),"----")</f>
        <v>----</v>
      </c>
      <c r="CZ553" s="691" t="e">
        <f t="shared" ca="1" si="10131"/>
        <v>#N/A</v>
      </c>
      <c r="DA553" s="4" t="e">
        <f ca="1">IF(LEFT($J551,7)="Clad Wo",IF(AND(INDEX(SPPWS,CZ553,4)&gt;=$AB551,INDEX(SPPWS,CZ553,5)&gt;=$S551,INDEX(SPPWS,CZ553,6)&gt;=$R551),1,0),IF(AND(INDEX(SPM,CZ553,4)&gt;=$AB551,INDEX(SPM,CZ553,5)&gt;=$S551,INDEX(SPM,CZ553,6)&gt;=$R551),1,0))</f>
        <v>#N/A</v>
      </c>
      <c r="DB553" s="4" t="e">
        <f t="shared" ref="DB553" ca="1" si="10158">MATCH(1,OFFSET(DA551:DA562,DC552,0,COUNT(DA551:DA562)-DC552),0)</f>
        <v>#REF!</v>
      </c>
      <c r="DC553" s="4" t="e">
        <f t="shared" ca="1" si="10133"/>
        <v>#REF!</v>
      </c>
      <c r="DD553" s="693" t="str">
        <f ca="1">IF(LEFT($J551,7)="Clad Wo",IFERROR(VLOOKUP(INDEX(CZ551:CZ562,DC553),SPPWS,2,FALSE),"----"),IFERROR(VLOOKUP(INDEX(CZ551:CZ562,DC553),SPM,2,FALSE),"----"))</f>
        <v>----</v>
      </c>
      <c r="DE553" s="691" t="e">
        <f t="shared" ca="1" si="10134"/>
        <v>#REF!</v>
      </c>
      <c r="DF553" s="4" t="e" cm="1">
        <f t="array" aca="1" ref="DF553" ca="1">IF(AND(INDEX(INDIRECT(BY551),DE553,4)&gt;=$AB557,INDEX(INDIRECT(BY551),DE553,5)&gt;=$S551,INDEX(INDIRECT(BY551),DE553,6)&gt;=$R551),1,0)</f>
        <v>#REF!</v>
      </c>
      <c r="DG553" s="4" t="e">
        <f t="shared" ref="DG553" ca="1" si="10159">MATCH(1,OFFSET(DF551:DF562,DH552,0,COUNT(DF551:DF562)-DH552),0)</f>
        <v>#REF!</v>
      </c>
      <c r="DH553" s="4" t="e">
        <f t="shared" ca="1" si="10136"/>
        <v>#REF!</v>
      </c>
      <c r="DI553" s="692" t="str" cm="1">
        <f t="array" aca="1" ref="DI553" ca="1">IFERROR(VLOOKUP(INDEX(DE551:DE562,DH553),INDIRECT(BY551),2,FALSE),"----")</f>
        <v>----</v>
      </c>
      <c r="DJ553" s="691" t="e">
        <f t="shared" ca="1" si="10137"/>
        <v>#N/A</v>
      </c>
      <c r="DK553" s="4" t="e">
        <f ca="1">IF(AND(INDEX(SSM,DJ553,4)&gt;=$AB557,INDEX(SSM,DJ553,5)&gt;=$S551,INDEX(SSM,DJ553,6)&gt;=$R551),1,0)</f>
        <v>#N/A</v>
      </c>
      <c r="DL553" s="4" t="e">
        <f t="shared" ref="DL553" ca="1" si="10160">MATCH(1,OFFSET(DK551:DK562,DM552,0,COUNT(DK551:DK562)-DM552),0)</f>
        <v>#REF!</v>
      </c>
      <c r="DM553" s="4" t="e">
        <f t="shared" ca="1" si="10139"/>
        <v>#REF!</v>
      </c>
      <c r="DN553" s="692" t="str">
        <f ca="1">IFERROR(IF(AD558="Nested Steel Stud (wood infill)",VLOOKUP(INDEX(DJ551:DJ562,DM553),SSW,2,FALSE),VLOOKUP(INDEX(DJ551:DJ562,DM553),SSM,2,FALSE)),"----")</f>
        <v>----</v>
      </c>
      <c r="DO553" s="691" t="e">
        <f t="shared" ca="1" si="10140"/>
        <v>#N/A</v>
      </c>
      <c r="DP553" s="4" t="e">
        <f ca="1">IF(AND(INDEX(WSM,DO553,4)&gt;=$AB557,INDEX(WSM,DO553,5)&gt;=$S551,INDEX(WSM,DO553,6)&gt;=$R551),1,0)</f>
        <v>#N/A</v>
      </c>
      <c r="DQ553" s="4" t="e">
        <f t="shared" ref="DQ553" ca="1" si="10161">MATCH(1,OFFSET(DP551:DP562,DR552,0,COUNT(DP551:DP562)-DR552),0)</f>
        <v>#REF!</v>
      </c>
      <c r="DR553" s="4" t="e">
        <f t="shared" ca="1" si="10142"/>
        <v>#REF!</v>
      </c>
      <c r="DS553" s="692" t="str">
        <f ca="1">IFERROR(VLOOKUP(INDEX(DO551:DO562,DR553),WSM,2,FALSE),"----")</f>
        <v>----</v>
      </c>
      <c r="DT553" s="691" t="e">
        <f t="shared" ca="1" si="10143"/>
        <v>#N/A</v>
      </c>
      <c r="DU553" s="4" t="e">
        <f ca="1">IF(AND(INDEX(STM,DT553,4)&gt;=$AB557,INDEX(STM,DT553,5)&gt;=$S551,INDEX(STM,DT553,6)&gt;=$R551),1,0)</f>
        <v>#N/A</v>
      </c>
      <c r="DV553" s="4" t="e">
        <f t="shared" ref="DV553" ca="1" si="10162">MATCH(1,OFFSET(DU551:DU562,DW552,0,COUNT(DU551:DU562)-DW552),0)</f>
        <v>#REF!</v>
      </c>
      <c r="DW553" s="4" t="e">
        <f t="shared" ca="1" si="10145"/>
        <v>#REF!</v>
      </c>
      <c r="DX553" s="692" t="str">
        <f ca="1">IFERROR(VLOOKUP(INDEX(DT551:DT562,DW553),STM,2,FALSE),"----")</f>
        <v>----</v>
      </c>
      <c r="DY553" s="691" t="e">
        <f t="shared" ca="1" si="10146"/>
        <v>#N/A</v>
      </c>
      <c r="DZ553" s="4" t="e">
        <f ca="1">IF(AND(INDEX(ELM,DY553,4)&gt;=$AB557,INDEX(ELM,DY553,5)&gt;=$S551,INDEX(ELM,DY553,6)&gt;=$R551),1,0)</f>
        <v>#N/A</v>
      </c>
      <c r="EA553" s="4" t="e">
        <f t="shared" ref="EA553" ca="1" si="10163">MATCH(1,OFFSET(DZ551:DZ562,EB552,0,COUNT(DZ551:DZ562)-EB552),0)</f>
        <v>#REF!</v>
      </c>
      <c r="EB553" s="4" t="e">
        <f t="shared" ca="1" si="10148"/>
        <v>#REF!</v>
      </c>
      <c r="EC553" s="692" t="str">
        <f ca="1">IFERROR(VLOOKUP(INDEX(DY551:DY562,EB553),ELM,2,FALSE),"----")</f>
        <v>----</v>
      </c>
      <c r="ED553" s="691" t="e">
        <f t="shared" ca="1" si="10149"/>
        <v>#N/A</v>
      </c>
      <c r="EE553" s="4" t="e">
        <f ca="1">IF(LEFT($J551,7)="Clad Wo",IF(AND(INDEX(SPPWS,ED553,4)&gt;=$AB557,INDEX(SPPWS,ED553,5)&gt;=$S551,INDEX(SPPWS,ED553,6)&gt;=$R551),1,0),IF(AND(INDEX(SPM,ED553,4)&gt;=$AB557,INDEX(SPM,ED553,5)&gt;=$S551,INDEX(SPM,ED553,6)&gt;=$R551),1,0))</f>
        <v>#N/A</v>
      </c>
      <c r="EF553" s="4" t="e">
        <f t="shared" ref="EF553" ca="1" si="10164">MATCH(1,OFFSET(EE551:EE562,EG552,0,COUNT(EE551:EE562)-EG552),0)</f>
        <v>#REF!</v>
      </c>
      <c r="EG553" s="4" t="e">
        <f t="shared" ca="1" si="10151"/>
        <v>#REF!</v>
      </c>
      <c r="EH553" s="692" t="str">
        <f ca="1">IF(LEFT($J551,7)="Clad Wo",IFERROR(VLOOKUP(INDEX(ED551:ED562,EG553),SPPWS,2,FALSE),"----"),IFERROR(VLOOKUP(INDEX(ED551:ED562,EG553),SPM,2,FALSE),"----"))</f>
        <v>----</v>
      </c>
    </row>
    <row r="554" spans="1:138" ht="15" customHeight="1" x14ac:dyDescent="0.25">
      <c r="A554" s="1085"/>
      <c r="B554" s="925"/>
      <c r="C554" s="926"/>
      <c r="D554" s="927"/>
      <c r="E554" s="995"/>
      <c r="F554" s="996"/>
      <c r="G554" s="997"/>
      <c r="H554" s="1062"/>
      <c r="I554" s="990"/>
      <c r="J554" s="908"/>
      <c r="K554" s="909"/>
      <c r="L554" s="1002"/>
      <c r="M554" s="923"/>
      <c r="N554" s="1042"/>
      <c r="O554" s="1018"/>
      <c r="P554" s="987"/>
      <c r="Q554" s="1015"/>
      <c r="R554" s="1012"/>
      <c r="S554" s="1006"/>
      <c r="T554" s="1007"/>
      <c r="U554" s="878"/>
      <c r="V554" s="881"/>
      <c r="W554" s="884"/>
      <c r="X554" s="884"/>
      <c r="Y554" s="887"/>
      <c r="Z554" s="887"/>
      <c r="AA554" s="887"/>
      <c r="AB554" s="1081"/>
      <c r="AC554" s="1078"/>
      <c r="AD554" s="1070" t="s">
        <v>37</v>
      </c>
      <c r="AE554" s="1071"/>
      <c r="AF554" s="1052"/>
      <c r="AG554" s="1053"/>
      <c r="AH554" s="1053"/>
      <c r="AI554" s="1066"/>
      <c r="AJ554" s="1067"/>
      <c r="AK554" s="156" t="str">
        <f t="shared" ca="1" si="10024"/>
        <v/>
      </c>
      <c r="AL554" s="1039"/>
      <c r="AM554" s="343" t="str">
        <f ca="1">IFERROR(Q551/12*ROUND(VLOOKUP(AF554,OFFSET(STM,0,1),6,FALSE),2),"")</f>
        <v/>
      </c>
      <c r="AN554" t="str">
        <f t="shared" ca="1" si="10040"/>
        <v/>
      </c>
      <c r="AP554" s="122" t="str">
        <f t="shared" ref="AP554" si="10165">_xlfn.CONCAT(AR554,AS556)</f>
        <v/>
      </c>
      <c r="AQ554" s="683" t="str">
        <f t="shared" si="8985"/>
        <v/>
      </c>
      <c r="AR554" s="4" t="str">
        <f t="shared" si="10009"/>
        <v/>
      </c>
      <c r="AS554" s="4"/>
      <c r="AT554" s="697" t="str">
        <f>AL551</f>
        <v/>
      </c>
      <c r="AU554" s="694" t="e">
        <f t="shared" ca="1" si="9002"/>
        <v>#REF!</v>
      </c>
      <c r="AV554" s="686" t="str">
        <f ca="1">IFERROR(VLOOKUP(AU554,INDIRECT(AQ551),2,FALSE),"----")</f>
        <v>----</v>
      </c>
      <c r="AW554" s="694" t="e">
        <f t="shared" ca="1" si="9003"/>
        <v>#REF!</v>
      </c>
      <c r="AX554" s="686" t="str">
        <f ca="1">IFERROR(VLOOKUP(AW554,INDIRECT(AQ552),2,FALSE),"----")</f>
        <v>----</v>
      </c>
      <c r="AY554" s="694" t="e">
        <f t="shared" ref="AY554" ca="1" si="10166">AY553-1</f>
        <v>#REF!</v>
      </c>
      <c r="AZ554" s="686" t="str">
        <f ca="1">IFERROR(VLOOKUP(AY554,INDIRECT(AQ553),2,FALSE),"----")</f>
        <v>----</v>
      </c>
      <c r="BA554" s="694" t="e">
        <f t="shared" ref="BA554" ca="1" si="10167">BA553-1</f>
        <v>#REF!</v>
      </c>
      <c r="BB554" s="686" t="str">
        <f ca="1">IFERROR(VLOOKUP(BA554,INDIRECT(AQ554),2,FALSE),"----")</f>
        <v>----</v>
      </c>
      <c r="BC554" s="694" t="e">
        <f t="shared" ca="1" si="9006"/>
        <v>#REF!</v>
      </c>
      <c r="BD554" s="686" t="str">
        <f ca="1">IFERROR(VLOOKUP(BC554,INDIRECT(AQ555),2,FALSE),"----")</f>
        <v>----</v>
      </c>
      <c r="BE554" s="694" t="e">
        <f t="shared" ca="1" si="9007"/>
        <v>#REF!</v>
      </c>
      <c r="BF554" s="686" t="str">
        <f ca="1">IFERROR(VLOOKUP(BE554,INDIRECT(AQ556),2,FALSE),"----")</f>
        <v>----</v>
      </c>
      <c r="BG554" s="694" t="e">
        <f t="shared" ca="1" si="9008"/>
        <v>#REF!</v>
      </c>
      <c r="BH554" s="686" t="str">
        <f ca="1">IFERROR(VLOOKUP(BG554,INDIRECT(AQ557),2,FALSE),"----")</f>
        <v>----</v>
      </c>
      <c r="BI554" s="694" t="e">
        <f t="shared" ca="1" si="9009"/>
        <v>#REF!</v>
      </c>
      <c r="BJ554" s="686" t="str">
        <f ca="1">IFERROR(VLOOKUP(BI554,INDIRECT(AQ558),2,FALSE),"----")</f>
        <v>----</v>
      </c>
      <c r="BK554" s="694" t="e">
        <f t="shared" ca="1" si="9010"/>
        <v>#REF!</v>
      </c>
      <c r="BL554" s="686" t="str">
        <f ca="1">IFERROR(VLOOKUP(BK554,INDIRECT(AQ559),2,FALSE),"----")</f>
        <v>----</v>
      </c>
      <c r="BM554" s="694" t="e">
        <f t="shared" ca="1" si="9011"/>
        <v>#REF!</v>
      </c>
      <c r="BN554" s="686" t="str">
        <f ca="1">IFERROR(VLOOKUP(BM554,INDIRECT(AQ560),2,FALSE),"----")</f>
        <v>----</v>
      </c>
      <c r="BO554" s="694" t="e">
        <f t="shared" ca="1" si="9012"/>
        <v>#REF!</v>
      </c>
      <c r="BP554" s="686" t="str">
        <f ca="1">IFERROR(VLOOKUP(BO554,INDIRECT(AQ561),2,FALSE),"----")</f>
        <v>----</v>
      </c>
      <c r="BQ554" s="694" t="e">
        <f t="shared" ca="1" si="9013"/>
        <v>#REF!</v>
      </c>
      <c r="BR554" s="686" t="str">
        <f ca="1">IFERROR(VLOOKUP(BQ554,INDIRECT(AQ562),2,FALSE),"----")</f>
        <v>----</v>
      </c>
      <c r="BS554" s="695">
        <f>IF(AI554="",1,IF(COUNTIF(BB551:BB562,AI554)=0,2,1))</f>
        <v>1</v>
      </c>
      <c r="BT554" s="696">
        <f>IF(AF554="",1,IF(BB551=".",2,1))</f>
        <v>1</v>
      </c>
      <c r="BU554" s="706"/>
      <c r="BV554" s="155">
        <f ca="1">IF(COUNTIF(CT551:CT562,AF554)=0,IF(AF554&lt;&gt;"",0,1),1)</f>
        <v>1</v>
      </c>
      <c r="BW554" s="157">
        <f ca="1">IFERROR(MATCH(AF554,CT551:CT562,0),1)</f>
        <v>1</v>
      </c>
      <c r="BX554" s="769"/>
      <c r="BY554" s="769"/>
      <c r="BZ554" s="1110"/>
      <c r="CA554" s="691" t="e">
        <f t="shared" ca="1" si="10116"/>
        <v>#REF!</v>
      </c>
      <c r="CB554" s="4" t="e" cm="1">
        <f t="array" aca="1" ref="CB554" ca="1">IF(AND(INDEX(INDIRECT(BY551),CA554,4)&gt;=$AB551,INDEX(INDIRECT(BY551),CA554,5)&gt;=$S551,INDEX(INDIRECT(BY551),CA554,6)&gt;=$R551),1,0)</f>
        <v>#REF!</v>
      </c>
      <c r="CC554" s="4" t="e">
        <f t="shared" ref="CC554" ca="1" si="10168">MATCH(1,OFFSET(CB551:CB562,CD553,0,COUNT(CB551:CB562)-CD553),0)</f>
        <v>#REF!</v>
      </c>
      <c r="CD554" s="4" t="e">
        <f t="shared" ca="1" si="10118"/>
        <v>#REF!</v>
      </c>
      <c r="CE554" s="692" t="str" cm="1">
        <f t="array" aca="1" ref="CE554" ca="1">IFERROR(VLOOKUP(INDEX(CA551:CA562,CD554),INDIRECT(BY551),2,FALSE),"----")</f>
        <v>----</v>
      </c>
      <c r="CF554" s="691" t="e">
        <f t="shared" ca="1" si="10119"/>
        <v>#N/A</v>
      </c>
      <c r="CG554" s="4" t="e">
        <f ca="1">IF(AND(INDEX(SSM,CF554,4)&gt;=$AB551,INDEX(SSM,CF554,5)&gt;=$S551,INDEX(SSM,CF554,6)&gt;=$R551),1,0)</f>
        <v>#N/A</v>
      </c>
      <c r="CH554" s="4" t="e">
        <f t="shared" ref="CH554" ca="1" si="10169">MATCH(1,OFFSET(CG551:CG562,CI553,0,COUNT(CG551:CG562)-CI553),0)</f>
        <v>#REF!</v>
      </c>
      <c r="CI554" s="4" t="e">
        <f t="shared" ca="1" si="10121"/>
        <v>#REF!</v>
      </c>
      <c r="CJ554" s="692" t="str">
        <f ca="1">IFERROR(IF(AD552="Nested Steel Stud (wood infill)",VLOOKUP(INDEX(CF551:CF562,CI554),SSW,2,FALSE),VLOOKUP(INDEX(CF551:CF562,CI554),SSM,2,FALSE)),"----")</f>
        <v>----</v>
      </c>
      <c r="CK554" s="691" t="e">
        <f t="shared" ca="1" si="10122"/>
        <v>#N/A</v>
      </c>
      <c r="CL554" s="4" t="e">
        <f ca="1">IF(AND(INDEX(WSM,CK554,4)&gt;=$AB551,INDEX(WSM,CK554,5)&gt;=$S551,INDEX(WSM,CK554,6)&gt;=$R551),1,0)</f>
        <v>#N/A</v>
      </c>
      <c r="CM554" s="4" t="e">
        <f t="shared" ref="CM554" ca="1" si="10170">MATCH(1,OFFSET(CL551:CL562,CN553,0,COUNT(CL551:CL562)-CN553),0)</f>
        <v>#REF!</v>
      </c>
      <c r="CN554" s="4" t="e">
        <f t="shared" ca="1" si="10124"/>
        <v>#REF!</v>
      </c>
      <c r="CO554" s="692" t="str">
        <f ca="1">IFERROR(VLOOKUP(INDEX(CK551:CK562,CN554),WSM,2,FALSE),"----")</f>
        <v>----</v>
      </c>
      <c r="CP554" s="691" t="e">
        <f t="shared" ca="1" si="10125"/>
        <v>#N/A</v>
      </c>
      <c r="CQ554" s="4" t="e">
        <f ca="1">IF(AND(INDEX(STM,CP554,4)&gt;=$AB551,INDEX(STM,CP554,5)&gt;=$S551,INDEX(STM,CP554,6)&gt;=$R551),1,0)</f>
        <v>#N/A</v>
      </c>
      <c r="CR554" s="4" t="e">
        <f t="shared" ref="CR554" ca="1" si="10171">MATCH(1,OFFSET(CQ551:CQ562,CS553,0,COUNT(CQ551:CQ562)-CS553),0)</f>
        <v>#REF!</v>
      </c>
      <c r="CS554" s="4" t="e">
        <f t="shared" ca="1" si="10127"/>
        <v>#REF!</v>
      </c>
      <c r="CT554" s="692" t="str">
        <f ca="1">IFERROR(VLOOKUP(INDEX(CP551:CP562,CS554),STM,2,FALSE),"----")</f>
        <v>----</v>
      </c>
      <c r="CU554" s="691" t="e">
        <f t="shared" ca="1" si="10128"/>
        <v>#N/A</v>
      </c>
      <c r="CV554" s="4" t="e">
        <f ca="1">IF(AND(INDEX(ELM,CU554,4)&gt;=$AB551,INDEX(ELM,CU554,5)&gt;=$S551,INDEX(ELM,CU554,6)&gt;=$R551),1,0)</f>
        <v>#N/A</v>
      </c>
      <c r="CW554" s="4" t="e">
        <f t="shared" ref="CW554" ca="1" si="10172">MATCH(1,OFFSET(CV551:CV562,CX553,0,COUNT(CV551:CV562)-CX553),0)</f>
        <v>#REF!</v>
      </c>
      <c r="CX554" s="4" t="e">
        <f t="shared" ca="1" si="10130"/>
        <v>#REF!</v>
      </c>
      <c r="CY554" s="692" t="str">
        <f ca="1">IFERROR(VLOOKUP(INDEX(CU551:CU562,CX554),ELM,2,FALSE),"----")</f>
        <v>----</v>
      </c>
      <c r="CZ554" s="691" t="e">
        <f t="shared" ca="1" si="10131"/>
        <v>#N/A</v>
      </c>
      <c r="DA554" s="4" t="e">
        <f ca="1">IF(LEFT($J551,7)="Clad Wo",IF(AND(INDEX(SPPWS,CZ554,4)&gt;=$AB551,INDEX(SPPWS,CZ554,5)&gt;=$S551,INDEX(SPPWS,CZ554,6)&gt;=$R551),1,0),IF(AND(INDEX(SPM,CZ554,4)&gt;=$AB551,INDEX(SPM,CZ554,5)&gt;=$S551,INDEX(SPM,CZ554,6)&gt;=$R551),1,0))</f>
        <v>#N/A</v>
      </c>
      <c r="DB554" s="4" t="e">
        <f t="shared" ref="DB554" ca="1" si="10173">MATCH(1,OFFSET(DA551:DA562,DC553,0,COUNT(DA551:DA562)-DC553),0)</f>
        <v>#REF!</v>
      </c>
      <c r="DC554" s="4" t="e">
        <f t="shared" ca="1" si="10133"/>
        <v>#REF!</v>
      </c>
      <c r="DD554" s="693" t="str">
        <f ca="1">IF(LEFT($J551,7)="Clad Wo",IFERROR(VLOOKUP(INDEX(CZ551:CZ562,DC554),SPPWS,2,FALSE),"----"),IFERROR(VLOOKUP(INDEX(CZ551:CZ562,DC554),SPM,2,FALSE),"----"))</f>
        <v>----</v>
      </c>
      <c r="DE554" s="691" t="e">
        <f t="shared" ca="1" si="10134"/>
        <v>#REF!</v>
      </c>
      <c r="DF554" s="4" t="e" cm="1">
        <f t="array" aca="1" ref="DF554" ca="1">IF(AND(INDEX(INDIRECT(BY551),DE554,4)&gt;=$AB557,INDEX(INDIRECT(BY551),DE554,5)&gt;=$S551,INDEX(INDIRECT(BY551),DE554,6)&gt;=$R551),1,0)</f>
        <v>#REF!</v>
      </c>
      <c r="DG554" s="4" t="e">
        <f t="shared" ref="DG554" ca="1" si="10174">MATCH(1,OFFSET(DF551:DF562,DH553,0,COUNT(DF551:DF562)-DH553),0)</f>
        <v>#REF!</v>
      </c>
      <c r="DH554" s="4" t="e">
        <f t="shared" ca="1" si="10136"/>
        <v>#REF!</v>
      </c>
      <c r="DI554" s="692" t="str" cm="1">
        <f t="array" aca="1" ref="DI554" ca="1">IFERROR(VLOOKUP(INDEX(DE551:DE562,DH554),INDIRECT(BY551),2,FALSE),"----")</f>
        <v>----</v>
      </c>
      <c r="DJ554" s="691" t="e">
        <f t="shared" ca="1" si="10137"/>
        <v>#N/A</v>
      </c>
      <c r="DK554" s="4" t="e">
        <f ca="1">IF(AND(INDEX(SSM,DJ554,4)&gt;=$AB557,INDEX(SSM,DJ554,5)&gt;=$S551,INDEX(SSM,DJ554,6)&gt;=$R551),1,0)</f>
        <v>#N/A</v>
      </c>
      <c r="DL554" s="4" t="e">
        <f t="shared" ref="DL554" ca="1" si="10175">MATCH(1,OFFSET(DK551:DK562,DM553,0,COUNT(DK551:DK562)-DM553),0)</f>
        <v>#REF!</v>
      </c>
      <c r="DM554" s="4" t="e">
        <f t="shared" ca="1" si="10139"/>
        <v>#REF!</v>
      </c>
      <c r="DN554" s="692" t="str">
        <f ca="1">IFERROR(IF(AD558="Nested Steel Stud (wood infill)",VLOOKUP(INDEX(DJ551:DJ562,DM554),SSW,2,FALSE),VLOOKUP(INDEX(DJ551:DJ562,DM554),SSM,2,FALSE)),"----")</f>
        <v>----</v>
      </c>
      <c r="DO554" s="691" t="e">
        <f t="shared" ca="1" si="10140"/>
        <v>#N/A</v>
      </c>
      <c r="DP554" s="4" t="e">
        <f ca="1">IF(AND(INDEX(WSM,DO554,4)&gt;=$AB557,INDEX(WSM,DO554,5)&gt;=$S551,INDEX(WSM,DO554,6)&gt;=$R551),1,0)</f>
        <v>#N/A</v>
      </c>
      <c r="DQ554" s="4" t="e">
        <f t="shared" ref="DQ554" ca="1" si="10176">MATCH(1,OFFSET(DP551:DP562,DR553,0,COUNT(DP551:DP562)-DR553),0)</f>
        <v>#REF!</v>
      </c>
      <c r="DR554" s="4" t="e">
        <f t="shared" ca="1" si="10142"/>
        <v>#REF!</v>
      </c>
      <c r="DS554" s="692" t="str">
        <f ca="1">IFERROR(VLOOKUP(INDEX(DO551:DO562,DR554),WSM,2,FALSE),"----")</f>
        <v>----</v>
      </c>
      <c r="DT554" s="691" t="e">
        <f t="shared" ca="1" si="10143"/>
        <v>#N/A</v>
      </c>
      <c r="DU554" s="4" t="e">
        <f ca="1">IF(AND(INDEX(STM,DT554,4)&gt;=$AB557,INDEX(STM,DT554,5)&gt;=$S551,INDEX(STM,DT554,6)&gt;=$R551),1,0)</f>
        <v>#N/A</v>
      </c>
      <c r="DV554" s="4" t="e">
        <f t="shared" ref="DV554" ca="1" si="10177">MATCH(1,OFFSET(DU551:DU562,DW553,0,COUNT(DU551:DU562)-DW553),0)</f>
        <v>#REF!</v>
      </c>
      <c r="DW554" s="4" t="e">
        <f t="shared" ca="1" si="10145"/>
        <v>#REF!</v>
      </c>
      <c r="DX554" s="692" t="str">
        <f ca="1">IFERROR(VLOOKUP(INDEX(DT551:DT562,DW554),STM,2,FALSE),"----")</f>
        <v>----</v>
      </c>
      <c r="DY554" s="691" t="e">
        <f t="shared" ca="1" si="10146"/>
        <v>#N/A</v>
      </c>
      <c r="DZ554" s="4" t="e">
        <f ca="1">IF(AND(INDEX(ELM,DY554,4)&gt;=$AB557,INDEX(ELM,DY554,5)&gt;=$S551,INDEX(ELM,DY554,6)&gt;=$R551),1,0)</f>
        <v>#N/A</v>
      </c>
      <c r="EA554" s="4" t="e">
        <f t="shared" ref="EA554" ca="1" si="10178">MATCH(1,OFFSET(DZ551:DZ562,EB553,0,COUNT(DZ551:DZ562)-EB553),0)</f>
        <v>#REF!</v>
      </c>
      <c r="EB554" s="4" t="e">
        <f t="shared" ca="1" si="10148"/>
        <v>#REF!</v>
      </c>
      <c r="EC554" s="692" t="str">
        <f ca="1">IFERROR(VLOOKUP(INDEX(DY551:DY562,EB554),ELM,2,FALSE),"----")</f>
        <v>----</v>
      </c>
      <c r="ED554" s="691" t="e">
        <f t="shared" ca="1" si="10149"/>
        <v>#N/A</v>
      </c>
      <c r="EE554" s="4" t="e">
        <f ca="1">IF(LEFT($J551,7)="Clad Wo",IF(AND(INDEX(SPPWS,ED554,4)&gt;=$AB557,INDEX(SPPWS,ED554,5)&gt;=$S551,INDEX(SPPWS,ED554,6)&gt;=$R551),1,0),IF(AND(INDEX(SPM,ED554,4)&gt;=$AB557,INDEX(SPM,ED554,5)&gt;=$S551,INDEX(SPM,ED554,6)&gt;=$R551),1,0))</f>
        <v>#N/A</v>
      </c>
      <c r="EF554" s="4" t="e">
        <f t="shared" ref="EF554" ca="1" si="10179">MATCH(1,OFFSET(EE551:EE562,EG553,0,COUNT(EE551:EE562)-EG553),0)</f>
        <v>#REF!</v>
      </c>
      <c r="EG554" s="4" t="e">
        <f t="shared" ca="1" si="10151"/>
        <v>#REF!</v>
      </c>
      <c r="EH554" s="692" t="str">
        <f ca="1">IF(LEFT($J551,7)="Clad Wo",IFERROR(VLOOKUP(INDEX(ED551:ED562,EG554),SPPWS,2,FALSE),"----"),IFERROR(VLOOKUP(INDEX(ED551:ED562,EG554),SPM,2,FALSE),"----"))</f>
        <v>----</v>
      </c>
    </row>
    <row r="555" spans="1:138" ht="15" customHeight="1" x14ac:dyDescent="0.25">
      <c r="A555" s="1085"/>
      <c r="B555" s="925"/>
      <c r="C555" s="926"/>
      <c r="D555" s="927"/>
      <c r="E555" s="995"/>
      <c r="F555" s="996"/>
      <c r="G555" s="997"/>
      <c r="H555" s="1062"/>
      <c r="I555" s="990"/>
      <c r="J555" s="910"/>
      <c r="K555" s="911"/>
      <c r="L555" s="1002"/>
      <c r="M555" s="923"/>
      <c r="N555" s="1042"/>
      <c r="O555" s="1018"/>
      <c r="P555" s="987"/>
      <c r="Q555" s="1015"/>
      <c r="R555" s="1012"/>
      <c r="S555" s="1006"/>
      <c r="T555" s="1007"/>
      <c r="U555" s="878"/>
      <c r="V555" s="881"/>
      <c r="W555" s="884"/>
      <c r="X555" s="884"/>
      <c r="Y555" s="887"/>
      <c r="Z555" s="887"/>
      <c r="AA555" s="887"/>
      <c r="AB555" s="1081"/>
      <c r="AC555" s="1078"/>
      <c r="AD555" s="1070" t="s">
        <v>39</v>
      </c>
      <c r="AE555" s="1071"/>
      <c r="AF555" s="1052"/>
      <c r="AG555" s="1053"/>
      <c r="AH555" s="1053"/>
      <c r="AI555" s="1068"/>
      <c r="AJ555" s="1069"/>
      <c r="AK555" s="154" t="str">
        <f t="shared" ca="1" si="10024"/>
        <v/>
      </c>
      <c r="AL555" s="1039"/>
      <c r="AM555" s="344" t="str">
        <f ca="1">IFERROR(Q551/12*ROUND(VLOOKUP(AF555,OFFSET(ELM,0,1),6,FALSE),2),"")</f>
        <v/>
      </c>
      <c r="AN555" t="str">
        <f t="shared" ca="1" si="10040"/>
        <v/>
      </c>
      <c r="AP555" s="122" t="str">
        <f t="shared" ref="AP555" si="10180">_xlfn.CONCAT(AR555,AS556)</f>
        <v/>
      </c>
      <c r="AQ555" s="683" t="str">
        <f t="shared" si="8985"/>
        <v/>
      </c>
      <c r="AR555" s="4" t="str">
        <f t="shared" si="10009"/>
        <v/>
      </c>
      <c r="AS555" s="4"/>
      <c r="AT555" s="697" t="str">
        <f>AL551</f>
        <v/>
      </c>
      <c r="AU555" s="694" t="e">
        <f t="shared" ca="1" si="9002"/>
        <v>#REF!</v>
      </c>
      <c r="AV555" s="698" t="str">
        <f ca="1">IFERROR(VLOOKUP(AU555,INDIRECT(AQ551),2,FALSE),"----")</f>
        <v>----</v>
      </c>
      <c r="AW555" s="694" t="e">
        <f t="shared" ca="1" si="9003"/>
        <v>#REF!</v>
      </c>
      <c r="AX555" s="698" t="str">
        <f ca="1">IFERROR(VLOOKUP(AW555,INDIRECT(AQ552),2,FALSE),"----")</f>
        <v>----</v>
      </c>
      <c r="AY555" s="694" t="e">
        <f t="shared" ref="AY555" ca="1" si="10181">AY554-1</f>
        <v>#REF!</v>
      </c>
      <c r="AZ555" s="698" t="str">
        <f ca="1">IFERROR(VLOOKUP(AY555,INDIRECT(AQ553),2,FALSE),"----")</f>
        <v>----</v>
      </c>
      <c r="BA555" s="694" t="e">
        <f t="shared" ref="BA555" ca="1" si="10182">BA554-1</f>
        <v>#REF!</v>
      </c>
      <c r="BB555" s="698" t="str">
        <f ca="1">IFERROR(VLOOKUP(BA555,INDIRECT(AQ554),2,FALSE),"----")</f>
        <v>----</v>
      </c>
      <c r="BC555" s="694" t="e">
        <f t="shared" ca="1" si="9006"/>
        <v>#REF!</v>
      </c>
      <c r="BD555" s="698" t="str">
        <f ca="1">IFERROR(VLOOKUP(BC555,INDIRECT(AQ555),2,FALSE),"----")</f>
        <v>----</v>
      </c>
      <c r="BE555" s="694" t="e">
        <f t="shared" ca="1" si="9007"/>
        <v>#REF!</v>
      </c>
      <c r="BF555" s="698" t="str">
        <f ca="1">IFERROR(VLOOKUP(BE555,INDIRECT(AQ556),2,FALSE),"----")</f>
        <v>----</v>
      </c>
      <c r="BG555" s="694" t="e">
        <f t="shared" ca="1" si="9008"/>
        <v>#REF!</v>
      </c>
      <c r="BH555" s="686" t="str">
        <f ca="1">IFERROR(VLOOKUP(BG555,INDIRECT(AQ557),2,FALSE),"----")</f>
        <v>----</v>
      </c>
      <c r="BI555" s="694" t="e">
        <f t="shared" ca="1" si="9009"/>
        <v>#REF!</v>
      </c>
      <c r="BJ555" s="686" t="str">
        <f ca="1">IFERROR(VLOOKUP(BI555,INDIRECT(AQ558),2,FALSE),"----")</f>
        <v>----</v>
      </c>
      <c r="BK555" s="694" t="e">
        <f t="shared" ca="1" si="9010"/>
        <v>#REF!</v>
      </c>
      <c r="BL555" s="686" t="str">
        <f ca="1">IFERROR(VLOOKUP(BK555,INDIRECT(AQ559),2,FALSE),"----")</f>
        <v>----</v>
      </c>
      <c r="BM555" s="694" t="e">
        <f t="shared" ca="1" si="9011"/>
        <v>#REF!</v>
      </c>
      <c r="BN555" s="686" t="str">
        <f ca="1">IFERROR(VLOOKUP(BM555,INDIRECT(AQ560),2,FALSE),"----")</f>
        <v>----</v>
      </c>
      <c r="BO555" s="694" t="e">
        <f t="shared" ca="1" si="9012"/>
        <v>#REF!</v>
      </c>
      <c r="BP555" s="686" t="str">
        <f ca="1">IFERROR(VLOOKUP(BO555,INDIRECT(AQ561),2,FALSE),"----")</f>
        <v>----</v>
      </c>
      <c r="BQ555" s="694" t="e">
        <f t="shared" ca="1" si="9013"/>
        <v>#REF!</v>
      </c>
      <c r="BR555" s="686" t="str">
        <f ca="1">IFERROR(VLOOKUP(BQ555,INDIRECT(AQ562),2,FALSE),"----")</f>
        <v>----</v>
      </c>
      <c r="BS555" s="695">
        <f>IF(AI555="",1,IF(COUNTIF(BD551:BD562,AI555)=0,2,1))</f>
        <v>1</v>
      </c>
      <c r="BT555" s="696">
        <f>IF(AF555="",1,IF(BD551=".",2,1))</f>
        <v>1</v>
      </c>
      <c r="BU555" s="706"/>
      <c r="BV555" s="155">
        <f ca="1">IF(COUNTIF(CY551:CY562,AF555)=0,IF(AF555&lt;&gt;"",0,1),1)</f>
        <v>1</v>
      </c>
      <c r="BW555" s="157">
        <f ca="1">IFERROR(MATCH(AF555,CY551:CY562,0),1)</f>
        <v>1</v>
      </c>
      <c r="BX555" s="769"/>
      <c r="BY555" s="769"/>
      <c r="BZ555" s="1110"/>
      <c r="CA555" s="691" t="e">
        <f t="shared" ca="1" si="10116"/>
        <v>#REF!</v>
      </c>
      <c r="CB555" s="4" t="e" cm="1">
        <f t="array" aca="1" ref="CB555" ca="1">IF(AND(INDEX(INDIRECT(BY551),CA555,4)&gt;=$AB551,INDEX(INDIRECT(BY551),CA555,5)&gt;=$S551,INDEX(INDIRECT(BY551),CA555,6)&gt;=$R551),1,0)</f>
        <v>#REF!</v>
      </c>
      <c r="CC555" s="4" t="e">
        <f t="shared" ref="CC555" ca="1" si="10183">MATCH(1,OFFSET(CB551:CB562,CD554,0,COUNT(CB551:CB562)-CD554),0)</f>
        <v>#REF!</v>
      </c>
      <c r="CD555" s="4" t="e">
        <f t="shared" ca="1" si="10118"/>
        <v>#REF!</v>
      </c>
      <c r="CE555" s="692" t="str" cm="1">
        <f t="array" aca="1" ref="CE555" ca="1">IFERROR(VLOOKUP(INDEX(CA551:CA562,CD555),INDIRECT(BY551),2,FALSE),"----")</f>
        <v>----</v>
      </c>
      <c r="CF555" s="691" t="e">
        <f t="shared" ca="1" si="10119"/>
        <v>#N/A</v>
      </c>
      <c r="CG555" s="4" t="e">
        <f ca="1">IF(AND(INDEX(SSM,CF555,4)&gt;=$AB551,INDEX(SSM,CF555,5)&gt;=$S551,INDEX(SSM,CF555,6)&gt;=$R551),1,0)</f>
        <v>#N/A</v>
      </c>
      <c r="CH555" s="4" t="e">
        <f t="shared" ref="CH555" ca="1" si="10184">MATCH(1,OFFSET(CG551:CG562,CI554,0,COUNT(CG551:CG562)-CI554),0)</f>
        <v>#REF!</v>
      </c>
      <c r="CI555" s="4" t="e">
        <f t="shared" ca="1" si="10121"/>
        <v>#REF!</v>
      </c>
      <c r="CJ555" s="692" t="str">
        <f ca="1">IFERROR(IF(AD552="Nested Steel Stud (wood infill)",VLOOKUP(INDEX(CF551:CF562,CI555),SSW,2,FALSE),VLOOKUP(INDEX(CF551:CF562,CI555),SSM,2,FALSE)),"----")</f>
        <v>----</v>
      </c>
      <c r="CK555" s="691" t="e">
        <f t="shared" ca="1" si="10122"/>
        <v>#N/A</v>
      </c>
      <c r="CL555" s="4" t="e">
        <f ca="1">IF(AND(INDEX(WSM,CK555,4)&gt;=$AB551,INDEX(WSM,CK555,5)&gt;=$S551,INDEX(WSM,CK555,6)&gt;=$R551),1,0)</f>
        <v>#N/A</v>
      </c>
      <c r="CM555" s="4" t="e">
        <f t="shared" ref="CM555" ca="1" si="10185">MATCH(1,OFFSET(CL551:CL562,CN554,0,COUNT(CL551:CL562)-CN554),0)</f>
        <v>#REF!</v>
      </c>
      <c r="CN555" s="4" t="e">
        <f t="shared" ca="1" si="10124"/>
        <v>#REF!</v>
      </c>
      <c r="CO555" s="692" t="str">
        <f ca="1">IFERROR(VLOOKUP(INDEX(CK551:CK562,CN555),WSM,2,FALSE),"----")</f>
        <v>----</v>
      </c>
      <c r="CP555" s="691" t="e">
        <f t="shared" ca="1" si="10125"/>
        <v>#N/A</v>
      </c>
      <c r="CQ555" s="4" t="e">
        <f ca="1">IF(AND(INDEX(STM,CP555,4)&gt;=$AB551,INDEX(STM,CP555,5)&gt;=$S551,INDEX(STM,CP555,6)&gt;=$R551),1,0)</f>
        <v>#N/A</v>
      </c>
      <c r="CR555" s="4" t="e">
        <f t="shared" ref="CR555" ca="1" si="10186">MATCH(1,OFFSET(CQ551:CQ562,CS554,0,COUNT(CQ551:CQ562)-CS554),0)</f>
        <v>#REF!</v>
      </c>
      <c r="CS555" s="4" t="e">
        <f t="shared" ca="1" si="10127"/>
        <v>#REF!</v>
      </c>
      <c r="CT555" s="692" t="str">
        <f ca="1">IFERROR(VLOOKUP(INDEX(CP551:CP562,CS555),STM,2,FALSE),"----")</f>
        <v>----</v>
      </c>
      <c r="CU555" s="691" t="e">
        <f t="shared" ca="1" si="10128"/>
        <v>#N/A</v>
      </c>
      <c r="CV555" s="4" t="e">
        <f ca="1">IF(AND(INDEX(ELM,CU555,4)&gt;=$AB551,INDEX(ELM,CU555,5)&gt;=$S551,INDEX(ELM,CU555,6)&gt;=$R551),1,0)</f>
        <v>#N/A</v>
      </c>
      <c r="CW555" s="4" t="e">
        <f t="shared" ref="CW555" ca="1" si="10187">MATCH(1,OFFSET(CV551:CV562,CX554,0,COUNT(CV551:CV562)-CX554),0)</f>
        <v>#REF!</v>
      </c>
      <c r="CX555" s="4" t="e">
        <f t="shared" ca="1" si="10130"/>
        <v>#REF!</v>
      </c>
      <c r="CY555" s="692" t="str">
        <f ca="1">IFERROR(VLOOKUP(INDEX(CU551:CU562,CX555),ELM,2,FALSE),"----")</f>
        <v>----</v>
      </c>
      <c r="CZ555" s="691" t="e">
        <f t="shared" ca="1" si="10131"/>
        <v>#N/A</v>
      </c>
      <c r="DA555" s="4" t="e">
        <f ca="1">IF(LEFT($J551,7)="Clad Wo",IF(AND(INDEX(SPPWS,CZ555,4)&gt;=$AB551,INDEX(SPPWS,CZ555,5)&gt;=$S551,INDEX(SPPWS,CZ555,6)&gt;=$R551),1,0),IF(AND(INDEX(SPM,CZ555,4)&gt;=$AB551,INDEX(SPM,CZ555,5)&gt;=$S551,INDEX(SPM,CZ555,6)&gt;=$R551),1,0))</f>
        <v>#N/A</v>
      </c>
      <c r="DB555" s="4" t="e">
        <f t="shared" ref="DB555" ca="1" si="10188">MATCH(1,OFFSET(DA551:DA562,DC554,0,COUNT(DA551:DA562)-DC554),0)</f>
        <v>#REF!</v>
      </c>
      <c r="DC555" s="4" t="e">
        <f t="shared" ca="1" si="10133"/>
        <v>#REF!</v>
      </c>
      <c r="DD555" s="693" t="str">
        <f ca="1">IF(LEFT($J551,7)="Clad Wo",IFERROR(VLOOKUP(INDEX(CZ551:CZ562,DC555),SPPWS,2,FALSE),"----"),IFERROR(VLOOKUP(INDEX(CZ551:CZ562,DC555),SPM,2,FALSE),"----"))</f>
        <v>----</v>
      </c>
      <c r="DE555" s="691" t="e">
        <f t="shared" ca="1" si="10134"/>
        <v>#REF!</v>
      </c>
      <c r="DF555" s="4" t="e" cm="1">
        <f t="array" aca="1" ref="DF555" ca="1">IF(AND(INDEX(INDIRECT(BY551),DE555,4)&gt;=$AB557,INDEX(INDIRECT(BY551),DE555,5)&gt;=$S551,INDEX(INDIRECT(BY551),DE555,6)&gt;=$R551),1,0)</f>
        <v>#REF!</v>
      </c>
      <c r="DG555" s="4" t="e">
        <f t="shared" ref="DG555" ca="1" si="10189">MATCH(1,OFFSET(DF551:DF562,DH554,0,COUNT(DF551:DF562)-DH554),0)</f>
        <v>#REF!</v>
      </c>
      <c r="DH555" s="4" t="e">
        <f t="shared" ca="1" si="10136"/>
        <v>#REF!</v>
      </c>
      <c r="DI555" s="692" t="str" cm="1">
        <f t="array" aca="1" ref="DI555" ca="1">IFERROR(VLOOKUP(INDEX(DE551:DE562,DH555),INDIRECT(BY551),2,FALSE),"----")</f>
        <v>----</v>
      </c>
      <c r="DJ555" s="691" t="e">
        <f t="shared" ca="1" si="10137"/>
        <v>#N/A</v>
      </c>
      <c r="DK555" s="4" t="e">
        <f ca="1">IF(AND(INDEX(SSM,DJ555,4)&gt;=$AB557,INDEX(SSM,DJ555,5)&gt;=$S551,INDEX(SSM,DJ555,6)&gt;=$R551),1,0)</f>
        <v>#N/A</v>
      </c>
      <c r="DL555" s="4" t="e">
        <f t="shared" ref="DL555" ca="1" si="10190">MATCH(1,OFFSET(DK551:DK562,DM554,0,COUNT(DK551:DK562)-DM554),0)</f>
        <v>#REF!</v>
      </c>
      <c r="DM555" s="4" t="e">
        <f t="shared" ca="1" si="10139"/>
        <v>#REF!</v>
      </c>
      <c r="DN555" s="692" t="str">
        <f ca="1">IFERROR(IF(AD558="Nested Steel Stud (wood infill)",VLOOKUP(INDEX(DJ551:DJ562,DM555),SSW,2,FALSE),VLOOKUP(INDEX(DJ551:DJ562,DM555),SSM,2,FALSE)),"----")</f>
        <v>----</v>
      </c>
      <c r="DO555" s="691" t="e">
        <f t="shared" ca="1" si="10140"/>
        <v>#N/A</v>
      </c>
      <c r="DP555" s="4" t="e">
        <f ca="1">IF(AND(INDEX(WSM,DO555,4)&gt;=$AB557,INDEX(WSM,DO555,5)&gt;=$S551,INDEX(WSM,DO555,6)&gt;=$R551),1,0)</f>
        <v>#N/A</v>
      </c>
      <c r="DQ555" s="4" t="e">
        <f t="shared" ref="DQ555" ca="1" si="10191">MATCH(1,OFFSET(DP551:DP562,DR554,0,COUNT(DP551:DP562)-DR554),0)</f>
        <v>#REF!</v>
      </c>
      <c r="DR555" s="4" t="e">
        <f t="shared" ca="1" si="10142"/>
        <v>#REF!</v>
      </c>
      <c r="DS555" s="692" t="str">
        <f ca="1">IFERROR(VLOOKUP(INDEX(DO551:DO562,DR555),WSM,2,FALSE),"----")</f>
        <v>----</v>
      </c>
      <c r="DT555" s="691" t="e">
        <f t="shared" ca="1" si="10143"/>
        <v>#N/A</v>
      </c>
      <c r="DU555" s="4" t="e">
        <f ca="1">IF(AND(INDEX(STM,DT555,4)&gt;=$AB557,INDEX(STM,DT555,5)&gt;=$S551,INDEX(STM,DT555,6)&gt;=$R551),1,0)</f>
        <v>#N/A</v>
      </c>
      <c r="DV555" s="4" t="e">
        <f t="shared" ref="DV555" ca="1" si="10192">MATCH(1,OFFSET(DU551:DU562,DW554,0,COUNT(DU551:DU562)-DW554),0)</f>
        <v>#REF!</v>
      </c>
      <c r="DW555" s="4" t="e">
        <f t="shared" ca="1" si="10145"/>
        <v>#REF!</v>
      </c>
      <c r="DX555" s="692" t="str">
        <f ca="1">IFERROR(VLOOKUP(INDEX(DT551:DT562,DW555),STM,2,FALSE),"----")</f>
        <v>----</v>
      </c>
      <c r="DY555" s="691" t="e">
        <f t="shared" ca="1" si="10146"/>
        <v>#N/A</v>
      </c>
      <c r="DZ555" s="4" t="e">
        <f ca="1">IF(AND(INDEX(ELM,DY555,4)&gt;=$AB557,INDEX(ELM,DY555,5)&gt;=$S551,INDEX(ELM,DY555,6)&gt;=$R551),1,0)</f>
        <v>#N/A</v>
      </c>
      <c r="EA555" s="4" t="e">
        <f t="shared" ref="EA555" ca="1" si="10193">MATCH(1,OFFSET(DZ551:DZ562,EB554,0,COUNT(DZ551:DZ562)-EB554),0)</f>
        <v>#REF!</v>
      </c>
      <c r="EB555" s="4" t="e">
        <f t="shared" ca="1" si="10148"/>
        <v>#REF!</v>
      </c>
      <c r="EC555" s="692" t="str">
        <f ca="1">IFERROR(VLOOKUP(INDEX(DY551:DY562,EB555),ELM,2,FALSE),"----")</f>
        <v>----</v>
      </c>
      <c r="ED555" s="691" t="e">
        <f t="shared" ca="1" si="10149"/>
        <v>#N/A</v>
      </c>
      <c r="EE555" s="4" t="e">
        <f ca="1">IF(LEFT($J551,7)="Clad Wo",IF(AND(INDEX(SPPWS,ED555,4)&gt;=$AB557,INDEX(SPPWS,ED555,5)&gt;=$S551,INDEX(SPPWS,ED555,6)&gt;=$R551),1,0),IF(AND(INDEX(SPM,ED555,4)&gt;=$AB557,INDEX(SPM,ED555,5)&gt;=$S551,INDEX(SPM,ED555,6)&gt;=$R551),1,0))</f>
        <v>#N/A</v>
      </c>
      <c r="EF555" s="4" t="e">
        <f t="shared" ref="EF555" ca="1" si="10194">MATCH(1,OFFSET(EE551:EE562,EG554,0,COUNT(EE551:EE562)-EG554),0)</f>
        <v>#REF!</v>
      </c>
      <c r="EG555" s="4" t="e">
        <f t="shared" ca="1" si="10151"/>
        <v>#REF!</v>
      </c>
      <c r="EH555" s="692" t="str">
        <f ca="1">IF(LEFT($J551,7)="Clad Wo",IFERROR(VLOOKUP(INDEX(ED551:ED562,EG555),SPPWS,2,FALSE),"----"),IFERROR(VLOOKUP(INDEX(ED551:ED562,EG555),SPM,2,FALSE),"----"))</f>
        <v>----</v>
      </c>
    </row>
    <row r="556" spans="1:138" ht="15" customHeight="1" thickBot="1" x14ac:dyDescent="0.3">
      <c r="A556" s="1085"/>
      <c r="B556" s="934"/>
      <c r="C556" s="935"/>
      <c r="D556" s="936"/>
      <c r="E556" s="995"/>
      <c r="F556" s="996"/>
      <c r="G556" s="997"/>
      <c r="H556" s="1062"/>
      <c r="I556" s="990"/>
      <c r="J556" s="908"/>
      <c r="K556" s="909"/>
      <c r="L556" s="1010"/>
      <c r="M556" s="924"/>
      <c r="N556" s="1044"/>
      <c r="O556" s="1018"/>
      <c r="P556" s="987"/>
      <c r="Q556" s="1015"/>
      <c r="R556" s="1012"/>
      <c r="S556" s="1006"/>
      <c r="T556" s="1007"/>
      <c r="U556" s="878"/>
      <c r="V556" s="881"/>
      <c r="W556" s="889"/>
      <c r="X556" s="884"/>
      <c r="Y556" s="890"/>
      <c r="Z556" s="890"/>
      <c r="AA556" s="887"/>
      <c r="AB556" s="1084"/>
      <c r="AC556" s="1079"/>
      <c r="AD556" s="1072" t="str">
        <f t="shared" ref="AD556" si="10195">IF(LEFT(J551,7)="Clad Wo","Pella Wood Spr / Steel Pte","Steel Plate")</f>
        <v>Steel Plate</v>
      </c>
      <c r="AE556" s="1073"/>
      <c r="AF556" s="1054"/>
      <c r="AG556" s="1055"/>
      <c r="AH556" s="1055"/>
      <c r="AI556" s="1092"/>
      <c r="AJ556" s="1093"/>
      <c r="AK556" s="159" t="str">
        <f t="shared" ca="1" si="10024"/>
        <v/>
      </c>
      <c r="AL556" s="1040"/>
      <c r="AM556" s="345" t="str">
        <f ca="1">IFERROR(Q551/12*ROUND(VLOOKUP(AF556,OFFSET(SPM,0,1),6,FALSE),2),"")</f>
        <v/>
      </c>
      <c r="AN556" t="str">
        <f t="shared" ca="1" si="10040"/>
        <v/>
      </c>
      <c r="AP556" s="699" t="str">
        <f t="shared" ref="AP556" si="10196">_xlfn.CONCAT(AR556,AS556)</f>
        <v/>
      </c>
      <c r="AQ556" s="700" t="str">
        <f t="shared" si="8985"/>
        <v/>
      </c>
      <c r="AR556" s="160" t="str">
        <f t="shared" si="10009"/>
        <v/>
      </c>
      <c r="AS556" s="160" t="str">
        <f>IFERROR(VLOOKUP(J559, WallType,2,FALSE),"")</f>
        <v/>
      </c>
      <c r="AT556" s="701" t="str">
        <f>AL551</f>
        <v/>
      </c>
      <c r="AU556" s="694" t="e">
        <f t="shared" ca="1" si="9002"/>
        <v>#REF!</v>
      </c>
      <c r="AV556" s="698" t="str">
        <f ca="1">IFERROR(VLOOKUP(AU556,INDIRECT(AQ551),2,FALSE),"----")</f>
        <v>----</v>
      </c>
      <c r="AW556" s="702" t="e">
        <f t="shared" ca="1" si="9003"/>
        <v>#REF!</v>
      </c>
      <c r="AX556" s="698" t="str">
        <f ca="1">IFERROR(VLOOKUP(AW556,INDIRECT(AQ552),2,FALSE),"----")</f>
        <v>----</v>
      </c>
      <c r="AY556" s="702" t="e">
        <f t="shared" ref="AY556:AY571" ca="1" si="10197">AY555-1</f>
        <v>#REF!</v>
      </c>
      <c r="AZ556" s="698" t="str">
        <f ca="1">IFERROR(VLOOKUP(AY556,INDIRECT(AQ553),2,FALSE),"----")</f>
        <v>----</v>
      </c>
      <c r="BA556" s="702" t="e">
        <f t="shared" ref="BA556:BA571" ca="1" si="10198">BA555-1</f>
        <v>#REF!</v>
      </c>
      <c r="BB556" s="698" t="str">
        <f ca="1">IFERROR(VLOOKUP(BA556,INDIRECT(AQ554),2,FALSE),"----")</f>
        <v>----</v>
      </c>
      <c r="BC556" s="702" t="e">
        <f t="shared" ca="1" si="9006"/>
        <v>#REF!</v>
      </c>
      <c r="BD556" s="698" t="str">
        <f ca="1">IFERROR(VLOOKUP(BC556,INDIRECT(AQ555),2,FALSE),"----")</f>
        <v>----</v>
      </c>
      <c r="BE556" s="702" t="e">
        <f t="shared" ca="1" si="9007"/>
        <v>#REF!</v>
      </c>
      <c r="BF556" s="698" t="str">
        <f ca="1">IFERROR(VLOOKUP(BE556,INDIRECT(AQ556),2,FALSE),"----")</f>
        <v>----</v>
      </c>
      <c r="BG556" s="702" t="e">
        <f t="shared" ca="1" si="9008"/>
        <v>#REF!</v>
      </c>
      <c r="BH556" s="686" t="str">
        <f ca="1">IFERROR(VLOOKUP(BG556,INDIRECT(AQ557),2,FALSE),"----")</f>
        <v>----</v>
      </c>
      <c r="BI556" s="702" t="e">
        <f t="shared" ca="1" si="9009"/>
        <v>#REF!</v>
      </c>
      <c r="BJ556" s="686" t="str">
        <f ca="1">IFERROR(VLOOKUP(BI556,INDIRECT(AQ558),2,FALSE),"----")</f>
        <v>----</v>
      </c>
      <c r="BK556" s="702" t="e">
        <f t="shared" ca="1" si="9010"/>
        <v>#REF!</v>
      </c>
      <c r="BL556" s="686" t="str">
        <f ca="1">IFERROR(VLOOKUP(BK556,INDIRECT(AQ559),2,FALSE),"----")</f>
        <v>----</v>
      </c>
      <c r="BM556" s="702" t="e">
        <f t="shared" ca="1" si="9011"/>
        <v>#REF!</v>
      </c>
      <c r="BN556" s="686" t="str">
        <f ca="1">IFERROR(VLOOKUP(BM556,INDIRECT(AQ560),2,FALSE),"----")</f>
        <v>----</v>
      </c>
      <c r="BO556" s="702" t="e">
        <f t="shared" ca="1" si="9012"/>
        <v>#REF!</v>
      </c>
      <c r="BP556" s="686" t="str">
        <f ca="1">IFERROR(VLOOKUP(BO556,INDIRECT(AQ561),2,FALSE),"----")</f>
        <v>----</v>
      </c>
      <c r="BQ556" s="702" t="e">
        <f t="shared" ca="1" si="9013"/>
        <v>#REF!</v>
      </c>
      <c r="BR556" s="686" t="str">
        <f ca="1">IFERROR(VLOOKUP(BQ556,INDIRECT(AQ562),2,FALSE),"----")</f>
        <v>----</v>
      </c>
      <c r="BS556" s="703">
        <f>IF(AI556="",1,IF(COUNTIF(BF551:BF562,AI556)=0,2,1))</f>
        <v>1</v>
      </c>
      <c r="BT556" s="704">
        <f>IF(AF556="",1,IF(BF551=".",2,1))</f>
        <v>1</v>
      </c>
      <c r="BV556" s="155">
        <f ca="1">IF(COUNTIF(DD551:DD562,AF556)=0,IF(AF556&lt;&gt;"",0,1),1)</f>
        <v>1</v>
      </c>
      <c r="BW556" s="157">
        <f ca="1">IFERROR(MATCH(AF556,DD551:DD562,0),1)</f>
        <v>1</v>
      </c>
      <c r="BX556" s="875" t="s">
        <v>1594</v>
      </c>
      <c r="BY556" s="876"/>
      <c r="BZ556" s="1110"/>
      <c r="CA556" s="691" t="e">
        <f t="shared" ca="1" si="10116"/>
        <v>#REF!</v>
      </c>
      <c r="CB556" s="4" t="e" cm="1">
        <f t="array" aca="1" ref="CB556" ca="1">IF(AND(INDEX(INDIRECT(BY551),CA556,4)&gt;=$AB551,INDEX(INDIRECT(BY551),CA556,5)&gt;=$S551,INDEX(INDIRECT(BY551),CA556,6)&gt;=$R551),1,0)</f>
        <v>#REF!</v>
      </c>
      <c r="CC556" s="4" t="e">
        <f t="shared" ref="CC556" ca="1" si="10199">MATCH(1,OFFSET(CB551:CB562,CD555,0,COUNT(CB551:CB562)-CD555),0)</f>
        <v>#REF!</v>
      </c>
      <c r="CD556" s="4" t="e">
        <f t="shared" ca="1" si="10118"/>
        <v>#REF!</v>
      </c>
      <c r="CE556" s="692" t="str" cm="1">
        <f t="array" aca="1" ref="CE556" ca="1">IFERROR(VLOOKUP(INDEX(CA551:CA562,CD556),INDIRECT(BY551),2,FALSE),"----")</f>
        <v>----</v>
      </c>
      <c r="CF556" s="691" t="e">
        <f t="shared" ca="1" si="10119"/>
        <v>#N/A</v>
      </c>
      <c r="CG556" s="4" t="e">
        <f ca="1">IF(AND(INDEX(SSM,CF556,4)&gt;=$AB551,INDEX(SSM,CF556,5)&gt;=$S551,INDEX(SSM,CF556,6)&gt;=$R551),1,0)</f>
        <v>#N/A</v>
      </c>
      <c r="CH556" s="4" t="e">
        <f t="shared" ref="CH556" ca="1" si="10200">MATCH(1,OFFSET(CG551:CG562,CI555,0,COUNT(CG551:CG562)-CI555),0)</f>
        <v>#REF!</v>
      </c>
      <c r="CI556" s="4" t="e">
        <f t="shared" ca="1" si="10121"/>
        <v>#REF!</v>
      </c>
      <c r="CJ556" s="692" t="str">
        <f ca="1">IFERROR(IF(AD552="Nested Steel Stud (wood infill)",VLOOKUP(INDEX(CF551:CF562,CI556),SSW,2,FALSE),VLOOKUP(INDEX(CF551:CF562,CI556),SSM,2,FALSE)),"----")</f>
        <v>----</v>
      </c>
      <c r="CK556" s="691" t="e">
        <f t="shared" ca="1" si="10122"/>
        <v>#N/A</v>
      </c>
      <c r="CL556" s="4" t="e">
        <f ca="1">IF(AND(INDEX(WSM,CK556,4)&gt;=$AB551,INDEX(WSM,CK556,5)&gt;=$S551,INDEX(WSM,CK556,6)&gt;=$R551),1,0)</f>
        <v>#N/A</v>
      </c>
      <c r="CM556" s="4" t="e">
        <f t="shared" ref="CM556" ca="1" si="10201">MATCH(1,OFFSET(CL551:CL562,CN555,0,COUNT(CL551:CL562)-CN555),0)</f>
        <v>#REF!</v>
      </c>
      <c r="CN556" s="4" t="e">
        <f t="shared" ca="1" si="10124"/>
        <v>#REF!</v>
      </c>
      <c r="CO556" s="692" t="str">
        <f ca="1">IFERROR(VLOOKUP(INDEX(CK551:CK562,CN556),WSM,2,FALSE),"----")</f>
        <v>----</v>
      </c>
      <c r="CP556" s="691" t="e">
        <f t="shared" ca="1" si="10125"/>
        <v>#N/A</v>
      </c>
      <c r="CQ556" s="4" t="e">
        <f ca="1">IF(AND(INDEX(STM,CP556,4)&gt;=$AB551,INDEX(STM,CP556,5)&gt;=$S551,INDEX(STM,CP556,6)&gt;=$R551),1,0)</f>
        <v>#N/A</v>
      </c>
      <c r="CR556" s="4" t="e">
        <f t="shared" ref="CR556" ca="1" si="10202">MATCH(1,OFFSET(CQ551:CQ562,CS555,0,COUNT(CQ551:CQ562)-CS555),0)</f>
        <v>#REF!</v>
      </c>
      <c r="CS556" s="4" t="e">
        <f t="shared" ca="1" si="10127"/>
        <v>#REF!</v>
      </c>
      <c r="CT556" s="692" t="str">
        <f ca="1">IFERROR(VLOOKUP(INDEX(CP551:CP562,CS556),STM,2,FALSE),"----")</f>
        <v>----</v>
      </c>
      <c r="CU556" s="691" t="e">
        <f t="shared" ca="1" si="10128"/>
        <v>#N/A</v>
      </c>
      <c r="CV556" s="4" t="e">
        <f ca="1">IF(AND(INDEX(ELM,CU556,4)&gt;=$AB551,INDEX(ELM,CU556,5)&gt;=$S551,INDEX(ELM,CU556,6)&gt;=$R551),1,0)</f>
        <v>#N/A</v>
      </c>
      <c r="CW556" s="4" t="e">
        <f t="shared" ref="CW556" ca="1" si="10203">MATCH(1,OFFSET(CV551:CV562,CX555,0,COUNT(CV551:CV562)-CX555),0)</f>
        <v>#REF!</v>
      </c>
      <c r="CX556" s="4" t="e">
        <f t="shared" ca="1" si="10130"/>
        <v>#REF!</v>
      </c>
      <c r="CY556" s="692" t="str">
        <f ca="1">IFERROR(VLOOKUP(INDEX(CU551:CU562,CX556),ELM,2,FALSE),"----")</f>
        <v>----</v>
      </c>
      <c r="CZ556" s="691" t="e">
        <f t="shared" ca="1" si="10131"/>
        <v>#N/A</v>
      </c>
      <c r="DA556" s="4" t="e">
        <f ca="1">IF(LEFT($J551,7)="Clad Wo",IF(AND(INDEX(SPPWS,CZ556,4)&gt;=$AB551,INDEX(SPPWS,CZ556,5)&gt;=$S551,INDEX(SPPWS,CZ556,6)&gt;=$R551),1,0),IF(AND(INDEX(SPM,CZ556,4)&gt;=$AB551,INDEX(SPM,CZ556,5)&gt;=$S551,INDEX(SPM,CZ556,6)&gt;=$R551),1,0))</f>
        <v>#N/A</v>
      </c>
      <c r="DB556" s="4" t="e">
        <f t="shared" ref="DB556" ca="1" si="10204">MATCH(1,OFFSET(DA551:DA562,DC555,0,COUNT(DA551:DA562)-DC555),0)</f>
        <v>#REF!</v>
      </c>
      <c r="DC556" s="4" t="e">
        <f t="shared" ca="1" si="10133"/>
        <v>#REF!</v>
      </c>
      <c r="DD556" s="693" t="str">
        <f ca="1">IF(LEFT($J551,7)="Clad Wo",IFERROR(VLOOKUP(INDEX(CZ551:CZ562,DC556),SPPWS,2,FALSE),"----"),IFERROR(VLOOKUP(INDEX(CZ551:CZ562,DC556),SPM,2,FALSE),"----"))</f>
        <v>----</v>
      </c>
      <c r="DE556" s="691" t="e">
        <f t="shared" ca="1" si="10134"/>
        <v>#REF!</v>
      </c>
      <c r="DF556" s="4" t="e" cm="1">
        <f t="array" aca="1" ref="DF556" ca="1">IF(AND(INDEX(INDIRECT(BY551),DE556,4)&gt;=$AB557,INDEX(INDIRECT(BY551),DE556,5)&gt;=$S551,INDEX(INDIRECT(BY551),DE556,6)&gt;=$R551),1,0)</f>
        <v>#REF!</v>
      </c>
      <c r="DG556" s="4" t="e">
        <f t="shared" ref="DG556" ca="1" si="10205">MATCH(1,OFFSET(DF551:DF562,DH555,0,COUNT(DF551:DF562)-DH555),0)</f>
        <v>#REF!</v>
      </c>
      <c r="DH556" s="4" t="e">
        <f t="shared" ca="1" si="10136"/>
        <v>#REF!</v>
      </c>
      <c r="DI556" s="692" t="str" cm="1">
        <f t="array" aca="1" ref="DI556" ca="1">IFERROR(VLOOKUP(INDEX(DE551:DE562,DH556),INDIRECT(BY551),2,FALSE),"----")</f>
        <v>----</v>
      </c>
      <c r="DJ556" s="691" t="e">
        <f t="shared" ca="1" si="10137"/>
        <v>#N/A</v>
      </c>
      <c r="DK556" s="4" t="e">
        <f ca="1">IF(AND(INDEX(SSM,DJ556,4)&gt;=$AB557,INDEX(SSM,DJ556,5)&gt;=$S551,INDEX(SSM,DJ556,6)&gt;=$R551),1,0)</f>
        <v>#N/A</v>
      </c>
      <c r="DL556" s="4" t="e">
        <f t="shared" ref="DL556" ca="1" si="10206">MATCH(1,OFFSET(DK551:DK562,DM555,0,COUNT(DK551:DK562)-DM555),0)</f>
        <v>#REF!</v>
      </c>
      <c r="DM556" s="4" t="e">
        <f t="shared" ca="1" si="10139"/>
        <v>#REF!</v>
      </c>
      <c r="DN556" s="692" t="str">
        <f ca="1">IFERROR(IF(AD558="Nested Steel Stud (wood infill)",VLOOKUP(INDEX(DJ551:DJ562,DM556),SSW,2,FALSE),VLOOKUP(INDEX(DJ551:DJ562,DM556),SSM,2,FALSE)),"----")</f>
        <v>----</v>
      </c>
      <c r="DO556" s="691" t="e">
        <f t="shared" ca="1" si="10140"/>
        <v>#N/A</v>
      </c>
      <c r="DP556" s="4" t="e">
        <f ca="1">IF(AND(INDEX(WSM,DO556,4)&gt;=$AB557,INDEX(WSM,DO556,5)&gt;=$S551,INDEX(WSM,DO556,6)&gt;=$R551),1,0)</f>
        <v>#N/A</v>
      </c>
      <c r="DQ556" s="4" t="e">
        <f t="shared" ref="DQ556" ca="1" si="10207">MATCH(1,OFFSET(DP551:DP562,DR555,0,COUNT(DP551:DP562)-DR555),0)</f>
        <v>#REF!</v>
      </c>
      <c r="DR556" s="4" t="e">
        <f t="shared" ca="1" si="10142"/>
        <v>#REF!</v>
      </c>
      <c r="DS556" s="692" t="str">
        <f ca="1">IFERROR(VLOOKUP(INDEX(DO551:DO562,DR556),WSM,2,FALSE),"----")</f>
        <v>----</v>
      </c>
      <c r="DT556" s="691" t="e">
        <f t="shared" ca="1" si="10143"/>
        <v>#N/A</v>
      </c>
      <c r="DU556" s="4" t="e">
        <f ca="1">IF(AND(INDEX(STM,DT556,4)&gt;=$AB557,INDEX(STM,DT556,5)&gt;=$S551,INDEX(STM,DT556,6)&gt;=$R551),1,0)</f>
        <v>#N/A</v>
      </c>
      <c r="DV556" s="4" t="e">
        <f t="shared" ref="DV556" ca="1" si="10208">MATCH(1,OFFSET(DU551:DU562,DW555,0,COUNT(DU551:DU562)-DW555),0)</f>
        <v>#REF!</v>
      </c>
      <c r="DW556" s="4" t="e">
        <f t="shared" ca="1" si="10145"/>
        <v>#REF!</v>
      </c>
      <c r="DX556" s="692" t="str">
        <f ca="1">IFERROR(VLOOKUP(INDEX(DT551:DT562,DW556),STM,2,FALSE),"----")</f>
        <v>----</v>
      </c>
      <c r="DY556" s="691" t="e">
        <f t="shared" ca="1" si="10146"/>
        <v>#N/A</v>
      </c>
      <c r="DZ556" s="4" t="e">
        <f ca="1">IF(AND(INDEX(ELM,DY556,4)&gt;=$AB557,INDEX(ELM,DY556,5)&gt;=$S551,INDEX(ELM,DY556,6)&gt;=$R551),1,0)</f>
        <v>#N/A</v>
      </c>
      <c r="EA556" s="4" t="e">
        <f t="shared" ref="EA556" ca="1" si="10209">MATCH(1,OFFSET(DZ551:DZ562,EB555,0,COUNT(DZ551:DZ562)-EB555),0)</f>
        <v>#REF!</v>
      </c>
      <c r="EB556" s="4" t="e">
        <f t="shared" ca="1" si="10148"/>
        <v>#REF!</v>
      </c>
      <c r="EC556" s="692" t="str">
        <f ca="1">IFERROR(VLOOKUP(INDEX(DY551:DY562,EB556),ELM,2,FALSE),"----")</f>
        <v>----</v>
      </c>
      <c r="ED556" s="691" t="e">
        <f t="shared" ca="1" si="10149"/>
        <v>#N/A</v>
      </c>
      <c r="EE556" s="4" t="e">
        <f ca="1">IF(LEFT($J551,7)="Clad Wo",IF(AND(INDEX(SPPWS,ED556,4)&gt;=$AB557,INDEX(SPPWS,ED556,5)&gt;=$S551,INDEX(SPPWS,ED556,6)&gt;=$R551),1,0),IF(AND(INDEX(SPM,ED556,4)&gt;=$AB557,INDEX(SPM,ED556,5)&gt;=$S551,INDEX(SPM,ED556,6)&gt;=$R551),1,0))</f>
        <v>#N/A</v>
      </c>
      <c r="EF556" s="4" t="e">
        <f t="shared" ref="EF556" ca="1" si="10210">MATCH(1,OFFSET(EE551:EE562,EG555,0,COUNT(EE551:EE562)-EG555),0)</f>
        <v>#REF!</v>
      </c>
      <c r="EG556" s="4" t="e">
        <f t="shared" ca="1" si="10151"/>
        <v>#REF!</v>
      </c>
      <c r="EH556" s="692" t="str">
        <f ca="1">IF(LEFT($J551,7)="Clad Wo",IFERROR(VLOOKUP(INDEX(ED551:ED562,EG556),SPPWS,2,FALSE),"----"),IFERROR(VLOOKUP(INDEX(ED551:ED562,EG556),SPM,2,FALSE),"----"))</f>
        <v>----</v>
      </c>
    </row>
    <row r="557" spans="1:138" ht="15" customHeight="1" x14ac:dyDescent="0.25">
      <c r="A557" s="1085"/>
      <c r="B557" s="925" t="s">
        <v>409</v>
      </c>
      <c r="C557" s="926"/>
      <c r="D557" s="927"/>
      <c r="E557" s="995"/>
      <c r="F557" s="996"/>
      <c r="G557" s="997"/>
      <c r="H557" s="1062"/>
      <c r="I557" s="990"/>
      <c r="J557" s="908"/>
      <c r="K557" s="909"/>
      <c r="L557" s="1001">
        <f>L551+1</f>
        <v>5</v>
      </c>
      <c r="M557" s="1064" t="str">
        <f t="shared" ref="M557" si="10211">IFERROR(IF($AE$17="",IF($AG$19="Wind Loading",MIN($V$31,IF(E$11="ASCE 7-05",$U$26,$V$7)*$V$9*(IF($E$12&lt;60,0.156*LN(MAX(MIN(500,O551),10)) -1.7618,IF($E$11="ASCE 7-22", 0.2026*LN(MAX(MIN(500,O551),20))-2.2638,0.2503*LN(MAX(MIN(500,O551),20)) -2.5526))-$V$8)),$V$7*IF(E$12&lt;60,$V$13*($V$15*(0.156*LN(MAX(MIN(500,O551),10)) -1.7618)-$V$16),$V$13*$V$15*((0.2026*LN(MAX(MIN(500,O551),20))-2.2638)-$V$16))),-ABS($AE$17)),"")</f>
        <v/>
      </c>
      <c r="N557" s="1041" t="str">
        <f t="shared" ref="N557" si="10212">IFERROR(IF($AE$19="",IF($AG$19="Wind Loading",MAX($U$31,IF(E$11="ASCE 7-05",$U$26,$V$7)*$V$9*((IF($E$12&lt;60,-0.077*LN(MAX(MIN(500,O551),10))+1.1737,IF($E$11="ASCE 7-22",-0.077*LN(MAX(MIN(500,O551),20))+1.0798,-0.093*LN(MAX(MIN(500,O551),20))+1.1776)))+$V$8)),$V$7*IF(E$12&lt;60,$V$13*($V$15*(-0.077*LN(MAX(MIN(500,O551),10))+1.1737)-$V$17),$V$13*$V$15*((-0.077*LN(MAX(MIN(500,O551),20))+1.0798)-$V$17))),ABS($AE$19)),"")</f>
        <v/>
      </c>
      <c r="O557" s="1018"/>
      <c r="P557" s="987"/>
      <c r="Q557" s="1015"/>
      <c r="R557" s="1012">
        <f>P557*Q557/8</f>
        <v>0</v>
      </c>
      <c r="S557" s="1006"/>
      <c r="T557" s="1007"/>
      <c r="U557" s="878"/>
      <c r="V557" s="881"/>
      <c r="W557" s="883" t="e">
        <f t="shared" ref="W557" si="10213">MAX(-M557,N557)*O551</f>
        <v>#VALUE!</v>
      </c>
      <c r="X557" s="884"/>
      <c r="Y557" s="886">
        <f>IFERROR(IF(AG$14="Trapezoidal",BY560,BX560)+IF($E$17="4",(400*E551^3)/(48*X551),0),0)</f>
        <v>0</v>
      </c>
      <c r="Z557" s="886" t="e">
        <f t="shared" ref="Z557" si="10214">+($V551*MAX(-$M557,$N557)*$E551^2)/(144*8)+IF($E$17=4,(400*$E551)/4,0)</f>
        <v>#VALUE!</v>
      </c>
      <c r="AA557" s="887"/>
      <c r="AB557" s="1080" t="str">
        <f t="shared" ref="AB557" ca="1" si="10215">IFERROR(Z557-AA551,"")</f>
        <v/>
      </c>
      <c r="AC557" s="1086" t="str">
        <f t="shared" ref="AC557" ca="1" si="10216">IFERROR(Y557-U551,"")</f>
        <v/>
      </c>
      <c r="AD557" s="1074" t="str">
        <f t="shared" ref="AD557" si="10217">AD551</f>
        <v/>
      </c>
      <c r="AE557" s="1075"/>
      <c r="AF557" s="1056"/>
      <c r="AG557" s="1057"/>
      <c r="AH557" s="1057"/>
      <c r="AI557" s="1088"/>
      <c r="AJ557" s="1089"/>
      <c r="AK557" s="162" t="str">
        <f t="shared" ca="1" si="10024"/>
        <v/>
      </c>
      <c r="AL557" s="1058" t="str">
        <f t="shared" ref="AL557" si="10218">IFERROR(ROUND(SQRT(P551^2+(W557/2+IF($E$17=4,200,0))^2),0),"")</f>
        <v/>
      </c>
      <c r="AM557" s="342" t="s">
        <v>669</v>
      </c>
      <c r="AN557" t="str">
        <f t="shared" ca="1" si="10040"/>
        <v/>
      </c>
      <c r="AP557" s="122" t="str">
        <f t="shared" ref="AP557" si="10219">_xlfn.CONCAT(AR557,AS562)</f>
        <v/>
      </c>
      <c r="AQ557" s="683" t="str">
        <f t="shared" si="8985"/>
        <v/>
      </c>
      <c r="AR557" s="96" t="str">
        <f t="shared" si="10009"/>
        <v/>
      </c>
      <c r="AS557" s="96" t="str">
        <f>IF(COUNTIF(imp_1,AF557)=1,"imp_1",IF(COUNTIF(imp_2,AF557)=1,"imp_2",IF(COUNTIF(imp_3,AF557)=1,"imp_3",IF(COUNTIF(impdoor,AF557)=1,"impdoor",""))))</f>
        <v/>
      </c>
      <c r="AT557" s="684" t="str">
        <f>AL557</f>
        <v/>
      </c>
      <c r="AU557" s="685" t="e">
        <f t="shared" ca="1" si="9002"/>
        <v>#REF!</v>
      </c>
      <c r="AV557" s="686" t="str">
        <f ca="1">IFERROR(VLOOKUP(AU557,INDIRECT(AQ551),2,FALSE),"----")</f>
        <v>----</v>
      </c>
      <c r="AW557" s="685" t="e">
        <f t="shared" ca="1" si="9003"/>
        <v>#REF!</v>
      </c>
      <c r="AX557" s="686" t="str">
        <f ca="1">IFERROR(VLOOKUP(AW557,INDIRECT(AQ552),2,FALSE),"----")</f>
        <v>----</v>
      </c>
      <c r="AY557" s="685" t="e">
        <f t="shared" ca="1" si="10197"/>
        <v>#REF!</v>
      </c>
      <c r="AZ557" s="686" t="str">
        <f ca="1">IFERROR(VLOOKUP(AY557,INDIRECT(AQ553),2,FALSE),"----")</f>
        <v>----</v>
      </c>
      <c r="BA557" s="685" t="e">
        <f t="shared" ca="1" si="10198"/>
        <v>#REF!</v>
      </c>
      <c r="BB557" s="686" t="str">
        <f ca="1">IFERROR(VLOOKUP(BA557,INDIRECT(AQ554),2,FALSE),"----")</f>
        <v>----</v>
      </c>
      <c r="BC557" s="685" t="e">
        <f t="shared" ca="1" si="9006"/>
        <v>#REF!</v>
      </c>
      <c r="BD557" s="686" t="str">
        <f ca="1">IFERROR(VLOOKUP(BC557,INDIRECT(AQ555),2,FALSE),"----")</f>
        <v>----</v>
      </c>
      <c r="BE557" s="685" t="e">
        <f t="shared" ca="1" si="9007"/>
        <v>#REF!</v>
      </c>
      <c r="BF557" s="686" t="str">
        <f ca="1">IFERROR(VLOOKUP(BE557,INDIRECT(AQ556),2,FALSE),"----")</f>
        <v>----</v>
      </c>
      <c r="BG557" s="702" t="e">
        <f t="shared" ca="1" si="9008"/>
        <v>#REF!</v>
      </c>
      <c r="BH557" s="686" t="str">
        <f ca="1">IFERROR(VLOOKUP(BG557,INDIRECT(AQ557),2,FALSE),"----")</f>
        <v>----</v>
      </c>
      <c r="BI557" s="702" t="e">
        <f t="shared" ca="1" si="9009"/>
        <v>#REF!</v>
      </c>
      <c r="BJ557" s="686" t="str">
        <f ca="1">IFERROR(VLOOKUP(BI557,INDIRECT(AQ558),2,FALSE),"----")</f>
        <v>----</v>
      </c>
      <c r="BK557" s="702" t="e">
        <f t="shared" ca="1" si="9010"/>
        <v>#REF!</v>
      </c>
      <c r="BL557" s="686" t="str">
        <f ca="1">IFERROR(VLOOKUP(BK557,INDIRECT(AQ559),2,FALSE),"----")</f>
        <v>----</v>
      </c>
      <c r="BM557" s="702" t="e">
        <f t="shared" ca="1" si="9011"/>
        <v>#REF!</v>
      </c>
      <c r="BN557" s="686" t="str">
        <f ca="1">IFERROR(VLOOKUP(BM557,INDIRECT(AQ560),2,FALSE),"----")</f>
        <v>----</v>
      </c>
      <c r="BO557" s="702" t="e">
        <f t="shared" ca="1" si="9012"/>
        <v>#REF!</v>
      </c>
      <c r="BP557" s="686" t="str">
        <f ca="1">IFERROR(VLOOKUP(BO557,INDIRECT(AQ561),2,FALSE),"----")</f>
        <v>----</v>
      </c>
      <c r="BQ557" s="702" t="e">
        <f t="shared" ca="1" si="9013"/>
        <v>#REF!</v>
      </c>
      <c r="BR557" s="686" t="str">
        <f ca="1">IFERROR(VLOOKUP(BQ557,INDIRECT(AQ562),2,FALSE),"----")</f>
        <v>----</v>
      </c>
      <c r="BS557" s="695">
        <f>IF(AI557="",1,IF(COUNTIF(BH551:BH562,AI557)=0,2,1))</f>
        <v>1</v>
      </c>
      <c r="BT557" s="696">
        <f>IF(AP557="1",1,IF(AF557="",1,IF(BH551=".",2,1)))</f>
        <v>1</v>
      </c>
      <c r="BU557" s="706"/>
      <c r="BV557" s="155">
        <f ca="1">IF(COUNTIF(DI551:DI562,AF557)=0,IF(AF557&lt;&gt;"",0,1),1)</f>
        <v>1</v>
      </c>
      <c r="BW557" s="157">
        <f ca="1">IFERROR(MATCH(AF557,DI551:DI562,0),1)</f>
        <v>1</v>
      </c>
      <c r="BX557" s="769" t="s">
        <v>1593</v>
      </c>
      <c r="BY557" s="769" t="s">
        <v>1629</v>
      </c>
      <c r="BZ557" s="1110"/>
      <c r="CA557" s="691" t="e">
        <f t="shared" ca="1" si="10116"/>
        <v>#REF!</v>
      </c>
      <c r="CB557" s="4" t="e" cm="1">
        <f t="array" aca="1" ref="CB557" ca="1">IF(AND(INDEX(INDIRECT(BY551),CA557,4)&gt;=$AB551,INDEX(INDIRECT(BY551),CA557,5)&gt;=$S551,INDEX(INDIRECT(BY551),CA557,6)&gt;=$R551),1,0)</f>
        <v>#REF!</v>
      </c>
      <c r="CC557" s="4" t="e">
        <f t="shared" ref="CC557" ca="1" si="10220">MATCH(1,OFFSET(CB551:CB562,CD556,0,COUNT(CB551:CB562)-CD556),0)</f>
        <v>#REF!</v>
      </c>
      <c r="CD557" s="4" t="e">
        <f t="shared" ca="1" si="10118"/>
        <v>#REF!</v>
      </c>
      <c r="CE557" s="692" t="str" cm="1">
        <f t="array" aca="1" ref="CE557" ca="1">IFERROR(VLOOKUP(INDEX(CA551:CA562,CD557),INDIRECT(BY551),2,FALSE),"----")</f>
        <v>----</v>
      </c>
      <c r="CF557" s="691" t="e">
        <f t="shared" ca="1" si="10119"/>
        <v>#N/A</v>
      </c>
      <c r="CG557" s="4" t="e">
        <f ca="1">IF(AND(INDEX(SSM,CF557,4)&gt;=$AB551,INDEX(SSM,CF557,5)&gt;=$S551,INDEX(SSM,CF557,6)&gt;=$R551),1,0)</f>
        <v>#N/A</v>
      </c>
      <c r="CH557" s="4" t="e">
        <f t="shared" ref="CH557" ca="1" si="10221">MATCH(1,OFFSET(CG551:CG562,CI556,0,COUNT(CG551:CG562)-CI556),0)</f>
        <v>#REF!</v>
      </c>
      <c r="CI557" s="4" t="e">
        <f t="shared" ca="1" si="10121"/>
        <v>#REF!</v>
      </c>
      <c r="CJ557" s="692" t="str">
        <f ca="1">IFERROR(IF(AD552="Nested Steel Stud (wood infill)",VLOOKUP(INDEX(CF551:CF562,CI557),SSW,2,FALSE),VLOOKUP(INDEX(CF551:CF562,CI557),SSM,2,FALSE)),"----")</f>
        <v>----</v>
      </c>
      <c r="CK557" s="691" t="e">
        <f t="shared" ca="1" si="10122"/>
        <v>#N/A</v>
      </c>
      <c r="CL557" s="4" t="e">
        <f ca="1">IF(AND(INDEX(WSM,CK557,4)&gt;=$AB551,INDEX(WSM,CK557,5)&gt;=$S551,INDEX(WSM,CK557,6)&gt;=$R551),1,0)</f>
        <v>#N/A</v>
      </c>
      <c r="CM557" s="4" t="e">
        <f t="shared" ref="CM557" ca="1" si="10222">MATCH(1,OFFSET(CL551:CL562,CN556,0,COUNT(CL551:CL562)-CN556),0)</f>
        <v>#REF!</v>
      </c>
      <c r="CN557" s="4" t="e">
        <f t="shared" ca="1" si="10124"/>
        <v>#REF!</v>
      </c>
      <c r="CO557" s="692" t="str">
        <f ca="1">IFERROR(VLOOKUP(INDEX(CK551:CK562,CN557),WSM,2,FALSE),"----")</f>
        <v>----</v>
      </c>
      <c r="CP557" s="691" t="e">
        <f t="shared" ca="1" si="10125"/>
        <v>#N/A</v>
      </c>
      <c r="CQ557" s="4" t="e">
        <f ca="1">IF(AND(INDEX(STM,CP557,4)&gt;=$AB551,INDEX(STM,CP557,5)&gt;=$S551,INDEX(STM,CP557,6)&gt;=$R551),1,0)</f>
        <v>#N/A</v>
      </c>
      <c r="CR557" s="4" t="e">
        <f t="shared" ref="CR557" ca="1" si="10223">MATCH(1,OFFSET(CQ551:CQ562,CS556,0,COUNT(CQ551:CQ562)-CS556),0)</f>
        <v>#REF!</v>
      </c>
      <c r="CS557" s="4" t="e">
        <f t="shared" ca="1" si="10127"/>
        <v>#REF!</v>
      </c>
      <c r="CT557" s="692" t="str">
        <f ca="1">IFERROR(VLOOKUP(INDEX(CP551:CP562,CS557),STM,2,FALSE),"----")</f>
        <v>----</v>
      </c>
      <c r="CU557" s="691" t="e">
        <f t="shared" ca="1" si="10128"/>
        <v>#N/A</v>
      </c>
      <c r="CV557" s="4" t="e">
        <f ca="1">IF(AND(INDEX(ELM,CU557,4)&gt;=$AB551,INDEX(ELM,CU557,5)&gt;=$S551,INDEX(ELM,CU557,6)&gt;=$R551),1,0)</f>
        <v>#N/A</v>
      </c>
      <c r="CW557" s="4" t="e">
        <f t="shared" ref="CW557" ca="1" si="10224">MATCH(1,OFFSET(CV551:CV562,CX556,0,COUNT(CV551:CV562)-CX556),0)</f>
        <v>#REF!</v>
      </c>
      <c r="CX557" s="4" t="e">
        <f t="shared" ca="1" si="10130"/>
        <v>#REF!</v>
      </c>
      <c r="CY557" s="692" t="str">
        <f ca="1">IFERROR(VLOOKUP(INDEX(CU551:CU562,CX557),ELM,2,FALSE),"----")</f>
        <v>----</v>
      </c>
      <c r="CZ557" s="691" t="e">
        <f t="shared" ca="1" si="10131"/>
        <v>#N/A</v>
      </c>
      <c r="DA557" s="4" t="e">
        <f ca="1">IF(LEFT($J551,7)="Clad Wo",IF(AND(INDEX(SPPWS,CZ557,4)&gt;=$AB551,INDEX(SPPWS,CZ557,5)&gt;=$S551,INDEX(SPPWS,CZ557,6)&gt;=$R551),1,0),IF(AND(INDEX(SPM,CZ557,4)&gt;=$AB551,INDEX(SPM,CZ557,5)&gt;=$S551,INDEX(SPM,CZ557,6)&gt;=$R551),1,0))</f>
        <v>#N/A</v>
      </c>
      <c r="DB557" s="4" t="e">
        <f t="shared" ref="DB557" ca="1" si="10225">MATCH(1,OFFSET(DA551:DA562,DC556,0,COUNT(DA551:DA562)-DC556),0)</f>
        <v>#REF!</v>
      </c>
      <c r="DC557" s="4" t="e">
        <f t="shared" ca="1" si="10133"/>
        <v>#REF!</v>
      </c>
      <c r="DD557" s="693" t="str">
        <f ca="1">IF(LEFT($J551,7)="Clad Wo",IFERROR(VLOOKUP(INDEX(CZ551:CZ562,DC557),SPPWS,2,FALSE),"----"),IFERROR(VLOOKUP(INDEX(CZ551:CZ562,DC557),SPM,2,FALSE),"----"))</f>
        <v>----</v>
      </c>
      <c r="DE557" s="691" t="e">
        <f t="shared" ca="1" si="10134"/>
        <v>#REF!</v>
      </c>
      <c r="DF557" s="4" t="e" cm="1">
        <f t="array" aca="1" ref="DF557" ca="1">IF(AND(INDEX(INDIRECT(BY551),DE557,4)&gt;=$AB557,INDEX(INDIRECT(BY551),DE557,5)&gt;=$S551,INDEX(INDIRECT(BY551),DE557,6)&gt;=$R551),1,0)</f>
        <v>#REF!</v>
      </c>
      <c r="DG557" s="4" t="e">
        <f t="shared" ref="DG557" ca="1" si="10226">MATCH(1,OFFSET(DF551:DF562,DH556,0,COUNT(DF551:DF562)-DH556),0)</f>
        <v>#REF!</v>
      </c>
      <c r="DH557" s="4" t="e">
        <f t="shared" ca="1" si="10136"/>
        <v>#REF!</v>
      </c>
      <c r="DI557" s="692" t="str" cm="1">
        <f t="array" aca="1" ref="DI557" ca="1">IFERROR(VLOOKUP(INDEX(DE551:DE562,DH557),INDIRECT(BY551),2,FALSE),"----")</f>
        <v>----</v>
      </c>
      <c r="DJ557" s="691" t="e">
        <f t="shared" ca="1" si="10137"/>
        <v>#N/A</v>
      </c>
      <c r="DK557" s="4" t="e">
        <f ca="1">IF(AND(INDEX(SSM,DJ557,4)&gt;=$AB557,INDEX(SSM,DJ557,5)&gt;=$S551,INDEX(SSM,DJ557,6)&gt;=$R551),1,0)</f>
        <v>#N/A</v>
      </c>
      <c r="DL557" s="4" t="e">
        <f t="shared" ref="DL557" ca="1" si="10227">MATCH(1,OFFSET(DK551:DK562,DM556,0,COUNT(DK551:DK562)-DM556),0)</f>
        <v>#REF!</v>
      </c>
      <c r="DM557" s="4" t="e">
        <f t="shared" ca="1" si="10139"/>
        <v>#REF!</v>
      </c>
      <c r="DN557" s="692" t="str">
        <f ca="1">IFERROR(IF(AD558="Nested Steel Stud (wood infill)",VLOOKUP(INDEX(DJ551:DJ562,DM557),SSW,2,FALSE),VLOOKUP(INDEX(DJ551:DJ562,DM557),SSM,2,FALSE)),"----")</f>
        <v>----</v>
      </c>
      <c r="DO557" s="691" t="e">
        <f t="shared" ca="1" si="10140"/>
        <v>#N/A</v>
      </c>
      <c r="DP557" s="4" t="e">
        <f ca="1">IF(AND(INDEX(WSM,DO557,4)&gt;=$AB557,INDEX(WSM,DO557,5)&gt;=$S551,INDEX(WSM,DO557,6)&gt;=$R551),1,0)</f>
        <v>#N/A</v>
      </c>
      <c r="DQ557" s="4" t="e">
        <f t="shared" ref="DQ557" ca="1" si="10228">MATCH(1,OFFSET(DP551:DP562,DR556,0,COUNT(DP551:DP562)-DR556),0)</f>
        <v>#REF!</v>
      </c>
      <c r="DR557" s="4" t="e">
        <f t="shared" ca="1" si="10142"/>
        <v>#REF!</v>
      </c>
      <c r="DS557" s="692" t="str">
        <f ca="1">IFERROR(VLOOKUP(INDEX(DO551:DO562,DR557),WSM,2,FALSE),"----")</f>
        <v>----</v>
      </c>
      <c r="DT557" s="691" t="e">
        <f t="shared" ca="1" si="10143"/>
        <v>#N/A</v>
      </c>
      <c r="DU557" s="4" t="e">
        <f ca="1">IF(AND(INDEX(STM,DT557,4)&gt;=$AB557,INDEX(STM,DT557,5)&gt;=$S551,INDEX(STM,DT557,6)&gt;=$R551),1,0)</f>
        <v>#N/A</v>
      </c>
      <c r="DV557" s="4" t="e">
        <f t="shared" ref="DV557" ca="1" si="10229">MATCH(1,OFFSET(DU551:DU562,DW556,0,COUNT(DU551:DU562)-DW556),0)</f>
        <v>#REF!</v>
      </c>
      <c r="DW557" s="4" t="e">
        <f t="shared" ca="1" si="10145"/>
        <v>#REF!</v>
      </c>
      <c r="DX557" s="692" t="str">
        <f ca="1">IFERROR(VLOOKUP(INDEX(DT551:DT562,DW557),STM,2,FALSE),"----")</f>
        <v>----</v>
      </c>
      <c r="DY557" s="691" t="e">
        <f t="shared" ca="1" si="10146"/>
        <v>#N/A</v>
      </c>
      <c r="DZ557" s="4" t="e">
        <f ca="1">IF(AND(INDEX(ELM,DY557,4)&gt;=$AB557,INDEX(ELM,DY557,5)&gt;=$S551,INDEX(ELM,DY557,6)&gt;=$R551),1,0)</f>
        <v>#N/A</v>
      </c>
      <c r="EA557" s="4" t="e">
        <f t="shared" ref="EA557" ca="1" si="10230">MATCH(1,OFFSET(DZ551:DZ562,EB556,0,COUNT(DZ551:DZ562)-EB556),0)</f>
        <v>#REF!</v>
      </c>
      <c r="EB557" s="4" t="e">
        <f t="shared" ca="1" si="10148"/>
        <v>#REF!</v>
      </c>
      <c r="EC557" s="692" t="str">
        <f ca="1">IFERROR(VLOOKUP(INDEX(DY551:DY562,EB557),ELM,2,FALSE),"----")</f>
        <v>----</v>
      </c>
      <c r="ED557" s="691" t="e">
        <f t="shared" ca="1" si="10149"/>
        <v>#N/A</v>
      </c>
      <c r="EE557" s="4" t="e">
        <f ca="1">IF(LEFT($J551,7)="Clad Wo",IF(AND(INDEX(SPPWS,ED557,4)&gt;=$AB557,INDEX(SPPWS,ED557,5)&gt;=$S551,INDEX(SPPWS,ED557,6)&gt;=$R551),1,0),IF(AND(INDEX(SPM,ED557,4)&gt;=$AB557,INDEX(SPM,ED557,5)&gt;=$S551,INDEX(SPM,ED557,6)&gt;=$R551),1,0))</f>
        <v>#N/A</v>
      </c>
      <c r="EF557" s="4" t="e">
        <f t="shared" ref="EF557" ca="1" si="10231">MATCH(1,OFFSET(EE551:EE562,EG556,0,COUNT(EE551:EE562)-EG556),0)</f>
        <v>#REF!</v>
      </c>
      <c r="EG557" s="4" t="e">
        <f t="shared" ca="1" si="10151"/>
        <v>#REF!</v>
      </c>
      <c r="EH557" s="692" t="str">
        <f ca="1">IF(LEFT($J551,7)="Clad Wo",IFERROR(VLOOKUP(INDEX(ED551:ED562,EG557),SPPWS,2,FALSE),"----"),IFERROR(VLOOKUP(INDEX(ED551:ED562,EG557),SPM,2,FALSE),"----"))</f>
        <v>----</v>
      </c>
    </row>
    <row r="558" spans="1:138" ht="15" customHeight="1" x14ac:dyDescent="0.25">
      <c r="A558" s="1085"/>
      <c r="B558" s="925"/>
      <c r="C558" s="926"/>
      <c r="D558" s="927"/>
      <c r="E558" s="995"/>
      <c r="F558" s="996"/>
      <c r="G558" s="997"/>
      <c r="H558" s="1062"/>
      <c r="I558" s="990"/>
      <c r="J558" s="912"/>
      <c r="K558" s="913"/>
      <c r="L558" s="1002"/>
      <c r="M558" s="923"/>
      <c r="N558" s="1042"/>
      <c r="O558" s="1018"/>
      <c r="P558" s="987"/>
      <c r="Q558" s="1015"/>
      <c r="R558" s="1012"/>
      <c r="S558" s="1006"/>
      <c r="T558" s="1007"/>
      <c r="U558" s="878"/>
      <c r="V558" s="881"/>
      <c r="W558" s="884"/>
      <c r="X558" s="884"/>
      <c r="Y558" s="887"/>
      <c r="Z558" s="887"/>
      <c r="AA558" s="887"/>
      <c r="AB558" s="1081"/>
      <c r="AC558" s="1078"/>
      <c r="AD558" s="1070" t="str">
        <f t="shared" ref="AD558" si="10232">IF(ISBLANK(AD552)=TRUE,"",AD552)</f>
        <v>Nested Steel Stud</v>
      </c>
      <c r="AE558" s="1071"/>
      <c r="AF558" s="1052"/>
      <c r="AG558" s="1053"/>
      <c r="AH558" s="1053"/>
      <c r="AI558" s="1066"/>
      <c r="AJ558" s="1067"/>
      <c r="AK558" s="156" t="str">
        <f t="shared" ca="1" si="10024"/>
        <v/>
      </c>
      <c r="AL558" s="1059"/>
      <c r="AM558" s="343" t="str">
        <f ca="1">IFERROR(Q551/12*ROUND(VLOOKUP(AF558,OFFSET(SSM,0,1),6,FALSE),2),"")</f>
        <v/>
      </c>
      <c r="AN558" t="str">
        <f t="shared" ca="1" si="10040"/>
        <v/>
      </c>
      <c r="AP558" s="122" t="str">
        <f t="shared" ref="AP558" si="10233">_xlfn.CONCAT(AR558,AS562)</f>
        <v/>
      </c>
      <c r="AQ558" s="683" t="str">
        <f t="shared" si="8985"/>
        <v/>
      </c>
      <c r="AR558" s="96" t="str">
        <f t="shared" si="10009"/>
        <v/>
      </c>
      <c r="AS558" s="96" t="str">
        <f>IF(COUNTIF(Vista_1,AF557)=1,"Vista_1",IF(COUNTIF(Vista_2,AF557)=1,"Vista_2",""))</f>
        <v/>
      </c>
      <c r="AT558" s="684" t="str">
        <f>AL557</f>
        <v/>
      </c>
      <c r="AU558" s="694" t="e">
        <f t="shared" ca="1" si="9002"/>
        <v>#REF!</v>
      </c>
      <c r="AV558" s="686" t="str">
        <f ca="1">IFERROR(VLOOKUP(AU558,INDIRECT(AQ551),2,FALSE),"----")</f>
        <v>----</v>
      </c>
      <c r="AW558" s="694" t="e">
        <f t="shared" ca="1" si="9003"/>
        <v>#REF!</v>
      </c>
      <c r="AX558" s="686" t="str">
        <f ca="1">IFERROR(VLOOKUP(AW558,INDIRECT(AQ552),2,FALSE),"----")</f>
        <v>----</v>
      </c>
      <c r="AY558" s="694" t="e">
        <f t="shared" ca="1" si="10197"/>
        <v>#REF!</v>
      </c>
      <c r="AZ558" s="686" t="str">
        <f ca="1">IFERROR(VLOOKUP(AY558,INDIRECT(AQ553),2,FALSE),"----")</f>
        <v>----</v>
      </c>
      <c r="BA558" s="694" t="e">
        <f t="shared" ca="1" si="10198"/>
        <v>#REF!</v>
      </c>
      <c r="BB558" s="686" t="str">
        <f ca="1">IFERROR(VLOOKUP(BA558,INDIRECT(AQ554),2,FALSE),"----")</f>
        <v>----</v>
      </c>
      <c r="BC558" s="694" t="e">
        <f t="shared" ca="1" si="9006"/>
        <v>#REF!</v>
      </c>
      <c r="BD558" s="686" t="str">
        <f ca="1">IFERROR(VLOOKUP(BC558,INDIRECT(AQ555),2,FALSE),"----")</f>
        <v>----</v>
      </c>
      <c r="BE558" s="694" t="e">
        <f t="shared" ca="1" si="9007"/>
        <v>#REF!</v>
      </c>
      <c r="BF558" s="686" t="str">
        <f ca="1">IFERROR(VLOOKUP(BE558,INDIRECT(AQ556),2,FALSE),"----")</f>
        <v>----</v>
      </c>
      <c r="BG558" s="702" t="e">
        <f t="shared" ca="1" si="9008"/>
        <v>#REF!</v>
      </c>
      <c r="BH558" s="686" t="str">
        <f ca="1">IFERROR(VLOOKUP(BG558,INDIRECT(AQ557),2,FALSE),"----")</f>
        <v>----</v>
      </c>
      <c r="BI558" s="702" t="e">
        <f t="shared" ca="1" si="9009"/>
        <v>#REF!</v>
      </c>
      <c r="BJ558" s="686" t="str">
        <f ca="1">IFERROR(VLOOKUP(BI558,INDIRECT(AQ558),2,FALSE),"----")</f>
        <v>----</v>
      </c>
      <c r="BK558" s="702" t="e">
        <f t="shared" ca="1" si="9010"/>
        <v>#REF!</v>
      </c>
      <c r="BL558" s="686" t="str">
        <f ca="1">IFERROR(VLOOKUP(BK558,INDIRECT(AQ559),2,FALSE),"----")</f>
        <v>----</v>
      </c>
      <c r="BM558" s="702" t="e">
        <f t="shared" ca="1" si="9011"/>
        <v>#REF!</v>
      </c>
      <c r="BN558" s="686" t="str">
        <f ca="1">IFERROR(VLOOKUP(BM558,INDIRECT(AQ560),2,FALSE),"----")</f>
        <v>----</v>
      </c>
      <c r="BO558" s="702" t="e">
        <f t="shared" ca="1" si="9012"/>
        <v>#REF!</v>
      </c>
      <c r="BP558" s="686" t="str">
        <f ca="1">IFERROR(VLOOKUP(BO558,INDIRECT(AQ561),2,FALSE),"----")</f>
        <v>----</v>
      </c>
      <c r="BQ558" s="702" t="e">
        <f t="shared" ca="1" si="9013"/>
        <v>#REF!</v>
      </c>
      <c r="BR558" s="686" t="str">
        <f ca="1">IFERROR(VLOOKUP(BQ558,INDIRECT(AQ562),2,FALSE),"----")</f>
        <v>----</v>
      </c>
      <c r="BS558" s="695">
        <f>IF(AI558="",1,IF(COUNTIF(BJ551:BJ562,AI558)=0,2,1))</f>
        <v>1</v>
      </c>
      <c r="BT558" s="696">
        <f>IF(AF558="",1,IF(BJ551=".",2,1))</f>
        <v>1</v>
      </c>
      <c r="BU558" s="706"/>
      <c r="BV558" s="155">
        <f ca="1">IF(COUNTIF(DN551:DN562,AF558)=0,IF(AF558&lt;&gt;"",0,1),1)</f>
        <v>1</v>
      </c>
      <c r="BW558" s="157">
        <f ca="1">IFERROR(MATCH(AF558,DN551:DN562,0),1)</f>
        <v>1</v>
      </c>
      <c r="BX558" s="769">
        <f t="shared" ref="BX558" si="10234">E551*(H551+I551)/144/2</f>
        <v>0</v>
      </c>
      <c r="BY558" s="769">
        <f>SUM(IF(H551&gt;E551,E551^2/4,(H551*E551/2)-(H551^2/4))/144,IF(I551&gt;E551,E551^2/4,(I551*E551/2)-(I551^2/4))/144)</f>
        <v>0</v>
      </c>
      <c r="BZ558" s="1110"/>
      <c r="CA558" s="691" t="e">
        <f t="shared" ca="1" si="10116"/>
        <v>#REF!</v>
      </c>
      <c r="CB558" s="4" t="e" cm="1">
        <f t="array" aca="1" ref="CB558" ca="1">IF(AND(INDEX(INDIRECT(BY551),CA558,4)&gt;=$AB551,INDEX(INDIRECT(BY551),CA558,5)&gt;=$S551,INDEX(INDIRECT(BY551),CA558,6)&gt;=$R551),1,0)</f>
        <v>#REF!</v>
      </c>
      <c r="CC558" s="4" t="e">
        <f t="shared" ref="CC558" ca="1" si="10235">MATCH(1,OFFSET(CB551:CB562,CD557,0,COUNT(CB551:CB562)-CD557),0)</f>
        <v>#REF!</v>
      </c>
      <c r="CD558" s="4" t="e">
        <f t="shared" ca="1" si="10118"/>
        <v>#REF!</v>
      </c>
      <c r="CE558" s="692" t="str" cm="1">
        <f t="array" aca="1" ref="CE558" ca="1">IFERROR(VLOOKUP(INDEX(CA551:CA562,CD558),INDIRECT(BY551),2,FALSE),"----")</f>
        <v>----</v>
      </c>
      <c r="CF558" s="691" t="e">
        <f t="shared" ca="1" si="10119"/>
        <v>#N/A</v>
      </c>
      <c r="CG558" s="4" t="e">
        <f ca="1">IF(AND(INDEX(SSM,CF558,4)&gt;=$AB551,INDEX(SSM,CF558,5)&gt;=$S551,INDEX(SSM,CF558,6)&gt;=$R551),1,0)</f>
        <v>#N/A</v>
      </c>
      <c r="CH558" s="4" t="e">
        <f t="shared" ref="CH558" ca="1" si="10236">MATCH(1,OFFSET(CG551:CG562,CI557,0,COUNT(CG551:CG562)-CI557),0)</f>
        <v>#REF!</v>
      </c>
      <c r="CI558" s="4" t="e">
        <f t="shared" ca="1" si="10121"/>
        <v>#REF!</v>
      </c>
      <c r="CJ558" s="692" t="str">
        <f ca="1">IFERROR(IF(AD552="Nested Steel Stud (wood infill)",VLOOKUP(INDEX(CF551:CF562,CI558),SSW,2,FALSE),VLOOKUP(INDEX(CF551:CF562,CI558),SSM,2,FALSE)),"----")</f>
        <v>----</v>
      </c>
      <c r="CK558" s="691" t="e">
        <f t="shared" ca="1" si="10122"/>
        <v>#N/A</v>
      </c>
      <c r="CL558" s="4" t="e">
        <f ca="1">IF(AND(INDEX(WSM,CK558,4)&gt;=$AB551,INDEX(WSM,CK558,5)&gt;=$S551,INDEX(WSM,CK558,6)&gt;=$R551),1,0)</f>
        <v>#N/A</v>
      </c>
      <c r="CM558" s="4" t="e">
        <f t="shared" ref="CM558" ca="1" si="10237">MATCH(1,OFFSET(CL551:CL562,CN557,0,COUNT(CL551:CL562)-CN557),0)</f>
        <v>#REF!</v>
      </c>
      <c r="CN558" s="4" t="e">
        <f t="shared" ca="1" si="10124"/>
        <v>#REF!</v>
      </c>
      <c r="CO558" s="692" t="str">
        <f ca="1">IFERROR(VLOOKUP(INDEX(CK551:CK562,CN558),WSM,2,FALSE),"----")</f>
        <v>----</v>
      </c>
      <c r="CP558" s="691" t="e">
        <f t="shared" ca="1" si="10125"/>
        <v>#N/A</v>
      </c>
      <c r="CQ558" s="4" t="e">
        <f ca="1">IF(AND(INDEX(STM,CP558,4)&gt;=$AB551,INDEX(STM,CP558,5)&gt;=$S551,INDEX(STM,CP558,6)&gt;=$R551),1,0)</f>
        <v>#N/A</v>
      </c>
      <c r="CR558" s="4" t="e">
        <f t="shared" ref="CR558" ca="1" si="10238">MATCH(1,OFFSET(CQ551:CQ562,CS557,0,COUNT(CQ551:CQ562)-CS557),0)</f>
        <v>#REF!</v>
      </c>
      <c r="CS558" s="4" t="e">
        <f t="shared" ca="1" si="10127"/>
        <v>#REF!</v>
      </c>
      <c r="CT558" s="692" t="str">
        <f ca="1">IFERROR(VLOOKUP(INDEX(CP551:CP562,CS558),STM,2,FALSE),"----")</f>
        <v>----</v>
      </c>
      <c r="CU558" s="691" t="e">
        <f t="shared" ca="1" si="10128"/>
        <v>#N/A</v>
      </c>
      <c r="CV558" s="4" t="e">
        <f ca="1">IF(AND(INDEX(ELM,CU558,4)&gt;=$AB551,INDEX(ELM,CU558,5)&gt;=$S551,INDEX(ELM,CU558,6)&gt;=$R551),1,0)</f>
        <v>#N/A</v>
      </c>
      <c r="CW558" s="4" t="e">
        <f t="shared" ref="CW558" ca="1" si="10239">MATCH(1,OFFSET(CV551:CV562,CX557,0,COUNT(CV551:CV562)-CX557),0)</f>
        <v>#REF!</v>
      </c>
      <c r="CX558" s="4" t="e">
        <f t="shared" ca="1" si="10130"/>
        <v>#REF!</v>
      </c>
      <c r="CY558" s="692" t="str">
        <f ca="1">IFERROR(VLOOKUP(INDEX(CU551:CU562,CX558),ELM,2,FALSE),"----")</f>
        <v>----</v>
      </c>
      <c r="CZ558" s="691" t="e">
        <f t="shared" ca="1" si="10131"/>
        <v>#N/A</v>
      </c>
      <c r="DA558" s="4" t="e">
        <f ca="1">IF(LEFT($J551,7)="Clad Wo",IF(AND(INDEX(SPPWS,CZ558,4)&gt;=$AB551,INDEX(SPPWS,CZ558,5)&gt;=$S551,INDEX(SPPWS,CZ558,6)&gt;=$R551),1,0),IF(AND(INDEX(SPM,CZ558,4)&gt;=$AB551,INDEX(SPM,CZ558,5)&gt;=$S551,INDEX(SPM,CZ558,6)&gt;=$R551),1,0))</f>
        <v>#N/A</v>
      </c>
      <c r="DB558" s="4" t="e">
        <f t="shared" ref="DB558" ca="1" si="10240">MATCH(1,OFFSET(DA551:DA562,DC557,0,COUNT(DA551:DA562)-DC557),0)</f>
        <v>#REF!</v>
      </c>
      <c r="DC558" s="4" t="e">
        <f t="shared" ca="1" si="10133"/>
        <v>#REF!</v>
      </c>
      <c r="DD558" s="693" t="str">
        <f ca="1">IF(LEFT($J551,7)="Clad Wo",IFERROR(VLOOKUP(INDEX(CZ551:CZ562,DC558),SPPWS,2,FALSE),"----"),IFERROR(VLOOKUP(INDEX(CZ551:CZ562,DC558),SPM,2,FALSE),"----"))</f>
        <v>----</v>
      </c>
      <c r="DE558" s="691" t="e">
        <f t="shared" ca="1" si="10134"/>
        <v>#REF!</v>
      </c>
      <c r="DF558" s="4" t="e" cm="1">
        <f t="array" aca="1" ref="DF558" ca="1">IF(AND(INDEX(INDIRECT(BY551),DE558,4)&gt;=$AB557,INDEX(INDIRECT(BY551),DE558,5)&gt;=$S551,INDEX(INDIRECT(BY551),DE558,6)&gt;=$R551),1,0)</f>
        <v>#REF!</v>
      </c>
      <c r="DG558" s="4" t="e">
        <f t="shared" ref="DG558" ca="1" si="10241">MATCH(1,OFFSET(DF551:DF562,DH557,0,COUNT(DF551:DF562)-DH557),0)</f>
        <v>#REF!</v>
      </c>
      <c r="DH558" s="4" t="e">
        <f t="shared" ca="1" si="10136"/>
        <v>#REF!</v>
      </c>
      <c r="DI558" s="692" t="str" cm="1">
        <f t="array" aca="1" ref="DI558" ca="1">IFERROR(VLOOKUP(INDEX(DE551:DE562,DH558),INDIRECT(BY551),2,FALSE),"----")</f>
        <v>----</v>
      </c>
      <c r="DJ558" s="691" t="e">
        <f t="shared" ca="1" si="10137"/>
        <v>#N/A</v>
      </c>
      <c r="DK558" s="4" t="e">
        <f ca="1">IF(AND(INDEX(SSM,DJ558,4)&gt;=$AB557,INDEX(SSM,DJ558,5)&gt;=$S551,INDEX(SSM,DJ558,6)&gt;=$R551),1,0)</f>
        <v>#N/A</v>
      </c>
      <c r="DL558" s="4" t="e">
        <f t="shared" ref="DL558" ca="1" si="10242">MATCH(1,OFFSET(DK551:DK562,DM557,0,COUNT(DK551:DK562)-DM557),0)</f>
        <v>#REF!</v>
      </c>
      <c r="DM558" s="4" t="e">
        <f t="shared" ca="1" si="10139"/>
        <v>#REF!</v>
      </c>
      <c r="DN558" s="692" t="str">
        <f ca="1">IFERROR(IF(AD558="Nested Steel Stud (wood infill)",VLOOKUP(INDEX(DJ551:DJ562,DM558),SSW,2,FALSE),VLOOKUP(INDEX(DJ551:DJ562,DM558),SSM,2,FALSE)),"----")</f>
        <v>----</v>
      </c>
      <c r="DO558" s="691" t="e">
        <f t="shared" ca="1" si="10140"/>
        <v>#N/A</v>
      </c>
      <c r="DP558" s="4" t="e">
        <f ca="1">IF(AND(INDEX(WSM,DO558,4)&gt;=$AB557,INDEX(WSM,DO558,5)&gt;=$S551,INDEX(WSM,DO558,6)&gt;=$R551),1,0)</f>
        <v>#N/A</v>
      </c>
      <c r="DQ558" s="4" t="e">
        <f t="shared" ref="DQ558" ca="1" si="10243">MATCH(1,OFFSET(DP551:DP562,DR557,0,COUNT(DP551:DP562)-DR557),0)</f>
        <v>#REF!</v>
      </c>
      <c r="DR558" s="4" t="e">
        <f t="shared" ca="1" si="10142"/>
        <v>#REF!</v>
      </c>
      <c r="DS558" s="692" t="str">
        <f ca="1">IFERROR(VLOOKUP(INDEX(DO551:DO562,DR558),WSM,2,FALSE),"----")</f>
        <v>----</v>
      </c>
      <c r="DT558" s="691" t="e">
        <f t="shared" ca="1" si="10143"/>
        <v>#N/A</v>
      </c>
      <c r="DU558" s="4" t="e">
        <f ca="1">IF(AND(INDEX(STM,DT558,4)&gt;=$AB557,INDEX(STM,DT558,5)&gt;=$S551,INDEX(STM,DT558,6)&gt;=$R551),1,0)</f>
        <v>#N/A</v>
      </c>
      <c r="DV558" s="4" t="e">
        <f t="shared" ref="DV558" ca="1" si="10244">MATCH(1,OFFSET(DU551:DU562,DW557,0,COUNT(DU551:DU562)-DW557),0)</f>
        <v>#REF!</v>
      </c>
      <c r="DW558" s="4" t="e">
        <f t="shared" ca="1" si="10145"/>
        <v>#REF!</v>
      </c>
      <c r="DX558" s="692" t="str">
        <f ca="1">IFERROR(VLOOKUP(INDEX(DT551:DT562,DW558),STM,2,FALSE),"----")</f>
        <v>----</v>
      </c>
      <c r="DY558" s="691" t="e">
        <f t="shared" ca="1" si="10146"/>
        <v>#N/A</v>
      </c>
      <c r="DZ558" s="4" t="e">
        <f ca="1">IF(AND(INDEX(ELM,DY558,4)&gt;=$AB557,INDEX(ELM,DY558,5)&gt;=$S551,INDEX(ELM,DY558,6)&gt;=$R551),1,0)</f>
        <v>#N/A</v>
      </c>
      <c r="EA558" s="4" t="e">
        <f t="shared" ref="EA558" ca="1" si="10245">MATCH(1,OFFSET(DZ551:DZ562,EB557,0,COUNT(DZ551:DZ562)-EB557),0)</f>
        <v>#REF!</v>
      </c>
      <c r="EB558" s="4" t="e">
        <f t="shared" ca="1" si="10148"/>
        <v>#REF!</v>
      </c>
      <c r="EC558" s="692" t="str">
        <f ca="1">IFERROR(VLOOKUP(INDEX(DY551:DY562,EB558),ELM,2,FALSE),"----")</f>
        <v>----</v>
      </c>
      <c r="ED558" s="691" t="e">
        <f t="shared" ca="1" si="10149"/>
        <v>#N/A</v>
      </c>
      <c r="EE558" s="4" t="e">
        <f ca="1">IF(LEFT($J551,7)="Clad Wo",IF(AND(INDEX(SPPWS,ED558,4)&gt;=$AB557,INDEX(SPPWS,ED558,5)&gt;=$S551,INDEX(SPPWS,ED558,6)&gt;=$R551),1,0),IF(AND(INDEX(SPM,ED558,4)&gt;=$AB557,INDEX(SPM,ED558,5)&gt;=$S551,INDEX(SPM,ED558,6)&gt;=$R551),1,0))</f>
        <v>#N/A</v>
      </c>
      <c r="EF558" s="4" t="e">
        <f t="shared" ref="EF558" ca="1" si="10246">MATCH(1,OFFSET(EE551:EE562,EG557,0,COUNT(EE551:EE562)-EG557),0)</f>
        <v>#REF!</v>
      </c>
      <c r="EG558" s="4" t="e">
        <f t="shared" ca="1" si="10151"/>
        <v>#REF!</v>
      </c>
      <c r="EH558" s="692" t="str">
        <f ca="1">IF(LEFT($J551,7)="Clad Wo",IFERROR(VLOOKUP(INDEX(ED551:ED562,EG558),SPPWS,2,FALSE),"----"),IFERROR(VLOOKUP(INDEX(ED551:ED562,EG558),SPM,2,FALSE),"----"))</f>
        <v>----</v>
      </c>
    </row>
    <row r="559" spans="1:138" ht="15" customHeight="1" x14ac:dyDescent="0.25">
      <c r="A559" s="1085"/>
      <c r="B559" s="925"/>
      <c r="C559" s="926"/>
      <c r="D559" s="927"/>
      <c r="E559" s="995"/>
      <c r="F559" s="996"/>
      <c r="G559" s="997"/>
      <c r="H559" s="1062"/>
      <c r="I559" s="990"/>
      <c r="J559" s="902"/>
      <c r="K559" s="903"/>
      <c r="L559" s="1002"/>
      <c r="M559" s="923"/>
      <c r="N559" s="1042"/>
      <c r="O559" s="1018"/>
      <c r="P559" s="987"/>
      <c r="Q559" s="1015"/>
      <c r="R559" s="1012"/>
      <c r="S559" s="1006"/>
      <c r="T559" s="1007"/>
      <c r="U559" s="878"/>
      <c r="V559" s="881"/>
      <c r="W559" s="884"/>
      <c r="X559" s="884"/>
      <c r="Y559" s="887"/>
      <c r="Z559" s="887"/>
      <c r="AA559" s="887"/>
      <c r="AB559" s="1081"/>
      <c r="AC559" s="1078"/>
      <c r="AD559" s="1070" t="str">
        <f t="shared" ref="AD559:AD621" si="10247">AD553</f>
        <v>Wood Stud Framing</v>
      </c>
      <c r="AE559" s="1071"/>
      <c r="AF559" s="1052"/>
      <c r="AG559" s="1053"/>
      <c r="AH559" s="1053"/>
      <c r="AI559" s="1066"/>
      <c r="AJ559" s="1067"/>
      <c r="AK559" s="156" t="str">
        <f t="shared" ca="1" si="10024"/>
        <v/>
      </c>
      <c r="AL559" s="1059"/>
      <c r="AM559" s="344" t="str">
        <f ca="1">IFERROR(Q551/12*ROUND(VLOOKUP(AF559,OFFSET(WSM,0,1),6,FALSE),2),"")</f>
        <v/>
      </c>
      <c r="AN559" t="str">
        <f t="shared" ca="1" si="10040"/>
        <v/>
      </c>
      <c r="AP559" s="122" t="str">
        <f t="shared" ref="AP559" si="10248">_xlfn.CONCAT(AR559,AS562)</f>
        <v/>
      </c>
      <c r="AQ559" s="683" t="str">
        <f t="shared" ref="AQ559:AQ622" si="10249">IFERROR(LEFT(AP559,LEN(AP559)-1),"")</f>
        <v/>
      </c>
      <c r="AR559" s="4" t="str">
        <f t="shared" si="10009"/>
        <v/>
      </c>
      <c r="AS559" s="4"/>
      <c r="AT559" s="697" t="str">
        <f>AL557</f>
        <v/>
      </c>
      <c r="AU559" s="694" t="e">
        <f t="shared" ca="1" si="9002"/>
        <v>#REF!</v>
      </c>
      <c r="AV559" s="686" t="str">
        <f ca="1">IFERROR(VLOOKUP(AU559,INDIRECT(AQ551),2,FALSE),"----")</f>
        <v>----</v>
      </c>
      <c r="AW559" s="694" t="e">
        <f t="shared" ca="1" si="9003"/>
        <v>#REF!</v>
      </c>
      <c r="AX559" s="686" t="str">
        <f ca="1">IFERROR(VLOOKUP(AW559,INDIRECT(AQ552),2,FALSE),"----")</f>
        <v>----</v>
      </c>
      <c r="AY559" s="694" t="e">
        <f t="shared" ca="1" si="10197"/>
        <v>#REF!</v>
      </c>
      <c r="AZ559" s="686" t="str">
        <f ca="1">IFERROR(VLOOKUP(AY559,INDIRECT(AQ553),2,FALSE),"----")</f>
        <v>----</v>
      </c>
      <c r="BA559" s="694" t="e">
        <f t="shared" ca="1" si="10198"/>
        <v>#REF!</v>
      </c>
      <c r="BB559" s="686" t="str">
        <f ca="1">IFERROR(VLOOKUP(BA559,INDIRECT(AQ554),2,FALSE),"----")</f>
        <v>----</v>
      </c>
      <c r="BC559" s="694" t="e">
        <f t="shared" ca="1" si="9006"/>
        <v>#REF!</v>
      </c>
      <c r="BD559" s="686" t="str">
        <f ca="1">IFERROR(VLOOKUP(BC559,INDIRECT(AQ555),2,FALSE),"----")</f>
        <v>----</v>
      </c>
      <c r="BE559" s="694" t="e">
        <f t="shared" ca="1" si="9007"/>
        <v>#REF!</v>
      </c>
      <c r="BF559" s="686" t="str">
        <f ca="1">IFERROR(VLOOKUP(BE559,INDIRECT(AQ556),2,FALSE),"----")</f>
        <v>----</v>
      </c>
      <c r="BG559" s="702" t="e">
        <f t="shared" ca="1" si="9008"/>
        <v>#REF!</v>
      </c>
      <c r="BH559" s="686" t="str">
        <f ca="1">IFERROR(VLOOKUP(BG559,INDIRECT(AQ557),2,FALSE),"----")</f>
        <v>----</v>
      </c>
      <c r="BI559" s="702" t="e">
        <f t="shared" ca="1" si="9009"/>
        <v>#REF!</v>
      </c>
      <c r="BJ559" s="686" t="str">
        <f ca="1">IFERROR(VLOOKUP(BI559,INDIRECT(AQ558),2,FALSE),"----")</f>
        <v>----</v>
      </c>
      <c r="BK559" s="702" t="e">
        <f t="shared" ca="1" si="9010"/>
        <v>#REF!</v>
      </c>
      <c r="BL559" s="686" t="str">
        <f ca="1">IFERROR(VLOOKUP(BK559,INDIRECT(AQ559),2,FALSE),"----")</f>
        <v>----</v>
      </c>
      <c r="BM559" s="702" t="e">
        <f t="shared" ca="1" si="9011"/>
        <v>#REF!</v>
      </c>
      <c r="BN559" s="686" t="str">
        <f ca="1">IFERROR(VLOOKUP(BM559,INDIRECT(AQ560),2,FALSE),"----")</f>
        <v>----</v>
      </c>
      <c r="BO559" s="702" t="e">
        <f t="shared" ca="1" si="9012"/>
        <v>#REF!</v>
      </c>
      <c r="BP559" s="686" t="str">
        <f ca="1">IFERROR(VLOOKUP(BO559,INDIRECT(AQ561),2,FALSE),"----")</f>
        <v>----</v>
      </c>
      <c r="BQ559" s="702" t="e">
        <f t="shared" ca="1" si="9013"/>
        <v>#REF!</v>
      </c>
      <c r="BR559" s="686" t="str">
        <f ca="1">IFERROR(VLOOKUP(BQ559,INDIRECT(AQ562),2,FALSE),"----")</f>
        <v>----</v>
      </c>
      <c r="BS559" s="695">
        <f>IF(AI559="",1,IF(COUNTIF(BL551:BL562,AI559)=0,2,1))</f>
        <v>1</v>
      </c>
      <c r="BT559" s="696">
        <f>IF(AF559="",1,IF(BL551=".",2,1))</f>
        <v>1</v>
      </c>
      <c r="BU559" s="706"/>
      <c r="BV559" s="155">
        <f ca="1">IF(COUNTIF(DS551:DS562,AF559)=0,IF(AF559&lt;&gt;"",0,1),1)</f>
        <v>1</v>
      </c>
      <c r="BW559" s="157">
        <f ca="1">IFERROR(MATCH(AF559,DS551:DS562,0),1)</f>
        <v>1</v>
      </c>
      <c r="BX559" s="769" t="e">
        <f t="shared" ref="BX559" si="10250">5*E551^3*W551/(384*X551)</f>
        <v>#VALUE!</v>
      </c>
      <c r="BY559" s="769" t="e">
        <f t="shared" ref="BY559" si="10251">W551*E551^3/(60*X551)</f>
        <v>#VALUE!</v>
      </c>
      <c r="BZ559" s="1110"/>
      <c r="CA559" s="691" t="e">
        <f t="shared" ca="1" si="10116"/>
        <v>#REF!</v>
      </c>
      <c r="CB559" s="4" t="e" cm="1">
        <f t="array" aca="1" ref="CB559" ca="1">IF(AND(INDEX(INDIRECT(BY551),CA559,4)&gt;=$AB551,INDEX(INDIRECT(BY551),CA559,5)&gt;=$S551,INDEX(INDIRECT(BY551),CA559,6)&gt;=$R551),1,0)</f>
        <v>#REF!</v>
      </c>
      <c r="CC559" s="4" t="e">
        <f t="shared" ref="CC559" ca="1" si="10252">MATCH(1,OFFSET(CB551:CB562,CD558,0,COUNT(CB551:CB562)-CD558),0)</f>
        <v>#REF!</v>
      </c>
      <c r="CD559" s="4" t="e">
        <f t="shared" ca="1" si="10118"/>
        <v>#REF!</v>
      </c>
      <c r="CE559" s="692" t="str" cm="1">
        <f t="array" aca="1" ref="CE559" ca="1">IFERROR(VLOOKUP(INDEX(CA551:CA562,CD559),INDIRECT(BY551),2,FALSE),"----")</f>
        <v>----</v>
      </c>
      <c r="CF559" s="691" t="e">
        <f t="shared" ca="1" si="10119"/>
        <v>#N/A</v>
      </c>
      <c r="CG559" s="4" t="e">
        <f ca="1">IF(AND(INDEX(SSM,CF559,4)&gt;=$AB551,INDEX(SSM,CF559,5)&gt;=$S551,INDEX(SSM,CF559,6)&gt;=$R551),1,0)</f>
        <v>#N/A</v>
      </c>
      <c r="CH559" s="4" t="e">
        <f t="shared" ref="CH559" ca="1" si="10253">MATCH(1,OFFSET(CG551:CG562,CI558,0,COUNT(CG551:CG562)-CI558),0)</f>
        <v>#REF!</v>
      </c>
      <c r="CI559" s="4" t="e">
        <f t="shared" ca="1" si="10121"/>
        <v>#REF!</v>
      </c>
      <c r="CJ559" s="692" t="str">
        <f ca="1">IFERROR(IF(AD552="Nested Steel Stud (wood infill)",VLOOKUP(INDEX(CF551:CF562,CI559),SSW,2,FALSE),VLOOKUP(INDEX(CF551:CF562,CI559),SSM,2,FALSE)),"----")</f>
        <v>----</v>
      </c>
      <c r="CK559" s="691" t="e">
        <f t="shared" ca="1" si="10122"/>
        <v>#N/A</v>
      </c>
      <c r="CL559" s="4" t="e">
        <f ca="1">IF(AND(INDEX(WSM,CK559,4)&gt;=$AB551,INDEX(WSM,CK559,5)&gt;=$S551,INDEX(WSM,CK559,6)&gt;=$R551),1,0)</f>
        <v>#N/A</v>
      </c>
      <c r="CM559" s="4" t="e">
        <f t="shared" ref="CM559" ca="1" si="10254">MATCH(1,OFFSET(CL551:CL562,CN558,0,COUNT(CL551:CL562)-CN558),0)</f>
        <v>#REF!</v>
      </c>
      <c r="CN559" s="4" t="e">
        <f t="shared" ca="1" si="10124"/>
        <v>#REF!</v>
      </c>
      <c r="CO559" s="692" t="str">
        <f ca="1">IFERROR(VLOOKUP(INDEX(CK551:CK562,CN559),WSM,2,FALSE),"----")</f>
        <v>----</v>
      </c>
      <c r="CP559" s="691" t="e">
        <f t="shared" ca="1" si="10125"/>
        <v>#N/A</v>
      </c>
      <c r="CQ559" s="4" t="e">
        <f ca="1">IF(AND(INDEX(STM,CP559,4)&gt;=$AB551,INDEX(STM,CP559,5)&gt;=$S551,INDEX(STM,CP559,6)&gt;=$R551),1,0)</f>
        <v>#N/A</v>
      </c>
      <c r="CR559" s="4" t="e">
        <f t="shared" ref="CR559" ca="1" si="10255">MATCH(1,OFFSET(CQ551:CQ562,CS558,0,COUNT(CQ551:CQ562)-CS558),0)</f>
        <v>#REF!</v>
      </c>
      <c r="CS559" s="4" t="e">
        <f t="shared" ca="1" si="10127"/>
        <v>#REF!</v>
      </c>
      <c r="CT559" s="692" t="str">
        <f ca="1">IFERROR(VLOOKUP(INDEX(CP551:CP562,CS559),STM,2,FALSE),"----")</f>
        <v>----</v>
      </c>
      <c r="CU559" s="691" t="e">
        <f t="shared" ca="1" si="10128"/>
        <v>#N/A</v>
      </c>
      <c r="CV559" s="4" t="e">
        <f ca="1">IF(AND(INDEX(ELM,CU559,4)&gt;=$AB551,INDEX(ELM,CU559,5)&gt;=$S551,INDEX(ELM,CU559,6)&gt;=$R551),1,0)</f>
        <v>#N/A</v>
      </c>
      <c r="CW559" s="4" t="e">
        <f t="shared" ref="CW559" ca="1" si="10256">MATCH(1,OFFSET(CV551:CV562,CX558,0,COUNT(CV551:CV562)-CX558),0)</f>
        <v>#REF!</v>
      </c>
      <c r="CX559" s="4" t="e">
        <f t="shared" ca="1" si="10130"/>
        <v>#REF!</v>
      </c>
      <c r="CY559" s="692" t="str">
        <f ca="1">IFERROR(VLOOKUP(INDEX(CU551:CU562,CX559),ELM,2,FALSE),"----")</f>
        <v>----</v>
      </c>
      <c r="CZ559" s="691" t="e">
        <f t="shared" ca="1" si="10131"/>
        <v>#N/A</v>
      </c>
      <c r="DA559" s="4" t="e">
        <f ca="1">IF(LEFT($J551,7)="Clad Wo",IF(AND(INDEX(SPPWS,CZ559,4)&gt;=$AB551,INDEX(SPPWS,CZ559,5)&gt;=$S551,INDEX(SPPWS,CZ559,6)&gt;=$R551),1,0),IF(AND(INDEX(SPM,CZ559,4)&gt;=$AB551,INDEX(SPM,CZ559,5)&gt;=$S551,INDEX(SPM,CZ559,6)&gt;=$R551),1,0))</f>
        <v>#N/A</v>
      </c>
      <c r="DB559" s="4" t="e">
        <f t="shared" ref="DB559" ca="1" si="10257">MATCH(1,OFFSET(DA551:DA562,DC558,0,COUNT(DA551:DA562)-DC558),0)</f>
        <v>#REF!</v>
      </c>
      <c r="DC559" s="4" t="e">
        <f t="shared" ca="1" si="10133"/>
        <v>#REF!</v>
      </c>
      <c r="DD559" s="693" t="str">
        <f ca="1">IF(LEFT($J551,7)="Clad Wo",IFERROR(VLOOKUP(INDEX(CZ551:CZ562,DC559),SPPWS,2,FALSE),"----"),IFERROR(VLOOKUP(INDEX(CZ551:CZ562,DC559),SPM,2,FALSE),"----"))</f>
        <v>----</v>
      </c>
      <c r="DE559" s="691" t="e">
        <f t="shared" ca="1" si="10134"/>
        <v>#REF!</v>
      </c>
      <c r="DF559" s="4" t="e" cm="1">
        <f t="array" aca="1" ref="DF559" ca="1">IF(AND(INDEX(INDIRECT(BY551),DE559,4)&gt;=$AB557,INDEX(INDIRECT(BY551),DE559,5)&gt;=$S551,INDEX(INDIRECT(BY551),DE559,6)&gt;=$R551),1,0)</f>
        <v>#REF!</v>
      </c>
      <c r="DG559" s="4" t="e">
        <f t="shared" ref="DG559" ca="1" si="10258">MATCH(1,OFFSET(DF551:DF562,DH558,0,COUNT(DF551:DF562)-DH558),0)</f>
        <v>#REF!</v>
      </c>
      <c r="DH559" s="4" t="e">
        <f t="shared" ca="1" si="10136"/>
        <v>#REF!</v>
      </c>
      <c r="DI559" s="692" t="str" cm="1">
        <f t="array" aca="1" ref="DI559" ca="1">IFERROR(VLOOKUP(INDEX(DE551:DE562,DH559),INDIRECT(BY551),2,FALSE),"----")</f>
        <v>----</v>
      </c>
      <c r="DJ559" s="691" t="e">
        <f t="shared" ca="1" si="10137"/>
        <v>#N/A</v>
      </c>
      <c r="DK559" s="4" t="e">
        <f ca="1">IF(AND(INDEX(SSM,DJ559,4)&gt;=$AB557,INDEX(SSM,DJ559,5)&gt;=$S551,INDEX(SSM,DJ559,6)&gt;=$R551),1,0)</f>
        <v>#N/A</v>
      </c>
      <c r="DL559" s="4" t="e">
        <f t="shared" ref="DL559" ca="1" si="10259">MATCH(1,OFFSET(DK551:DK562,DM558,0,COUNT(DK551:DK562)-DM558),0)</f>
        <v>#REF!</v>
      </c>
      <c r="DM559" s="4" t="e">
        <f t="shared" ca="1" si="10139"/>
        <v>#REF!</v>
      </c>
      <c r="DN559" s="692" t="str">
        <f ca="1">IFERROR(IF(AD558="Nested Steel Stud (wood infill)",VLOOKUP(INDEX(DJ551:DJ562,DM559),SSW,2,FALSE),VLOOKUP(INDEX(DJ551:DJ562,DM559),SSM,2,FALSE)),"----")</f>
        <v>----</v>
      </c>
      <c r="DO559" s="691" t="e">
        <f t="shared" ca="1" si="10140"/>
        <v>#N/A</v>
      </c>
      <c r="DP559" s="4" t="e">
        <f ca="1">IF(AND(INDEX(WSM,DO559,4)&gt;=$AB557,INDEX(WSM,DO559,5)&gt;=$S551,INDEX(WSM,DO559,6)&gt;=$R551),1,0)</f>
        <v>#N/A</v>
      </c>
      <c r="DQ559" s="4" t="e">
        <f t="shared" ref="DQ559" ca="1" si="10260">MATCH(1,OFFSET(DP551:DP562,DR558,0,COUNT(DP551:DP562)-DR558),0)</f>
        <v>#REF!</v>
      </c>
      <c r="DR559" s="4" t="e">
        <f t="shared" ca="1" si="10142"/>
        <v>#REF!</v>
      </c>
      <c r="DS559" s="692" t="str">
        <f ca="1">IFERROR(VLOOKUP(INDEX(DO551:DO562,DR559),WSM,2,FALSE),"----")</f>
        <v>----</v>
      </c>
      <c r="DT559" s="691" t="e">
        <f t="shared" ca="1" si="10143"/>
        <v>#N/A</v>
      </c>
      <c r="DU559" s="4" t="e">
        <f ca="1">IF(AND(INDEX(STM,DT559,4)&gt;=$AB557,INDEX(STM,DT559,5)&gt;=$S551,INDEX(STM,DT559,6)&gt;=$R551),1,0)</f>
        <v>#N/A</v>
      </c>
      <c r="DV559" s="4" t="e">
        <f t="shared" ref="DV559" ca="1" si="10261">MATCH(1,OFFSET(DU551:DU562,DW558,0,COUNT(DU551:DU562)-DW558),0)</f>
        <v>#REF!</v>
      </c>
      <c r="DW559" s="4" t="e">
        <f t="shared" ca="1" si="10145"/>
        <v>#REF!</v>
      </c>
      <c r="DX559" s="692" t="str">
        <f ca="1">IFERROR(VLOOKUP(INDEX(DT551:DT562,DW559),STM,2,FALSE),"----")</f>
        <v>----</v>
      </c>
      <c r="DY559" s="691" t="e">
        <f t="shared" ca="1" si="10146"/>
        <v>#N/A</v>
      </c>
      <c r="DZ559" s="4" t="e">
        <f ca="1">IF(AND(INDEX(ELM,DY559,4)&gt;=$AB557,INDEX(ELM,DY559,5)&gt;=$S551,INDEX(ELM,DY559,6)&gt;=$R551),1,0)</f>
        <v>#N/A</v>
      </c>
      <c r="EA559" s="4" t="e">
        <f t="shared" ref="EA559" ca="1" si="10262">MATCH(1,OFFSET(DZ551:DZ562,EB558,0,COUNT(DZ551:DZ562)-EB558),0)</f>
        <v>#REF!</v>
      </c>
      <c r="EB559" s="4" t="e">
        <f t="shared" ca="1" si="10148"/>
        <v>#REF!</v>
      </c>
      <c r="EC559" s="692" t="str">
        <f ca="1">IFERROR(VLOOKUP(INDEX(DY551:DY562,EB559),ELM,2,FALSE),"----")</f>
        <v>----</v>
      </c>
      <c r="ED559" s="691" t="e">
        <f t="shared" ca="1" si="10149"/>
        <v>#N/A</v>
      </c>
      <c r="EE559" s="4" t="e">
        <f ca="1">IF(LEFT($J551,7)="Clad Wo",IF(AND(INDEX(SPPWS,ED559,4)&gt;=$AB557,INDEX(SPPWS,ED559,5)&gt;=$S551,INDEX(SPPWS,ED559,6)&gt;=$R551),1,0),IF(AND(INDEX(SPM,ED559,4)&gt;=$AB557,INDEX(SPM,ED559,5)&gt;=$S551,INDEX(SPM,ED559,6)&gt;=$R551),1,0))</f>
        <v>#N/A</v>
      </c>
      <c r="EF559" s="4" t="e">
        <f t="shared" ref="EF559" ca="1" si="10263">MATCH(1,OFFSET(EE551:EE562,EG558,0,COUNT(EE551:EE562)-EG558),0)</f>
        <v>#REF!</v>
      </c>
      <c r="EG559" s="4" t="e">
        <f t="shared" ca="1" si="10151"/>
        <v>#REF!</v>
      </c>
      <c r="EH559" s="692" t="str">
        <f ca="1">IF(LEFT($J551,7)="Clad Wo",IFERROR(VLOOKUP(INDEX(ED551:ED562,EG559),SPPWS,2,FALSE),"----"),IFERROR(VLOOKUP(INDEX(ED551:ED562,EG559),SPM,2,FALSE),"----"))</f>
        <v>----</v>
      </c>
    </row>
    <row r="560" spans="1:138" ht="15" customHeight="1" x14ac:dyDescent="0.25">
      <c r="A560" s="1085"/>
      <c r="B560" s="925"/>
      <c r="C560" s="926"/>
      <c r="D560" s="927"/>
      <c r="E560" s="995"/>
      <c r="F560" s="996"/>
      <c r="G560" s="997"/>
      <c r="H560" s="1062"/>
      <c r="I560" s="990"/>
      <c r="J560" s="902"/>
      <c r="K560" s="903"/>
      <c r="L560" s="1002"/>
      <c r="M560" s="923"/>
      <c r="N560" s="1042"/>
      <c r="O560" s="1018"/>
      <c r="P560" s="987"/>
      <c r="Q560" s="1015"/>
      <c r="R560" s="1012"/>
      <c r="S560" s="1006"/>
      <c r="T560" s="1007"/>
      <c r="U560" s="878"/>
      <c r="V560" s="881"/>
      <c r="W560" s="884"/>
      <c r="X560" s="884"/>
      <c r="Y560" s="887"/>
      <c r="Z560" s="887"/>
      <c r="AA560" s="887"/>
      <c r="AB560" s="1081"/>
      <c r="AC560" s="1078"/>
      <c r="AD560" s="1070" t="str">
        <f t="shared" si="10247"/>
        <v>Steel Tube</v>
      </c>
      <c r="AE560" s="1071"/>
      <c r="AF560" s="1052"/>
      <c r="AG560" s="1053"/>
      <c r="AH560" s="1053"/>
      <c r="AI560" s="1066"/>
      <c r="AJ560" s="1067"/>
      <c r="AK560" s="156" t="str">
        <f t="shared" ca="1" si="10024"/>
        <v/>
      </c>
      <c r="AL560" s="1059"/>
      <c r="AM560" s="343" t="str">
        <f ca="1">IFERROR(Q551/12*ROUND(VLOOKUP(AF560,OFFSET(STM,0,1),6,FALSE),2),"")</f>
        <v/>
      </c>
      <c r="AN560" t="str">
        <f t="shared" ca="1" si="10040"/>
        <v/>
      </c>
      <c r="AP560" s="122" t="str">
        <f t="shared" ref="AP560" si="10264">_xlfn.CONCAT(AR560,AS562)</f>
        <v/>
      </c>
      <c r="AQ560" s="683" t="str">
        <f t="shared" si="10249"/>
        <v/>
      </c>
      <c r="AR560" s="4" t="str">
        <f t="shared" si="10009"/>
        <v/>
      </c>
      <c r="AS560" s="4"/>
      <c r="AT560" s="697" t="str">
        <f>AL557</f>
        <v/>
      </c>
      <c r="AU560" s="694" t="e">
        <f t="shared" ref="AU560:AU622" ca="1" si="10265">AU559-1</f>
        <v>#REF!</v>
      </c>
      <c r="AV560" s="686" t="str">
        <f ca="1">IFERROR(VLOOKUP(AU560,INDIRECT(AQ551),2,FALSE),"----")</f>
        <v>----</v>
      </c>
      <c r="AW560" s="694" t="e">
        <f t="shared" ref="AW560:AW622" ca="1" si="10266">AW559-1</f>
        <v>#REF!</v>
      </c>
      <c r="AX560" s="686" t="str">
        <f ca="1">IFERROR(VLOOKUP(AW560,INDIRECT(AQ552),2,FALSE),"----")</f>
        <v>----</v>
      </c>
      <c r="AY560" s="694" t="e">
        <f t="shared" ca="1" si="9078"/>
        <v>#REF!</v>
      </c>
      <c r="AZ560" s="686" t="str">
        <f ca="1">IFERROR(VLOOKUP(AY560,INDIRECT(AQ553),2,FALSE),"----")</f>
        <v>----</v>
      </c>
      <c r="BA560" s="694" t="e">
        <f t="shared" ca="1" si="9079"/>
        <v>#REF!</v>
      </c>
      <c r="BB560" s="686" t="str">
        <f ca="1">IFERROR(VLOOKUP(BA560,INDIRECT(AQ554),2,FALSE),"----")</f>
        <v>----</v>
      </c>
      <c r="BC560" s="694" t="e">
        <f t="shared" ref="BC560:BC622" ca="1" si="10267">BC559-1</f>
        <v>#REF!</v>
      </c>
      <c r="BD560" s="686" t="str">
        <f ca="1">IFERROR(VLOOKUP(BC560,INDIRECT(AQ555),2,FALSE),"----")</f>
        <v>----</v>
      </c>
      <c r="BE560" s="694" t="e">
        <f t="shared" ref="BE560:BE622" ca="1" si="10268">BE559-1</f>
        <v>#REF!</v>
      </c>
      <c r="BF560" s="686" t="str">
        <f ca="1">IFERROR(VLOOKUP(BE560,INDIRECT(AQ556),2,FALSE),"----")</f>
        <v>----</v>
      </c>
      <c r="BG560" s="702" t="e">
        <f t="shared" ref="BG560:BG622" ca="1" si="10269">BG559-1</f>
        <v>#REF!</v>
      </c>
      <c r="BH560" s="686" t="str">
        <f ca="1">IFERROR(VLOOKUP(BG560,INDIRECT(AQ557),2,FALSE),"----")</f>
        <v>----</v>
      </c>
      <c r="BI560" s="702" t="e">
        <f t="shared" ref="BI560:BI622" ca="1" si="10270">BI559-1</f>
        <v>#REF!</v>
      </c>
      <c r="BJ560" s="686" t="str">
        <f ca="1">IFERROR(VLOOKUP(BI560,INDIRECT(AQ558),2,FALSE),"----")</f>
        <v>----</v>
      </c>
      <c r="BK560" s="702" t="e">
        <f t="shared" ref="BK560:BK622" ca="1" si="10271">BK559-1</f>
        <v>#REF!</v>
      </c>
      <c r="BL560" s="686" t="str">
        <f ca="1">IFERROR(VLOOKUP(BK560,INDIRECT(AQ559),2,FALSE),"----")</f>
        <v>----</v>
      </c>
      <c r="BM560" s="702" t="e">
        <f t="shared" ref="BM560:BM622" ca="1" si="10272">BM559-1</f>
        <v>#REF!</v>
      </c>
      <c r="BN560" s="686" t="str">
        <f ca="1">IFERROR(VLOOKUP(BM560,INDIRECT(AQ560),2,FALSE),"----")</f>
        <v>----</v>
      </c>
      <c r="BO560" s="702" t="e">
        <f t="shared" ref="BO560:BO622" ca="1" si="10273">BO559-1</f>
        <v>#REF!</v>
      </c>
      <c r="BP560" s="686" t="str">
        <f ca="1">IFERROR(VLOOKUP(BO560,INDIRECT(AQ561),2,FALSE),"----")</f>
        <v>----</v>
      </c>
      <c r="BQ560" s="702" t="e">
        <f t="shared" ref="BQ560:BQ622" ca="1" si="10274">BQ559-1</f>
        <v>#REF!</v>
      </c>
      <c r="BR560" s="686" t="str">
        <f ca="1">IFERROR(VLOOKUP(BQ560,INDIRECT(AQ562),2,FALSE),"----")</f>
        <v>----</v>
      </c>
      <c r="BS560" s="695">
        <f>IF(AI560="",1,IF(COUNTIF(BN551:BN562,AI560)=0,2,1))</f>
        <v>1</v>
      </c>
      <c r="BT560" s="696">
        <f>IF(AF560="",1,IF(BN551=".",2,1))</f>
        <v>1</v>
      </c>
      <c r="BU560" s="706"/>
      <c r="BV560" s="155">
        <f ca="1">IF(COUNTIF(DX551:DX562,AF560)=0,IF(AF560&lt;&gt;"",0,1),1)</f>
        <v>1</v>
      </c>
      <c r="BW560" s="157">
        <f ca="1">IFERROR(MATCH(AF560,DX551:DX562,0),1)</f>
        <v>1</v>
      </c>
      <c r="BX560" s="769" t="e">
        <f t="shared" ref="BX560" si="10275">5*E551^3*W557/(384*X551)</f>
        <v>#VALUE!</v>
      </c>
      <c r="BY560" s="769" t="e">
        <f t="shared" ref="BY560" si="10276">E551^3*W557/(60*X551)</f>
        <v>#VALUE!</v>
      </c>
      <c r="BZ560" s="1110"/>
      <c r="CA560" s="691" t="e">
        <f t="shared" ca="1" si="10116"/>
        <v>#REF!</v>
      </c>
      <c r="CB560" s="4" t="e" cm="1">
        <f t="array" aca="1" ref="CB560" ca="1">IF(AND(INDEX(INDIRECT(BY551),CA560,4)&gt;=$AB551,INDEX(INDIRECT(BY551),CA560,5)&gt;=$S551,INDEX(INDIRECT(BY551),CA560,6)&gt;=$R551),1,0)</f>
        <v>#REF!</v>
      </c>
      <c r="CC560" s="4" t="e">
        <f t="shared" ref="CC560" ca="1" si="10277">MATCH(1,OFFSET(CB551:CB562,CD559,0,COUNT(CB551:CB562)-CD559),0)</f>
        <v>#REF!</v>
      </c>
      <c r="CD560" s="4" t="e">
        <f t="shared" ca="1" si="10118"/>
        <v>#REF!</v>
      </c>
      <c r="CE560" s="692" t="str" cm="1">
        <f t="array" aca="1" ref="CE560" ca="1">IFERROR(VLOOKUP(INDEX(CA551:CA562,CD560),INDIRECT(BY551),2,FALSE),"----")</f>
        <v>----</v>
      </c>
      <c r="CF560" s="691" t="e">
        <f t="shared" ca="1" si="10119"/>
        <v>#N/A</v>
      </c>
      <c r="CG560" s="4" t="e">
        <f ca="1">IF(AND(INDEX(SSM,CF560,4)&gt;=$AB551,INDEX(SSM,CF560,5)&gt;=$S551,INDEX(SSM,CF560,6)&gt;=$R551),1,0)</f>
        <v>#N/A</v>
      </c>
      <c r="CH560" s="4" t="e">
        <f t="shared" ref="CH560" ca="1" si="10278">MATCH(1,OFFSET(CG551:CG562,CI559,0,COUNT(CG551:CG562)-CI559),0)</f>
        <v>#REF!</v>
      </c>
      <c r="CI560" s="4" t="e">
        <f t="shared" ca="1" si="10121"/>
        <v>#REF!</v>
      </c>
      <c r="CJ560" s="692" t="str">
        <f ca="1">IFERROR(IF(AD552="Nested Steel Stud (wood infill)",VLOOKUP(INDEX(CF551:CF562,CI560),SSW,2,FALSE),VLOOKUP(INDEX(CF551:CF562,CI560),SSM,2,FALSE)),"----")</f>
        <v>----</v>
      </c>
      <c r="CK560" s="691" t="e">
        <f t="shared" ca="1" si="10122"/>
        <v>#N/A</v>
      </c>
      <c r="CL560" s="4" t="e">
        <f ca="1">IF(AND(INDEX(WSM,CK560,4)&gt;=$AB551,INDEX(WSM,CK560,5)&gt;=$S551,INDEX(WSM,CK560,6)&gt;=$R551),1,0)</f>
        <v>#N/A</v>
      </c>
      <c r="CM560" s="4" t="e">
        <f t="shared" ref="CM560" ca="1" si="10279">MATCH(1,OFFSET(CL551:CL562,CN559,0,COUNT(CL551:CL562)-CN559),0)</f>
        <v>#REF!</v>
      </c>
      <c r="CN560" s="4" t="e">
        <f t="shared" ca="1" si="10124"/>
        <v>#REF!</v>
      </c>
      <c r="CO560" s="692" t="str">
        <f ca="1">IFERROR(VLOOKUP(INDEX(CK551:CK562,CN560),WSM,2,FALSE),"----")</f>
        <v>----</v>
      </c>
      <c r="CP560" s="691" t="e">
        <f t="shared" ca="1" si="10125"/>
        <v>#N/A</v>
      </c>
      <c r="CQ560" s="4" t="e">
        <f ca="1">IF(AND(INDEX(STM,CP560,4)&gt;=$AB551,INDEX(STM,CP560,5)&gt;=$S551,INDEX(STM,CP560,6)&gt;=$R551),1,0)</f>
        <v>#N/A</v>
      </c>
      <c r="CR560" s="4" t="e">
        <f t="shared" ref="CR560" ca="1" si="10280">MATCH(1,OFFSET(CQ551:CQ562,CS559,0,COUNT(CQ551:CQ562)-CS559),0)</f>
        <v>#REF!</v>
      </c>
      <c r="CS560" s="4" t="e">
        <f t="shared" ca="1" si="10127"/>
        <v>#REF!</v>
      </c>
      <c r="CT560" s="692" t="str">
        <f ca="1">IFERROR(VLOOKUP(INDEX(CP551:CP562,CS560),STM,2,FALSE),"----")</f>
        <v>----</v>
      </c>
      <c r="CU560" s="691" t="e">
        <f t="shared" ca="1" si="10128"/>
        <v>#N/A</v>
      </c>
      <c r="CV560" s="4" t="e">
        <f ca="1">IF(AND(INDEX(ELM,CU560,4)&gt;=$AB551,INDEX(ELM,CU560,5)&gt;=$S551,INDEX(ELM,CU560,6)&gt;=$R551),1,0)</f>
        <v>#N/A</v>
      </c>
      <c r="CW560" s="4" t="e">
        <f t="shared" ref="CW560" ca="1" si="10281">MATCH(1,OFFSET(CV551:CV562,CX559,0,COUNT(CV551:CV562)-CX559),0)</f>
        <v>#REF!</v>
      </c>
      <c r="CX560" s="4" t="e">
        <f t="shared" ca="1" si="10130"/>
        <v>#REF!</v>
      </c>
      <c r="CY560" s="692" t="str">
        <f ca="1">IFERROR(VLOOKUP(INDEX(CU551:CU562,CX560),ELM,2,FALSE),"----")</f>
        <v>----</v>
      </c>
      <c r="CZ560" s="691" t="e">
        <f t="shared" ca="1" si="10131"/>
        <v>#N/A</v>
      </c>
      <c r="DA560" s="4" t="e">
        <f ca="1">IF(LEFT($J551,7)="Clad Wo",IF(AND(INDEX(SPPWS,CZ560,4)&gt;=$AB551,INDEX(SPPWS,CZ560,5)&gt;=$S551,INDEX(SPPWS,CZ560,6)&gt;=$R551),1,0),IF(AND(INDEX(SPM,CZ560,4)&gt;=$AB551,INDEX(SPM,CZ560,5)&gt;=$S551,INDEX(SPM,CZ560,6)&gt;=$R551),1,0))</f>
        <v>#N/A</v>
      </c>
      <c r="DB560" s="4" t="e">
        <f t="shared" ref="DB560" ca="1" si="10282">MATCH(1,OFFSET(DA551:DA562,DC559,0,COUNT(DA551:DA562)-DC559),0)</f>
        <v>#REF!</v>
      </c>
      <c r="DC560" s="4" t="e">
        <f t="shared" ca="1" si="10133"/>
        <v>#REF!</v>
      </c>
      <c r="DD560" s="693" t="str">
        <f ca="1">IF(LEFT($J551,7)="Clad Wo",IFERROR(VLOOKUP(INDEX(CZ551:CZ562,DC560),SPPWS,2,FALSE),"----"),IFERROR(VLOOKUP(INDEX(CZ551:CZ562,DC560),SPM,2,FALSE),"----"))</f>
        <v>----</v>
      </c>
      <c r="DE560" s="691" t="e">
        <f t="shared" ca="1" si="10134"/>
        <v>#REF!</v>
      </c>
      <c r="DF560" s="4" t="e" cm="1">
        <f t="array" aca="1" ref="DF560" ca="1">IF(AND(INDEX(INDIRECT(BY551),DE560,4)&gt;=$AB557,INDEX(INDIRECT(BY551),DE560,5)&gt;=$S551,INDEX(INDIRECT(BY551),DE560,6)&gt;=$R551),1,0)</f>
        <v>#REF!</v>
      </c>
      <c r="DG560" s="4" t="e">
        <f t="shared" ref="DG560" ca="1" si="10283">MATCH(1,OFFSET(DF551:DF562,DH559,0,COUNT(DF551:DF562)-DH559),0)</f>
        <v>#REF!</v>
      </c>
      <c r="DH560" s="4" t="e">
        <f t="shared" ca="1" si="10136"/>
        <v>#REF!</v>
      </c>
      <c r="DI560" s="692" t="str" cm="1">
        <f t="array" aca="1" ref="DI560" ca="1">IFERROR(VLOOKUP(INDEX(DE551:DE562,DH560),INDIRECT(BY551),2,FALSE),"----")</f>
        <v>----</v>
      </c>
      <c r="DJ560" s="691" t="e">
        <f t="shared" ca="1" si="10137"/>
        <v>#N/A</v>
      </c>
      <c r="DK560" s="4" t="e">
        <f ca="1">IF(AND(INDEX(SSM,DJ560,4)&gt;=$AB557,INDEX(SSM,DJ560,5)&gt;=$S551,INDEX(SSM,DJ560,6)&gt;=$R551),1,0)</f>
        <v>#N/A</v>
      </c>
      <c r="DL560" s="4" t="e">
        <f t="shared" ref="DL560" ca="1" si="10284">MATCH(1,OFFSET(DK551:DK562,DM559,0,COUNT(DK551:DK562)-DM559),0)</f>
        <v>#REF!</v>
      </c>
      <c r="DM560" s="4" t="e">
        <f t="shared" ca="1" si="10139"/>
        <v>#REF!</v>
      </c>
      <c r="DN560" s="692" t="str">
        <f ca="1">IFERROR(IF(AD558="Nested Steel Stud (wood infill)",VLOOKUP(INDEX(DJ551:DJ562,DM560),SSW,2,FALSE),VLOOKUP(INDEX(DJ551:DJ562,DM560),SSM,2,FALSE)),"----")</f>
        <v>----</v>
      </c>
      <c r="DO560" s="691" t="e">
        <f t="shared" ca="1" si="10140"/>
        <v>#N/A</v>
      </c>
      <c r="DP560" s="4" t="e">
        <f ca="1">IF(AND(INDEX(WSM,DO560,4)&gt;=$AB557,INDEX(WSM,DO560,5)&gt;=$S551,INDEX(WSM,DO560,6)&gt;=$R551),1,0)</f>
        <v>#N/A</v>
      </c>
      <c r="DQ560" s="4" t="e">
        <f t="shared" ref="DQ560" ca="1" si="10285">MATCH(1,OFFSET(DP551:DP562,DR559,0,COUNT(DP551:DP562)-DR559),0)</f>
        <v>#REF!</v>
      </c>
      <c r="DR560" s="4" t="e">
        <f t="shared" ca="1" si="10142"/>
        <v>#REF!</v>
      </c>
      <c r="DS560" s="692" t="str">
        <f ca="1">IFERROR(VLOOKUP(INDEX(DO551:DO562,DR560),WSM,2,FALSE),"----")</f>
        <v>----</v>
      </c>
      <c r="DT560" s="691" t="e">
        <f t="shared" ca="1" si="10143"/>
        <v>#N/A</v>
      </c>
      <c r="DU560" s="4" t="e">
        <f ca="1">IF(AND(INDEX(STM,DT560,4)&gt;=$AB557,INDEX(STM,DT560,5)&gt;=$S551,INDEX(STM,DT560,6)&gt;=$R551),1,0)</f>
        <v>#N/A</v>
      </c>
      <c r="DV560" s="4" t="e">
        <f t="shared" ref="DV560" ca="1" si="10286">MATCH(1,OFFSET(DU551:DU562,DW559,0,COUNT(DU551:DU562)-DW559),0)</f>
        <v>#REF!</v>
      </c>
      <c r="DW560" s="4" t="e">
        <f t="shared" ca="1" si="10145"/>
        <v>#REF!</v>
      </c>
      <c r="DX560" s="692" t="str">
        <f ca="1">IFERROR(VLOOKUP(INDEX(DT551:DT562,DW560),STM,2,FALSE),"----")</f>
        <v>----</v>
      </c>
      <c r="DY560" s="691" t="e">
        <f t="shared" ca="1" si="10146"/>
        <v>#N/A</v>
      </c>
      <c r="DZ560" s="4" t="e">
        <f ca="1">IF(AND(INDEX(ELM,DY560,4)&gt;=$AB557,INDEX(ELM,DY560,5)&gt;=$S551,INDEX(ELM,DY560,6)&gt;=$R551),1,0)</f>
        <v>#N/A</v>
      </c>
      <c r="EA560" s="4" t="e">
        <f t="shared" ref="EA560" ca="1" si="10287">MATCH(1,OFFSET(DZ551:DZ562,EB559,0,COUNT(DZ551:DZ562)-EB559),0)</f>
        <v>#REF!</v>
      </c>
      <c r="EB560" s="4" t="e">
        <f t="shared" ca="1" si="10148"/>
        <v>#REF!</v>
      </c>
      <c r="EC560" s="692" t="str">
        <f ca="1">IFERROR(VLOOKUP(INDEX(DY551:DY562,EB560),ELM,2,FALSE),"----")</f>
        <v>----</v>
      </c>
      <c r="ED560" s="691" t="e">
        <f t="shared" ca="1" si="10149"/>
        <v>#N/A</v>
      </c>
      <c r="EE560" s="4" t="e">
        <f ca="1">IF(LEFT($J551,7)="Clad Wo",IF(AND(INDEX(SPPWS,ED560,4)&gt;=$AB557,INDEX(SPPWS,ED560,5)&gt;=$S551,INDEX(SPPWS,ED560,6)&gt;=$R551),1,0),IF(AND(INDEX(SPM,ED560,4)&gt;=$AB557,INDEX(SPM,ED560,5)&gt;=$S551,INDEX(SPM,ED560,6)&gt;=$R551),1,0))</f>
        <v>#N/A</v>
      </c>
      <c r="EF560" s="4" t="e">
        <f t="shared" ref="EF560" ca="1" si="10288">MATCH(1,OFFSET(EE551:EE562,EG559,0,COUNT(EE551:EE562)-EG559),0)</f>
        <v>#REF!</v>
      </c>
      <c r="EG560" s="4" t="e">
        <f t="shared" ca="1" si="10151"/>
        <v>#REF!</v>
      </c>
      <c r="EH560" s="692" t="str">
        <f ca="1">IF(LEFT($J551,7)="Clad Wo",IFERROR(VLOOKUP(INDEX(ED551:ED562,EG560),SPPWS,2,FALSE),"----"),IFERROR(VLOOKUP(INDEX(ED551:ED562,EG560),SPM,2,FALSE),"----"))</f>
        <v>----</v>
      </c>
    </row>
    <row r="561" spans="1:138" ht="15" customHeight="1" x14ac:dyDescent="0.25">
      <c r="A561" s="1085"/>
      <c r="B561" s="925"/>
      <c r="C561" s="926"/>
      <c r="D561" s="927"/>
      <c r="E561" s="995"/>
      <c r="F561" s="996"/>
      <c r="G561" s="997"/>
      <c r="H561" s="1062"/>
      <c r="I561" s="990"/>
      <c r="J561" s="902"/>
      <c r="K561" s="903"/>
      <c r="L561" s="1002"/>
      <c r="M561" s="923"/>
      <c r="N561" s="1042"/>
      <c r="O561" s="1018"/>
      <c r="P561" s="987"/>
      <c r="Q561" s="1015"/>
      <c r="R561" s="1012"/>
      <c r="S561" s="1006"/>
      <c r="T561" s="1007"/>
      <c r="U561" s="878"/>
      <c r="V561" s="881"/>
      <c r="W561" s="884"/>
      <c r="X561" s="884"/>
      <c r="Y561" s="887"/>
      <c r="Z561" s="887"/>
      <c r="AA561" s="887"/>
      <c r="AB561" s="1081"/>
      <c r="AC561" s="1078"/>
      <c r="AD561" s="1070" t="str">
        <f t="shared" si="10247"/>
        <v>Engineered Lumber</v>
      </c>
      <c r="AE561" s="1071"/>
      <c r="AF561" s="1052"/>
      <c r="AG561" s="1053"/>
      <c r="AH561" s="1053"/>
      <c r="AI561" s="1068"/>
      <c r="AJ561" s="1069"/>
      <c r="AK561" s="154" t="str">
        <f t="shared" ca="1" si="10024"/>
        <v/>
      </c>
      <c r="AL561" s="1059"/>
      <c r="AM561" s="344" t="str">
        <f ca="1">IFERROR(Q551/12*ROUND(VLOOKUP(AF561,OFFSET(ELM,0,1),6,FALSE),2),"")</f>
        <v/>
      </c>
      <c r="AN561" t="str">
        <f t="shared" ca="1" si="10040"/>
        <v/>
      </c>
      <c r="AP561" s="122" t="str">
        <f t="shared" ref="AP561" si="10289">_xlfn.CONCAT(AR561,AS562)</f>
        <v/>
      </c>
      <c r="AQ561" s="683" t="str">
        <f t="shared" si="10249"/>
        <v/>
      </c>
      <c r="AR561" s="4" t="str">
        <f t="shared" si="10009"/>
        <v/>
      </c>
      <c r="AS561" s="4"/>
      <c r="AT561" s="697" t="str">
        <f>AL557</f>
        <v/>
      </c>
      <c r="AU561" s="694" t="e">
        <f t="shared" ca="1" si="10265"/>
        <v>#REF!</v>
      </c>
      <c r="AV561" s="698" t="str">
        <f ca="1">IFERROR(VLOOKUP(AU561,INDIRECT(AQ551),2,FALSE),"----")</f>
        <v>----</v>
      </c>
      <c r="AW561" s="694" t="e">
        <f t="shared" ca="1" si="10266"/>
        <v>#REF!</v>
      </c>
      <c r="AX561" s="698" t="str">
        <f ca="1">IFERROR(VLOOKUP(AW561,INDIRECT(AQ552),2,FALSE),"----")</f>
        <v>----</v>
      </c>
      <c r="AY561" s="694" t="e">
        <f t="shared" ca="1" si="9078"/>
        <v>#REF!</v>
      </c>
      <c r="AZ561" s="698" t="str">
        <f ca="1">IFERROR(VLOOKUP(AY561,INDIRECT(AQ553),2,FALSE),"----")</f>
        <v>----</v>
      </c>
      <c r="BA561" s="694" t="e">
        <f t="shared" ca="1" si="9079"/>
        <v>#REF!</v>
      </c>
      <c r="BB561" s="698" t="str">
        <f ca="1">IFERROR(VLOOKUP(BA561,INDIRECT(AQ554),2,FALSE),"----")</f>
        <v>----</v>
      </c>
      <c r="BC561" s="694" t="e">
        <f t="shared" ca="1" si="10267"/>
        <v>#REF!</v>
      </c>
      <c r="BD561" s="698" t="str">
        <f ca="1">IFERROR(VLOOKUP(BC561,INDIRECT(AQ555),2,FALSE),"----")</f>
        <v>----</v>
      </c>
      <c r="BE561" s="694" t="e">
        <f t="shared" ca="1" si="10268"/>
        <v>#REF!</v>
      </c>
      <c r="BF561" s="698" t="str">
        <f ca="1">IFERROR(VLOOKUP(BE561,INDIRECT(AQ556),2,FALSE),"----")</f>
        <v>----</v>
      </c>
      <c r="BG561" s="702" t="e">
        <f t="shared" ca="1" si="10269"/>
        <v>#REF!</v>
      </c>
      <c r="BH561" s="686" t="str">
        <f ca="1">IFERROR(VLOOKUP(BG561,INDIRECT(AQ557),2,FALSE),"----")</f>
        <v>----</v>
      </c>
      <c r="BI561" s="702" t="e">
        <f t="shared" ca="1" si="10270"/>
        <v>#REF!</v>
      </c>
      <c r="BJ561" s="686" t="str">
        <f ca="1">IFERROR(VLOOKUP(BI561,INDIRECT(AQ558),2,FALSE),"----")</f>
        <v>----</v>
      </c>
      <c r="BK561" s="702" t="e">
        <f t="shared" ca="1" si="10271"/>
        <v>#REF!</v>
      </c>
      <c r="BL561" s="686" t="str">
        <f ca="1">IFERROR(VLOOKUP(BK561,INDIRECT(AQ559),2,FALSE),"----")</f>
        <v>----</v>
      </c>
      <c r="BM561" s="702" t="e">
        <f t="shared" ca="1" si="10272"/>
        <v>#REF!</v>
      </c>
      <c r="BN561" s="686" t="str">
        <f ca="1">IFERROR(VLOOKUP(BM561,INDIRECT(AQ560),2,FALSE),"----")</f>
        <v>----</v>
      </c>
      <c r="BO561" s="702" t="e">
        <f t="shared" ca="1" si="10273"/>
        <v>#REF!</v>
      </c>
      <c r="BP561" s="686" t="str">
        <f ca="1">IFERROR(VLOOKUP(BO561,INDIRECT(AQ561),2,FALSE),"----")</f>
        <v>----</v>
      </c>
      <c r="BQ561" s="702" t="e">
        <f t="shared" ca="1" si="10274"/>
        <v>#REF!</v>
      </c>
      <c r="BR561" s="686" t="str">
        <f ca="1">IFERROR(VLOOKUP(BQ561,INDIRECT(AQ562),2,FALSE),"----")</f>
        <v>----</v>
      </c>
      <c r="BS561" s="695">
        <f>IF(AI561="",1,IF(COUNTIF(BP551:BP562,AI561)=0,2,1))</f>
        <v>1</v>
      </c>
      <c r="BT561" s="696">
        <f>IF(AF561="",1,IF(BP551=".",2,1))</f>
        <v>1</v>
      </c>
      <c r="BU561" s="706"/>
      <c r="BV561" s="155">
        <f ca="1">IF(COUNTIF(EC551:EC562,AF561)=0,IF(AF561&lt;&gt;"",0,1),1)</f>
        <v>1</v>
      </c>
      <c r="BW561" s="157">
        <f ca="1">IFERROR(MATCH(AF561,EC551:EC562,0),1)</f>
        <v>1</v>
      </c>
      <c r="BX561" s="769"/>
      <c r="BY561" s="769"/>
      <c r="BZ561" s="1110"/>
      <c r="CA561" s="691" t="e">
        <f t="shared" ca="1" si="10116"/>
        <v>#REF!</v>
      </c>
      <c r="CB561" s="4" t="e" cm="1">
        <f t="array" aca="1" ref="CB561" ca="1">IF(AND(INDEX(INDIRECT(BY551),CA561,4)&gt;=$AB551,INDEX(INDIRECT(BY551),CA561,5)&gt;=$S551,INDEX(INDIRECT(BY551),CA561,6)&gt;=$R551),1,0)</f>
        <v>#REF!</v>
      </c>
      <c r="CC561" s="4" t="e">
        <f t="shared" ref="CC561" ca="1" si="10290">MATCH(1,OFFSET(CB551:CB562,CD560,0,COUNT(CB551:CB562)-CD560),0)</f>
        <v>#REF!</v>
      </c>
      <c r="CD561" s="4" t="e">
        <f t="shared" ca="1" si="10118"/>
        <v>#REF!</v>
      </c>
      <c r="CE561" s="692" t="str" cm="1">
        <f t="array" aca="1" ref="CE561" ca="1">IFERROR(VLOOKUP(INDEX(CA551:CA562,CD561),INDIRECT(BY551),2,FALSE),"----")</f>
        <v>----</v>
      </c>
      <c r="CF561" s="691" t="e">
        <f t="shared" ca="1" si="10119"/>
        <v>#N/A</v>
      </c>
      <c r="CG561" s="4" t="e">
        <f ca="1">IF(AND(INDEX(SSM,CF561,4)&gt;=$AB551,INDEX(SSM,CF561,5)&gt;=$S551,INDEX(SSM,CF561,6)&gt;=$R551),1,0)</f>
        <v>#N/A</v>
      </c>
      <c r="CH561" s="4" t="e">
        <f t="shared" ref="CH561" ca="1" si="10291">MATCH(1,OFFSET(CG551:CG562,CI560,0,COUNT(CG551:CG562)-CI560),0)</f>
        <v>#REF!</v>
      </c>
      <c r="CI561" s="4" t="e">
        <f t="shared" ca="1" si="10121"/>
        <v>#REF!</v>
      </c>
      <c r="CJ561" s="692" t="str">
        <f ca="1">IFERROR(IF(AD552="Nested Steel Stud (wood infill)",VLOOKUP(INDEX(CF551:CF562,CI561),SSW,2,FALSE),VLOOKUP(INDEX(CF551:CF562,CI561),SSM,2,FALSE)),"----")</f>
        <v>----</v>
      </c>
      <c r="CK561" s="691" t="e">
        <f t="shared" ca="1" si="10122"/>
        <v>#N/A</v>
      </c>
      <c r="CL561" s="4" t="e">
        <f ca="1">IF(AND(INDEX(WSM,CK561,4)&gt;=$AB551,INDEX(WSM,CK561,5)&gt;=$S551,INDEX(WSM,CK561,6)&gt;=$R551),1,0)</f>
        <v>#N/A</v>
      </c>
      <c r="CM561" s="4" t="e">
        <f t="shared" ref="CM561" ca="1" si="10292">MATCH(1,OFFSET(CL551:CL562,CN560,0,COUNT(CL551:CL562)-CN560),0)</f>
        <v>#REF!</v>
      </c>
      <c r="CN561" s="4" t="e">
        <f t="shared" ca="1" si="10124"/>
        <v>#REF!</v>
      </c>
      <c r="CO561" s="692" t="str">
        <f ca="1">IFERROR(VLOOKUP(INDEX(CK551:CK562,CN561),WSM,2,FALSE),"----")</f>
        <v>----</v>
      </c>
      <c r="CP561" s="691" t="e">
        <f t="shared" ca="1" si="10125"/>
        <v>#N/A</v>
      </c>
      <c r="CQ561" s="4" t="e">
        <f ca="1">IF(AND(INDEX(STM,CP561,4)&gt;=$AB551,INDEX(STM,CP561,5)&gt;=$S551,INDEX(STM,CP561,6)&gt;=$R551),1,0)</f>
        <v>#N/A</v>
      </c>
      <c r="CR561" s="4" t="e">
        <f t="shared" ref="CR561" ca="1" si="10293">MATCH(1,OFFSET(CQ551:CQ562,CS560,0,COUNT(CQ551:CQ562)-CS560),0)</f>
        <v>#REF!</v>
      </c>
      <c r="CS561" s="4" t="e">
        <f t="shared" ca="1" si="10127"/>
        <v>#REF!</v>
      </c>
      <c r="CT561" s="692" t="str">
        <f ca="1">IFERROR(VLOOKUP(INDEX(CP551:CP562,CS561),STM,2,FALSE),"----")</f>
        <v>----</v>
      </c>
      <c r="CU561" s="691" t="e">
        <f t="shared" ca="1" si="10128"/>
        <v>#N/A</v>
      </c>
      <c r="CV561" s="4" t="e">
        <f ca="1">IF(AND(INDEX(ELM,CU561,4)&gt;=$AB551,INDEX(ELM,CU561,5)&gt;=$S551,INDEX(ELM,CU561,6)&gt;=$R551),1,0)</f>
        <v>#N/A</v>
      </c>
      <c r="CW561" s="4" t="e">
        <f t="shared" ref="CW561" ca="1" si="10294">MATCH(1,OFFSET(CV551:CV562,CX560,0,COUNT(CV551:CV562)-CX560),0)</f>
        <v>#REF!</v>
      </c>
      <c r="CX561" s="4" t="e">
        <f t="shared" ca="1" si="10130"/>
        <v>#REF!</v>
      </c>
      <c r="CY561" s="692" t="str">
        <f ca="1">IFERROR(VLOOKUP(INDEX(CU551:CU562,CX561),ELM,2,FALSE),"----")</f>
        <v>----</v>
      </c>
      <c r="CZ561" s="691" t="e">
        <f t="shared" ca="1" si="10131"/>
        <v>#N/A</v>
      </c>
      <c r="DA561" s="4" t="e">
        <f ca="1">IF(LEFT($J551,7)="Clad Wo",IF(AND(INDEX(SPPWS,CZ561,4)&gt;=$AB551,INDEX(SPPWS,CZ561,5)&gt;=$S551,INDEX(SPPWS,CZ561,6)&gt;=$R551),1,0),IF(AND(INDEX(SPM,CZ561,4)&gt;=$AB551,INDEX(SPM,CZ561,5)&gt;=$S551,INDEX(SPM,CZ561,6)&gt;=$R551),1,0))</f>
        <v>#N/A</v>
      </c>
      <c r="DB561" s="4" t="e">
        <f t="shared" ref="DB561" ca="1" si="10295">MATCH(1,OFFSET(DA551:DA562,DC560,0,COUNT(DA551:DA562)-DC560),0)</f>
        <v>#REF!</v>
      </c>
      <c r="DC561" s="4" t="e">
        <f t="shared" ca="1" si="10133"/>
        <v>#REF!</v>
      </c>
      <c r="DD561" s="693" t="str">
        <f ca="1">IF(LEFT($J551,7)="Clad Wo",IFERROR(VLOOKUP(INDEX(CZ551:CZ562,DC561),SPPWS,2,FALSE),"----"),IFERROR(VLOOKUP(INDEX(CZ551:CZ562,DC561),SPM,2,FALSE),"----"))</f>
        <v>----</v>
      </c>
      <c r="DE561" s="691" t="e">
        <f t="shared" ca="1" si="10134"/>
        <v>#REF!</v>
      </c>
      <c r="DF561" s="4" t="e" cm="1">
        <f t="array" aca="1" ref="DF561" ca="1">IF(AND(INDEX(INDIRECT(BY551),DE561,4)&gt;=$AB557,INDEX(INDIRECT(BY551),DE561,5)&gt;=$S551,INDEX(INDIRECT(BY551),DE561,6)&gt;=$R551),1,0)</f>
        <v>#REF!</v>
      </c>
      <c r="DG561" s="4" t="e">
        <f t="shared" ref="DG561" ca="1" si="10296">MATCH(1,OFFSET(DF551:DF562,DH560,0,COUNT(DF551:DF562)-DH560),0)</f>
        <v>#REF!</v>
      </c>
      <c r="DH561" s="4" t="e">
        <f t="shared" ca="1" si="10136"/>
        <v>#REF!</v>
      </c>
      <c r="DI561" s="692" t="str" cm="1">
        <f t="array" aca="1" ref="DI561" ca="1">IFERROR(VLOOKUP(INDEX(DE551:DE562,DH561),INDIRECT(BY551),2,FALSE),"----")</f>
        <v>----</v>
      </c>
      <c r="DJ561" s="691" t="e">
        <f t="shared" ca="1" si="10137"/>
        <v>#N/A</v>
      </c>
      <c r="DK561" s="4" t="e">
        <f ca="1">IF(AND(INDEX(SSM,DJ561,4)&gt;=$AB557,INDEX(SSM,DJ561,5)&gt;=$S551,INDEX(SSM,DJ561,6)&gt;=$R551),1,0)</f>
        <v>#N/A</v>
      </c>
      <c r="DL561" s="4" t="e">
        <f t="shared" ref="DL561" ca="1" si="10297">MATCH(1,OFFSET(DK551:DK562,DM560,0,COUNT(DK551:DK562)-DM560),0)</f>
        <v>#REF!</v>
      </c>
      <c r="DM561" s="4" t="e">
        <f t="shared" ca="1" si="10139"/>
        <v>#REF!</v>
      </c>
      <c r="DN561" s="692" t="str">
        <f ca="1">IFERROR(IF(AD558="Nested Steel Stud (wood infill)",VLOOKUP(INDEX(DJ551:DJ562,DM561),SSW,2,FALSE),VLOOKUP(INDEX(DJ551:DJ562,DM561),SSM,2,FALSE)),"----")</f>
        <v>----</v>
      </c>
      <c r="DO561" s="691" t="e">
        <f t="shared" ca="1" si="10140"/>
        <v>#N/A</v>
      </c>
      <c r="DP561" s="4" t="e">
        <f ca="1">IF(AND(INDEX(WSM,DO561,4)&gt;=$AB557,INDEX(WSM,DO561,5)&gt;=$S551,INDEX(WSM,DO561,6)&gt;=$R551),1,0)</f>
        <v>#N/A</v>
      </c>
      <c r="DQ561" s="4" t="e">
        <f t="shared" ref="DQ561" ca="1" si="10298">MATCH(1,OFFSET(DP551:DP562,DR560,0,COUNT(DP551:DP562)-DR560),0)</f>
        <v>#REF!</v>
      </c>
      <c r="DR561" s="4" t="e">
        <f t="shared" ca="1" si="10142"/>
        <v>#REF!</v>
      </c>
      <c r="DS561" s="692" t="str">
        <f ca="1">IFERROR(VLOOKUP(INDEX(DO551:DO562,DR561),WSM,2,FALSE),"----")</f>
        <v>----</v>
      </c>
      <c r="DT561" s="691" t="e">
        <f t="shared" ca="1" si="10143"/>
        <v>#N/A</v>
      </c>
      <c r="DU561" s="4" t="e">
        <f ca="1">IF(AND(INDEX(STM,DT561,4)&gt;=$AB557,INDEX(STM,DT561,5)&gt;=$S551,INDEX(STM,DT561,6)&gt;=$R551),1,0)</f>
        <v>#N/A</v>
      </c>
      <c r="DV561" s="4" t="e">
        <f t="shared" ref="DV561" ca="1" si="10299">MATCH(1,OFFSET(DU551:DU562,DW560,0,COUNT(DU551:DU562)-DW560),0)</f>
        <v>#REF!</v>
      </c>
      <c r="DW561" s="4" t="e">
        <f t="shared" ca="1" si="10145"/>
        <v>#REF!</v>
      </c>
      <c r="DX561" s="692" t="str">
        <f ca="1">IFERROR(VLOOKUP(INDEX(DT551:DT562,DW561),STM,2,FALSE),"----")</f>
        <v>----</v>
      </c>
      <c r="DY561" s="691" t="e">
        <f t="shared" ca="1" si="10146"/>
        <v>#N/A</v>
      </c>
      <c r="DZ561" s="4" t="e">
        <f ca="1">IF(AND(INDEX(ELM,DY561,4)&gt;=$AB557,INDEX(ELM,DY561,5)&gt;=$S551,INDEX(ELM,DY561,6)&gt;=$R551),1,0)</f>
        <v>#N/A</v>
      </c>
      <c r="EA561" s="4" t="e">
        <f t="shared" ref="EA561" ca="1" si="10300">MATCH(1,OFFSET(DZ551:DZ562,EB560,0,COUNT(DZ551:DZ562)-EB560),0)</f>
        <v>#REF!</v>
      </c>
      <c r="EB561" s="4" t="e">
        <f t="shared" ca="1" si="10148"/>
        <v>#REF!</v>
      </c>
      <c r="EC561" s="692" t="str">
        <f ca="1">IFERROR(VLOOKUP(INDEX(DY551:DY562,EB561),ELM,2,FALSE),"----")</f>
        <v>----</v>
      </c>
      <c r="ED561" s="691" t="e">
        <f t="shared" ca="1" si="10149"/>
        <v>#N/A</v>
      </c>
      <c r="EE561" s="4" t="e">
        <f ca="1">IF(LEFT($J551,7)="Clad Wo",IF(AND(INDEX(SPPWS,ED561,4)&gt;=$AB557,INDEX(SPPWS,ED561,5)&gt;=$S551,INDEX(SPPWS,ED561,6)&gt;=$R551),1,0),IF(AND(INDEX(SPM,ED561,4)&gt;=$AB557,INDEX(SPM,ED561,5)&gt;=$S551,INDEX(SPM,ED561,6)&gt;=$R551),1,0))</f>
        <v>#N/A</v>
      </c>
      <c r="EF561" s="4" t="e">
        <f t="shared" ref="EF561" ca="1" si="10301">MATCH(1,OFFSET(EE551:EE562,EG560,0,COUNT(EE551:EE562)-EG560),0)</f>
        <v>#REF!</v>
      </c>
      <c r="EG561" s="4" t="e">
        <f t="shared" ca="1" si="10151"/>
        <v>#REF!</v>
      </c>
      <c r="EH561" s="692" t="str">
        <f ca="1">IF(LEFT($J551,7)="Clad Wo",IFERROR(VLOOKUP(INDEX(ED551:ED562,EG561),SPPWS,2,FALSE),"----"),IFERROR(VLOOKUP(INDEX(ED551:ED562,EG561),SPM,2,FALSE),"----"))</f>
        <v>----</v>
      </c>
    </row>
    <row r="562" spans="1:138" ht="15" customHeight="1" thickBot="1" x14ac:dyDescent="0.3">
      <c r="A562" s="1085"/>
      <c r="B562" s="928"/>
      <c r="C562" s="929"/>
      <c r="D562" s="930"/>
      <c r="E562" s="998"/>
      <c r="F562" s="999"/>
      <c r="G562" s="1000"/>
      <c r="H562" s="1063"/>
      <c r="I562" s="991"/>
      <c r="J562" s="904"/>
      <c r="K562" s="905"/>
      <c r="L562" s="1003"/>
      <c r="M562" s="1065"/>
      <c r="N562" s="1043"/>
      <c r="O562" s="1019"/>
      <c r="P562" s="988"/>
      <c r="Q562" s="1016"/>
      <c r="R562" s="1013"/>
      <c r="S562" s="1008"/>
      <c r="T562" s="1009"/>
      <c r="U562" s="879"/>
      <c r="V562" s="882"/>
      <c r="W562" s="885"/>
      <c r="X562" s="885"/>
      <c r="Y562" s="888"/>
      <c r="Z562" s="888"/>
      <c r="AA562" s="888"/>
      <c r="AB562" s="1082"/>
      <c r="AC562" s="1087"/>
      <c r="AD562" s="1098" t="str">
        <f t="shared" ref="AD562" si="10302">IF(LEFT(J551,7)="Clad Wo","Pella Wood Spr / Steel Pte","Steel Plate")</f>
        <v>Steel Plate</v>
      </c>
      <c r="AE562" s="1099"/>
      <c r="AF562" s="1096"/>
      <c r="AG562" s="1097"/>
      <c r="AH562" s="1097"/>
      <c r="AI562" s="1094"/>
      <c r="AJ562" s="1095"/>
      <c r="AK562" s="163" t="str">
        <f t="shared" ca="1" si="10024"/>
        <v/>
      </c>
      <c r="AL562" s="1060"/>
      <c r="AM562" s="345" t="str">
        <f ca="1">IFERROR(Q551/12*ROUND(VLOOKUP(AF562,OFFSET(SPM,0,1),6,FALSE),2),"")</f>
        <v/>
      </c>
      <c r="AN562" t="str">
        <f t="shared" ca="1" si="10040"/>
        <v/>
      </c>
      <c r="AP562" s="699" t="str">
        <f t="shared" ref="AP562" si="10303">_xlfn.CONCAT(AR562,AS562)</f>
        <v/>
      </c>
      <c r="AQ562" s="700" t="str">
        <f t="shared" si="10249"/>
        <v/>
      </c>
      <c r="AR562" s="160" t="str">
        <f t="shared" si="10009"/>
        <v/>
      </c>
      <c r="AS562" s="160" t="str">
        <f>IFERROR(VLOOKUP(J559, WallType,2,FALSE),"")</f>
        <v/>
      </c>
      <c r="AT562" s="707" t="str">
        <f>AL557</f>
        <v/>
      </c>
      <c r="AU562" s="708" t="e">
        <f t="shared" ca="1" si="10265"/>
        <v>#REF!</v>
      </c>
      <c r="AV562" s="709" t="str">
        <f ca="1">IFERROR(VLOOKUP(AU562,INDIRECT(AQ551),2,FALSE),"----")</f>
        <v>----</v>
      </c>
      <c r="AW562" s="710" t="e">
        <f t="shared" ca="1" si="10266"/>
        <v>#REF!</v>
      </c>
      <c r="AX562" s="709" t="str">
        <f ca="1">IFERROR(VLOOKUP(AW562,INDIRECT(AQ552),2,FALSE),"----")</f>
        <v>----</v>
      </c>
      <c r="AY562" s="710" t="e">
        <f t="shared" ca="1" si="9078"/>
        <v>#REF!</v>
      </c>
      <c r="AZ562" s="709" t="str">
        <f ca="1">IFERROR(VLOOKUP(AY562,INDIRECT(AQ553),2,FALSE),"----")</f>
        <v>----</v>
      </c>
      <c r="BA562" s="710" t="e">
        <f t="shared" ca="1" si="9079"/>
        <v>#REF!</v>
      </c>
      <c r="BB562" s="709" t="str">
        <f ca="1">IFERROR(VLOOKUP(BA562,INDIRECT(AQ554),2,FALSE),"----")</f>
        <v>----</v>
      </c>
      <c r="BC562" s="710" t="e">
        <f t="shared" ca="1" si="10267"/>
        <v>#REF!</v>
      </c>
      <c r="BD562" s="709" t="str">
        <f ca="1">IFERROR(VLOOKUP(BC562,INDIRECT(AQ555),2,FALSE),"----")</f>
        <v>----</v>
      </c>
      <c r="BE562" s="710" t="e">
        <f t="shared" ca="1" si="10268"/>
        <v>#REF!</v>
      </c>
      <c r="BF562" s="709" t="str">
        <f ca="1">IFERROR(VLOOKUP(BE562,INDIRECT(AQ556),2,FALSE),"----")</f>
        <v>----</v>
      </c>
      <c r="BG562" s="710" t="e">
        <f t="shared" ca="1" si="10269"/>
        <v>#REF!</v>
      </c>
      <c r="BH562" s="711" t="str">
        <f ca="1">IFERROR(VLOOKUP(BG562,INDIRECT(AQ557),2,FALSE),"----")</f>
        <v>----</v>
      </c>
      <c r="BI562" s="710" t="e">
        <f t="shared" ca="1" si="10270"/>
        <v>#REF!</v>
      </c>
      <c r="BJ562" s="711" t="str">
        <f ca="1">IFERROR(VLOOKUP(BI562,INDIRECT(AQ558),2,FALSE),"----")</f>
        <v>----</v>
      </c>
      <c r="BK562" s="710" t="e">
        <f t="shared" ca="1" si="10271"/>
        <v>#REF!</v>
      </c>
      <c r="BL562" s="711" t="str">
        <f ca="1">IFERROR(VLOOKUP(BK562,INDIRECT(AQ559),2,FALSE),"----")</f>
        <v>----</v>
      </c>
      <c r="BM562" s="710" t="e">
        <f t="shared" ca="1" si="10272"/>
        <v>#REF!</v>
      </c>
      <c r="BN562" s="711" t="str">
        <f ca="1">IFERROR(VLOOKUP(BM562,INDIRECT(AQ560),2,FALSE),"----")</f>
        <v>----</v>
      </c>
      <c r="BO562" s="710" t="e">
        <f t="shared" ca="1" si="10273"/>
        <v>#REF!</v>
      </c>
      <c r="BP562" s="711" t="str">
        <f ca="1">IFERROR(VLOOKUP(BO562,INDIRECT(AQ561),2,FALSE),"----")</f>
        <v>----</v>
      </c>
      <c r="BQ562" s="710" t="e">
        <f t="shared" ca="1" si="10274"/>
        <v>#REF!</v>
      </c>
      <c r="BR562" s="712" t="str">
        <f ca="1">IFERROR(VLOOKUP(BQ562,INDIRECT(AQ562),2,FALSE),"----")</f>
        <v>----</v>
      </c>
      <c r="BS562" s="695">
        <f>IF(AI562="",1,IF(COUNTIF(BR551:BR562,AI562)=0,2,1))</f>
        <v>1</v>
      </c>
      <c r="BT562" s="713">
        <f>IF(AF562="",1,IF(BR551=".",2,1))</f>
        <v>1</v>
      </c>
      <c r="BV562" s="155">
        <f ca="1">IF(COUNTIF(EH551:EH562,AF562)=0,IF(AF562&lt;&gt;"",0,1),1)</f>
        <v>1</v>
      </c>
      <c r="BW562" s="157">
        <f ca="1">IFERROR(MATCH(AF562,EH551:EH562,0),1)</f>
        <v>1</v>
      </c>
      <c r="BX562" s="718"/>
      <c r="BY562" s="777"/>
      <c r="BZ562" s="1110"/>
      <c r="CA562" s="714" t="e">
        <f t="shared" ca="1" si="10116"/>
        <v>#REF!</v>
      </c>
      <c r="CB562" s="715" t="e" cm="1">
        <f t="array" aca="1" ref="CB562" ca="1">IF(AND(INDEX(INDIRECT(BY551),CA562,4)&gt;=$AB551,INDEX(INDIRECT(BY551),CA562,5)&gt;=$S551,INDEX(INDIRECT(BY551),CA562,6)&gt;=$R551),1,0)</f>
        <v>#REF!</v>
      </c>
      <c r="CC562" s="715" t="e">
        <f t="shared" ref="CC562" ca="1" si="10304">MATCH(1,OFFSET(CB551:CB562,CD561,0,COUNT(CB551:CB562)-CD561),0)</f>
        <v>#REF!</v>
      </c>
      <c r="CD562" s="715" t="e">
        <f t="shared" ca="1" si="10118"/>
        <v>#REF!</v>
      </c>
      <c r="CE562" s="716" t="str" cm="1">
        <f t="array" aca="1" ref="CE562" ca="1">IFERROR(VLOOKUP(INDEX(CA551:CA562,CD562),INDIRECT(BY551),2,FALSE),"----")</f>
        <v>----</v>
      </c>
      <c r="CF562" s="714" t="e">
        <f t="shared" ca="1" si="10119"/>
        <v>#N/A</v>
      </c>
      <c r="CG562" s="715" t="e">
        <f ca="1">IF(AND(INDEX(SSM,CF562,4)&gt;=$AB551,INDEX(SSM,CF562,5)&gt;=$S551,INDEX(SSM,CF562,6)&gt;=$R551),1,0)</f>
        <v>#N/A</v>
      </c>
      <c r="CH562" s="715" t="e">
        <f t="shared" ref="CH562" ca="1" si="10305">MATCH(1,OFFSET(CG551:CG562,CI561,0,COUNT(CG551:CG562)-CI561),0)</f>
        <v>#REF!</v>
      </c>
      <c r="CI562" s="715" t="e">
        <f t="shared" ca="1" si="10121"/>
        <v>#REF!</v>
      </c>
      <c r="CJ562" s="716" t="str">
        <f ca="1">IFERROR(IF(AD552="Nested Steel Stud (wood infill)",VLOOKUP(INDEX(CF551:CF562,CI562),SSW,2,FALSE),VLOOKUP(INDEX(CF551:CF562,CI562),SSM,2,FALSE)),"----")</f>
        <v>----</v>
      </c>
      <c r="CK562" s="714" t="e">
        <f t="shared" ca="1" si="10122"/>
        <v>#N/A</v>
      </c>
      <c r="CL562" s="715" t="e">
        <f ca="1">IF(AND(INDEX(WSM,CK562,4)&gt;=$AB551,INDEX(WSM,CK562,5)&gt;=$S551,INDEX(WSM,CK562,6)&gt;=$R551),1,0)</f>
        <v>#N/A</v>
      </c>
      <c r="CM562" s="715" t="e">
        <f t="shared" ref="CM562" ca="1" si="10306">MATCH(1,OFFSET(CL551:CL562,CN561,0,COUNT(CL551:CL562)-CN561),0)</f>
        <v>#REF!</v>
      </c>
      <c r="CN562" s="715" t="e">
        <f t="shared" ca="1" si="10124"/>
        <v>#REF!</v>
      </c>
      <c r="CO562" s="716" t="str">
        <f ca="1">IFERROR(VLOOKUP(INDEX(CK551:CK562,CN562),WSM,2,FALSE),"----")</f>
        <v>----</v>
      </c>
      <c r="CP562" s="714" t="e">
        <f t="shared" ca="1" si="10125"/>
        <v>#N/A</v>
      </c>
      <c r="CQ562" s="715" t="e">
        <f ca="1">IF(AND(INDEX(STM,CP562,4)&gt;=$AB551,INDEX(STM,CP562,5)&gt;=$S551,INDEX(STM,CP562,6)&gt;=$R551),1,0)</f>
        <v>#N/A</v>
      </c>
      <c r="CR562" s="715" t="e">
        <f t="shared" ref="CR562" ca="1" si="10307">MATCH(1,OFFSET(CQ551:CQ562,CS561,0,COUNT(CQ551:CQ562)-CS561),0)</f>
        <v>#REF!</v>
      </c>
      <c r="CS562" s="715" t="e">
        <f t="shared" ca="1" si="10127"/>
        <v>#REF!</v>
      </c>
      <c r="CT562" s="716" t="str">
        <f ca="1">IFERROR(VLOOKUP(INDEX(CP551:CP562,CS562),STM,2,FALSE),"----")</f>
        <v>----</v>
      </c>
      <c r="CU562" s="714" t="e">
        <f t="shared" ca="1" si="10128"/>
        <v>#N/A</v>
      </c>
      <c r="CV562" s="715" t="e">
        <f ca="1">IF(AND(INDEX(ELM,CU562,4)&gt;=$AB551,INDEX(ELM,CU562,5)&gt;=$S551,INDEX(ELM,CU562,6)&gt;=$R551),1,0)</f>
        <v>#N/A</v>
      </c>
      <c r="CW562" s="715" t="e">
        <f t="shared" ref="CW562" ca="1" si="10308">MATCH(1,OFFSET(CV551:CV562,CX561,0,COUNT(CV551:CV562)-CX561),0)</f>
        <v>#REF!</v>
      </c>
      <c r="CX562" s="715" t="e">
        <f t="shared" ca="1" si="10130"/>
        <v>#REF!</v>
      </c>
      <c r="CY562" s="716" t="str">
        <f ca="1">IFERROR(VLOOKUP(INDEX(CU551:CU562,CX562),ELM,2,FALSE),"----")</f>
        <v>----</v>
      </c>
      <c r="CZ562" s="714" t="e">
        <f t="shared" ca="1" si="10131"/>
        <v>#N/A</v>
      </c>
      <c r="DA562" s="715" t="e">
        <f ca="1">IF(LEFT($J551,7)="Clad Wo",IF(AND(INDEX(SPPWS,CZ562,4)&gt;=$AB551,INDEX(SPPWS,CZ562,5)&gt;=$S551,INDEX(SPPWS,CZ562,6)&gt;=$R551),1,0),IF(AND(INDEX(SPM,CZ562,4)&gt;=$AB551,INDEX(SPM,CZ562,5)&gt;=$S551,INDEX(SPM,CZ562,6)&gt;=$R551),1,0))</f>
        <v>#N/A</v>
      </c>
      <c r="DB562" s="715" t="e">
        <f t="shared" ref="DB562" ca="1" si="10309">MATCH(1,OFFSET(DA551:DA562,DC561,0,COUNT(DA551:DA562)-DC561),0)</f>
        <v>#REF!</v>
      </c>
      <c r="DC562" s="715" t="e">
        <f t="shared" ca="1" si="10133"/>
        <v>#REF!</v>
      </c>
      <c r="DD562" s="717" t="str">
        <f ca="1">IF(LEFT($J551,7)="Clad Wo",IFERROR(VLOOKUP(INDEX(CZ551:CZ562,DC562),SPPWS,2,FALSE),"----"),IFERROR(VLOOKUP(INDEX(CZ551:CZ562,DC562),SPM,2,FALSE),"----"))</f>
        <v>----</v>
      </c>
      <c r="DE562" s="714" t="e">
        <f t="shared" ca="1" si="10134"/>
        <v>#REF!</v>
      </c>
      <c r="DF562" s="715" t="e" cm="1">
        <f t="array" aca="1" ref="DF562" ca="1">IF(AND(INDEX(INDIRECT(BY551),DE562,4)&gt;=$AB557,INDEX(INDIRECT(BY551),DE562,5)&gt;=$S551,INDEX(INDIRECT(BY551),DE562,6)&gt;=$R551),1,0)</f>
        <v>#REF!</v>
      </c>
      <c r="DG562" s="715" t="e">
        <f t="shared" ref="DG562" ca="1" si="10310">MATCH(1,OFFSET(DF551:DF562,DH561,0,COUNT(DF551:DF562)-DH561),0)</f>
        <v>#REF!</v>
      </c>
      <c r="DH562" s="715" t="e">
        <f t="shared" ca="1" si="10136"/>
        <v>#REF!</v>
      </c>
      <c r="DI562" s="716" t="str" cm="1">
        <f t="array" aca="1" ref="DI562" ca="1">IFERROR(VLOOKUP(INDEX(DE551:DE562,DH562),INDIRECT(BY551),2,FALSE),"----")</f>
        <v>----</v>
      </c>
      <c r="DJ562" s="714" t="e">
        <f t="shared" ca="1" si="10137"/>
        <v>#N/A</v>
      </c>
      <c r="DK562" s="715" t="e">
        <f ca="1">IF(AND(INDEX(SSM,DJ562,4)&gt;=$AB557,INDEX(SSM,DJ562,5)&gt;=$S551,INDEX(SSM,DJ562,6)&gt;=$R551),1,0)</f>
        <v>#N/A</v>
      </c>
      <c r="DL562" s="715" t="e">
        <f t="shared" ref="DL562" ca="1" si="10311">MATCH(1,OFFSET(DK551:DK562,DM561,0,COUNT(DK551:DK562)-DM561),0)</f>
        <v>#REF!</v>
      </c>
      <c r="DM562" s="715" t="e">
        <f t="shared" ca="1" si="10139"/>
        <v>#REF!</v>
      </c>
      <c r="DN562" s="716" t="str">
        <f ca="1">IFERROR(IF(AD558="Nested Steel Stud (wood infill)",VLOOKUP(INDEX(DJ551:DJ562,DM562),SSW,2,FALSE),VLOOKUP(INDEX(DJ551:DJ562,DM562),SSM,2,FALSE)),"----")</f>
        <v>----</v>
      </c>
      <c r="DO562" s="714" t="e">
        <f t="shared" ca="1" si="10140"/>
        <v>#N/A</v>
      </c>
      <c r="DP562" s="715" t="e">
        <f ca="1">IF(AND(INDEX(WSM,DO562,4)&gt;=$AB557,INDEX(WSM,DO562,5)&gt;=$S551,INDEX(WSM,DO562,6)&gt;=$R551),1,0)</f>
        <v>#N/A</v>
      </c>
      <c r="DQ562" s="715" t="e">
        <f t="shared" ref="DQ562" ca="1" si="10312">MATCH(1,OFFSET(DP551:DP562,DR561,0,COUNT(DP551:DP562)-DR561),0)</f>
        <v>#REF!</v>
      </c>
      <c r="DR562" s="715" t="e">
        <f t="shared" ca="1" si="10142"/>
        <v>#REF!</v>
      </c>
      <c r="DS562" s="716" t="str">
        <f ca="1">IFERROR(VLOOKUP(INDEX(DO551:DO562,DR562),WSM,2,FALSE),"----")</f>
        <v>----</v>
      </c>
      <c r="DT562" s="714" t="e">
        <f t="shared" ca="1" si="10143"/>
        <v>#N/A</v>
      </c>
      <c r="DU562" s="715" t="e">
        <f ca="1">IF(AND(INDEX(STM,DT562,4)&gt;=$AB557,INDEX(STM,DT562,5)&gt;=$S551,INDEX(STM,DT562,6)&gt;=$R551),1,0)</f>
        <v>#N/A</v>
      </c>
      <c r="DV562" s="715" t="e">
        <f t="shared" ref="DV562" ca="1" si="10313">MATCH(1,OFFSET(DU551:DU562,DW561,0,COUNT(DU551:DU562)-DW561),0)</f>
        <v>#REF!</v>
      </c>
      <c r="DW562" s="715" t="e">
        <f t="shared" ca="1" si="10145"/>
        <v>#REF!</v>
      </c>
      <c r="DX562" s="716" t="str">
        <f ca="1">IFERROR(VLOOKUP(INDEX(DT551:DT562,DW562),STM,2,FALSE),"----")</f>
        <v>----</v>
      </c>
      <c r="DY562" s="714" t="e">
        <f t="shared" ca="1" si="10146"/>
        <v>#N/A</v>
      </c>
      <c r="DZ562" s="715" t="e">
        <f ca="1">IF(AND(INDEX(ELM,DY562,4)&gt;=$AB557,INDEX(ELM,DY562,5)&gt;=$S551,INDEX(ELM,DY562,6)&gt;=$R551),1,0)</f>
        <v>#N/A</v>
      </c>
      <c r="EA562" s="715" t="e">
        <f t="shared" ref="EA562" ca="1" si="10314">MATCH(1,OFFSET(DZ551:DZ562,EB561,0,COUNT(DZ551:DZ562)-EB561),0)</f>
        <v>#REF!</v>
      </c>
      <c r="EB562" s="715" t="e">
        <f t="shared" ca="1" si="10148"/>
        <v>#REF!</v>
      </c>
      <c r="EC562" s="716" t="str">
        <f ca="1">IFERROR(VLOOKUP(INDEX(DY551:DY562,EB562),ELM,2,FALSE),"----")</f>
        <v>----</v>
      </c>
      <c r="ED562" s="714" t="e">
        <f t="shared" ca="1" si="10149"/>
        <v>#N/A</v>
      </c>
      <c r="EE562" s="715" t="e">
        <f ca="1">IF(LEFT($J551,7)="Clad Wo",IF(AND(INDEX(SPPWS,ED562,4)&gt;=$AB557,INDEX(SPPWS,ED562,5)&gt;=$S551,INDEX(SPPWS,ED562,6)&gt;=$R551),1,0),IF(AND(INDEX(SPM,ED562,4)&gt;=$AB557,INDEX(SPM,ED562,5)&gt;=$S551,INDEX(SPM,ED562,6)&gt;=$R551),1,0))</f>
        <v>#N/A</v>
      </c>
      <c r="EF562" s="715" t="e">
        <f t="shared" ref="EF562" ca="1" si="10315">MATCH(1,OFFSET(EE551:EE562,EG561,0,COUNT(EE551:EE562)-EG561),0)</f>
        <v>#REF!</v>
      </c>
      <c r="EG562" s="715" t="e">
        <f t="shared" ca="1" si="10151"/>
        <v>#REF!</v>
      </c>
      <c r="EH562" s="716" t="str">
        <f ca="1">IF(LEFT($J551,7)="Clad Wo",IFERROR(VLOOKUP(INDEX(ED551:ED562,EG562),SPPWS,2,FALSE),"----"),IFERROR(VLOOKUP(INDEX(ED551:ED562,EG562),SPM,2,FALSE),"----"))</f>
        <v>----</v>
      </c>
    </row>
    <row r="563" spans="1:138" ht="15" customHeight="1" thickTop="1" x14ac:dyDescent="0.25">
      <c r="A563" s="1085"/>
      <c r="B563" s="931" t="s">
        <v>92</v>
      </c>
      <c r="C563" s="932"/>
      <c r="D563" s="933"/>
      <c r="E563" s="992"/>
      <c r="F563" s="993"/>
      <c r="G563" s="994"/>
      <c r="H563" s="1061"/>
      <c r="I563" s="989"/>
      <c r="J563" s="906"/>
      <c r="K563" s="907"/>
      <c r="L563" s="1001">
        <f>$W$3</f>
        <v>4</v>
      </c>
      <c r="M563" s="923" t="str">
        <f t="shared" ref="M563" si="10316">IFERROR(IF($AE$13="",IF($AG$19="Wind Loading",MIN($V$31,IF(E$11="ASCE 7-05",$U$26,$V$7)*$V$9*(IF($E$12&lt;60,0.0771*LN(MAX(MIN(500,O563),10)) -1.2737,IF($E$11="ASCE 7-22",0.0524*LN(MAX(MIN(500,O563),50))-1.0278,0.0614*LN(MAX(MIN(500,O563),20)) -1.0829))-$V$8)),$V$7*IF(E$12&lt;60,$V$13*($V$15*0.0771*LN(MAX(MIN(500,O563),10))-1.2737-$V$16),$V$13*$V$15*((0.0524*LN(MAX(MIN(500,O563),20))-1.0278)-$V$16))),-ABS($AE$13)),"")</f>
        <v/>
      </c>
      <c r="N563" s="1042" t="str">
        <f t="shared" ref="N563" si="10317">IFERROR(IF($AE$15="",IF($AG$19="Wind Loading",MAX($U$31,IF(E$11="ASCE 7-05",$U$26,$V$7)*$V$9*((IF($E$12&lt;60,-0.077*LN(MAX(MIN(500,O563),10))+1.1737,IF($E$11="ASCE 7-22",-0.077*LN(MAX(MIN(500,O563),20))+1.0798,-0.093*LN(MAX(MIN(500,O563),20))+1.1776)))+$V$8)),$V$7*IF(E$12&lt;60,$V$13*($V$15*(-0.077*LN(MAX(MIN(500,O563),10))+1.1737)-$V$17),$V$13*$V$15*((-0.077*LN(MAX(MIN(500,O563),20))+1.0798)-$V$17))),ABS($AE$15)),"")</f>
        <v/>
      </c>
      <c r="O563" s="1017" t="str">
        <f>IF(BX570=0,"",IF(AG$14="Trapezoidal",BY570,BX570))</f>
        <v/>
      </c>
      <c r="P563" s="986"/>
      <c r="Q563" s="1014"/>
      <c r="R563" s="1011">
        <f>P563*Q563/8</f>
        <v>0</v>
      </c>
      <c r="S563" s="1004">
        <f t="shared" ref="S563" si="10318">IF(5*(P563*Q563^3/(384*0.125))=0,0,5*(P563*Q563^3/(384*0.125)))</f>
        <v>0</v>
      </c>
      <c r="T563" s="1005"/>
      <c r="U563" s="877" t="e">
        <f ca="1">VLOOKUP(J567,INDIRECT(VLOOKUP(J563,FrameStrength,2,FALSE)),3,FALSE)</f>
        <v>#N/A</v>
      </c>
      <c r="V563" s="880">
        <f t="shared" ref="V563" si="10319">(H563+I563)/2</f>
        <v>0</v>
      </c>
      <c r="W563" s="883" t="e">
        <f t="shared" ref="W563" si="10320">MAX(-M563,N563)*O563</f>
        <v>#VALUE!</v>
      </c>
      <c r="X563" s="883">
        <f t="shared" ref="X563" si="10321">IF(E563&gt;162,(E563/240+0.25),IF(AND(E563&lt;162,E563/175&lt;0.75),E563/175,0.75))</f>
        <v>0</v>
      </c>
      <c r="Y563" s="886">
        <f>IFERROR(IF(AG$14="Trapezoidal",BY571,BX571)+IF($E$17="4",(400*E563^3)/(48*X563),0),0)</f>
        <v>0</v>
      </c>
      <c r="Z563" s="886" t="e">
        <f t="shared" ref="Z563" si="10322">+($V563*MAX(-$M563,$N563)*$E563^2)/(144*8)+IF($E$17=4,(400*$E563)/4,0)</f>
        <v>#VALUE!</v>
      </c>
      <c r="AA563" s="886" t="e">
        <f ca="1">VLOOKUP(J567,INDIRECT(VLOOKUP(J563,FrameStrength,2,FALSE)),2,FALSE)</f>
        <v>#N/A</v>
      </c>
      <c r="AB563" s="1083" t="str">
        <f t="shared" ref="AB563" ca="1" si="10323">IFERROR(Z563-AA563,"")</f>
        <v/>
      </c>
      <c r="AC563" s="1077" t="str">
        <f t="shared" ref="AC563" ca="1" si="10324">IFERROR(Y563-U563,"")</f>
        <v/>
      </c>
      <c r="AD563" s="1100" t="str">
        <f>IFERROR(IF(LEFT(J567,2)="As",VLOOKUP(J567,EIMM,4,FALSE),VLOOKUP(J563,EIMM,4,FALSE)),IF(AND(ISNUMBER(SEARCH("Impervia",J563)),ISNUMBER(SEARCH("door",J567))),'New Lookup Cells'!AF$10,IF(ISNUMBER(SEARCH("Impervia",J563)),'New Lookup Cells'!AF$7,IF(AND(ISNUMBER(SEARCH("250",J563)),ISNUMBER(SEARCH("door",J567))),'New Lookup Cells'!AF$14,IF(ISNUMBER(SEARCH("250",J563)),'New Lookup Cells'!AF$13,"")))))</f>
        <v/>
      </c>
      <c r="AE563" s="1101"/>
      <c r="AF563" s="1050"/>
      <c r="AG563" s="1051"/>
      <c r="AH563" s="1051"/>
      <c r="AI563" s="1088"/>
      <c r="AJ563" s="1089"/>
      <c r="AK563" s="154" t="str">
        <f t="shared" ca="1" si="10024"/>
        <v/>
      </c>
      <c r="AL563" s="1038" t="str">
        <f t="shared" ref="AL563" si="10325">IFERROR(ROUND(SQRT(P563^2+(W563/2+IF($E$17=4,200,0))^2),0),"")</f>
        <v/>
      </c>
      <c r="AM563" s="342" t="s">
        <v>669</v>
      </c>
      <c r="AN563" t="str">
        <f t="shared" ca="1" si="10040"/>
        <v/>
      </c>
      <c r="AP563" s="122" t="str">
        <f t="shared" ref="AP563" si="10326">_xlfn.CONCAT(AR563,AS568)</f>
        <v/>
      </c>
      <c r="AQ563" s="683" t="str">
        <f t="shared" si="10249"/>
        <v/>
      </c>
      <c r="AR563" s="96" t="str">
        <f t="shared" si="10009"/>
        <v/>
      </c>
      <c r="AS563" s="96" t="str">
        <f>IF(COUNTIF(imp_1,AF563)=1,"imp_1",IF(COUNTIF(imp_2,AF563)=1,"imp_2",IF(COUNTIF(imp_3,AF563)=1,"imp_3",IF(COUNTIF(impdoor,AF563)=1,"impdoor",""))))</f>
        <v/>
      </c>
      <c r="AT563" s="684" t="str">
        <f>AL563</f>
        <v/>
      </c>
      <c r="AU563" s="685" t="e">
        <f ca="1">MATCH(AL563,INDIRECT(AP563),-1)</f>
        <v>#REF!</v>
      </c>
      <c r="AV563" s="686" t="str">
        <f ca="1">IFERROR(VLOOKUP(AU563,INDIRECT(AQ563),2,FALSE),"----")</f>
        <v>----</v>
      </c>
      <c r="AW563" s="685" t="e">
        <f ca="1">MATCH(AL563,INDIRECT(AP564),-1)</f>
        <v>#REF!</v>
      </c>
      <c r="AX563" s="686" t="str">
        <f ca="1">IFERROR(VLOOKUP(AW563,INDIRECT(AQ564),2,FALSE),"----")</f>
        <v>----</v>
      </c>
      <c r="AY563" s="685" t="e">
        <f ca="1">MATCH(AL563,INDIRECT(AP565),-1)</f>
        <v>#REF!</v>
      </c>
      <c r="AZ563" s="686" t="str">
        <f ca="1">IFERROR(VLOOKUP(AY563,INDIRECT(AQ565),2,FALSE),"----")</f>
        <v>----</v>
      </c>
      <c r="BA563" s="685" t="e">
        <f ca="1">MATCH(AL563,INDIRECT(AP566),-1)</f>
        <v>#REF!</v>
      </c>
      <c r="BB563" s="686" t="str">
        <f ca="1">IFERROR(VLOOKUP(BA563,INDIRECT(AQ566),2,FALSE),"----")</f>
        <v>----</v>
      </c>
      <c r="BC563" s="685" t="e">
        <f ca="1">MATCH(AL563,INDIRECT(AP567),-1)</f>
        <v>#REF!</v>
      </c>
      <c r="BD563" s="686" t="str">
        <f ca="1">IFERROR(VLOOKUP(BC563,INDIRECT(AQ567),2,FALSE),"----")</f>
        <v>----</v>
      </c>
      <c r="BE563" s="685" t="e">
        <f ca="1">MATCH(AL563,INDIRECT(AP568),-1)</f>
        <v>#REF!</v>
      </c>
      <c r="BF563" s="686" t="str">
        <f ca="1">IFERROR(VLOOKUP(BE563,INDIRECT(AQ568),2,FALSE),"----")</f>
        <v>----</v>
      </c>
      <c r="BG563" s="685" t="e">
        <f ca="1">MATCH(AL569,INDIRECT(AP569),-1)</f>
        <v>#REF!</v>
      </c>
      <c r="BH563" s="686" t="str">
        <f ca="1">IFERROR(VLOOKUP(BG563,INDIRECT(AQ569),2,FALSE),"----")</f>
        <v>----</v>
      </c>
      <c r="BI563" s="685" t="e">
        <f ca="1">MATCH(AL569,INDIRECT(AP570),-1)</f>
        <v>#REF!</v>
      </c>
      <c r="BJ563" s="686" t="str">
        <f ca="1">IFERROR(VLOOKUP(BI563,INDIRECT(AQ570),2,FALSE),"----")</f>
        <v>----</v>
      </c>
      <c r="BK563" s="685" t="e">
        <f ca="1">MATCH(AL569,INDIRECT(AP571),-1)</f>
        <v>#REF!</v>
      </c>
      <c r="BL563" s="686" t="str">
        <f ca="1">IFERROR(VLOOKUP(BK563,INDIRECT(AQ571),2,FALSE),"----")</f>
        <v>----</v>
      </c>
      <c r="BM563" s="685" t="e">
        <f ca="1">MATCH(AL569,INDIRECT(AP572),-1)</f>
        <v>#REF!</v>
      </c>
      <c r="BN563" s="686" t="str">
        <f ca="1">IFERROR(VLOOKUP(BM563,INDIRECT(AQ572),2,FALSE),"----")</f>
        <v>----</v>
      </c>
      <c r="BO563" s="685" t="e">
        <f ca="1">MATCH(AL569,INDIRECT(AP573),-1)</f>
        <v>#REF!</v>
      </c>
      <c r="BP563" s="686" t="str">
        <f ca="1">IFERROR(VLOOKUP(BO563,INDIRECT(AQ573),2,FALSE),"----")</f>
        <v>----</v>
      </c>
      <c r="BQ563" s="685" t="e">
        <f ca="1">MATCH(AL569,INDIRECT(AP574),-1)</f>
        <v>#REF!</v>
      </c>
      <c r="BR563" s="686" t="str">
        <f ca="1">IFERROR(VLOOKUP(BQ563,INDIRECT(AQ574),2,FALSE),"----")</f>
        <v>----</v>
      </c>
      <c r="BS563" s="687">
        <f>IF(AI563="",1,IF(COUNTIF(AV563:AV574,AI563)=0,2,1))</f>
        <v>1</v>
      </c>
      <c r="BT563" s="688">
        <f>IF(AP563="1",1,IF(AF563="",1,IF(AV563=".",2,1)))</f>
        <v>1</v>
      </c>
      <c r="BU563" s="706"/>
      <c r="BV563" s="155">
        <f ca="1">IF(COUNTIF(CE563:CE574,AF563)=0,IF(AF563&lt;&gt;"",0,1),1)</f>
        <v>1</v>
      </c>
      <c r="BW563" s="157">
        <f ca="1">IFERROR(MATCH(AF563,CE563:CE574,0),1)</f>
        <v>1</v>
      </c>
      <c r="BX563" s="769" t="str">
        <f>IFERROR(IF(LEFT(J567,2)="As",VLOOKUP(J567,EIMM,2,FALSE),IF(AND(ISNUMBER(SEARCH("Impervia",J563)),ISNUMBER(SEARCH("door",J567))),VLOOKUP("Impervia Door",EIMM,2,FALSE),IF(AND(ISNUMBER(SEARCH("250",J563)),ISNUMBER(SEARCH("door",J567))),VLOOKUP("250 Series Door",EIMM,2,FALSE),VLOOKUP(J563,EIMM,2,FALSE)))),"")</f>
        <v/>
      </c>
      <c r="BY563" s="769" t="str">
        <f ca="1">IFERROR(VLOOKUP(BX563,OFFSET(EIMM,0,1),2,FALSE),"")</f>
        <v/>
      </c>
      <c r="BZ563" s="1110" t="e">
        <f ca="1">IF((COUNTIF(INDIRECT(SUBSTITUTE(J563," ","_")),J567))=0,IF(J567="",1,0),1)</f>
        <v>#REF!</v>
      </c>
      <c r="CA563" s="691" t="e">
        <f ca="1">MATCH(AC563,INDIRECT(BX563),-1)</f>
        <v>#REF!</v>
      </c>
      <c r="CB563" s="4" t="e" cm="1">
        <f t="array" aca="1" ref="CB563" ca="1">IF(AND(INDEX(INDIRECT(BY563),CA563,4)&gt;=$AB563,INDEX(INDIRECT(BY563),CA563,5)&gt;=$S563,INDEX(INDIRECT(BY563),CA563,6)&gt;=$R563),1,0)</f>
        <v>#REF!</v>
      </c>
      <c r="CC563" s="4" t="e">
        <f t="shared" ref="CC563" ca="1" si="10327">MATCH(1,OFFSET(CB563:CB574,$W$2,0,COUNT(CB563:CB574)-$W$2),0)</f>
        <v>#REF!</v>
      </c>
      <c r="CD563" s="4" t="e">
        <f t="shared" ref="CD563" ca="1" si="10328">$W$2+CC563</f>
        <v>#REF!</v>
      </c>
      <c r="CE563" s="692" t="str" cm="1">
        <f t="array" aca="1" ref="CE563" ca="1">IFERROR(VLOOKUP(INDEX(CA563:CA574,CD563),INDIRECT(BY563),2,FALSE),"----")</f>
        <v>----</v>
      </c>
      <c r="CF563" s="691" t="e">
        <f ca="1">MATCH($AC563,SSEI,-1)</f>
        <v>#N/A</v>
      </c>
      <c r="CG563" s="4" t="e">
        <f ca="1">IF(AND(INDEX(SSM,CF563,4)&gt;=$AB563,INDEX(SSM,CF563,5)&gt;=$S563,INDEX(SSM,CF563,6)&gt;=$R563),1,0)</f>
        <v>#N/A</v>
      </c>
      <c r="CH563" s="4" t="e">
        <f t="shared" ref="CH563" ca="1" si="10329">MATCH(1,OFFSET(CG563:CG574,$W$2,0,COUNT(CG563:CG574)-$W$2),0)</f>
        <v>#REF!</v>
      </c>
      <c r="CI563" s="4" t="e">
        <f t="shared" ref="CI563" ca="1" si="10330">$W$2+CH563</f>
        <v>#REF!</v>
      </c>
      <c r="CJ563" s="692" t="str">
        <f ca="1">IFERROR(IF(AD564="Nested Steel Stud (wood infill)",VLOOKUP(INDEX(CF563:CF574,CI563),SSW,2,FALSE),VLOOKUP(INDEX(CF563:CF574,CI563),SSM,2,FALSE)),"----")</f>
        <v>----</v>
      </c>
      <c r="CK563" s="691" t="e">
        <f ca="1">MATCH($AC563,WSEI,-1)</f>
        <v>#N/A</v>
      </c>
      <c r="CL563" s="4" t="e">
        <f ca="1">IF(AND(INDEX(WSM,CK563,4)&gt;=$AB563,INDEX(WSM,CK563,5)&gt;=$S563,INDEX(WSM,CK563,6)&gt;=$R563),1,0)</f>
        <v>#N/A</v>
      </c>
      <c r="CM563" s="4" t="e">
        <f t="shared" ref="CM563" ca="1" si="10331">MATCH(1,OFFSET(CL563:CL574,$W$2,0,COUNT(CL563:CL574)-$W$2),0)</f>
        <v>#REF!</v>
      </c>
      <c r="CN563" s="4" t="e">
        <f t="shared" ref="CN563" ca="1" si="10332">$W$2+CM563</f>
        <v>#REF!</v>
      </c>
      <c r="CO563" s="692" t="str">
        <f ca="1">IFERROR(VLOOKUP(INDEX(CK563:CK574,CN563),WSM,2,FALSE),"----")</f>
        <v>----</v>
      </c>
      <c r="CP563" s="691" t="e">
        <f ca="1">MATCH($AC563,STEI,-1)</f>
        <v>#N/A</v>
      </c>
      <c r="CQ563" s="4" t="e">
        <f ca="1">IF(AND(INDEX(STM,CP563,4)&gt;=$AB563,INDEX(STM,CP563,5)&gt;=$S563,INDEX(STM,CP563,6)&gt;=$R563),1,0)</f>
        <v>#N/A</v>
      </c>
      <c r="CR563" s="4" t="e">
        <f t="shared" ref="CR563" ca="1" si="10333">MATCH(1,OFFSET(CQ563:CQ574,$W$2,0,COUNT(CQ563:CQ574)-$W$2),0)</f>
        <v>#REF!</v>
      </c>
      <c r="CS563" s="4" t="e">
        <f t="shared" ref="CS563" ca="1" si="10334">$W$2+CR563</f>
        <v>#REF!</v>
      </c>
      <c r="CT563" s="692" t="str">
        <f ca="1">IFERROR(VLOOKUP(INDEX(CP563:CP574,CS563),STM,2,FALSE),"----")</f>
        <v>----</v>
      </c>
      <c r="CU563" s="691" t="e">
        <f ca="1">MATCH($AC563,ELEI,-1)</f>
        <v>#N/A</v>
      </c>
      <c r="CV563" s="4" t="e">
        <f ca="1">IF(AND(INDEX(ELM,CU563,4)&gt;=$AB563,INDEX(ELM,CU563,5)&gt;=$S563,INDEX(ELM,CU563,6)&gt;=$R563),1,0)</f>
        <v>#N/A</v>
      </c>
      <c r="CW563" s="4" t="e">
        <f t="shared" ref="CW563" ca="1" si="10335">MATCH(1,OFFSET(CV563:CV574,$W$2,0,COUNT(CV563:CV574)-$W$2),0)</f>
        <v>#REF!</v>
      </c>
      <c r="CX563" s="4" t="e">
        <f t="shared" ref="CX563" ca="1" si="10336">$W$2+CW563</f>
        <v>#REF!</v>
      </c>
      <c r="CY563" s="692" t="str">
        <f ca="1">IFERROR(VLOOKUP(INDEX(CU563:CU574,CX563),ELM,2,FALSE),"----")</f>
        <v>----</v>
      </c>
      <c r="CZ563" s="691" t="e">
        <f ca="1">IF(LEFT($J563,7)="Clad Wo",MATCH($AC563,SPEIW,-1),MATCH($AC563,SPEI,-1))</f>
        <v>#N/A</v>
      </c>
      <c r="DA563" s="4" t="e">
        <f ca="1">IF(LEFT($J563,7)="Clad Wo",IF(AND(INDEX(SPPWS,CZ563,4)&gt;=$AB563,INDEX(SPPWS,CZ563,5)&gt;=$S563,INDEX(SPPWS,CZ563,6)&gt;=$R563),1,0),IF(AND(INDEX(SPM,CZ563,4)&gt;=$AB563,INDEX(SPM,CZ563,5)&gt;=$S563,INDEX(SPM,CZ563,6)&gt;=$R563),1,0))</f>
        <v>#N/A</v>
      </c>
      <c r="DB563" s="4" t="e">
        <f t="shared" ref="DB563" ca="1" si="10337">MATCH(1,OFFSET(DA563:DA574,$W$2,0,COUNT(DA563:DA574)-$W$2),0)</f>
        <v>#REF!</v>
      </c>
      <c r="DC563" s="4" t="e">
        <f t="shared" ref="DC563" ca="1" si="10338">$W$2+DB563</f>
        <v>#REF!</v>
      </c>
      <c r="DD563" s="693" t="str">
        <f ca="1">IF(LEFT($J563,7)="Clad Wo",IFERROR(VLOOKUP(INDEX(CZ563:CZ574,DC563),SPPWS,2,FALSE),"----"),IFERROR(VLOOKUP(INDEX(CZ563:CZ574,DC563),SPM,2,FALSE),"----"))</f>
        <v>----</v>
      </c>
      <c r="DE563" s="691" t="e">
        <f ca="1">MATCH(AC569,INDIRECT(BX563),-1)</f>
        <v>#REF!</v>
      </c>
      <c r="DF563" s="4" t="e" cm="1">
        <f t="array" aca="1" ref="DF563" ca="1">IF(AND(INDEX(INDIRECT(BY563),DE563,4)&gt;=$AB569,INDEX(INDIRECT(BY563),DE563,5)&gt;=$S563,INDEX(INDIRECT(BY563),DE563,6)&gt;=$R563),1,0)</f>
        <v>#REF!</v>
      </c>
      <c r="DG563" s="4" t="e">
        <f t="shared" ref="DG563" ca="1" si="10339">MATCH(1,OFFSET(DF563:DF574,$W$2,0,COUNT(DF563:DF574)-$W$2),0)</f>
        <v>#REF!</v>
      </c>
      <c r="DH563" s="4" t="e">
        <f t="shared" ref="DH563" ca="1" si="10340">$W$2+DG563</f>
        <v>#REF!</v>
      </c>
      <c r="DI563" s="692" t="str" cm="1">
        <f t="array" aca="1" ref="DI563" ca="1">IFERROR(VLOOKUP(INDEX(DE563:DE574,DH563),INDIRECT(BY563),2,FALSE),"----")</f>
        <v>----</v>
      </c>
      <c r="DJ563" s="691" t="e">
        <f ca="1">MATCH($AC569,SSEI,-1)</f>
        <v>#N/A</v>
      </c>
      <c r="DK563" s="4" t="e">
        <f ca="1">IF(AND(INDEX(SSM,DJ563,4)&gt;=$AB569,INDEX(SSM,DJ563,5)&gt;=$S563,INDEX(SSM,DJ563,6)&gt;=$R563),1,0)</f>
        <v>#N/A</v>
      </c>
      <c r="DL563" s="4" t="e">
        <f t="shared" ref="DL563" ca="1" si="10341">MATCH(1,OFFSET(DK563:DK574,$W$2,0,COUNT(DK563:DK574)-$W$2),0)</f>
        <v>#REF!</v>
      </c>
      <c r="DM563" s="4" t="e">
        <f t="shared" ref="DM563" ca="1" si="10342">$W$2+DL563</f>
        <v>#REF!</v>
      </c>
      <c r="DN563" s="692" t="str">
        <f ca="1">IFERROR(IF(AD570="Nested Steel Stud (wood infill)",VLOOKUP(INDEX(DJ563:DJ574,DM563),SSW,2,FALSE),VLOOKUP(INDEX(DJ563:DJ574,DM563),SSM,2,FALSE)),"----")</f>
        <v>----</v>
      </c>
      <c r="DO563" s="691" t="e">
        <f ca="1">MATCH($AC569,WSEI,-1)</f>
        <v>#N/A</v>
      </c>
      <c r="DP563" s="4" t="e">
        <f ca="1">IF(AND(INDEX(WSM,DO563,4)&gt;=$AB569,INDEX(WSM,DO563,5)&gt;=$S563,INDEX(WSM,DO563,6)&gt;=$R563),1,0)</f>
        <v>#N/A</v>
      </c>
      <c r="DQ563" s="4" t="e">
        <f t="shared" ref="DQ563" ca="1" si="10343">MATCH(1,OFFSET(DP563:DP574,$W$2,0,COUNT(DP563:DP574)-$W$2),0)</f>
        <v>#REF!</v>
      </c>
      <c r="DR563" s="4" t="e">
        <f t="shared" ref="DR563" ca="1" si="10344">$W$2+DQ563</f>
        <v>#REF!</v>
      </c>
      <c r="DS563" s="692" t="str">
        <f ca="1">IFERROR(VLOOKUP(INDEX(DO563:DO574,DR563),WSM,2,FALSE),"----")</f>
        <v>----</v>
      </c>
      <c r="DT563" s="691" t="e">
        <f ca="1">MATCH($AC569,STEI,-1)</f>
        <v>#N/A</v>
      </c>
      <c r="DU563" s="4" t="e">
        <f ca="1">IF(AND(INDEX(STM,DT563,4)&gt;=$AB569,INDEX(STM,DT563,5)&gt;=$S563,INDEX(STM,DT563,6)&gt;=$R563),1,0)</f>
        <v>#N/A</v>
      </c>
      <c r="DV563" s="4" t="e">
        <f t="shared" ref="DV563" ca="1" si="10345">MATCH(1,OFFSET(DU563:DU574,$W$2,0,COUNT(DU563:DU574)-$W$2),0)</f>
        <v>#REF!</v>
      </c>
      <c r="DW563" s="4" t="e">
        <f t="shared" ref="DW563" ca="1" si="10346">$W$2+DV563</f>
        <v>#REF!</v>
      </c>
      <c r="DX563" s="692" t="str">
        <f ca="1">IFERROR(VLOOKUP(INDEX(DT563:DT574,DW563),STM,2,FALSE),"----")</f>
        <v>----</v>
      </c>
      <c r="DY563" s="691" t="e">
        <f ca="1">MATCH($AC569,ELEI,-1)</f>
        <v>#N/A</v>
      </c>
      <c r="DZ563" s="4" t="e">
        <f ca="1">IF(AND(INDEX(ELM,DY563,4)&gt;=$AB569,INDEX(ELM,DY563,5)&gt;=$S563,INDEX(ELM,DY563,6)&gt;=$R563),1,0)</f>
        <v>#N/A</v>
      </c>
      <c r="EA563" s="4" t="e">
        <f t="shared" ref="EA563" ca="1" si="10347">MATCH(1,OFFSET(DZ563:DZ574,$W$2,0,COUNT(DZ563:DZ574)-$W$2),0)</f>
        <v>#REF!</v>
      </c>
      <c r="EB563" s="4" t="e">
        <f t="shared" ref="EB563" ca="1" si="10348">EA563+$W$2</f>
        <v>#REF!</v>
      </c>
      <c r="EC563" s="692" t="str">
        <f ca="1">IFERROR(VLOOKUP(INDEX(DY563:DY574,EB563),ELM,2,FALSE),"----")</f>
        <v>----</v>
      </c>
      <c r="ED563" s="691" t="e">
        <f ca="1">IF(LEFT($J563,7)="Clad Wo",MATCH($AC569,SPEIW,-1),MATCH($AC569,SPEI,-1))</f>
        <v>#N/A</v>
      </c>
      <c r="EE563" s="4" t="e">
        <f ca="1">IF(LEFT($J563,7)="Clad Wo",IF(AND(INDEX(SPPWS,ED563,4)&gt;=$AB569,INDEX(SPPWS,ED563,5)&gt;=$S563,INDEX(SPPWS,ED563,6)&gt;=$R563),1,0),IF(AND(INDEX(SPM,ED563,4)&gt;=$AB569,INDEX(SPM,ED563,5)&gt;=$S563,INDEX(SPM,ED563,6)&gt;=$R563),1,0))</f>
        <v>#N/A</v>
      </c>
      <c r="EF563" s="4" t="e">
        <f t="shared" ref="EF563" ca="1" si="10349">MATCH(1,OFFSET(EE563:EE574,$W$2,0,COUNT(EE563:EE574)-$W$2),0)</f>
        <v>#REF!</v>
      </c>
      <c r="EG563" s="4" t="e">
        <f t="shared" ref="EG563" ca="1" si="10350">$W$2+EF563</f>
        <v>#REF!</v>
      </c>
      <c r="EH563" s="692" t="str">
        <f ca="1">IF(LEFT($J563,7)="Clad Wo",IFERROR(VLOOKUP(INDEX(ED563:ED574,EG563),SPPWS,2,FALSE),"----"),IFERROR(VLOOKUP(INDEX(ED563:ED574,EG563),SPM,2,FALSE),"----"))</f>
        <v>----</v>
      </c>
    </row>
    <row r="564" spans="1:138" ht="15" customHeight="1" x14ac:dyDescent="0.25">
      <c r="A564" s="1085"/>
      <c r="B564" s="925"/>
      <c r="C564" s="926"/>
      <c r="D564" s="927"/>
      <c r="E564" s="995"/>
      <c r="F564" s="996"/>
      <c r="G564" s="997"/>
      <c r="H564" s="1062"/>
      <c r="I564" s="990"/>
      <c r="J564" s="908"/>
      <c r="K564" s="909"/>
      <c r="L564" s="1002"/>
      <c r="M564" s="923"/>
      <c r="N564" s="1042"/>
      <c r="O564" s="1018"/>
      <c r="P564" s="987"/>
      <c r="Q564" s="1015"/>
      <c r="R564" s="1012"/>
      <c r="S564" s="1006"/>
      <c r="T564" s="1007"/>
      <c r="U564" s="878"/>
      <c r="V564" s="881"/>
      <c r="W564" s="884"/>
      <c r="X564" s="884"/>
      <c r="Y564" s="887"/>
      <c r="Z564" s="887"/>
      <c r="AA564" s="887"/>
      <c r="AB564" s="1081"/>
      <c r="AC564" s="1078"/>
      <c r="AD564" s="1102" t="s">
        <v>38</v>
      </c>
      <c r="AE564" s="1103"/>
      <c r="AF564" s="1052"/>
      <c r="AG564" s="1053"/>
      <c r="AH564" s="1053"/>
      <c r="AI564" s="1066"/>
      <c r="AJ564" s="1067"/>
      <c r="AK564" s="156" t="str">
        <f t="shared" ca="1" si="10024"/>
        <v/>
      </c>
      <c r="AL564" s="1039"/>
      <c r="AM564" s="343" t="str">
        <f ca="1">IFERROR(Q563/12*ROUND(VLOOKUP(AF564,OFFSET(SSM,0,1),6,FALSE),2),"")</f>
        <v/>
      </c>
      <c r="AN564" t="str">
        <f t="shared" ca="1" si="10040"/>
        <v/>
      </c>
      <c r="AP564" s="122" t="str">
        <f t="shared" ref="AP564" si="10351">_xlfn.CONCAT(AR564,AS568)</f>
        <v/>
      </c>
      <c r="AQ564" s="683" t="str">
        <f t="shared" si="10249"/>
        <v/>
      </c>
      <c r="AR564" s="96" t="str">
        <f t="shared" si="10009"/>
        <v/>
      </c>
      <c r="AS564" s="96" t="str">
        <f>IF(COUNTIF(Vista_1,AF563)=1,"Vista_1",IF(COUNTIF(Vista_2,AF563)=1,"Vista_2",""))</f>
        <v/>
      </c>
      <c r="AT564" s="684" t="str">
        <f>AL563</f>
        <v/>
      </c>
      <c r="AU564" s="694" t="e">
        <f t="shared" ref="AU564" ca="1" si="10352">AU563-1</f>
        <v>#REF!</v>
      </c>
      <c r="AV564" s="686" t="str">
        <f ca="1">IFERROR(VLOOKUP(AU564,INDIRECT(AQ563),2,FALSE),"----")</f>
        <v>----</v>
      </c>
      <c r="AW564" s="694" t="e">
        <f t="shared" ref="AW564:AW565" ca="1" si="10353">AW563-1</f>
        <v>#REF!</v>
      </c>
      <c r="AX564" s="686" t="str">
        <f ca="1">IFERROR(VLOOKUP(AW564,INDIRECT(AQ564),2,FALSE),"----")</f>
        <v>----</v>
      </c>
      <c r="AY564" s="694" t="e">
        <f t="shared" ref="AY564:AY565" ca="1" si="10354">AY563-1</f>
        <v>#REF!</v>
      </c>
      <c r="AZ564" s="686" t="str">
        <f ca="1">IFERROR(VLOOKUP(AY564,INDIRECT(AQ565),2,FALSE),"----")</f>
        <v>----</v>
      </c>
      <c r="BA564" s="694" t="e">
        <f t="shared" ref="BA564:BA565" ca="1" si="10355">BA563-1</f>
        <v>#REF!</v>
      </c>
      <c r="BB564" s="686" t="str">
        <f ca="1">IFERROR(VLOOKUP(BA564,INDIRECT(AQ566),2,FALSE),"----")</f>
        <v>----</v>
      </c>
      <c r="BC564" s="694" t="e">
        <f t="shared" ref="BC564:BC565" ca="1" si="10356">BC563-1</f>
        <v>#REF!</v>
      </c>
      <c r="BD564" s="686" t="str">
        <f ca="1">IFERROR(VLOOKUP(BC564,INDIRECT(AQ567),2,FALSE),"----")</f>
        <v>----</v>
      </c>
      <c r="BE564" s="694" t="e">
        <f t="shared" ref="BE564" ca="1" si="10357">BE563-1</f>
        <v>#REF!</v>
      </c>
      <c r="BF564" s="686" t="str">
        <f ca="1">IFERROR(VLOOKUP(BE564,INDIRECT(AQ568),2,FALSE),"----")</f>
        <v>----</v>
      </c>
      <c r="BG564" s="694" t="e">
        <f t="shared" ref="BG564" ca="1" si="10358">BG563-1</f>
        <v>#REF!</v>
      </c>
      <c r="BH564" s="686" t="str">
        <f ca="1">IFERROR(VLOOKUP(BG564,INDIRECT(AQ569),2,FALSE),"----")</f>
        <v>----</v>
      </c>
      <c r="BI564" s="694" t="e">
        <f t="shared" ref="BI564:BI565" ca="1" si="10359">BI563-1</f>
        <v>#REF!</v>
      </c>
      <c r="BJ564" s="686" t="str">
        <f ca="1">IFERROR(VLOOKUP(BI564,INDIRECT(AQ570),2,FALSE),"----")</f>
        <v>----</v>
      </c>
      <c r="BK564" s="694" t="e">
        <f t="shared" ref="BK564:BK565" ca="1" si="10360">BK563-1</f>
        <v>#REF!</v>
      </c>
      <c r="BL564" s="686" t="str">
        <f ca="1">IFERROR(VLOOKUP(BK564,INDIRECT(AQ571),2,FALSE),"----")</f>
        <v>----</v>
      </c>
      <c r="BM564" s="694" t="e">
        <f t="shared" ref="BM564:BM565" ca="1" si="10361">BM563-1</f>
        <v>#REF!</v>
      </c>
      <c r="BN564" s="686" t="str">
        <f ca="1">IFERROR(VLOOKUP(BM564,INDIRECT(AQ572),2,FALSE),"----")</f>
        <v>----</v>
      </c>
      <c r="BO564" s="694" t="e">
        <f t="shared" ref="BO564:BO565" ca="1" si="10362">BO563-1</f>
        <v>#REF!</v>
      </c>
      <c r="BP564" s="686" t="str">
        <f ca="1">IFERROR(VLOOKUP(BO564,INDIRECT(AQ573),2,FALSE),"----")</f>
        <v>----</v>
      </c>
      <c r="BQ564" s="694" t="e">
        <f t="shared" ref="BQ564" ca="1" si="10363">BQ563-1</f>
        <v>#REF!</v>
      </c>
      <c r="BR564" s="686" t="str">
        <f ca="1">IFERROR(VLOOKUP(BQ564,INDIRECT(AQ574),2,FALSE),"----")</f>
        <v>----</v>
      </c>
      <c r="BS564" s="695">
        <f>IF(AI564="",1,IF(COUNTIF(AX563:AX574,AI564)=0,2,1))</f>
        <v>1</v>
      </c>
      <c r="BT564" s="696">
        <f>IF(AF564="",1,IF(AX563=".",2,1))</f>
        <v>1</v>
      </c>
      <c r="BU564" s="706"/>
      <c r="BV564" s="155">
        <f ca="1">IF(COUNTIF(CJ563:CJ574,AF564)=0,IF(AF564&lt;&gt;"",0,1),1)</f>
        <v>1</v>
      </c>
      <c r="BW564" s="157">
        <f ca="1">IFERROR(MATCH(AF564,CJ563:CJ574,0),1)</f>
        <v>1</v>
      </c>
      <c r="BX564" s="769"/>
      <c r="BY564" s="769"/>
      <c r="BZ564" s="1110"/>
      <c r="CA564" s="691" t="e">
        <f t="shared" ref="CA564:CA574" ca="1" si="10364">CA563-1</f>
        <v>#REF!</v>
      </c>
      <c r="CB564" s="4" t="e" cm="1">
        <f t="array" aca="1" ref="CB564" ca="1">IF(AND(INDEX(INDIRECT(BY563),CA564,4)&gt;=$AB563,INDEX(INDIRECT(BY563),CA564,5)&gt;=$S563,INDEX(INDIRECT(BY563),CA564,6)&gt;=$R563),1,0)</f>
        <v>#REF!</v>
      </c>
      <c r="CC564" s="4" t="e">
        <f t="shared" ref="CC564" ca="1" si="10365">MATCH(1,OFFSET(CB563:CB574,CD563,0,COUNT(CB563:CB574)-CD563),0)</f>
        <v>#REF!</v>
      </c>
      <c r="CD564" s="4" t="e">
        <f t="shared" ref="CD564:CD574" ca="1" si="10366">CD563+CC564</f>
        <v>#REF!</v>
      </c>
      <c r="CE564" s="692" t="str" cm="1">
        <f t="array" aca="1" ref="CE564" ca="1">IFERROR(VLOOKUP(INDEX(CA563:CA574,CD564),INDIRECT(BY563),2,FALSE),"----")</f>
        <v>----</v>
      </c>
      <c r="CF564" s="691" t="e">
        <f t="shared" ref="CF564:CF574" ca="1" si="10367">CF563-1</f>
        <v>#N/A</v>
      </c>
      <c r="CG564" s="4" t="e">
        <f ca="1">IF(AND(INDEX(SSM,CF564,4)&gt;=$AB563,INDEX(SSM,CF564,5)&gt;=$S563,INDEX(SSM,CF564,6)&gt;=$R563),1,0)</f>
        <v>#N/A</v>
      </c>
      <c r="CH564" s="4" t="e">
        <f t="shared" ref="CH564" ca="1" si="10368">MATCH(1,OFFSET(CG563:CG574,CI563,0,COUNT(CG563:CG574)-CI563),0)</f>
        <v>#REF!</v>
      </c>
      <c r="CI564" s="4" t="e">
        <f t="shared" ref="CI564:CI574" ca="1" si="10369">CI563+CH564</f>
        <v>#REF!</v>
      </c>
      <c r="CJ564" s="692" t="str">
        <f ca="1">IFERROR(IF(AD564="Nested Steel Stud (wood infill)",VLOOKUP(INDEX(CF563:CF574,CI564),SSW,2,FALSE),VLOOKUP(INDEX(CF563:CF574,CI564),SSM,2,FALSE)),"----")</f>
        <v>----</v>
      </c>
      <c r="CK564" s="691" t="e">
        <f t="shared" ref="CK564:CK574" ca="1" si="10370">CK563-1</f>
        <v>#N/A</v>
      </c>
      <c r="CL564" s="4" t="e">
        <f ca="1">IF(AND(INDEX(WSM,CK564,4)&gt;=$AB563,INDEX(WSM,CK564,5)&gt;=$S563,INDEX(WSM,CK564,6)&gt;=$R563),1,0)</f>
        <v>#N/A</v>
      </c>
      <c r="CM564" s="4" t="e">
        <f t="shared" ref="CM564" ca="1" si="10371">MATCH(1,OFFSET(CL563:CL574,CN563,0,COUNT(CL563:CL574)-CN563),0)</f>
        <v>#REF!</v>
      </c>
      <c r="CN564" s="4" t="e">
        <f t="shared" ref="CN564:CN574" ca="1" si="10372">CM564+CN563</f>
        <v>#REF!</v>
      </c>
      <c r="CO564" s="692" t="str">
        <f ca="1">IFERROR(VLOOKUP(INDEX(CK563:CK574,CN564),WSM,2,FALSE),"----")</f>
        <v>----</v>
      </c>
      <c r="CP564" s="691" t="e">
        <f t="shared" ref="CP564:CP574" ca="1" si="10373">CP563-1</f>
        <v>#N/A</v>
      </c>
      <c r="CQ564" s="4" t="e">
        <f ca="1">IF(AND(INDEX(STM,CP564,4)&gt;=$AB563,INDEX(STM,CP564,5)&gt;=$S563,INDEX(STM,CP564,6)&gt;=$R563),1,0)</f>
        <v>#N/A</v>
      </c>
      <c r="CR564" s="4" t="e">
        <f t="shared" ref="CR564" ca="1" si="10374">MATCH(1,OFFSET(CQ563:CQ574,CS563,0,COUNT(CQ563:CQ574)-CS563),0)</f>
        <v>#REF!</v>
      </c>
      <c r="CS564" s="4" t="e">
        <f t="shared" ref="CS564:CS574" ca="1" si="10375">CR564+CS563</f>
        <v>#REF!</v>
      </c>
      <c r="CT564" s="692" t="str">
        <f ca="1">IFERROR(VLOOKUP(INDEX(CP563:CP574,CS564),STM,2,FALSE),"----")</f>
        <v>----</v>
      </c>
      <c r="CU564" s="691" t="e">
        <f t="shared" ref="CU564:CU574" ca="1" si="10376">CU563-1</f>
        <v>#N/A</v>
      </c>
      <c r="CV564" s="4" t="e">
        <f ca="1">IF(AND(INDEX(ELM,CU564,4)&gt;=$AB563,INDEX(ELM,CU564,5)&gt;=$S563,INDEX(ELM,CU564,6)&gt;=$R563),1,0)</f>
        <v>#N/A</v>
      </c>
      <c r="CW564" s="4" t="e">
        <f t="shared" ref="CW564" ca="1" si="10377">MATCH(1,OFFSET(CV563:CV574,CX563,0,COUNT(CV563:CV574)-CX563),0)</f>
        <v>#REF!</v>
      </c>
      <c r="CX564" s="4" t="e">
        <f t="shared" ref="CX564:CX574" ca="1" si="10378">CW564+CX563</f>
        <v>#REF!</v>
      </c>
      <c r="CY564" s="692" t="str">
        <f ca="1">IFERROR(VLOOKUP(INDEX(CU563:CU574,CX564),ELM,2,FALSE),"----")</f>
        <v>----</v>
      </c>
      <c r="CZ564" s="691" t="e">
        <f t="shared" ref="CZ564:CZ574" ca="1" si="10379">CZ563-1</f>
        <v>#N/A</v>
      </c>
      <c r="DA564" s="4" t="e">
        <f ca="1">IF(LEFT($J563,7)="Clad Wo",IF(AND(INDEX(SPPWS,CZ564,4)&gt;=$AB563,INDEX(SPPWS,CZ564,5)&gt;=$S563,INDEX(SPPWS,CZ564,6)&gt;=$R563),1,0),IF(AND(INDEX(SPM,CZ564,4)&gt;=$AB563,INDEX(SPM,CZ564,5)&gt;=$S563,INDEX(SPM,CZ564,6)&gt;=$R563),1,0))</f>
        <v>#N/A</v>
      </c>
      <c r="DB564" s="4" t="e">
        <f t="shared" ref="DB564" ca="1" si="10380">MATCH(1,OFFSET(DA563:DA574,DC563,0,COUNT(DA563:DA574)-DC563),0)</f>
        <v>#REF!</v>
      </c>
      <c r="DC564" s="4" t="e">
        <f t="shared" ref="DC564:DC574" ca="1" si="10381">DC563+DB564</f>
        <v>#REF!</v>
      </c>
      <c r="DD564" s="693" t="str">
        <f ca="1">IF(LEFT($J563,7)="Clad Wo",IFERROR(VLOOKUP(INDEX(CZ563:CZ574,DC564),SPPWS,2,FALSE),"----"),IFERROR(VLOOKUP(INDEX(CZ563:CZ574,DC564),SPM,2,FALSE),"----"))</f>
        <v>----</v>
      </c>
      <c r="DE564" s="691" t="e">
        <f t="shared" ref="DE564:DE574" ca="1" si="10382">DE563-1</f>
        <v>#REF!</v>
      </c>
      <c r="DF564" s="4" t="e" cm="1">
        <f t="array" aca="1" ref="DF564" ca="1">IF(AND(INDEX(INDIRECT(BY563),DE564,4)&gt;=$AB569,INDEX(INDIRECT(BY563),DE564,5)&gt;=$S563,INDEX(INDIRECT(BY563),DE564,6)&gt;=$R563),1,0)</f>
        <v>#REF!</v>
      </c>
      <c r="DG564" s="4" t="e">
        <f t="shared" ref="DG564" ca="1" si="10383">MATCH(1,OFFSET(DF563:DF574,DH563,0,COUNT(DF563:DF574)-DH563),0)</f>
        <v>#REF!</v>
      </c>
      <c r="DH564" s="4" t="e">
        <f t="shared" ref="DH564:DH574" ca="1" si="10384">DH563+DG564</f>
        <v>#REF!</v>
      </c>
      <c r="DI564" s="692" t="str" cm="1">
        <f t="array" aca="1" ref="DI564" ca="1">IFERROR(VLOOKUP(INDEX(DE563:DE574,DH564),INDIRECT(BY563),2,FALSE),"----")</f>
        <v>----</v>
      </c>
      <c r="DJ564" s="691" t="e">
        <f t="shared" ref="DJ564:DJ574" ca="1" si="10385">DJ563-1</f>
        <v>#N/A</v>
      </c>
      <c r="DK564" s="4" t="e">
        <f ca="1">IF(AND(INDEX(SSM,DJ564,4)&gt;=$AB569,INDEX(SSM,DJ564,5)&gt;=$S563,INDEX(SSM,DJ564,6)&gt;=$R563),1,0)</f>
        <v>#N/A</v>
      </c>
      <c r="DL564" s="4" t="e">
        <f t="shared" ref="DL564" ca="1" si="10386">MATCH(1,OFFSET(DK563:DK574,DM563,0,COUNT(DK563:DK574)-DM563),0)</f>
        <v>#REF!</v>
      </c>
      <c r="DM564" s="4" t="e">
        <f t="shared" ref="DM564:DM574" ca="1" si="10387">DL564+DM563</f>
        <v>#REF!</v>
      </c>
      <c r="DN564" s="692" t="str">
        <f ca="1">IFERROR(IF(AD570="Nested Steel Stud (wood infill)",VLOOKUP(INDEX(DJ563:DJ574,DM564),SSW,2,FALSE),VLOOKUP(INDEX(DJ563:DJ574,DM564),SSM,2,FALSE)),"----")</f>
        <v>----</v>
      </c>
      <c r="DO564" s="691" t="e">
        <f t="shared" ref="DO564:DO574" ca="1" si="10388">DO563-1</f>
        <v>#N/A</v>
      </c>
      <c r="DP564" s="4" t="e">
        <f ca="1">IF(AND(INDEX(WSM,DO564,4)&gt;=$AB569,INDEX(WSM,DO564,5)&gt;=$S563,INDEX(WSM,DO564,6)&gt;=$R563),1,0)</f>
        <v>#N/A</v>
      </c>
      <c r="DQ564" s="4" t="e">
        <f t="shared" ref="DQ564" ca="1" si="10389">MATCH(1,OFFSET(DP563:DP574,DR563,0,COUNT(DP563:DP574)-DR563),0)</f>
        <v>#REF!</v>
      </c>
      <c r="DR564" s="4" t="e">
        <f t="shared" ref="DR564:DR574" ca="1" si="10390">DQ564+DR563</f>
        <v>#REF!</v>
      </c>
      <c r="DS564" s="692" t="str">
        <f ca="1">IFERROR(VLOOKUP(INDEX(DO563:DO574,DR564),WSM,2,FALSE),"----")</f>
        <v>----</v>
      </c>
      <c r="DT564" s="691" t="e">
        <f t="shared" ref="DT564:DT574" ca="1" si="10391">DT563-1</f>
        <v>#N/A</v>
      </c>
      <c r="DU564" s="4" t="e">
        <f ca="1">IF(AND(INDEX(STM,DT564,4)&gt;=$AB569,INDEX(STM,DT564,5)&gt;=$S563,INDEX(STM,DT564,6)&gt;=$R563),1,0)</f>
        <v>#N/A</v>
      </c>
      <c r="DV564" s="4" t="e">
        <f t="shared" ref="DV564" ca="1" si="10392">MATCH(1,OFFSET(DU563:DU574,DW563,0,COUNT(DU563:DU574)-DW563),0)</f>
        <v>#REF!</v>
      </c>
      <c r="DW564" s="4" t="e">
        <f t="shared" ref="DW564:DW574" ca="1" si="10393">DV564+DW563</f>
        <v>#REF!</v>
      </c>
      <c r="DX564" s="692" t="str">
        <f ca="1">IFERROR(VLOOKUP(INDEX(DT563:DT574,DW564),STM,2,FALSE),"----")</f>
        <v>----</v>
      </c>
      <c r="DY564" s="691" t="e">
        <f t="shared" ref="DY564:DY574" ca="1" si="10394">DY563-1</f>
        <v>#N/A</v>
      </c>
      <c r="DZ564" s="4" t="e">
        <f ca="1">IF(AND(INDEX(ELM,DY564,4)&gt;=$AB569,INDEX(ELM,DY564,5)&gt;=$S563,INDEX(ELM,DY564,6)&gt;=$R563),1,0)</f>
        <v>#N/A</v>
      </c>
      <c r="EA564" s="4" t="e">
        <f t="shared" ref="EA564" ca="1" si="10395">MATCH(1,OFFSET(DZ563:DZ574,EB563,0,COUNT(DZ563:DZ574)-EB563),0)</f>
        <v>#REF!</v>
      </c>
      <c r="EB564" s="4" t="e">
        <f t="shared" ref="EB564:EB574" ca="1" si="10396">EA564+EB563</f>
        <v>#REF!</v>
      </c>
      <c r="EC564" s="692" t="str">
        <f ca="1">IFERROR(VLOOKUP(INDEX(DY563:DY574,EB564),ELM,2,FALSE),"----")</f>
        <v>----</v>
      </c>
      <c r="ED564" s="691" t="e">
        <f t="shared" ref="ED564:ED574" ca="1" si="10397">ED563-1</f>
        <v>#N/A</v>
      </c>
      <c r="EE564" s="4" t="e">
        <f ca="1">IF(LEFT($J563,7)="Clad Wo",IF(AND(INDEX(SPPWS,ED564,4)&gt;=$AB569,INDEX(SPPWS,ED564,5)&gt;=$S563,INDEX(SPPWS,ED564,6)&gt;=$R563),1,0),IF(AND(INDEX(SPM,ED564,4)&gt;=$AB569,INDEX(SPM,ED564,5)&gt;=$S563,INDEX(SPM,ED564,6)&gt;=$R563),1,0))</f>
        <v>#N/A</v>
      </c>
      <c r="EF564" s="4" t="e">
        <f t="shared" ref="EF564" ca="1" si="10398">MATCH(1,OFFSET(EE563:EE574,EG563,0,COUNT(EE563:EE574)-EG563),0)</f>
        <v>#REF!</v>
      </c>
      <c r="EG564" s="4" t="e">
        <f t="shared" ref="EG564:EG574" ca="1" si="10399">EG563+EF564</f>
        <v>#REF!</v>
      </c>
      <c r="EH564" s="692" t="str">
        <f ca="1">IF(LEFT($J563,7)="Clad Wo",IFERROR(VLOOKUP(INDEX(ED563:ED574,EG564),SPPWS,2,FALSE),"----"),IFERROR(VLOOKUP(INDEX(ED563:ED574,EG564),SPM,2,FALSE),"----"))</f>
        <v>----</v>
      </c>
    </row>
    <row r="565" spans="1:138" ht="15" customHeight="1" x14ac:dyDescent="0.25">
      <c r="A565" s="1085"/>
      <c r="B565" s="925"/>
      <c r="C565" s="926"/>
      <c r="D565" s="927"/>
      <c r="E565" s="995"/>
      <c r="F565" s="996"/>
      <c r="G565" s="997"/>
      <c r="H565" s="1062"/>
      <c r="I565" s="990"/>
      <c r="J565" s="908"/>
      <c r="K565" s="909"/>
      <c r="L565" s="1002"/>
      <c r="M565" s="923"/>
      <c r="N565" s="1042"/>
      <c r="O565" s="1018"/>
      <c r="P565" s="987"/>
      <c r="Q565" s="1015"/>
      <c r="R565" s="1012"/>
      <c r="S565" s="1006"/>
      <c r="T565" s="1007"/>
      <c r="U565" s="878"/>
      <c r="V565" s="881"/>
      <c r="W565" s="884"/>
      <c r="X565" s="884"/>
      <c r="Y565" s="887"/>
      <c r="Z565" s="887"/>
      <c r="AA565" s="887"/>
      <c r="AB565" s="1081"/>
      <c r="AC565" s="1078"/>
      <c r="AD565" s="1070" t="s">
        <v>333</v>
      </c>
      <c r="AE565" s="1071"/>
      <c r="AF565" s="1052"/>
      <c r="AG565" s="1053"/>
      <c r="AH565" s="1053"/>
      <c r="AI565" s="1066"/>
      <c r="AJ565" s="1067"/>
      <c r="AK565" s="154" t="str">
        <f t="shared" ca="1" si="10024"/>
        <v/>
      </c>
      <c r="AL565" s="1039"/>
      <c r="AM565" s="344" t="str">
        <f ca="1">IFERROR(Q563/12*ROUND(VLOOKUP(AF565,OFFSET(WSM,0,1),6,FALSE),2),"")</f>
        <v/>
      </c>
      <c r="AN565" t="str">
        <f t="shared" ca="1" si="10040"/>
        <v/>
      </c>
      <c r="AP565" s="122" t="str">
        <f t="shared" ref="AP565" si="10400">_xlfn.CONCAT(AR565,AS568)</f>
        <v/>
      </c>
      <c r="AQ565" s="683" t="str">
        <f t="shared" si="10249"/>
        <v/>
      </c>
      <c r="AR565" s="4" t="str">
        <f t="shared" si="10009"/>
        <v/>
      </c>
      <c r="AS565" s="4"/>
      <c r="AT565" s="697" t="str">
        <f>AL563</f>
        <v/>
      </c>
      <c r="AU565" s="694" t="e">
        <f t="shared" ca="1" si="10265"/>
        <v>#REF!</v>
      </c>
      <c r="AV565" s="686" t="str">
        <f ca="1">IFERROR(VLOOKUP(AU565,INDIRECT(AQ563),2,FALSE),"----")</f>
        <v>----</v>
      </c>
      <c r="AW565" s="694" t="e">
        <f t="shared" ca="1" si="10353"/>
        <v>#REF!</v>
      </c>
      <c r="AX565" s="686" t="str">
        <f ca="1">IFERROR(VLOOKUP(AW565,INDIRECT(AQ564),2,FALSE),"----")</f>
        <v>----</v>
      </c>
      <c r="AY565" s="694" t="e">
        <f t="shared" ca="1" si="10354"/>
        <v>#REF!</v>
      </c>
      <c r="AZ565" s="686" t="str">
        <f ca="1">IFERROR(VLOOKUP(AY565,INDIRECT(AQ565),2,FALSE),"----")</f>
        <v>----</v>
      </c>
      <c r="BA565" s="694" t="e">
        <f t="shared" ca="1" si="10355"/>
        <v>#REF!</v>
      </c>
      <c r="BB565" s="686" t="str">
        <f ca="1">IFERROR(VLOOKUP(BA565,INDIRECT(AQ566),2,FALSE),"----")</f>
        <v>----</v>
      </c>
      <c r="BC565" s="694" t="e">
        <f t="shared" ca="1" si="10356"/>
        <v>#REF!</v>
      </c>
      <c r="BD565" s="686" t="str">
        <f ca="1">IFERROR(VLOOKUP(BC565,INDIRECT(AQ567),2,FALSE),"----")</f>
        <v>----</v>
      </c>
      <c r="BE565" s="694" t="e">
        <f t="shared" ca="1" si="10268"/>
        <v>#REF!</v>
      </c>
      <c r="BF565" s="686" t="str">
        <f ca="1">IFERROR(VLOOKUP(BE565,INDIRECT(AQ568),2,FALSE),"----")</f>
        <v>----</v>
      </c>
      <c r="BG565" s="694" t="e">
        <f t="shared" ca="1" si="10269"/>
        <v>#REF!</v>
      </c>
      <c r="BH565" s="686" t="str">
        <f ca="1">IFERROR(VLOOKUP(BG565,INDIRECT(AQ569),2,FALSE),"----")</f>
        <v>----</v>
      </c>
      <c r="BI565" s="694" t="e">
        <f t="shared" ca="1" si="10359"/>
        <v>#REF!</v>
      </c>
      <c r="BJ565" s="686" t="str">
        <f ca="1">IFERROR(VLOOKUP(BI565,INDIRECT(AQ570),2,FALSE),"----")</f>
        <v>----</v>
      </c>
      <c r="BK565" s="694" t="e">
        <f t="shared" ca="1" si="10360"/>
        <v>#REF!</v>
      </c>
      <c r="BL565" s="686" t="str">
        <f ca="1">IFERROR(VLOOKUP(BK565,INDIRECT(AQ571),2,FALSE),"----")</f>
        <v>----</v>
      </c>
      <c r="BM565" s="694" t="e">
        <f t="shared" ca="1" si="10361"/>
        <v>#REF!</v>
      </c>
      <c r="BN565" s="686" t="str">
        <f ca="1">IFERROR(VLOOKUP(BM565,INDIRECT(AQ572),2,FALSE),"----")</f>
        <v>----</v>
      </c>
      <c r="BO565" s="694" t="e">
        <f t="shared" ca="1" si="10362"/>
        <v>#REF!</v>
      </c>
      <c r="BP565" s="686" t="str">
        <f ca="1">IFERROR(VLOOKUP(BO565,INDIRECT(AQ573),2,FALSE),"----")</f>
        <v>----</v>
      </c>
      <c r="BQ565" s="694" t="e">
        <f t="shared" ca="1" si="10274"/>
        <v>#REF!</v>
      </c>
      <c r="BR565" s="686" t="str">
        <f ca="1">IFERROR(VLOOKUP(BQ565,INDIRECT(AQ574),2,FALSE),"----")</f>
        <v>----</v>
      </c>
      <c r="BS565" s="695">
        <f>IF(AI565="",1,IF(COUNTIF(AZ563:AZ574,AI565)=0,2,1))</f>
        <v>1</v>
      </c>
      <c r="BT565" s="696">
        <f>IF(AF565="",1,IF(AZ563=".",2,1))</f>
        <v>1</v>
      </c>
      <c r="BU565" s="706"/>
      <c r="BV565" s="155">
        <f ca="1">IF(COUNTIF(CO563:CO574,AF565)=0,IF(AF565&lt;&gt;"",0,1),1)</f>
        <v>1</v>
      </c>
      <c r="BW565" s="157">
        <f ca="1">IFERROR(MATCH(AF565,CO563:CO574,0),1)</f>
        <v>1</v>
      </c>
      <c r="BX565" s="769"/>
      <c r="BY565" s="769"/>
      <c r="BZ565" s="1110"/>
      <c r="CA565" s="691" t="e">
        <f t="shared" ca="1" si="10364"/>
        <v>#REF!</v>
      </c>
      <c r="CB565" s="4" t="e" cm="1">
        <f t="array" aca="1" ref="CB565" ca="1">IF(AND(INDEX(INDIRECT(BY563),CA565,4)&gt;=$AB563,INDEX(INDIRECT(BY563),CA565,5)&gt;=$S563,INDEX(INDIRECT(BY563),CA565,6)&gt;=$R563),1,0)</f>
        <v>#REF!</v>
      </c>
      <c r="CC565" s="4" t="e">
        <f t="shared" ref="CC565" ca="1" si="10401">MATCH(1,OFFSET(CB563:CB574,CD564,0,COUNT(CB563:CB574)-CD564),0)</f>
        <v>#REF!</v>
      </c>
      <c r="CD565" s="4" t="e">
        <f t="shared" ca="1" si="10366"/>
        <v>#REF!</v>
      </c>
      <c r="CE565" s="692" t="str" cm="1">
        <f t="array" aca="1" ref="CE565" ca="1">IFERROR(VLOOKUP(INDEX(CA563:CA574,CD565),INDIRECT(BY563),2,FALSE),"----")</f>
        <v>----</v>
      </c>
      <c r="CF565" s="691" t="e">
        <f t="shared" ca="1" si="10367"/>
        <v>#N/A</v>
      </c>
      <c r="CG565" s="4" t="e">
        <f ca="1">IF(AND(INDEX(SSM,CF565,4)&gt;=$AB563,INDEX(SSM,CF565,5)&gt;=$S563,INDEX(SSM,CF565,6)&gt;=$R563),1,0)</f>
        <v>#N/A</v>
      </c>
      <c r="CH565" s="4" t="e">
        <f t="shared" ref="CH565" ca="1" si="10402">MATCH(1,OFFSET(CG563:CG574,CI564,0,COUNT(CG563:CG574)-CI564),0)</f>
        <v>#REF!</v>
      </c>
      <c r="CI565" s="4" t="e">
        <f t="shared" ca="1" si="10369"/>
        <v>#REF!</v>
      </c>
      <c r="CJ565" s="692" t="str">
        <f ca="1">IFERROR(IF(AD564="Nested Steel Stud (wood infill)",VLOOKUP(INDEX(CF563:CF574,CI565),SSW,2,FALSE),VLOOKUP(INDEX(CF563:CF574,CI565),SSM,2,FALSE)),"----")</f>
        <v>----</v>
      </c>
      <c r="CK565" s="691" t="e">
        <f t="shared" ca="1" si="10370"/>
        <v>#N/A</v>
      </c>
      <c r="CL565" s="4" t="e">
        <f ca="1">IF(AND(INDEX(WSM,CK565,4)&gt;=$AB563,INDEX(WSM,CK565,5)&gt;=$S563,INDEX(WSM,CK565,6)&gt;=$R563),1,0)</f>
        <v>#N/A</v>
      </c>
      <c r="CM565" s="4" t="e">
        <f t="shared" ref="CM565" ca="1" si="10403">MATCH(1,OFFSET(CL563:CL574,CN564,0,COUNT(CL563:CL574)-CN564),0)</f>
        <v>#REF!</v>
      </c>
      <c r="CN565" s="4" t="e">
        <f t="shared" ca="1" si="10372"/>
        <v>#REF!</v>
      </c>
      <c r="CO565" s="692" t="str">
        <f ca="1">IFERROR(VLOOKUP(INDEX(CK563:CK574,CN565),WSM,2,FALSE),"----")</f>
        <v>----</v>
      </c>
      <c r="CP565" s="691" t="e">
        <f t="shared" ca="1" si="10373"/>
        <v>#N/A</v>
      </c>
      <c r="CQ565" s="4" t="e">
        <f ca="1">IF(AND(INDEX(STM,CP565,4)&gt;=$AB563,INDEX(STM,CP565,5)&gt;=$S563,INDEX(STM,CP565,6)&gt;=$R563),1,0)</f>
        <v>#N/A</v>
      </c>
      <c r="CR565" s="4" t="e">
        <f t="shared" ref="CR565" ca="1" si="10404">MATCH(1,OFFSET(CQ563:CQ574,CS564,0,COUNT(CQ563:CQ574)-CS564),0)</f>
        <v>#REF!</v>
      </c>
      <c r="CS565" s="4" t="e">
        <f t="shared" ca="1" si="10375"/>
        <v>#REF!</v>
      </c>
      <c r="CT565" s="692" t="str">
        <f ca="1">IFERROR(VLOOKUP(INDEX(CP563:CP574,CS565),STM,2,FALSE),"----")</f>
        <v>----</v>
      </c>
      <c r="CU565" s="691" t="e">
        <f t="shared" ca="1" si="10376"/>
        <v>#N/A</v>
      </c>
      <c r="CV565" s="4" t="e">
        <f ca="1">IF(AND(INDEX(ELM,CU565,4)&gt;=$AB563,INDEX(ELM,CU565,5)&gt;=$S563,INDEX(ELM,CU565,6)&gt;=$R563),1,0)</f>
        <v>#N/A</v>
      </c>
      <c r="CW565" s="4" t="e">
        <f t="shared" ref="CW565" ca="1" si="10405">MATCH(1,OFFSET(CV563:CV574,CX564,0,COUNT(CV563:CV574)-CX564),0)</f>
        <v>#REF!</v>
      </c>
      <c r="CX565" s="4" t="e">
        <f t="shared" ca="1" si="10378"/>
        <v>#REF!</v>
      </c>
      <c r="CY565" s="692" t="str">
        <f ca="1">IFERROR(VLOOKUP(INDEX(CU563:CU574,CX565),ELM,2,FALSE),"----")</f>
        <v>----</v>
      </c>
      <c r="CZ565" s="691" t="e">
        <f t="shared" ca="1" si="10379"/>
        <v>#N/A</v>
      </c>
      <c r="DA565" s="4" t="e">
        <f ca="1">IF(LEFT($J563,7)="Clad Wo",IF(AND(INDEX(SPPWS,CZ565,4)&gt;=$AB563,INDEX(SPPWS,CZ565,5)&gt;=$S563,INDEX(SPPWS,CZ565,6)&gt;=$R563),1,0),IF(AND(INDEX(SPM,CZ565,4)&gt;=$AB563,INDEX(SPM,CZ565,5)&gt;=$S563,INDEX(SPM,CZ565,6)&gt;=$R563),1,0))</f>
        <v>#N/A</v>
      </c>
      <c r="DB565" s="4" t="e">
        <f t="shared" ref="DB565" ca="1" si="10406">MATCH(1,OFFSET(DA563:DA574,DC564,0,COUNT(DA563:DA574)-DC564),0)</f>
        <v>#REF!</v>
      </c>
      <c r="DC565" s="4" t="e">
        <f t="shared" ca="1" si="10381"/>
        <v>#REF!</v>
      </c>
      <c r="DD565" s="693" t="str">
        <f ca="1">IF(LEFT($J563,7)="Clad Wo",IFERROR(VLOOKUP(INDEX(CZ563:CZ574,DC565),SPPWS,2,FALSE),"----"),IFERROR(VLOOKUP(INDEX(CZ563:CZ574,DC565),SPM,2,FALSE),"----"))</f>
        <v>----</v>
      </c>
      <c r="DE565" s="691" t="e">
        <f t="shared" ca="1" si="10382"/>
        <v>#REF!</v>
      </c>
      <c r="DF565" s="4" t="e" cm="1">
        <f t="array" aca="1" ref="DF565" ca="1">IF(AND(INDEX(INDIRECT(BY563),DE565,4)&gt;=$AB569,INDEX(INDIRECT(BY563),DE565,5)&gt;=$S563,INDEX(INDIRECT(BY563),DE565,6)&gt;=$R563),1,0)</f>
        <v>#REF!</v>
      </c>
      <c r="DG565" s="4" t="e">
        <f t="shared" ref="DG565" ca="1" si="10407">MATCH(1,OFFSET(DF563:DF574,DH564,0,COUNT(DF563:DF574)-DH564),0)</f>
        <v>#REF!</v>
      </c>
      <c r="DH565" s="4" t="e">
        <f t="shared" ca="1" si="10384"/>
        <v>#REF!</v>
      </c>
      <c r="DI565" s="692" t="str" cm="1">
        <f t="array" aca="1" ref="DI565" ca="1">IFERROR(VLOOKUP(INDEX(DE563:DE574,DH565),INDIRECT(BY563),2,FALSE),"----")</f>
        <v>----</v>
      </c>
      <c r="DJ565" s="691" t="e">
        <f t="shared" ca="1" si="10385"/>
        <v>#N/A</v>
      </c>
      <c r="DK565" s="4" t="e">
        <f ca="1">IF(AND(INDEX(SSM,DJ565,4)&gt;=$AB569,INDEX(SSM,DJ565,5)&gt;=$S563,INDEX(SSM,DJ565,6)&gt;=$R563),1,0)</f>
        <v>#N/A</v>
      </c>
      <c r="DL565" s="4" t="e">
        <f t="shared" ref="DL565" ca="1" si="10408">MATCH(1,OFFSET(DK563:DK574,DM564,0,COUNT(DK563:DK574)-DM564),0)</f>
        <v>#REF!</v>
      </c>
      <c r="DM565" s="4" t="e">
        <f t="shared" ca="1" si="10387"/>
        <v>#REF!</v>
      </c>
      <c r="DN565" s="692" t="str">
        <f ca="1">IFERROR(IF(AD570="Nested Steel Stud (wood infill)",VLOOKUP(INDEX(DJ563:DJ574,DM565),SSW,2,FALSE),VLOOKUP(INDEX(DJ563:DJ574,DM565),SSM,2,FALSE)),"----")</f>
        <v>----</v>
      </c>
      <c r="DO565" s="691" t="e">
        <f t="shared" ca="1" si="10388"/>
        <v>#N/A</v>
      </c>
      <c r="DP565" s="4" t="e">
        <f ca="1">IF(AND(INDEX(WSM,DO565,4)&gt;=$AB569,INDEX(WSM,DO565,5)&gt;=$S563,INDEX(WSM,DO565,6)&gt;=$R563),1,0)</f>
        <v>#N/A</v>
      </c>
      <c r="DQ565" s="4" t="e">
        <f t="shared" ref="DQ565" ca="1" si="10409">MATCH(1,OFFSET(DP563:DP574,DR564,0,COUNT(DP563:DP574)-DR564),0)</f>
        <v>#REF!</v>
      </c>
      <c r="DR565" s="4" t="e">
        <f t="shared" ca="1" si="10390"/>
        <v>#REF!</v>
      </c>
      <c r="DS565" s="692" t="str">
        <f ca="1">IFERROR(VLOOKUP(INDEX(DO563:DO574,DR565),WSM,2,FALSE),"----")</f>
        <v>----</v>
      </c>
      <c r="DT565" s="691" t="e">
        <f t="shared" ca="1" si="10391"/>
        <v>#N/A</v>
      </c>
      <c r="DU565" s="4" t="e">
        <f ca="1">IF(AND(INDEX(STM,DT565,4)&gt;=$AB569,INDEX(STM,DT565,5)&gt;=$S563,INDEX(STM,DT565,6)&gt;=$R563),1,0)</f>
        <v>#N/A</v>
      </c>
      <c r="DV565" s="4" t="e">
        <f t="shared" ref="DV565" ca="1" si="10410">MATCH(1,OFFSET(DU563:DU574,DW564,0,COUNT(DU563:DU574)-DW564),0)</f>
        <v>#REF!</v>
      </c>
      <c r="DW565" s="4" t="e">
        <f t="shared" ca="1" si="10393"/>
        <v>#REF!</v>
      </c>
      <c r="DX565" s="692" t="str">
        <f ca="1">IFERROR(VLOOKUP(INDEX(DT563:DT574,DW565),STM,2,FALSE),"----")</f>
        <v>----</v>
      </c>
      <c r="DY565" s="691" t="e">
        <f t="shared" ca="1" si="10394"/>
        <v>#N/A</v>
      </c>
      <c r="DZ565" s="4" t="e">
        <f ca="1">IF(AND(INDEX(ELM,DY565,4)&gt;=$AB569,INDEX(ELM,DY565,5)&gt;=$S563,INDEX(ELM,DY565,6)&gt;=$R563),1,0)</f>
        <v>#N/A</v>
      </c>
      <c r="EA565" s="4" t="e">
        <f t="shared" ref="EA565" ca="1" si="10411">MATCH(1,OFFSET(DZ563:DZ574,EB564,0,COUNT(DZ563:DZ574)-EB564),0)</f>
        <v>#REF!</v>
      </c>
      <c r="EB565" s="4" t="e">
        <f t="shared" ca="1" si="10396"/>
        <v>#REF!</v>
      </c>
      <c r="EC565" s="692" t="str">
        <f ca="1">IFERROR(VLOOKUP(INDEX(DY563:DY574,EB565),ELM,2,FALSE),"----")</f>
        <v>----</v>
      </c>
      <c r="ED565" s="691" t="e">
        <f t="shared" ca="1" si="10397"/>
        <v>#N/A</v>
      </c>
      <c r="EE565" s="4" t="e">
        <f ca="1">IF(LEFT($J563,7)="Clad Wo",IF(AND(INDEX(SPPWS,ED565,4)&gt;=$AB569,INDEX(SPPWS,ED565,5)&gt;=$S563,INDEX(SPPWS,ED565,6)&gt;=$R563),1,0),IF(AND(INDEX(SPM,ED565,4)&gt;=$AB569,INDEX(SPM,ED565,5)&gt;=$S563,INDEX(SPM,ED565,6)&gt;=$R563),1,0))</f>
        <v>#N/A</v>
      </c>
      <c r="EF565" s="4" t="e">
        <f t="shared" ref="EF565" ca="1" si="10412">MATCH(1,OFFSET(EE563:EE574,EG564,0,COUNT(EE563:EE574)-EG564),0)</f>
        <v>#REF!</v>
      </c>
      <c r="EG565" s="4" t="e">
        <f t="shared" ca="1" si="10399"/>
        <v>#REF!</v>
      </c>
      <c r="EH565" s="692" t="str">
        <f ca="1">IF(LEFT($J563,7)="Clad Wo",IFERROR(VLOOKUP(INDEX(ED563:ED574,EG565),SPPWS,2,FALSE),"----"),IFERROR(VLOOKUP(INDEX(ED563:ED574,EG565),SPM,2,FALSE),"----"))</f>
        <v>----</v>
      </c>
    </row>
    <row r="566" spans="1:138" ht="15" customHeight="1" x14ac:dyDescent="0.25">
      <c r="A566" s="1085"/>
      <c r="B566" s="925"/>
      <c r="C566" s="926"/>
      <c r="D566" s="927"/>
      <c r="E566" s="995"/>
      <c r="F566" s="996"/>
      <c r="G566" s="997"/>
      <c r="H566" s="1062"/>
      <c r="I566" s="990"/>
      <c r="J566" s="908"/>
      <c r="K566" s="909"/>
      <c r="L566" s="1002"/>
      <c r="M566" s="923"/>
      <c r="N566" s="1042"/>
      <c r="O566" s="1018"/>
      <c r="P566" s="987"/>
      <c r="Q566" s="1015"/>
      <c r="R566" s="1012"/>
      <c r="S566" s="1006"/>
      <c r="T566" s="1007"/>
      <c r="U566" s="878"/>
      <c r="V566" s="881"/>
      <c r="W566" s="884"/>
      <c r="X566" s="884"/>
      <c r="Y566" s="887"/>
      <c r="Z566" s="887"/>
      <c r="AA566" s="887"/>
      <c r="AB566" s="1081"/>
      <c r="AC566" s="1078"/>
      <c r="AD566" s="1070" t="s">
        <v>37</v>
      </c>
      <c r="AE566" s="1071"/>
      <c r="AF566" s="1052"/>
      <c r="AG566" s="1053"/>
      <c r="AH566" s="1053"/>
      <c r="AI566" s="1066"/>
      <c r="AJ566" s="1067"/>
      <c r="AK566" s="156" t="str">
        <f t="shared" ca="1" si="10024"/>
        <v/>
      </c>
      <c r="AL566" s="1039"/>
      <c r="AM566" s="343" t="str">
        <f ca="1">IFERROR(Q563/12*ROUND(VLOOKUP(AF566,OFFSET(STM,0,1),6,FALSE),2),"")</f>
        <v/>
      </c>
      <c r="AN566" t="str">
        <f t="shared" ca="1" si="10040"/>
        <v/>
      </c>
      <c r="AP566" s="122" t="str">
        <f t="shared" ref="AP566" si="10413">_xlfn.CONCAT(AR566,AS568)</f>
        <v/>
      </c>
      <c r="AQ566" s="683" t="str">
        <f t="shared" si="10249"/>
        <v/>
      </c>
      <c r="AR566" s="4" t="str">
        <f t="shared" si="10009"/>
        <v/>
      </c>
      <c r="AS566" s="4"/>
      <c r="AT566" s="697" t="str">
        <f>AL563</f>
        <v/>
      </c>
      <c r="AU566" s="694" t="e">
        <f t="shared" ca="1" si="10265"/>
        <v>#REF!</v>
      </c>
      <c r="AV566" s="686" t="str">
        <f ca="1">IFERROR(VLOOKUP(AU566,INDIRECT(AQ563),2,FALSE),"----")</f>
        <v>----</v>
      </c>
      <c r="AW566" s="694" t="e">
        <f t="shared" ca="1" si="10266"/>
        <v>#REF!</v>
      </c>
      <c r="AX566" s="686" t="str">
        <f ca="1">IFERROR(VLOOKUP(AW566,INDIRECT(AQ564),2,FALSE),"----")</f>
        <v>----</v>
      </c>
      <c r="AY566" s="694" t="e">
        <f t="shared" ref="AY566" ca="1" si="10414">AY565-1</f>
        <v>#REF!</v>
      </c>
      <c r="AZ566" s="686" t="str">
        <f ca="1">IFERROR(VLOOKUP(AY566,INDIRECT(AQ565),2,FALSE),"----")</f>
        <v>----</v>
      </c>
      <c r="BA566" s="694" t="e">
        <f t="shared" ref="BA566" ca="1" si="10415">BA565-1</f>
        <v>#REF!</v>
      </c>
      <c r="BB566" s="686" t="str">
        <f ca="1">IFERROR(VLOOKUP(BA566,INDIRECT(AQ566),2,FALSE),"----")</f>
        <v>----</v>
      </c>
      <c r="BC566" s="694" t="e">
        <f t="shared" ca="1" si="10267"/>
        <v>#REF!</v>
      </c>
      <c r="BD566" s="686" t="str">
        <f ca="1">IFERROR(VLOOKUP(BC566,INDIRECT(AQ567),2,FALSE),"----")</f>
        <v>----</v>
      </c>
      <c r="BE566" s="694" t="e">
        <f t="shared" ca="1" si="10268"/>
        <v>#REF!</v>
      </c>
      <c r="BF566" s="686" t="str">
        <f ca="1">IFERROR(VLOOKUP(BE566,INDIRECT(AQ568),2,FALSE),"----")</f>
        <v>----</v>
      </c>
      <c r="BG566" s="694" t="e">
        <f t="shared" ca="1" si="10269"/>
        <v>#REF!</v>
      </c>
      <c r="BH566" s="686" t="str">
        <f ca="1">IFERROR(VLOOKUP(BG566,INDIRECT(AQ569),2,FALSE),"----")</f>
        <v>----</v>
      </c>
      <c r="BI566" s="694" t="e">
        <f t="shared" ca="1" si="10270"/>
        <v>#REF!</v>
      </c>
      <c r="BJ566" s="686" t="str">
        <f ca="1">IFERROR(VLOOKUP(BI566,INDIRECT(AQ570),2,FALSE),"----")</f>
        <v>----</v>
      </c>
      <c r="BK566" s="694" t="e">
        <f t="shared" ca="1" si="10271"/>
        <v>#REF!</v>
      </c>
      <c r="BL566" s="686" t="str">
        <f ca="1">IFERROR(VLOOKUP(BK566,INDIRECT(AQ571),2,FALSE),"----")</f>
        <v>----</v>
      </c>
      <c r="BM566" s="694" t="e">
        <f t="shared" ca="1" si="10272"/>
        <v>#REF!</v>
      </c>
      <c r="BN566" s="686" t="str">
        <f ca="1">IFERROR(VLOOKUP(BM566,INDIRECT(AQ572),2,FALSE),"----")</f>
        <v>----</v>
      </c>
      <c r="BO566" s="694" t="e">
        <f t="shared" ca="1" si="10273"/>
        <v>#REF!</v>
      </c>
      <c r="BP566" s="686" t="str">
        <f ca="1">IFERROR(VLOOKUP(BO566,INDIRECT(AQ573),2,FALSE),"----")</f>
        <v>----</v>
      </c>
      <c r="BQ566" s="694" t="e">
        <f t="shared" ca="1" si="10274"/>
        <v>#REF!</v>
      </c>
      <c r="BR566" s="686" t="str">
        <f ca="1">IFERROR(VLOOKUP(BQ566,INDIRECT(AQ574),2,FALSE),"----")</f>
        <v>----</v>
      </c>
      <c r="BS566" s="695">
        <f>IF(AI566="",1,IF(COUNTIF(BB563:BB574,AI566)=0,2,1))</f>
        <v>1</v>
      </c>
      <c r="BT566" s="696">
        <f>IF(AF566="",1,IF(BB563=".",2,1))</f>
        <v>1</v>
      </c>
      <c r="BU566" s="706"/>
      <c r="BV566" s="155">
        <f ca="1">IF(COUNTIF(CT563:CT574,AF566)=0,IF(AF566&lt;&gt;"",0,1),1)</f>
        <v>1</v>
      </c>
      <c r="BW566" s="157">
        <f ca="1">IFERROR(MATCH(AF566,CT563:CT574,0),1)</f>
        <v>1</v>
      </c>
      <c r="BX566" s="769"/>
      <c r="BY566" s="769"/>
      <c r="BZ566" s="1110"/>
      <c r="CA566" s="691" t="e">
        <f t="shared" ca="1" si="10364"/>
        <v>#REF!</v>
      </c>
      <c r="CB566" s="4" t="e" cm="1">
        <f t="array" aca="1" ref="CB566" ca="1">IF(AND(INDEX(INDIRECT(BY563),CA566,4)&gt;=$AB563,INDEX(INDIRECT(BY563),CA566,5)&gt;=$S563,INDEX(INDIRECT(BY563),CA566,6)&gt;=$R563),1,0)</f>
        <v>#REF!</v>
      </c>
      <c r="CC566" s="4" t="e">
        <f t="shared" ref="CC566" ca="1" si="10416">MATCH(1,OFFSET(CB563:CB574,CD565,0,COUNT(CB563:CB574)-CD565),0)</f>
        <v>#REF!</v>
      </c>
      <c r="CD566" s="4" t="e">
        <f t="shared" ca="1" si="10366"/>
        <v>#REF!</v>
      </c>
      <c r="CE566" s="692" t="str" cm="1">
        <f t="array" aca="1" ref="CE566" ca="1">IFERROR(VLOOKUP(INDEX(CA563:CA574,CD566),INDIRECT(BY563),2,FALSE),"----")</f>
        <v>----</v>
      </c>
      <c r="CF566" s="691" t="e">
        <f t="shared" ca="1" si="10367"/>
        <v>#N/A</v>
      </c>
      <c r="CG566" s="4" t="e">
        <f ca="1">IF(AND(INDEX(SSM,CF566,4)&gt;=$AB563,INDEX(SSM,CF566,5)&gt;=$S563,INDEX(SSM,CF566,6)&gt;=$R563),1,0)</f>
        <v>#N/A</v>
      </c>
      <c r="CH566" s="4" t="e">
        <f t="shared" ref="CH566" ca="1" si="10417">MATCH(1,OFFSET(CG563:CG574,CI565,0,COUNT(CG563:CG574)-CI565),0)</f>
        <v>#REF!</v>
      </c>
      <c r="CI566" s="4" t="e">
        <f t="shared" ca="1" si="10369"/>
        <v>#REF!</v>
      </c>
      <c r="CJ566" s="692" t="str">
        <f ca="1">IFERROR(IF(AD564="Nested Steel Stud (wood infill)",VLOOKUP(INDEX(CF563:CF574,CI566),SSW,2,FALSE),VLOOKUP(INDEX(CF563:CF574,CI566),SSM,2,FALSE)),"----")</f>
        <v>----</v>
      </c>
      <c r="CK566" s="691" t="e">
        <f t="shared" ca="1" si="10370"/>
        <v>#N/A</v>
      </c>
      <c r="CL566" s="4" t="e">
        <f ca="1">IF(AND(INDEX(WSM,CK566,4)&gt;=$AB563,INDEX(WSM,CK566,5)&gt;=$S563,INDEX(WSM,CK566,6)&gt;=$R563),1,0)</f>
        <v>#N/A</v>
      </c>
      <c r="CM566" s="4" t="e">
        <f t="shared" ref="CM566" ca="1" si="10418">MATCH(1,OFFSET(CL563:CL574,CN565,0,COUNT(CL563:CL574)-CN565),0)</f>
        <v>#REF!</v>
      </c>
      <c r="CN566" s="4" t="e">
        <f t="shared" ca="1" si="10372"/>
        <v>#REF!</v>
      </c>
      <c r="CO566" s="692" t="str">
        <f ca="1">IFERROR(VLOOKUP(INDEX(CK563:CK574,CN566),WSM,2,FALSE),"----")</f>
        <v>----</v>
      </c>
      <c r="CP566" s="691" t="e">
        <f t="shared" ca="1" si="10373"/>
        <v>#N/A</v>
      </c>
      <c r="CQ566" s="4" t="e">
        <f ca="1">IF(AND(INDEX(STM,CP566,4)&gt;=$AB563,INDEX(STM,CP566,5)&gt;=$S563,INDEX(STM,CP566,6)&gt;=$R563),1,0)</f>
        <v>#N/A</v>
      </c>
      <c r="CR566" s="4" t="e">
        <f t="shared" ref="CR566" ca="1" si="10419">MATCH(1,OFFSET(CQ563:CQ574,CS565,0,COUNT(CQ563:CQ574)-CS565),0)</f>
        <v>#REF!</v>
      </c>
      <c r="CS566" s="4" t="e">
        <f t="shared" ca="1" si="10375"/>
        <v>#REF!</v>
      </c>
      <c r="CT566" s="692" t="str">
        <f ca="1">IFERROR(VLOOKUP(INDEX(CP563:CP574,CS566),STM,2,FALSE),"----")</f>
        <v>----</v>
      </c>
      <c r="CU566" s="691" t="e">
        <f t="shared" ca="1" si="10376"/>
        <v>#N/A</v>
      </c>
      <c r="CV566" s="4" t="e">
        <f ca="1">IF(AND(INDEX(ELM,CU566,4)&gt;=$AB563,INDEX(ELM,CU566,5)&gt;=$S563,INDEX(ELM,CU566,6)&gt;=$R563),1,0)</f>
        <v>#N/A</v>
      </c>
      <c r="CW566" s="4" t="e">
        <f t="shared" ref="CW566" ca="1" si="10420">MATCH(1,OFFSET(CV563:CV574,CX565,0,COUNT(CV563:CV574)-CX565),0)</f>
        <v>#REF!</v>
      </c>
      <c r="CX566" s="4" t="e">
        <f t="shared" ca="1" si="10378"/>
        <v>#REF!</v>
      </c>
      <c r="CY566" s="692" t="str">
        <f ca="1">IFERROR(VLOOKUP(INDEX(CU563:CU574,CX566),ELM,2,FALSE),"----")</f>
        <v>----</v>
      </c>
      <c r="CZ566" s="691" t="e">
        <f t="shared" ca="1" si="10379"/>
        <v>#N/A</v>
      </c>
      <c r="DA566" s="4" t="e">
        <f ca="1">IF(LEFT($J563,7)="Clad Wo",IF(AND(INDEX(SPPWS,CZ566,4)&gt;=$AB563,INDEX(SPPWS,CZ566,5)&gt;=$S563,INDEX(SPPWS,CZ566,6)&gt;=$R563),1,0),IF(AND(INDEX(SPM,CZ566,4)&gt;=$AB563,INDEX(SPM,CZ566,5)&gt;=$S563,INDEX(SPM,CZ566,6)&gt;=$R563),1,0))</f>
        <v>#N/A</v>
      </c>
      <c r="DB566" s="4" t="e">
        <f t="shared" ref="DB566" ca="1" si="10421">MATCH(1,OFFSET(DA563:DA574,DC565,0,COUNT(DA563:DA574)-DC565),0)</f>
        <v>#REF!</v>
      </c>
      <c r="DC566" s="4" t="e">
        <f t="shared" ca="1" si="10381"/>
        <v>#REF!</v>
      </c>
      <c r="DD566" s="693" t="str">
        <f ca="1">IF(LEFT($J563,7)="Clad Wo",IFERROR(VLOOKUP(INDEX(CZ563:CZ574,DC566),SPPWS,2,FALSE),"----"),IFERROR(VLOOKUP(INDEX(CZ563:CZ574,DC566),SPM,2,FALSE),"----"))</f>
        <v>----</v>
      </c>
      <c r="DE566" s="691" t="e">
        <f t="shared" ca="1" si="10382"/>
        <v>#REF!</v>
      </c>
      <c r="DF566" s="4" t="e" cm="1">
        <f t="array" aca="1" ref="DF566" ca="1">IF(AND(INDEX(INDIRECT(BY563),DE566,4)&gt;=$AB569,INDEX(INDIRECT(BY563),DE566,5)&gt;=$S563,INDEX(INDIRECT(BY563),DE566,6)&gt;=$R563),1,0)</f>
        <v>#REF!</v>
      </c>
      <c r="DG566" s="4" t="e">
        <f t="shared" ref="DG566" ca="1" si="10422">MATCH(1,OFFSET(DF563:DF574,DH565,0,COUNT(DF563:DF574)-DH565),0)</f>
        <v>#REF!</v>
      </c>
      <c r="DH566" s="4" t="e">
        <f t="shared" ca="1" si="10384"/>
        <v>#REF!</v>
      </c>
      <c r="DI566" s="692" t="str" cm="1">
        <f t="array" aca="1" ref="DI566" ca="1">IFERROR(VLOOKUP(INDEX(DE563:DE574,DH566),INDIRECT(BY563),2,FALSE),"----")</f>
        <v>----</v>
      </c>
      <c r="DJ566" s="691" t="e">
        <f t="shared" ca="1" si="10385"/>
        <v>#N/A</v>
      </c>
      <c r="DK566" s="4" t="e">
        <f ca="1">IF(AND(INDEX(SSM,DJ566,4)&gt;=$AB569,INDEX(SSM,DJ566,5)&gt;=$S563,INDEX(SSM,DJ566,6)&gt;=$R563),1,0)</f>
        <v>#N/A</v>
      </c>
      <c r="DL566" s="4" t="e">
        <f t="shared" ref="DL566" ca="1" si="10423">MATCH(1,OFFSET(DK563:DK574,DM565,0,COUNT(DK563:DK574)-DM565),0)</f>
        <v>#REF!</v>
      </c>
      <c r="DM566" s="4" t="e">
        <f t="shared" ca="1" si="10387"/>
        <v>#REF!</v>
      </c>
      <c r="DN566" s="692" t="str">
        <f ca="1">IFERROR(IF(AD570="Nested Steel Stud (wood infill)",VLOOKUP(INDEX(DJ563:DJ574,DM566),SSW,2,FALSE),VLOOKUP(INDEX(DJ563:DJ574,DM566),SSM,2,FALSE)),"----")</f>
        <v>----</v>
      </c>
      <c r="DO566" s="691" t="e">
        <f t="shared" ca="1" si="10388"/>
        <v>#N/A</v>
      </c>
      <c r="DP566" s="4" t="e">
        <f ca="1">IF(AND(INDEX(WSM,DO566,4)&gt;=$AB569,INDEX(WSM,DO566,5)&gt;=$S563,INDEX(WSM,DO566,6)&gt;=$R563),1,0)</f>
        <v>#N/A</v>
      </c>
      <c r="DQ566" s="4" t="e">
        <f t="shared" ref="DQ566" ca="1" si="10424">MATCH(1,OFFSET(DP563:DP574,DR565,0,COUNT(DP563:DP574)-DR565),0)</f>
        <v>#REF!</v>
      </c>
      <c r="DR566" s="4" t="e">
        <f t="shared" ca="1" si="10390"/>
        <v>#REF!</v>
      </c>
      <c r="DS566" s="692" t="str">
        <f ca="1">IFERROR(VLOOKUP(INDEX(DO563:DO574,DR566),WSM,2,FALSE),"----")</f>
        <v>----</v>
      </c>
      <c r="DT566" s="691" t="e">
        <f t="shared" ca="1" si="10391"/>
        <v>#N/A</v>
      </c>
      <c r="DU566" s="4" t="e">
        <f ca="1">IF(AND(INDEX(STM,DT566,4)&gt;=$AB569,INDEX(STM,DT566,5)&gt;=$S563,INDEX(STM,DT566,6)&gt;=$R563),1,0)</f>
        <v>#N/A</v>
      </c>
      <c r="DV566" s="4" t="e">
        <f t="shared" ref="DV566" ca="1" si="10425">MATCH(1,OFFSET(DU563:DU574,DW565,0,COUNT(DU563:DU574)-DW565),0)</f>
        <v>#REF!</v>
      </c>
      <c r="DW566" s="4" t="e">
        <f t="shared" ca="1" si="10393"/>
        <v>#REF!</v>
      </c>
      <c r="DX566" s="692" t="str">
        <f ca="1">IFERROR(VLOOKUP(INDEX(DT563:DT574,DW566),STM,2,FALSE),"----")</f>
        <v>----</v>
      </c>
      <c r="DY566" s="691" t="e">
        <f t="shared" ca="1" si="10394"/>
        <v>#N/A</v>
      </c>
      <c r="DZ566" s="4" t="e">
        <f ca="1">IF(AND(INDEX(ELM,DY566,4)&gt;=$AB569,INDEX(ELM,DY566,5)&gt;=$S563,INDEX(ELM,DY566,6)&gt;=$R563),1,0)</f>
        <v>#N/A</v>
      </c>
      <c r="EA566" s="4" t="e">
        <f t="shared" ref="EA566" ca="1" si="10426">MATCH(1,OFFSET(DZ563:DZ574,EB565,0,COUNT(DZ563:DZ574)-EB565),0)</f>
        <v>#REF!</v>
      </c>
      <c r="EB566" s="4" t="e">
        <f t="shared" ca="1" si="10396"/>
        <v>#REF!</v>
      </c>
      <c r="EC566" s="692" t="str">
        <f ca="1">IFERROR(VLOOKUP(INDEX(DY563:DY574,EB566),ELM,2,FALSE),"----")</f>
        <v>----</v>
      </c>
      <c r="ED566" s="691" t="e">
        <f t="shared" ca="1" si="10397"/>
        <v>#N/A</v>
      </c>
      <c r="EE566" s="4" t="e">
        <f ca="1">IF(LEFT($J563,7)="Clad Wo",IF(AND(INDEX(SPPWS,ED566,4)&gt;=$AB569,INDEX(SPPWS,ED566,5)&gt;=$S563,INDEX(SPPWS,ED566,6)&gt;=$R563),1,0),IF(AND(INDEX(SPM,ED566,4)&gt;=$AB569,INDEX(SPM,ED566,5)&gt;=$S563,INDEX(SPM,ED566,6)&gt;=$R563),1,0))</f>
        <v>#N/A</v>
      </c>
      <c r="EF566" s="4" t="e">
        <f t="shared" ref="EF566" ca="1" si="10427">MATCH(1,OFFSET(EE563:EE574,EG565,0,COUNT(EE563:EE574)-EG565),0)</f>
        <v>#REF!</v>
      </c>
      <c r="EG566" s="4" t="e">
        <f t="shared" ca="1" si="10399"/>
        <v>#REF!</v>
      </c>
      <c r="EH566" s="692" t="str">
        <f ca="1">IF(LEFT($J563,7)="Clad Wo",IFERROR(VLOOKUP(INDEX(ED563:ED574,EG566),SPPWS,2,FALSE),"----"),IFERROR(VLOOKUP(INDEX(ED563:ED574,EG566),SPM,2,FALSE),"----"))</f>
        <v>----</v>
      </c>
    </row>
    <row r="567" spans="1:138" ht="15" customHeight="1" x14ac:dyDescent="0.25">
      <c r="A567" s="1085"/>
      <c r="B567" s="925"/>
      <c r="C567" s="926"/>
      <c r="D567" s="927"/>
      <c r="E567" s="995"/>
      <c r="F567" s="996"/>
      <c r="G567" s="997"/>
      <c r="H567" s="1062"/>
      <c r="I567" s="990"/>
      <c r="J567" s="910"/>
      <c r="K567" s="911"/>
      <c r="L567" s="1002"/>
      <c r="M567" s="923"/>
      <c r="N567" s="1042"/>
      <c r="O567" s="1018"/>
      <c r="P567" s="987"/>
      <c r="Q567" s="1015"/>
      <c r="R567" s="1012"/>
      <c r="S567" s="1006"/>
      <c r="T567" s="1007"/>
      <c r="U567" s="878"/>
      <c r="V567" s="881"/>
      <c r="W567" s="884"/>
      <c r="X567" s="884"/>
      <c r="Y567" s="887"/>
      <c r="Z567" s="887"/>
      <c r="AA567" s="887"/>
      <c r="AB567" s="1081"/>
      <c r="AC567" s="1078"/>
      <c r="AD567" s="1070" t="s">
        <v>39</v>
      </c>
      <c r="AE567" s="1071"/>
      <c r="AF567" s="1052"/>
      <c r="AG567" s="1053"/>
      <c r="AH567" s="1053"/>
      <c r="AI567" s="1068"/>
      <c r="AJ567" s="1069"/>
      <c r="AK567" s="154" t="str">
        <f t="shared" ca="1" si="10024"/>
        <v/>
      </c>
      <c r="AL567" s="1039"/>
      <c r="AM567" s="344" t="str">
        <f ca="1">IFERROR(Q563/12*ROUND(VLOOKUP(AF567,OFFSET(ELM,0,1),6,FALSE),2),"")</f>
        <v/>
      </c>
      <c r="AN567" t="str">
        <f t="shared" ca="1" si="10040"/>
        <v/>
      </c>
      <c r="AP567" s="122" t="str">
        <f t="shared" ref="AP567" si="10428">_xlfn.CONCAT(AR567,AS568)</f>
        <v/>
      </c>
      <c r="AQ567" s="683" t="str">
        <f t="shared" si="10249"/>
        <v/>
      </c>
      <c r="AR567" s="4" t="str">
        <f t="shared" si="10009"/>
        <v/>
      </c>
      <c r="AS567" s="4"/>
      <c r="AT567" s="697" t="str">
        <f>AL563</f>
        <v/>
      </c>
      <c r="AU567" s="694" t="e">
        <f t="shared" ca="1" si="10265"/>
        <v>#REF!</v>
      </c>
      <c r="AV567" s="698" t="str">
        <f ca="1">IFERROR(VLOOKUP(AU567,INDIRECT(AQ563),2,FALSE),"----")</f>
        <v>----</v>
      </c>
      <c r="AW567" s="694" t="e">
        <f t="shared" ca="1" si="10266"/>
        <v>#REF!</v>
      </c>
      <c r="AX567" s="698" t="str">
        <f ca="1">IFERROR(VLOOKUP(AW567,INDIRECT(AQ564),2,FALSE),"----")</f>
        <v>----</v>
      </c>
      <c r="AY567" s="694" t="e">
        <f t="shared" ref="AY567" ca="1" si="10429">AY566-1</f>
        <v>#REF!</v>
      </c>
      <c r="AZ567" s="698" t="str">
        <f ca="1">IFERROR(VLOOKUP(AY567,INDIRECT(AQ565),2,FALSE),"----")</f>
        <v>----</v>
      </c>
      <c r="BA567" s="694" t="e">
        <f t="shared" ref="BA567" ca="1" si="10430">BA566-1</f>
        <v>#REF!</v>
      </c>
      <c r="BB567" s="698" t="str">
        <f ca="1">IFERROR(VLOOKUP(BA567,INDIRECT(AQ566),2,FALSE),"----")</f>
        <v>----</v>
      </c>
      <c r="BC567" s="694" t="e">
        <f t="shared" ca="1" si="10267"/>
        <v>#REF!</v>
      </c>
      <c r="BD567" s="698" t="str">
        <f ca="1">IFERROR(VLOOKUP(BC567,INDIRECT(AQ567),2,FALSE),"----")</f>
        <v>----</v>
      </c>
      <c r="BE567" s="694" t="e">
        <f t="shared" ca="1" si="10268"/>
        <v>#REF!</v>
      </c>
      <c r="BF567" s="698" t="str">
        <f ca="1">IFERROR(VLOOKUP(BE567,INDIRECT(AQ568),2,FALSE),"----")</f>
        <v>----</v>
      </c>
      <c r="BG567" s="694" t="e">
        <f t="shared" ca="1" si="10269"/>
        <v>#REF!</v>
      </c>
      <c r="BH567" s="686" t="str">
        <f ca="1">IFERROR(VLOOKUP(BG567,INDIRECT(AQ569),2,FALSE),"----")</f>
        <v>----</v>
      </c>
      <c r="BI567" s="694" t="e">
        <f t="shared" ca="1" si="10270"/>
        <v>#REF!</v>
      </c>
      <c r="BJ567" s="686" t="str">
        <f ca="1">IFERROR(VLOOKUP(BI567,INDIRECT(AQ570),2,FALSE),"----")</f>
        <v>----</v>
      </c>
      <c r="BK567" s="694" t="e">
        <f t="shared" ca="1" si="10271"/>
        <v>#REF!</v>
      </c>
      <c r="BL567" s="686" t="str">
        <f ca="1">IFERROR(VLOOKUP(BK567,INDIRECT(AQ571),2,FALSE),"----")</f>
        <v>----</v>
      </c>
      <c r="BM567" s="694" t="e">
        <f t="shared" ca="1" si="10272"/>
        <v>#REF!</v>
      </c>
      <c r="BN567" s="686" t="str">
        <f ca="1">IFERROR(VLOOKUP(BM567,INDIRECT(AQ572),2,FALSE),"----")</f>
        <v>----</v>
      </c>
      <c r="BO567" s="694" t="e">
        <f t="shared" ca="1" si="10273"/>
        <v>#REF!</v>
      </c>
      <c r="BP567" s="686" t="str">
        <f ca="1">IFERROR(VLOOKUP(BO567,INDIRECT(AQ573),2,FALSE),"----")</f>
        <v>----</v>
      </c>
      <c r="BQ567" s="694" t="e">
        <f t="shared" ca="1" si="10274"/>
        <v>#REF!</v>
      </c>
      <c r="BR567" s="686" t="str">
        <f ca="1">IFERROR(VLOOKUP(BQ567,INDIRECT(AQ574),2,FALSE),"----")</f>
        <v>----</v>
      </c>
      <c r="BS567" s="695">
        <f>IF(AI567="",1,IF(COUNTIF(BD563:BD574,AI567)=0,2,1))</f>
        <v>1</v>
      </c>
      <c r="BT567" s="696">
        <f>IF(AF567="",1,IF(BD563=".",2,1))</f>
        <v>1</v>
      </c>
      <c r="BU567" s="706"/>
      <c r="BV567" s="155">
        <f ca="1">IF(COUNTIF(CY563:CY574,AF567)=0,IF(AF567&lt;&gt;"",0,1),1)</f>
        <v>1</v>
      </c>
      <c r="BW567" s="157">
        <f ca="1">IFERROR(MATCH(AF567,CY563:CY574,0),1)</f>
        <v>1</v>
      </c>
      <c r="BX567" s="769"/>
      <c r="BY567" s="769"/>
      <c r="BZ567" s="1110"/>
      <c r="CA567" s="691" t="e">
        <f t="shared" ca="1" si="10364"/>
        <v>#REF!</v>
      </c>
      <c r="CB567" s="4" t="e" cm="1">
        <f t="array" aca="1" ref="CB567" ca="1">IF(AND(INDEX(INDIRECT(BY563),CA567,4)&gt;=$AB563,INDEX(INDIRECT(BY563),CA567,5)&gt;=$S563,INDEX(INDIRECT(BY563),CA567,6)&gt;=$R563),1,0)</f>
        <v>#REF!</v>
      </c>
      <c r="CC567" s="4" t="e">
        <f t="shared" ref="CC567" ca="1" si="10431">MATCH(1,OFFSET(CB563:CB574,CD566,0,COUNT(CB563:CB574)-CD566),0)</f>
        <v>#REF!</v>
      </c>
      <c r="CD567" s="4" t="e">
        <f t="shared" ca="1" si="10366"/>
        <v>#REF!</v>
      </c>
      <c r="CE567" s="692" t="str" cm="1">
        <f t="array" aca="1" ref="CE567" ca="1">IFERROR(VLOOKUP(INDEX(CA563:CA574,CD567),INDIRECT(BY563),2,FALSE),"----")</f>
        <v>----</v>
      </c>
      <c r="CF567" s="691" t="e">
        <f t="shared" ca="1" si="10367"/>
        <v>#N/A</v>
      </c>
      <c r="CG567" s="4" t="e">
        <f ca="1">IF(AND(INDEX(SSM,CF567,4)&gt;=$AB563,INDEX(SSM,CF567,5)&gt;=$S563,INDEX(SSM,CF567,6)&gt;=$R563),1,0)</f>
        <v>#N/A</v>
      </c>
      <c r="CH567" s="4" t="e">
        <f t="shared" ref="CH567" ca="1" si="10432">MATCH(1,OFFSET(CG563:CG574,CI566,0,COUNT(CG563:CG574)-CI566),0)</f>
        <v>#REF!</v>
      </c>
      <c r="CI567" s="4" t="e">
        <f t="shared" ca="1" si="10369"/>
        <v>#REF!</v>
      </c>
      <c r="CJ567" s="692" t="str">
        <f ca="1">IFERROR(IF(AD564="Nested Steel Stud (wood infill)",VLOOKUP(INDEX(CF563:CF574,CI567),SSW,2,FALSE),VLOOKUP(INDEX(CF563:CF574,CI567),SSM,2,FALSE)),"----")</f>
        <v>----</v>
      </c>
      <c r="CK567" s="691" t="e">
        <f t="shared" ca="1" si="10370"/>
        <v>#N/A</v>
      </c>
      <c r="CL567" s="4" t="e">
        <f ca="1">IF(AND(INDEX(WSM,CK567,4)&gt;=$AB563,INDEX(WSM,CK567,5)&gt;=$S563,INDEX(WSM,CK567,6)&gt;=$R563),1,0)</f>
        <v>#N/A</v>
      </c>
      <c r="CM567" s="4" t="e">
        <f t="shared" ref="CM567" ca="1" si="10433">MATCH(1,OFFSET(CL563:CL574,CN566,0,COUNT(CL563:CL574)-CN566),0)</f>
        <v>#REF!</v>
      </c>
      <c r="CN567" s="4" t="e">
        <f t="shared" ca="1" si="10372"/>
        <v>#REF!</v>
      </c>
      <c r="CO567" s="692" t="str">
        <f ca="1">IFERROR(VLOOKUP(INDEX(CK563:CK574,CN567),WSM,2,FALSE),"----")</f>
        <v>----</v>
      </c>
      <c r="CP567" s="691" t="e">
        <f t="shared" ca="1" si="10373"/>
        <v>#N/A</v>
      </c>
      <c r="CQ567" s="4" t="e">
        <f ca="1">IF(AND(INDEX(STM,CP567,4)&gt;=$AB563,INDEX(STM,CP567,5)&gt;=$S563,INDEX(STM,CP567,6)&gt;=$R563),1,0)</f>
        <v>#N/A</v>
      </c>
      <c r="CR567" s="4" t="e">
        <f t="shared" ref="CR567" ca="1" si="10434">MATCH(1,OFFSET(CQ563:CQ574,CS566,0,COUNT(CQ563:CQ574)-CS566),0)</f>
        <v>#REF!</v>
      </c>
      <c r="CS567" s="4" t="e">
        <f t="shared" ca="1" si="10375"/>
        <v>#REF!</v>
      </c>
      <c r="CT567" s="692" t="str">
        <f ca="1">IFERROR(VLOOKUP(INDEX(CP563:CP574,CS567),STM,2,FALSE),"----")</f>
        <v>----</v>
      </c>
      <c r="CU567" s="691" t="e">
        <f t="shared" ca="1" si="10376"/>
        <v>#N/A</v>
      </c>
      <c r="CV567" s="4" t="e">
        <f ca="1">IF(AND(INDEX(ELM,CU567,4)&gt;=$AB563,INDEX(ELM,CU567,5)&gt;=$S563,INDEX(ELM,CU567,6)&gt;=$R563),1,0)</f>
        <v>#N/A</v>
      </c>
      <c r="CW567" s="4" t="e">
        <f t="shared" ref="CW567" ca="1" si="10435">MATCH(1,OFFSET(CV563:CV574,CX566,0,COUNT(CV563:CV574)-CX566),0)</f>
        <v>#REF!</v>
      </c>
      <c r="CX567" s="4" t="e">
        <f t="shared" ca="1" si="10378"/>
        <v>#REF!</v>
      </c>
      <c r="CY567" s="692" t="str">
        <f ca="1">IFERROR(VLOOKUP(INDEX(CU563:CU574,CX567),ELM,2,FALSE),"----")</f>
        <v>----</v>
      </c>
      <c r="CZ567" s="691" t="e">
        <f t="shared" ca="1" si="10379"/>
        <v>#N/A</v>
      </c>
      <c r="DA567" s="4" t="e">
        <f ca="1">IF(LEFT($J563,7)="Clad Wo",IF(AND(INDEX(SPPWS,CZ567,4)&gt;=$AB563,INDEX(SPPWS,CZ567,5)&gt;=$S563,INDEX(SPPWS,CZ567,6)&gt;=$R563),1,0),IF(AND(INDEX(SPM,CZ567,4)&gt;=$AB563,INDEX(SPM,CZ567,5)&gt;=$S563,INDEX(SPM,CZ567,6)&gt;=$R563),1,0))</f>
        <v>#N/A</v>
      </c>
      <c r="DB567" s="4" t="e">
        <f t="shared" ref="DB567" ca="1" si="10436">MATCH(1,OFFSET(DA563:DA574,DC566,0,COUNT(DA563:DA574)-DC566),0)</f>
        <v>#REF!</v>
      </c>
      <c r="DC567" s="4" t="e">
        <f t="shared" ca="1" si="10381"/>
        <v>#REF!</v>
      </c>
      <c r="DD567" s="693" t="str">
        <f ca="1">IF(LEFT($J563,7)="Clad Wo",IFERROR(VLOOKUP(INDEX(CZ563:CZ574,DC567),SPPWS,2,FALSE),"----"),IFERROR(VLOOKUP(INDEX(CZ563:CZ574,DC567),SPM,2,FALSE),"----"))</f>
        <v>----</v>
      </c>
      <c r="DE567" s="691" t="e">
        <f t="shared" ca="1" si="10382"/>
        <v>#REF!</v>
      </c>
      <c r="DF567" s="4" t="e" cm="1">
        <f t="array" aca="1" ref="DF567" ca="1">IF(AND(INDEX(INDIRECT(BY563),DE567,4)&gt;=$AB569,INDEX(INDIRECT(BY563),DE567,5)&gt;=$S563,INDEX(INDIRECT(BY563),DE567,6)&gt;=$R563),1,0)</f>
        <v>#REF!</v>
      </c>
      <c r="DG567" s="4" t="e">
        <f t="shared" ref="DG567" ca="1" si="10437">MATCH(1,OFFSET(DF563:DF574,DH566,0,COUNT(DF563:DF574)-DH566),0)</f>
        <v>#REF!</v>
      </c>
      <c r="DH567" s="4" t="e">
        <f t="shared" ca="1" si="10384"/>
        <v>#REF!</v>
      </c>
      <c r="DI567" s="692" t="str" cm="1">
        <f t="array" aca="1" ref="DI567" ca="1">IFERROR(VLOOKUP(INDEX(DE563:DE574,DH567),INDIRECT(BY563),2,FALSE),"----")</f>
        <v>----</v>
      </c>
      <c r="DJ567" s="691" t="e">
        <f t="shared" ca="1" si="10385"/>
        <v>#N/A</v>
      </c>
      <c r="DK567" s="4" t="e">
        <f ca="1">IF(AND(INDEX(SSM,DJ567,4)&gt;=$AB569,INDEX(SSM,DJ567,5)&gt;=$S563,INDEX(SSM,DJ567,6)&gt;=$R563),1,0)</f>
        <v>#N/A</v>
      </c>
      <c r="DL567" s="4" t="e">
        <f t="shared" ref="DL567" ca="1" si="10438">MATCH(1,OFFSET(DK563:DK574,DM566,0,COUNT(DK563:DK574)-DM566),0)</f>
        <v>#REF!</v>
      </c>
      <c r="DM567" s="4" t="e">
        <f t="shared" ca="1" si="10387"/>
        <v>#REF!</v>
      </c>
      <c r="DN567" s="692" t="str">
        <f ca="1">IFERROR(IF(AD570="Nested Steel Stud (wood infill)",VLOOKUP(INDEX(DJ563:DJ574,DM567),SSW,2,FALSE),VLOOKUP(INDEX(DJ563:DJ574,DM567),SSM,2,FALSE)),"----")</f>
        <v>----</v>
      </c>
      <c r="DO567" s="691" t="e">
        <f t="shared" ca="1" si="10388"/>
        <v>#N/A</v>
      </c>
      <c r="DP567" s="4" t="e">
        <f ca="1">IF(AND(INDEX(WSM,DO567,4)&gt;=$AB569,INDEX(WSM,DO567,5)&gt;=$S563,INDEX(WSM,DO567,6)&gt;=$R563),1,0)</f>
        <v>#N/A</v>
      </c>
      <c r="DQ567" s="4" t="e">
        <f t="shared" ref="DQ567" ca="1" si="10439">MATCH(1,OFFSET(DP563:DP574,DR566,0,COUNT(DP563:DP574)-DR566),0)</f>
        <v>#REF!</v>
      </c>
      <c r="DR567" s="4" t="e">
        <f t="shared" ca="1" si="10390"/>
        <v>#REF!</v>
      </c>
      <c r="DS567" s="692" t="str">
        <f ca="1">IFERROR(VLOOKUP(INDEX(DO563:DO574,DR567),WSM,2,FALSE),"----")</f>
        <v>----</v>
      </c>
      <c r="DT567" s="691" t="e">
        <f t="shared" ca="1" si="10391"/>
        <v>#N/A</v>
      </c>
      <c r="DU567" s="4" t="e">
        <f ca="1">IF(AND(INDEX(STM,DT567,4)&gt;=$AB569,INDEX(STM,DT567,5)&gt;=$S563,INDEX(STM,DT567,6)&gt;=$R563),1,0)</f>
        <v>#N/A</v>
      </c>
      <c r="DV567" s="4" t="e">
        <f t="shared" ref="DV567" ca="1" si="10440">MATCH(1,OFFSET(DU563:DU574,DW566,0,COUNT(DU563:DU574)-DW566),0)</f>
        <v>#REF!</v>
      </c>
      <c r="DW567" s="4" t="e">
        <f t="shared" ca="1" si="10393"/>
        <v>#REF!</v>
      </c>
      <c r="DX567" s="692" t="str">
        <f ca="1">IFERROR(VLOOKUP(INDEX(DT563:DT574,DW567),STM,2,FALSE),"----")</f>
        <v>----</v>
      </c>
      <c r="DY567" s="691" t="e">
        <f t="shared" ca="1" si="10394"/>
        <v>#N/A</v>
      </c>
      <c r="DZ567" s="4" t="e">
        <f ca="1">IF(AND(INDEX(ELM,DY567,4)&gt;=$AB569,INDEX(ELM,DY567,5)&gt;=$S563,INDEX(ELM,DY567,6)&gt;=$R563),1,0)</f>
        <v>#N/A</v>
      </c>
      <c r="EA567" s="4" t="e">
        <f t="shared" ref="EA567" ca="1" si="10441">MATCH(1,OFFSET(DZ563:DZ574,EB566,0,COUNT(DZ563:DZ574)-EB566),0)</f>
        <v>#REF!</v>
      </c>
      <c r="EB567" s="4" t="e">
        <f t="shared" ca="1" si="10396"/>
        <v>#REF!</v>
      </c>
      <c r="EC567" s="692" t="str">
        <f ca="1">IFERROR(VLOOKUP(INDEX(DY563:DY574,EB567),ELM,2,FALSE),"----")</f>
        <v>----</v>
      </c>
      <c r="ED567" s="691" t="e">
        <f t="shared" ca="1" si="10397"/>
        <v>#N/A</v>
      </c>
      <c r="EE567" s="4" t="e">
        <f ca="1">IF(LEFT($J563,7)="Clad Wo",IF(AND(INDEX(SPPWS,ED567,4)&gt;=$AB569,INDEX(SPPWS,ED567,5)&gt;=$S563,INDEX(SPPWS,ED567,6)&gt;=$R563),1,0),IF(AND(INDEX(SPM,ED567,4)&gt;=$AB569,INDEX(SPM,ED567,5)&gt;=$S563,INDEX(SPM,ED567,6)&gt;=$R563),1,0))</f>
        <v>#N/A</v>
      </c>
      <c r="EF567" s="4" t="e">
        <f t="shared" ref="EF567" ca="1" si="10442">MATCH(1,OFFSET(EE563:EE574,EG566,0,COUNT(EE563:EE574)-EG566),0)</f>
        <v>#REF!</v>
      </c>
      <c r="EG567" s="4" t="e">
        <f t="shared" ca="1" si="10399"/>
        <v>#REF!</v>
      </c>
      <c r="EH567" s="692" t="str">
        <f ca="1">IF(LEFT($J563,7)="Clad Wo",IFERROR(VLOOKUP(INDEX(ED563:ED574,EG567),SPPWS,2,FALSE),"----"),IFERROR(VLOOKUP(INDEX(ED563:ED574,EG567),SPM,2,FALSE),"----"))</f>
        <v>----</v>
      </c>
    </row>
    <row r="568" spans="1:138" ht="15" customHeight="1" thickBot="1" x14ac:dyDescent="0.3">
      <c r="A568" s="1085"/>
      <c r="B568" s="934"/>
      <c r="C568" s="935"/>
      <c r="D568" s="936"/>
      <c r="E568" s="995"/>
      <c r="F568" s="996"/>
      <c r="G568" s="997"/>
      <c r="H568" s="1062"/>
      <c r="I568" s="990"/>
      <c r="J568" s="908"/>
      <c r="K568" s="909"/>
      <c r="L568" s="1010"/>
      <c r="M568" s="924"/>
      <c r="N568" s="1044"/>
      <c r="O568" s="1018"/>
      <c r="P568" s="987"/>
      <c r="Q568" s="1015"/>
      <c r="R568" s="1012"/>
      <c r="S568" s="1006"/>
      <c r="T568" s="1007"/>
      <c r="U568" s="878"/>
      <c r="V568" s="881"/>
      <c r="W568" s="889"/>
      <c r="X568" s="884"/>
      <c r="Y568" s="890"/>
      <c r="Z568" s="890"/>
      <c r="AA568" s="887"/>
      <c r="AB568" s="1084"/>
      <c r="AC568" s="1079"/>
      <c r="AD568" s="1072" t="str">
        <f t="shared" ref="AD568" si="10443">IF(LEFT(J563,7)="Clad Wo","Pella Wood Spr / Steel Pte","Steel Plate")</f>
        <v>Steel Plate</v>
      </c>
      <c r="AE568" s="1073"/>
      <c r="AF568" s="1054"/>
      <c r="AG568" s="1055"/>
      <c r="AH568" s="1055"/>
      <c r="AI568" s="1092"/>
      <c r="AJ568" s="1093"/>
      <c r="AK568" s="159" t="str">
        <f t="shared" ca="1" si="10024"/>
        <v/>
      </c>
      <c r="AL568" s="1040"/>
      <c r="AM568" s="345" t="str">
        <f ca="1">IFERROR(Q563/12*ROUND(VLOOKUP(AF568,OFFSET(SPM,0,1),6,FALSE),2),"")</f>
        <v/>
      </c>
      <c r="AN568" t="str">
        <f t="shared" ca="1" si="10040"/>
        <v/>
      </c>
      <c r="AP568" s="699" t="str">
        <f t="shared" ref="AP568" si="10444">_xlfn.CONCAT(AR568,AS568)</f>
        <v/>
      </c>
      <c r="AQ568" s="700" t="str">
        <f t="shared" si="10249"/>
        <v/>
      </c>
      <c r="AR568" s="160" t="str">
        <f t="shared" si="10009"/>
        <v/>
      </c>
      <c r="AS568" s="160" t="str">
        <f>IFERROR(VLOOKUP(J571, WallType,2,FALSE),"")</f>
        <v/>
      </c>
      <c r="AT568" s="701" t="str">
        <f>AL563</f>
        <v/>
      </c>
      <c r="AU568" s="694" t="e">
        <f t="shared" ca="1" si="10265"/>
        <v>#REF!</v>
      </c>
      <c r="AV568" s="698" t="str">
        <f ca="1">IFERROR(VLOOKUP(AU568,INDIRECT(AQ563),2,FALSE),"----")</f>
        <v>----</v>
      </c>
      <c r="AW568" s="702" t="e">
        <f t="shared" ca="1" si="10266"/>
        <v>#REF!</v>
      </c>
      <c r="AX568" s="698" t="str">
        <f ca="1">IFERROR(VLOOKUP(AW568,INDIRECT(AQ564),2,FALSE),"----")</f>
        <v>----</v>
      </c>
      <c r="AY568" s="702" t="e">
        <f t="shared" ref="AY568" ca="1" si="10445">AY567-1</f>
        <v>#REF!</v>
      </c>
      <c r="AZ568" s="698" t="str">
        <f ca="1">IFERROR(VLOOKUP(AY568,INDIRECT(AQ565),2,FALSE),"----")</f>
        <v>----</v>
      </c>
      <c r="BA568" s="702" t="e">
        <f t="shared" ref="BA568" ca="1" si="10446">BA567-1</f>
        <v>#REF!</v>
      </c>
      <c r="BB568" s="698" t="str">
        <f ca="1">IFERROR(VLOOKUP(BA568,INDIRECT(AQ566),2,FALSE),"----")</f>
        <v>----</v>
      </c>
      <c r="BC568" s="702" t="e">
        <f t="shared" ca="1" si="10267"/>
        <v>#REF!</v>
      </c>
      <c r="BD568" s="698" t="str">
        <f ca="1">IFERROR(VLOOKUP(BC568,INDIRECT(AQ567),2,FALSE),"----")</f>
        <v>----</v>
      </c>
      <c r="BE568" s="702" t="e">
        <f t="shared" ca="1" si="10268"/>
        <v>#REF!</v>
      </c>
      <c r="BF568" s="698" t="str">
        <f ca="1">IFERROR(VLOOKUP(BE568,INDIRECT(AQ568),2,FALSE),"----")</f>
        <v>----</v>
      </c>
      <c r="BG568" s="702" t="e">
        <f t="shared" ca="1" si="10269"/>
        <v>#REF!</v>
      </c>
      <c r="BH568" s="686" t="str">
        <f ca="1">IFERROR(VLOOKUP(BG568,INDIRECT(AQ569),2,FALSE),"----")</f>
        <v>----</v>
      </c>
      <c r="BI568" s="702" t="e">
        <f t="shared" ca="1" si="10270"/>
        <v>#REF!</v>
      </c>
      <c r="BJ568" s="686" t="str">
        <f ca="1">IFERROR(VLOOKUP(BI568,INDIRECT(AQ570),2,FALSE),"----")</f>
        <v>----</v>
      </c>
      <c r="BK568" s="702" t="e">
        <f t="shared" ca="1" si="10271"/>
        <v>#REF!</v>
      </c>
      <c r="BL568" s="686" t="str">
        <f ca="1">IFERROR(VLOOKUP(BK568,INDIRECT(AQ571),2,FALSE),"----")</f>
        <v>----</v>
      </c>
      <c r="BM568" s="702" t="e">
        <f t="shared" ca="1" si="10272"/>
        <v>#REF!</v>
      </c>
      <c r="BN568" s="686" t="str">
        <f ca="1">IFERROR(VLOOKUP(BM568,INDIRECT(AQ572),2,FALSE),"----")</f>
        <v>----</v>
      </c>
      <c r="BO568" s="702" t="e">
        <f t="shared" ca="1" si="10273"/>
        <v>#REF!</v>
      </c>
      <c r="BP568" s="686" t="str">
        <f ca="1">IFERROR(VLOOKUP(BO568,INDIRECT(AQ573),2,FALSE),"----")</f>
        <v>----</v>
      </c>
      <c r="BQ568" s="702" t="e">
        <f t="shared" ca="1" si="10274"/>
        <v>#REF!</v>
      </c>
      <c r="BR568" s="686" t="str">
        <f ca="1">IFERROR(VLOOKUP(BQ568,INDIRECT(AQ574),2,FALSE),"----")</f>
        <v>----</v>
      </c>
      <c r="BS568" s="703">
        <f>IF(AI568="",1,IF(COUNTIF(BF563:BF574,AI568)=0,2,1))</f>
        <v>1</v>
      </c>
      <c r="BT568" s="704">
        <f>IF(AF568="",1,IF(BF563=".",2,1))</f>
        <v>1</v>
      </c>
      <c r="BV568" s="155">
        <f ca="1">IF(COUNTIF(DD563:DD574,AF568)=0,IF(AF568&lt;&gt;"",0,1),1)</f>
        <v>1</v>
      </c>
      <c r="BW568" s="157">
        <f ca="1">IFERROR(MATCH(AF568,DD563:DD574,0),1)</f>
        <v>1</v>
      </c>
      <c r="BX568" s="875" t="s">
        <v>1594</v>
      </c>
      <c r="BY568" s="876"/>
      <c r="BZ568" s="1110"/>
      <c r="CA568" s="691" t="e">
        <f t="shared" ca="1" si="10364"/>
        <v>#REF!</v>
      </c>
      <c r="CB568" s="4" t="e" cm="1">
        <f t="array" aca="1" ref="CB568" ca="1">IF(AND(INDEX(INDIRECT(BY563),CA568,4)&gt;=$AB563,INDEX(INDIRECT(BY563),CA568,5)&gt;=$S563,INDEX(INDIRECT(BY563),CA568,6)&gt;=$R563),1,0)</f>
        <v>#REF!</v>
      </c>
      <c r="CC568" s="4" t="e">
        <f t="shared" ref="CC568" ca="1" si="10447">MATCH(1,OFFSET(CB563:CB574,CD567,0,COUNT(CB563:CB574)-CD567),0)</f>
        <v>#REF!</v>
      </c>
      <c r="CD568" s="4" t="e">
        <f t="shared" ca="1" si="10366"/>
        <v>#REF!</v>
      </c>
      <c r="CE568" s="692" t="str" cm="1">
        <f t="array" aca="1" ref="CE568" ca="1">IFERROR(VLOOKUP(INDEX(CA563:CA574,CD568),INDIRECT(BY563),2,FALSE),"----")</f>
        <v>----</v>
      </c>
      <c r="CF568" s="691" t="e">
        <f t="shared" ca="1" si="10367"/>
        <v>#N/A</v>
      </c>
      <c r="CG568" s="4" t="e">
        <f ca="1">IF(AND(INDEX(SSM,CF568,4)&gt;=$AB563,INDEX(SSM,CF568,5)&gt;=$S563,INDEX(SSM,CF568,6)&gt;=$R563),1,0)</f>
        <v>#N/A</v>
      </c>
      <c r="CH568" s="4" t="e">
        <f t="shared" ref="CH568" ca="1" si="10448">MATCH(1,OFFSET(CG563:CG574,CI567,0,COUNT(CG563:CG574)-CI567),0)</f>
        <v>#REF!</v>
      </c>
      <c r="CI568" s="4" t="e">
        <f t="shared" ca="1" si="10369"/>
        <v>#REF!</v>
      </c>
      <c r="CJ568" s="692" t="str">
        <f ca="1">IFERROR(IF(AD564="Nested Steel Stud (wood infill)",VLOOKUP(INDEX(CF563:CF574,CI568),SSW,2,FALSE),VLOOKUP(INDEX(CF563:CF574,CI568),SSM,2,FALSE)),"----")</f>
        <v>----</v>
      </c>
      <c r="CK568" s="691" t="e">
        <f t="shared" ca="1" si="10370"/>
        <v>#N/A</v>
      </c>
      <c r="CL568" s="4" t="e">
        <f ca="1">IF(AND(INDEX(WSM,CK568,4)&gt;=$AB563,INDEX(WSM,CK568,5)&gt;=$S563,INDEX(WSM,CK568,6)&gt;=$R563),1,0)</f>
        <v>#N/A</v>
      </c>
      <c r="CM568" s="4" t="e">
        <f t="shared" ref="CM568" ca="1" si="10449">MATCH(1,OFFSET(CL563:CL574,CN567,0,COUNT(CL563:CL574)-CN567),0)</f>
        <v>#REF!</v>
      </c>
      <c r="CN568" s="4" t="e">
        <f t="shared" ca="1" si="10372"/>
        <v>#REF!</v>
      </c>
      <c r="CO568" s="692" t="str">
        <f ca="1">IFERROR(VLOOKUP(INDEX(CK563:CK574,CN568),WSM,2,FALSE),"----")</f>
        <v>----</v>
      </c>
      <c r="CP568" s="691" t="e">
        <f t="shared" ca="1" si="10373"/>
        <v>#N/A</v>
      </c>
      <c r="CQ568" s="4" t="e">
        <f ca="1">IF(AND(INDEX(STM,CP568,4)&gt;=$AB563,INDEX(STM,CP568,5)&gt;=$S563,INDEX(STM,CP568,6)&gt;=$R563),1,0)</f>
        <v>#N/A</v>
      </c>
      <c r="CR568" s="4" t="e">
        <f t="shared" ref="CR568" ca="1" si="10450">MATCH(1,OFFSET(CQ563:CQ574,CS567,0,COUNT(CQ563:CQ574)-CS567),0)</f>
        <v>#REF!</v>
      </c>
      <c r="CS568" s="4" t="e">
        <f t="shared" ca="1" si="10375"/>
        <v>#REF!</v>
      </c>
      <c r="CT568" s="692" t="str">
        <f ca="1">IFERROR(VLOOKUP(INDEX(CP563:CP574,CS568),STM,2,FALSE),"----")</f>
        <v>----</v>
      </c>
      <c r="CU568" s="691" t="e">
        <f t="shared" ca="1" si="10376"/>
        <v>#N/A</v>
      </c>
      <c r="CV568" s="4" t="e">
        <f ca="1">IF(AND(INDEX(ELM,CU568,4)&gt;=$AB563,INDEX(ELM,CU568,5)&gt;=$S563,INDEX(ELM,CU568,6)&gt;=$R563),1,0)</f>
        <v>#N/A</v>
      </c>
      <c r="CW568" s="4" t="e">
        <f t="shared" ref="CW568" ca="1" si="10451">MATCH(1,OFFSET(CV563:CV574,CX567,0,COUNT(CV563:CV574)-CX567),0)</f>
        <v>#REF!</v>
      </c>
      <c r="CX568" s="4" t="e">
        <f t="shared" ca="1" si="10378"/>
        <v>#REF!</v>
      </c>
      <c r="CY568" s="692" t="str">
        <f ca="1">IFERROR(VLOOKUP(INDEX(CU563:CU574,CX568),ELM,2,FALSE),"----")</f>
        <v>----</v>
      </c>
      <c r="CZ568" s="691" t="e">
        <f t="shared" ca="1" si="10379"/>
        <v>#N/A</v>
      </c>
      <c r="DA568" s="4" t="e">
        <f ca="1">IF(LEFT($J563,7)="Clad Wo",IF(AND(INDEX(SPPWS,CZ568,4)&gt;=$AB563,INDEX(SPPWS,CZ568,5)&gt;=$S563,INDEX(SPPWS,CZ568,6)&gt;=$R563),1,0),IF(AND(INDEX(SPM,CZ568,4)&gt;=$AB563,INDEX(SPM,CZ568,5)&gt;=$S563,INDEX(SPM,CZ568,6)&gt;=$R563),1,0))</f>
        <v>#N/A</v>
      </c>
      <c r="DB568" s="4" t="e">
        <f t="shared" ref="DB568" ca="1" si="10452">MATCH(1,OFFSET(DA563:DA574,DC567,0,COUNT(DA563:DA574)-DC567),0)</f>
        <v>#REF!</v>
      </c>
      <c r="DC568" s="4" t="e">
        <f t="shared" ca="1" si="10381"/>
        <v>#REF!</v>
      </c>
      <c r="DD568" s="693" t="str">
        <f ca="1">IF(LEFT($J563,7)="Clad Wo",IFERROR(VLOOKUP(INDEX(CZ563:CZ574,DC568),SPPWS,2,FALSE),"----"),IFERROR(VLOOKUP(INDEX(CZ563:CZ574,DC568),SPM,2,FALSE),"----"))</f>
        <v>----</v>
      </c>
      <c r="DE568" s="691" t="e">
        <f t="shared" ca="1" si="10382"/>
        <v>#REF!</v>
      </c>
      <c r="DF568" s="4" t="e" cm="1">
        <f t="array" aca="1" ref="DF568" ca="1">IF(AND(INDEX(INDIRECT(BY563),DE568,4)&gt;=$AB569,INDEX(INDIRECT(BY563),DE568,5)&gt;=$S563,INDEX(INDIRECT(BY563),DE568,6)&gt;=$R563),1,0)</f>
        <v>#REF!</v>
      </c>
      <c r="DG568" s="4" t="e">
        <f t="shared" ref="DG568" ca="1" si="10453">MATCH(1,OFFSET(DF563:DF574,DH567,0,COUNT(DF563:DF574)-DH567),0)</f>
        <v>#REF!</v>
      </c>
      <c r="DH568" s="4" t="e">
        <f t="shared" ca="1" si="10384"/>
        <v>#REF!</v>
      </c>
      <c r="DI568" s="692" t="str" cm="1">
        <f t="array" aca="1" ref="DI568" ca="1">IFERROR(VLOOKUP(INDEX(DE563:DE574,DH568),INDIRECT(BY563),2,FALSE),"----")</f>
        <v>----</v>
      </c>
      <c r="DJ568" s="691" t="e">
        <f t="shared" ca="1" si="10385"/>
        <v>#N/A</v>
      </c>
      <c r="DK568" s="4" t="e">
        <f ca="1">IF(AND(INDEX(SSM,DJ568,4)&gt;=$AB569,INDEX(SSM,DJ568,5)&gt;=$S563,INDEX(SSM,DJ568,6)&gt;=$R563),1,0)</f>
        <v>#N/A</v>
      </c>
      <c r="DL568" s="4" t="e">
        <f t="shared" ref="DL568" ca="1" si="10454">MATCH(1,OFFSET(DK563:DK574,DM567,0,COUNT(DK563:DK574)-DM567),0)</f>
        <v>#REF!</v>
      </c>
      <c r="DM568" s="4" t="e">
        <f t="shared" ca="1" si="10387"/>
        <v>#REF!</v>
      </c>
      <c r="DN568" s="692" t="str">
        <f ca="1">IFERROR(IF(AD570="Nested Steel Stud (wood infill)",VLOOKUP(INDEX(DJ563:DJ574,DM568),SSW,2,FALSE),VLOOKUP(INDEX(DJ563:DJ574,DM568),SSM,2,FALSE)),"----")</f>
        <v>----</v>
      </c>
      <c r="DO568" s="691" t="e">
        <f t="shared" ca="1" si="10388"/>
        <v>#N/A</v>
      </c>
      <c r="DP568" s="4" t="e">
        <f ca="1">IF(AND(INDEX(WSM,DO568,4)&gt;=$AB569,INDEX(WSM,DO568,5)&gt;=$S563,INDEX(WSM,DO568,6)&gt;=$R563),1,0)</f>
        <v>#N/A</v>
      </c>
      <c r="DQ568" s="4" t="e">
        <f t="shared" ref="DQ568" ca="1" si="10455">MATCH(1,OFFSET(DP563:DP574,DR567,0,COUNT(DP563:DP574)-DR567),0)</f>
        <v>#REF!</v>
      </c>
      <c r="DR568" s="4" t="e">
        <f t="shared" ca="1" si="10390"/>
        <v>#REF!</v>
      </c>
      <c r="DS568" s="692" t="str">
        <f ca="1">IFERROR(VLOOKUP(INDEX(DO563:DO574,DR568),WSM,2,FALSE),"----")</f>
        <v>----</v>
      </c>
      <c r="DT568" s="691" t="e">
        <f t="shared" ca="1" si="10391"/>
        <v>#N/A</v>
      </c>
      <c r="DU568" s="4" t="e">
        <f ca="1">IF(AND(INDEX(STM,DT568,4)&gt;=$AB569,INDEX(STM,DT568,5)&gt;=$S563,INDEX(STM,DT568,6)&gt;=$R563),1,0)</f>
        <v>#N/A</v>
      </c>
      <c r="DV568" s="4" t="e">
        <f t="shared" ref="DV568" ca="1" si="10456">MATCH(1,OFFSET(DU563:DU574,DW567,0,COUNT(DU563:DU574)-DW567),0)</f>
        <v>#REF!</v>
      </c>
      <c r="DW568" s="4" t="e">
        <f t="shared" ca="1" si="10393"/>
        <v>#REF!</v>
      </c>
      <c r="DX568" s="692" t="str">
        <f ca="1">IFERROR(VLOOKUP(INDEX(DT563:DT574,DW568),STM,2,FALSE),"----")</f>
        <v>----</v>
      </c>
      <c r="DY568" s="691" t="e">
        <f t="shared" ca="1" si="10394"/>
        <v>#N/A</v>
      </c>
      <c r="DZ568" s="4" t="e">
        <f ca="1">IF(AND(INDEX(ELM,DY568,4)&gt;=$AB569,INDEX(ELM,DY568,5)&gt;=$S563,INDEX(ELM,DY568,6)&gt;=$R563),1,0)</f>
        <v>#N/A</v>
      </c>
      <c r="EA568" s="4" t="e">
        <f t="shared" ref="EA568" ca="1" si="10457">MATCH(1,OFFSET(DZ563:DZ574,EB567,0,COUNT(DZ563:DZ574)-EB567),0)</f>
        <v>#REF!</v>
      </c>
      <c r="EB568" s="4" t="e">
        <f t="shared" ca="1" si="10396"/>
        <v>#REF!</v>
      </c>
      <c r="EC568" s="692" t="str">
        <f ca="1">IFERROR(VLOOKUP(INDEX(DY563:DY574,EB568),ELM,2,FALSE),"----")</f>
        <v>----</v>
      </c>
      <c r="ED568" s="691" t="e">
        <f t="shared" ca="1" si="10397"/>
        <v>#N/A</v>
      </c>
      <c r="EE568" s="4" t="e">
        <f ca="1">IF(LEFT($J563,7)="Clad Wo",IF(AND(INDEX(SPPWS,ED568,4)&gt;=$AB569,INDEX(SPPWS,ED568,5)&gt;=$S563,INDEX(SPPWS,ED568,6)&gt;=$R563),1,0),IF(AND(INDEX(SPM,ED568,4)&gt;=$AB569,INDEX(SPM,ED568,5)&gt;=$S563,INDEX(SPM,ED568,6)&gt;=$R563),1,0))</f>
        <v>#N/A</v>
      </c>
      <c r="EF568" s="4" t="e">
        <f t="shared" ref="EF568" ca="1" si="10458">MATCH(1,OFFSET(EE563:EE574,EG567,0,COUNT(EE563:EE574)-EG567),0)</f>
        <v>#REF!</v>
      </c>
      <c r="EG568" s="4" t="e">
        <f t="shared" ca="1" si="10399"/>
        <v>#REF!</v>
      </c>
      <c r="EH568" s="692" t="str">
        <f ca="1">IF(LEFT($J563,7)="Clad Wo",IFERROR(VLOOKUP(INDEX(ED563:ED574,EG568),SPPWS,2,FALSE),"----"),IFERROR(VLOOKUP(INDEX(ED563:ED574,EG568),SPM,2,FALSE),"----"))</f>
        <v>----</v>
      </c>
    </row>
    <row r="569" spans="1:138" ht="15" customHeight="1" x14ac:dyDescent="0.25">
      <c r="A569" s="1085"/>
      <c r="B569" s="925" t="s">
        <v>409</v>
      </c>
      <c r="C569" s="926"/>
      <c r="D569" s="927"/>
      <c r="E569" s="995"/>
      <c r="F569" s="996"/>
      <c r="G569" s="997"/>
      <c r="H569" s="1062"/>
      <c r="I569" s="990"/>
      <c r="J569" s="908"/>
      <c r="K569" s="909"/>
      <c r="L569" s="1001">
        <f>L563+1</f>
        <v>5</v>
      </c>
      <c r="M569" s="1064" t="str">
        <f t="shared" ref="M569" si="10459">IFERROR(IF($AE$17="",IF($AG$19="Wind Loading",MIN($V$31,IF(E$11="ASCE 7-05",$U$26,$V$7)*$V$9*(IF($E$12&lt;60,0.156*LN(MAX(MIN(500,O563),10)) -1.7618,IF($E$11="ASCE 7-22", 0.2026*LN(MAX(MIN(500,O563),20))-2.2638,0.2503*LN(MAX(MIN(500,O563),20)) -2.5526))-$V$8)),$V$7*IF(E$12&lt;60,$V$13*($V$15*(0.156*LN(MAX(MIN(500,O563),10)) -1.7618)-$V$16),$V$13*$V$15*((0.2026*LN(MAX(MIN(500,O563),20))-2.2638)-$V$16))),-ABS($AE$17)),"")</f>
        <v/>
      </c>
      <c r="N569" s="1041" t="str">
        <f t="shared" ref="N569" si="10460">IFERROR(IF($AE$19="",IF($AG$19="Wind Loading",MAX($U$31,IF(E$11="ASCE 7-05",$U$26,$V$7)*$V$9*((IF($E$12&lt;60,-0.077*LN(MAX(MIN(500,O563),10))+1.1737,IF($E$11="ASCE 7-22",-0.077*LN(MAX(MIN(500,O563),20))+1.0798,-0.093*LN(MAX(MIN(500,O563),20))+1.1776)))+$V$8)),$V$7*IF(E$12&lt;60,$V$13*($V$15*(-0.077*LN(MAX(MIN(500,O563),10))+1.1737)-$V$17),$V$13*$V$15*((-0.077*LN(MAX(MIN(500,O563),20))+1.0798)-$V$17))),ABS($AE$19)),"")</f>
        <v/>
      </c>
      <c r="O569" s="1018"/>
      <c r="P569" s="987"/>
      <c r="Q569" s="1015"/>
      <c r="R569" s="1012">
        <f>P569*Q569/8</f>
        <v>0</v>
      </c>
      <c r="S569" s="1006"/>
      <c r="T569" s="1007"/>
      <c r="U569" s="878"/>
      <c r="V569" s="881"/>
      <c r="W569" s="883" t="e">
        <f t="shared" ref="W569" si="10461">MAX(-M569,N569)*O563</f>
        <v>#VALUE!</v>
      </c>
      <c r="X569" s="884"/>
      <c r="Y569" s="886">
        <f>IFERROR(IF(AG$14="Trapezoidal",BY572,BX572)+IF($E$17="4",(400*E563^3)/(48*X563),0),0)</f>
        <v>0</v>
      </c>
      <c r="Z569" s="886" t="e">
        <f t="shared" ref="Z569" si="10462">+($V563*MAX(-$M569,$N569)*$E563^2)/(144*8)+IF($E$17=4,(400*$E563)/4,0)</f>
        <v>#VALUE!</v>
      </c>
      <c r="AA569" s="887"/>
      <c r="AB569" s="1080" t="str">
        <f t="shared" ref="AB569" ca="1" si="10463">IFERROR(Z569-AA563,"")</f>
        <v/>
      </c>
      <c r="AC569" s="1086" t="str">
        <f t="shared" ref="AC569" ca="1" si="10464">IFERROR(Y569-U563,"")</f>
        <v/>
      </c>
      <c r="AD569" s="1074" t="str">
        <f t="shared" ref="AD569" si="10465">AD563</f>
        <v/>
      </c>
      <c r="AE569" s="1075"/>
      <c r="AF569" s="1056"/>
      <c r="AG569" s="1057"/>
      <c r="AH569" s="1057"/>
      <c r="AI569" s="1088"/>
      <c r="AJ569" s="1089"/>
      <c r="AK569" s="162" t="str">
        <f t="shared" ca="1" si="10024"/>
        <v/>
      </c>
      <c r="AL569" s="1058" t="str">
        <f t="shared" ref="AL569" si="10466">IFERROR(ROUND(SQRT(P563^2+(W569/2+IF($E$17=4,200,0))^2),0),"")</f>
        <v/>
      </c>
      <c r="AM569" s="342" t="s">
        <v>669</v>
      </c>
      <c r="AN569" t="str">
        <f t="shared" ca="1" si="10040"/>
        <v/>
      </c>
      <c r="AP569" s="122" t="str">
        <f t="shared" ref="AP569" si="10467">_xlfn.CONCAT(AR569,AS574)</f>
        <v/>
      </c>
      <c r="AQ569" s="683" t="str">
        <f t="shared" si="10249"/>
        <v/>
      </c>
      <c r="AR569" s="96" t="str">
        <f t="shared" si="10009"/>
        <v/>
      </c>
      <c r="AS569" s="96" t="str">
        <f>IF(COUNTIF(imp_1,AF569)=1,"imp_1",IF(COUNTIF(imp_2,AF569)=1,"imp_2",IF(COUNTIF(imp_3,AF569)=1,"imp_3",IF(COUNTIF(impdoor,AF569)=1,"impdoor",""))))</f>
        <v/>
      </c>
      <c r="AT569" s="684" t="str">
        <f>AL569</f>
        <v/>
      </c>
      <c r="AU569" s="685" t="e">
        <f t="shared" ca="1" si="10265"/>
        <v>#REF!</v>
      </c>
      <c r="AV569" s="686" t="str">
        <f ca="1">IFERROR(VLOOKUP(AU569,INDIRECT(AQ563),2,FALSE),"----")</f>
        <v>----</v>
      </c>
      <c r="AW569" s="685" t="e">
        <f t="shared" ca="1" si="10266"/>
        <v>#REF!</v>
      </c>
      <c r="AX569" s="686" t="str">
        <f ca="1">IFERROR(VLOOKUP(AW569,INDIRECT(AQ564),2,FALSE),"----")</f>
        <v>----</v>
      </c>
      <c r="AY569" s="685" t="e">
        <f t="shared" ca="1" si="10197"/>
        <v>#REF!</v>
      </c>
      <c r="AZ569" s="686" t="str">
        <f ca="1">IFERROR(VLOOKUP(AY569,INDIRECT(AQ565),2,FALSE),"----")</f>
        <v>----</v>
      </c>
      <c r="BA569" s="685" t="e">
        <f t="shared" ca="1" si="10198"/>
        <v>#REF!</v>
      </c>
      <c r="BB569" s="686" t="str">
        <f ca="1">IFERROR(VLOOKUP(BA569,INDIRECT(AQ566),2,FALSE),"----")</f>
        <v>----</v>
      </c>
      <c r="BC569" s="685" t="e">
        <f t="shared" ca="1" si="10267"/>
        <v>#REF!</v>
      </c>
      <c r="BD569" s="686" t="str">
        <f ca="1">IFERROR(VLOOKUP(BC569,INDIRECT(AQ567),2,FALSE),"----")</f>
        <v>----</v>
      </c>
      <c r="BE569" s="685" t="e">
        <f t="shared" ca="1" si="10268"/>
        <v>#REF!</v>
      </c>
      <c r="BF569" s="686" t="str">
        <f ca="1">IFERROR(VLOOKUP(BE569,INDIRECT(AQ568),2,FALSE),"----")</f>
        <v>----</v>
      </c>
      <c r="BG569" s="702" t="e">
        <f t="shared" ca="1" si="10269"/>
        <v>#REF!</v>
      </c>
      <c r="BH569" s="686" t="str">
        <f ca="1">IFERROR(VLOOKUP(BG569,INDIRECT(AQ569),2,FALSE),"----")</f>
        <v>----</v>
      </c>
      <c r="BI569" s="702" t="e">
        <f t="shared" ca="1" si="10270"/>
        <v>#REF!</v>
      </c>
      <c r="BJ569" s="686" t="str">
        <f ca="1">IFERROR(VLOOKUP(BI569,INDIRECT(AQ570),2,FALSE),"----")</f>
        <v>----</v>
      </c>
      <c r="BK569" s="702" t="e">
        <f t="shared" ca="1" si="10271"/>
        <v>#REF!</v>
      </c>
      <c r="BL569" s="686" t="str">
        <f ca="1">IFERROR(VLOOKUP(BK569,INDIRECT(AQ571),2,FALSE),"----")</f>
        <v>----</v>
      </c>
      <c r="BM569" s="702" t="e">
        <f t="shared" ca="1" si="10272"/>
        <v>#REF!</v>
      </c>
      <c r="BN569" s="686" t="str">
        <f ca="1">IFERROR(VLOOKUP(BM569,INDIRECT(AQ572),2,FALSE),"----")</f>
        <v>----</v>
      </c>
      <c r="BO569" s="702" t="e">
        <f t="shared" ca="1" si="10273"/>
        <v>#REF!</v>
      </c>
      <c r="BP569" s="686" t="str">
        <f ca="1">IFERROR(VLOOKUP(BO569,INDIRECT(AQ573),2,FALSE),"----")</f>
        <v>----</v>
      </c>
      <c r="BQ569" s="702" t="e">
        <f t="shared" ca="1" si="10274"/>
        <v>#REF!</v>
      </c>
      <c r="BR569" s="686" t="str">
        <f ca="1">IFERROR(VLOOKUP(BQ569,INDIRECT(AQ574),2,FALSE),"----")</f>
        <v>----</v>
      </c>
      <c r="BS569" s="695">
        <f>IF(AI569="",1,IF(COUNTIF(BH563:BH574,AI569)=0,2,1))</f>
        <v>1</v>
      </c>
      <c r="BT569" s="696">
        <f>IF(AP569="1",1,IF(AF569="",1,IF(BH563=".",2,1)))</f>
        <v>1</v>
      </c>
      <c r="BU569" s="706"/>
      <c r="BV569" s="155">
        <f ca="1">IF(COUNTIF(DI563:DI574,AF569)=0,IF(AF569&lt;&gt;"",0,1),1)</f>
        <v>1</v>
      </c>
      <c r="BW569" s="157">
        <f ca="1">IFERROR(MATCH(AF569,DI563:DI574,0),1)</f>
        <v>1</v>
      </c>
      <c r="BX569" s="769" t="s">
        <v>1593</v>
      </c>
      <c r="BY569" s="769" t="s">
        <v>1629</v>
      </c>
      <c r="BZ569" s="1110"/>
      <c r="CA569" s="691" t="e">
        <f t="shared" ca="1" si="10364"/>
        <v>#REF!</v>
      </c>
      <c r="CB569" s="4" t="e" cm="1">
        <f t="array" aca="1" ref="CB569" ca="1">IF(AND(INDEX(INDIRECT(BY563),CA569,4)&gt;=$AB563,INDEX(INDIRECT(BY563),CA569,5)&gt;=$S563,INDEX(INDIRECT(BY563),CA569,6)&gt;=$R563),1,0)</f>
        <v>#REF!</v>
      </c>
      <c r="CC569" s="4" t="e">
        <f t="shared" ref="CC569" ca="1" si="10468">MATCH(1,OFFSET(CB563:CB574,CD568,0,COUNT(CB563:CB574)-CD568),0)</f>
        <v>#REF!</v>
      </c>
      <c r="CD569" s="4" t="e">
        <f t="shared" ca="1" si="10366"/>
        <v>#REF!</v>
      </c>
      <c r="CE569" s="692" t="str" cm="1">
        <f t="array" aca="1" ref="CE569" ca="1">IFERROR(VLOOKUP(INDEX(CA563:CA574,CD569),INDIRECT(BY563),2,FALSE),"----")</f>
        <v>----</v>
      </c>
      <c r="CF569" s="691" t="e">
        <f t="shared" ca="1" si="10367"/>
        <v>#N/A</v>
      </c>
      <c r="CG569" s="4" t="e">
        <f ca="1">IF(AND(INDEX(SSM,CF569,4)&gt;=$AB563,INDEX(SSM,CF569,5)&gt;=$S563,INDEX(SSM,CF569,6)&gt;=$R563),1,0)</f>
        <v>#N/A</v>
      </c>
      <c r="CH569" s="4" t="e">
        <f t="shared" ref="CH569" ca="1" si="10469">MATCH(1,OFFSET(CG563:CG574,CI568,0,COUNT(CG563:CG574)-CI568),0)</f>
        <v>#REF!</v>
      </c>
      <c r="CI569" s="4" t="e">
        <f t="shared" ca="1" si="10369"/>
        <v>#REF!</v>
      </c>
      <c r="CJ569" s="692" t="str">
        <f ca="1">IFERROR(IF(AD564="Nested Steel Stud (wood infill)",VLOOKUP(INDEX(CF563:CF574,CI569),SSW,2,FALSE),VLOOKUP(INDEX(CF563:CF574,CI569),SSM,2,FALSE)),"----")</f>
        <v>----</v>
      </c>
      <c r="CK569" s="691" t="e">
        <f t="shared" ca="1" si="10370"/>
        <v>#N/A</v>
      </c>
      <c r="CL569" s="4" t="e">
        <f ca="1">IF(AND(INDEX(WSM,CK569,4)&gt;=$AB563,INDEX(WSM,CK569,5)&gt;=$S563,INDEX(WSM,CK569,6)&gt;=$R563),1,0)</f>
        <v>#N/A</v>
      </c>
      <c r="CM569" s="4" t="e">
        <f t="shared" ref="CM569" ca="1" si="10470">MATCH(1,OFFSET(CL563:CL574,CN568,0,COUNT(CL563:CL574)-CN568),0)</f>
        <v>#REF!</v>
      </c>
      <c r="CN569" s="4" t="e">
        <f t="shared" ca="1" si="10372"/>
        <v>#REF!</v>
      </c>
      <c r="CO569" s="692" t="str">
        <f ca="1">IFERROR(VLOOKUP(INDEX(CK563:CK574,CN569),WSM,2,FALSE),"----")</f>
        <v>----</v>
      </c>
      <c r="CP569" s="691" t="e">
        <f t="shared" ca="1" si="10373"/>
        <v>#N/A</v>
      </c>
      <c r="CQ569" s="4" t="e">
        <f ca="1">IF(AND(INDEX(STM,CP569,4)&gt;=$AB563,INDEX(STM,CP569,5)&gt;=$S563,INDEX(STM,CP569,6)&gt;=$R563),1,0)</f>
        <v>#N/A</v>
      </c>
      <c r="CR569" s="4" t="e">
        <f t="shared" ref="CR569" ca="1" si="10471">MATCH(1,OFFSET(CQ563:CQ574,CS568,0,COUNT(CQ563:CQ574)-CS568),0)</f>
        <v>#REF!</v>
      </c>
      <c r="CS569" s="4" t="e">
        <f t="shared" ca="1" si="10375"/>
        <v>#REF!</v>
      </c>
      <c r="CT569" s="692" t="str">
        <f ca="1">IFERROR(VLOOKUP(INDEX(CP563:CP574,CS569),STM,2,FALSE),"----")</f>
        <v>----</v>
      </c>
      <c r="CU569" s="691" t="e">
        <f t="shared" ca="1" si="10376"/>
        <v>#N/A</v>
      </c>
      <c r="CV569" s="4" t="e">
        <f ca="1">IF(AND(INDEX(ELM,CU569,4)&gt;=$AB563,INDEX(ELM,CU569,5)&gt;=$S563,INDEX(ELM,CU569,6)&gt;=$R563),1,0)</f>
        <v>#N/A</v>
      </c>
      <c r="CW569" s="4" t="e">
        <f t="shared" ref="CW569" ca="1" si="10472">MATCH(1,OFFSET(CV563:CV574,CX568,0,COUNT(CV563:CV574)-CX568),0)</f>
        <v>#REF!</v>
      </c>
      <c r="CX569" s="4" t="e">
        <f t="shared" ca="1" si="10378"/>
        <v>#REF!</v>
      </c>
      <c r="CY569" s="692" t="str">
        <f ca="1">IFERROR(VLOOKUP(INDEX(CU563:CU574,CX569),ELM,2,FALSE),"----")</f>
        <v>----</v>
      </c>
      <c r="CZ569" s="691" t="e">
        <f t="shared" ca="1" si="10379"/>
        <v>#N/A</v>
      </c>
      <c r="DA569" s="4" t="e">
        <f ca="1">IF(LEFT($J563,7)="Clad Wo",IF(AND(INDEX(SPPWS,CZ569,4)&gt;=$AB563,INDEX(SPPWS,CZ569,5)&gt;=$S563,INDEX(SPPWS,CZ569,6)&gt;=$R563),1,0),IF(AND(INDEX(SPM,CZ569,4)&gt;=$AB563,INDEX(SPM,CZ569,5)&gt;=$S563,INDEX(SPM,CZ569,6)&gt;=$R563),1,0))</f>
        <v>#N/A</v>
      </c>
      <c r="DB569" s="4" t="e">
        <f t="shared" ref="DB569" ca="1" si="10473">MATCH(1,OFFSET(DA563:DA574,DC568,0,COUNT(DA563:DA574)-DC568),0)</f>
        <v>#REF!</v>
      </c>
      <c r="DC569" s="4" t="e">
        <f t="shared" ca="1" si="10381"/>
        <v>#REF!</v>
      </c>
      <c r="DD569" s="693" t="str">
        <f ca="1">IF(LEFT($J563,7)="Clad Wo",IFERROR(VLOOKUP(INDEX(CZ563:CZ574,DC569),SPPWS,2,FALSE),"----"),IFERROR(VLOOKUP(INDEX(CZ563:CZ574,DC569),SPM,2,FALSE),"----"))</f>
        <v>----</v>
      </c>
      <c r="DE569" s="691" t="e">
        <f t="shared" ca="1" si="10382"/>
        <v>#REF!</v>
      </c>
      <c r="DF569" s="4" t="e" cm="1">
        <f t="array" aca="1" ref="DF569" ca="1">IF(AND(INDEX(INDIRECT(BY563),DE569,4)&gt;=$AB569,INDEX(INDIRECT(BY563),DE569,5)&gt;=$S563,INDEX(INDIRECT(BY563),DE569,6)&gt;=$R563),1,0)</f>
        <v>#REF!</v>
      </c>
      <c r="DG569" s="4" t="e">
        <f t="shared" ref="DG569" ca="1" si="10474">MATCH(1,OFFSET(DF563:DF574,DH568,0,COUNT(DF563:DF574)-DH568),0)</f>
        <v>#REF!</v>
      </c>
      <c r="DH569" s="4" t="e">
        <f t="shared" ca="1" si="10384"/>
        <v>#REF!</v>
      </c>
      <c r="DI569" s="692" t="str" cm="1">
        <f t="array" aca="1" ref="DI569" ca="1">IFERROR(VLOOKUP(INDEX(DE563:DE574,DH569),INDIRECT(BY563),2,FALSE),"----")</f>
        <v>----</v>
      </c>
      <c r="DJ569" s="691" t="e">
        <f t="shared" ca="1" si="10385"/>
        <v>#N/A</v>
      </c>
      <c r="DK569" s="4" t="e">
        <f ca="1">IF(AND(INDEX(SSM,DJ569,4)&gt;=$AB569,INDEX(SSM,DJ569,5)&gt;=$S563,INDEX(SSM,DJ569,6)&gt;=$R563),1,0)</f>
        <v>#N/A</v>
      </c>
      <c r="DL569" s="4" t="e">
        <f t="shared" ref="DL569" ca="1" si="10475">MATCH(1,OFFSET(DK563:DK574,DM568,0,COUNT(DK563:DK574)-DM568),0)</f>
        <v>#REF!</v>
      </c>
      <c r="DM569" s="4" t="e">
        <f t="shared" ca="1" si="10387"/>
        <v>#REF!</v>
      </c>
      <c r="DN569" s="692" t="str">
        <f ca="1">IFERROR(IF(AD570="Nested Steel Stud (wood infill)",VLOOKUP(INDEX(DJ563:DJ574,DM569),SSW,2,FALSE),VLOOKUP(INDEX(DJ563:DJ574,DM569),SSM,2,FALSE)),"----")</f>
        <v>----</v>
      </c>
      <c r="DO569" s="691" t="e">
        <f t="shared" ca="1" si="10388"/>
        <v>#N/A</v>
      </c>
      <c r="DP569" s="4" t="e">
        <f ca="1">IF(AND(INDEX(WSM,DO569,4)&gt;=$AB569,INDEX(WSM,DO569,5)&gt;=$S563,INDEX(WSM,DO569,6)&gt;=$R563),1,0)</f>
        <v>#N/A</v>
      </c>
      <c r="DQ569" s="4" t="e">
        <f t="shared" ref="DQ569" ca="1" si="10476">MATCH(1,OFFSET(DP563:DP574,DR568,0,COUNT(DP563:DP574)-DR568),0)</f>
        <v>#REF!</v>
      </c>
      <c r="DR569" s="4" t="e">
        <f t="shared" ca="1" si="10390"/>
        <v>#REF!</v>
      </c>
      <c r="DS569" s="692" t="str">
        <f ca="1">IFERROR(VLOOKUP(INDEX(DO563:DO574,DR569),WSM,2,FALSE),"----")</f>
        <v>----</v>
      </c>
      <c r="DT569" s="691" t="e">
        <f t="shared" ca="1" si="10391"/>
        <v>#N/A</v>
      </c>
      <c r="DU569" s="4" t="e">
        <f ca="1">IF(AND(INDEX(STM,DT569,4)&gt;=$AB569,INDEX(STM,DT569,5)&gt;=$S563,INDEX(STM,DT569,6)&gt;=$R563),1,0)</f>
        <v>#N/A</v>
      </c>
      <c r="DV569" s="4" t="e">
        <f t="shared" ref="DV569" ca="1" si="10477">MATCH(1,OFFSET(DU563:DU574,DW568,0,COUNT(DU563:DU574)-DW568),0)</f>
        <v>#REF!</v>
      </c>
      <c r="DW569" s="4" t="e">
        <f t="shared" ca="1" si="10393"/>
        <v>#REF!</v>
      </c>
      <c r="DX569" s="692" t="str">
        <f ca="1">IFERROR(VLOOKUP(INDEX(DT563:DT574,DW569),STM,2,FALSE),"----")</f>
        <v>----</v>
      </c>
      <c r="DY569" s="691" t="e">
        <f t="shared" ca="1" si="10394"/>
        <v>#N/A</v>
      </c>
      <c r="DZ569" s="4" t="e">
        <f ca="1">IF(AND(INDEX(ELM,DY569,4)&gt;=$AB569,INDEX(ELM,DY569,5)&gt;=$S563,INDEX(ELM,DY569,6)&gt;=$R563),1,0)</f>
        <v>#N/A</v>
      </c>
      <c r="EA569" s="4" t="e">
        <f t="shared" ref="EA569" ca="1" si="10478">MATCH(1,OFFSET(DZ563:DZ574,EB568,0,COUNT(DZ563:DZ574)-EB568),0)</f>
        <v>#REF!</v>
      </c>
      <c r="EB569" s="4" t="e">
        <f t="shared" ca="1" si="10396"/>
        <v>#REF!</v>
      </c>
      <c r="EC569" s="692" t="str">
        <f ca="1">IFERROR(VLOOKUP(INDEX(DY563:DY574,EB569),ELM,2,FALSE),"----")</f>
        <v>----</v>
      </c>
      <c r="ED569" s="691" t="e">
        <f t="shared" ca="1" si="10397"/>
        <v>#N/A</v>
      </c>
      <c r="EE569" s="4" t="e">
        <f ca="1">IF(LEFT($J563,7)="Clad Wo",IF(AND(INDEX(SPPWS,ED569,4)&gt;=$AB569,INDEX(SPPWS,ED569,5)&gt;=$S563,INDEX(SPPWS,ED569,6)&gt;=$R563),1,0),IF(AND(INDEX(SPM,ED569,4)&gt;=$AB569,INDEX(SPM,ED569,5)&gt;=$S563,INDEX(SPM,ED569,6)&gt;=$R563),1,0))</f>
        <v>#N/A</v>
      </c>
      <c r="EF569" s="4" t="e">
        <f t="shared" ref="EF569" ca="1" si="10479">MATCH(1,OFFSET(EE563:EE574,EG568,0,COUNT(EE563:EE574)-EG568),0)</f>
        <v>#REF!</v>
      </c>
      <c r="EG569" s="4" t="e">
        <f t="shared" ca="1" si="10399"/>
        <v>#REF!</v>
      </c>
      <c r="EH569" s="692" t="str">
        <f ca="1">IF(LEFT($J563,7)="Clad Wo",IFERROR(VLOOKUP(INDEX(ED563:ED574,EG569),SPPWS,2,FALSE),"----"),IFERROR(VLOOKUP(INDEX(ED563:ED574,EG569),SPM,2,FALSE),"----"))</f>
        <v>----</v>
      </c>
    </row>
    <row r="570" spans="1:138" ht="15" customHeight="1" x14ac:dyDescent="0.25">
      <c r="A570" s="1085"/>
      <c r="B570" s="925"/>
      <c r="C570" s="926"/>
      <c r="D570" s="927"/>
      <c r="E570" s="995"/>
      <c r="F570" s="996"/>
      <c r="G570" s="997"/>
      <c r="H570" s="1062"/>
      <c r="I570" s="990"/>
      <c r="J570" s="912"/>
      <c r="K570" s="913"/>
      <c r="L570" s="1002"/>
      <c r="M570" s="923"/>
      <c r="N570" s="1042"/>
      <c r="O570" s="1018"/>
      <c r="P570" s="987"/>
      <c r="Q570" s="1015"/>
      <c r="R570" s="1012"/>
      <c r="S570" s="1006"/>
      <c r="T570" s="1007"/>
      <c r="U570" s="878"/>
      <c r="V570" s="881"/>
      <c r="W570" s="884"/>
      <c r="X570" s="884"/>
      <c r="Y570" s="887"/>
      <c r="Z570" s="887"/>
      <c r="AA570" s="887"/>
      <c r="AB570" s="1081"/>
      <c r="AC570" s="1078"/>
      <c r="AD570" s="1070" t="str">
        <f t="shared" ref="AD570" si="10480">IF(ISBLANK(AD564)=TRUE,"",AD564)</f>
        <v>Nested Steel Stud</v>
      </c>
      <c r="AE570" s="1071"/>
      <c r="AF570" s="1052"/>
      <c r="AG570" s="1053"/>
      <c r="AH570" s="1053"/>
      <c r="AI570" s="1066"/>
      <c r="AJ570" s="1067"/>
      <c r="AK570" s="156" t="str">
        <f t="shared" ca="1" si="10024"/>
        <v/>
      </c>
      <c r="AL570" s="1059"/>
      <c r="AM570" s="343" t="str">
        <f ca="1">IFERROR(Q563/12*ROUND(VLOOKUP(AF570,OFFSET(SSM,0,1),6,FALSE),2),"")</f>
        <v/>
      </c>
      <c r="AN570" t="str">
        <f t="shared" ca="1" si="10040"/>
        <v/>
      </c>
      <c r="AP570" s="122" t="str">
        <f t="shared" ref="AP570" si="10481">_xlfn.CONCAT(AR570,AS574)</f>
        <v/>
      </c>
      <c r="AQ570" s="683" t="str">
        <f t="shared" si="10249"/>
        <v/>
      </c>
      <c r="AR570" s="96" t="str">
        <f t="shared" si="10009"/>
        <v/>
      </c>
      <c r="AS570" s="96" t="str">
        <f>IF(COUNTIF(Vista_1,AF569)=1,"Vista_1",IF(COUNTIF(Vista_2,AF569)=1,"Vista_2",""))</f>
        <v/>
      </c>
      <c r="AT570" s="684" t="str">
        <f>AL569</f>
        <v/>
      </c>
      <c r="AU570" s="694" t="e">
        <f t="shared" ca="1" si="10265"/>
        <v>#REF!</v>
      </c>
      <c r="AV570" s="686" t="str">
        <f ca="1">IFERROR(VLOOKUP(AU570,INDIRECT(AQ563),2,FALSE),"----")</f>
        <v>----</v>
      </c>
      <c r="AW570" s="694" t="e">
        <f t="shared" ca="1" si="10266"/>
        <v>#REF!</v>
      </c>
      <c r="AX570" s="686" t="str">
        <f ca="1">IFERROR(VLOOKUP(AW570,INDIRECT(AQ564),2,FALSE),"----")</f>
        <v>----</v>
      </c>
      <c r="AY570" s="694" t="e">
        <f t="shared" ca="1" si="10197"/>
        <v>#REF!</v>
      </c>
      <c r="AZ570" s="686" t="str">
        <f ca="1">IFERROR(VLOOKUP(AY570,INDIRECT(AQ565),2,FALSE),"----")</f>
        <v>----</v>
      </c>
      <c r="BA570" s="694" t="e">
        <f t="shared" ca="1" si="10198"/>
        <v>#REF!</v>
      </c>
      <c r="BB570" s="686" t="str">
        <f ca="1">IFERROR(VLOOKUP(BA570,INDIRECT(AQ566),2,FALSE),"----")</f>
        <v>----</v>
      </c>
      <c r="BC570" s="694" t="e">
        <f t="shared" ca="1" si="10267"/>
        <v>#REF!</v>
      </c>
      <c r="BD570" s="686" t="str">
        <f ca="1">IFERROR(VLOOKUP(BC570,INDIRECT(AQ567),2,FALSE),"----")</f>
        <v>----</v>
      </c>
      <c r="BE570" s="694" t="e">
        <f t="shared" ca="1" si="10268"/>
        <v>#REF!</v>
      </c>
      <c r="BF570" s="686" t="str">
        <f ca="1">IFERROR(VLOOKUP(BE570,INDIRECT(AQ568),2,FALSE),"----")</f>
        <v>----</v>
      </c>
      <c r="BG570" s="702" t="e">
        <f t="shared" ca="1" si="10269"/>
        <v>#REF!</v>
      </c>
      <c r="BH570" s="686" t="str">
        <f ca="1">IFERROR(VLOOKUP(BG570,INDIRECT(AQ569),2,FALSE),"----")</f>
        <v>----</v>
      </c>
      <c r="BI570" s="702" t="e">
        <f t="shared" ca="1" si="10270"/>
        <v>#REF!</v>
      </c>
      <c r="BJ570" s="686" t="str">
        <f ca="1">IFERROR(VLOOKUP(BI570,INDIRECT(AQ570),2,FALSE),"----")</f>
        <v>----</v>
      </c>
      <c r="BK570" s="702" t="e">
        <f t="shared" ca="1" si="10271"/>
        <v>#REF!</v>
      </c>
      <c r="BL570" s="686" t="str">
        <f ca="1">IFERROR(VLOOKUP(BK570,INDIRECT(AQ571),2,FALSE),"----")</f>
        <v>----</v>
      </c>
      <c r="BM570" s="702" t="e">
        <f t="shared" ca="1" si="10272"/>
        <v>#REF!</v>
      </c>
      <c r="BN570" s="686" t="str">
        <f ca="1">IFERROR(VLOOKUP(BM570,INDIRECT(AQ572),2,FALSE),"----")</f>
        <v>----</v>
      </c>
      <c r="BO570" s="702" t="e">
        <f t="shared" ca="1" si="10273"/>
        <v>#REF!</v>
      </c>
      <c r="BP570" s="686" t="str">
        <f ca="1">IFERROR(VLOOKUP(BO570,INDIRECT(AQ573),2,FALSE),"----")</f>
        <v>----</v>
      </c>
      <c r="BQ570" s="702" t="e">
        <f t="shared" ca="1" si="10274"/>
        <v>#REF!</v>
      </c>
      <c r="BR570" s="686" t="str">
        <f ca="1">IFERROR(VLOOKUP(BQ570,INDIRECT(AQ574),2,FALSE),"----")</f>
        <v>----</v>
      </c>
      <c r="BS570" s="695">
        <f>IF(AI570="",1,IF(COUNTIF(BJ563:BJ574,AI570)=0,2,1))</f>
        <v>1</v>
      </c>
      <c r="BT570" s="696">
        <f>IF(AF570="",1,IF(BJ563=".",2,1))</f>
        <v>1</v>
      </c>
      <c r="BU570" s="706"/>
      <c r="BV570" s="155">
        <f ca="1">IF(COUNTIF(DN563:DN574,AF570)=0,IF(AF570&lt;&gt;"",0,1),1)</f>
        <v>1</v>
      </c>
      <c r="BW570" s="157">
        <f ca="1">IFERROR(MATCH(AF570,DN563:DN574,0),1)</f>
        <v>1</v>
      </c>
      <c r="BX570" s="769">
        <f t="shared" ref="BX570" si="10482">E563*(H563+I563)/144/2</f>
        <v>0</v>
      </c>
      <c r="BY570" s="769">
        <f>SUM(IF(H563&gt;E563,E563^2/4,(H563*E563/2)-(H563^2/4))/144,IF(I563&gt;E563,E563^2/4,(I563*E563/2)-(I563^2/4))/144)</f>
        <v>0</v>
      </c>
      <c r="BZ570" s="1110"/>
      <c r="CA570" s="691" t="e">
        <f t="shared" ca="1" si="10364"/>
        <v>#REF!</v>
      </c>
      <c r="CB570" s="4" t="e" cm="1">
        <f t="array" aca="1" ref="CB570" ca="1">IF(AND(INDEX(INDIRECT(BY563),CA570,4)&gt;=$AB563,INDEX(INDIRECT(BY563),CA570,5)&gt;=$S563,INDEX(INDIRECT(BY563),CA570,6)&gt;=$R563),1,0)</f>
        <v>#REF!</v>
      </c>
      <c r="CC570" s="4" t="e">
        <f t="shared" ref="CC570" ca="1" si="10483">MATCH(1,OFFSET(CB563:CB574,CD569,0,COUNT(CB563:CB574)-CD569),0)</f>
        <v>#REF!</v>
      </c>
      <c r="CD570" s="4" t="e">
        <f t="shared" ca="1" si="10366"/>
        <v>#REF!</v>
      </c>
      <c r="CE570" s="692" t="str" cm="1">
        <f t="array" aca="1" ref="CE570" ca="1">IFERROR(VLOOKUP(INDEX(CA563:CA574,CD570),INDIRECT(BY563),2,FALSE),"----")</f>
        <v>----</v>
      </c>
      <c r="CF570" s="691" t="e">
        <f t="shared" ca="1" si="10367"/>
        <v>#N/A</v>
      </c>
      <c r="CG570" s="4" t="e">
        <f ca="1">IF(AND(INDEX(SSM,CF570,4)&gt;=$AB563,INDEX(SSM,CF570,5)&gt;=$S563,INDEX(SSM,CF570,6)&gt;=$R563),1,0)</f>
        <v>#N/A</v>
      </c>
      <c r="CH570" s="4" t="e">
        <f t="shared" ref="CH570" ca="1" si="10484">MATCH(1,OFFSET(CG563:CG574,CI569,0,COUNT(CG563:CG574)-CI569),0)</f>
        <v>#REF!</v>
      </c>
      <c r="CI570" s="4" t="e">
        <f t="shared" ca="1" si="10369"/>
        <v>#REF!</v>
      </c>
      <c r="CJ570" s="692" t="str">
        <f ca="1">IFERROR(IF(AD564="Nested Steel Stud (wood infill)",VLOOKUP(INDEX(CF563:CF574,CI570),SSW,2,FALSE),VLOOKUP(INDEX(CF563:CF574,CI570),SSM,2,FALSE)),"----")</f>
        <v>----</v>
      </c>
      <c r="CK570" s="691" t="e">
        <f t="shared" ca="1" si="10370"/>
        <v>#N/A</v>
      </c>
      <c r="CL570" s="4" t="e">
        <f ca="1">IF(AND(INDEX(WSM,CK570,4)&gt;=$AB563,INDEX(WSM,CK570,5)&gt;=$S563,INDEX(WSM,CK570,6)&gt;=$R563),1,0)</f>
        <v>#N/A</v>
      </c>
      <c r="CM570" s="4" t="e">
        <f t="shared" ref="CM570" ca="1" si="10485">MATCH(1,OFFSET(CL563:CL574,CN569,0,COUNT(CL563:CL574)-CN569),0)</f>
        <v>#REF!</v>
      </c>
      <c r="CN570" s="4" t="e">
        <f t="shared" ca="1" si="10372"/>
        <v>#REF!</v>
      </c>
      <c r="CO570" s="692" t="str">
        <f ca="1">IFERROR(VLOOKUP(INDEX(CK563:CK574,CN570),WSM,2,FALSE),"----")</f>
        <v>----</v>
      </c>
      <c r="CP570" s="691" t="e">
        <f t="shared" ca="1" si="10373"/>
        <v>#N/A</v>
      </c>
      <c r="CQ570" s="4" t="e">
        <f ca="1">IF(AND(INDEX(STM,CP570,4)&gt;=$AB563,INDEX(STM,CP570,5)&gt;=$S563,INDEX(STM,CP570,6)&gt;=$R563),1,0)</f>
        <v>#N/A</v>
      </c>
      <c r="CR570" s="4" t="e">
        <f t="shared" ref="CR570" ca="1" si="10486">MATCH(1,OFFSET(CQ563:CQ574,CS569,0,COUNT(CQ563:CQ574)-CS569),0)</f>
        <v>#REF!</v>
      </c>
      <c r="CS570" s="4" t="e">
        <f t="shared" ca="1" si="10375"/>
        <v>#REF!</v>
      </c>
      <c r="CT570" s="692" t="str">
        <f ca="1">IFERROR(VLOOKUP(INDEX(CP563:CP574,CS570),STM,2,FALSE),"----")</f>
        <v>----</v>
      </c>
      <c r="CU570" s="691" t="e">
        <f t="shared" ca="1" si="10376"/>
        <v>#N/A</v>
      </c>
      <c r="CV570" s="4" t="e">
        <f ca="1">IF(AND(INDEX(ELM,CU570,4)&gt;=$AB563,INDEX(ELM,CU570,5)&gt;=$S563,INDEX(ELM,CU570,6)&gt;=$R563),1,0)</f>
        <v>#N/A</v>
      </c>
      <c r="CW570" s="4" t="e">
        <f t="shared" ref="CW570" ca="1" si="10487">MATCH(1,OFFSET(CV563:CV574,CX569,0,COUNT(CV563:CV574)-CX569),0)</f>
        <v>#REF!</v>
      </c>
      <c r="CX570" s="4" t="e">
        <f t="shared" ca="1" si="10378"/>
        <v>#REF!</v>
      </c>
      <c r="CY570" s="692" t="str">
        <f ca="1">IFERROR(VLOOKUP(INDEX(CU563:CU574,CX570),ELM,2,FALSE),"----")</f>
        <v>----</v>
      </c>
      <c r="CZ570" s="691" t="e">
        <f t="shared" ca="1" si="10379"/>
        <v>#N/A</v>
      </c>
      <c r="DA570" s="4" t="e">
        <f ca="1">IF(LEFT($J563,7)="Clad Wo",IF(AND(INDEX(SPPWS,CZ570,4)&gt;=$AB563,INDEX(SPPWS,CZ570,5)&gt;=$S563,INDEX(SPPWS,CZ570,6)&gt;=$R563),1,0),IF(AND(INDEX(SPM,CZ570,4)&gt;=$AB563,INDEX(SPM,CZ570,5)&gt;=$S563,INDEX(SPM,CZ570,6)&gt;=$R563),1,0))</f>
        <v>#N/A</v>
      </c>
      <c r="DB570" s="4" t="e">
        <f t="shared" ref="DB570" ca="1" si="10488">MATCH(1,OFFSET(DA563:DA574,DC569,0,COUNT(DA563:DA574)-DC569),0)</f>
        <v>#REF!</v>
      </c>
      <c r="DC570" s="4" t="e">
        <f t="shared" ca="1" si="10381"/>
        <v>#REF!</v>
      </c>
      <c r="DD570" s="693" t="str">
        <f ca="1">IF(LEFT($J563,7)="Clad Wo",IFERROR(VLOOKUP(INDEX(CZ563:CZ574,DC570),SPPWS,2,FALSE),"----"),IFERROR(VLOOKUP(INDEX(CZ563:CZ574,DC570),SPM,2,FALSE),"----"))</f>
        <v>----</v>
      </c>
      <c r="DE570" s="691" t="e">
        <f t="shared" ca="1" si="10382"/>
        <v>#REF!</v>
      </c>
      <c r="DF570" s="4" t="e" cm="1">
        <f t="array" aca="1" ref="DF570" ca="1">IF(AND(INDEX(INDIRECT(BY563),DE570,4)&gt;=$AB569,INDEX(INDIRECT(BY563),DE570,5)&gt;=$S563,INDEX(INDIRECT(BY563),DE570,6)&gt;=$R563),1,0)</f>
        <v>#REF!</v>
      </c>
      <c r="DG570" s="4" t="e">
        <f t="shared" ref="DG570" ca="1" si="10489">MATCH(1,OFFSET(DF563:DF574,DH569,0,COUNT(DF563:DF574)-DH569),0)</f>
        <v>#REF!</v>
      </c>
      <c r="DH570" s="4" t="e">
        <f t="shared" ca="1" si="10384"/>
        <v>#REF!</v>
      </c>
      <c r="DI570" s="692" t="str" cm="1">
        <f t="array" aca="1" ref="DI570" ca="1">IFERROR(VLOOKUP(INDEX(DE563:DE574,DH570),INDIRECT(BY563),2,FALSE),"----")</f>
        <v>----</v>
      </c>
      <c r="DJ570" s="691" t="e">
        <f t="shared" ca="1" si="10385"/>
        <v>#N/A</v>
      </c>
      <c r="DK570" s="4" t="e">
        <f ca="1">IF(AND(INDEX(SSM,DJ570,4)&gt;=$AB569,INDEX(SSM,DJ570,5)&gt;=$S563,INDEX(SSM,DJ570,6)&gt;=$R563),1,0)</f>
        <v>#N/A</v>
      </c>
      <c r="DL570" s="4" t="e">
        <f t="shared" ref="DL570" ca="1" si="10490">MATCH(1,OFFSET(DK563:DK574,DM569,0,COUNT(DK563:DK574)-DM569),0)</f>
        <v>#REF!</v>
      </c>
      <c r="DM570" s="4" t="e">
        <f t="shared" ca="1" si="10387"/>
        <v>#REF!</v>
      </c>
      <c r="DN570" s="692" t="str">
        <f ca="1">IFERROR(IF(AD570="Nested Steel Stud (wood infill)",VLOOKUP(INDEX(DJ563:DJ574,DM570),SSW,2,FALSE),VLOOKUP(INDEX(DJ563:DJ574,DM570),SSM,2,FALSE)),"----")</f>
        <v>----</v>
      </c>
      <c r="DO570" s="691" t="e">
        <f t="shared" ca="1" si="10388"/>
        <v>#N/A</v>
      </c>
      <c r="DP570" s="4" t="e">
        <f ca="1">IF(AND(INDEX(WSM,DO570,4)&gt;=$AB569,INDEX(WSM,DO570,5)&gt;=$S563,INDEX(WSM,DO570,6)&gt;=$R563),1,0)</f>
        <v>#N/A</v>
      </c>
      <c r="DQ570" s="4" t="e">
        <f t="shared" ref="DQ570" ca="1" si="10491">MATCH(1,OFFSET(DP563:DP574,DR569,0,COUNT(DP563:DP574)-DR569),0)</f>
        <v>#REF!</v>
      </c>
      <c r="DR570" s="4" t="e">
        <f t="shared" ca="1" si="10390"/>
        <v>#REF!</v>
      </c>
      <c r="DS570" s="692" t="str">
        <f ca="1">IFERROR(VLOOKUP(INDEX(DO563:DO574,DR570),WSM,2,FALSE),"----")</f>
        <v>----</v>
      </c>
      <c r="DT570" s="691" t="e">
        <f t="shared" ca="1" si="10391"/>
        <v>#N/A</v>
      </c>
      <c r="DU570" s="4" t="e">
        <f ca="1">IF(AND(INDEX(STM,DT570,4)&gt;=$AB569,INDEX(STM,DT570,5)&gt;=$S563,INDEX(STM,DT570,6)&gt;=$R563),1,0)</f>
        <v>#N/A</v>
      </c>
      <c r="DV570" s="4" t="e">
        <f t="shared" ref="DV570" ca="1" si="10492">MATCH(1,OFFSET(DU563:DU574,DW569,0,COUNT(DU563:DU574)-DW569),0)</f>
        <v>#REF!</v>
      </c>
      <c r="DW570" s="4" t="e">
        <f t="shared" ca="1" si="10393"/>
        <v>#REF!</v>
      </c>
      <c r="DX570" s="692" t="str">
        <f ca="1">IFERROR(VLOOKUP(INDEX(DT563:DT574,DW570),STM,2,FALSE),"----")</f>
        <v>----</v>
      </c>
      <c r="DY570" s="691" t="e">
        <f t="shared" ca="1" si="10394"/>
        <v>#N/A</v>
      </c>
      <c r="DZ570" s="4" t="e">
        <f ca="1">IF(AND(INDEX(ELM,DY570,4)&gt;=$AB569,INDEX(ELM,DY570,5)&gt;=$S563,INDEX(ELM,DY570,6)&gt;=$R563),1,0)</f>
        <v>#N/A</v>
      </c>
      <c r="EA570" s="4" t="e">
        <f t="shared" ref="EA570" ca="1" si="10493">MATCH(1,OFFSET(DZ563:DZ574,EB569,0,COUNT(DZ563:DZ574)-EB569),0)</f>
        <v>#REF!</v>
      </c>
      <c r="EB570" s="4" t="e">
        <f t="shared" ca="1" si="10396"/>
        <v>#REF!</v>
      </c>
      <c r="EC570" s="692" t="str">
        <f ca="1">IFERROR(VLOOKUP(INDEX(DY563:DY574,EB570),ELM,2,FALSE),"----")</f>
        <v>----</v>
      </c>
      <c r="ED570" s="691" t="e">
        <f t="shared" ca="1" si="10397"/>
        <v>#N/A</v>
      </c>
      <c r="EE570" s="4" t="e">
        <f ca="1">IF(LEFT($J563,7)="Clad Wo",IF(AND(INDEX(SPPWS,ED570,4)&gt;=$AB569,INDEX(SPPWS,ED570,5)&gt;=$S563,INDEX(SPPWS,ED570,6)&gt;=$R563),1,0),IF(AND(INDEX(SPM,ED570,4)&gt;=$AB569,INDEX(SPM,ED570,5)&gt;=$S563,INDEX(SPM,ED570,6)&gt;=$R563),1,0))</f>
        <v>#N/A</v>
      </c>
      <c r="EF570" s="4" t="e">
        <f t="shared" ref="EF570" ca="1" si="10494">MATCH(1,OFFSET(EE563:EE574,EG569,0,COUNT(EE563:EE574)-EG569),0)</f>
        <v>#REF!</v>
      </c>
      <c r="EG570" s="4" t="e">
        <f t="shared" ca="1" si="10399"/>
        <v>#REF!</v>
      </c>
      <c r="EH570" s="692" t="str">
        <f ca="1">IF(LEFT($J563,7)="Clad Wo",IFERROR(VLOOKUP(INDEX(ED563:ED574,EG570),SPPWS,2,FALSE),"----"),IFERROR(VLOOKUP(INDEX(ED563:ED574,EG570),SPM,2,FALSE),"----"))</f>
        <v>----</v>
      </c>
    </row>
    <row r="571" spans="1:138" ht="15" customHeight="1" x14ac:dyDescent="0.25">
      <c r="A571" s="1085"/>
      <c r="B571" s="925"/>
      <c r="C571" s="926"/>
      <c r="D571" s="927"/>
      <c r="E571" s="995"/>
      <c r="F571" s="996"/>
      <c r="G571" s="997"/>
      <c r="H571" s="1062"/>
      <c r="I571" s="990"/>
      <c r="J571" s="902"/>
      <c r="K571" s="903"/>
      <c r="L571" s="1002"/>
      <c r="M571" s="923"/>
      <c r="N571" s="1042"/>
      <c r="O571" s="1018"/>
      <c r="P571" s="987"/>
      <c r="Q571" s="1015"/>
      <c r="R571" s="1012"/>
      <c r="S571" s="1006"/>
      <c r="T571" s="1007"/>
      <c r="U571" s="878"/>
      <c r="V571" s="881"/>
      <c r="W571" s="884"/>
      <c r="X571" s="884"/>
      <c r="Y571" s="887"/>
      <c r="Z571" s="887"/>
      <c r="AA571" s="887"/>
      <c r="AB571" s="1081"/>
      <c r="AC571" s="1078"/>
      <c r="AD571" s="1070" t="str">
        <f t="shared" si="10247"/>
        <v>Wood Stud Framing</v>
      </c>
      <c r="AE571" s="1071"/>
      <c r="AF571" s="1052"/>
      <c r="AG571" s="1053"/>
      <c r="AH571" s="1053"/>
      <c r="AI571" s="1066"/>
      <c r="AJ571" s="1067"/>
      <c r="AK571" s="156" t="str">
        <f t="shared" ca="1" si="10024"/>
        <v/>
      </c>
      <c r="AL571" s="1059"/>
      <c r="AM571" s="344" t="str">
        <f ca="1">IFERROR(Q563/12*ROUND(VLOOKUP(AF571,OFFSET(WSM,0,1),6,FALSE),2),"")</f>
        <v/>
      </c>
      <c r="AN571" t="str">
        <f t="shared" ca="1" si="10040"/>
        <v/>
      </c>
      <c r="AP571" s="122" t="str">
        <f t="shared" ref="AP571" si="10495">_xlfn.CONCAT(AR571,AS574)</f>
        <v/>
      </c>
      <c r="AQ571" s="683" t="str">
        <f t="shared" si="10249"/>
        <v/>
      </c>
      <c r="AR571" s="4" t="str">
        <f t="shared" si="10009"/>
        <v/>
      </c>
      <c r="AS571" s="4"/>
      <c r="AT571" s="697" t="str">
        <f>AL569</f>
        <v/>
      </c>
      <c r="AU571" s="694" t="e">
        <f t="shared" ca="1" si="10265"/>
        <v>#REF!</v>
      </c>
      <c r="AV571" s="686" t="str">
        <f ca="1">IFERROR(VLOOKUP(AU571,INDIRECT(AQ563),2,FALSE),"----")</f>
        <v>----</v>
      </c>
      <c r="AW571" s="694" t="e">
        <f t="shared" ca="1" si="10266"/>
        <v>#REF!</v>
      </c>
      <c r="AX571" s="686" t="str">
        <f ca="1">IFERROR(VLOOKUP(AW571,INDIRECT(AQ564),2,FALSE),"----")</f>
        <v>----</v>
      </c>
      <c r="AY571" s="694" t="e">
        <f t="shared" ca="1" si="10197"/>
        <v>#REF!</v>
      </c>
      <c r="AZ571" s="686" t="str">
        <f ca="1">IFERROR(VLOOKUP(AY571,INDIRECT(AQ565),2,FALSE),"----")</f>
        <v>----</v>
      </c>
      <c r="BA571" s="694" t="e">
        <f t="shared" ca="1" si="10198"/>
        <v>#REF!</v>
      </c>
      <c r="BB571" s="686" t="str">
        <f ca="1">IFERROR(VLOOKUP(BA571,INDIRECT(AQ566),2,FALSE),"----")</f>
        <v>----</v>
      </c>
      <c r="BC571" s="694" t="e">
        <f t="shared" ca="1" si="10267"/>
        <v>#REF!</v>
      </c>
      <c r="BD571" s="686" t="str">
        <f ca="1">IFERROR(VLOOKUP(BC571,INDIRECT(AQ567),2,FALSE),"----")</f>
        <v>----</v>
      </c>
      <c r="BE571" s="694" t="e">
        <f t="shared" ca="1" si="10268"/>
        <v>#REF!</v>
      </c>
      <c r="BF571" s="686" t="str">
        <f ca="1">IFERROR(VLOOKUP(BE571,INDIRECT(AQ568),2,FALSE),"----")</f>
        <v>----</v>
      </c>
      <c r="BG571" s="702" t="e">
        <f t="shared" ca="1" si="10269"/>
        <v>#REF!</v>
      </c>
      <c r="BH571" s="686" t="str">
        <f ca="1">IFERROR(VLOOKUP(BG571,INDIRECT(AQ569),2,FALSE),"----")</f>
        <v>----</v>
      </c>
      <c r="BI571" s="702" t="e">
        <f t="shared" ca="1" si="10270"/>
        <v>#REF!</v>
      </c>
      <c r="BJ571" s="686" t="str">
        <f ca="1">IFERROR(VLOOKUP(BI571,INDIRECT(AQ570),2,FALSE),"----")</f>
        <v>----</v>
      </c>
      <c r="BK571" s="702" t="e">
        <f t="shared" ca="1" si="10271"/>
        <v>#REF!</v>
      </c>
      <c r="BL571" s="686" t="str">
        <f ca="1">IFERROR(VLOOKUP(BK571,INDIRECT(AQ571),2,FALSE),"----")</f>
        <v>----</v>
      </c>
      <c r="BM571" s="702" t="e">
        <f t="shared" ca="1" si="10272"/>
        <v>#REF!</v>
      </c>
      <c r="BN571" s="686" t="str">
        <f ca="1">IFERROR(VLOOKUP(BM571,INDIRECT(AQ572),2,FALSE),"----")</f>
        <v>----</v>
      </c>
      <c r="BO571" s="702" t="e">
        <f t="shared" ca="1" si="10273"/>
        <v>#REF!</v>
      </c>
      <c r="BP571" s="686" t="str">
        <f ca="1">IFERROR(VLOOKUP(BO571,INDIRECT(AQ573),2,FALSE),"----")</f>
        <v>----</v>
      </c>
      <c r="BQ571" s="702" t="e">
        <f t="shared" ca="1" si="10274"/>
        <v>#REF!</v>
      </c>
      <c r="BR571" s="686" t="str">
        <f ca="1">IFERROR(VLOOKUP(BQ571,INDIRECT(AQ574),2,FALSE),"----")</f>
        <v>----</v>
      </c>
      <c r="BS571" s="695">
        <f>IF(AI571="",1,IF(COUNTIF(BL563:BL574,AI571)=0,2,1))</f>
        <v>1</v>
      </c>
      <c r="BT571" s="696">
        <f>IF(AF571="",1,IF(BL563=".",2,1))</f>
        <v>1</v>
      </c>
      <c r="BU571" s="706"/>
      <c r="BV571" s="155">
        <f ca="1">IF(COUNTIF(DS563:DS574,AF571)=0,IF(AF571&lt;&gt;"",0,1),1)</f>
        <v>1</v>
      </c>
      <c r="BW571" s="157">
        <f ca="1">IFERROR(MATCH(AF571,DS563:DS574,0),1)</f>
        <v>1</v>
      </c>
      <c r="BX571" s="769" t="e">
        <f t="shared" ref="BX571" si="10496">5*E563^3*W563/(384*X563)</f>
        <v>#VALUE!</v>
      </c>
      <c r="BY571" s="769" t="e">
        <f t="shared" ref="BY571" si="10497">W563*E563^3/(60*X563)</f>
        <v>#VALUE!</v>
      </c>
      <c r="BZ571" s="1110"/>
      <c r="CA571" s="691" t="e">
        <f t="shared" ca="1" si="10364"/>
        <v>#REF!</v>
      </c>
      <c r="CB571" s="4" t="e" cm="1">
        <f t="array" aca="1" ref="CB571" ca="1">IF(AND(INDEX(INDIRECT(BY563),CA571,4)&gt;=$AB563,INDEX(INDIRECT(BY563),CA571,5)&gt;=$S563,INDEX(INDIRECT(BY563),CA571,6)&gt;=$R563),1,0)</f>
        <v>#REF!</v>
      </c>
      <c r="CC571" s="4" t="e">
        <f t="shared" ref="CC571" ca="1" si="10498">MATCH(1,OFFSET(CB563:CB574,CD570,0,COUNT(CB563:CB574)-CD570),0)</f>
        <v>#REF!</v>
      </c>
      <c r="CD571" s="4" t="e">
        <f t="shared" ca="1" si="10366"/>
        <v>#REF!</v>
      </c>
      <c r="CE571" s="692" t="str" cm="1">
        <f t="array" aca="1" ref="CE571" ca="1">IFERROR(VLOOKUP(INDEX(CA563:CA574,CD571),INDIRECT(BY563),2,FALSE),"----")</f>
        <v>----</v>
      </c>
      <c r="CF571" s="691" t="e">
        <f t="shared" ca="1" si="10367"/>
        <v>#N/A</v>
      </c>
      <c r="CG571" s="4" t="e">
        <f ca="1">IF(AND(INDEX(SSM,CF571,4)&gt;=$AB563,INDEX(SSM,CF571,5)&gt;=$S563,INDEX(SSM,CF571,6)&gt;=$R563),1,0)</f>
        <v>#N/A</v>
      </c>
      <c r="CH571" s="4" t="e">
        <f t="shared" ref="CH571" ca="1" si="10499">MATCH(1,OFFSET(CG563:CG574,CI570,0,COUNT(CG563:CG574)-CI570),0)</f>
        <v>#REF!</v>
      </c>
      <c r="CI571" s="4" t="e">
        <f t="shared" ca="1" si="10369"/>
        <v>#REF!</v>
      </c>
      <c r="CJ571" s="692" t="str">
        <f ca="1">IFERROR(IF(AD564="Nested Steel Stud (wood infill)",VLOOKUP(INDEX(CF563:CF574,CI571),SSW,2,FALSE),VLOOKUP(INDEX(CF563:CF574,CI571),SSM,2,FALSE)),"----")</f>
        <v>----</v>
      </c>
      <c r="CK571" s="691" t="e">
        <f t="shared" ca="1" si="10370"/>
        <v>#N/A</v>
      </c>
      <c r="CL571" s="4" t="e">
        <f ca="1">IF(AND(INDEX(WSM,CK571,4)&gt;=$AB563,INDEX(WSM,CK571,5)&gt;=$S563,INDEX(WSM,CK571,6)&gt;=$R563),1,0)</f>
        <v>#N/A</v>
      </c>
      <c r="CM571" s="4" t="e">
        <f t="shared" ref="CM571" ca="1" si="10500">MATCH(1,OFFSET(CL563:CL574,CN570,0,COUNT(CL563:CL574)-CN570),0)</f>
        <v>#REF!</v>
      </c>
      <c r="CN571" s="4" t="e">
        <f t="shared" ca="1" si="10372"/>
        <v>#REF!</v>
      </c>
      <c r="CO571" s="692" t="str">
        <f ca="1">IFERROR(VLOOKUP(INDEX(CK563:CK574,CN571),WSM,2,FALSE),"----")</f>
        <v>----</v>
      </c>
      <c r="CP571" s="691" t="e">
        <f t="shared" ca="1" si="10373"/>
        <v>#N/A</v>
      </c>
      <c r="CQ571" s="4" t="e">
        <f ca="1">IF(AND(INDEX(STM,CP571,4)&gt;=$AB563,INDEX(STM,CP571,5)&gt;=$S563,INDEX(STM,CP571,6)&gt;=$R563),1,0)</f>
        <v>#N/A</v>
      </c>
      <c r="CR571" s="4" t="e">
        <f t="shared" ref="CR571" ca="1" si="10501">MATCH(1,OFFSET(CQ563:CQ574,CS570,0,COUNT(CQ563:CQ574)-CS570),0)</f>
        <v>#REF!</v>
      </c>
      <c r="CS571" s="4" t="e">
        <f t="shared" ca="1" si="10375"/>
        <v>#REF!</v>
      </c>
      <c r="CT571" s="692" t="str">
        <f ca="1">IFERROR(VLOOKUP(INDEX(CP563:CP574,CS571),STM,2,FALSE),"----")</f>
        <v>----</v>
      </c>
      <c r="CU571" s="691" t="e">
        <f t="shared" ca="1" si="10376"/>
        <v>#N/A</v>
      </c>
      <c r="CV571" s="4" t="e">
        <f ca="1">IF(AND(INDEX(ELM,CU571,4)&gt;=$AB563,INDEX(ELM,CU571,5)&gt;=$S563,INDEX(ELM,CU571,6)&gt;=$R563),1,0)</f>
        <v>#N/A</v>
      </c>
      <c r="CW571" s="4" t="e">
        <f t="shared" ref="CW571" ca="1" si="10502">MATCH(1,OFFSET(CV563:CV574,CX570,0,COUNT(CV563:CV574)-CX570),0)</f>
        <v>#REF!</v>
      </c>
      <c r="CX571" s="4" t="e">
        <f t="shared" ca="1" si="10378"/>
        <v>#REF!</v>
      </c>
      <c r="CY571" s="692" t="str">
        <f ca="1">IFERROR(VLOOKUP(INDEX(CU563:CU574,CX571),ELM,2,FALSE),"----")</f>
        <v>----</v>
      </c>
      <c r="CZ571" s="691" t="e">
        <f t="shared" ca="1" si="10379"/>
        <v>#N/A</v>
      </c>
      <c r="DA571" s="4" t="e">
        <f ca="1">IF(LEFT($J563,7)="Clad Wo",IF(AND(INDEX(SPPWS,CZ571,4)&gt;=$AB563,INDEX(SPPWS,CZ571,5)&gt;=$S563,INDEX(SPPWS,CZ571,6)&gt;=$R563),1,0),IF(AND(INDEX(SPM,CZ571,4)&gt;=$AB563,INDEX(SPM,CZ571,5)&gt;=$S563,INDEX(SPM,CZ571,6)&gt;=$R563),1,0))</f>
        <v>#N/A</v>
      </c>
      <c r="DB571" s="4" t="e">
        <f t="shared" ref="DB571" ca="1" si="10503">MATCH(1,OFFSET(DA563:DA574,DC570,0,COUNT(DA563:DA574)-DC570),0)</f>
        <v>#REF!</v>
      </c>
      <c r="DC571" s="4" t="e">
        <f t="shared" ca="1" si="10381"/>
        <v>#REF!</v>
      </c>
      <c r="DD571" s="693" t="str">
        <f ca="1">IF(LEFT($J563,7)="Clad Wo",IFERROR(VLOOKUP(INDEX(CZ563:CZ574,DC571),SPPWS,2,FALSE),"----"),IFERROR(VLOOKUP(INDEX(CZ563:CZ574,DC571),SPM,2,FALSE),"----"))</f>
        <v>----</v>
      </c>
      <c r="DE571" s="691" t="e">
        <f t="shared" ca="1" si="10382"/>
        <v>#REF!</v>
      </c>
      <c r="DF571" s="4" t="e" cm="1">
        <f t="array" aca="1" ref="DF571" ca="1">IF(AND(INDEX(INDIRECT(BY563),DE571,4)&gt;=$AB569,INDEX(INDIRECT(BY563),DE571,5)&gt;=$S563,INDEX(INDIRECT(BY563),DE571,6)&gt;=$R563),1,0)</f>
        <v>#REF!</v>
      </c>
      <c r="DG571" s="4" t="e">
        <f t="shared" ref="DG571" ca="1" si="10504">MATCH(1,OFFSET(DF563:DF574,DH570,0,COUNT(DF563:DF574)-DH570),0)</f>
        <v>#REF!</v>
      </c>
      <c r="DH571" s="4" t="e">
        <f t="shared" ca="1" si="10384"/>
        <v>#REF!</v>
      </c>
      <c r="DI571" s="692" t="str" cm="1">
        <f t="array" aca="1" ref="DI571" ca="1">IFERROR(VLOOKUP(INDEX(DE563:DE574,DH571),INDIRECT(BY563),2,FALSE),"----")</f>
        <v>----</v>
      </c>
      <c r="DJ571" s="691" t="e">
        <f t="shared" ca="1" si="10385"/>
        <v>#N/A</v>
      </c>
      <c r="DK571" s="4" t="e">
        <f ca="1">IF(AND(INDEX(SSM,DJ571,4)&gt;=$AB569,INDEX(SSM,DJ571,5)&gt;=$S563,INDEX(SSM,DJ571,6)&gt;=$R563),1,0)</f>
        <v>#N/A</v>
      </c>
      <c r="DL571" s="4" t="e">
        <f t="shared" ref="DL571" ca="1" si="10505">MATCH(1,OFFSET(DK563:DK574,DM570,0,COUNT(DK563:DK574)-DM570),0)</f>
        <v>#REF!</v>
      </c>
      <c r="DM571" s="4" t="e">
        <f t="shared" ca="1" si="10387"/>
        <v>#REF!</v>
      </c>
      <c r="DN571" s="692" t="str">
        <f ca="1">IFERROR(IF(AD570="Nested Steel Stud (wood infill)",VLOOKUP(INDEX(DJ563:DJ574,DM571),SSW,2,FALSE),VLOOKUP(INDEX(DJ563:DJ574,DM571),SSM,2,FALSE)),"----")</f>
        <v>----</v>
      </c>
      <c r="DO571" s="691" t="e">
        <f t="shared" ca="1" si="10388"/>
        <v>#N/A</v>
      </c>
      <c r="DP571" s="4" t="e">
        <f ca="1">IF(AND(INDEX(WSM,DO571,4)&gt;=$AB569,INDEX(WSM,DO571,5)&gt;=$S563,INDEX(WSM,DO571,6)&gt;=$R563),1,0)</f>
        <v>#N/A</v>
      </c>
      <c r="DQ571" s="4" t="e">
        <f t="shared" ref="DQ571" ca="1" si="10506">MATCH(1,OFFSET(DP563:DP574,DR570,0,COUNT(DP563:DP574)-DR570),0)</f>
        <v>#REF!</v>
      </c>
      <c r="DR571" s="4" t="e">
        <f t="shared" ca="1" si="10390"/>
        <v>#REF!</v>
      </c>
      <c r="DS571" s="692" t="str">
        <f ca="1">IFERROR(VLOOKUP(INDEX(DO563:DO574,DR571),WSM,2,FALSE),"----")</f>
        <v>----</v>
      </c>
      <c r="DT571" s="691" t="e">
        <f t="shared" ca="1" si="10391"/>
        <v>#N/A</v>
      </c>
      <c r="DU571" s="4" t="e">
        <f ca="1">IF(AND(INDEX(STM,DT571,4)&gt;=$AB569,INDEX(STM,DT571,5)&gt;=$S563,INDEX(STM,DT571,6)&gt;=$R563),1,0)</f>
        <v>#N/A</v>
      </c>
      <c r="DV571" s="4" t="e">
        <f t="shared" ref="DV571" ca="1" si="10507">MATCH(1,OFFSET(DU563:DU574,DW570,0,COUNT(DU563:DU574)-DW570),0)</f>
        <v>#REF!</v>
      </c>
      <c r="DW571" s="4" t="e">
        <f t="shared" ca="1" si="10393"/>
        <v>#REF!</v>
      </c>
      <c r="DX571" s="692" t="str">
        <f ca="1">IFERROR(VLOOKUP(INDEX(DT563:DT574,DW571),STM,2,FALSE),"----")</f>
        <v>----</v>
      </c>
      <c r="DY571" s="691" t="e">
        <f t="shared" ca="1" si="10394"/>
        <v>#N/A</v>
      </c>
      <c r="DZ571" s="4" t="e">
        <f ca="1">IF(AND(INDEX(ELM,DY571,4)&gt;=$AB569,INDEX(ELM,DY571,5)&gt;=$S563,INDEX(ELM,DY571,6)&gt;=$R563),1,0)</f>
        <v>#N/A</v>
      </c>
      <c r="EA571" s="4" t="e">
        <f t="shared" ref="EA571" ca="1" si="10508">MATCH(1,OFFSET(DZ563:DZ574,EB570,0,COUNT(DZ563:DZ574)-EB570),0)</f>
        <v>#REF!</v>
      </c>
      <c r="EB571" s="4" t="e">
        <f t="shared" ca="1" si="10396"/>
        <v>#REF!</v>
      </c>
      <c r="EC571" s="692" t="str">
        <f ca="1">IFERROR(VLOOKUP(INDEX(DY563:DY574,EB571),ELM,2,FALSE),"----")</f>
        <v>----</v>
      </c>
      <c r="ED571" s="691" t="e">
        <f t="shared" ca="1" si="10397"/>
        <v>#N/A</v>
      </c>
      <c r="EE571" s="4" t="e">
        <f ca="1">IF(LEFT($J563,7)="Clad Wo",IF(AND(INDEX(SPPWS,ED571,4)&gt;=$AB569,INDEX(SPPWS,ED571,5)&gt;=$S563,INDEX(SPPWS,ED571,6)&gt;=$R563),1,0),IF(AND(INDEX(SPM,ED571,4)&gt;=$AB569,INDEX(SPM,ED571,5)&gt;=$S563,INDEX(SPM,ED571,6)&gt;=$R563),1,0))</f>
        <v>#N/A</v>
      </c>
      <c r="EF571" s="4" t="e">
        <f t="shared" ref="EF571" ca="1" si="10509">MATCH(1,OFFSET(EE563:EE574,EG570,0,COUNT(EE563:EE574)-EG570),0)</f>
        <v>#REF!</v>
      </c>
      <c r="EG571" s="4" t="e">
        <f t="shared" ca="1" si="10399"/>
        <v>#REF!</v>
      </c>
      <c r="EH571" s="692" t="str">
        <f ca="1">IF(LEFT($J563,7)="Clad Wo",IFERROR(VLOOKUP(INDEX(ED563:ED574,EG571),SPPWS,2,FALSE),"----"),IFERROR(VLOOKUP(INDEX(ED563:ED574,EG571),SPM,2,FALSE),"----"))</f>
        <v>----</v>
      </c>
    </row>
    <row r="572" spans="1:138" ht="15" customHeight="1" x14ac:dyDescent="0.25">
      <c r="A572" s="1085"/>
      <c r="B572" s="925"/>
      <c r="C572" s="926"/>
      <c r="D572" s="927"/>
      <c r="E572" s="995"/>
      <c r="F572" s="996"/>
      <c r="G572" s="997"/>
      <c r="H572" s="1062"/>
      <c r="I572" s="990"/>
      <c r="J572" s="902"/>
      <c r="K572" s="903"/>
      <c r="L572" s="1002"/>
      <c r="M572" s="923"/>
      <c r="N572" s="1042"/>
      <c r="O572" s="1018"/>
      <c r="P572" s="987"/>
      <c r="Q572" s="1015"/>
      <c r="R572" s="1012"/>
      <c r="S572" s="1006"/>
      <c r="T572" s="1007"/>
      <c r="U572" s="878"/>
      <c r="V572" s="881"/>
      <c r="W572" s="884"/>
      <c r="X572" s="884"/>
      <c r="Y572" s="887"/>
      <c r="Z572" s="887"/>
      <c r="AA572" s="887"/>
      <c r="AB572" s="1081"/>
      <c r="AC572" s="1078"/>
      <c r="AD572" s="1070" t="str">
        <f t="shared" si="10247"/>
        <v>Steel Tube</v>
      </c>
      <c r="AE572" s="1071"/>
      <c r="AF572" s="1052"/>
      <c r="AG572" s="1053"/>
      <c r="AH572" s="1053"/>
      <c r="AI572" s="1066"/>
      <c r="AJ572" s="1067"/>
      <c r="AK572" s="156" t="str">
        <f t="shared" ca="1" si="10024"/>
        <v/>
      </c>
      <c r="AL572" s="1059"/>
      <c r="AM572" s="343" t="str">
        <f ca="1">IFERROR(Q563/12*ROUND(VLOOKUP(AF572,OFFSET(STM,0,1),6,FALSE),2),"")</f>
        <v/>
      </c>
      <c r="AN572" t="str">
        <f t="shared" ca="1" si="10040"/>
        <v/>
      </c>
      <c r="AP572" s="122" t="str">
        <f t="shared" ref="AP572" si="10510">_xlfn.CONCAT(AR572,AS574)</f>
        <v/>
      </c>
      <c r="AQ572" s="683" t="str">
        <f t="shared" si="10249"/>
        <v/>
      </c>
      <c r="AR572" s="4" t="str">
        <f t="shared" si="10009"/>
        <v/>
      </c>
      <c r="AS572" s="4"/>
      <c r="AT572" s="697" t="str">
        <f>AL569</f>
        <v/>
      </c>
      <c r="AU572" s="694" t="e">
        <f t="shared" ca="1" si="10265"/>
        <v>#REF!</v>
      </c>
      <c r="AV572" s="686" t="str">
        <f ca="1">IFERROR(VLOOKUP(AU572,INDIRECT(AQ563),2,FALSE),"----")</f>
        <v>----</v>
      </c>
      <c r="AW572" s="694" t="e">
        <f t="shared" ca="1" si="10266"/>
        <v>#REF!</v>
      </c>
      <c r="AX572" s="686" t="str">
        <f ca="1">IFERROR(VLOOKUP(AW572,INDIRECT(AQ564),2,FALSE),"----")</f>
        <v>----</v>
      </c>
      <c r="AY572" s="694" t="e">
        <f t="shared" ref="AY572:AY634" ca="1" si="10511">AY571-1</f>
        <v>#REF!</v>
      </c>
      <c r="AZ572" s="686" t="str">
        <f ca="1">IFERROR(VLOOKUP(AY572,INDIRECT(AQ565),2,FALSE),"----")</f>
        <v>----</v>
      </c>
      <c r="BA572" s="694" t="e">
        <f t="shared" ref="BA572:BA634" ca="1" si="10512">BA571-1</f>
        <v>#REF!</v>
      </c>
      <c r="BB572" s="686" t="str">
        <f ca="1">IFERROR(VLOOKUP(BA572,INDIRECT(AQ566),2,FALSE),"----")</f>
        <v>----</v>
      </c>
      <c r="BC572" s="694" t="e">
        <f t="shared" ca="1" si="10267"/>
        <v>#REF!</v>
      </c>
      <c r="BD572" s="686" t="str">
        <f ca="1">IFERROR(VLOOKUP(BC572,INDIRECT(AQ567),2,FALSE),"----")</f>
        <v>----</v>
      </c>
      <c r="BE572" s="694" t="e">
        <f t="shared" ca="1" si="10268"/>
        <v>#REF!</v>
      </c>
      <c r="BF572" s="686" t="str">
        <f ca="1">IFERROR(VLOOKUP(BE572,INDIRECT(AQ568),2,FALSE),"----")</f>
        <v>----</v>
      </c>
      <c r="BG572" s="702" t="e">
        <f t="shared" ca="1" si="10269"/>
        <v>#REF!</v>
      </c>
      <c r="BH572" s="686" t="str">
        <f ca="1">IFERROR(VLOOKUP(BG572,INDIRECT(AQ569),2,FALSE),"----")</f>
        <v>----</v>
      </c>
      <c r="BI572" s="702" t="e">
        <f t="shared" ca="1" si="10270"/>
        <v>#REF!</v>
      </c>
      <c r="BJ572" s="686" t="str">
        <f ca="1">IFERROR(VLOOKUP(BI572,INDIRECT(AQ570),2,FALSE),"----")</f>
        <v>----</v>
      </c>
      <c r="BK572" s="702" t="e">
        <f t="shared" ca="1" si="10271"/>
        <v>#REF!</v>
      </c>
      <c r="BL572" s="686" t="str">
        <f ca="1">IFERROR(VLOOKUP(BK572,INDIRECT(AQ571),2,FALSE),"----")</f>
        <v>----</v>
      </c>
      <c r="BM572" s="702" t="e">
        <f t="shared" ca="1" si="10272"/>
        <v>#REF!</v>
      </c>
      <c r="BN572" s="686" t="str">
        <f ca="1">IFERROR(VLOOKUP(BM572,INDIRECT(AQ572),2,FALSE),"----")</f>
        <v>----</v>
      </c>
      <c r="BO572" s="702" t="e">
        <f t="shared" ca="1" si="10273"/>
        <v>#REF!</v>
      </c>
      <c r="BP572" s="686" t="str">
        <f ca="1">IFERROR(VLOOKUP(BO572,INDIRECT(AQ573),2,FALSE),"----")</f>
        <v>----</v>
      </c>
      <c r="BQ572" s="702" t="e">
        <f t="shared" ca="1" si="10274"/>
        <v>#REF!</v>
      </c>
      <c r="BR572" s="686" t="str">
        <f ca="1">IFERROR(VLOOKUP(BQ572,INDIRECT(AQ574),2,FALSE),"----")</f>
        <v>----</v>
      </c>
      <c r="BS572" s="695">
        <f>IF(AI572="",1,IF(COUNTIF(BN563:BN574,AI572)=0,2,1))</f>
        <v>1</v>
      </c>
      <c r="BT572" s="696">
        <f>IF(AF572="",1,IF(BN563=".",2,1))</f>
        <v>1</v>
      </c>
      <c r="BU572" s="706"/>
      <c r="BV572" s="155">
        <f ca="1">IF(COUNTIF(DX563:DX574,AF572)=0,IF(AF572&lt;&gt;"",0,1),1)</f>
        <v>1</v>
      </c>
      <c r="BW572" s="157">
        <f ca="1">IFERROR(MATCH(AF572,DX563:DX574,0),1)</f>
        <v>1</v>
      </c>
      <c r="BX572" s="769" t="e">
        <f t="shared" ref="BX572" si="10513">5*E563^3*W569/(384*X563)</f>
        <v>#VALUE!</v>
      </c>
      <c r="BY572" s="769" t="e">
        <f t="shared" ref="BY572" si="10514">E563^3*W569/(60*X563)</f>
        <v>#VALUE!</v>
      </c>
      <c r="BZ572" s="1110"/>
      <c r="CA572" s="691" t="e">
        <f t="shared" ca="1" si="10364"/>
        <v>#REF!</v>
      </c>
      <c r="CB572" s="4" t="e" cm="1">
        <f t="array" aca="1" ref="CB572" ca="1">IF(AND(INDEX(INDIRECT(BY563),CA572,4)&gt;=$AB563,INDEX(INDIRECT(BY563),CA572,5)&gt;=$S563,INDEX(INDIRECT(BY563),CA572,6)&gt;=$R563),1,0)</f>
        <v>#REF!</v>
      </c>
      <c r="CC572" s="4" t="e">
        <f t="shared" ref="CC572" ca="1" si="10515">MATCH(1,OFFSET(CB563:CB574,CD571,0,COUNT(CB563:CB574)-CD571),0)</f>
        <v>#REF!</v>
      </c>
      <c r="CD572" s="4" t="e">
        <f t="shared" ca="1" si="10366"/>
        <v>#REF!</v>
      </c>
      <c r="CE572" s="692" t="str" cm="1">
        <f t="array" aca="1" ref="CE572" ca="1">IFERROR(VLOOKUP(INDEX(CA563:CA574,CD572),INDIRECT(BY563),2,FALSE),"----")</f>
        <v>----</v>
      </c>
      <c r="CF572" s="691" t="e">
        <f t="shared" ca="1" si="10367"/>
        <v>#N/A</v>
      </c>
      <c r="CG572" s="4" t="e">
        <f ca="1">IF(AND(INDEX(SSM,CF572,4)&gt;=$AB563,INDEX(SSM,CF572,5)&gt;=$S563,INDEX(SSM,CF572,6)&gt;=$R563),1,0)</f>
        <v>#N/A</v>
      </c>
      <c r="CH572" s="4" t="e">
        <f t="shared" ref="CH572" ca="1" si="10516">MATCH(1,OFFSET(CG563:CG574,CI571,0,COUNT(CG563:CG574)-CI571),0)</f>
        <v>#REF!</v>
      </c>
      <c r="CI572" s="4" t="e">
        <f t="shared" ca="1" si="10369"/>
        <v>#REF!</v>
      </c>
      <c r="CJ572" s="692" t="str">
        <f ca="1">IFERROR(IF(AD564="Nested Steel Stud (wood infill)",VLOOKUP(INDEX(CF563:CF574,CI572),SSW,2,FALSE),VLOOKUP(INDEX(CF563:CF574,CI572),SSM,2,FALSE)),"----")</f>
        <v>----</v>
      </c>
      <c r="CK572" s="691" t="e">
        <f t="shared" ca="1" si="10370"/>
        <v>#N/A</v>
      </c>
      <c r="CL572" s="4" t="e">
        <f ca="1">IF(AND(INDEX(WSM,CK572,4)&gt;=$AB563,INDEX(WSM,CK572,5)&gt;=$S563,INDEX(WSM,CK572,6)&gt;=$R563),1,0)</f>
        <v>#N/A</v>
      </c>
      <c r="CM572" s="4" t="e">
        <f t="shared" ref="CM572" ca="1" si="10517">MATCH(1,OFFSET(CL563:CL574,CN571,0,COUNT(CL563:CL574)-CN571),0)</f>
        <v>#REF!</v>
      </c>
      <c r="CN572" s="4" t="e">
        <f t="shared" ca="1" si="10372"/>
        <v>#REF!</v>
      </c>
      <c r="CO572" s="692" t="str">
        <f ca="1">IFERROR(VLOOKUP(INDEX(CK563:CK574,CN572),WSM,2,FALSE),"----")</f>
        <v>----</v>
      </c>
      <c r="CP572" s="691" t="e">
        <f t="shared" ca="1" si="10373"/>
        <v>#N/A</v>
      </c>
      <c r="CQ572" s="4" t="e">
        <f ca="1">IF(AND(INDEX(STM,CP572,4)&gt;=$AB563,INDEX(STM,CP572,5)&gt;=$S563,INDEX(STM,CP572,6)&gt;=$R563),1,0)</f>
        <v>#N/A</v>
      </c>
      <c r="CR572" s="4" t="e">
        <f t="shared" ref="CR572" ca="1" si="10518">MATCH(1,OFFSET(CQ563:CQ574,CS571,0,COUNT(CQ563:CQ574)-CS571),0)</f>
        <v>#REF!</v>
      </c>
      <c r="CS572" s="4" t="e">
        <f t="shared" ca="1" si="10375"/>
        <v>#REF!</v>
      </c>
      <c r="CT572" s="692" t="str">
        <f ca="1">IFERROR(VLOOKUP(INDEX(CP563:CP574,CS572),STM,2,FALSE),"----")</f>
        <v>----</v>
      </c>
      <c r="CU572" s="691" t="e">
        <f t="shared" ca="1" si="10376"/>
        <v>#N/A</v>
      </c>
      <c r="CV572" s="4" t="e">
        <f ca="1">IF(AND(INDEX(ELM,CU572,4)&gt;=$AB563,INDEX(ELM,CU572,5)&gt;=$S563,INDEX(ELM,CU572,6)&gt;=$R563),1,0)</f>
        <v>#N/A</v>
      </c>
      <c r="CW572" s="4" t="e">
        <f t="shared" ref="CW572" ca="1" si="10519">MATCH(1,OFFSET(CV563:CV574,CX571,0,COUNT(CV563:CV574)-CX571),0)</f>
        <v>#REF!</v>
      </c>
      <c r="CX572" s="4" t="e">
        <f t="shared" ca="1" si="10378"/>
        <v>#REF!</v>
      </c>
      <c r="CY572" s="692" t="str">
        <f ca="1">IFERROR(VLOOKUP(INDEX(CU563:CU574,CX572),ELM,2,FALSE),"----")</f>
        <v>----</v>
      </c>
      <c r="CZ572" s="691" t="e">
        <f t="shared" ca="1" si="10379"/>
        <v>#N/A</v>
      </c>
      <c r="DA572" s="4" t="e">
        <f ca="1">IF(LEFT($J563,7)="Clad Wo",IF(AND(INDEX(SPPWS,CZ572,4)&gt;=$AB563,INDEX(SPPWS,CZ572,5)&gt;=$S563,INDEX(SPPWS,CZ572,6)&gt;=$R563),1,0),IF(AND(INDEX(SPM,CZ572,4)&gt;=$AB563,INDEX(SPM,CZ572,5)&gt;=$S563,INDEX(SPM,CZ572,6)&gt;=$R563),1,0))</f>
        <v>#N/A</v>
      </c>
      <c r="DB572" s="4" t="e">
        <f t="shared" ref="DB572" ca="1" si="10520">MATCH(1,OFFSET(DA563:DA574,DC571,0,COUNT(DA563:DA574)-DC571),0)</f>
        <v>#REF!</v>
      </c>
      <c r="DC572" s="4" t="e">
        <f t="shared" ca="1" si="10381"/>
        <v>#REF!</v>
      </c>
      <c r="DD572" s="693" t="str">
        <f ca="1">IF(LEFT($J563,7)="Clad Wo",IFERROR(VLOOKUP(INDEX(CZ563:CZ574,DC572),SPPWS,2,FALSE),"----"),IFERROR(VLOOKUP(INDEX(CZ563:CZ574,DC572),SPM,2,FALSE),"----"))</f>
        <v>----</v>
      </c>
      <c r="DE572" s="691" t="e">
        <f t="shared" ca="1" si="10382"/>
        <v>#REF!</v>
      </c>
      <c r="DF572" s="4" t="e" cm="1">
        <f t="array" aca="1" ref="DF572" ca="1">IF(AND(INDEX(INDIRECT(BY563),DE572,4)&gt;=$AB569,INDEX(INDIRECT(BY563),DE572,5)&gt;=$S563,INDEX(INDIRECT(BY563),DE572,6)&gt;=$R563),1,0)</f>
        <v>#REF!</v>
      </c>
      <c r="DG572" s="4" t="e">
        <f t="shared" ref="DG572" ca="1" si="10521">MATCH(1,OFFSET(DF563:DF574,DH571,0,COUNT(DF563:DF574)-DH571),0)</f>
        <v>#REF!</v>
      </c>
      <c r="DH572" s="4" t="e">
        <f t="shared" ca="1" si="10384"/>
        <v>#REF!</v>
      </c>
      <c r="DI572" s="692" t="str" cm="1">
        <f t="array" aca="1" ref="DI572" ca="1">IFERROR(VLOOKUP(INDEX(DE563:DE574,DH572),INDIRECT(BY563),2,FALSE),"----")</f>
        <v>----</v>
      </c>
      <c r="DJ572" s="691" t="e">
        <f t="shared" ca="1" si="10385"/>
        <v>#N/A</v>
      </c>
      <c r="DK572" s="4" t="e">
        <f ca="1">IF(AND(INDEX(SSM,DJ572,4)&gt;=$AB569,INDEX(SSM,DJ572,5)&gt;=$S563,INDEX(SSM,DJ572,6)&gt;=$R563),1,0)</f>
        <v>#N/A</v>
      </c>
      <c r="DL572" s="4" t="e">
        <f t="shared" ref="DL572" ca="1" si="10522">MATCH(1,OFFSET(DK563:DK574,DM571,0,COUNT(DK563:DK574)-DM571),0)</f>
        <v>#REF!</v>
      </c>
      <c r="DM572" s="4" t="e">
        <f t="shared" ca="1" si="10387"/>
        <v>#REF!</v>
      </c>
      <c r="DN572" s="692" t="str">
        <f ca="1">IFERROR(IF(AD570="Nested Steel Stud (wood infill)",VLOOKUP(INDEX(DJ563:DJ574,DM572),SSW,2,FALSE),VLOOKUP(INDEX(DJ563:DJ574,DM572),SSM,2,FALSE)),"----")</f>
        <v>----</v>
      </c>
      <c r="DO572" s="691" t="e">
        <f t="shared" ca="1" si="10388"/>
        <v>#N/A</v>
      </c>
      <c r="DP572" s="4" t="e">
        <f ca="1">IF(AND(INDEX(WSM,DO572,4)&gt;=$AB569,INDEX(WSM,DO572,5)&gt;=$S563,INDEX(WSM,DO572,6)&gt;=$R563),1,0)</f>
        <v>#N/A</v>
      </c>
      <c r="DQ572" s="4" t="e">
        <f t="shared" ref="DQ572" ca="1" si="10523">MATCH(1,OFFSET(DP563:DP574,DR571,0,COUNT(DP563:DP574)-DR571),0)</f>
        <v>#REF!</v>
      </c>
      <c r="DR572" s="4" t="e">
        <f t="shared" ca="1" si="10390"/>
        <v>#REF!</v>
      </c>
      <c r="DS572" s="692" t="str">
        <f ca="1">IFERROR(VLOOKUP(INDEX(DO563:DO574,DR572),WSM,2,FALSE),"----")</f>
        <v>----</v>
      </c>
      <c r="DT572" s="691" t="e">
        <f t="shared" ca="1" si="10391"/>
        <v>#N/A</v>
      </c>
      <c r="DU572" s="4" t="e">
        <f ca="1">IF(AND(INDEX(STM,DT572,4)&gt;=$AB569,INDEX(STM,DT572,5)&gt;=$S563,INDEX(STM,DT572,6)&gt;=$R563),1,0)</f>
        <v>#N/A</v>
      </c>
      <c r="DV572" s="4" t="e">
        <f t="shared" ref="DV572" ca="1" si="10524">MATCH(1,OFFSET(DU563:DU574,DW571,0,COUNT(DU563:DU574)-DW571),0)</f>
        <v>#REF!</v>
      </c>
      <c r="DW572" s="4" t="e">
        <f t="shared" ca="1" si="10393"/>
        <v>#REF!</v>
      </c>
      <c r="DX572" s="692" t="str">
        <f ca="1">IFERROR(VLOOKUP(INDEX(DT563:DT574,DW572),STM,2,FALSE),"----")</f>
        <v>----</v>
      </c>
      <c r="DY572" s="691" t="e">
        <f t="shared" ca="1" si="10394"/>
        <v>#N/A</v>
      </c>
      <c r="DZ572" s="4" t="e">
        <f ca="1">IF(AND(INDEX(ELM,DY572,4)&gt;=$AB569,INDEX(ELM,DY572,5)&gt;=$S563,INDEX(ELM,DY572,6)&gt;=$R563),1,0)</f>
        <v>#N/A</v>
      </c>
      <c r="EA572" s="4" t="e">
        <f t="shared" ref="EA572" ca="1" si="10525">MATCH(1,OFFSET(DZ563:DZ574,EB571,0,COUNT(DZ563:DZ574)-EB571),0)</f>
        <v>#REF!</v>
      </c>
      <c r="EB572" s="4" t="e">
        <f t="shared" ca="1" si="10396"/>
        <v>#REF!</v>
      </c>
      <c r="EC572" s="692" t="str">
        <f ca="1">IFERROR(VLOOKUP(INDEX(DY563:DY574,EB572),ELM,2,FALSE),"----")</f>
        <v>----</v>
      </c>
      <c r="ED572" s="691" t="e">
        <f t="shared" ca="1" si="10397"/>
        <v>#N/A</v>
      </c>
      <c r="EE572" s="4" t="e">
        <f ca="1">IF(LEFT($J563,7)="Clad Wo",IF(AND(INDEX(SPPWS,ED572,4)&gt;=$AB569,INDEX(SPPWS,ED572,5)&gt;=$S563,INDEX(SPPWS,ED572,6)&gt;=$R563),1,0),IF(AND(INDEX(SPM,ED572,4)&gt;=$AB569,INDEX(SPM,ED572,5)&gt;=$S563,INDEX(SPM,ED572,6)&gt;=$R563),1,0))</f>
        <v>#N/A</v>
      </c>
      <c r="EF572" s="4" t="e">
        <f t="shared" ref="EF572" ca="1" si="10526">MATCH(1,OFFSET(EE563:EE574,EG571,0,COUNT(EE563:EE574)-EG571),0)</f>
        <v>#REF!</v>
      </c>
      <c r="EG572" s="4" t="e">
        <f t="shared" ca="1" si="10399"/>
        <v>#REF!</v>
      </c>
      <c r="EH572" s="692" t="str">
        <f ca="1">IF(LEFT($J563,7)="Clad Wo",IFERROR(VLOOKUP(INDEX(ED563:ED574,EG572),SPPWS,2,FALSE),"----"),IFERROR(VLOOKUP(INDEX(ED563:ED574,EG572),SPM,2,FALSE),"----"))</f>
        <v>----</v>
      </c>
    </row>
    <row r="573" spans="1:138" ht="15" customHeight="1" x14ac:dyDescent="0.25">
      <c r="A573" s="1085"/>
      <c r="B573" s="925"/>
      <c r="C573" s="926"/>
      <c r="D573" s="927"/>
      <c r="E573" s="995"/>
      <c r="F573" s="996"/>
      <c r="G573" s="997"/>
      <c r="H573" s="1062"/>
      <c r="I573" s="990"/>
      <c r="J573" s="902"/>
      <c r="K573" s="903"/>
      <c r="L573" s="1002"/>
      <c r="M573" s="923"/>
      <c r="N573" s="1042"/>
      <c r="O573" s="1018"/>
      <c r="P573" s="987"/>
      <c r="Q573" s="1015"/>
      <c r="R573" s="1012"/>
      <c r="S573" s="1006"/>
      <c r="T573" s="1007"/>
      <c r="U573" s="878"/>
      <c r="V573" s="881"/>
      <c r="W573" s="884"/>
      <c r="X573" s="884"/>
      <c r="Y573" s="887"/>
      <c r="Z573" s="887"/>
      <c r="AA573" s="887"/>
      <c r="AB573" s="1081"/>
      <c r="AC573" s="1078"/>
      <c r="AD573" s="1070" t="str">
        <f t="shared" si="10247"/>
        <v>Engineered Lumber</v>
      </c>
      <c r="AE573" s="1071"/>
      <c r="AF573" s="1052"/>
      <c r="AG573" s="1053"/>
      <c r="AH573" s="1053"/>
      <c r="AI573" s="1068"/>
      <c r="AJ573" s="1069"/>
      <c r="AK573" s="154" t="str">
        <f t="shared" ca="1" si="10024"/>
        <v/>
      </c>
      <c r="AL573" s="1059"/>
      <c r="AM573" s="344" t="str">
        <f ca="1">IFERROR(Q563/12*ROUND(VLOOKUP(AF573,OFFSET(ELM,0,1),6,FALSE),2),"")</f>
        <v/>
      </c>
      <c r="AN573" t="str">
        <f t="shared" ca="1" si="10040"/>
        <v/>
      </c>
      <c r="AP573" s="122" t="str">
        <f t="shared" ref="AP573" si="10527">_xlfn.CONCAT(AR573,AS574)</f>
        <v/>
      </c>
      <c r="AQ573" s="683" t="str">
        <f t="shared" si="10249"/>
        <v/>
      </c>
      <c r="AR573" s="4" t="str">
        <f t="shared" si="10009"/>
        <v/>
      </c>
      <c r="AS573" s="4"/>
      <c r="AT573" s="697" t="str">
        <f>AL569</f>
        <v/>
      </c>
      <c r="AU573" s="694" t="e">
        <f t="shared" ca="1" si="10265"/>
        <v>#REF!</v>
      </c>
      <c r="AV573" s="698" t="str">
        <f ca="1">IFERROR(VLOOKUP(AU573,INDIRECT(AQ563),2,FALSE),"----")</f>
        <v>----</v>
      </c>
      <c r="AW573" s="694" t="e">
        <f t="shared" ca="1" si="10266"/>
        <v>#REF!</v>
      </c>
      <c r="AX573" s="698" t="str">
        <f ca="1">IFERROR(VLOOKUP(AW573,INDIRECT(AQ564),2,FALSE),"----")</f>
        <v>----</v>
      </c>
      <c r="AY573" s="694" t="e">
        <f t="shared" ca="1" si="10511"/>
        <v>#REF!</v>
      </c>
      <c r="AZ573" s="698" t="str">
        <f ca="1">IFERROR(VLOOKUP(AY573,INDIRECT(AQ565),2,FALSE),"----")</f>
        <v>----</v>
      </c>
      <c r="BA573" s="694" t="e">
        <f t="shared" ca="1" si="10512"/>
        <v>#REF!</v>
      </c>
      <c r="BB573" s="698" t="str">
        <f ca="1">IFERROR(VLOOKUP(BA573,INDIRECT(AQ566),2,FALSE),"----")</f>
        <v>----</v>
      </c>
      <c r="BC573" s="694" t="e">
        <f t="shared" ca="1" si="10267"/>
        <v>#REF!</v>
      </c>
      <c r="BD573" s="698" t="str">
        <f ca="1">IFERROR(VLOOKUP(BC573,INDIRECT(AQ567),2,FALSE),"----")</f>
        <v>----</v>
      </c>
      <c r="BE573" s="694" t="e">
        <f t="shared" ca="1" si="10268"/>
        <v>#REF!</v>
      </c>
      <c r="BF573" s="698" t="str">
        <f ca="1">IFERROR(VLOOKUP(BE573,INDIRECT(AQ568),2,FALSE),"----")</f>
        <v>----</v>
      </c>
      <c r="BG573" s="702" t="e">
        <f t="shared" ca="1" si="10269"/>
        <v>#REF!</v>
      </c>
      <c r="BH573" s="686" t="str">
        <f ca="1">IFERROR(VLOOKUP(BG573,INDIRECT(AQ569),2,FALSE),"----")</f>
        <v>----</v>
      </c>
      <c r="BI573" s="702" t="e">
        <f t="shared" ca="1" si="10270"/>
        <v>#REF!</v>
      </c>
      <c r="BJ573" s="686" t="str">
        <f ca="1">IFERROR(VLOOKUP(BI573,INDIRECT(AQ570),2,FALSE),"----")</f>
        <v>----</v>
      </c>
      <c r="BK573" s="702" t="e">
        <f t="shared" ca="1" si="10271"/>
        <v>#REF!</v>
      </c>
      <c r="BL573" s="686" t="str">
        <f ca="1">IFERROR(VLOOKUP(BK573,INDIRECT(AQ571),2,FALSE),"----")</f>
        <v>----</v>
      </c>
      <c r="BM573" s="702" t="e">
        <f t="shared" ca="1" si="10272"/>
        <v>#REF!</v>
      </c>
      <c r="BN573" s="686" t="str">
        <f ca="1">IFERROR(VLOOKUP(BM573,INDIRECT(AQ572),2,FALSE),"----")</f>
        <v>----</v>
      </c>
      <c r="BO573" s="702" t="e">
        <f t="shared" ca="1" si="10273"/>
        <v>#REF!</v>
      </c>
      <c r="BP573" s="686" t="str">
        <f ca="1">IFERROR(VLOOKUP(BO573,INDIRECT(AQ573),2,FALSE),"----")</f>
        <v>----</v>
      </c>
      <c r="BQ573" s="702" t="e">
        <f t="shared" ca="1" si="10274"/>
        <v>#REF!</v>
      </c>
      <c r="BR573" s="686" t="str">
        <f ca="1">IFERROR(VLOOKUP(BQ573,INDIRECT(AQ574),2,FALSE),"----")</f>
        <v>----</v>
      </c>
      <c r="BS573" s="695">
        <f>IF(AI573="",1,IF(COUNTIF(BP563:BP574,AI573)=0,2,1))</f>
        <v>1</v>
      </c>
      <c r="BT573" s="696">
        <f>IF(AF573="",1,IF(BP563=".",2,1))</f>
        <v>1</v>
      </c>
      <c r="BU573" s="706"/>
      <c r="BV573" s="155">
        <f ca="1">IF(COUNTIF(EC563:EC574,AF573)=0,IF(AF573&lt;&gt;"",0,1),1)</f>
        <v>1</v>
      </c>
      <c r="BW573" s="157">
        <f ca="1">IFERROR(MATCH(AF573,EC563:EC574,0),1)</f>
        <v>1</v>
      </c>
      <c r="BX573" s="769"/>
      <c r="BY573" s="769"/>
      <c r="BZ573" s="1110"/>
      <c r="CA573" s="691" t="e">
        <f t="shared" ca="1" si="10364"/>
        <v>#REF!</v>
      </c>
      <c r="CB573" s="4" t="e" cm="1">
        <f t="array" aca="1" ref="CB573" ca="1">IF(AND(INDEX(INDIRECT(BY563),CA573,4)&gt;=$AB563,INDEX(INDIRECT(BY563),CA573,5)&gt;=$S563,INDEX(INDIRECT(BY563),CA573,6)&gt;=$R563),1,0)</f>
        <v>#REF!</v>
      </c>
      <c r="CC573" s="4" t="e">
        <f t="shared" ref="CC573" ca="1" si="10528">MATCH(1,OFFSET(CB563:CB574,CD572,0,COUNT(CB563:CB574)-CD572),0)</f>
        <v>#REF!</v>
      </c>
      <c r="CD573" s="4" t="e">
        <f t="shared" ca="1" si="10366"/>
        <v>#REF!</v>
      </c>
      <c r="CE573" s="692" t="str" cm="1">
        <f t="array" aca="1" ref="CE573" ca="1">IFERROR(VLOOKUP(INDEX(CA563:CA574,CD573),INDIRECT(BY563),2,FALSE),"----")</f>
        <v>----</v>
      </c>
      <c r="CF573" s="691" t="e">
        <f t="shared" ca="1" si="10367"/>
        <v>#N/A</v>
      </c>
      <c r="CG573" s="4" t="e">
        <f ca="1">IF(AND(INDEX(SSM,CF573,4)&gt;=$AB563,INDEX(SSM,CF573,5)&gt;=$S563,INDEX(SSM,CF573,6)&gt;=$R563),1,0)</f>
        <v>#N/A</v>
      </c>
      <c r="CH573" s="4" t="e">
        <f t="shared" ref="CH573" ca="1" si="10529">MATCH(1,OFFSET(CG563:CG574,CI572,0,COUNT(CG563:CG574)-CI572),0)</f>
        <v>#REF!</v>
      </c>
      <c r="CI573" s="4" t="e">
        <f t="shared" ca="1" si="10369"/>
        <v>#REF!</v>
      </c>
      <c r="CJ573" s="692" t="str">
        <f ca="1">IFERROR(IF(AD564="Nested Steel Stud (wood infill)",VLOOKUP(INDEX(CF563:CF574,CI573),SSW,2,FALSE),VLOOKUP(INDEX(CF563:CF574,CI573),SSM,2,FALSE)),"----")</f>
        <v>----</v>
      </c>
      <c r="CK573" s="691" t="e">
        <f t="shared" ca="1" si="10370"/>
        <v>#N/A</v>
      </c>
      <c r="CL573" s="4" t="e">
        <f ca="1">IF(AND(INDEX(WSM,CK573,4)&gt;=$AB563,INDEX(WSM,CK573,5)&gt;=$S563,INDEX(WSM,CK573,6)&gt;=$R563),1,0)</f>
        <v>#N/A</v>
      </c>
      <c r="CM573" s="4" t="e">
        <f t="shared" ref="CM573" ca="1" si="10530">MATCH(1,OFFSET(CL563:CL574,CN572,0,COUNT(CL563:CL574)-CN572),0)</f>
        <v>#REF!</v>
      </c>
      <c r="CN573" s="4" t="e">
        <f t="shared" ca="1" si="10372"/>
        <v>#REF!</v>
      </c>
      <c r="CO573" s="692" t="str">
        <f ca="1">IFERROR(VLOOKUP(INDEX(CK563:CK574,CN573),WSM,2,FALSE),"----")</f>
        <v>----</v>
      </c>
      <c r="CP573" s="691" t="e">
        <f t="shared" ca="1" si="10373"/>
        <v>#N/A</v>
      </c>
      <c r="CQ573" s="4" t="e">
        <f ca="1">IF(AND(INDEX(STM,CP573,4)&gt;=$AB563,INDEX(STM,CP573,5)&gt;=$S563,INDEX(STM,CP573,6)&gt;=$R563),1,0)</f>
        <v>#N/A</v>
      </c>
      <c r="CR573" s="4" t="e">
        <f t="shared" ref="CR573" ca="1" si="10531">MATCH(1,OFFSET(CQ563:CQ574,CS572,0,COUNT(CQ563:CQ574)-CS572),0)</f>
        <v>#REF!</v>
      </c>
      <c r="CS573" s="4" t="e">
        <f t="shared" ca="1" si="10375"/>
        <v>#REF!</v>
      </c>
      <c r="CT573" s="692" t="str">
        <f ca="1">IFERROR(VLOOKUP(INDEX(CP563:CP574,CS573),STM,2,FALSE),"----")</f>
        <v>----</v>
      </c>
      <c r="CU573" s="691" t="e">
        <f t="shared" ca="1" si="10376"/>
        <v>#N/A</v>
      </c>
      <c r="CV573" s="4" t="e">
        <f ca="1">IF(AND(INDEX(ELM,CU573,4)&gt;=$AB563,INDEX(ELM,CU573,5)&gt;=$S563,INDEX(ELM,CU573,6)&gt;=$R563),1,0)</f>
        <v>#N/A</v>
      </c>
      <c r="CW573" s="4" t="e">
        <f t="shared" ref="CW573" ca="1" si="10532">MATCH(1,OFFSET(CV563:CV574,CX572,0,COUNT(CV563:CV574)-CX572),0)</f>
        <v>#REF!</v>
      </c>
      <c r="CX573" s="4" t="e">
        <f t="shared" ca="1" si="10378"/>
        <v>#REF!</v>
      </c>
      <c r="CY573" s="692" t="str">
        <f ca="1">IFERROR(VLOOKUP(INDEX(CU563:CU574,CX573),ELM,2,FALSE),"----")</f>
        <v>----</v>
      </c>
      <c r="CZ573" s="691" t="e">
        <f t="shared" ca="1" si="10379"/>
        <v>#N/A</v>
      </c>
      <c r="DA573" s="4" t="e">
        <f ca="1">IF(LEFT($J563,7)="Clad Wo",IF(AND(INDEX(SPPWS,CZ573,4)&gt;=$AB563,INDEX(SPPWS,CZ573,5)&gt;=$S563,INDEX(SPPWS,CZ573,6)&gt;=$R563),1,0),IF(AND(INDEX(SPM,CZ573,4)&gt;=$AB563,INDEX(SPM,CZ573,5)&gt;=$S563,INDEX(SPM,CZ573,6)&gt;=$R563),1,0))</f>
        <v>#N/A</v>
      </c>
      <c r="DB573" s="4" t="e">
        <f t="shared" ref="DB573" ca="1" si="10533">MATCH(1,OFFSET(DA563:DA574,DC572,0,COUNT(DA563:DA574)-DC572),0)</f>
        <v>#REF!</v>
      </c>
      <c r="DC573" s="4" t="e">
        <f t="shared" ca="1" si="10381"/>
        <v>#REF!</v>
      </c>
      <c r="DD573" s="693" t="str">
        <f ca="1">IF(LEFT($J563,7)="Clad Wo",IFERROR(VLOOKUP(INDEX(CZ563:CZ574,DC573),SPPWS,2,FALSE),"----"),IFERROR(VLOOKUP(INDEX(CZ563:CZ574,DC573),SPM,2,FALSE),"----"))</f>
        <v>----</v>
      </c>
      <c r="DE573" s="691" t="e">
        <f t="shared" ca="1" si="10382"/>
        <v>#REF!</v>
      </c>
      <c r="DF573" s="4" t="e" cm="1">
        <f t="array" aca="1" ref="DF573" ca="1">IF(AND(INDEX(INDIRECT(BY563),DE573,4)&gt;=$AB569,INDEX(INDIRECT(BY563),DE573,5)&gt;=$S563,INDEX(INDIRECT(BY563),DE573,6)&gt;=$R563),1,0)</f>
        <v>#REF!</v>
      </c>
      <c r="DG573" s="4" t="e">
        <f t="shared" ref="DG573" ca="1" si="10534">MATCH(1,OFFSET(DF563:DF574,DH572,0,COUNT(DF563:DF574)-DH572),0)</f>
        <v>#REF!</v>
      </c>
      <c r="DH573" s="4" t="e">
        <f t="shared" ca="1" si="10384"/>
        <v>#REF!</v>
      </c>
      <c r="DI573" s="692" t="str" cm="1">
        <f t="array" aca="1" ref="DI573" ca="1">IFERROR(VLOOKUP(INDEX(DE563:DE574,DH573),INDIRECT(BY563),2,FALSE),"----")</f>
        <v>----</v>
      </c>
      <c r="DJ573" s="691" t="e">
        <f t="shared" ca="1" si="10385"/>
        <v>#N/A</v>
      </c>
      <c r="DK573" s="4" t="e">
        <f ca="1">IF(AND(INDEX(SSM,DJ573,4)&gt;=$AB569,INDEX(SSM,DJ573,5)&gt;=$S563,INDEX(SSM,DJ573,6)&gt;=$R563),1,0)</f>
        <v>#N/A</v>
      </c>
      <c r="DL573" s="4" t="e">
        <f t="shared" ref="DL573" ca="1" si="10535">MATCH(1,OFFSET(DK563:DK574,DM572,0,COUNT(DK563:DK574)-DM572),0)</f>
        <v>#REF!</v>
      </c>
      <c r="DM573" s="4" t="e">
        <f t="shared" ca="1" si="10387"/>
        <v>#REF!</v>
      </c>
      <c r="DN573" s="692" t="str">
        <f ca="1">IFERROR(IF(AD570="Nested Steel Stud (wood infill)",VLOOKUP(INDEX(DJ563:DJ574,DM573),SSW,2,FALSE),VLOOKUP(INDEX(DJ563:DJ574,DM573),SSM,2,FALSE)),"----")</f>
        <v>----</v>
      </c>
      <c r="DO573" s="691" t="e">
        <f t="shared" ca="1" si="10388"/>
        <v>#N/A</v>
      </c>
      <c r="DP573" s="4" t="e">
        <f ca="1">IF(AND(INDEX(WSM,DO573,4)&gt;=$AB569,INDEX(WSM,DO573,5)&gt;=$S563,INDEX(WSM,DO573,6)&gt;=$R563),1,0)</f>
        <v>#N/A</v>
      </c>
      <c r="DQ573" s="4" t="e">
        <f t="shared" ref="DQ573" ca="1" si="10536">MATCH(1,OFFSET(DP563:DP574,DR572,0,COUNT(DP563:DP574)-DR572),0)</f>
        <v>#REF!</v>
      </c>
      <c r="DR573" s="4" t="e">
        <f t="shared" ca="1" si="10390"/>
        <v>#REF!</v>
      </c>
      <c r="DS573" s="692" t="str">
        <f ca="1">IFERROR(VLOOKUP(INDEX(DO563:DO574,DR573),WSM,2,FALSE),"----")</f>
        <v>----</v>
      </c>
      <c r="DT573" s="691" t="e">
        <f t="shared" ca="1" si="10391"/>
        <v>#N/A</v>
      </c>
      <c r="DU573" s="4" t="e">
        <f ca="1">IF(AND(INDEX(STM,DT573,4)&gt;=$AB569,INDEX(STM,DT573,5)&gt;=$S563,INDEX(STM,DT573,6)&gt;=$R563),1,0)</f>
        <v>#N/A</v>
      </c>
      <c r="DV573" s="4" t="e">
        <f t="shared" ref="DV573" ca="1" si="10537">MATCH(1,OFFSET(DU563:DU574,DW572,0,COUNT(DU563:DU574)-DW572),0)</f>
        <v>#REF!</v>
      </c>
      <c r="DW573" s="4" t="e">
        <f t="shared" ca="1" si="10393"/>
        <v>#REF!</v>
      </c>
      <c r="DX573" s="692" t="str">
        <f ca="1">IFERROR(VLOOKUP(INDEX(DT563:DT574,DW573),STM,2,FALSE),"----")</f>
        <v>----</v>
      </c>
      <c r="DY573" s="691" t="e">
        <f t="shared" ca="1" si="10394"/>
        <v>#N/A</v>
      </c>
      <c r="DZ573" s="4" t="e">
        <f ca="1">IF(AND(INDEX(ELM,DY573,4)&gt;=$AB569,INDEX(ELM,DY573,5)&gt;=$S563,INDEX(ELM,DY573,6)&gt;=$R563),1,0)</f>
        <v>#N/A</v>
      </c>
      <c r="EA573" s="4" t="e">
        <f t="shared" ref="EA573" ca="1" si="10538">MATCH(1,OFFSET(DZ563:DZ574,EB572,0,COUNT(DZ563:DZ574)-EB572),0)</f>
        <v>#REF!</v>
      </c>
      <c r="EB573" s="4" t="e">
        <f t="shared" ca="1" si="10396"/>
        <v>#REF!</v>
      </c>
      <c r="EC573" s="692" t="str">
        <f ca="1">IFERROR(VLOOKUP(INDEX(DY563:DY574,EB573),ELM,2,FALSE),"----")</f>
        <v>----</v>
      </c>
      <c r="ED573" s="691" t="e">
        <f t="shared" ca="1" si="10397"/>
        <v>#N/A</v>
      </c>
      <c r="EE573" s="4" t="e">
        <f ca="1">IF(LEFT($J563,7)="Clad Wo",IF(AND(INDEX(SPPWS,ED573,4)&gt;=$AB569,INDEX(SPPWS,ED573,5)&gt;=$S563,INDEX(SPPWS,ED573,6)&gt;=$R563),1,0),IF(AND(INDEX(SPM,ED573,4)&gt;=$AB569,INDEX(SPM,ED573,5)&gt;=$S563,INDEX(SPM,ED573,6)&gt;=$R563),1,0))</f>
        <v>#N/A</v>
      </c>
      <c r="EF573" s="4" t="e">
        <f t="shared" ref="EF573" ca="1" si="10539">MATCH(1,OFFSET(EE563:EE574,EG572,0,COUNT(EE563:EE574)-EG572),0)</f>
        <v>#REF!</v>
      </c>
      <c r="EG573" s="4" t="e">
        <f t="shared" ca="1" si="10399"/>
        <v>#REF!</v>
      </c>
      <c r="EH573" s="692" t="str">
        <f ca="1">IF(LEFT($J563,7)="Clad Wo",IFERROR(VLOOKUP(INDEX(ED563:ED574,EG573),SPPWS,2,FALSE),"----"),IFERROR(VLOOKUP(INDEX(ED563:ED574,EG573),SPM,2,FALSE),"----"))</f>
        <v>----</v>
      </c>
    </row>
    <row r="574" spans="1:138" ht="15" customHeight="1" thickBot="1" x14ac:dyDescent="0.3">
      <c r="A574" s="1085"/>
      <c r="B574" s="928"/>
      <c r="C574" s="929"/>
      <c r="D574" s="930"/>
      <c r="E574" s="998"/>
      <c r="F574" s="999"/>
      <c r="G574" s="1000"/>
      <c r="H574" s="1063"/>
      <c r="I574" s="991"/>
      <c r="J574" s="904"/>
      <c r="K574" s="905"/>
      <c r="L574" s="1003"/>
      <c r="M574" s="1065"/>
      <c r="N574" s="1043"/>
      <c r="O574" s="1019"/>
      <c r="P574" s="988"/>
      <c r="Q574" s="1016"/>
      <c r="R574" s="1013"/>
      <c r="S574" s="1008"/>
      <c r="T574" s="1009"/>
      <c r="U574" s="879"/>
      <c r="V574" s="882"/>
      <c r="W574" s="885"/>
      <c r="X574" s="885"/>
      <c r="Y574" s="888"/>
      <c r="Z574" s="888"/>
      <c r="AA574" s="888"/>
      <c r="AB574" s="1082"/>
      <c r="AC574" s="1087"/>
      <c r="AD574" s="1098" t="str">
        <f t="shared" ref="AD574" si="10540">IF(LEFT(J563,7)="Clad Wo","Pella Wood Spr / Steel Pte","Steel Plate")</f>
        <v>Steel Plate</v>
      </c>
      <c r="AE574" s="1099"/>
      <c r="AF574" s="1096"/>
      <c r="AG574" s="1097"/>
      <c r="AH574" s="1097"/>
      <c r="AI574" s="1094"/>
      <c r="AJ574" s="1095"/>
      <c r="AK574" s="163" t="str">
        <f t="shared" ca="1" si="10024"/>
        <v/>
      </c>
      <c r="AL574" s="1060"/>
      <c r="AM574" s="345" t="str">
        <f ca="1">IFERROR(Q563/12*ROUND(VLOOKUP(AF574,OFFSET(SPM,0,1),6,FALSE),2),"")</f>
        <v/>
      </c>
      <c r="AN574" t="str">
        <f t="shared" ca="1" si="10040"/>
        <v/>
      </c>
      <c r="AP574" s="699" t="str">
        <f t="shared" ref="AP574" si="10541">_xlfn.CONCAT(AR574,AS574)</f>
        <v/>
      </c>
      <c r="AQ574" s="700" t="str">
        <f t="shared" si="10249"/>
        <v/>
      </c>
      <c r="AR574" s="160" t="str">
        <f t="shared" si="10009"/>
        <v/>
      </c>
      <c r="AS574" s="160" t="str">
        <f>IFERROR(VLOOKUP(J571, WallType,2,FALSE),"")</f>
        <v/>
      </c>
      <c r="AT574" s="707" t="str">
        <f>AL569</f>
        <v/>
      </c>
      <c r="AU574" s="708" t="e">
        <f t="shared" ca="1" si="10265"/>
        <v>#REF!</v>
      </c>
      <c r="AV574" s="709" t="str">
        <f ca="1">IFERROR(VLOOKUP(AU574,INDIRECT(AQ563),2,FALSE),"----")</f>
        <v>----</v>
      </c>
      <c r="AW574" s="710" t="e">
        <f t="shared" ca="1" si="10266"/>
        <v>#REF!</v>
      </c>
      <c r="AX574" s="709" t="str">
        <f ca="1">IFERROR(VLOOKUP(AW574,INDIRECT(AQ564),2,FALSE),"----")</f>
        <v>----</v>
      </c>
      <c r="AY574" s="710" t="e">
        <f t="shared" ca="1" si="10511"/>
        <v>#REF!</v>
      </c>
      <c r="AZ574" s="709" t="str">
        <f ca="1">IFERROR(VLOOKUP(AY574,INDIRECT(AQ565),2,FALSE),"----")</f>
        <v>----</v>
      </c>
      <c r="BA574" s="710" t="e">
        <f t="shared" ca="1" si="10512"/>
        <v>#REF!</v>
      </c>
      <c r="BB574" s="709" t="str">
        <f ca="1">IFERROR(VLOOKUP(BA574,INDIRECT(AQ566),2,FALSE),"----")</f>
        <v>----</v>
      </c>
      <c r="BC574" s="710" t="e">
        <f t="shared" ca="1" si="10267"/>
        <v>#REF!</v>
      </c>
      <c r="BD574" s="709" t="str">
        <f ca="1">IFERROR(VLOOKUP(BC574,INDIRECT(AQ567),2,FALSE),"----")</f>
        <v>----</v>
      </c>
      <c r="BE574" s="710" t="e">
        <f t="shared" ca="1" si="10268"/>
        <v>#REF!</v>
      </c>
      <c r="BF574" s="709" t="str">
        <f ca="1">IFERROR(VLOOKUP(BE574,INDIRECT(AQ568),2,FALSE),"----")</f>
        <v>----</v>
      </c>
      <c r="BG574" s="710" t="e">
        <f t="shared" ca="1" si="10269"/>
        <v>#REF!</v>
      </c>
      <c r="BH574" s="711" t="str">
        <f ca="1">IFERROR(VLOOKUP(BG574,INDIRECT(AQ569),2,FALSE),"----")</f>
        <v>----</v>
      </c>
      <c r="BI574" s="710" t="e">
        <f t="shared" ca="1" si="10270"/>
        <v>#REF!</v>
      </c>
      <c r="BJ574" s="711" t="str">
        <f ca="1">IFERROR(VLOOKUP(BI574,INDIRECT(AQ570),2,FALSE),"----")</f>
        <v>----</v>
      </c>
      <c r="BK574" s="710" t="e">
        <f t="shared" ca="1" si="10271"/>
        <v>#REF!</v>
      </c>
      <c r="BL574" s="711" t="str">
        <f ca="1">IFERROR(VLOOKUP(BK574,INDIRECT(AQ571),2,FALSE),"----")</f>
        <v>----</v>
      </c>
      <c r="BM574" s="710" t="e">
        <f t="shared" ca="1" si="10272"/>
        <v>#REF!</v>
      </c>
      <c r="BN574" s="711" t="str">
        <f ca="1">IFERROR(VLOOKUP(BM574,INDIRECT(AQ572),2,FALSE),"----")</f>
        <v>----</v>
      </c>
      <c r="BO574" s="710" t="e">
        <f t="shared" ca="1" si="10273"/>
        <v>#REF!</v>
      </c>
      <c r="BP574" s="711" t="str">
        <f ca="1">IFERROR(VLOOKUP(BO574,INDIRECT(AQ573),2,FALSE),"----")</f>
        <v>----</v>
      </c>
      <c r="BQ574" s="710" t="e">
        <f t="shared" ca="1" si="10274"/>
        <v>#REF!</v>
      </c>
      <c r="BR574" s="712" t="str">
        <f ca="1">IFERROR(VLOOKUP(BQ574,INDIRECT(AQ574),2,FALSE),"----")</f>
        <v>----</v>
      </c>
      <c r="BS574" s="695">
        <f>IF(AI574="",1,IF(COUNTIF(BR563:BR574,AI574)=0,2,1))</f>
        <v>1</v>
      </c>
      <c r="BT574" s="713">
        <f>IF(AF574="",1,IF(BR563=".",2,1))</f>
        <v>1</v>
      </c>
      <c r="BV574" s="155">
        <f ca="1">IF(COUNTIF(EH563:EH574,AF574)=0,IF(AF574&lt;&gt;"",0,1),1)</f>
        <v>1</v>
      </c>
      <c r="BW574" s="157">
        <f ca="1">IFERROR(MATCH(AF574,EH563:EH574,0),1)</f>
        <v>1</v>
      </c>
      <c r="BX574" s="718"/>
      <c r="BY574" s="777"/>
      <c r="BZ574" s="1110"/>
      <c r="CA574" s="714" t="e">
        <f t="shared" ca="1" si="10364"/>
        <v>#REF!</v>
      </c>
      <c r="CB574" s="715" t="e" cm="1">
        <f t="array" aca="1" ref="CB574" ca="1">IF(AND(INDEX(INDIRECT(BY563),CA574,4)&gt;=$AB563,INDEX(INDIRECT(BY563),CA574,5)&gt;=$S563,INDEX(INDIRECT(BY563),CA574,6)&gt;=$R563),1,0)</f>
        <v>#REF!</v>
      </c>
      <c r="CC574" s="715" t="e">
        <f t="shared" ref="CC574" ca="1" si="10542">MATCH(1,OFFSET(CB563:CB574,CD573,0,COUNT(CB563:CB574)-CD573),0)</f>
        <v>#REF!</v>
      </c>
      <c r="CD574" s="715" t="e">
        <f t="shared" ca="1" si="10366"/>
        <v>#REF!</v>
      </c>
      <c r="CE574" s="716" t="str" cm="1">
        <f t="array" aca="1" ref="CE574" ca="1">IFERROR(VLOOKUP(INDEX(CA563:CA574,CD574),INDIRECT(BY563),2,FALSE),"----")</f>
        <v>----</v>
      </c>
      <c r="CF574" s="714" t="e">
        <f t="shared" ca="1" si="10367"/>
        <v>#N/A</v>
      </c>
      <c r="CG574" s="715" t="e">
        <f ca="1">IF(AND(INDEX(SSM,CF574,4)&gt;=$AB563,INDEX(SSM,CF574,5)&gt;=$S563,INDEX(SSM,CF574,6)&gt;=$R563),1,0)</f>
        <v>#N/A</v>
      </c>
      <c r="CH574" s="715" t="e">
        <f t="shared" ref="CH574" ca="1" si="10543">MATCH(1,OFFSET(CG563:CG574,CI573,0,COUNT(CG563:CG574)-CI573),0)</f>
        <v>#REF!</v>
      </c>
      <c r="CI574" s="715" t="e">
        <f t="shared" ca="1" si="10369"/>
        <v>#REF!</v>
      </c>
      <c r="CJ574" s="716" t="str">
        <f ca="1">IFERROR(IF(AD564="Nested Steel Stud (wood infill)",VLOOKUP(INDEX(CF563:CF574,CI574),SSW,2,FALSE),VLOOKUP(INDEX(CF563:CF574,CI574),SSM,2,FALSE)),"----")</f>
        <v>----</v>
      </c>
      <c r="CK574" s="714" t="e">
        <f t="shared" ca="1" si="10370"/>
        <v>#N/A</v>
      </c>
      <c r="CL574" s="715" t="e">
        <f ca="1">IF(AND(INDEX(WSM,CK574,4)&gt;=$AB563,INDEX(WSM,CK574,5)&gt;=$S563,INDEX(WSM,CK574,6)&gt;=$R563),1,0)</f>
        <v>#N/A</v>
      </c>
      <c r="CM574" s="715" t="e">
        <f t="shared" ref="CM574" ca="1" si="10544">MATCH(1,OFFSET(CL563:CL574,CN573,0,COUNT(CL563:CL574)-CN573),0)</f>
        <v>#REF!</v>
      </c>
      <c r="CN574" s="715" t="e">
        <f t="shared" ca="1" si="10372"/>
        <v>#REF!</v>
      </c>
      <c r="CO574" s="716" t="str">
        <f ca="1">IFERROR(VLOOKUP(INDEX(CK563:CK574,CN574),WSM,2,FALSE),"----")</f>
        <v>----</v>
      </c>
      <c r="CP574" s="714" t="e">
        <f t="shared" ca="1" si="10373"/>
        <v>#N/A</v>
      </c>
      <c r="CQ574" s="715" t="e">
        <f ca="1">IF(AND(INDEX(STM,CP574,4)&gt;=$AB563,INDEX(STM,CP574,5)&gt;=$S563,INDEX(STM,CP574,6)&gt;=$R563),1,0)</f>
        <v>#N/A</v>
      </c>
      <c r="CR574" s="715" t="e">
        <f t="shared" ref="CR574" ca="1" si="10545">MATCH(1,OFFSET(CQ563:CQ574,CS573,0,COUNT(CQ563:CQ574)-CS573),0)</f>
        <v>#REF!</v>
      </c>
      <c r="CS574" s="715" t="e">
        <f t="shared" ca="1" si="10375"/>
        <v>#REF!</v>
      </c>
      <c r="CT574" s="716" t="str">
        <f ca="1">IFERROR(VLOOKUP(INDEX(CP563:CP574,CS574),STM,2,FALSE),"----")</f>
        <v>----</v>
      </c>
      <c r="CU574" s="714" t="e">
        <f t="shared" ca="1" si="10376"/>
        <v>#N/A</v>
      </c>
      <c r="CV574" s="715" t="e">
        <f ca="1">IF(AND(INDEX(ELM,CU574,4)&gt;=$AB563,INDEX(ELM,CU574,5)&gt;=$S563,INDEX(ELM,CU574,6)&gt;=$R563),1,0)</f>
        <v>#N/A</v>
      </c>
      <c r="CW574" s="715" t="e">
        <f t="shared" ref="CW574" ca="1" si="10546">MATCH(1,OFFSET(CV563:CV574,CX573,0,COUNT(CV563:CV574)-CX573),0)</f>
        <v>#REF!</v>
      </c>
      <c r="CX574" s="715" t="e">
        <f t="shared" ca="1" si="10378"/>
        <v>#REF!</v>
      </c>
      <c r="CY574" s="716" t="str">
        <f ca="1">IFERROR(VLOOKUP(INDEX(CU563:CU574,CX574),ELM,2,FALSE),"----")</f>
        <v>----</v>
      </c>
      <c r="CZ574" s="714" t="e">
        <f t="shared" ca="1" si="10379"/>
        <v>#N/A</v>
      </c>
      <c r="DA574" s="715" t="e">
        <f ca="1">IF(LEFT($J563,7)="Clad Wo",IF(AND(INDEX(SPPWS,CZ574,4)&gt;=$AB563,INDEX(SPPWS,CZ574,5)&gt;=$S563,INDEX(SPPWS,CZ574,6)&gt;=$R563),1,0),IF(AND(INDEX(SPM,CZ574,4)&gt;=$AB563,INDEX(SPM,CZ574,5)&gt;=$S563,INDEX(SPM,CZ574,6)&gt;=$R563),1,0))</f>
        <v>#N/A</v>
      </c>
      <c r="DB574" s="715" t="e">
        <f t="shared" ref="DB574" ca="1" si="10547">MATCH(1,OFFSET(DA563:DA574,DC573,0,COUNT(DA563:DA574)-DC573),0)</f>
        <v>#REF!</v>
      </c>
      <c r="DC574" s="715" t="e">
        <f t="shared" ca="1" si="10381"/>
        <v>#REF!</v>
      </c>
      <c r="DD574" s="717" t="str">
        <f ca="1">IF(LEFT($J563,7)="Clad Wo",IFERROR(VLOOKUP(INDEX(CZ563:CZ574,DC574),SPPWS,2,FALSE),"----"),IFERROR(VLOOKUP(INDEX(CZ563:CZ574,DC574),SPM,2,FALSE),"----"))</f>
        <v>----</v>
      </c>
      <c r="DE574" s="714" t="e">
        <f t="shared" ca="1" si="10382"/>
        <v>#REF!</v>
      </c>
      <c r="DF574" s="715" t="e" cm="1">
        <f t="array" aca="1" ref="DF574" ca="1">IF(AND(INDEX(INDIRECT(BY563),DE574,4)&gt;=$AB569,INDEX(INDIRECT(BY563),DE574,5)&gt;=$S563,INDEX(INDIRECT(BY563),DE574,6)&gt;=$R563),1,0)</f>
        <v>#REF!</v>
      </c>
      <c r="DG574" s="715" t="e">
        <f t="shared" ref="DG574" ca="1" si="10548">MATCH(1,OFFSET(DF563:DF574,DH573,0,COUNT(DF563:DF574)-DH573),0)</f>
        <v>#REF!</v>
      </c>
      <c r="DH574" s="715" t="e">
        <f t="shared" ca="1" si="10384"/>
        <v>#REF!</v>
      </c>
      <c r="DI574" s="716" t="str" cm="1">
        <f t="array" aca="1" ref="DI574" ca="1">IFERROR(VLOOKUP(INDEX(DE563:DE574,DH574),INDIRECT(BY563),2,FALSE),"----")</f>
        <v>----</v>
      </c>
      <c r="DJ574" s="714" t="e">
        <f t="shared" ca="1" si="10385"/>
        <v>#N/A</v>
      </c>
      <c r="DK574" s="715" t="e">
        <f ca="1">IF(AND(INDEX(SSM,DJ574,4)&gt;=$AB569,INDEX(SSM,DJ574,5)&gt;=$S563,INDEX(SSM,DJ574,6)&gt;=$R563),1,0)</f>
        <v>#N/A</v>
      </c>
      <c r="DL574" s="715" t="e">
        <f t="shared" ref="DL574" ca="1" si="10549">MATCH(1,OFFSET(DK563:DK574,DM573,0,COUNT(DK563:DK574)-DM573),0)</f>
        <v>#REF!</v>
      </c>
      <c r="DM574" s="715" t="e">
        <f t="shared" ca="1" si="10387"/>
        <v>#REF!</v>
      </c>
      <c r="DN574" s="716" t="str">
        <f ca="1">IFERROR(IF(AD570="Nested Steel Stud (wood infill)",VLOOKUP(INDEX(DJ563:DJ574,DM574),SSW,2,FALSE),VLOOKUP(INDEX(DJ563:DJ574,DM574),SSM,2,FALSE)),"----")</f>
        <v>----</v>
      </c>
      <c r="DO574" s="714" t="e">
        <f t="shared" ca="1" si="10388"/>
        <v>#N/A</v>
      </c>
      <c r="DP574" s="715" t="e">
        <f ca="1">IF(AND(INDEX(WSM,DO574,4)&gt;=$AB569,INDEX(WSM,DO574,5)&gt;=$S563,INDEX(WSM,DO574,6)&gt;=$R563),1,0)</f>
        <v>#N/A</v>
      </c>
      <c r="DQ574" s="715" t="e">
        <f t="shared" ref="DQ574" ca="1" si="10550">MATCH(1,OFFSET(DP563:DP574,DR573,0,COUNT(DP563:DP574)-DR573),0)</f>
        <v>#REF!</v>
      </c>
      <c r="DR574" s="715" t="e">
        <f t="shared" ca="1" si="10390"/>
        <v>#REF!</v>
      </c>
      <c r="DS574" s="716" t="str">
        <f ca="1">IFERROR(VLOOKUP(INDEX(DO563:DO574,DR574),WSM,2,FALSE),"----")</f>
        <v>----</v>
      </c>
      <c r="DT574" s="714" t="e">
        <f t="shared" ca="1" si="10391"/>
        <v>#N/A</v>
      </c>
      <c r="DU574" s="715" t="e">
        <f ca="1">IF(AND(INDEX(STM,DT574,4)&gt;=$AB569,INDEX(STM,DT574,5)&gt;=$S563,INDEX(STM,DT574,6)&gt;=$R563),1,0)</f>
        <v>#N/A</v>
      </c>
      <c r="DV574" s="715" t="e">
        <f t="shared" ref="DV574" ca="1" si="10551">MATCH(1,OFFSET(DU563:DU574,DW573,0,COUNT(DU563:DU574)-DW573),0)</f>
        <v>#REF!</v>
      </c>
      <c r="DW574" s="715" t="e">
        <f t="shared" ca="1" si="10393"/>
        <v>#REF!</v>
      </c>
      <c r="DX574" s="716" t="str">
        <f ca="1">IFERROR(VLOOKUP(INDEX(DT563:DT574,DW574),STM,2,FALSE),"----")</f>
        <v>----</v>
      </c>
      <c r="DY574" s="714" t="e">
        <f t="shared" ca="1" si="10394"/>
        <v>#N/A</v>
      </c>
      <c r="DZ574" s="715" t="e">
        <f ca="1">IF(AND(INDEX(ELM,DY574,4)&gt;=$AB569,INDEX(ELM,DY574,5)&gt;=$S563,INDEX(ELM,DY574,6)&gt;=$R563),1,0)</f>
        <v>#N/A</v>
      </c>
      <c r="EA574" s="715" t="e">
        <f t="shared" ref="EA574" ca="1" si="10552">MATCH(1,OFFSET(DZ563:DZ574,EB573,0,COUNT(DZ563:DZ574)-EB573),0)</f>
        <v>#REF!</v>
      </c>
      <c r="EB574" s="715" t="e">
        <f t="shared" ca="1" si="10396"/>
        <v>#REF!</v>
      </c>
      <c r="EC574" s="716" t="str">
        <f ca="1">IFERROR(VLOOKUP(INDEX(DY563:DY574,EB574),ELM,2,FALSE),"----")</f>
        <v>----</v>
      </c>
      <c r="ED574" s="714" t="e">
        <f t="shared" ca="1" si="10397"/>
        <v>#N/A</v>
      </c>
      <c r="EE574" s="715" t="e">
        <f ca="1">IF(LEFT($J563,7)="Clad Wo",IF(AND(INDEX(SPPWS,ED574,4)&gt;=$AB569,INDEX(SPPWS,ED574,5)&gt;=$S563,INDEX(SPPWS,ED574,6)&gt;=$R563),1,0),IF(AND(INDEX(SPM,ED574,4)&gt;=$AB569,INDEX(SPM,ED574,5)&gt;=$S563,INDEX(SPM,ED574,6)&gt;=$R563),1,0))</f>
        <v>#N/A</v>
      </c>
      <c r="EF574" s="715" t="e">
        <f t="shared" ref="EF574" ca="1" si="10553">MATCH(1,OFFSET(EE563:EE574,EG573,0,COUNT(EE563:EE574)-EG573),0)</f>
        <v>#REF!</v>
      </c>
      <c r="EG574" s="715" t="e">
        <f t="shared" ca="1" si="10399"/>
        <v>#REF!</v>
      </c>
      <c r="EH574" s="716" t="str">
        <f ca="1">IF(LEFT($J563,7)="Clad Wo",IFERROR(VLOOKUP(INDEX(ED563:ED574,EG574),SPPWS,2,FALSE),"----"),IFERROR(VLOOKUP(INDEX(ED563:ED574,EG574),SPM,2,FALSE),"----"))</f>
        <v>----</v>
      </c>
    </row>
    <row r="575" spans="1:138" ht="15" customHeight="1" thickTop="1" x14ac:dyDescent="0.25">
      <c r="A575" s="1085"/>
      <c r="B575" s="931" t="s">
        <v>92</v>
      </c>
      <c r="C575" s="932"/>
      <c r="D575" s="933"/>
      <c r="E575" s="992"/>
      <c r="F575" s="993"/>
      <c r="G575" s="994"/>
      <c r="H575" s="1061"/>
      <c r="I575" s="989"/>
      <c r="J575" s="906"/>
      <c r="K575" s="907"/>
      <c r="L575" s="1001">
        <f>$W$3</f>
        <v>4</v>
      </c>
      <c r="M575" s="923" t="str">
        <f t="shared" ref="M575" si="10554">IFERROR(IF($AE$13="",IF($AG$19="Wind Loading",MIN($V$31,IF(E$11="ASCE 7-05",$U$26,$V$7)*$V$9*(IF($E$12&lt;60,0.0771*LN(MAX(MIN(500,O575),10)) -1.2737,IF($E$11="ASCE 7-22",0.0524*LN(MAX(MIN(500,O575),50))-1.0278,0.0614*LN(MAX(MIN(500,O575),20)) -1.0829))-$V$8)),$V$7*IF(E$12&lt;60,$V$13*($V$15*0.0771*LN(MAX(MIN(500,O575),10))-1.2737-$V$16),$V$13*$V$15*((0.0524*LN(MAX(MIN(500,O575),20))-1.0278)-$V$16))),-ABS($AE$13)),"")</f>
        <v/>
      </c>
      <c r="N575" s="1042" t="str">
        <f t="shared" ref="N575" si="10555">IFERROR(IF($AE$15="",IF($AG$19="Wind Loading",MAX($U$31,IF(E$11="ASCE 7-05",$U$26,$V$7)*$V$9*((IF($E$12&lt;60,-0.077*LN(MAX(MIN(500,O575),10))+1.1737,IF($E$11="ASCE 7-22",-0.077*LN(MAX(MIN(500,O575),20))+1.0798,-0.093*LN(MAX(MIN(500,O575),20))+1.1776)))+$V$8)),$V$7*IF(E$12&lt;60,$V$13*($V$15*(-0.077*LN(MAX(MIN(500,O575),10))+1.1737)-$V$17),$V$13*$V$15*((-0.077*LN(MAX(MIN(500,O575),20))+1.0798)-$V$17))),ABS($AE$15)),"")</f>
        <v/>
      </c>
      <c r="O575" s="1017" t="str">
        <f>IF(BX582=0,"",IF(AG$14="Trapezoidal",BY582,BX582))</f>
        <v/>
      </c>
      <c r="P575" s="986"/>
      <c r="Q575" s="1014"/>
      <c r="R575" s="1011">
        <f>P575*Q575/8</f>
        <v>0</v>
      </c>
      <c r="S575" s="1004">
        <f t="shared" ref="S575" si="10556">IF(5*(P575*Q575^3/(384*0.125))=0,0,5*(P575*Q575^3/(384*0.125)))</f>
        <v>0</v>
      </c>
      <c r="T575" s="1005"/>
      <c r="U575" s="877" t="e">
        <f ca="1">VLOOKUP(J579,INDIRECT(VLOOKUP(J575,FrameStrength,2,FALSE)),3,FALSE)</f>
        <v>#N/A</v>
      </c>
      <c r="V575" s="880">
        <f t="shared" ref="V575" si="10557">(H575+I575)/2</f>
        <v>0</v>
      </c>
      <c r="W575" s="883" t="e">
        <f t="shared" ref="W575" si="10558">MAX(-M575,N575)*O575</f>
        <v>#VALUE!</v>
      </c>
      <c r="X575" s="883">
        <f t="shared" ref="X575" si="10559">IF(E575&gt;162,(E575/240+0.25),IF(AND(E575&lt;162,E575/175&lt;0.75),E575/175,0.75))</f>
        <v>0</v>
      </c>
      <c r="Y575" s="886">
        <f>IFERROR(IF(AG$14="Trapezoidal",BY583,BX583)+IF($E$17="4",(400*E575^3)/(48*X575),0),0)</f>
        <v>0</v>
      </c>
      <c r="Z575" s="886" t="e">
        <f t="shared" ref="Z575" si="10560">+($V575*MAX(-$M575,$N575)*$E575^2)/(144*8)+IF($E$17=4,(400*$E575)/4,0)</f>
        <v>#VALUE!</v>
      </c>
      <c r="AA575" s="886" t="e">
        <f ca="1">VLOOKUP(J579,INDIRECT(VLOOKUP(J575,FrameStrength,2,FALSE)),2,FALSE)</f>
        <v>#N/A</v>
      </c>
      <c r="AB575" s="1083" t="str">
        <f t="shared" ref="AB575" ca="1" si="10561">IFERROR(Z575-AA575,"")</f>
        <v/>
      </c>
      <c r="AC575" s="1077" t="str">
        <f t="shared" ref="AC575" ca="1" si="10562">IFERROR(Y575-U575,"")</f>
        <v/>
      </c>
      <c r="AD575" s="1100" t="str">
        <f>IFERROR(IF(LEFT(J579,2)="As",VLOOKUP(J579,EIMM,4,FALSE),VLOOKUP(J575,EIMM,4,FALSE)),IF(AND(ISNUMBER(SEARCH("Impervia",J575)),ISNUMBER(SEARCH("door",J579))),'New Lookup Cells'!AF$10,IF(ISNUMBER(SEARCH("Impervia",J575)),'New Lookup Cells'!AF$7,IF(AND(ISNUMBER(SEARCH("250",J575)),ISNUMBER(SEARCH("door",J579))),'New Lookup Cells'!AF$14,IF(ISNUMBER(SEARCH("250",J575)),'New Lookup Cells'!AF$13,"")))))</f>
        <v/>
      </c>
      <c r="AE575" s="1101"/>
      <c r="AF575" s="1050"/>
      <c r="AG575" s="1051"/>
      <c r="AH575" s="1051"/>
      <c r="AI575" s="1088"/>
      <c r="AJ575" s="1089"/>
      <c r="AK575" s="154" t="str">
        <f t="shared" ca="1" si="10024"/>
        <v/>
      </c>
      <c r="AL575" s="1038" t="str">
        <f t="shared" ref="AL575" si="10563">IFERROR(ROUND(SQRT(P575^2+(W575/2+IF($E$17=4,200,0))^2),0),"")</f>
        <v/>
      </c>
      <c r="AM575" s="342" t="s">
        <v>669</v>
      </c>
      <c r="AN575" t="str">
        <f t="shared" ca="1" si="10040"/>
        <v/>
      </c>
      <c r="AP575" s="122" t="str">
        <f t="shared" ref="AP575" si="10564">_xlfn.CONCAT(AR575,AS580)</f>
        <v/>
      </c>
      <c r="AQ575" s="683" t="str">
        <f t="shared" si="10249"/>
        <v/>
      </c>
      <c r="AR575" s="96" t="str">
        <f t="shared" si="10009"/>
        <v/>
      </c>
      <c r="AS575" s="96" t="str">
        <f>IF(COUNTIF(imp_1,AF575)=1,"imp_1",IF(COUNTIF(imp_2,AF575)=1,"imp_2",IF(COUNTIF(imp_3,AF575)=1,"imp_3",IF(COUNTIF(impdoor,AF575)=1,"impdoor",""))))</f>
        <v/>
      </c>
      <c r="AT575" s="684" t="str">
        <f>AL575</f>
        <v/>
      </c>
      <c r="AU575" s="685" t="e">
        <f ca="1">MATCH(AL575,INDIRECT(AP575),-1)</f>
        <v>#REF!</v>
      </c>
      <c r="AV575" s="686" t="str">
        <f ca="1">IFERROR(VLOOKUP(AU575,INDIRECT(AQ575),2,FALSE),"----")</f>
        <v>----</v>
      </c>
      <c r="AW575" s="685" t="e">
        <f ca="1">MATCH(AL575,INDIRECT(AP576),-1)</f>
        <v>#REF!</v>
      </c>
      <c r="AX575" s="686" t="str">
        <f ca="1">IFERROR(VLOOKUP(AW575,INDIRECT(AQ576),2,FALSE),"----")</f>
        <v>----</v>
      </c>
      <c r="AY575" s="685" t="e">
        <f ca="1">MATCH(AL575,INDIRECT(AP577),-1)</f>
        <v>#REF!</v>
      </c>
      <c r="AZ575" s="686" t="str">
        <f ca="1">IFERROR(VLOOKUP(AY575,INDIRECT(AQ577),2,FALSE),"----")</f>
        <v>----</v>
      </c>
      <c r="BA575" s="685" t="e">
        <f ca="1">MATCH(AL575,INDIRECT(AP578),-1)</f>
        <v>#REF!</v>
      </c>
      <c r="BB575" s="686" t="str">
        <f ca="1">IFERROR(VLOOKUP(BA575,INDIRECT(AQ578),2,FALSE),"----")</f>
        <v>----</v>
      </c>
      <c r="BC575" s="685" t="e">
        <f ca="1">MATCH(AL575,INDIRECT(AP579),-1)</f>
        <v>#REF!</v>
      </c>
      <c r="BD575" s="686" t="str">
        <f ca="1">IFERROR(VLOOKUP(BC575,INDIRECT(AQ579),2,FALSE),"----")</f>
        <v>----</v>
      </c>
      <c r="BE575" s="685" t="e">
        <f ca="1">MATCH(AL575,INDIRECT(AP580),-1)</f>
        <v>#REF!</v>
      </c>
      <c r="BF575" s="686" t="str">
        <f ca="1">IFERROR(VLOOKUP(BE575,INDIRECT(AQ580),2,FALSE),"----")</f>
        <v>----</v>
      </c>
      <c r="BG575" s="685" t="e">
        <f ca="1">MATCH(AL581,INDIRECT(AP581),-1)</f>
        <v>#REF!</v>
      </c>
      <c r="BH575" s="686" t="str">
        <f ca="1">IFERROR(VLOOKUP(BG575,INDIRECT(AQ581),2,FALSE),"----")</f>
        <v>----</v>
      </c>
      <c r="BI575" s="685" t="e">
        <f ca="1">MATCH(AL581,INDIRECT(AP582),-1)</f>
        <v>#REF!</v>
      </c>
      <c r="BJ575" s="686" t="str">
        <f ca="1">IFERROR(VLOOKUP(BI575,INDIRECT(AQ582),2,FALSE),"----")</f>
        <v>----</v>
      </c>
      <c r="BK575" s="685" t="e">
        <f ca="1">MATCH(AL581,INDIRECT(AP583),-1)</f>
        <v>#REF!</v>
      </c>
      <c r="BL575" s="686" t="str">
        <f ca="1">IFERROR(VLOOKUP(BK575,INDIRECT(AQ583),2,FALSE),"----")</f>
        <v>----</v>
      </c>
      <c r="BM575" s="685" t="e">
        <f ca="1">MATCH(AL581,INDIRECT(AP584),-1)</f>
        <v>#REF!</v>
      </c>
      <c r="BN575" s="686" t="str">
        <f ca="1">IFERROR(VLOOKUP(BM575,INDIRECT(AQ584),2,FALSE),"----")</f>
        <v>----</v>
      </c>
      <c r="BO575" s="685" t="e">
        <f ca="1">MATCH(AL581,INDIRECT(AP585),-1)</f>
        <v>#REF!</v>
      </c>
      <c r="BP575" s="686" t="str">
        <f ca="1">IFERROR(VLOOKUP(BO575,INDIRECT(AQ585),2,FALSE),"----")</f>
        <v>----</v>
      </c>
      <c r="BQ575" s="685" t="e">
        <f ca="1">MATCH(AL581,INDIRECT(AP586),-1)</f>
        <v>#REF!</v>
      </c>
      <c r="BR575" s="686" t="str">
        <f ca="1">IFERROR(VLOOKUP(BQ575,INDIRECT(AQ586),2,FALSE),"----")</f>
        <v>----</v>
      </c>
      <c r="BS575" s="687">
        <f>IF(AI575="",1,IF(COUNTIF(AV575:AV586,AI575)=0,2,1))</f>
        <v>1</v>
      </c>
      <c r="BT575" s="688">
        <f>IF(AP575="1",1,IF(AF575="",1,IF(AV575=".",2,1)))</f>
        <v>1</v>
      </c>
      <c r="BU575" s="706"/>
      <c r="BV575" s="155">
        <f ca="1">IF(COUNTIF(CE575:CE586,AF575)=0,IF(AF575&lt;&gt;"",0,1),1)</f>
        <v>1</v>
      </c>
      <c r="BW575" s="157">
        <f ca="1">IFERROR(MATCH(AF575,CE575:CE586,0),1)</f>
        <v>1</v>
      </c>
      <c r="BX575" s="769" t="str">
        <f>IFERROR(IF(LEFT(J579,2)="As",VLOOKUP(J579,EIMM,2,FALSE),IF(AND(ISNUMBER(SEARCH("Impervia",J575)),ISNUMBER(SEARCH("door",J579))),VLOOKUP("Impervia Door",EIMM,2,FALSE),IF(AND(ISNUMBER(SEARCH("250",J575)),ISNUMBER(SEARCH("door",J579))),VLOOKUP("250 Series Door",EIMM,2,FALSE),VLOOKUP(J575,EIMM,2,FALSE)))),"")</f>
        <v/>
      </c>
      <c r="BY575" s="769" t="str">
        <f ca="1">IFERROR(VLOOKUP(BX575,OFFSET(EIMM,0,1),2,FALSE),"")</f>
        <v/>
      </c>
      <c r="BZ575" s="1110" t="e">
        <f ca="1">IF((COUNTIF(INDIRECT(SUBSTITUTE(J575," ","_")),J579))=0,IF(J579="",1,0),1)</f>
        <v>#REF!</v>
      </c>
      <c r="CA575" s="691" t="e">
        <f ca="1">MATCH(AC575,INDIRECT(BX575),-1)</f>
        <v>#REF!</v>
      </c>
      <c r="CB575" s="4" t="e" cm="1">
        <f t="array" aca="1" ref="CB575" ca="1">IF(AND(INDEX(INDIRECT(BY575),CA575,4)&gt;=$AB575,INDEX(INDIRECT(BY575),CA575,5)&gt;=$S575,INDEX(INDIRECT(BY575),CA575,6)&gt;=$R575),1,0)</f>
        <v>#REF!</v>
      </c>
      <c r="CC575" s="4" t="e">
        <f t="shared" ref="CC575" ca="1" si="10565">MATCH(1,OFFSET(CB575:CB586,$W$2,0,COUNT(CB575:CB586)-$W$2),0)</f>
        <v>#REF!</v>
      </c>
      <c r="CD575" s="4" t="e">
        <f t="shared" ref="CD575" ca="1" si="10566">$W$2+CC575</f>
        <v>#REF!</v>
      </c>
      <c r="CE575" s="692" t="str" cm="1">
        <f t="array" aca="1" ref="CE575" ca="1">IFERROR(VLOOKUP(INDEX(CA575:CA586,CD575),INDIRECT(BY575),2,FALSE),"----")</f>
        <v>----</v>
      </c>
      <c r="CF575" s="691" t="e">
        <f ca="1">MATCH($AC575,SSEI,-1)</f>
        <v>#N/A</v>
      </c>
      <c r="CG575" s="4" t="e">
        <f ca="1">IF(AND(INDEX(SSM,CF575,4)&gt;=$AB575,INDEX(SSM,CF575,5)&gt;=$S575,INDEX(SSM,CF575,6)&gt;=$R575),1,0)</f>
        <v>#N/A</v>
      </c>
      <c r="CH575" s="4" t="e">
        <f t="shared" ref="CH575" ca="1" si="10567">MATCH(1,OFFSET(CG575:CG586,$W$2,0,COUNT(CG575:CG586)-$W$2),0)</f>
        <v>#REF!</v>
      </c>
      <c r="CI575" s="4" t="e">
        <f t="shared" ref="CI575" ca="1" si="10568">$W$2+CH575</f>
        <v>#REF!</v>
      </c>
      <c r="CJ575" s="692" t="str">
        <f ca="1">IFERROR(IF(AD576="Nested Steel Stud (wood infill)",VLOOKUP(INDEX(CF575:CF586,CI575),SSW,2,FALSE),VLOOKUP(INDEX(CF575:CF586,CI575),SSM,2,FALSE)),"----")</f>
        <v>----</v>
      </c>
      <c r="CK575" s="691" t="e">
        <f ca="1">MATCH($AC575,WSEI,-1)</f>
        <v>#N/A</v>
      </c>
      <c r="CL575" s="4" t="e">
        <f ca="1">IF(AND(INDEX(WSM,CK575,4)&gt;=$AB575,INDEX(WSM,CK575,5)&gt;=$S575,INDEX(WSM,CK575,6)&gt;=$R575),1,0)</f>
        <v>#N/A</v>
      </c>
      <c r="CM575" s="4" t="e">
        <f t="shared" ref="CM575" ca="1" si="10569">MATCH(1,OFFSET(CL575:CL586,$W$2,0,COUNT(CL575:CL586)-$W$2),0)</f>
        <v>#REF!</v>
      </c>
      <c r="CN575" s="4" t="e">
        <f t="shared" ref="CN575" ca="1" si="10570">$W$2+CM575</f>
        <v>#REF!</v>
      </c>
      <c r="CO575" s="692" t="str">
        <f ca="1">IFERROR(VLOOKUP(INDEX(CK575:CK586,CN575),WSM,2,FALSE),"----")</f>
        <v>----</v>
      </c>
      <c r="CP575" s="691" t="e">
        <f ca="1">MATCH($AC575,STEI,-1)</f>
        <v>#N/A</v>
      </c>
      <c r="CQ575" s="4" t="e">
        <f ca="1">IF(AND(INDEX(STM,CP575,4)&gt;=$AB575,INDEX(STM,CP575,5)&gt;=$S575,INDEX(STM,CP575,6)&gt;=$R575),1,0)</f>
        <v>#N/A</v>
      </c>
      <c r="CR575" s="4" t="e">
        <f t="shared" ref="CR575" ca="1" si="10571">MATCH(1,OFFSET(CQ575:CQ586,$W$2,0,COUNT(CQ575:CQ586)-$W$2),0)</f>
        <v>#REF!</v>
      </c>
      <c r="CS575" s="4" t="e">
        <f t="shared" ref="CS575" ca="1" si="10572">$W$2+CR575</f>
        <v>#REF!</v>
      </c>
      <c r="CT575" s="692" t="str">
        <f ca="1">IFERROR(VLOOKUP(INDEX(CP575:CP586,CS575),STM,2,FALSE),"----")</f>
        <v>----</v>
      </c>
      <c r="CU575" s="691" t="e">
        <f ca="1">MATCH($AC575,ELEI,-1)</f>
        <v>#N/A</v>
      </c>
      <c r="CV575" s="4" t="e">
        <f ca="1">IF(AND(INDEX(ELM,CU575,4)&gt;=$AB575,INDEX(ELM,CU575,5)&gt;=$S575,INDEX(ELM,CU575,6)&gt;=$R575),1,0)</f>
        <v>#N/A</v>
      </c>
      <c r="CW575" s="4" t="e">
        <f t="shared" ref="CW575" ca="1" si="10573">MATCH(1,OFFSET(CV575:CV586,$W$2,0,COUNT(CV575:CV586)-$W$2),0)</f>
        <v>#REF!</v>
      </c>
      <c r="CX575" s="4" t="e">
        <f t="shared" ref="CX575" ca="1" si="10574">$W$2+CW575</f>
        <v>#REF!</v>
      </c>
      <c r="CY575" s="692" t="str">
        <f ca="1">IFERROR(VLOOKUP(INDEX(CU575:CU586,CX575),ELM,2,FALSE),"----")</f>
        <v>----</v>
      </c>
      <c r="CZ575" s="691" t="e">
        <f ca="1">IF(LEFT($J575,7)="Clad Wo",MATCH($AC575,SPEIW,-1),MATCH($AC575,SPEI,-1))</f>
        <v>#N/A</v>
      </c>
      <c r="DA575" s="4" t="e">
        <f ca="1">IF(LEFT($J575,7)="Clad Wo",IF(AND(INDEX(SPPWS,CZ575,4)&gt;=$AB575,INDEX(SPPWS,CZ575,5)&gt;=$S575,INDEX(SPPWS,CZ575,6)&gt;=$R575),1,0),IF(AND(INDEX(SPM,CZ575,4)&gt;=$AB575,INDEX(SPM,CZ575,5)&gt;=$S575,INDEX(SPM,CZ575,6)&gt;=$R575),1,0))</f>
        <v>#N/A</v>
      </c>
      <c r="DB575" s="4" t="e">
        <f t="shared" ref="DB575" ca="1" si="10575">MATCH(1,OFFSET(DA575:DA586,$W$2,0,COUNT(DA575:DA586)-$W$2),0)</f>
        <v>#REF!</v>
      </c>
      <c r="DC575" s="4" t="e">
        <f t="shared" ref="DC575" ca="1" si="10576">$W$2+DB575</f>
        <v>#REF!</v>
      </c>
      <c r="DD575" s="693" t="str">
        <f ca="1">IF(LEFT($J575,7)="Clad Wo",IFERROR(VLOOKUP(INDEX(CZ575:CZ586,DC575),SPPWS,2,FALSE),"----"),IFERROR(VLOOKUP(INDEX(CZ575:CZ586,DC575),SPM,2,FALSE),"----"))</f>
        <v>----</v>
      </c>
      <c r="DE575" s="691" t="e">
        <f ca="1">MATCH(AC581,INDIRECT(BX575),-1)</f>
        <v>#REF!</v>
      </c>
      <c r="DF575" s="4" t="e" cm="1">
        <f t="array" aca="1" ref="DF575" ca="1">IF(AND(INDEX(INDIRECT(BY575),DE575,4)&gt;=$AB581,INDEX(INDIRECT(BY575),DE575,5)&gt;=$S575,INDEX(INDIRECT(BY575),DE575,6)&gt;=$R575),1,0)</f>
        <v>#REF!</v>
      </c>
      <c r="DG575" s="4" t="e">
        <f t="shared" ref="DG575" ca="1" si="10577">MATCH(1,OFFSET(DF575:DF586,$W$2,0,COUNT(DF575:DF586)-$W$2),0)</f>
        <v>#REF!</v>
      </c>
      <c r="DH575" s="4" t="e">
        <f t="shared" ref="DH575" ca="1" si="10578">$W$2+DG575</f>
        <v>#REF!</v>
      </c>
      <c r="DI575" s="692" t="str" cm="1">
        <f t="array" aca="1" ref="DI575" ca="1">IFERROR(VLOOKUP(INDEX(DE575:DE586,DH575),INDIRECT(BY575),2,FALSE),"----")</f>
        <v>----</v>
      </c>
      <c r="DJ575" s="691" t="e">
        <f ca="1">MATCH($AC581,SSEI,-1)</f>
        <v>#N/A</v>
      </c>
      <c r="DK575" s="4" t="e">
        <f ca="1">IF(AND(INDEX(SSM,DJ575,4)&gt;=$AB581,INDEX(SSM,DJ575,5)&gt;=$S575,INDEX(SSM,DJ575,6)&gt;=$R575),1,0)</f>
        <v>#N/A</v>
      </c>
      <c r="DL575" s="4" t="e">
        <f t="shared" ref="DL575" ca="1" si="10579">MATCH(1,OFFSET(DK575:DK586,$W$2,0,COUNT(DK575:DK586)-$W$2),0)</f>
        <v>#REF!</v>
      </c>
      <c r="DM575" s="4" t="e">
        <f t="shared" ref="DM575" ca="1" si="10580">$W$2+DL575</f>
        <v>#REF!</v>
      </c>
      <c r="DN575" s="692" t="str">
        <f ca="1">IFERROR(IF(AD582="Nested Steel Stud (wood infill)",VLOOKUP(INDEX(DJ575:DJ586,DM575),SSW,2,FALSE),VLOOKUP(INDEX(DJ575:DJ586,DM575),SSM,2,FALSE)),"----")</f>
        <v>----</v>
      </c>
      <c r="DO575" s="691" t="e">
        <f ca="1">MATCH($AC581,WSEI,-1)</f>
        <v>#N/A</v>
      </c>
      <c r="DP575" s="4" t="e">
        <f ca="1">IF(AND(INDEX(WSM,DO575,4)&gt;=$AB581,INDEX(WSM,DO575,5)&gt;=$S575,INDEX(WSM,DO575,6)&gt;=$R575),1,0)</f>
        <v>#N/A</v>
      </c>
      <c r="DQ575" s="4" t="e">
        <f t="shared" ref="DQ575" ca="1" si="10581">MATCH(1,OFFSET(DP575:DP586,$W$2,0,COUNT(DP575:DP586)-$W$2),0)</f>
        <v>#REF!</v>
      </c>
      <c r="DR575" s="4" t="e">
        <f t="shared" ref="DR575" ca="1" si="10582">$W$2+DQ575</f>
        <v>#REF!</v>
      </c>
      <c r="DS575" s="692" t="str">
        <f ca="1">IFERROR(VLOOKUP(INDEX(DO575:DO586,DR575),WSM,2,FALSE),"----")</f>
        <v>----</v>
      </c>
      <c r="DT575" s="691" t="e">
        <f ca="1">MATCH($AC581,STEI,-1)</f>
        <v>#N/A</v>
      </c>
      <c r="DU575" s="4" t="e">
        <f ca="1">IF(AND(INDEX(STM,DT575,4)&gt;=$AB581,INDEX(STM,DT575,5)&gt;=$S575,INDEX(STM,DT575,6)&gt;=$R575),1,0)</f>
        <v>#N/A</v>
      </c>
      <c r="DV575" s="4" t="e">
        <f t="shared" ref="DV575" ca="1" si="10583">MATCH(1,OFFSET(DU575:DU586,$W$2,0,COUNT(DU575:DU586)-$W$2),0)</f>
        <v>#REF!</v>
      </c>
      <c r="DW575" s="4" t="e">
        <f t="shared" ref="DW575" ca="1" si="10584">$W$2+DV575</f>
        <v>#REF!</v>
      </c>
      <c r="DX575" s="692" t="str">
        <f ca="1">IFERROR(VLOOKUP(INDEX(DT575:DT586,DW575),STM,2,FALSE),"----")</f>
        <v>----</v>
      </c>
      <c r="DY575" s="691" t="e">
        <f ca="1">MATCH($AC581,ELEI,-1)</f>
        <v>#N/A</v>
      </c>
      <c r="DZ575" s="4" t="e">
        <f ca="1">IF(AND(INDEX(ELM,DY575,4)&gt;=$AB581,INDEX(ELM,DY575,5)&gt;=$S575,INDEX(ELM,DY575,6)&gt;=$R575),1,0)</f>
        <v>#N/A</v>
      </c>
      <c r="EA575" s="4" t="e">
        <f t="shared" ref="EA575" ca="1" si="10585">MATCH(1,OFFSET(DZ575:DZ586,$W$2,0,COUNT(DZ575:DZ586)-$W$2),0)</f>
        <v>#REF!</v>
      </c>
      <c r="EB575" s="4" t="e">
        <f t="shared" ref="EB575" ca="1" si="10586">EA575+$W$2</f>
        <v>#REF!</v>
      </c>
      <c r="EC575" s="692" t="str">
        <f ca="1">IFERROR(VLOOKUP(INDEX(DY575:DY586,EB575),ELM,2,FALSE),"----")</f>
        <v>----</v>
      </c>
      <c r="ED575" s="691" t="e">
        <f ca="1">IF(LEFT($J575,7)="Clad Wo",MATCH($AC581,SPEIW,-1),MATCH($AC581,SPEI,-1))</f>
        <v>#N/A</v>
      </c>
      <c r="EE575" s="4" t="e">
        <f ca="1">IF(LEFT($J575,7)="Clad Wo",IF(AND(INDEX(SPPWS,ED575,4)&gt;=$AB581,INDEX(SPPWS,ED575,5)&gt;=$S575,INDEX(SPPWS,ED575,6)&gt;=$R575),1,0),IF(AND(INDEX(SPM,ED575,4)&gt;=$AB581,INDEX(SPM,ED575,5)&gt;=$S575,INDEX(SPM,ED575,6)&gt;=$R575),1,0))</f>
        <v>#N/A</v>
      </c>
      <c r="EF575" s="4" t="e">
        <f t="shared" ref="EF575" ca="1" si="10587">MATCH(1,OFFSET(EE575:EE586,$W$2,0,COUNT(EE575:EE586)-$W$2),0)</f>
        <v>#REF!</v>
      </c>
      <c r="EG575" s="4" t="e">
        <f t="shared" ref="EG575" ca="1" si="10588">$W$2+EF575</f>
        <v>#REF!</v>
      </c>
      <c r="EH575" s="692" t="str">
        <f ca="1">IF(LEFT($J575,7)="Clad Wo",IFERROR(VLOOKUP(INDEX(ED575:ED586,EG575),SPPWS,2,FALSE),"----"),IFERROR(VLOOKUP(INDEX(ED575:ED586,EG575),SPM,2,FALSE),"----"))</f>
        <v>----</v>
      </c>
    </row>
    <row r="576" spans="1:138" ht="15" customHeight="1" x14ac:dyDescent="0.25">
      <c r="A576" s="1085"/>
      <c r="B576" s="925"/>
      <c r="C576" s="926"/>
      <c r="D576" s="927"/>
      <c r="E576" s="995"/>
      <c r="F576" s="996"/>
      <c r="G576" s="997"/>
      <c r="H576" s="1062"/>
      <c r="I576" s="990"/>
      <c r="J576" s="908"/>
      <c r="K576" s="909"/>
      <c r="L576" s="1002"/>
      <c r="M576" s="923"/>
      <c r="N576" s="1042"/>
      <c r="O576" s="1018"/>
      <c r="P576" s="987"/>
      <c r="Q576" s="1015"/>
      <c r="R576" s="1012"/>
      <c r="S576" s="1006"/>
      <c r="T576" s="1007"/>
      <c r="U576" s="878"/>
      <c r="V576" s="881"/>
      <c r="W576" s="884"/>
      <c r="X576" s="884"/>
      <c r="Y576" s="887"/>
      <c r="Z576" s="887"/>
      <c r="AA576" s="887"/>
      <c r="AB576" s="1081"/>
      <c r="AC576" s="1078"/>
      <c r="AD576" s="1102" t="s">
        <v>38</v>
      </c>
      <c r="AE576" s="1103"/>
      <c r="AF576" s="1052"/>
      <c r="AG576" s="1053"/>
      <c r="AH576" s="1053"/>
      <c r="AI576" s="1066"/>
      <c r="AJ576" s="1067"/>
      <c r="AK576" s="156" t="str">
        <f t="shared" ca="1" si="10024"/>
        <v/>
      </c>
      <c r="AL576" s="1039"/>
      <c r="AM576" s="343" t="str">
        <f ca="1">IFERROR(Q575/12*ROUND(VLOOKUP(AF576,OFFSET(SSM,0,1),6,FALSE),2),"")</f>
        <v/>
      </c>
      <c r="AN576" t="str">
        <f t="shared" ca="1" si="10040"/>
        <v/>
      </c>
      <c r="AP576" s="122" t="str">
        <f t="shared" ref="AP576" si="10589">_xlfn.CONCAT(AR576,AS580)</f>
        <v/>
      </c>
      <c r="AQ576" s="683" t="str">
        <f t="shared" si="10249"/>
        <v/>
      </c>
      <c r="AR576" s="96" t="str">
        <f t="shared" si="10009"/>
        <v/>
      </c>
      <c r="AS576" s="96" t="str">
        <f>IF(COUNTIF(Vista_1,AF575)=1,"Vista_1",IF(COUNTIF(Vista_2,AF575)=1,"Vista_2",""))</f>
        <v/>
      </c>
      <c r="AT576" s="684" t="str">
        <f>AL575</f>
        <v/>
      </c>
      <c r="AU576" s="694" t="e">
        <f t="shared" ref="AU576" ca="1" si="10590">AU575-1</f>
        <v>#REF!</v>
      </c>
      <c r="AV576" s="686" t="str">
        <f ca="1">IFERROR(VLOOKUP(AU576,INDIRECT(AQ575),2,FALSE),"----")</f>
        <v>----</v>
      </c>
      <c r="AW576" s="694" t="e">
        <f t="shared" ref="AW576:AW577" ca="1" si="10591">AW575-1</f>
        <v>#REF!</v>
      </c>
      <c r="AX576" s="686" t="str">
        <f ca="1">IFERROR(VLOOKUP(AW576,INDIRECT(AQ576),2,FALSE),"----")</f>
        <v>----</v>
      </c>
      <c r="AY576" s="694" t="e">
        <f t="shared" ref="AY576:AY577" ca="1" si="10592">AY575-1</f>
        <v>#REF!</v>
      </c>
      <c r="AZ576" s="686" t="str">
        <f ca="1">IFERROR(VLOOKUP(AY576,INDIRECT(AQ577),2,FALSE),"----")</f>
        <v>----</v>
      </c>
      <c r="BA576" s="694" t="e">
        <f t="shared" ref="BA576:BA577" ca="1" si="10593">BA575-1</f>
        <v>#REF!</v>
      </c>
      <c r="BB576" s="686" t="str">
        <f ca="1">IFERROR(VLOOKUP(BA576,INDIRECT(AQ578),2,FALSE),"----")</f>
        <v>----</v>
      </c>
      <c r="BC576" s="694" t="e">
        <f t="shared" ref="BC576:BC577" ca="1" si="10594">BC575-1</f>
        <v>#REF!</v>
      </c>
      <c r="BD576" s="686" t="str">
        <f ca="1">IFERROR(VLOOKUP(BC576,INDIRECT(AQ579),2,FALSE),"----")</f>
        <v>----</v>
      </c>
      <c r="BE576" s="694" t="e">
        <f t="shared" ref="BE576" ca="1" si="10595">BE575-1</f>
        <v>#REF!</v>
      </c>
      <c r="BF576" s="686" t="str">
        <f ca="1">IFERROR(VLOOKUP(BE576,INDIRECT(AQ580),2,FALSE),"----")</f>
        <v>----</v>
      </c>
      <c r="BG576" s="694" t="e">
        <f t="shared" ref="BG576" ca="1" si="10596">BG575-1</f>
        <v>#REF!</v>
      </c>
      <c r="BH576" s="686" t="str">
        <f ca="1">IFERROR(VLOOKUP(BG576,INDIRECT(AQ581),2,FALSE),"----")</f>
        <v>----</v>
      </c>
      <c r="BI576" s="694" t="e">
        <f t="shared" ref="BI576:BI577" ca="1" si="10597">BI575-1</f>
        <v>#REF!</v>
      </c>
      <c r="BJ576" s="686" t="str">
        <f ca="1">IFERROR(VLOOKUP(BI576,INDIRECT(AQ582),2,FALSE),"----")</f>
        <v>----</v>
      </c>
      <c r="BK576" s="694" t="e">
        <f t="shared" ref="BK576:BK577" ca="1" si="10598">BK575-1</f>
        <v>#REF!</v>
      </c>
      <c r="BL576" s="686" t="str">
        <f ca="1">IFERROR(VLOOKUP(BK576,INDIRECT(AQ583),2,FALSE),"----")</f>
        <v>----</v>
      </c>
      <c r="BM576" s="694" t="e">
        <f t="shared" ref="BM576:BM577" ca="1" si="10599">BM575-1</f>
        <v>#REF!</v>
      </c>
      <c r="BN576" s="686" t="str">
        <f ca="1">IFERROR(VLOOKUP(BM576,INDIRECT(AQ584),2,FALSE),"----")</f>
        <v>----</v>
      </c>
      <c r="BO576" s="694" t="e">
        <f t="shared" ref="BO576:BO577" ca="1" si="10600">BO575-1</f>
        <v>#REF!</v>
      </c>
      <c r="BP576" s="686" t="str">
        <f ca="1">IFERROR(VLOOKUP(BO576,INDIRECT(AQ585),2,FALSE),"----")</f>
        <v>----</v>
      </c>
      <c r="BQ576" s="694" t="e">
        <f t="shared" ref="BQ576" ca="1" si="10601">BQ575-1</f>
        <v>#REF!</v>
      </c>
      <c r="BR576" s="686" t="str">
        <f ca="1">IFERROR(VLOOKUP(BQ576,INDIRECT(AQ586),2,FALSE),"----")</f>
        <v>----</v>
      </c>
      <c r="BS576" s="695">
        <f>IF(AI576="",1,IF(COUNTIF(AX575:AX586,AI576)=0,2,1))</f>
        <v>1</v>
      </c>
      <c r="BT576" s="696">
        <f>IF(AF576="",1,IF(AX575=".",2,1))</f>
        <v>1</v>
      </c>
      <c r="BU576" s="706"/>
      <c r="BV576" s="155">
        <f ca="1">IF(COUNTIF(CJ575:CJ586,AF576)=0,IF(AF576&lt;&gt;"",0,1),1)</f>
        <v>1</v>
      </c>
      <c r="BW576" s="157">
        <f ca="1">IFERROR(MATCH(AF576,CJ575:CJ586,0),1)</f>
        <v>1</v>
      </c>
      <c r="BX576" s="769"/>
      <c r="BY576" s="769"/>
      <c r="BZ576" s="1110"/>
      <c r="CA576" s="691" t="e">
        <f t="shared" ref="CA576:CA586" ca="1" si="10602">CA575-1</f>
        <v>#REF!</v>
      </c>
      <c r="CB576" s="4" t="e" cm="1">
        <f t="array" aca="1" ref="CB576" ca="1">IF(AND(INDEX(INDIRECT(BY575),CA576,4)&gt;=$AB575,INDEX(INDIRECT(BY575),CA576,5)&gt;=$S575,INDEX(INDIRECT(BY575),CA576,6)&gt;=$R575),1,0)</f>
        <v>#REF!</v>
      </c>
      <c r="CC576" s="4" t="e">
        <f t="shared" ref="CC576" ca="1" si="10603">MATCH(1,OFFSET(CB575:CB586,CD575,0,COUNT(CB575:CB586)-CD575),0)</f>
        <v>#REF!</v>
      </c>
      <c r="CD576" s="4" t="e">
        <f t="shared" ref="CD576:CD586" ca="1" si="10604">CD575+CC576</f>
        <v>#REF!</v>
      </c>
      <c r="CE576" s="692" t="str" cm="1">
        <f t="array" aca="1" ref="CE576" ca="1">IFERROR(VLOOKUP(INDEX(CA575:CA586,CD576),INDIRECT(BY575),2,FALSE),"----")</f>
        <v>----</v>
      </c>
      <c r="CF576" s="691" t="e">
        <f t="shared" ref="CF576:CF586" ca="1" si="10605">CF575-1</f>
        <v>#N/A</v>
      </c>
      <c r="CG576" s="4" t="e">
        <f ca="1">IF(AND(INDEX(SSM,CF576,4)&gt;=$AB575,INDEX(SSM,CF576,5)&gt;=$S575,INDEX(SSM,CF576,6)&gt;=$R575),1,0)</f>
        <v>#N/A</v>
      </c>
      <c r="CH576" s="4" t="e">
        <f t="shared" ref="CH576" ca="1" si="10606">MATCH(1,OFFSET(CG575:CG586,CI575,0,COUNT(CG575:CG586)-CI575),0)</f>
        <v>#REF!</v>
      </c>
      <c r="CI576" s="4" t="e">
        <f t="shared" ref="CI576:CI586" ca="1" si="10607">CI575+CH576</f>
        <v>#REF!</v>
      </c>
      <c r="CJ576" s="692" t="str">
        <f ca="1">IFERROR(IF(AD576="Nested Steel Stud (wood infill)",VLOOKUP(INDEX(CF575:CF586,CI576),SSW,2,FALSE),VLOOKUP(INDEX(CF575:CF586,CI576),SSM,2,FALSE)),"----")</f>
        <v>----</v>
      </c>
      <c r="CK576" s="691" t="e">
        <f t="shared" ref="CK576:CK586" ca="1" si="10608">CK575-1</f>
        <v>#N/A</v>
      </c>
      <c r="CL576" s="4" t="e">
        <f ca="1">IF(AND(INDEX(WSM,CK576,4)&gt;=$AB575,INDEX(WSM,CK576,5)&gt;=$S575,INDEX(WSM,CK576,6)&gt;=$R575),1,0)</f>
        <v>#N/A</v>
      </c>
      <c r="CM576" s="4" t="e">
        <f t="shared" ref="CM576" ca="1" si="10609">MATCH(1,OFFSET(CL575:CL586,CN575,0,COUNT(CL575:CL586)-CN575),0)</f>
        <v>#REF!</v>
      </c>
      <c r="CN576" s="4" t="e">
        <f t="shared" ref="CN576:CN586" ca="1" si="10610">CM576+CN575</f>
        <v>#REF!</v>
      </c>
      <c r="CO576" s="692" t="str">
        <f ca="1">IFERROR(VLOOKUP(INDEX(CK575:CK586,CN576),WSM,2,FALSE),"----")</f>
        <v>----</v>
      </c>
      <c r="CP576" s="691" t="e">
        <f t="shared" ref="CP576:CP586" ca="1" si="10611">CP575-1</f>
        <v>#N/A</v>
      </c>
      <c r="CQ576" s="4" t="e">
        <f ca="1">IF(AND(INDEX(STM,CP576,4)&gt;=$AB575,INDEX(STM,CP576,5)&gt;=$S575,INDEX(STM,CP576,6)&gt;=$R575),1,0)</f>
        <v>#N/A</v>
      </c>
      <c r="CR576" s="4" t="e">
        <f t="shared" ref="CR576" ca="1" si="10612">MATCH(1,OFFSET(CQ575:CQ586,CS575,0,COUNT(CQ575:CQ586)-CS575),0)</f>
        <v>#REF!</v>
      </c>
      <c r="CS576" s="4" t="e">
        <f t="shared" ref="CS576:CS586" ca="1" si="10613">CR576+CS575</f>
        <v>#REF!</v>
      </c>
      <c r="CT576" s="692" t="str">
        <f ca="1">IFERROR(VLOOKUP(INDEX(CP575:CP586,CS576),STM,2,FALSE),"----")</f>
        <v>----</v>
      </c>
      <c r="CU576" s="691" t="e">
        <f t="shared" ref="CU576:CU586" ca="1" si="10614">CU575-1</f>
        <v>#N/A</v>
      </c>
      <c r="CV576" s="4" t="e">
        <f ca="1">IF(AND(INDEX(ELM,CU576,4)&gt;=$AB575,INDEX(ELM,CU576,5)&gt;=$S575,INDEX(ELM,CU576,6)&gt;=$R575),1,0)</f>
        <v>#N/A</v>
      </c>
      <c r="CW576" s="4" t="e">
        <f t="shared" ref="CW576" ca="1" si="10615">MATCH(1,OFFSET(CV575:CV586,CX575,0,COUNT(CV575:CV586)-CX575),0)</f>
        <v>#REF!</v>
      </c>
      <c r="CX576" s="4" t="e">
        <f t="shared" ref="CX576:CX586" ca="1" si="10616">CW576+CX575</f>
        <v>#REF!</v>
      </c>
      <c r="CY576" s="692" t="str">
        <f ca="1">IFERROR(VLOOKUP(INDEX(CU575:CU586,CX576),ELM,2,FALSE),"----")</f>
        <v>----</v>
      </c>
      <c r="CZ576" s="691" t="e">
        <f t="shared" ref="CZ576:CZ586" ca="1" si="10617">CZ575-1</f>
        <v>#N/A</v>
      </c>
      <c r="DA576" s="4" t="e">
        <f ca="1">IF(LEFT($J575,7)="Clad Wo",IF(AND(INDEX(SPPWS,CZ576,4)&gt;=$AB575,INDEX(SPPWS,CZ576,5)&gt;=$S575,INDEX(SPPWS,CZ576,6)&gt;=$R575),1,0),IF(AND(INDEX(SPM,CZ576,4)&gt;=$AB575,INDEX(SPM,CZ576,5)&gt;=$S575,INDEX(SPM,CZ576,6)&gt;=$R575),1,0))</f>
        <v>#N/A</v>
      </c>
      <c r="DB576" s="4" t="e">
        <f t="shared" ref="DB576" ca="1" si="10618">MATCH(1,OFFSET(DA575:DA586,DC575,0,COUNT(DA575:DA586)-DC575),0)</f>
        <v>#REF!</v>
      </c>
      <c r="DC576" s="4" t="e">
        <f t="shared" ref="DC576:DC586" ca="1" si="10619">DC575+DB576</f>
        <v>#REF!</v>
      </c>
      <c r="DD576" s="693" t="str">
        <f ca="1">IF(LEFT($J575,7)="Clad Wo",IFERROR(VLOOKUP(INDEX(CZ575:CZ586,DC576),SPPWS,2,FALSE),"----"),IFERROR(VLOOKUP(INDEX(CZ575:CZ586,DC576),SPM,2,FALSE),"----"))</f>
        <v>----</v>
      </c>
      <c r="DE576" s="691" t="e">
        <f t="shared" ref="DE576:DE586" ca="1" si="10620">DE575-1</f>
        <v>#REF!</v>
      </c>
      <c r="DF576" s="4" t="e" cm="1">
        <f t="array" aca="1" ref="DF576" ca="1">IF(AND(INDEX(INDIRECT(BY575),DE576,4)&gt;=$AB581,INDEX(INDIRECT(BY575),DE576,5)&gt;=$S575,INDEX(INDIRECT(BY575),DE576,6)&gt;=$R575),1,0)</f>
        <v>#REF!</v>
      </c>
      <c r="DG576" s="4" t="e">
        <f t="shared" ref="DG576" ca="1" si="10621">MATCH(1,OFFSET(DF575:DF586,DH575,0,COUNT(DF575:DF586)-DH575),0)</f>
        <v>#REF!</v>
      </c>
      <c r="DH576" s="4" t="e">
        <f t="shared" ref="DH576:DH586" ca="1" si="10622">DH575+DG576</f>
        <v>#REF!</v>
      </c>
      <c r="DI576" s="692" t="str" cm="1">
        <f t="array" aca="1" ref="DI576" ca="1">IFERROR(VLOOKUP(INDEX(DE575:DE586,DH576),INDIRECT(BY575),2,FALSE),"----")</f>
        <v>----</v>
      </c>
      <c r="DJ576" s="691" t="e">
        <f t="shared" ref="DJ576:DJ586" ca="1" si="10623">DJ575-1</f>
        <v>#N/A</v>
      </c>
      <c r="DK576" s="4" t="e">
        <f ca="1">IF(AND(INDEX(SSM,DJ576,4)&gt;=$AB581,INDEX(SSM,DJ576,5)&gt;=$S575,INDEX(SSM,DJ576,6)&gt;=$R575),1,0)</f>
        <v>#N/A</v>
      </c>
      <c r="DL576" s="4" t="e">
        <f t="shared" ref="DL576" ca="1" si="10624">MATCH(1,OFFSET(DK575:DK586,DM575,0,COUNT(DK575:DK586)-DM575),0)</f>
        <v>#REF!</v>
      </c>
      <c r="DM576" s="4" t="e">
        <f t="shared" ref="DM576:DM586" ca="1" si="10625">DL576+DM575</f>
        <v>#REF!</v>
      </c>
      <c r="DN576" s="692" t="str">
        <f ca="1">IFERROR(IF(AD582="Nested Steel Stud (wood infill)",VLOOKUP(INDEX(DJ575:DJ586,DM576),SSW,2,FALSE),VLOOKUP(INDEX(DJ575:DJ586,DM576),SSM,2,FALSE)),"----")</f>
        <v>----</v>
      </c>
      <c r="DO576" s="691" t="e">
        <f t="shared" ref="DO576:DO586" ca="1" si="10626">DO575-1</f>
        <v>#N/A</v>
      </c>
      <c r="DP576" s="4" t="e">
        <f ca="1">IF(AND(INDEX(WSM,DO576,4)&gt;=$AB581,INDEX(WSM,DO576,5)&gt;=$S575,INDEX(WSM,DO576,6)&gt;=$R575),1,0)</f>
        <v>#N/A</v>
      </c>
      <c r="DQ576" s="4" t="e">
        <f t="shared" ref="DQ576" ca="1" si="10627">MATCH(1,OFFSET(DP575:DP586,DR575,0,COUNT(DP575:DP586)-DR575),0)</f>
        <v>#REF!</v>
      </c>
      <c r="DR576" s="4" t="e">
        <f t="shared" ref="DR576:DR586" ca="1" si="10628">DQ576+DR575</f>
        <v>#REF!</v>
      </c>
      <c r="DS576" s="692" t="str">
        <f ca="1">IFERROR(VLOOKUP(INDEX(DO575:DO586,DR576),WSM,2,FALSE),"----")</f>
        <v>----</v>
      </c>
      <c r="DT576" s="691" t="e">
        <f t="shared" ref="DT576:DT586" ca="1" si="10629">DT575-1</f>
        <v>#N/A</v>
      </c>
      <c r="DU576" s="4" t="e">
        <f ca="1">IF(AND(INDEX(STM,DT576,4)&gt;=$AB581,INDEX(STM,DT576,5)&gt;=$S575,INDEX(STM,DT576,6)&gt;=$R575),1,0)</f>
        <v>#N/A</v>
      </c>
      <c r="DV576" s="4" t="e">
        <f t="shared" ref="DV576" ca="1" si="10630">MATCH(1,OFFSET(DU575:DU586,DW575,0,COUNT(DU575:DU586)-DW575),0)</f>
        <v>#REF!</v>
      </c>
      <c r="DW576" s="4" t="e">
        <f t="shared" ref="DW576:DW586" ca="1" si="10631">DV576+DW575</f>
        <v>#REF!</v>
      </c>
      <c r="DX576" s="692" t="str">
        <f ca="1">IFERROR(VLOOKUP(INDEX(DT575:DT586,DW576),STM,2,FALSE),"----")</f>
        <v>----</v>
      </c>
      <c r="DY576" s="691" t="e">
        <f t="shared" ref="DY576:DY586" ca="1" si="10632">DY575-1</f>
        <v>#N/A</v>
      </c>
      <c r="DZ576" s="4" t="e">
        <f ca="1">IF(AND(INDEX(ELM,DY576,4)&gt;=$AB581,INDEX(ELM,DY576,5)&gt;=$S575,INDEX(ELM,DY576,6)&gt;=$R575),1,0)</f>
        <v>#N/A</v>
      </c>
      <c r="EA576" s="4" t="e">
        <f t="shared" ref="EA576" ca="1" si="10633">MATCH(1,OFFSET(DZ575:DZ586,EB575,0,COUNT(DZ575:DZ586)-EB575),0)</f>
        <v>#REF!</v>
      </c>
      <c r="EB576" s="4" t="e">
        <f t="shared" ref="EB576:EB586" ca="1" si="10634">EA576+EB575</f>
        <v>#REF!</v>
      </c>
      <c r="EC576" s="692" t="str">
        <f ca="1">IFERROR(VLOOKUP(INDEX(DY575:DY586,EB576),ELM,2,FALSE),"----")</f>
        <v>----</v>
      </c>
      <c r="ED576" s="691" t="e">
        <f t="shared" ref="ED576:ED586" ca="1" si="10635">ED575-1</f>
        <v>#N/A</v>
      </c>
      <c r="EE576" s="4" t="e">
        <f ca="1">IF(LEFT($J575,7)="Clad Wo",IF(AND(INDEX(SPPWS,ED576,4)&gt;=$AB581,INDEX(SPPWS,ED576,5)&gt;=$S575,INDEX(SPPWS,ED576,6)&gt;=$R575),1,0),IF(AND(INDEX(SPM,ED576,4)&gt;=$AB581,INDEX(SPM,ED576,5)&gt;=$S575,INDEX(SPM,ED576,6)&gt;=$R575),1,0))</f>
        <v>#N/A</v>
      </c>
      <c r="EF576" s="4" t="e">
        <f t="shared" ref="EF576" ca="1" si="10636">MATCH(1,OFFSET(EE575:EE586,EG575,0,COUNT(EE575:EE586)-EG575),0)</f>
        <v>#REF!</v>
      </c>
      <c r="EG576" s="4" t="e">
        <f t="shared" ref="EG576:EG586" ca="1" si="10637">EG575+EF576</f>
        <v>#REF!</v>
      </c>
      <c r="EH576" s="692" t="str">
        <f ca="1">IF(LEFT($J575,7)="Clad Wo",IFERROR(VLOOKUP(INDEX(ED575:ED586,EG576),SPPWS,2,FALSE),"----"),IFERROR(VLOOKUP(INDEX(ED575:ED586,EG576),SPM,2,FALSE),"----"))</f>
        <v>----</v>
      </c>
    </row>
    <row r="577" spans="1:138" ht="15" customHeight="1" x14ac:dyDescent="0.25">
      <c r="A577" s="1085"/>
      <c r="B577" s="925"/>
      <c r="C577" s="926"/>
      <c r="D577" s="927"/>
      <c r="E577" s="995"/>
      <c r="F577" s="996"/>
      <c r="G577" s="997"/>
      <c r="H577" s="1062"/>
      <c r="I577" s="990"/>
      <c r="J577" s="908"/>
      <c r="K577" s="909"/>
      <c r="L577" s="1002"/>
      <c r="M577" s="923"/>
      <c r="N577" s="1042"/>
      <c r="O577" s="1018"/>
      <c r="P577" s="987"/>
      <c r="Q577" s="1015"/>
      <c r="R577" s="1012"/>
      <c r="S577" s="1006"/>
      <c r="T577" s="1007"/>
      <c r="U577" s="878"/>
      <c r="V577" s="881"/>
      <c r="W577" s="884"/>
      <c r="X577" s="884"/>
      <c r="Y577" s="887"/>
      <c r="Z577" s="887"/>
      <c r="AA577" s="887"/>
      <c r="AB577" s="1081"/>
      <c r="AC577" s="1078"/>
      <c r="AD577" s="1070" t="s">
        <v>333</v>
      </c>
      <c r="AE577" s="1071"/>
      <c r="AF577" s="1052"/>
      <c r="AG577" s="1053"/>
      <c r="AH577" s="1053"/>
      <c r="AI577" s="1066"/>
      <c r="AJ577" s="1067"/>
      <c r="AK577" s="154" t="str">
        <f t="shared" ca="1" si="10024"/>
        <v/>
      </c>
      <c r="AL577" s="1039"/>
      <c r="AM577" s="344" t="str">
        <f ca="1">IFERROR(Q575/12*ROUND(VLOOKUP(AF577,OFFSET(WSM,0,1),6,FALSE),2),"")</f>
        <v/>
      </c>
      <c r="AN577" t="str">
        <f t="shared" ca="1" si="10040"/>
        <v/>
      </c>
      <c r="AP577" s="122" t="str">
        <f t="shared" ref="AP577" si="10638">_xlfn.CONCAT(AR577,AS580)</f>
        <v/>
      </c>
      <c r="AQ577" s="683" t="str">
        <f t="shared" si="10249"/>
        <v/>
      </c>
      <c r="AR577" s="4" t="str">
        <f t="shared" si="10009"/>
        <v/>
      </c>
      <c r="AS577" s="4"/>
      <c r="AT577" s="697" t="str">
        <f>AL575</f>
        <v/>
      </c>
      <c r="AU577" s="694" t="e">
        <f t="shared" ca="1" si="10265"/>
        <v>#REF!</v>
      </c>
      <c r="AV577" s="686" t="str">
        <f ca="1">IFERROR(VLOOKUP(AU577,INDIRECT(AQ575),2,FALSE),"----")</f>
        <v>----</v>
      </c>
      <c r="AW577" s="694" t="e">
        <f t="shared" ca="1" si="10591"/>
        <v>#REF!</v>
      </c>
      <c r="AX577" s="686" t="str">
        <f ca="1">IFERROR(VLOOKUP(AW577,INDIRECT(AQ576),2,FALSE),"----")</f>
        <v>----</v>
      </c>
      <c r="AY577" s="694" t="e">
        <f t="shared" ca="1" si="10592"/>
        <v>#REF!</v>
      </c>
      <c r="AZ577" s="686" t="str">
        <f ca="1">IFERROR(VLOOKUP(AY577,INDIRECT(AQ577),2,FALSE),"----")</f>
        <v>----</v>
      </c>
      <c r="BA577" s="694" t="e">
        <f t="shared" ca="1" si="10593"/>
        <v>#REF!</v>
      </c>
      <c r="BB577" s="686" t="str">
        <f ca="1">IFERROR(VLOOKUP(BA577,INDIRECT(AQ578),2,FALSE),"----")</f>
        <v>----</v>
      </c>
      <c r="BC577" s="694" t="e">
        <f t="shared" ca="1" si="10594"/>
        <v>#REF!</v>
      </c>
      <c r="BD577" s="686" t="str">
        <f ca="1">IFERROR(VLOOKUP(BC577,INDIRECT(AQ579),2,FALSE),"----")</f>
        <v>----</v>
      </c>
      <c r="BE577" s="694" t="e">
        <f t="shared" ca="1" si="10268"/>
        <v>#REF!</v>
      </c>
      <c r="BF577" s="686" t="str">
        <f ca="1">IFERROR(VLOOKUP(BE577,INDIRECT(AQ580),2,FALSE),"----")</f>
        <v>----</v>
      </c>
      <c r="BG577" s="694" t="e">
        <f t="shared" ca="1" si="10269"/>
        <v>#REF!</v>
      </c>
      <c r="BH577" s="686" t="str">
        <f ca="1">IFERROR(VLOOKUP(BG577,INDIRECT(AQ581),2,FALSE),"----")</f>
        <v>----</v>
      </c>
      <c r="BI577" s="694" t="e">
        <f t="shared" ca="1" si="10597"/>
        <v>#REF!</v>
      </c>
      <c r="BJ577" s="686" t="str">
        <f ca="1">IFERROR(VLOOKUP(BI577,INDIRECT(AQ582),2,FALSE),"----")</f>
        <v>----</v>
      </c>
      <c r="BK577" s="694" t="e">
        <f t="shared" ca="1" si="10598"/>
        <v>#REF!</v>
      </c>
      <c r="BL577" s="686" t="str">
        <f ca="1">IFERROR(VLOOKUP(BK577,INDIRECT(AQ583),2,FALSE),"----")</f>
        <v>----</v>
      </c>
      <c r="BM577" s="694" t="e">
        <f t="shared" ca="1" si="10599"/>
        <v>#REF!</v>
      </c>
      <c r="BN577" s="686" t="str">
        <f ca="1">IFERROR(VLOOKUP(BM577,INDIRECT(AQ584),2,FALSE),"----")</f>
        <v>----</v>
      </c>
      <c r="BO577" s="694" t="e">
        <f t="shared" ca="1" si="10600"/>
        <v>#REF!</v>
      </c>
      <c r="BP577" s="686" t="str">
        <f ca="1">IFERROR(VLOOKUP(BO577,INDIRECT(AQ585),2,FALSE),"----")</f>
        <v>----</v>
      </c>
      <c r="BQ577" s="694" t="e">
        <f t="shared" ca="1" si="10274"/>
        <v>#REF!</v>
      </c>
      <c r="BR577" s="686" t="str">
        <f ca="1">IFERROR(VLOOKUP(BQ577,INDIRECT(AQ586),2,FALSE),"----")</f>
        <v>----</v>
      </c>
      <c r="BS577" s="695">
        <f>IF(AI577="",1,IF(COUNTIF(AZ575:AZ586,AI577)=0,2,1))</f>
        <v>1</v>
      </c>
      <c r="BT577" s="696">
        <f>IF(AF577="",1,IF(AZ575=".",2,1))</f>
        <v>1</v>
      </c>
      <c r="BU577" s="706"/>
      <c r="BV577" s="155">
        <f ca="1">IF(COUNTIF(CO575:CO586,AF577)=0,IF(AF577&lt;&gt;"",0,1),1)</f>
        <v>1</v>
      </c>
      <c r="BW577" s="157">
        <f ca="1">IFERROR(MATCH(AF577,CO575:CO586,0),1)</f>
        <v>1</v>
      </c>
      <c r="BX577" s="769"/>
      <c r="BY577" s="769"/>
      <c r="BZ577" s="1110"/>
      <c r="CA577" s="691" t="e">
        <f t="shared" ca="1" si="10602"/>
        <v>#REF!</v>
      </c>
      <c r="CB577" s="4" t="e" cm="1">
        <f t="array" aca="1" ref="CB577" ca="1">IF(AND(INDEX(INDIRECT(BY575),CA577,4)&gt;=$AB575,INDEX(INDIRECT(BY575),CA577,5)&gt;=$S575,INDEX(INDIRECT(BY575),CA577,6)&gt;=$R575),1,0)</f>
        <v>#REF!</v>
      </c>
      <c r="CC577" s="4" t="e">
        <f t="shared" ref="CC577" ca="1" si="10639">MATCH(1,OFFSET(CB575:CB586,CD576,0,COUNT(CB575:CB586)-CD576),0)</f>
        <v>#REF!</v>
      </c>
      <c r="CD577" s="4" t="e">
        <f t="shared" ca="1" si="10604"/>
        <v>#REF!</v>
      </c>
      <c r="CE577" s="692" t="str" cm="1">
        <f t="array" aca="1" ref="CE577" ca="1">IFERROR(VLOOKUP(INDEX(CA575:CA586,CD577),INDIRECT(BY575),2,FALSE),"----")</f>
        <v>----</v>
      </c>
      <c r="CF577" s="691" t="e">
        <f t="shared" ca="1" si="10605"/>
        <v>#N/A</v>
      </c>
      <c r="CG577" s="4" t="e">
        <f ca="1">IF(AND(INDEX(SSM,CF577,4)&gt;=$AB575,INDEX(SSM,CF577,5)&gt;=$S575,INDEX(SSM,CF577,6)&gt;=$R575),1,0)</f>
        <v>#N/A</v>
      </c>
      <c r="CH577" s="4" t="e">
        <f t="shared" ref="CH577" ca="1" si="10640">MATCH(1,OFFSET(CG575:CG586,CI576,0,COUNT(CG575:CG586)-CI576),0)</f>
        <v>#REF!</v>
      </c>
      <c r="CI577" s="4" t="e">
        <f t="shared" ca="1" si="10607"/>
        <v>#REF!</v>
      </c>
      <c r="CJ577" s="692" t="str">
        <f ca="1">IFERROR(IF(AD576="Nested Steel Stud (wood infill)",VLOOKUP(INDEX(CF575:CF586,CI577),SSW,2,FALSE),VLOOKUP(INDEX(CF575:CF586,CI577),SSM,2,FALSE)),"----")</f>
        <v>----</v>
      </c>
      <c r="CK577" s="691" t="e">
        <f t="shared" ca="1" si="10608"/>
        <v>#N/A</v>
      </c>
      <c r="CL577" s="4" t="e">
        <f ca="1">IF(AND(INDEX(WSM,CK577,4)&gt;=$AB575,INDEX(WSM,CK577,5)&gt;=$S575,INDEX(WSM,CK577,6)&gt;=$R575),1,0)</f>
        <v>#N/A</v>
      </c>
      <c r="CM577" s="4" t="e">
        <f t="shared" ref="CM577" ca="1" si="10641">MATCH(1,OFFSET(CL575:CL586,CN576,0,COUNT(CL575:CL586)-CN576),0)</f>
        <v>#REF!</v>
      </c>
      <c r="CN577" s="4" t="e">
        <f t="shared" ca="1" si="10610"/>
        <v>#REF!</v>
      </c>
      <c r="CO577" s="692" t="str">
        <f ca="1">IFERROR(VLOOKUP(INDEX(CK575:CK586,CN577),WSM,2,FALSE),"----")</f>
        <v>----</v>
      </c>
      <c r="CP577" s="691" t="e">
        <f t="shared" ca="1" si="10611"/>
        <v>#N/A</v>
      </c>
      <c r="CQ577" s="4" t="e">
        <f ca="1">IF(AND(INDEX(STM,CP577,4)&gt;=$AB575,INDEX(STM,CP577,5)&gt;=$S575,INDEX(STM,CP577,6)&gt;=$R575),1,0)</f>
        <v>#N/A</v>
      </c>
      <c r="CR577" s="4" t="e">
        <f t="shared" ref="CR577" ca="1" si="10642">MATCH(1,OFFSET(CQ575:CQ586,CS576,0,COUNT(CQ575:CQ586)-CS576),0)</f>
        <v>#REF!</v>
      </c>
      <c r="CS577" s="4" t="e">
        <f t="shared" ca="1" si="10613"/>
        <v>#REF!</v>
      </c>
      <c r="CT577" s="692" t="str">
        <f ca="1">IFERROR(VLOOKUP(INDEX(CP575:CP586,CS577),STM,2,FALSE),"----")</f>
        <v>----</v>
      </c>
      <c r="CU577" s="691" t="e">
        <f t="shared" ca="1" si="10614"/>
        <v>#N/A</v>
      </c>
      <c r="CV577" s="4" t="e">
        <f ca="1">IF(AND(INDEX(ELM,CU577,4)&gt;=$AB575,INDEX(ELM,CU577,5)&gt;=$S575,INDEX(ELM,CU577,6)&gt;=$R575),1,0)</f>
        <v>#N/A</v>
      </c>
      <c r="CW577" s="4" t="e">
        <f t="shared" ref="CW577" ca="1" si="10643">MATCH(1,OFFSET(CV575:CV586,CX576,0,COUNT(CV575:CV586)-CX576),0)</f>
        <v>#REF!</v>
      </c>
      <c r="CX577" s="4" t="e">
        <f t="shared" ca="1" si="10616"/>
        <v>#REF!</v>
      </c>
      <c r="CY577" s="692" t="str">
        <f ca="1">IFERROR(VLOOKUP(INDEX(CU575:CU586,CX577),ELM,2,FALSE),"----")</f>
        <v>----</v>
      </c>
      <c r="CZ577" s="691" t="e">
        <f t="shared" ca="1" si="10617"/>
        <v>#N/A</v>
      </c>
      <c r="DA577" s="4" t="e">
        <f ca="1">IF(LEFT($J575,7)="Clad Wo",IF(AND(INDEX(SPPWS,CZ577,4)&gt;=$AB575,INDEX(SPPWS,CZ577,5)&gt;=$S575,INDEX(SPPWS,CZ577,6)&gt;=$R575),1,0),IF(AND(INDEX(SPM,CZ577,4)&gt;=$AB575,INDEX(SPM,CZ577,5)&gt;=$S575,INDEX(SPM,CZ577,6)&gt;=$R575),1,0))</f>
        <v>#N/A</v>
      </c>
      <c r="DB577" s="4" t="e">
        <f t="shared" ref="DB577" ca="1" si="10644">MATCH(1,OFFSET(DA575:DA586,DC576,0,COUNT(DA575:DA586)-DC576),0)</f>
        <v>#REF!</v>
      </c>
      <c r="DC577" s="4" t="e">
        <f t="shared" ca="1" si="10619"/>
        <v>#REF!</v>
      </c>
      <c r="DD577" s="693" t="str">
        <f ca="1">IF(LEFT($J575,7)="Clad Wo",IFERROR(VLOOKUP(INDEX(CZ575:CZ586,DC577),SPPWS,2,FALSE),"----"),IFERROR(VLOOKUP(INDEX(CZ575:CZ586,DC577),SPM,2,FALSE),"----"))</f>
        <v>----</v>
      </c>
      <c r="DE577" s="691" t="e">
        <f t="shared" ca="1" si="10620"/>
        <v>#REF!</v>
      </c>
      <c r="DF577" s="4" t="e" cm="1">
        <f t="array" aca="1" ref="DF577" ca="1">IF(AND(INDEX(INDIRECT(BY575),DE577,4)&gt;=$AB581,INDEX(INDIRECT(BY575),DE577,5)&gt;=$S575,INDEX(INDIRECT(BY575),DE577,6)&gt;=$R575),1,0)</f>
        <v>#REF!</v>
      </c>
      <c r="DG577" s="4" t="e">
        <f t="shared" ref="DG577" ca="1" si="10645">MATCH(1,OFFSET(DF575:DF586,DH576,0,COUNT(DF575:DF586)-DH576),0)</f>
        <v>#REF!</v>
      </c>
      <c r="DH577" s="4" t="e">
        <f t="shared" ca="1" si="10622"/>
        <v>#REF!</v>
      </c>
      <c r="DI577" s="692" t="str" cm="1">
        <f t="array" aca="1" ref="DI577" ca="1">IFERROR(VLOOKUP(INDEX(DE575:DE586,DH577),INDIRECT(BY575),2,FALSE),"----")</f>
        <v>----</v>
      </c>
      <c r="DJ577" s="691" t="e">
        <f t="shared" ca="1" si="10623"/>
        <v>#N/A</v>
      </c>
      <c r="DK577" s="4" t="e">
        <f ca="1">IF(AND(INDEX(SSM,DJ577,4)&gt;=$AB581,INDEX(SSM,DJ577,5)&gt;=$S575,INDEX(SSM,DJ577,6)&gt;=$R575),1,0)</f>
        <v>#N/A</v>
      </c>
      <c r="DL577" s="4" t="e">
        <f t="shared" ref="DL577" ca="1" si="10646">MATCH(1,OFFSET(DK575:DK586,DM576,0,COUNT(DK575:DK586)-DM576),0)</f>
        <v>#REF!</v>
      </c>
      <c r="DM577" s="4" t="e">
        <f t="shared" ca="1" si="10625"/>
        <v>#REF!</v>
      </c>
      <c r="DN577" s="692" t="str">
        <f ca="1">IFERROR(IF(AD582="Nested Steel Stud (wood infill)",VLOOKUP(INDEX(DJ575:DJ586,DM577),SSW,2,FALSE),VLOOKUP(INDEX(DJ575:DJ586,DM577),SSM,2,FALSE)),"----")</f>
        <v>----</v>
      </c>
      <c r="DO577" s="691" t="e">
        <f t="shared" ca="1" si="10626"/>
        <v>#N/A</v>
      </c>
      <c r="DP577" s="4" t="e">
        <f ca="1">IF(AND(INDEX(WSM,DO577,4)&gt;=$AB581,INDEX(WSM,DO577,5)&gt;=$S575,INDEX(WSM,DO577,6)&gt;=$R575),1,0)</f>
        <v>#N/A</v>
      </c>
      <c r="DQ577" s="4" t="e">
        <f t="shared" ref="DQ577" ca="1" si="10647">MATCH(1,OFFSET(DP575:DP586,DR576,0,COUNT(DP575:DP586)-DR576),0)</f>
        <v>#REF!</v>
      </c>
      <c r="DR577" s="4" t="e">
        <f t="shared" ca="1" si="10628"/>
        <v>#REF!</v>
      </c>
      <c r="DS577" s="692" t="str">
        <f ca="1">IFERROR(VLOOKUP(INDEX(DO575:DO586,DR577),WSM,2,FALSE),"----")</f>
        <v>----</v>
      </c>
      <c r="DT577" s="691" t="e">
        <f t="shared" ca="1" si="10629"/>
        <v>#N/A</v>
      </c>
      <c r="DU577" s="4" t="e">
        <f ca="1">IF(AND(INDEX(STM,DT577,4)&gt;=$AB581,INDEX(STM,DT577,5)&gt;=$S575,INDEX(STM,DT577,6)&gt;=$R575),1,0)</f>
        <v>#N/A</v>
      </c>
      <c r="DV577" s="4" t="e">
        <f t="shared" ref="DV577" ca="1" si="10648">MATCH(1,OFFSET(DU575:DU586,DW576,0,COUNT(DU575:DU586)-DW576),0)</f>
        <v>#REF!</v>
      </c>
      <c r="DW577" s="4" t="e">
        <f t="shared" ca="1" si="10631"/>
        <v>#REF!</v>
      </c>
      <c r="DX577" s="692" t="str">
        <f ca="1">IFERROR(VLOOKUP(INDEX(DT575:DT586,DW577),STM,2,FALSE),"----")</f>
        <v>----</v>
      </c>
      <c r="DY577" s="691" t="e">
        <f t="shared" ca="1" si="10632"/>
        <v>#N/A</v>
      </c>
      <c r="DZ577" s="4" t="e">
        <f ca="1">IF(AND(INDEX(ELM,DY577,4)&gt;=$AB581,INDEX(ELM,DY577,5)&gt;=$S575,INDEX(ELM,DY577,6)&gt;=$R575),1,0)</f>
        <v>#N/A</v>
      </c>
      <c r="EA577" s="4" t="e">
        <f t="shared" ref="EA577" ca="1" si="10649">MATCH(1,OFFSET(DZ575:DZ586,EB576,0,COUNT(DZ575:DZ586)-EB576),0)</f>
        <v>#REF!</v>
      </c>
      <c r="EB577" s="4" t="e">
        <f t="shared" ca="1" si="10634"/>
        <v>#REF!</v>
      </c>
      <c r="EC577" s="692" t="str">
        <f ca="1">IFERROR(VLOOKUP(INDEX(DY575:DY586,EB577),ELM,2,FALSE),"----")</f>
        <v>----</v>
      </c>
      <c r="ED577" s="691" t="e">
        <f t="shared" ca="1" si="10635"/>
        <v>#N/A</v>
      </c>
      <c r="EE577" s="4" t="e">
        <f ca="1">IF(LEFT($J575,7)="Clad Wo",IF(AND(INDEX(SPPWS,ED577,4)&gt;=$AB581,INDEX(SPPWS,ED577,5)&gt;=$S575,INDEX(SPPWS,ED577,6)&gt;=$R575),1,0),IF(AND(INDEX(SPM,ED577,4)&gt;=$AB581,INDEX(SPM,ED577,5)&gt;=$S575,INDEX(SPM,ED577,6)&gt;=$R575),1,0))</f>
        <v>#N/A</v>
      </c>
      <c r="EF577" s="4" t="e">
        <f t="shared" ref="EF577" ca="1" si="10650">MATCH(1,OFFSET(EE575:EE586,EG576,0,COUNT(EE575:EE586)-EG576),0)</f>
        <v>#REF!</v>
      </c>
      <c r="EG577" s="4" t="e">
        <f t="shared" ca="1" si="10637"/>
        <v>#REF!</v>
      </c>
      <c r="EH577" s="692" t="str">
        <f ca="1">IF(LEFT($J575,7)="Clad Wo",IFERROR(VLOOKUP(INDEX(ED575:ED586,EG577),SPPWS,2,FALSE),"----"),IFERROR(VLOOKUP(INDEX(ED575:ED586,EG577),SPM,2,FALSE),"----"))</f>
        <v>----</v>
      </c>
    </row>
    <row r="578" spans="1:138" ht="15" customHeight="1" x14ac:dyDescent="0.25">
      <c r="A578" s="1085"/>
      <c r="B578" s="925"/>
      <c r="C578" s="926"/>
      <c r="D578" s="927"/>
      <c r="E578" s="995"/>
      <c r="F578" s="996"/>
      <c r="G578" s="997"/>
      <c r="H578" s="1062"/>
      <c r="I578" s="990"/>
      <c r="J578" s="908"/>
      <c r="K578" s="909"/>
      <c r="L578" s="1002"/>
      <c r="M578" s="923"/>
      <c r="N578" s="1042"/>
      <c r="O578" s="1018"/>
      <c r="P578" s="987"/>
      <c r="Q578" s="1015"/>
      <c r="R578" s="1012"/>
      <c r="S578" s="1006"/>
      <c r="T578" s="1007"/>
      <c r="U578" s="878"/>
      <c r="V578" s="881"/>
      <c r="W578" s="884"/>
      <c r="X578" s="884"/>
      <c r="Y578" s="887"/>
      <c r="Z578" s="887"/>
      <c r="AA578" s="887"/>
      <c r="AB578" s="1081"/>
      <c r="AC578" s="1078"/>
      <c r="AD578" s="1070" t="s">
        <v>37</v>
      </c>
      <c r="AE578" s="1071"/>
      <c r="AF578" s="1052"/>
      <c r="AG578" s="1053"/>
      <c r="AH578" s="1053"/>
      <c r="AI578" s="1066"/>
      <c r="AJ578" s="1067"/>
      <c r="AK578" s="156" t="str">
        <f t="shared" ca="1" si="10024"/>
        <v/>
      </c>
      <c r="AL578" s="1039"/>
      <c r="AM578" s="343" t="str">
        <f ca="1">IFERROR(Q575/12*ROUND(VLOOKUP(AF578,OFFSET(STM,0,1),6,FALSE),2),"")</f>
        <v/>
      </c>
      <c r="AN578" t="str">
        <f t="shared" ca="1" si="10040"/>
        <v/>
      </c>
      <c r="AP578" s="122" t="str">
        <f t="shared" ref="AP578" si="10651">_xlfn.CONCAT(AR578,AS580)</f>
        <v/>
      </c>
      <c r="AQ578" s="683" t="str">
        <f t="shared" si="10249"/>
        <v/>
      </c>
      <c r="AR578" s="4" t="str">
        <f t="shared" si="10009"/>
        <v/>
      </c>
      <c r="AS578" s="4"/>
      <c r="AT578" s="697" t="str">
        <f>AL575</f>
        <v/>
      </c>
      <c r="AU578" s="694" t="e">
        <f t="shared" ca="1" si="10265"/>
        <v>#REF!</v>
      </c>
      <c r="AV578" s="686" t="str">
        <f ca="1">IFERROR(VLOOKUP(AU578,INDIRECT(AQ575),2,FALSE),"----")</f>
        <v>----</v>
      </c>
      <c r="AW578" s="694" t="e">
        <f t="shared" ca="1" si="10266"/>
        <v>#REF!</v>
      </c>
      <c r="AX578" s="686" t="str">
        <f ca="1">IFERROR(VLOOKUP(AW578,INDIRECT(AQ576),2,FALSE),"----")</f>
        <v>----</v>
      </c>
      <c r="AY578" s="694" t="e">
        <f t="shared" ref="AY578" ca="1" si="10652">AY577-1</f>
        <v>#REF!</v>
      </c>
      <c r="AZ578" s="686" t="str">
        <f ca="1">IFERROR(VLOOKUP(AY578,INDIRECT(AQ577),2,FALSE),"----")</f>
        <v>----</v>
      </c>
      <c r="BA578" s="694" t="e">
        <f t="shared" ref="BA578" ca="1" si="10653">BA577-1</f>
        <v>#REF!</v>
      </c>
      <c r="BB578" s="686" t="str">
        <f ca="1">IFERROR(VLOOKUP(BA578,INDIRECT(AQ578),2,FALSE),"----")</f>
        <v>----</v>
      </c>
      <c r="BC578" s="694" t="e">
        <f t="shared" ca="1" si="10267"/>
        <v>#REF!</v>
      </c>
      <c r="BD578" s="686" t="str">
        <f ca="1">IFERROR(VLOOKUP(BC578,INDIRECT(AQ579),2,FALSE),"----")</f>
        <v>----</v>
      </c>
      <c r="BE578" s="694" t="e">
        <f t="shared" ca="1" si="10268"/>
        <v>#REF!</v>
      </c>
      <c r="BF578" s="686" t="str">
        <f ca="1">IFERROR(VLOOKUP(BE578,INDIRECT(AQ580),2,FALSE),"----")</f>
        <v>----</v>
      </c>
      <c r="BG578" s="694" t="e">
        <f t="shared" ca="1" si="10269"/>
        <v>#REF!</v>
      </c>
      <c r="BH578" s="686" t="str">
        <f ca="1">IFERROR(VLOOKUP(BG578,INDIRECT(AQ581),2,FALSE),"----")</f>
        <v>----</v>
      </c>
      <c r="BI578" s="694" t="e">
        <f t="shared" ca="1" si="10270"/>
        <v>#REF!</v>
      </c>
      <c r="BJ578" s="686" t="str">
        <f ca="1">IFERROR(VLOOKUP(BI578,INDIRECT(AQ582),2,FALSE),"----")</f>
        <v>----</v>
      </c>
      <c r="BK578" s="694" t="e">
        <f t="shared" ca="1" si="10271"/>
        <v>#REF!</v>
      </c>
      <c r="BL578" s="686" t="str">
        <f ca="1">IFERROR(VLOOKUP(BK578,INDIRECT(AQ583),2,FALSE),"----")</f>
        <v>----</v>
      </c>
      <c r="BM578" s="694" t="e">
        <f t="shared" ca="1" si="10272"/>
        <v>#REF!</v>
      </c>
      <c r="BN578" s="686" t="str">
        <f ca="1">IFERROR(VLOOKUP(BM578,INDIRECT(AQ584),2,FALSE),"----")</f>
        <v>----</v>
      </c>
      <c r="BO578" s="694" t="e">
        <f t="shared" ca="1" si="10273"/>
        <v>#REF!</v>
      </c>
      <c r="BP578" s="686" t="str">
        <f ca="1">IFERROR(VLOOKUP(BO578,INDIRECT(AQ585),2,FALSE),"----")</f>
        <v>----</v>
      </c>
      <c r="BQ578" s="694" t="e">
        <f t="shared" ca="1" si="10274"/>
        <v>#REF!</v>
      </c>
      <c r="BR578" s="686" t="str">
        <f ca="1">IFERROR(VLOOKUP(BQ578,INDIRECT(AQ586),2,FALSE),"----")</f>
        <v>----</v>
      </c>
      <c r="BS578" s="695">
        <f>IF(AI578="",1,IF(COUNTIF(BB575:BB586,AI578)=0,2,1))</f>
        <v>1</v>
      </c>
      <c r="BT578" s="696">
        <f>IF(AF578="",1,IF(BB575=".",2,1))</f>
        <v>1</v>
      </c>
      <c r="BU578" s="706"/>
      <c r="BV578" s="155">
        <f ca="1">IF(COUNTIF(CT575:CT586,AF578)=0,IF(AF578&lt;&gt;"",0,1),1)</f>
        <v>1</v>
      </c>
      <c r="BW578" s="157">
        <f ca="1">IFERROR(MATCH(AF578,CT575:CT586,0),1)</f>
        <v>1</v>
      </c>
      <c r="BX578" s="769"/>
      <c r="BY578" s="769"/>
      <c r="BZ578" s="1110"/>
      <c r="CA578" s="691" t="e">
        <f t="shared" ca="1" si="10602"/>
        <v>#REF!</v>
      </c>
      <c r="CB578" s="4" t="e" cm="1">
        <f t="array" aca="1" ref="CB578" ca="1">IF(AND(INDEX(INDIRECT(BY575),CA578,4)&gt;=$AB575,INDEX(INDIRECT(BY575),CA578,5)&gt;=$S575,INDEX(INDIRECT(BY575),CA578,6)&gt;=$R575),1,0)</f>
        <v>#REF!</v>
      </c>
      <c r="CC578" s="4" t="e">
        <f t="shared" ref="CC578" ca="1" si="10654">MATCH(1,OFFSET(CB575:CB586,CD577,0,COUNT(CB575:CB586)-CD577),0)</f>
        <v>#REF!</v>
      </c>
      <c r="CD578" s="4" t="e">
        <f t="shared" ca="1" si="10604"/>
        <v>#REF!</v>
      </c>
      <c r="CE578" s="692" t="str" cm="1">
        <f t="array" aca="1" ref="CE578" ca="1">IFERROR(VLOOKUP(INDEX(CA575:CA586,CD578),INDIRECT(BY575),2,FALSE),"----")</f>
        <v>----</v>
      </c>
      <c r="CF578" s="691" t="e">
        <f t="shared" ca="1" si="10605"/>
        <v>#N/A</v>
      </c>
      <c r="CG578" s="4" t="e">
        <f ca="1">IF(AND(INDEX(SSM,CF578,4)&gt;=$AB575,INDEX(SSM,CF578,5)&gt;=$S575,INDEX(SSM,CF578,6)&gt;=$R575),1,0)</f>
        <v>#N/A</v>
      </c>
      <c r="CH578" s="4" t="e">
        <f t="shared" ref="CH578" ca="1" si="10655">MATCH(1,OFFSET(CG575:CG586,CI577,0,COUNT(CG575:CG586)-CI577),0)</f>
        <v>#REF!</v>
      </c>
      <c r="CI578" s="4" t="e">
        <f t="shared" ca="1" si="10607"/>
        <v>#REF!</v>
      </c>
      <c r="CJ578" s="692" t="str">
        <f ca="1">IFERROR(IF(AD576="Nested Steel Stud (wood infill)",VLOOKUP(INDEX(CF575:CF586,CI578),SSW,2,FALSE),VLOOKUP(INDEX(CF575:CF586,CI578),SSM,2,FALSE)),"----")</f>
        <v>----</v>
      </c>
      <c r="CK578" s="691" t="e">
        <f t="shared" ca="1" si="10608"/>
        <v>#N/A</v>
      </c>
      <c r="CL578" s="4" t="e">
        <f ca="1">IF(AND(INDEX(WSM,CK578,4)&gt;=$AB575,INDEX(WSM,CK578,5)&gt;=$S575,INDEX(WSM,CK578,6)&gt;=$R575),1,0)</f>
        <v>#N/A</v>
      </c>
      <c r="CM578" s="4" t="e">
        <f t="shared" ref="CM578" ca="1" si="10656">MATCH(1,OFFSET(CL575:CL586,CN577,0,COUNT(CL575:CL586)-CN577),0)</f>
        <v>#REF!</v>
      </c>
      <c r="CN578" s="4" t="e">
        <f t="shared" ca="1" si="10610"/>
        <v>#REF!</v>
      </c>
      <c r="CO578" s="692" t="str">
        <f ca="1">IFERROR(VLOOKUP(INDEX(CK575:CK586,CN578),WSM,2,FALSE),"----")</f>
        <v>----</v>
      </c>
      <c r="CP578" s="691" t="e">
        <f t="shared" ca="1" si="10611"/>
        <v>#N/A</v>
      </c>
      <c r="CQ578" s="4" t="e">
        <f ca="1">IF(AND(INDEX(STM,CP578,4)&gt;=$AB575,INDEX(STM,CP578,5)&gt;=$S575,INDEX(STM,CP578,6)&gt;=$R575),1,0)</f>
        <v>#N/A</v>
      </c>
      <c r="CR578" s="4" t="e">
        <f t="shared" ref="CR578" ca="1" si="10657">MATCH(1,OFFSET(CQ575:CQ586,CS577,0,COUNT(CQ575:CQ586)-CS577),0)</f>
        <v>#REF!</v>
      </c>
      <c r="CS578" s="4" t="e">
        <f t="shared" ca="1" si="10613"/>
        <v>#REF!</v>
      </c>
      <c r="CT578" s="692" t="str">
        <f ca="1">IFERROR(VLOOKUP(INDEX(CP575:CP586,CS578),STM,2,FALSE),"----")</f>
        <v>----</v>
      </c>
      <c r="CU578" s="691" t="e">
        <f t="shared" ca="1" si="10614"/>
        <v>#N/A</v>
      </c>
      <c r="CV578" s="4" t="e">
        <f ca="1">IF(AND(INDEX(ELM,CU578,4)&gt;=$AB575,INDEX(ELM,CU578,5)&gt;=$S575,INDEX(ELM,CU578,6)&gt;=$R575),1,0)</f>
        <v>#N/A</v>
      </c>
      <c r="CW578" s="4" t="e">
        <f t="shared" ref="CW578" ca="1" si="10658">MATCH(1,OFFSET(CV575:CV586,CX577,0,COUNT(CV575:CV586)-CX577),0)</f>
        <v>#REF!</v>
      </c>
      <c r="CX578" s="4" t="e">
        <f t="shared" ca="1" si="10616"/>
        <v>#REF!</v>
      </c>
      <c r="CY578" s="692" t="str">
        <f ca="1">IFERROR(VLOOKUP(INDEX(CU575:CU586,CX578),ELM,2,FALSE),"----")</f>
        <v>----</v>
      </c>
      <c r="CZ578" s="691" t="e">
        <f t="shared" ca="1" si="10617"/>
        <v>#N/A</v>
      </c>
      <c r="DA578" s="4" t="e">
        <f ca="1">IF(LEFT($J575,7)="Clad Wo",IF(AND(INDEX(SPPWS,CZ578,4)&gt;=$AB575,INDEX(SPPWS,CZ578,5)&gt;=$S575,INDEX(SPPWS,CZ578,6)&gt;=$R575),1,0),IF(AND(INDEX(SPM,CZ578,4)&gt;=$AB575,INDEX(SPM,CZ578,5)&gt;=$S575,INDEX(SPM,CZ578,6)&gt;=$R575),1,0))</f>
        <v>#N/A</v>
      </c>
      <c r="DB578" s="4" t="e">
        <f t="shared" ref="DB578" ca="1" si="10659">MATCH(1,OFFSET(DA575:DA586,DC577,0,COUNT(DA575:DA586)-DC577),0)</f>
        <v>#REF!</v>
      </c>
      <c r="DC578" s="4" t="e">
        <f t="shared" ca="1" si="10619"/>
        <v>#REF!</v>
      </c>
      <c r="DD578" s="693" t="str">
        <f ca="1">IF(LEFT($J575,7)="Clad Wo",IFERROR(VLOOKUP(INDEX(CZ575:CZ586,DC578),SPPWS,2,FALSE),"----"),IFERROR(VLOOKUP(INDEX(CZ575:CZ586,DC578),SPM,2,FALSE),"----"))</f>
        <v>----</v>
      </c>
      <c r="DE578" s="691" t="e">
        <f t="shared" ca="1" si="10620"/>
        <v>#REF!</v>
      </c>
      <c r="DF578" s="4" t="e" cm="1">
        <f t="array" aca="1" ref="DF578" ca="1">IF(AND(INDEX(INDIRECT(BY575),DE578,4)&gt;=$AB581,INDEX(INDIRECT(BY575),DE578,5)&gt;=$S575,INDEX(INDIRECT(BY575),DE578,6)&gt;=$R575),1,0)</f>
        <v>#REF!</v>
      </c>
      <c r="DG578" s="4" t="e">
        <f t="shared" ref="DG578" ca="1" si="10660">MATCH(1,OFFSET(DF575:DF586,DH577,0,COUNT(DF575:DF586)-DH577),0)</f>
        <v>#REF!</v>
      </c>
      <c r="DH578" s="4" t="e">
        <f t="shared" ca="1" si="10622"/>
        <v>#REF!</v>
      </c>
      <c r="DI578" s="692" t="str" cm="1">
        <f t="array" aca="1" ref="DI578" ca="1">IFERROR(VLOOKUP(INDEX(DE575:DE586,DH578),INDIRECT(BY575),2,FALSE),"----")</f>
        <v>----</v>
      </c>
      <c r="DJ578" s="691" t="e">
        <f t="shared" ca="1" si="10623"/>
        <v>#N/A</v>
      </c>
      <c r="DK578" s="4" t="e">
        <f ca="1">IF(AND(INDEX(SSM,DJ578,4)&gt;=$AB581,INDEX(SSM,DJ578,5)&gt;=$S575,INDEX(SSM,DJ578,6)&gt;=$R575),1,0)</f>
        <v>#N/A</v>
      </c>
      <c r="DL578" s="4" t="e">
        <f t="shared" ref="DL578" ca="1" si="10661">MATCH(1,OFFSET(DK575:DK586,DM577,0,COUNT(DK575:DK586)-DM577),0)</f>
        <v>#REF!</v>
      </c>
      <c r="DM578" s="4" t="e">
        <f t="shared" ca="1" si="10625"/>
        <v>#REF!</v>
      </c>
      <c r="DN578" s="692" t="str">
        <f ca="1">IFERROR(IF(AD582="Nested Steel Stud (wood infill)",VLOOKUP(INDEX(DJ575:DJ586,DM578),SSW,2,FALSE),VLOOKUP(INDEX(DJ575:DJ586,DM578),SSM,2,FALSE)),"----")</f>
        <v>----</v>
      </c>
      <c r="DO578" s="691" t="e">
        <f t="shared" ca="1" si="10626"/>
        <v>#N/A</v>
      </c>
      <c r="DP578" s="4" t="e">
        <f ca="1">IF(AND(INDEX(WSM,DO578,4)&gt;=$AB581,INDEX(WSM,DO578,5)&gt;=$S575,INDEX(WSM,DO578,6)&gt;=$R575),1,0)</f>
        <v>#N/A</v>
      </c>
      <c r="DQ578" s="4" t="e">
        <f t="shared" ref="DQ578" ca="1" si="10662">MATCH(1,OFFSET(DP575:DP586,DR577,0,COUNT(DP575:DP586)-DR577),0)</f>
        <v>#REF!</v>
      </c>
      <c r="DR578" s="4" t="e">
        <f t="shared" ca="1" si="10628"/>
        <v>#REF!</v>
      </c>
      <c r="DS578" s="692" t="str">
        <f ca="1">IFERROR(VLOOKUP(INDEX(DO575:DO586,DR578),WSM,2,FALSE),"----")</f>
        <v>----</v>
      </c>
      <c r="DT578" s="691" t="e">
        <f t="shared" ca="1" si="10629"/>
        <v>#N/A</v>
      </c>
      <c r="DU578" s="4" t="e">
        <f ca="1">IF(AND(INDEX(STM,DT578,4)&gt;=$AB581,INDEX(STM,DT578,5)&gt;=$S575,INDEX(STM,DT578,6)&gt;=$R575),1,0)</f>
        <v>#N/A</v>
      </c>
      <c r="DV578" s="4" t="e">
        <f t="shared" ref="DV578" ca="1" si="10663">MATCH(1,OFFSET(DU575:DU586,DW577,0,COUNT(DU575:DU586)-DW577),0)</f>
        <v>#REF!</v>
      </c>
      <c r="DW578" s="4" t="e">
        <f t="shared" ca="1" si="10631"/>
        <v>#REF!</v>
      </c>
      <c r="DX578" s="692" t="str">
        <f ca="1">IFERROR(VLOOKUP(INDEX(DT575:DT586,DW578),STM,2,FALSE),"----")</f>
        <v>----</v>
      </c>
      <c r="DY578" s="691" t="e">
        <f t="shared" ca="1" si="10632"/>
        <v>#N/A</v>
      </c>
      <c r="DZ578" s="4" t="e">
        <f ca="1">IF(AND(INDEX(ELM,DY578,4)&gt;=$AB581,INDEX(ELM,DY578,5)&gt;=$S575,INDEX(ELM,DY578,6)&gt;=$R575),1,0)</f>
        <v>#N/A</v>
      </c>
      <c r="EA578" s="4" t="e">
        <f t="shared" ref="EA578" ca="1" si="10664">MATCH(1,OFFSET(DZ575:DZ586,EB577,0,COUNT(DZ575:DZ586)-EB577),0)</f>
        <v>#REF!</v>
      </c>
      <c r="EB578" s="4" t="e">
        <f t="shared" ca="1" si="10634"/>
        <v>#REF!</v>
      </c>
      <c r="EC578" s="692" t="str">
        <f ca="1">IFERROR(VLOOKUP(INDEX(DY575:DY586,EB578),ELM,2,FALSE),"----")</f>
        <v>----</v>
      </c>
      <c r="ED578" s="691" t="e">
        <f t="shared" ca="1" si="10635"/>
        <v>#N/A</v>
      </c>
      <c r="EE578" s="4" t="e">
        <f ca="1">IF(LEFT($J575,7)="Clad Wo",IF(AND(INDEX(SPPWS,ED578,4)&gt;=$AB581,INDEX(SPPWS,ED578,5)&gt;=$S575,INDEX(SPPWS,ED578,6)&gt;=$R575),1,0),IF(AND(INDEX(SPM,ED578,4)&gt;=$AB581,INDEX(SPM,ED578,5)&gt;=$S575,INDEX(SPM,ED578,6)&gt;=$R575),1,0))</f>
        <v>#N/A</v>
      </c>
      <c r="EF578" s="4" t="e">
        <f t="shared" ref="EF578" ca="1" si="10665">MATCH(1,OFFSET(EE575:EE586,EG577,0,COUNT(EE575:EE586)-EG577),0)</f>
        <v>#REF!</v>
      </c>
      <c r="EG578" s="4" t="e">
        <f t="shared" ca="1" si="10637"/>
        <v>#REF!</v>
      </c>
      <c r="EH578" s="692" t="str">
        <f ca="1">IF(LEFT($J575,7)="Clad Wo",IFERROR(VLOOKUP(INDEX(ED575:ED586,EG578),SPPWS,2,FALSE),"----"),IFERROR(VLOOKUP(INDEX(ED575:ED586,EG578),SPM,2,FALSE),"----"))</f>
        <v>----</v>
      </c>
    </row>
    <row r="579" spans="1:138" ht="15" customHeight="1" x14ac:dyDescent="0.25">
      <c r="A579" s="1085"/>
      <c r="B579" s="925"/>
      <c r="C579" s="926"/>
      <c r="D579" s="927"/>
      <c r="E579" s="995"/>
      <c r="F579" s="996"/>
      <c r="G579" s="997"/>
      <c r="H579" s="1062"/>
      <c r="I579" s="990"/>
      <c r="J579" s="910"/>
      <c r="K579" s="911"/>
      <c r="L579" s="1002"/>
      <c r="M579" s="923"/>
      <c r="N579" s="1042"/>
      <c r="O579" s="1018"/>
      <c r="P579" s="987"/>
      <c r="Q579" s="1015"/>
      <c r="R579" s="1012"/>
      <c r="S579" s="1006"/>
      <c r="T579" s="1007"/>
      <c r="U579" s="878"/>
      <c r="V579" s="881"/>
      <c r="W579" s="884"/>
      <c r="X579" s="884"/>
      <c r="Y579" s="887"/>
      <c r="Z579" s="887"/>
      <c r="AA579" s="887"/>
      <c r="AB579" s="1081"/>
      <c r="AC579" s="1078"/>
      <c r="AD579" s="1070" t="s">
        <v>39</v>
      </c>
      <c r="AE579" s="1071"/>
      <c r="AF579" s="1052"/>
      <c r="AG579" s="1053"/>
      <c r="AH579" s="1053"/>
      <c r="AI579" s="1068"/>
      <c r="AJ579" s="1069"/>
      <c r="AK579" s="154" t="str">
        <f t="shared" ca="1" si="10024"/>
        <v/>
      </c>
      <c r="AL579" s="1039"/>
      <c r="AM579" s="344" t="str">
        <f ca="1">IFERROR(Q575/12*ROUND(VLOOKUP(AF579,OFFSET(ELM,0,1),6,FALSE),2),"")</f>
        <v/>
      </c>
      <c r="AN579" t="str">
        <f t="shared" ca="1" si="10040"/>
        <v/>
      </c>
      <c r="AP579" s="122" t="str">
        <f t="shared" ref="AP579" si="10666">_xlfn.CONCAT(AR579,AS580)</f>
        <v/>
      </c>
      <c r="AQ579" s="683" t="str">
        <f t="shared" si="10249"/>
        <v/>
      </c>
      <c r="AR579" s="4" t="str">
        <f t="shared" si="10009"/>
        <v/>
      </c>
      <c r="AS579" s="4"/>
      <c r="AT579" s="697" t="str">
        <f>AL575</f>
        <v/>
      </c>
      <c r="AU579" s="694" t="e">
        <f t="shared" ca="1" si="10265"/>
        <v>#REF!</v>
      </c>
      <c r="AV579" s="698" t="str">
        <f ca="1">IFERROR(VLOOKUP(AU579,INDIRECT(AQ575),2,FALSE),"----")</f>
        <v>----</v>
      </c>
      <c r="AW579" s="694" t="e">
        <f t="shared" ca="1" si="10266"/>
        <v>#REF!</v>
      </c>
      <c r="AX579" s="698" t="str">
        <f ca="1">IFERROR(VLOOKUP(AW579,INDIRECT(AQ576),2,FALSE),"----")</f>
        <v>----</v>
      </c>
      <c r="AY579" s="694" t="e">
        <f t="shared" ref="AY579" ca="1" si="10667">AY578-1</f>
        <v>#REF!</v>
      </c>
      <c r="AZ579" s="698" t="str">
        <f ca="1">IFERROR(VLOOKUP(AY579,INDIRECT(AQ577),2,FALSE),"----")</f>
        <v>----</v>
      </c>
      <c r="BA579" s="694" t="e">
        <f t="shared" ref="BA579" ca="1" si="10668">BA578-1</f>
        <v>#REF!</v>
      </c>
      <c r="BB579" s="698" t="str">
        <f ca="1">IFERROR(VLOOKUP(BA579,INDIRECT(AQ578),2,FALSE),"----")</f>
        <v>----</v>
      </c>
      <c r="BC579" s="694" t="e">
        <f t="shared" ca="1" si="10267"/>
        <v>#REF!</v>
      </c>
      <c r="BD579" s="698" t="str">
        <f ca="1">IFERROR(VLOOKUP(BC579,INDIRECT(AQ579),2,FALSE),"----")</f>
        <v>----</v>
      </c>
      <c r="BE579" s="694" t="e">
        <f t="shared" ca="1" si="10268"/>
        <v>#REF!</v>
      </c>
      <c r="BF579" s="698" t="str">
        <f ca="1">IFERROR(VLOOKUP(BE579,INDIRECT(AQ580),2,FALSE),"----")</f>
        <v>----</v>
      </c>
      <c r="BG579" s="694" t="e">
        <f t="shared" ca="1" si="10269"/>
        <v>#REF!</v>
      </c>
      <c r="BH579" s="686" t="str">
        <f ca="1">IFERROR(VLOOKUP(BG579,INDIRECT(AQ581),2,FALSE),"----")</f>
        <v>----</v>
      </c>
      <c r="BI579" s="694" t="e">
        <f t="shared" ca="1" si="10270"/>
        <v>#REF!</v>
      </c>
      <c r="BJ579" s="686" t="str">
        <f ca="1">IFERROR(VLOOKUP(BI579,INDIRECT(AQ582),2,FALSE),"----")</f>
        <v>----</v>
      </c>
      <c r="BK579" s="694" t="e">
        <f t="shared" ca="1" si="10271"/>
        <v>#REF!</v>
      </c>
      <c r="BL579" s="686" t="str">
        <f ca="1">IFERROR(VLOOKUP(BK579,INDIRECT(AQ583),2,FALSE),"----")</f>
        <v>----</v>
      </c>
      <c r="BM579" s="694" t="e">
        <f t="shared" ca="1" si="10272"/>
        <v>#REF!</v>
      </c>
      <c r="BN579" s="686" t="str">
        <f ca="1">IFERROR(VLOOKUP(BM579,INDIRECT(AQ584),2,FALSE),"----")</f>
        <v>----</v>
      </c>
      <c r="BO579" s="694" t="e">
        <f t="shared" ca="1" si="10273"/>
        <v>#REF!</v>
      </c>
      <c r="BP579" s="686" t="str">
        <f ca="1">IFERROR(VLOOKUP(BO579,INDIRECT(AQ585),2,FALSE),"----")</f>
        <v>----</v>
      </c>
      <c r="BQ579" s="694" t="e">
        <f t="shared" ca="1" si="10274"/>
        <v>#REF!</v>
      </c>
      <c r="BR579" s="686" t="str">
        <f ca="1">IFERROR(VLOOKUP(BQ579,INDIRECT(AQ586),2,FALSE),"----")</f>
        <v>----</v>
      </c>
      <c r="BS579" s="695">
        <f>IF(AI579="",1,IF(COUNTIF(BD575:BD586,AI579)=0,2,1))</f>
        <v>1</v>
      </c>
      <c r="BT579" s="696">
        <f>IF(AF579="",1,IF(BD575=".",2,1))</f>
        <v>1</v>
      </c>
      <c r="BU579" s="706"/>
      <c r="BV579" s="155">
        <f ca="1">IF(COUNTIF(CY575:CY586,AF579)=0,IF(AF579&lt;&gt;"",0,1),1)</f>
        <v>1</v>
      </c>
      <c r="BW579" s="157">
        <f ca="1">IFERROR(MATCH(AF579,CY575:CY586,0),1)</f>
        <v>1</v>
      </c>
      <c r="BX579" s="769"/>
      <c r="BY579" s="769"/>
      <c r="BZ579" s="1110"/>
      <c r="CA579" s="691" t="e">
        <f t="shared" ca="1" si="10602"/>
        <v>#REF!</v>
      </c>
      <c r="CB579" s="4" t="e" cm="1">
        <f t="array" aca="1" ref="CB579" ca="1">IF(AND(INDEX(INDIRECT(BY575),CA579,4)&gt;=$AB575,INDEX(INDIRECT(BY575),CA579,5)&gt;=$S575,INDEX(INDIRECT(BY575),CA579,6)&gt;=$R575),1,0)</f>
        <v>#REF!</v>
      </c>
      <c r="CC579" s="4" t="e">
        <f t="shared" ref="CC579" ca="1" si="10669">MATCH(1,OFFSET(CB575:CB586,CD578,0,COUNT(CB575:CB586)-CD578),0)</f>
        <v>#REF!</v>
      </c>
      <c r="CD579" s="4" t="e">
        <f t="shared" ca="1" si="10604"/>
        <v>#REF!</v>
      </c>
      <c r="CE579" s="692" t="str" cm="1">
        <f t="array" aca="1" ref="CE579" ca="1">IFERROR(VLOOKUP(INDEX(CA575:CA586,CD579),INDIRECT(BY575),2,FALSE),"----")</f>
        <v>----</v>
      </c>
      <c r="CF579" s="691" t="e">
        <f t="shared" ca="1" si="10605"/>
        <v>#N/A</v>
      </c>
      <c r="CG579" s="4" t="e">
        <f ca="1">IF(AND(INDEX(SSM,CF579,4)&gt;=$AB575,INDEX(SSM,CF579,5)&gt;=$S575,INDEX(SSM,CF579,6)&gt;=$R575),1,0)</f>
        <v>#N/A</v>
      </c>
      <c r="CH579" s="4" t="e">
        <f t="shared" ref="CH579" ca="1" si="10670">MATCH(1,OFFSET(CG575:CG586,CI578,0,COUNT(CG575:CG586)-CI578),0)</f>
        <v>#REF!</v>
      </c>
      <c r="CI579" s="4" t="e">
        <f t="shared" ca="1" si="10607"/>
        <v>#REF!</v>
      </c>
      <c r="CJ579" s="692" t="str">
        <f ca="1">IFERROR(IF(AD576="Nested Steel Stud (wood infill)",VLOOKUP(INDEX(CF575:CF586,CI579),SSW,2,FALSE),VLOOKUP(INDEX(CF575:CF586,CI579),SSM,2,FALSE)),"----")</f>
        <v>----</v>
      </c>
      <c r="CK579" s="691" t="e">
        <f t="shared" ca="1" si="10608"/>
        <v>#N/A</v>
      </c>
      <c r="CL579" s="4" t="e">
        <f ca="1">IF(AND(INDEX(WSM,CK579,4)&gt;=$AB575,INDEX(WSM,CK579,5)&gt;=$S575,INDEX(WSM,CK579,6)&gt;=$R575),1,0)</f>
        <v>#N/A</v>
      </c>
      <c r="CM579" s="4" t="e">
        <f t="shared" ref="CM579" ca="1" si="10671">MATCH(1,OFFSET(CL575:CL586,CN578,0,COUNT(CL575:CL586)-CN578),0)</f>
        <v>#REF!</v>
      </c>
      <c r="CN579" s="4" t="e">
        <f t="shared" ca="1" si="10610"/>
        <v>#REF!</v>
      </c>
      <c r="CO579" s="692" t="str">
        <f ca="1">IFERROR(VLOOKUP(INDEX(CK575:CK586,CN579),WSM,2,FALSE),"----")</f>
        <v>----</v>
      </c>
      <c r="CP579" s="691" t="e">
        <f t="shared" ca="1" si="10611"/>
        <v>#N/A</v>
      </c>
      <c r="CQ579" s="4" t="e">
        <f ca="1">IF(AND(INDEX(STM,CP579,4)&gt;=$AB575,INDEX(STM,CP579,5)&gt;=$S575,INDEX(STM,CP579,6)&gt;=$R575),1,0)</f>
        <v>#N/A</v>
      </c>
      <c r="CR579" s="4" t="e">
        <f t="shared" ref="CR579" ca="1" si="10672">MATCH(1,OFFSET(CQ575:CQ586,CS578,0,COUNT(CQ575:CQ586)-CS578),0)</f>
        <v>#REF!</v>
      </c>
      <c r="CS579" s="4" t="e">
        <f t="shared" ca="1" si="10613"/>
        <v>#REF!</v>
      </c>
      <c r="CT579" s="692" t="str">
        <f ca="1">IFERROR(VLOOKUP(INDEX(CP575:CP586,CS579),STM,2,FALSE),"----")</f>
        <v>----</v>
      </c>
      <c r="CU579" s="691" t="e">
        <f t="shared" ca="1" si="10614"/>
        <v>#N/A</v>
      </c>
      <c r="CV579" s="4" t="e">
        <f ca="1">IF(AND(INDEX(ELM,CU579,4)&gt;=$AB575,INDEX(ELM,CU579,5)&gt;=$S575,INDEX(ELM,CU579,6)&gt;=$R575),1,0)</f>
        <v>#N/A</v>
      </c>
      <c r="CW579" s="4" t="e">
        <f t="shared" ref="CW579" ca="1" si="10673">MATCH(1,OFFSET(CV575:CV586,CX578,0,COUNT(CV575:CV586)-CX578),0)</f>
        <v>#REF!</v>
      </c>
      <c r="CX579" s="4" t="e">
        <f t="shared" ca="1" si="10616"/>
        <v>#REF!</v>
      </c>
      <c r="CY579" s="692" t="str">
        <f ca="1">IFERROR(VLOOKUP(INDEX(CU575:CU586,CX579),ELM,2,FALSE),"----")</f>
        <v>----</v>
      </c>
      <c r="CZ579" s="691" t="e">
        <f t="shared" ca="1" si="10617"/>
        <v>#N/A</v>
      </c>
      <c r="DA579" s="4" t="e">
        <f ca="1">IF(LEFT($J575,7)="Clad Wo",IF(AND(INDEX(SPPWS,CZ579,4)&gt;=$AB575,INDEX(SPPWS,CZ579,5)&gt;=$S575,INDEX(SPPWS,CZ579,6)&gt;=$R575),1,0),IF(AND(INDEX(SPM,CZ579,4)&gt;=$AB575,INDEX(SPM,CZ579,5)&gt;=$S575,INDEX(SPM,CZ579,6)&gt;=$R575),1,0))</f>
        <v>#N/A</v>
      </c>
      <c r="DB579" s="4" t="e">
        <f t="shared" ref="DB579" ca="1" si="10674">MATCH(1,OFFSET(DA575:DA586,DC578,0,COUNT(DA575:DA586)-DC578),0)</f>
        <v>#REF!</v>
      </c>
      <c r="DC579" s="4" t="e">
        <f t="shared" ca="1" si="10619"/>
        <v>#REF!</v>
      </c>
      <c r="DD579" s="693" t="str">
        <f ca="1">IF(LEFT($J575,7)="Clad Wo",IFERROR(VLOOKUP(INDEX(CZ575:CZ586,DC579),SPPWS,2,FALSE),"----"),IFERROR(VLOOKUP(INDEX(CZ575:CZ586,DC579),SPM,2,FALSE),"----"))</f>
        <v>----</v>
      </c>
      <c r="DE579" s="691" t="e">
        <f t="shared" ca="1" si="10620"/>
        <v>#REF!</v>
      </c>
      <c r="DF579" s="4" t="e" cm="1">
        <f t="array" aca="1" ref="DF579" ca="1">IF(AND(INDEX(INDIRECT(BY575),DE579,4)&gt;=$AB581,INDEX(INDIRECT(BY575),DE579,5)&gt;=$S575,INDEX(INDIRECT(BY575),DE579,6)&gt;=$R575),1,0)</f>
        <v>#REF!</v>
      </c>
      <c r="DG579" s="4" t="e">
        <f t="shared" ref="DG579" ca="1" si="10675">MATCH(1,OFFSET(DF575:DF586,DH578,0,COUNT(DF575:DF586)-DH578),0)</f>
        <v>#REF!</v>
      </c>
      <c r="DH579" s="4" t="e">
        <f t="shared" ca="1" si="10622"/>
        <v>#REF!</v>
      </c>
      <c r="DI579" s="692" t="str" cm="1">
        <f t="array" aca="1" ref="DI579" ca="1">IFERROR(VLOOKUP(INDEX(DE575:DE586,DH579),INDIRECT(BY575),2,FALSE),"----")</f>
        <v>----</v>
      </c>
      <c r="DJ579" s="691" t="e">
        <f t="shared" ca="1" si="10623"/>
        <v>#N/A</v>
      </c>
      <c r="DK579" s="4" t="e">
        <f ca="1">IF(AND(INDEX(SSM,DJ579,4)&gt;=$AB581,INDEX(SSM,DJ579,5)&gt;=$S575,INDEX(SSM,DJ579,6)&gt;=$R575),1,0)</f>
        <v>#N/A</v>
      </c>
      <c r="DL579" s="4" t="e">
        <f t="shared" ref="DL579" ca="1" si="10676">MATCH(1,OFFSET(DK575:DK586,DM578,0,COUNT(DK575:DK586)-DM578),0)</f>
        <v>#REF!</v>
      </c>
      <c r="DM579" s="4" t="e">
        <f t="shared" ca="1" si="10625"/>
        <v>#REF!</v>
      </c>
      <c r="DN579" s="692" t="str">
        <f ca="1">IFERROR(IF(AD582="Nested Steel Stud (wood infill)",VLOOKUP(INDEX(DJ575:DJ586,DM579),SSW,2,FALSE),VLOOKUP(INDEX(DJ575:DJ586,DM579),SSM,2,FALSE)),"----")</f>
        <v>----</v>
      </c>
      <c r="DO579" s="691" t="e">
        <f t="shared" ca="1" si="10626"/>
        <v>#N/A</v>
      </c>
      <c r="DP579" s="4" t="e">
        <f ca="1">IF(AND(INDEX(WSM,DO579,4)&gt;=$AB581,INDEX(WSM,DO579,5)&gt;=$S575,INDEX(WSM,DO579,6)&gt;=$R575),1,0)</f>
        <v>#N/A</v>
      </c>
      <c r="DQ579" s="4" t="e">
        <f t="shared" ref="DQ579" ca="1" si="10677">MATCH(1,OFFSET(DP575:DP586,DR578,0,COUNT(DP575:DP586)-DR578),0)</f>
        <v>#REF!</v>
      </c>
      <c r="DR579" s="4" t="e">
        <f t="shared" ca="1" si="10628"/>
        <v>#REF!</v>
      </c>
      <c r="DS579" s="692" t="str">
        <f ca="1">IFERROR(VLOOKUP(INDEX(DO575:DO586,DR579),WSM,2,FALSE),"----")</f>
        <v>----</v>
      </c>
      <c r="DT579" s="691" t="e">
        <f t="shared" ca="1" si="10629"/>
        <v>#N/A</v>
      </c>
      <c r="DU579" s="4" t="e">
        <f ca="1">IF(AND(INDEX(STM,DT579,4)&gt;=$AB581,INDEX(STM,DT579,5)&gt;=$S575,INDEX(STM,DT579,6)&gt;=$R575),1,0)</f>
        <v>#N/A</v>
      </c>
      <c r="DV579" s="4" t="e">
        <f t="shared" ref="DV579" ca="1" si="10678">MATCH(1,OFFSET(DU575:DU586,DW578,0,COUNT(DU575:DU586)-DW578),0)</f>
        <v>#REF!</v>
      </c>
      <c r="DW579" s="4" t="e">
        <f t="shared" ca="1" si="10631"/>
        <v>#REF!</v>
      </c>
      <c r="DX579" s="692" t="str">
        <f ca="1">IFERROR(VLOOKUP(INDEX(DT575:DT586,DW579),STM,2,FALSE),"----")</f>
        <v>----</v>
      </c>
      <c r="DY579" s="691" t="e">
        <f t="shared" ca="1" si="10632"/>
        <v>#N/A</v>
      </c>
      <c r="DZ579" s="4" t="e">
        <f ca="1">IF(AND(INDEX(ELM,DY579,4)&gt;=$AB581,INDEX(ELM,DY579,5)&gt;=$S575,INDEX(ELM,DY579,6)&gt;=$R575),1,0)</f>
        <v>#N/A</v>
      </c>
      <c r="EA579" s="4" t="e">
        <f t="shared" ref="EA579" ca="1" si="10679">MATCH(1,OFFSET(DZ575:DZ586,EB578,0,COUNT(DZ575:DZ586)-EB578),0)</f>
        <v>#REF!</v>
      </c>
      <c r="EB579" s="4" t="e">
        <f t="shared" ca="1" si="10634"/>
        <v>#REF!</v>
      </c>
      <c r="EC579" s="692" t="str">
        <f ca="1">IFERROR(VLOOKUP(INDEX(DY575:DY586,EB579),ELM,2,FALSE),"----")</f>
        <v>----</v>
      </c>
      <c r="ED579" s="691" t="e">
        <f t="shared" ca="1" si="10635"/>
        <v>#N/A</v>
      </c>
      <c r="EE579" s="4" t="e">
        <f ca="1">IF(LEFT($J575,7)="Clad Wo",IF(AND(INDEX(SPPWS,ED579,4)&gt;=$AB581,INDEX(SPPWS,ED579,5)&gt;=$S575,INDEX(SPPWS,ED579,6)&gt;=$R575),1,0),IF(AND(INDEX(SPM,ED579,4)&gt;=$AB581,INDEX(SPM,ED579,5)&gt;=$S575,INDEX(SPM,ED579,6)&gt;=$R575),1,0))</f>
        <v>#N/A</v>
      </c>
      <c r="EF579" s="4" t="e">
        <f t="shared" ref="EF579" ca="1" si="10680">MATCH(1,OFFSET(EE575:EE586,EG578,0,COUNT(EE575:EE586)-EG578),0)</f>
        <v>#REF!</v>
      </c>
      <c r="EG579" s="4" t="e">
        <f t="shared" ca="1" si="10637"/>
        <v>#REF!</v>
      </c>
      <c r="EH579" s="692" t="str">
        <f ca="1">IF(LEFT($J575,7)="Clad Wo",IFERROR(VLOOKUP(INDEX(ED575:ED586,EG579),SPPWS,2,FALSE),"----"),IFERROR(VLOOKUP(INDEX(ED575:ED586,EG579),SPM,2,FALSE),"----"))</f>
        <v>----</v>
      </c>
    </row>
    <row r="580" spans="1:138" ht="15" customHeight="1" thickBot="1" x14ac:dyDescent="0.3">
      <c r="A580" s="1085"/>
      <c r="B580" s="934"/>
      <c r="C580" s="935"/>
      <c r="D580" s="936"/>
      <c r="E580" s="995"/>
      <c r="F580" s="996"/>
      <c r="G580" s="997"/>
      <c r="H580" s="1062"/>
      <c r="I580" s="990"/>
      <c r="J580" s="908"/>
      <c r="K580" s="909"/>
      <c r="L580" s="1010"/>
      <c r="M580" s="924"/>
      <c r="N580" s="1044"/>
      <c r="O580" s="1018"/>
      <c r="P580" s="987"/>
      <c r="Q580" s="1015"/>
      <c r="R580" s="1012"/>
      <c r="S580" s="1006"/>
      <c r="T580" s="1007"/>
      <c r="U580" s="878"/>
      <c r="V580" s="881"/>
      <c r="W580" s="889"/>
      <c r="X580" s="884"/>
      <c r="Y580" s="890"/>
      <c r="Z580" s="890"/>
      <c r="AA580" s="887"/>
      <c r="AB580" s="1084"/>
      <c r="AC580" s="1079"/>
      <c r="AD580" s="1072" t="str">
        <f t="shared" ref="AD580" si="10681">IF(LEFT(J575,7)="Clad Wo","Pella Wood Spr / Steel Pte","Steel Plate")</f>
        <v>Steel Plate</v>
      </c>
      <c r="AE580" s="1073"/>
      <c r="AF580" s="1054"/>
      <c r="AG580" s="1055"/>
      <c r="AH580" s="1055"/>
      <c r="AI580" s="1092"/>
      <c r="AJ580" s="1093"/>
      <c r="AK580" s="159" t="str">
        <f t="shared" ca="1" si="10024"/>
        <v/>
      </c>
      <c r="AL580" s="1040"/>
      <c r="AM580" s="345" t="str">
        <f ca="1">IFERROR(Q575/12*ROUND(VLOOKUP(AF580,OFFSET(SPM,0,1),6,FALSE),2),"")</f>
        <v/>
      </c>
      <c r="AN580" t="str">
        <f t="shared" ca="1" si="10040"/>
        <v/>
      </c>
      <c r="AP580" s="699" t="str">
        <f t="shared" ref="AP580" si="10682">_xlfn.CONCAT(AR580,AS580)</f>
        <v/>
      </c>
      <c r="AQ580" s="700" t="str">
        <f t="shared" si="10249"/>
        <v/>
      </c>
      <c r="AR580" s="160" t="str">
        <f t="shared" si="10009"/>
        <v/>
      </c>
      <c r="AS580" s="160" t="str">
        <f>IFERROR(VLOOKUP(J583, WallType,2,FALSE),"")</f>
        <v/>
      </c>
      <c r="AT580" s="701" t="str">
        <f>AL575</f>
        <v/>
      </c>
      <c r="AU580" s="694" t="e">
        <f t="shared" ca="1" si="10265"/>
        <v>#REF!</v>
      </c>
      <c r="AV580" s="698" t="str">
        <f ca="1">IFERROR(VLOOKUP(AU580,INDIRECT(AQ575),2,FALSE),"----")</f>
        <v>----</v>
      </c>
      <c r="AW580" s="702" t="e">
        <f t="shared" ca="1" si="10266"/>
        <v>#REF!</v>
      </c>
      <c r="AX580" s="698" t="str">
        <f ca="1">IFERROR(VLOOKUP(AW580,INDIRECT(AQ576),2,FALSE),"----")</f>
        <v>----</v>
      </c>
      <c r="AY580" s="702" t="e">
        <f t="shared" ref="AY580:AY595" ca="1" si="10683">AY579-1</f>
        <v>#REF!</v>
      </c>
      <c r="AZ580" s="698" t="str">
        <f ca="1">IFERROR(VLOOKUP(AY580,INDIRECT(AQ577),2,FALSE),"----")</f>
        <v>----</v>
      </c>
      <c r="BA580" s="702" t="e">
        <f t="shared" ref="BA580:BA595" ca="1" si="10684">BA579-1</f>
        <v>#REF!</v>
      </c>
      <c r="BB580" s="698" t="str">
        <f ca="1">IFERROR(VLOOKUP(BA580,INDIRECT(AQ578),2,FALSE),"----")</f>
        <v>----</v>
      </c>
      <c r="BC580" s="702" t="e">
        <f t="shared" ca="1" si="10267"/>
        <v>#REF!</v>
      </c>
      <c r="BD580" s="698" t="str">
        <f ca="1">IFERROR(VLOOKUP(BC580,INDIRECT(AQ579),2,FALSE),"----")</f>
        <v>----</v>
      </c>
      <c r="BE580" s="702" t="e">
        <f t="shared" ca="1" si="10268"/>
        <v>#REF!</v>
      </c>
      <c r="BF580" s="698" t="str">
        <f ca="1">IFERROR(VLOOKUP(BE580,INDIRECT(AQ580),2,FALSE),"----")</f>
        <v>----</v>
      </c>
      <c r="BG580" s="702" t="e">
        <f t="shared" ca="1" si="10269"/>
        <v>#REF!</v>
      </c>
      <c r="BH580" s="686" t="str">
        <f ca="1">IFERROR(VLOOKUP(BG580,INDIRECT(AQ581),2,FALSE),"----")</f>
        <v>----</v>
      </c>
      <c r="BI580" s="702" t="e">
        <f t="shared" ca="1" si="10270"/>
        <v>#REF!</v>
      </c>
      <c r="BJ580" s="686" t="str">
        <f ca="1">IFERROR(VLOOKUP(BI580,INDIRECT(AQ582),2,FALSE),"----")</f>
        <v>----</v>
      </c>
      <c r="BK580" s="702" t="e">
        <f t="shared" ca="1" si="10271"/>
        <v>#REF!</v>
      </c>
      <c r="BL580" s="686" t="str">
        <f ca="1">IFERROR(VLOOKUP(BK580,INDIRECT(AQ583),2,FALSE),"----")</f>
        <v>----</v>
      </c>
      <c r="BM580" s="702" t="e">
        <f t="shared" ca="1" si="10272"/>
        <v>#REF!</v>
      </c>
      <c r="BN580" s="686" t="str">
        <f ca="1">IFERROR(VLOOKUP(BM580,INDIRECT(AQ584),2,FALSE),"----")</f>
        <v>----</v>
      </c>
      <c r="BO580" s="702" t="e">
        <f t="shared" ca="1" si="10273"/>
        <v>#REF!</v>
      </c>
      <c r="BP580" s="686" t="str">
        <f ca="1">IFERROR(VLOOKUP(BO580,INDIRECT(AQ585),2,FALSE),"----")</f>
        <v>----</v>
      </c>
      <c r="BQ580" s="702" t="e">
        <f t="shared" ca="1" si="10274"/>
        <v>#REF!</v>
      </c>
      <c r="BR580" s="686" t="str">
        <f ca="1">IFERROR(VLOOKUP(BQ580,INDIRECT(AQ586),2,FALSE),"----")</f>
        <v>----</v>
      </c>
      <c r="BS580" s="703">
        <f>IF(AI580="",1,IF(COUNTIF(BF575:BF586,AI580)=0,2,1))</f>
        <v>1</v>
      </c>
      <c r="BT580" s="704">
        <f>IF(AF580="",1,IF(BF575=".",2,1))</f>
        <v>1</v>
      </c>
      <c r="BV580" s="155">
        <f ca="1">IF(COUNTIF(DD575:DD586,AF580)=0,IF(AF580&lt;&gt;"",0,1),1)</f>
        <v>1</v>
      </c>
      <c r="BW580" s="157">
        <f ca="1">IFERROR(MATCH(AF580,DD575:DD586,0),1)</f>
        <v>1</v>
      </c>
      <c r="BX580" s="875" t="s">
        <v>1594</v>
      </c>
      <c r="BY580" s="876"/>
      <c r="BZ580" s="1110"/>
      <c r="CA580" s="691" t="e">
        <f t="shared" ca="1" si="10602"/>
        <v>#REF!</v>
      </c>
      <c r="CB580" s="4" t="e" cm="1">
        <f t="array" aca="1" ref="CB580" ca="1">IF(AND(INDEX(INDIRECT(BY575),CA580,4)&gt;=$AB575,INDEX(INDIRECT(BY575),CA580,5)&gt;=$S575,INDEX(INDIRECT(BY575),CA580,6)&gt;=$R575),1,0)</f>
        <v>#REF!</v>
      </c>
      <c r="CC580" s="4" t="e">
        <f t="shared" ref="CC580" ca="1" si="10685">MATCH(1,OFFSET(CB575:CB586,CD579,0,COUNT(CB575:CB586)-CD579),0)</f>
        <v>#REF!</v>
      </c>
      <c r="CD580" s="4" t="e">
        <f t="shared" ca="1" si="10604"/>
        <v>#REF!</v>
      </c>
      <c r="CE580" s="692" t="str" cm="1">
        <f t="array" aca="1" ref="CE580" ca="1">IFERROR(VLOOKUP(INDEX(CA575:CA586,CD580),INDIRECT(BY575),2,FALSE),"----")</f>
        <v>----</v>
      </c>
      <c r="CF580" s="691" t="e">
        <f t="shared" ca="1" si="10605"/>
        <v>#N/A</v>
      </c>
      <c r="CG580" s="4" t="e">
        <f ca="1">IF(AND(INDEX(SSM,CF580,4)&gt;=$AB575,INDEX(SSM,CF580,5)&gt;=$S575,INDEX(SSM,CF580,6)&gt;=$R575),1,0)</f>
        <v>#N/A</v>
      </c>
      <c r="CH580" s="4" t="e">
        <f t="shared" ref="CH580" ca="1" si="10686">MATCH(1,OFFSET(CG575:CG586,CI579,0,COUNT(CG575:CG586)-CI579),0)</f>
        <v>#REF!</v>
      </c>
      <c r="CI580" s="4" t="e">
        <f t="shared" ca="1" si="10607"/>
        <v>#REF!</v>
      </c>
      <c r="CJ580" s="692" t="str">
        <f ca="1">IFERROR(IF(AD576="Nested Steel Stud (wood infill)",VLOOKUP(INDEX(CF575:CF586,CI580),SSW,2,FALSE),VLOOKUP(INDEX(CF575:CF586,CI580),SSM,2,FALSE)),"----")</f>
        <v>----</v>
      </c>
      <c r="CK580" s="691" t="e">
        <f t="shared" ca="1" si="10608"/>
        <v>#N/A</v>
      </c>
      <c r="CL580" s="4" t="e">
        <f ca="1">IF(AND(INDEX(WSM,CK580,4)&gt;=$AB575,INDEX(WSM,CK580,5)&gt;=$S575,INDEX(WSM,CK580,6)&gt;=$R575),1,0)</f>
        <v>#N/A</v>
      </c>
      <c r="CM580" s="4" t="e">
        <f t="shared" ref="CM580" ca="1" si="10687">MATCH(1,OFFSET(CL575:CL586,CN579,0,COUNT(CL575:CL586)-CN579),0)</f>
        <v>#REF!</v>
      </c>
      <c r="CN580" s="4" t="e">
        <f t="shared" ca="1" si="10610"/>
        <v>#REF!</v>
      </c>
      <c r="CO580" s="692" t="str">
        <f ca="1">IFERROR(VLOOKUP(INDEX(CK575:CK586,CN580),WSM,2,FALSE),"----")</f>
        <v>----</v>
      </c>
      <c r="CP580" s="691" t="e">
        <f t="shared" ca="1" si="10611"/>
        <v>#N/A</v>
      </c>
      <c r="CQ580" s="4" t="e">
        <f ca="1">IF(AND(INDEX(STM,CP580,4)&gt;=$AB575,INDEX(STM,CP580,5)&gt;=$S575,INDEX(STM,CP580,6)&gt;=$R575),1,0)</f>
        <v>#N/A</v>
      </c>
      <c r="CR580" s="4" t="e">
        <f t="shared" ref="CR580" ca="1" si="10688">MATCH(1,OFFSET(CQ575:CQ586,CS579,0,COUNT(CQ575:CQ586)-CS579),0)</f>
        <v>#REF!</v>
      </c>
      <c r="CS580" s="4" t="e">
        <f t="shared" ca="1" si="10613"/>
        <v>#REF!</v>
      </c>
      <c r="CT580" s="692" t="str">
        <f ca="1">IFERROR(VLOOKUP(INDEX(CP575:CP586,CS580),STM,2,FALSE),"----")</f>
        <v>----</v>
      </c>
      <c r="CU580" s="691" t="e">
        <f t="shared" ca="1" si="10614"/>
        <v>#N/A</v>
      </c>
      <c r="CV580" s="4" t="e">
        <f ca="1">IF(AND(INDEX(ELM,CU580,4)&gt;=$AB575,INDEX(ELM,CU580,5)&gt;=$S575,INDEX(ELM,CU580,6)&gt;=$R575),1,0)</f>
        <v>#N/A</v>
      </c>
      <c r="CW580" s="4" t="e">
        <f t="shared" ref="CW580" ca="1" si="10689">MATCH(1,OFFSET(CV575:CV586,CX579,0,COUNT(CV575:CV586)-CX579),0)</f>
        <v>#REF!</v>
      </c>
      <c r="CX580" s="4" t="e">
        <f t="shared" ca="1" si="10616"/>
        <v>#REF!</v>
      </c>
      <c r="CY580" s="692" t="str">
        <f ca="1">IFERROR(VLOOKUP(INDEX(CU575:CU586,CX580),ELM,2,FALSE),"----")</f>
        <v>----</v>
      </c>
      <c r="CZ580" s="691" t="e">
        <f t="shared" ca="1" si="10617"/>
        <v>#N/A</v>
      </c>
      <c r="DA580" s="4" t="e">
        <f ca="1">IF(LEFT($J575,7)="Clad Wo",IF(AND(INDEX(SPPWS,CZ580,4)&gt;=$AB575,INDEX(SPPWS,CZ580,5)&gt;=$S575,INDEX(SPPWS,CZ580,6)&gt;=$R575),1,0),IF(AND(INDEX(SPM,CZ580,4)&gt;=$AB575,INDEX(SPM,CZ580,5)&gt;=$S575,INDEX(SPM,CZ580,6)&gt;=$R575),1,0))</f>
        <v>#N/A</v>
      </c>
      <c r="DB580" s="4" t="e">
        <f t="shared" ref="DB580" ca="1" si="10690">MATCH(1,OFFSET(DA575:DA586,DC579,0,COUNT(DA575:DA586)-DC579),0)</f>
        <v>#REF!</v>
      </c>
      <c r="DC580" s="4" t="e">
        <f t="shared" ca="1" si="10619"/>
        <v>#REF!</v>
      </c>
      <c r="DD580" s="693" t="str">
        <f ca="1">IF(LEFT($J575,7)="Clad Wo",IFERROR(VLOOKUP(INDEX(CZ575:CZ586,DC580),SPPWS,2,FALSE),"----"),IFERROR(VLOOKUP(INDEX(CZ575:CZ586,DC580),SPM,2,FALSE),"----"))</f>
        <v>----</v>
      </c>
      <c r="DE580" s="691" t="e">
        <f t="shared" ca="1" si="10620"/>
        <v>#REF!</v>
      </c>
      <c r="DF580" s="4" t="e" cm="1">
        <f t="array" aca="1" ref="DF580" ca="1">IF(AND(INDEX(INDIRECT(BY575),DE580,4)&gt;=$AB581,INDEX(INDIRECT(BY575),DE580,5)&gt;=$S575,INDEX(INDIRECT(BY575),DE580,6)&gt;=$R575),1,0)</f>
        <v>#REF!</v>
      </c>
      <c r="DG580" s="4" t="e">
        <f t="shared" ref="DG580" ca="1" si="10691">MATCH(1,OFFSET(DF575:DF586,DH579,0,COUNT(DF575:DF586)-DH579),0)</f>
        <v>#REF!</v>
      </c>
      <c r="DH580" s="4" t="e">
        <f t="shared" ca="1" si="10622"/>
        <v>#REF!</v>
      </c>
      <c r="DI580" s="692" t="str" cm="1">
        <f t="array" aca="1" ref="DI580" ca="1">IFERROR(VLOOKUP(INDEX(DE575:DE586,DH580),INDIRECT(BY575),2,FALSE),"----")</f>
        <v>----</v>
      </c>
      <c r="DJ580" s="691" t="e">
        <f t="shared" ca="1" si="10623"/>
        <v>#N/A</v>
      </c>
      <c r="DK580" s="4" t="e">
        <f ca="1">IF(AND(INDEX(SSM,DJ580,4)&gt;=$AB581,INDEX(SSM,DJ580,5)&gt;=$S575,INDEX(SSM,DJ580,6)&gt;=$R575),1,0)</f>
        <v>#N/A</v>
      </c>
      <c r="DL580" s="4" t="e">
        <f t="shared" ref="DL580" ca="1" si="10692">MATCH(1,OFFSET(DK575:DK586,DM579,0,COUNT(DK575:DK586)-DM579),0)</f>
        <v>#REF!</v>
      </c>
      <c r="DM580" s="4" t="e">
        <f t="shared" ca="1" si="10625"/>
        <v>#REF!</v>
      </c>
      <c r="DN580" s="692" t="str">
        <f ca="1">IFERROR(IF(AD582="Nested Steel Stud (wood infill)",VLOOKUP(INDEX(DJ575:DJ586,DM580),SSW,2,FALSE),VLOOKUP(INDEX(DJ575:DJ586,DM580),SSM,2,FALSE)),"----")</f>
        <v>----</v>
      </c>
      <c r="DO580" s="691" t="e">
        <f t="shared" ca="1" si="10626"/>
        <v>#N/A</v>
      </c>
      <c r="DP580" s="4" t="e">
        <f ca="1">IF(AND(INDEX(WSM,DO580,4)&gt;=$AB581,INDEX(WSM,DO580,5)&gt;=$S575,INDEX(WSM,DO580,6)&gt;=$R575),1,0)</f>
        <v>#N/A</v>
      </c>
      <c r="DQ580" s="4" t="e">
        <f t="shared" ref="DQ580" ca="1" si="10693">MATCH(1,OFFSET(DP575:DP586,DR579,0,COUNT(DP575:DP586)-DR579),0)</f>
        <v>#REF!</v>
      </c>
      <c r="DR580" s="4" t="e">
        <f t="shared" ca="1" si="10628"/>
        <v>#REF!</v>
      </c>
      <c r="DS580" s="692" t="str">
        <f ca="1">IFERROR(VLOOKUP(INDEX(DO575:DO586,DR580),WSM,2,FALSE),"----")</f>
        <v>----</v>
      </c>
      <c r="DT580" s="691" t="e">
        <f t="shared" ca="1" si="10629"/>
        <v>#N/A</v>
      </c>
      <c r="DU580" s="4" t="e">
        <f ca="1">IF(AND(INDEX(STM,DT580,4)&gt;=$AB581,INDEX(STM,DT580,5)&gt;=$S575,INDEX(STM,DT580,6)&gt;=$R575),1,0)</f>
        <v>#N/A</v>
      </c>
      <c r="DV580" s="4" t="e">
        <f t="shared" ref="DV580" ca="1" si="10694">MATCH(1,OFFSET(DU575:DU586,DW579,0,COUNT(DU575:DU586)-DW579),0)</f>
        <v>#REF!</v>
      </c>
      <c r="DW580" s="4" t="e">
        <f t="shared" ca="1" si="10631"/>
        <v>#REF!</v>
      </c>
      <c r="DX580" s="692" t="str">
        <f ca="1">IFERROR(VLOOKUP(INDEX(DT575:DT586,DW580),STM,2,FALSE),"----")</f>
        <v>----</v>
      </c>
      <c r="DY580" s="691" t="e">
        <f t="shared" ca="1" si="10632"/>
        <v>#N/A</v>
      </c>
      <c r="DZ580" s="4" t="e">
        <f ca="1">IF(AND(INDEX(ELM,DY580,4)&gt;=$AB581,INDEX(ELM,DY580,5)&gt;=$S575,INDEX(ELM,DY580,6)&gt;=$R575),1,0)</f>
        <v>#N/A</v>
      </c>
      <c r="EA580" s="4" t="e">
        <f t="shared" ref="EA580" ca="1" si="10695">MATCH(1,OFFSET(DZ575:DZ586,EB579,0,COUNT(DZ575:DZ586)-EB579),0)</f>
        <v>#REF!</v>
      </c>
      <c r="EB580" s="4" t="e">
        <f t="shared" ca="1" si="10634"/>
        <v>#REF!</v>
      </c>
      <c r="EC580" s="692" t="str">
        <f ca="1">IFERROR(VLOOKUP(INDEX(DY575:DY586,EB580),ELM,2,FALSE),"----")</f>
        <v>----</v>
      </c>
      <c r="ED580" s="691" t="e">
        <f t="shared" ca="1" si="10635"/>
        <v>#N/A</v>
      </c>
      <c r="EE580" s="4" t="e">
        <f ca="1">IF(LEFT($J575,7)="Clad Wo",IF(AND(INDEX(SPPWS,ED580,4)&gt;=$AB581,INDEX(SPPWS,ED580,5)&gt;=$S575,INDEX(SPPWS,ED580,6)&gt;=$R575),1,0),IF(AND(INDEX(SPM,ED580,4)&gt;=$AB581,INDEX(SPM,ED580,5)&gt;=$S575,INDEX(SPM,ED580,6)&gt;=$R575),1,0))</f>
        <v>#N/A</v>
      </c>
      <c r="EF580" s="4" t="e">
        <f t="shared" ref="EF580" ca="1" si="10696">MATCH(1,OFFSET(EE575:EE586,EG579,0,COUNT(EE575:EE586)-EG579),0)</f>
        <v>#REF!</v>
      </c>
      <c r="EG580" s="4" t="e">
        <f t="shared" ca="1" si="10637"/>
        <v>#REF!</v>
      </c>
      <c r="EH580" s="692" t="str">
        <f ca="1">IF(LEFT($J575,7)="Clad Wo",IFERROR(VLOOKUP(INDEX(ED575:ED586,EG580),SPPWS,2,FALSE),"----"),IFERROR(VLOOKUP(INDEX(ED575:ED586,EG580),SPM,2,FALSE),"----"))</f>
        <v>----</v>
      </c>
    </row>
    <row r="581" spans="1:138" ht="15" customHeight="1" x14ac:dyDescent="0.25">
      <c r="A581" s="1085"/>
      <c r="B581" s="925" t="s">
        <v>409</v>
      </c>
      <c r="C581" s="926"/>
      <c r="D581" s="927"/>
      <c r="E581" s="995"/>
      <c r="F581" s="996"/>
      <c r="G581" s="997"/>
      <c r="H581" s="1062"/>
      <c r="I581" s="990"/>
      <c r="J581" s="908"/>
      <c r="K581" s="909"/>
      <c r="L581" s="1001">
        <f>L575+1</f>
        <v>5</v>
      </c>
      <c r="M581" s="1064" t="str">
        <f t="shared" ref="M581" si="10697">IFERROR(IF($AE$17="",IF($AG$19="Wind Loading",MIN($V$31,IF(E$11="ASCE 7-05",$U$26,$V$7)*$V$9*(IF($E$12&lt;60,0.156*LN(MAX(MIN(500,O575),10)) -1.7618,IF($E$11="ASCE 7-22", 0.2026*LN(MAX(MIN(500,O575),20))-2.2638,0.2503*LN(MAX(MIN(500,O575),20)) -2.5526))-$V$8)),$V$7*IF(E$12&lt;60,$V$13*($V$15*(0.156*LN(MAX(MIN(500,O575),10)) -1.7618)-$V$16),$V$13*$V$15*((0.2026*LN(MAX(MIN(500,O575),20))-2.2638)-$V$16))),-ABS($AE$17)),"")</f>
        <v/>
      </c>
      <c r="N581" s="1041" t="str">
        <f t="shared" ref="N581" si="10698">IFERROR(IF($AE$19="",IF($AG$19="Wind Loading",MAX($U$31,IF(E$11="ASCE 7-05",$U$26,$V$7)*$V$9*((IF($E$12&lt;60,-0.077*LN(MAX(MIN(500,O575),10))+1.1737,IF($E$11="ASCE 7-22",-0.077*LN(MAX(MIN(500,O575),20))+1.0798,-0.093*LN(MAX(MIN(500,O575),20))+1.1776)))+$V$8)),$V$7*IF(E$12&lt;60,$V$13*($V$15*(-0.077*LN(MAX(MIN(500,O575),10))+1.1737)-$V$17),$V$13*$V$15*((-0.077*LN(MAX(MIN(500,O575),20))+1.0798)-$V$17))),ABS($AE$19)),"")</f>
        <v/>
      </c>
      <c r="O581" s="1018"/>
      <c r="P581" s="987"/>
      <c r="Q581" s="1015"/>
      <c r="R581" s="1012">
        <f>P581*Q581/8</f>
        <v>0</v>
      </c>
      <c r="S581" s="1006"/>
      <c r="T581" s="1007"/>
      <c r="U581" s="878"/>
      <c r="V581" s="881"/>
      <c r="W581" s="883" t="e">
        <f t="shared" ref="W581" si="10699">MAX(-M581,N581)*O575</f>
        <v>#VALUE!</v>
      </c>
      <c r="X581" s="884"/>
      <c r="Y581" s="886">
        <f>IFERROR(IF(AG$14="Trapezoidal",BY584,BX584)+IF($E$17="4",(400*E575^3)/(48*X575),0),0)</f>
        <v>0</v>
      </c>
      <c r="Z581" s="886" t="e">
        <f t="shared" ref="Z581" si="10700">+($V575*MAX(-$M581,$N581)*$E575^2)/(144*8)+IF($E$17=4,(400*$E575)/4,0)</f>
        <v>#VALUE!</v>
      </c>
      <c r="AA581" s="887"/>
      <c r="AB581" s="1080" t="str">
        <f t="shared" ref="AB581" ca="1" si="10701">IFERROR(Z581-AA575,"")</f>
        <v/>
      </c>
      <c r="AC581" s="1086" t="str">
        <f t="shared" ref="AC581" ca="1" si="10702">IFERROR(Y581-U575,"")</f>
        <v/>
      </c>
      <c r="AD581" s="1074" t="str">
        <f t="shared" ref="AD581" si="10703">AD575</f>
        <v/>
      </c>
      <c r="AE581" s="1075"/>
      <c r="AF581" s="1056"/>
      <c r="AG581" s="1057"/>
      <c r="AH581" s="1057"/>
      <c r="AI581" s="1088"/>
      <c r="AJ581" s="1089"/>
      <c r="AK581" s="162" t="str">
        <f t="shared" ca="1" si="10024"/>
        <v/>
      </c>
      <c r="AL581" s="1058" t="str">
        <f t="shared" ref="AL581" si="10704">IFERROR(ROUND(SQRT(P575^2+(W581/2+IF($E$17=4,200,0))^2),0),"")</f>
        <v/>
      </c>
      <c r="AM581" s="342" t="s">
        <v>669</v>
      </c>
      <c r="AN581" t="str">
        <f t="shared" ca="1" si="10040"/>
        <v/>
      </c>
      <c r="AP581" s="122" t="str">
        <f t="shared" ref="AP581" si="10705">_xlfn.CONCAT(AR581,AS586)</f>
        <v/>
      </c>
      <c r="AQ581" s="683" t="str">
        <f t="shared" si="10249"/>
        <v/>
      </c>
      <c r="AR581" s="96" t="str">
        <f t="shared" si="10009"/>
        <v/>
      </c>
      <c r="AS581" s="96" t="str">
        <f>IF(COUNTIF(imp_1,AF581)=1,"imp_1",IF(COUNTIF(imp_2,AF581)=1,"imp_2",IF(COUNTIF(imp_3,AF581)=1,"imp_3",IF(COUNTIF(impdoor,AF581)=1,"impdoor",""))))</f>
        <v/>
      </c>
      <c r="AT581" s="684" t="str">
        <f>AL581</f>
        <v/>
      </c>
      <c r="AU581" s="685" t="e">
        <f t="shared" ca="1" si="10265"/>
        <v>#REF!</v>
      </c>
      <c r="AV581" s="686" t="str">
        <f ca="1">IFERROR(VLOOKUP(AU581,INDIRECT(AQ575),2,FALSE),"----")</f>
        <v>----</v>
      </c>
      <c r="AW581" s="685" t="e">
        <f t="shared" ca="1" si="10266"/>
        <v>#REF!</v>
      </c>
      <c r="AX581" s="686" t="str">
        <f ca="1">IFERROR(VLOOKUP(AW581,INDIRECT(AQ576),2,FALSE),"----")</f>
        <v>----</v>
      </c>
      <c r="AY581" s="685" t="e">
        <f t="shared" ca="1" si="10683"/>
        <v>#REF!</v>
      </c>
      <c r="AZ581" s="686" t="str">
        <f ca="1">IFERROR(VLOOKUP(AY581,INDIRECT(AQ577),2,FALSE),"----")</f>
        <v>----</v>
      </c>
      <c r="BA581" s="685" t="e">
        <f t="shared" ca="1" si="10684"/>
        <v>#REF!</v>
      </c>
      <c r="BB581" s="686" t="str">
        <f ca="1">IFERROR(VLOOKUP(BA581,INDIRECT(AQ578),2,FALSE),"----")</f>
        <v>----</v>
      </c>
      <c r="BC581" s="685" t="e">
        <f t="shared" ca="1" si="10267"/>
        <v>#REF!</v>
      </c>
      <c r="BD581" s="686" t="str">
        <f ca="1">IFERROR(VLOOKUP(BC581,INDIRECT(AQ579),2,FALSE),"----")</f>
        <v>----</v>
      </c>
      <c r="BE581" s="685" t="e">
        <f t="shared" ca="1" si="10268"/>
        <v>#REF!</v>
      </c>
      <c r="BF581" s="686" t="str">
        <f ca="1">IFERROR(VLOOKUP(BE581,INDIRECT(AQ580),2,FALSE),"----")</f>
        <v>----</v>
      </c>
      <c r="BG581" s="702" t="e">
        <f t="shared" ca="1" si="10269"/>
        <v>#REF!</v>
      </c>
      <c r="BH581" s="686" t="str">
        <f ca="1">IFERROR(VLOOKUP(BG581,INDIRECT(AQ581),2,FALSE),"----")</f>
        <v>----</v>
      </c>
      <c r="BI581" s="702" t="e">
        <f t="shared" ca="1" si="10270"/>
        <v>#REF!</v>
      </c>
      <c r="BJ581" s="686" t="str">
        <f ca="1">IFERROR(VLOOKUP(BI581,INDIRECT(AQ582),2,FALSE),"----")</f>
        <v>----</v>
      </c>
      <c r="BK581" s="702" t="e">
        <f t="shared" ca="1" si="10271"/>
        <v>#REF!</v>
      </c>
      <c r="BL581" s="686" t="str">
        <f ca="1">IFERROR(VLOOKUP(BK581,INDIRECT(AQ583),2,FALSE),"----")</f>
        <v>----</v>
      </c>
      <c r="BM581" s="702" t="e">
        <f t="shared" ca="1" si="10272"/>
        <v>#REF!</v>
      </c>
      <c r="BN581" s="686" t="str">
        <f ca="1">IFERROR(VLOOKUP(BM581,INDIRECT(AQ584),2,FALSE),"----")</f>
        <v>----</v>
      </c>
      <c r="BO581" s="702" t="e">
        <f t="shared" ca="1" si="10273"/>
        <v>#REF!</v>
      </c>
      <c r="BP581" s="686" t="str">
        <f ca="1">IFERROR(VLOOKUP(BO581,INDIRECT(AQ585),2,FALSE),"----")</f>
        <v>----</v>
      </c>
      <c r="BQ581" s="702" t="e">
        <f t="shared" ca="1" si="10274"/>
        <v>#REF!</v>
      </c>
      <c r="BR581" s="686" t="str">
        <f ca="1">IFERROR(VLOOKUP(BQ581,INDIRECT(AQ586),2,FALSE),"----")</f>
        <v>----</v>
      </c>
      <c r="BS581" s="695">
        <f>IF(AI581="",1,IF(COUNTIF(BH575:BH586,AI581)=0,2,1))</f>
        <v>1</v>
      </c>
      <c r="BT581" s="696">
        <f>IF(AP581="1",1,IF(AF581="",1,IF(BH575=".",2,1)))</f>
        <v>1</v>
      </c>
      <c r="BU581" s="706"/>
      <c r="BV581" s="155">
        <f ca="1">IF(COUNTIF(DI575:DI586,AF581)=0,IF(AF581&lt;&gt;"",0,1),1)</f>
        <v>1</v>
      </c>
      <c r="BW581" s="157">
        <f ca="1">IFERROR(MATCH(AF581,DI575:DI586,0),1)</f>
        <v>1</v>
      </c>
      <c r="BX581" s="769" t="s">
        <v>1593</v>
      </c>
      <c r="BY581" s="769" t="s">
        <v>1629</v>
      </c>
      <c r="BZ581" s="1110"/>
      <c r="CA581" s="691" t="e">
        <f t="shared" ca="1" si="10602"/>
        <v>#REF!</v>
      </c>
      <c r="CB581" s="4" t="e" cm="1">
        <f t="array" aca="1" ref="CB581" ca="1">IF(AND(INDEX(INDIRECT(BY575),CA581,4)&gt;=$AB575,INDEX(INDIRECT(BY575),CA581,5)&gt;=$S575,INDEX(INDIRECT(BY575),CA581,6)&gt;=$R575),1,0)</f>
        <v>#REF!</v>
      </c>
      <c r="CC581" s="4" t="e">
        <f t="shared" ref="CC581" ca="1" si="10706">MATCH(1,OFFSET(CB575:CB586,CD580,0,COUNT(CB575:CB586)-CD580),0)</f>
        <v>#REF!</v>
      </c>
      <c r="CD581" s="4" t="e">
        <f t="shared" ca="1" si="10604"/>
        <v>#REF!</v>
      </c>
      <c r="CE581" s="692" t="str" cm="1">
        <f t="array" aca="1" ref="CE581" ca="1">IFERROR(VLOOKUP(INDEX(CA575:CA586,CD581),INDIRECT(BY575),2,FALSE),"----")</f>
        <v>----</v>
      </c>
      <c r="CF581" s="691" t="e">
        <f t="shared" ca="1" si="10605"/>
        <v>#N/A</v>
      </c>
      <c r="CG581" s="4" t="e">
        <f ca="1">IF(AND(INDEX(SSM,CF581,4)&gt;=$AB575,INDEX(SSM,CF581,5)&gt;=$S575,INDEX(SSM,CF581,6)&gt;=$R575),1,0)</f>
        <v>#N/A</v>
      </c>
      <c r="CH581" s="4" t="e">
        <f t="shared" ref="CH581" ca="1" si="10707">MATCH(1,OFFSET(CG575:CG586,CI580,0,COUNT(CG575:CG586)-CI580),0)</f>
        <v>#REF!</v>
      </c>
      <c r="CI581" s="4" t="e">
        <f t="shared" ca="1" si="10607"/>
        <v>#REF!</v>
      </c>
      <c r="CJ581" s="692" t="str">
        <f ca="1">IFERROR(IF(AD576="Nested Steel Stud (wood infill)",VLOOKUP(INDEX(CF575:CF586,CI581),SSW,2,FALSE),VLOOKUP(INDEX(CF575:CF586,CI581),SSM,2,FALSE)),"----")</f>
        <v>----</v>
      </c>
      <c r="CK581" s="691" t="e">
        <f t="shared" ca="1" si="10608"/>
        <v>#N/A</v>
      </c>
      <c r="CL581" s="4" t="e">
        <f ca="1">IF(AND(INDEX(WSM,CK581,4)&gt;=$AB575,INDEX(WSM,CK581,5)&gt;=$S575,INDEX(WSM,CK581,6)&gt;=$R575),1,0)</f>
        <v>#N/A</v>
      </c>
      <c r="CM581" s="4" t="e">
        <f t="shared" ref="CM581" ca="1" si="10708">MATCH(1,OFFSET(CL575:CL586,CN580,0,COUNT(CL575:CL586)-CN580),0)</f>
        <v>#REF!</v>
      </c>
      <c r="CN581" s="4" t="e">
        <f t="shared" ca="1" si="10610"/>
        <v>#REF!</v>
      </c>
      <c r="CO581" s="692" t="str">
        <f ca="1">IFERROR(VLOOKUP(INDEX(CK575:CK586,CN581),WSM,2,FALSE),"----")</f>
        <v>----</v>
      </c>
      <c r="CP581" s="691" t="e">
        <f t="shared" ca="1" si="10611"/>
        <v>#N/A</v>
      </c>
      <c r="CQ581" s="4" t="e">
        <f ca="1">IF(AND(INDEX(STM,CP581,4)&gt;=$AB575,INDEX(STM,CP581,5)&gt;=$S575,INDEX(STM,CP581,6)&gt;=$R575),1,0)</f>
        <v>#N/A</v>
      </c>
      <c r="CR581" s="4" t="e">
        <f t="shared" ref="CR581" ca="1" si="10709">MATCH(1,OFFSET(CQ575:CQ586,CS580,0,COUNT(CQ575:CQ586)-CS580),0)</f>
        <v>#REF!</v>
      </c>
      <c r="CS581" s="4" t="e">
        <f t="shared" ca="1" si="10613"/>
        <v>#REF!</v>
      </c>
      <c r="CT581" s="692" t="str">
        <f ca="1">IFERROR(VLOOKUP(INDEX(CP575:CP586,CS581),STM,2,FALSE),"----")</f>
        <v>----</v>
      </c>
      <c r="CU581" s="691" t="e">
        <f t="shared" ca="1" si="10614"/>
        <v>#N/A</v>
      </c>
      <c r="CV581" s="4" t="e">
        <f ca="1">IF(AND(INDEX(ELM,CU581,4)&gt;=$AB575,INDEX(ELM,CU581,5)&gt;=$S575,INDEX(ELM,CU581,6)&gt;=$R575),1,0)</f>
        <v>#N/A</v>
      </c>
      <c r="CW581" s="4" t="e">
        <f t="shared" ref="CW581" ca="1" si="10710">MATCH(1,OFFSET(CV575:CV586,CX580,0,COUNT(CV575:CV586)-CX580),0)</f>
        <v>#REF!</v>
      </c>
      <c r="CX581" s="4" t="e">
        <f t="shared" ca="1" si="10616"/>
        <v>#REF!</v>
      </c>
      <c r="CY581" s="692" t="str">
        <f ca="1">IFERROR(VLOOKUP(INDEX(CU575:CU586,CX581),ELM,2,FALSE),"----")</f>
        <v>----</v>
      </c>
      <c r="CZ581" s="691" t="e">
        <f t="shared" ca="1" si="10617"/>
        <v>#N/A</v>
      </c>
      <c r="DA581" s="4" t="e">
        <f ca="1">IF(LEFT($J575,7)="Clad Wo",IF(AND(INDEX(SPPWS,CZ581,4)&gt;=$AB575,INDEX(SPPWS,CZ581,5)&gt;=$S575,INDEX(SPPWS,CZ581,6)&gt;=$R575),1,0),IF(AND(INDEX(SPM,CZ581,4)&gt;=$AB575,INDEX(SPM,CZ581,5)&gt;=$S575,INDEX(SPM,CZ581,6)&gt;=$R575),1,0))</f>
        <v>#N/A</v>
      </c>
      <c r="DB581" s="4" t="e">
        <f t="shared" ref="DB581" ca="1" si="10711">MATCH(1,OFFSET(DA575:DA586,DC580,0,COUNT(DA575:DA586)-DC580),0)</f>
        <v>#REF!</v>
      </c>
      <c r="DC581" s="4" t="e">
        <f t="shared" ca="1" si="10619"/>
        <v>#REF!</v>
      </c>
      <c r="DD581" s="693" t="str">
        <f ca="1">IF(LEFT($J575,7)="Clad Wo",IFERROR(VLOOKUP(INDEX(CZ575:CZ586,DC581),SPPWS,2,FALSE),"----"),IFERROR(VLOOKUP(INDEX(CZ575:CZ586,DC581),SPM,2,FALSE),"----"))</f>
        <v>----</v>
      </c>
      <c r="DE581" s="691" t="e">
        <f t="shared" ca="1" si="10620"/>
        <v>#REF!</v>
      </c>
      <c r="DF581" s="4" t="e" cm="1">
        <f t="array" aca="1" ref="DF581" ca="1">IF(AND(INDEX(INDIRECT(BY575),DE581,4)&gt;=$AB581,INDEX(INDIRECT(BY575),DE581,5)&gt;=$S575,INDEX(INDIRECT(BY575),DE581,6)&gt;=$R575),1,0)</f>
        <v>#REF!</v>
      </c>
      <c r="DG581" s="4" t="e">
        <f t="shared" ref="DG581" ca="1" si="10712">MATCH(1,OFFSET(DF575:DF586,DH580,0,COUNT(DF575:DF586)-DH580),0)</f>
        <v>#REF!</v>
      </c>
      <c r="DH581" s="4" t="e">
        <f t="shared" ca="1" si="10622"/>
        <v>#REF!</v>
      </c>
      <c r="DI581" s="692" t="str" cm="1">
        <f t="array" aca="1" ref="DI581" ca="1">IFERROR(VLOOKUP(INDEX(DE575:DE586,DH581),INDIRECT(BY575),2,FALSE),"----")</f>
        <v>----</v>
      </c>
      <c r="DJ581" s="691" t="e">
        <f t="shared" ca="1" si="10623"/>
        <v>#N/A</v>
      </c>
      <c r="DK581" s="4" t="e">
        <f ca="1">IF(AND(INDEX(SSM,DJ581,4)&gt;=$AB581,INDEX(SSM,DJ581,5)&gt;=$S575,INDEX(SSM,DJ581,6)&gt;=$R575),1,0)</f>
        <v>#N/A</v>
      </c>
      <c r="DL581" s="4" t="e">
        <f t="shared" ref="DL581" ca="1" si="10713">MATCH(1,OFFSET(DK575:DK586,DM580,0,COUNT(DK575:DK586)-DM580),0)</f>
        <v>#REF!</v>
      </c>
      <c r="DM581" s="4" t="e">
        <f t="shared" ca="1" si="10625"/>
        <v>#REF!</v>
      </c>
      <c r="DN581" s="692" t="str">
        <f ca="1">IFERROR(IF(AD582="Nested Steel Stud (wood infill)",VLOOKUP(INDEX(DJ575:DJ586,DM581),SSW,2,FALSE),VLOOKUP(INDEX(DJ575:DJ586,DM581),SSM,2,FALSE)),"----")</f>
        <v>----</v>
      </c>
      <c r="DO581" s="691" t="e">
        <f t="shared" ca="1" si="10626"/>
        <v>#N/A</v>
      </c>
      <c r="DP581" s="4" t="e">
        <f ca="1">IF(AND(INDEX(WSM,DO581,4)&gt;=$AB581,INDEX(WSM,DO581,5)&gt;=$S575,INDEX(WSM,DO581,6)&gt;=$R575),1,0)</f>
        <v>#N/A</v>
      </c>
      <c r="DQ581" s="4" t="e">
        <f t="shared" ref="DQ581" ca="1" si="10714">MATCH(1,OFFSET(DP575:DP586,DR580,0,COUNT(DP575:DP586)-DR580),0)</f>
        <v>#REF!</v>
      </c>
      <c r="DR581" s="4" t="e">
        <f t="shared" ca="1" si="10628"/>
        <v>#REF!</v>
      </c>
      <c r="DS581" s="692" t="str">
        <f ca="1">IFERROR(VLOOKUP(INDEX(DO575:DO586,DR581),WSM,2,FALSE),"----")</f>
        <v>----</v>
      </c>
      <c r="DT581" s="691" t="e">
        <f t="shared" ca="1" si="10629"/>
        <v>#N/A</v>
      </c>
      <c r="DU581" s="4" t="e">
        <f ca="1">IF(AND(INDEX(STM,DT581,4)&gt;=$AB581,INDEX(STM,DT581,5)&gt;=$S575,INDEX(STM,DT581,6)&gt;=$R575),1,0)</f>
        <v>#N/A</v>
      </c>
      <c r="DV581" s="4" t="e">
        <f t="shared" ref="DV581" ca="1" si="10715">MATCH(1,OFFSET(DU575:DU586,DW580,0,COUNT(DU575:DU586)-DW580),0)</f>
        <v>#REF!</v>
      </c>
      <c r="DW581" s="4" t="e">
        <f t="shared" ca="1" si="10631"/>
        <v>#REF!</v>
      </c>
      <c r="DX581" s="692" t="str">
        <f ca="1">IFERROR(VLOOKUP(INDEX(DT575:DT586,DW581),STM,2,FALSE),"----")</f>
        <v>----</v>
      </c>
      <c r="DY581" s="691" t="e">
        <f t="shared" ca="1" si="10632"/>
        <v>#N/A</v>
      </c>
      <c r="DZ581" s="4" t="e">
        <f ca="1">IF(AND(INDEX(ELM,DY581,4)&gt;=$AB581,INDEX(ELM,DY581,5)&gt;=$S575,INDEX(ELM,DY581,6)&gt;=$R575),1,0)</f>
        <v>#N/A</v>
      </c>
      <c r="EA581" s="4" t="e">
        <f t="shared" ref="EA581" ca="1" si="10716">MATCH(1,OFFSET(DZ575:DZ586,EB580,0,COUNT(DZ575:DZ586)-EB580),0)</f>
        <v>#REF!</v>
      </c>
      <c r="EB581" s="4" t="e">
        <f t="shared" ca="1" si="10634"/>
        <v>#REF!</v>
      </c>
      <c r="EC581" s="692" t="str">
        <f ca="1">IFERROR(VLOOKUP(INDEX(DY575:DY586,EB581),ELM,2,FALSE),"----")</f>
        <v>----</v>
      </c>
      <c r="ED581" s="691" t="e">
        <f t="shared" ca="1" si="10635"/>
        <v>#N/A</v>
      </c>
      <c r="EE581" s="4" t="e">
        <f ca="1">IF(LEFT($J575,7)="Clad Wo",IF(AND(INDEX(SPPWS,ED581,4)&gt;=$AB581,INDEX(SPPWS,ED581,5)&gt;=$S575,INDEX(SPPWS,ED581,6)&gt;=$R575),1,0),IF(AND(INDEX(SPM,ED581,4)&gt;=$AB581,INDEX(SPM,ED581,5)&gt;=$S575,INDEX(SPM,ED581,6)&gt;=$R575),1,0))</f>
        <v>#N/A</v>
      </c>
      <c r="EF581" s="4" t="e">
        <f t="shared" ref="EF581" ca="1" si="10717">MATCH(1,OFFSET(EE575:EE586,EG580,0,COUNT(EE575:EE586)-EG580),0)</f>
        <v>#REF!</v>
      </c>
      <c r="EG581" s="4" t="e">
        <f t="shared" ca="1" si="10637"/>
        <v>#REF!</v>
      </c>
      <c r="EH581" s="692" t="str">
        <f ca="1">IF(LEFT($J575,7)="Clad Wo",IFERROR(VLOOKUP(INDEX(ED575:ED586,EG581),SPPWS,2,FALSE),"----"),IFERROR(VLOOKUP(INDEX(ED575:ED586,EG581),SPM,2,FALSE),"----"))</f>
        <v>----</v>
      </c>
    </row>
    <row r="582" spans="1:138" ht="15" customHeight="1" x14ac:dyDescent="0.25">
      <c r="A582" s="1085"/>
      <c r="B582" s="925"/>
      <c r="C582" s="926"/>
      <c r="D582" s="927"/>
      <c r="E582" s="995"/>
      <c r="F582" s="996"/>
      <c r="G582" s="997"/>
      <c r="H582" s="1062"/>
      <c r="I582" s="990"/>
      <c r="J582" s="912"/>
      <c r="K582" s="913"/>
      <c r="L582" s="1002"/>
      <c r="M582" s="923"/>
      <c r="N582" s="1042"/>
      <c r="O582" s="1018"/>
      <c r="P582" s="987"/>
      <c r="Q582" s="1015"/>
      <c r="R582" s="1012"/>
      <c r="S582" s="1006"/>
      <c r="T582" s="1007"/>
      <c r="U582" s="878"/>
      <c r="V582" s="881"/>
      <c r="W582" s="884"/>
      <c r="X582" s="884"/>
      <c r="Y582" s="887"/>
      <c r="Z582" s="887"/>
      <c r="AA582" s="887"/>
      <c r="AB582" s="1081"/>
      <c r="AC582" s="1078"/>
      <c r="AD582" s="1070" t="str">
        <f t="shared" ref="AD582" si="10718">IF(ISBLANK(AD576)=TRUE,"",AD576)</f>
        <v>Nested Steel Stud</v>
      </c>
      <c r="AE582" s="1071"/>
      <c r="AF582" s="1052"/>
      <c r="AG582" s="1053"/>
      <c r="AH582" s="1053"/>
      <c r="AI582" s="1066"/>
      <c r="AJ582" s="1067"/>
      <c r="AK582" s="156" t="str">
        <f t="shared" ca="1" si="10024"/>
        <v/>
      </c>
      <c r="AL582" s="1059"/>
      <c r="AM582" s="343" t="str">
        <f ca="1">IFERROR(Q575/12*ROUND(VLOOKUP(AF582,OFFSET(SSM,0,1),6,FALSE),2),"")</f>
        <v/>
      </c>
      <c r="AN582" t="str">
        <f t="shared" ca="1" si="10040"/>
        <v/>
      </c>
      <c r="AP582" s="122" t="str">
        <f t="shared" ref="AP582" si="10719">_xlfn.CONCAT(AR582,AS586)</f>
        <v/>
      </c>
      <c r="AQ582" s="683" t="str">
        <f t="shared" si="10249"/>
        <v/>
      </c>
      <c r="AR582" s="96" t="str">
        <f t="shared" si="10009"/>
        <v/>
      </c>
      <c r="AS582" s="96" t="str">
        <f>IF(COUNTIF(Vista_1,AF581)=1,"Vista_1",IF(COUNTIF(Vista_2,AF581)=1,"Vista_2",""))</f>
        <v/>
      </c>
      <c r="AT582" s="684" t="str">
        <f>AL581</f>
        <v/>
      </c>
      <c r="AU582" s="694" t="e">
        <f t="shared" ca="1" si="10265"/>
        <v>#REF!</v>
      </c>
      <c r="AV582" s="686" t="str">
        <f ca="1">IFERROR(VLOOKUP(AU582,INDIRECT(AQ575),2,FALSE),"----")</f>
        <v>----</v>
      </c>
      <c r="AW582" s="694" t="e">
        <f t="shared" ca="1" si="10266"/>
        <v>#REF!</v>
      </c>
      <c r="AX582" s="686" t="str">
        <f ca="1">IFERROR(VLOOKUP(AW582,INDIRECT(AQ576),2,FALSE),"----")</f>
        <v>----</v>
      </c>
      <c r="AY582" s="694" t="e">
        <f t="shared" ca="1" si="10683"/>
        <v>#REF!</v>
      </c>
      <c r="AZ582" s="686" t="str">
        <f ca="1">IFERROR(VLOOKUP(AY582,INDIRECT(AQ577),2,FALSE),"----")</f>
        <v>----</v>
      </c>
      <c r="BA582" s="694" t="e">
        <f t="shared" ca="1" si="10684"/>
        <v>#REF!</v>
      </c>
      <c r="BB582" s="686" t="str">
        <f ca="1">IFERROR(VLOOKUP(BA582,INDIRECT(AQ578),2,FALSE),"----")</f>
        <v>----</v>
      </c>
      <c r="BC582" s="694" t="e">
        <f t="shared" ca="1" si="10267"/>
        <v>#REF!</v>
      </c>
      <c r="BD582" s="686" t="str">
        <f ca="1">IFERROR(VLOOKUP(BC582,INDIRECT(AQ579),2,FALSE),"----")</f>
        <v>----</v>
      </c>
      <c r="BE582" s="694" t="e">
        <f t="shared" ca="1" si="10268"/>
        <v>#REF!</v>
      </c>
      <c r="BF582" s="686" t="str">
        <f ca="1">IFERROR(VLOOKUP(BE582,INDIRECT(AQ580),2,FALSE),"----")</f>
        <v>----</v>
      </c>
      <c r="BG582" s="702" t="e">
        <f t="shared" ca="1" si="10269"/>
        <v>#REF!</v>
      </c>
      <c r="BH582" s="686" t="str">
        <f ca="1">IFERROR(VLOOKUP(BG582,INDIRECT(AQ581),2,FALSE),"----")</f>
        <v>----</v>
      </c>
      <c r="BI582" s="702" t="e">
        <f t="shared" ca="1" si="10270"/>
        <v>#REF!</v>
      </c>
      <c r="BJ582" s="686" t="str">
        <f ca="1">IFERROR(VLOOKUP(BI582,INDIRECT(AQ582),2,FALSE),"----")</f>
        <v>----</v>
      </c>
      <c r="BK582" s="702" t="e">
        <f t="shared" ca="1" si="10271"/>
        <v>#REF!</v>
      </c>
      <c r="BL582" s="686" t="str">
        <f ca="1">IFERROR(VLOOKUP(BK582,INDIRECT(AQ583),2,FALSE),"----")</f>
        <v>----</v>
      </c>
      <c r="BM582" s="702" t="e">
        <f t="shared" ca="1" si="10272"/>
        <v>#REF!</v>
      </c>
      <c r="BN582" s="686" t="str">
        <f ca="1">IFERROR(VLOOKUP(BM582,INDIRECT(AQ584),2,FALSE),"----")</f>
        <v>----</v>
      </c>
      <c r="BO582" s="702" t="e">
        <f t="shared" ca="1" si="10273"/>
        <v>#REF!</v>
      </c>
      <c r="BP582" s="686" t="str">
        <f ca="1">IFERROR(VLOOKUP(BO582,INDIRECT(AQ585),2,FALSE),"----")</f>
        <v>----</v>
      </c>
      <c r="BQ582" s="702" t="e">
        <f t="shared" ca="1" si="10274"/>
        <v>#REF!</v>
      </c>
      <c r="BR582" s="686" t="str">
        <f ca="1">IFERROR(VLOOKUP(BQ582,INDIRECT(AQ586),2,FALSE),"----")</f>
        <v>----</v>
      </c>
      <c r="BS582" s="695">
        <f>IF(AI582="",1,IF(COUNTIF(BJ575:BJ586,AI582)=0,2,1))</f>
        <v>1</v>
      </c>
      <c r="BT582" s="696">
        <f>IF(AF582="",1,IF(BJ575=".",2,1))</f>
        <v>1</v>
      </c>
      <c r="BU582" s="706"/>
      <c r="BV582" s="155">
        <f ca="1">IF(COUNTIF(DN575:DN586,AF582)=0,IF(AF582&lt;&gt;"",0,1),1)</f>
        <v>1</v>
      </c>
      <c r="BW582" s="157">
        <f ca="1">IFERROR(MATCH(AF582,DN575:DN586,0),1)</f>
        <v>1</v>
      </c>
      <c r="BX582" s="769">
        <f t="shared" ref="BX582" si="10720">E575*(H575+I575)/144/2</f>
        <v>0</v>
      </c>
      <c r="BY582" s="769">
        <f>SUM(IF(H575&gt;E575,E575^2/4,(H575*E575/2)-(H575^2/4))/144,IF(I575&gt;E575,E575^2/4,(I575*E575/2)-(I575^2/4))/144)</f>
        <v>0</v>
      </c>
      <c r="BZ582" s="1110"/>
      <c r="CA582" s="691" t="e">
        <f t="shared" ca="1" si="10602"/>
        <v>#REF!</v>
      </c>
      <c r="CB582" s="4" t="e" cm="1">
        <f t="array" aca="1" ref="CB582" ca="1">IF(AND(INDEX(INDIRECT(BY575),CA582,4)&gt;=$AB575,INDEX(INDIRECT(BY575),CA582,5)&gt;=$S575,INDEX(INDIRECT(BY575),CA582,6)&gt;=$R575),1,0)</f>
        <v>#REF!</v>
      </c>
      <c r="CC582" s="4" t="e">
        <f t="shared" ref="CC582" ca="1" si="10721">MATCH(1,OFFSET(CB575:CB586,CD581,0,COUNT(CB575:CB586)-CD581),0)</f>
        <v>#REF!</v>
      </c>
      <c r="CD582" s="4" t="e">
        <f t="shared" ca="1" si="10604"/>
        <v>#REF!</v>
      </c>
      <c r="CE582" s="692" t="str" cm="1">
        <f t="array" aca="1" ref="CE582" ca="1">IFERROR(VLOOKUP(INDEX(CA575:CA586,CD582),INDIRECT(BY575),2,FALSE),"----")</f>
        <v>----</v>
      </c>
      <c r="CF582" s="691" t="e">
        <f t="shared" ca="1" si="10605"/>
        <v>#N/A</v>
      </c>
      <c r="CG582" s="4" t="e">
        <f ca="1">IF(AND(INDEX(SSM,CF582,4)&gt;=$AB575,INDEX(SSM,CF582,5)&gt;=$S575,INDEX(SSM,CF582,6)&gt;=$R575),1,0)</f>
        <v>#N/A</v>
      </c>
      <c r="CH582" s="4" t="e">
        <f t="shared" ref="CH582" ca="1" si="10722">MATCH(1,OFFSET(CG575:CG586,CI581,0,COUNT(CG575:CG586)-CI581),0)</f>
        <v>#REF!</v>
      </c>
      <c r="CI582" s="4" t="e">
        <f t="shared" ca="1" si="10607"/>
        <v>#REF!</v>
      </c>
      <c r="CJ582" s="692" t="str">
        <f ca="1">IFERROR(IF(AD576="Nested Steel Stud (wood infill)",VLOOKUP(INDEX(CF575:CF586,CI582),SSW,2,FALSE),VLOOKUP(INDEX(CF575:CF586,CI582),SSM,2,FALSE)),"----")</f>
        <v>----</v>
      </c>
      <c r="CK582" s="691" t="e">
        <f t="shared" ca="1" si="10608"/>
        <v>#N/A</v>
      </c>
      <c r="CL582" s="4" t="e">
        <f ca="1">IF(AND(INDEX(WSM,CK582,4)&gt;=$AB575,INDEX(WSM,CK582,5)&gt;=$S575,INDEX(WSM,CK582,6)&gt;=$R575),1,0)</f>
        <v>#N/A</v>
      </c>
      <c r="CM582" s="4" t="e">
        <f t="shared" ref="CM582" ca="1" si="10723">MATCH(1,OFFSET(CL575:CL586,CN581,0,COUNT(CL575:CL586)-CN581),0)</f>
        <v>#REF!</v>
      </c>
      <c r="CN582" s="4" t="e">
        <f t="shared" ca="1" si="10610"/>
        <v>#REF!</v>
      </c>
      <c r="CO582" s="692" t="str">
        <f ca="1">IFERROR(VLOOKUP(INDEX(CK575:CK586,CN582),WSM,2,FALSE),"----")</f>
        <v>----</v>
      </c>
      <c r="CP582" s="691" t="e">
        <f t="shared" ca="1" si="10611"/>
        <v>#N/A</v>
      </c>
      <c r="CQ582" s="4" t="e">
        <f ca="1">IF(AND(INDEX(STM,CP582,4)&gt;=$AB575,INDEX(STM,CP582,5)&gt;=$S575,INDEX(STM,CP582,6)&gt;=$R575),1,0)</f>
        <v>#N/A</v>
      </c>
      <c r="CR582" s="4" t="e">
        <f t="shared" ref="CR582" ca="1" si="10724">MATCH(1,OFFSET(CQ575:CQ586,CS581,0,COUNT(CQ575:CQ586)-CS581),0)</f>
        <v>#REF!</v>
      </c>
      <c r="CS582" s="4" t="e">
        <f t="shared" ca="1" si="10613"/>
        <v>#REF!</v>
      </c>
      <c r="CT582" s="692" t="str">
        <f ca="1">IFERROR(VLOOKUP(INDEX(CP575:CP586,CS582),STM,2,FALSE),"----")</f>
        <v>----</v>
      </c>
      <c r="CU582" s="691" t="e">
        <f t="shared" ca="1" si="10614"/>
        <v>#N/A</v>
      </c>
      <c r="CV582" s="4" t="e">
        <f ca="1">IF(AND(INDEX(ELM,CU582,4)&gt;=$AB575,INDEX(ELM,CU582,5)&gt;=$S575,INDEX(ELM,CU582,6)&gt;=$R575),1,0)</f>
        <v>#N/A</v>
      </c>
      <c r="CW582" s="4" t="e">
        <f t="shared" ref="CW582" ca="1" si="10725">MATCH(1,OFFSET(CV575:CV586,CX581,0,COUNT(CV575:CV586)-CX581),0)</f>
        <v>#REF!</v>
      </c>
      <c r="CX582" s="4" t="e">
        <f t="shared" ca="1" si="10616"/>
        <v>#REF!</v>
      </c>
      <c r="CY582" s="692" t="str">
        <f ca="1">IFERROR(VLOOKUP(INDEX(CU575:CU586,CX582),ELM,2,FALSE),"----")</f>
        <v>----</v>
      </c>
      <c r="CZ582" s="691" t="e">
        <f t="shared" ca="1" si="10617"/>
        <v>#N/A</v>
      </c>
      <c r="DA582" s="4" t="e">
        <f ca="1">IF(LEFT($J575,7)="Clad Wo",IF(AND(INDEX(SPPWS,CZ582,4)&gt;=$AB575,INDEX(SPPWS,CZ582,5)&gt;=$S575,INDEX(SPPWS,CZ582,6)&gt;=$R575),1,0),IF(AND(INDEX(SPM,CZ582,4)&gt;=$AB575,INDEX(SPM,CZ582,5)&gt;=$S575,INDEX(SPM,CZ582,6)&gt;=$R575),1,0))</f>
        <v>#N/A</v>
      </c>
      <c r="DB582" s="4" t="e">
        <f t="shared" ref="DB582" ca="1" si="10726">MATCH(1,OFFSET(DA575:DA586,DC581,0,COUNT(DA575:DA586)-DC581),0)</f>
        <v>#REF!</v>
      </c>
      <c r="DC582" s="4" t="e">
        <f t="shared" ca="1" si="10619"/>
        <v>#REF!</v>
      </c>
      <c r="DD582" s="693" t="str">
        <f ca="1">IF(LEFT($J575,7)="Clad Wo",IFERROR(VLOOKUP(INDEX(CZ575:CZ586,DC582),SPPWS,2,FALSE),"----"),IFERROR(VLOOKUP(INDEX(CZ575:CZ586,DC582),SPM,2,FALSE),"----"))</f>
        <v>----</v>
      </c>
      <c r="DE582" s="691" t="e">
        <f t="shared" ca="1" si="10620"/>
        <v>#REF!</v>
      </c>
      <c r="DF582" s="4" t="e" cm="1">
        <f t="array" aca="1" ref="DF582" ca="1">IF(AND(INDEX(INDIRECT(BY575),DE582,4)&gt;=$AB581,INDEX(INDIRECT(BY575),DE582,5)&gt;=$S575,INDEX(INDIRECT(BY575),DE582,6)&gt;=$R575),1,0)</f>
        <v>#REF!</v>
      </c>
      <c r="DG582" s="4" t="e">
        <f t="shared" ref="DG582" ca="1" si="10727">MATCH(1,OFFSET(DF575:DF586,DH581,0,COUNT(DF575:DF586)-DH581),0)</f>
        <v>#REF!</v>
      </c>
      <c r="DH582" s="4" t="e">
        <f t="shared" ca="1" si="10622"/>
        <v>#REF!</v>
      </c>
      <c r="DI582" s="692" t="str" cm="1">
        <f t="array" aca="1" ref="DI582" ca="1">IFERROR(VLOOKUP(INDEX(DE575:DE586,DH582),INDIRECT(BY575),2,FALSE),"----")</f>
        <v>----</v>
      </c>
      <c r="DJ582" s="691" t="e">
        <f t="shared" ca="1" si="10623"/>
        <v>#N/A</v>
      </c>
      <c r="DK582" s="4" t="e">
        <f ca="1">IF(AND(INDEX(SSM,DJ582,4)&gt;=$AB581,INDEX(SSM,DJ582,5)&gt;=$S575,INDEX(SSM,DJ582,6)&gt;=$R575),1,0)</f>
        <v>#N/A</v>
      </c>
      <c r="DL582" s="4" t="e">
        <f t="shared" ref="DL582" ca="1" si="10728">MATCH(1,OFFSET(DK575:DK586,DM581,0,COUNT(DK575:DK586)-DM581),0)</f>
        <v>#REF!</v>
      </c>
      <c r="DM582" s="4" t="e">
        <f t="shared" ca="1" si="10625"/>
        <v>#REF!</v>
      </c>
      <c r="DN582" s="692" t="str">
        <f ca="1">IFERROR(IF(AD582="Nested Steel Stud (wood infill)",VLOOKUP(INDEX(DJ575:DJ586,DM582),SSW,2,FALSE),VLOOKUP(INDEX(DJ575:DJ586,DM582),SSM,2,FALSE)),"----")</f>
        <v>----</v>
      </c>
      <c r="DO582" s="691" t="e">
        <f t="shared" ca="1" si="10626"/>
        <v>#N/A</v>
      </c>
      <c r="DP582" s="4" t="e">
        <f ca="1">IF(AND(INDEX(WSM,DO582,4)&gt;=$AB581,INDEX(WSM,DO582,5)&gt;=$S575,INDEX(WSM,DO582,6)&gt;=$R575),1,0)</f>
        <v>#N/A</v>
      </c>
      <c r="DQ582" s="4" t="e">
        <f t="shared" ref="DQ582" ca="1" si="10729">MATCH(1,OFFSET(DP575:DP586,DR581,0,COUNT(DP575:DP586)-DR581),0)</f>
        <v>#REF!</v>
      </c>
      <c r="DR582" s="4" t="e">
        <f t="shared" ca="1" si="10628"/>
        <v>#REF!</v>
      </c>
      <c r="DS582" s="692" t="str">
        <f ca="1">IFERROR(VLOOKUP(INDEX(DO575:DO586,DR582),WSM,2,FALSE),"----")</f>
        <v>----</v>
      </c>
      <c r="DT582" s="691" t="e">
        <f t="shared" ca="1" si="10629"/>
        <v>#N/A</v>
      </c>
      <c r="DU582" s="4" t="e">
        <f ca="1">IF(AND(INDEX(STM,DT582,4)&gt;=$AB581,INDEX(STM,DT582,5)&gt;=$S575,INDEX(STM,DT582,6)&gt;=$R575),1,0)</f>
        <v>#N/A</v>
      </c>
      <c r="DV582" s="4" t="e">
        <f t="shared" ref="DV582" ca="1" si="10730">MATCH(1,OFFSET(DU575:DU586,DW581,0,COUNT(DU575:DU586)-DW581),0)</f>
        <v>#REF!</v>
      </c>
      <c r="DW582" s="4" t="e">
        <f t="shared" ca="1" si="10631"/>
        <v>#REF!</v>
      </c>
      <c r="DX582" s="692" t="str">
        <f ca="1">IFERROR(VLOOKUP(INDEX(DT575:DT586,DW582),STM,2,FALSE),"----")</f>
        <v>----</v>
      </c>
      <c r="DY582" s="691" t="e">
        <f t="shared" ca="1" si="10632"/>
        <v>#N/A</v>
      </c>
      <c r="DZ582" s="4" t="e">
        <f ca="1">IF(AND(INDEX(ELM,DY582,4)&gt;=$AB581,INDEX(ELM,DY582,5)&gt;=$S575,INDEX(ELM,DY582,6)&gt;=$R575),1,0)</f>
        <v>#N/A</v>
      </c>
      <c r="EA582" s="4" t="e">
        <f t="shared" ref="EA582" ca="1" si="10731">MATCH(1,OFFSET(DZ575:DZ586,EB581,0,COUNT(DZ575:DZ586)-EB581),0)</f>
        <v>#REF!</v>
      </c>
      <c r="EB582" s="4" t="e">
        <f t="shared" ca="1" si="10634"/>
        <v>#REF!</v>
      </c>
      <c r="EC582" s="692" t="str">
        <f ca="1">IFERROR(VLOOKUP(INDEX(DY575:DY586,EB582),ELM,2,FALSE),"----")</f>
        <v>----</v>
      </c>
      <c r="ED582" s="691" t="e">
        <f t="shared" ca="1" si="10635"/>
        <v>#N/A</v>
      </c>
      <c r="EE582" s="4" t="e">
        <f ca="1">IF(LEFT($J575,7)="Clad Wo",IF(AND(INDEX(SPPWS,ED582,4)&gt;=$AB581,INDEX(SPPWS,ED582,5)&gt;=$S575,INDEX(SPPWS,ED582,6)&gt;=$R575),1,0),IF(AND(INDEX(SPM,ED582,4)&gt;=$AB581,INDEX(SPM,ED582,5)&gt;=$S575,INDEX(SPM,ED582,6)&gt;=$R575),1,0))</f>
        <v>#N/A</v>
      </c>
      <c r="EF582" s="4" t="e">
        <f t="shared" ref="EF582" ca="1" si="10732">MATCH(1,OFFSET(EE575:EE586,EG581,0,COUNT(EE575:EE586)-EG581),0)</f>
        <v>#REF!</v>
      </c>
      <c r="EG582" s="4" t="e">
        <f t="shared" ca="1" si="10637"/>
        <v>#REF!</v>
      </c>
      <c r="EH582" s="692" t="str">
        <f ca="1">IF(LEFT($J575,7)="Clad Wo",IFERROR(VLOOKUP(INDEX(ED575:ED586,EG582),SPPWS,2,FALSE),"----"),IFERROR(VLOOKUP(INDEX(ED575:ED586,EG582),SPM,2,FALSE),"----"))</f>
        <v>----</v>
      </c>
    </row>
    <row r="583" spans="1:138" ht="15" customHeight="1" x14ac:dyDescent="0.25">
      <c r="A583" s="1085"/>
      <c r="B583" s="925"/>
      <c r="C583" s="926"/>
      <c r="D583" s="927"/>
      <c r="E583" s="995"/>
      <c r="F583" s="996"/>
      <c r="G583" s="997"/>
      <c r="H583" s="1062"/>
      <c r="I583" s="990"/>
      <c r="J583" s="902"/>
      <c r="K583" s="903"/>
      <c r="L583" s="1002"/>
      <c r="M583" s="923"/>
      <c r="N583" s="1042"/>
      <c r="O583" s="1018"/>
      <c r="P583" s="987"/>
      <c r="Q583" s="1015"/>
      <c r="R583" s="1012"/>
      <c r="S583" s="1006"/>
      <c r="T583" s="1007"/>
      <c r="U583" s="878"/>
      <c r="V583" s="881"/>
      <c r="W583" s="884"/>
      <c r="X583" s="884"/>
      <c r="Y583" s="887"/>
      <c r="Z583" s="887"/>
      <c r="AA583" s="887"/>
      <c r="AB583" s="1081"/>
      <c r="AC583" s="1078"/>
      <c r="AD583" s="1070" t="str">
        <f t="shared" si="10247"/>
        <v>Wood Stud Framing</v>
      </c>
      <c r="AE583" s="1071"/>
      <c r="AF583" s="1052"/>
      <c r="AG583" s="1053"/>
      <c r="AH583" s="1053"/>
      <c r="AI583" s="1066"/>
      <c r="AJ583" s="1067"/>
      <c r="AK583" s="156" t="str">
        <f t="shared" ca="1" si="10024"/>
        <v/>
      </c>
      <c r="AL583" s="1059"/>
      <c r="AM583" s="344" t="str">
        <f ca="1">IFERROR(Q575/12*ROUND(VLOOKUP(AF583,OFFSET(WSM,0,1),6,FALSE),2),"")</f>
        <v/>
      </c>
      <c r="AN583" t="str">
        <f t="shared" ca="1" si="10040"/>
        <v/>
      </c>
      <c r="AP583" s="122" t="str">
        <f t="shared" ref="AP583" si="10733">_xlfn.CONCAT(AR583,AS586)</f>
        <v/>
      </c>
      <c r="AQ583" s="683" t="str">
        <f t="shared" si="10249"/>
        <v/>
      </c>
      <c r="AR583" s="4" t="str">
        <f t="shared" si="10009"/>
        <v/>
      </c>
      <c r="AS583" s="4"/>
      <c r="AT583" s="697" t="str">
        <f>AL581</f>
        <v/>
      </c>
      <c r="AU583" s="694" t="e">
        <f t="shared" ca="1" si="10265"/>
        <v>#REF!</v>
      </c>
      <c r="AV583" s="686" t="str">
        <f ca="1">IFERROR(VLOOKUP(AU583,INDIRECT(AQ575),2,FALSE),"----")</f>
        <v>----</v>
      </c>
      <c r="AW583" s="694" t="e">
        <f t="shared" ca="1" si="10266"/>
        <v>#REF!</v>
      </c>
      <c r="AX583" s="686" t="str">
        <f ca="1">IFERROR(VLOOKUP(AW583,INDIRECT(AQ576),2,FALSE),"----")</f>
        <v>----</v>
      </c>
      <c r="AY583" s="694" t="e">
        <f t="shared" ca="1" si="10683"/>
        <v>#REF!</v>
      </c>
      <c r="AZ583" s="686" t="str">
        <f ca="1">IFERROR(VLOOKUP(AY583,INDIRECT(AQ577),2,FALSE),"----")</f>
        <v>----</v>
      </c>
      <c r="BA583" s="694" t="e">
        <f t="shared" ca="1" si="10684"/>
        <v>#REF!</v>
      </c>
      <c r="BB583" s="686" t="str">
        <f ca="1">IFERROR(VLOOKUP(BA583,INDIRECT(AQ578),2,FALSE),"----")</f>
        <v>----</v>
      </c>
      <c r="BC583" s="694" t="e">
        <f t="shared" ca="1" si="10267"/>
        <v>#REF!</v>
      </c>
      <c r="BD583" s="686" t="str">
        <f ca="1">IFERROR(VLOOKUP(BC583,INDIRECT(AQ579),2,FALSE),"----")</f>
        <v>----</v>
      </c>
      <c r="BE583" s="694" t="e">
        <f t="shared" ca="1" si="10268"/>
        <v>#REF!</v>
      </c>
      <c r="BF583" s="686" t="str">
        <f ca="1">IFERROR(VLOOKUP(BE583,INDIRECT(AQ580),2,FALSE),"----")</f>
        <v>----</v>
      </c>
      <c r="BG583" s="702" t="e">
        <f t="shared" ca="1" si="10269"/>
        <v>#REF!</v>
      </c>
      <c r="BH583" s="686" t="str">
        <f ca="1">IFERROR(VLOOKUP(BG583,INDIRECT(AQ581),2,FALSE),"----")</f>
        <v>----</v>
      </c>
      <c r="BI583" s="702" t="e">
        <f t="shared" ca="1" si="10270"/>
        <v>#REF!</v>
      </c>
      <c r="BJ583" s="686" t="str">
        <f ca="1">IFERROR(VLOOKUP(BI583,INDIRECT(AQ582),2,FALSE),"----")</f>
        <v>----</v>
      </c>
      <c r="BK583" s="702" t="e">
        <f t="shared" ca="1" si="10271"/>
        <v>#REF!</v>
      </c>
      <c r="BL583" s="686" t="str">
        <f ca="1">IFERROR(VLOOKUP(BK583,INDIRECT(AQ583),2,FALSE),"----")</f>
        <v>----</v>
      </c>
      <c r="BM583" s="702" t="e">
        <f t="shared" ca="1" si="10272"/>
        <v>#REF!</v>
      </c>
      <c r="BN583" s="686" t="str">
        <f ca="1">IFERROR(VLOOKUP(BM583,INDIRECT(AQ584),2,FALSE),"----")</f>
        <v>----</v>
      </c>
      <c r="BO583" s="702" t="e">
        <f t="shared" ca="1" si="10273"/>
        <v>#REF!</v>
      </c>
      <c r="BP583" s="686" t="str">
        <f ca="1">IFERROR(VLOOKUP(BO583,INDIRECT(AQ585),2,FALSE),"----")</f>
        <v>----</v>
      </c>
      <c r="BQ583" s="702" t="e">
        <f t="shared" ca="1" si="10274"/>
        <v>#REF!</v>
      </c>
      <c r="BR583" s="686" t="str">
        <f ca="1">IFERROR(VLOOKUP(BQ583,INDIRECT(AQ586),2,FALSE),"----")</f>
        <v>----</v>
      </c>
      <c r="BS583" s="695">
        <f>IF(AI583="",1,IF(COUNTIF(BL575:BL586,AI583)=0,2,1))</f>
        <v>1</v>
      </c>
      <c r="BT583" s="696">
        <f>IF(AF583="",1,IF(BL575=".",2,1))</f>
        <v>1</v>
      </c>
      <c r="BU583" s="706"/>
      <c r="BV583" s="155">
        <f ca="1">IF(COUNTIF(DS575:DS586,AF583)=0,IF(AF583&lt;&gt;"",0,1),1)</f>
        <v>1</v>
      </c>
      <c r="BW583" s="157">
        <f ca="1">IFERROR(MATCH(AF583,DS575:DS586,0),1)</f>
        <v>1</v>
      </c>
      <c r="BX583" s="769" t="e">
        <f t="shared" ref="BX583" si="10734">5*E575^3*W575/(384*X575)</f>
        <v>#VALUE!</v>
      </c>
      <c r="BY583" s="769" t="e">
        <f t="shared" ref="BY583" si="10735">W575*E575^3/(60*X575)</f>
        <v>#VALUE!</v>
      </c>
      <c r="BZ583" s="1110"/>
      <c r="CA583" s="691" t="e">
        <f t="shared" ca="1" si="10602"/>
        <v>#REF!</v>
      </c>
      <c r="CB583" s="4" t="e" cm="1">
        <f t="array" aca="1" ref="CB583" ca="1">IF(AND(INDEX(INDIRECT(BY575),CA583,4)&gt;=$AB575,INDEX(INDIRECT(BY575),CA583,5)&gt;=$S575,INDEX(INDIRECT(BY575),CA583,6)&gt;=$R575),1,0)</f>
        <v>#REF!</v>
      </c>
      <c r="CC583" s="4" t="e">
        <f t="shared" ref="CC583" ca="1" si="10736">MATCH(1,OFFSET(CB575:CB586,CD582,0,COUNT(CB575:CB586)-CD582),0)</f>
        <v>#REF!</v>
      </c>
      <c r="CD583" s="4" t="e">
        <f t="shared" ca="1" si="10604"/>
        <v>#REF!</v>
      </c>
      <c r="CE583" s="692" t="str" cm="1">
        <f t="array" aca="1" ref="CE583" ca="1">IFERROR(VLOOKUP(INDEX(CA575:CA586,CD583),INDIRECT(BY575),2,FALSE),"----")</f>
        <v>----</v>
      </c>
      <c r="CF583" s="691" t="e">
        <f t="shared" ca="1" si="10605"/>
        <v>#N/A</v>
      </c>
      <c r="CG583" s="4" t="e">
        <f ca="1">IF(AND(INDEX(SSM,CF583,4)&gt;=$AB575,INDEX(SSM,CF583,5)&gt;=$S575,INDEX(SSM,CF583,6)&gt;=$R575),1,0)</f>
        <v>#N/A</v>
      </c>
      <c r="CH583" s="4" t="e">
        <f t="shared" ref="CH583" ca="1" si="10737">MATCH(1,OFFSET(CG575:CG586,CI582,0,COUNT(CG575:CG586)-CI582),0)</f>
        <v>#REF!</v>
      </c>
      <c r="CI583" s="4" t="e">
        <f t="shared" ca="1" si="10607"/>
        <v>#REF!</v>
      </c>
      <c r="CJ583" s="692" t="str">
        <f ca="1">IFERROR(IF(AD576="Nested Steel Stud (wood infill)",VLOOKUP(INDEX(CF575:CF586,CI583),SSW,2,FALSE),VLOOKUP(INDEX(CF575:CF586,CI583),SSM,2,FALSE)),"----")</f>
        <v>----</v>
      </c>
      <c r="CK583" s="691" t="e">
        <f t="shared" ca="1" si="10608"/>
        <v>#N/A</v>
      </c>
      <c r="CL583" s="4" t="e">
        <f ca="1">IF(AND(INDEX(WSM,CK583,4)&gt;=$AB575,INDEX(WSM,CK583,5)&gt;=$S575,INDEX(WSM,CK583,6)&gt;=$R575),1,0)</f>
        <v>#N/A</v>
      </c>
      <c r="CM583" s="4" t="e">
        <f t="shared" ref="CM583" ca="1" si="10738">MATCH(1,OFFSET(CL575:CL586,CN582,0,COUNT(CL575:CL586)-CN582),0)</f>
        <v>#REF!</v>
      </c>
      <c r="CN583" s="4" t="e">
        <f t="shared" ca="1" si="10610"/>
        <v>#REF!</v>
      </c>
      <c r="CO583" s="692" t="str">
        <f ca="1">IFERROR(VLOOKUP(INDEX(CK575:CK586,CN583),WSM,2,FALSE),"----")</f>
        <v>----</v>
      </c>
      <c r="CP583" s="691" t="e">
        <f t="shared" ca="1" si="10611"/>
        <v>#N/A</v>
      </c>
      <c r="CQ583" s="4" t="e">
        <f ca="1">IF(AND(INDEX(STM,CP583,4)&gt;=$AB575,INDEX(STM,CP583,5)&gt;=$S575,INDEX(STM,CP583,6)&gt;=$R575),1,0)</f>
        <v>#N/A</v>
      </c>
      <c r="CR583" s="4" t="e">
        <f t="shared" ref="CR583" ca="1" si="10739">MATCH(1,OFFSET(CQ575:CQ586,CS582,0,COUNT(CQ575:CQ586)-CS582),0)</f>
        <v>#REF!</v>
      </c>
      <c r="CS583" s="4" t="e">
        <f t="shared" ca="1" si="10613"/>
        <v>#REF!</v>
      </c>
      <c r="CT583" s="692" t="str">
        <f ca="1">IFERROR(VLOOKUP(INDEX(CP575:CP586,CS583),STM,2,FALSE),"----")</f>
        <v>----</v>
      </c>
      <c r="CU583" s="691" t="e">
        <f t="shared" ca="1" si="10614"/>
        <v>#N/A</v>
      </c>
      <c r="CV583" s="4" t="e">
        <f ca="1">IF(AND(INDEX(ELM,CU583,4)&gt;=$AB575,INDEX(ELM,CU583,5)&gt;=$S575,INDEX(ELM,CU583,6)&gt;=$R575),1,0)</f>
        <v>#N/A</v>
      </c>
      <c r="CW583" s="4" t="e">
        <f t="shared" ref="CW583" ca="1" si="10740">MATCH(1,OFFSET(CV575:CV586,CX582,0,COUNT(CV575:CV586)-CX582),0)</f>
        <v>#REF!</v>
      </c>
      <c r="CX583" s="4" t="e">
        <f t="shared" ca="1" si="10616"/>
        <v>#REF!</v>
      </c>
      <c r="CY583" s="692" t="str">
        <f ca="1">IFERROR(VLOOKUP(INDEX(CU575:CU586,CX583),ELM,2,FALSE),"----")</f>
        <v>----</v>
      </c>
      <c r="CZ583" s="691" t="e">
        <f t="shared" ca="1" si="10617"/>
        <v>#N/A</v>
      </c>
      <c r="DA583" s="4" t="e">
        <f ca="1">IF(LEFT($J575,7)="Clad Wo",IF(AND(INDEX(SPPWS,CZ583,4)&gt;=$AB575,INDEX(SPPWS,CZ583,5)&gt;=$S575,INDEX(SPPWS,CZ583,6)&gt;=$R575),1,0),IF(AND(INDEX(SPM,CZ583,4)&gt;=$AB575,INDEX(SPM,CZ583,5)&gt;=$S575,INDEX(SPM,CZ583,6)&gt;=$R575),1,0))</f>
        <v>#N/A</v>
      </c>
      <c r="DB583" s="4" t="e">
        <f t="shared" ref="DB583" ca="1" si="10741">MATCH(1,OFFSET(DA575:DA586,DC582,0,COUNT(DA575:DA586)-DC582),0)</f>
        <v>#REF!</v>
      </c>
      <c r="DC583" s="4" t="e">
        <f t="shared" ca="1" si="10619"/>
        <v>#REF!</v>
      </c>
      <c r="DD583" s="693" t="str">
        <f ca="1">IF(LEFT($J575,7)="Clad Wo",IFERROR(VLOOKUP(INDEX(CZ575:CZ586,DC583),SPPWS,2,FALSE),"----"),IFERROR(VLOOKUP(INDEX(CZ575:CZ586,DC583),SPM,2,FALSE),"----"))</f>
        <v>----</v>
      </c>
      <c r="DE583" s="691" t="e">
        <f t="shared" ca="1" si="10620"/>
        <v>#REF!</v>
      </c>
      <c r="DF583" s="4" t="e" cm="1">
        <f t="array" aca="1" ref="DF583" ca="1">IF(AND(INDEX(INDIRECT(BY575),DE583,4)&gt;=$AB581,INDEX(INDIRECT(BY575),DE583,5)&gt;=$S575,INDEX(INDIRECT(BY575),DE583,6)&gt;=$R575),1,0)</f>
        <v>#REF!</v>
      </c>
      <c r="DG583" s="4" t="e">
        <f t="shared" ref="DG583" ca="1" si="10742">MATCH(1,OFFSET(DF575:DF586,DH582,0,COUNT(DF575:DF586)-DH582),0)</f>
        <v>#REF!</v>
      </c>
      <c r="DH583" s="4" t="e">
        <f t="shared" ca="1" si="10622"/>
        <v>#REF!</v>
      </c>
      <c r="DI583" s="692" t="str" cm="1">
        <f t="array" aca="1" ref="DI583" ca="1">IFERROR(VLOOKUP(INDEX(DE575:DE586,DH583),INDIRECT(BY575),2,FALSE),"----")</f>
        <v>----</v>
      </c>
      <c r="DJ583" s="691" t="e">
        <f t="shared" ca="1" si="10623"/>
        <v>#N/A</v>
      </c>
      <c r="DK583" s="4" t="e">
        <f ca="1">IF(AND(INDEX(SSM,DJ583,4)&gt;=$AB581,INDEX(SSM,DJ583,5)&gt;=$S575,INDEX(SSM,DJ583,6)&gt;=$R575),1,0)</f>
        <v>#N/A</v>
      </c>
      <c r="DL583" s="4" t="e">
        <f t="shared" ref="DL583" ca="1" si="10743">MATCH(1,OFFSET(DK575:DK586,DM582,0,COUNT(DK575:DK586)-DM582),0)</f>
        <v>#REF!</v>
      </c>
      <c r="DM583" s="4" t="e">
        <f t="shared" ca="1" si="10625"/>
        <v>#REF!</v>
      </c>
      <c r="DN583" s="692" t="str">
        <f ca="1">IFERROR(IF(AD582="Nested Steel Stud (wood infill)",VLOOKUP(INDEX(DJ575:DJ586,DM583),SSW,2,FALSE),VLOOKUP(INDEX(DJ575:DJ586,DM583),SSM,2,FALSE)),"----")</f>
        <v>----</v>
      </c>
      <c r="DO583" s="691" t="e">
        <f t="shared" ca="1" si="10626"/>
        <v>#N/A</v>
      </c>
      <c r="DP583" s="4" t="e">
        <f ca="1">IF(AND(INDEX(WSM,DO583,4)&gt;=$AB581,INDEX(WSM,DO583,5)&gt;=$S575,INDEX(WSM,DO583,6)&gt;=$R575),1,0)</f>
        <v>#N/A</v>
      </c>
      <c r="DQ583" s="4" t="e">
        <f t="shared" ref="DQ583" ca="1" si="10744">MATCH(1,OFFSET(DP575:DP586,DR582,0,COUNT(DP575:DP586)-DR582),0)</f>
        <v>#REF!</v>
      </c>
      <c r="DR583" s="4" t="e">
        <f t="shared" ca="1" si="10628"/>
        <v>#REF!</v>
      </c>
      <c r="DS583" s="692" t="str">
        <f ca="1">IFERROR(VLOOKUP(INDEX(DO575:DO586,DR583),WSM,2,FALSE),"----")</f>
        <v>----</v>
      </c>
      <c r="DT583" s="691" t="e">
        <f t="shared" ca="1" si="10629"/>
        <v>#N/A</v>
      </c>
      <c r="DU583" s="4" t="e">
        <f ca="1">IF(AND(INDEX(STM,DT583,4)&gt;=$AB581,INDEX(STM,DT583,5)&gt;=$S575,INDEX(STM,DT583,6)&gt;=$R575),1,0)</f>
        <v>#N/A</v>
      </c>
      <c r="DV583" s="4" t="e">
        <f t="shared" ref="DV583" ca="1" si="10745">MATCH(1,OFFSET(DU575:DU586,DW582,0,COUNT(DU575:DU586)-DW582),0)</f>
        <v>#REF!</v>
      </c>
      <c r="DW583" s="4" t="e">
        <f t="shared" ca="1" si="10631"/>
        <v>#REF!</v>
      </c>
      <c r="DX583" s="692" t="str">
        <f ca="1">IFERROR(VLOOKUP(INDEX(DT575:DT586,DW583),STM,2,FALSE),"----")</f>
        <v>----</v>
      </c>
      <c r="DY583" s="691" t="e">
        <f t="shared" ca="1" si="10632"/>
        <v>#N/A</v>
      </c>
      <c r="DZ583" s="4" t="e">
        <f ca="1">IF(AND(INDEX(ELM,DY583,4)&gt;=$AB581,INDEX(ELM,DY583,5)&gt;=$S575,INDEX(ELM,DY583,6)&gt;=$R575),1,0)</f>
        <v>#N/A</v>
      </c>
      <c r="EA583" s="4" t="e">
        <f t="shared" ref="EA583" ca="1" si="10746">MATCH(1,OFFSET(DZ575:DZ586,EB582,0,COUNT(DZ575:DZ586)-EB582),0)</f>
        <v>#REF!</v>
      </c>
      <c r="EB583" s="4" t="e">
        <f t="shared" ca="1" si="10634"/>
        <v>#REF!</v>
      </c>
      <c r="EC583" s="692" t="str">
        <f ca="1">IFERROR(VLOOKUP(INDEX(DY575:DY586,EB583),ELM,2,FALSE),"----")</f>
        <v>----</v>
      </c>
      <c r="ED583" s="691" t="e">
        <f t="shared" ca="1" si="10635"/>
        <v>#N/A</v>
      </c>
      <c r="EE583" s="4" t="e">
        <f ca="1">IF(LEFT($J575,7)="Clad Wo",IF(AND(INDEX(SPPWS,ED583,4)&gt;=$AB581,INDEX(SPPWS,ED583,5)&gt;=$S575,INDEX(SPPWS,ED583,6)&gt;=$R575),1,0),IF(AND(INDEX(SPM,ED583,4)&gt;=$AB581,INDEX(SPM,ED583,5)&gt;=$S575,INDEX(SPM,ED583,6)&gt;=$R575),1,0))</f>
        <v>#N/A</v>
      </c>
      <c r="EF583" s="4" t="e">
        <f t="shared" ref="EF583" ca="1" si="10747">MATCH(1,OFFSET(EE575:EE586,EG582,0,COUNT(EE575:EE586)-EG582),0)</f>
        <v>#REF!</v>
      </c>
      <c r="EG583" s="4" t="e">
        <f t="shared" ca="1" si="10637"/>
        <v>#REF!</v>
      </c>
      <c r="EH583" s="692" t="str">
        <f ca="1">IF(LEFT($J575,7)="Clad Wo",IFERROR(VLOOKUP(INDEX(ED575:ED586,EG583),SPPWS,2,FALSE),"----"),IFERROR(VLOOKUP(INDEX(ED575:ED586,EG583),SPM,2,FALSE),"----"))</f>
        <v>----</v>
      </c>
    </row>
    <row r="584" spans="1:138" ht="15" customHeight="1" x14ac:dyDescent="0.25">
      <c r="A584" s="1085"/>
      <c r="B584" s="925"/>
      <c r="C584" s="926"/>
      <c r="D584" s="927"/>
      <c r="E584" s="995"/>
      <c r="F584" s="996"/>
      <c r="G584" s="997"/>
      <c r="H584" s="1062"/>
      <c r="I584" s="990"/>
      <c r="J584" s="902"/>
      <c r="K584" s="903"/>
      <c r="L584" s="1002"/>
      <c r="M584" s="923"/>
      <c r="N584" s="1042"/>
      <c r="O584" s="1018"/>
      <c r="P584" s="987"/>
      <c r="Q584" s="1015"/>
      <c r="R584" s="1012"/>
      <c r="S584" s="1006"/>
      <c r="T584" s="1007"/>
      <c r="U584" s="878"/>
      <c r="V584" s="881"/>
      <c r="W584" s="884"/>
      <c r="X584" s="884"/>
      <c r="Y584" s="887"/>
      <c r="Z584" s="887"/>
      <c r="AA584" s="887"/>
      <c r="AB584" s="1081"/>
      <c r="AC584" s="1078"/>
      <c r="AD584" s="1070" t="str">
        <f t="shared" si="10247"/>
        <v>Steel Tube</v>
      </c>
      <c r="AE584" s="1071"/>
      <c r="AF584" s="1052"/>
      <c r="AG584" s="1053"/>
      <c r="AH584" s="1053"/>
      <c r="AI584" s="1066"/>
      <c r="AJ584" s="1067"/>
      <c r="AK584" s="156" t="str">
        <f t="shared" ca="1" si="10024"/>
        <v/>
      </c>
      <c r="AL584" s="1059"/>
      <c r="AM584" s="343" t="str">
        <f ca="1">IFERROR(Q575/12*ROUND(VLOOKUP(AF584,OFFSET(STM,0,1),6,FALSE),2),"")</f>
        <v/>
      </c>
      <c r="AN584" t="str">
        <f t="shared" ca="1" si="10040"/>
        <v/>
      </c>
      <c r="AP584" s="122" t="str">
        <f t="shared" ref="AP584" si="10748">_xlfn.CONCAT(AR584,AS586)</f>
        <v/>
      </c>
      <c r="AQ584" s="683" t="str">
        <f t="shared" si="10249"/>
        <v/>
      </c>
      <c r="AR584" s="4" t="str">
        <f t="shared" si="10009"/>
        <v/>
      </c>
      <c r="AS584" s="4"/>
      <c r="AT584" s="697" t="str">
        <f>AL581</f>
        <v/>
      </c>
      <c r="AU584" s="694" t="e">
        <f t="shared" ca="1" si="10265"/>
        <v>#REF!</v>
      </c>
      <c r="AV584" s="686" t="str">
        <f ca="1">IFERROR(VLOOKUP(AU584,INDIRECT(AQ575),2,FALSE),"----")</f>
        <v>----</v>
      </c>
      <c r="AW584" s="694" t="e">
        <f t="shared" ca="1" si="10266"/>
        <v>#REF!</v>
      </c>
      <c r="AX584" s="686" t="str">
        <f ca="1">IFERROR(VLOOKUP(AW584,INDIRECT(AQ576),2,FALSE),"----")</f>
        <v>----</v>
      </c>
      <c r="AY584" s="694" t="e">
        <f t="shared" ca="1" si="10511"/>
        <v>#REF!</v>
      </c>
      <c r="AZ584" s="686" t="str">
        <f ca="1">IFERROR(VLOOKUP(AY584,INDIRECT(AQ577),2,FALSE),"----")</f>
        <v>----</v>
      </c>
      <c r="BA584" s="694" t="e">
        <f t="shared" ca="1" si="10512"/>
        <v>#REF!</v>
      </c>
      <c r="BB584" s="686" t="str">
        <f ca="1">IFERROR(VLOOKUP(BA584,INDIRECT(AQ578),2,FALSE),"----")</f>
        <v>----</v>
      </c>
      <c r="BC584" s="694" t="e">
        <f t="shared" ca="1" si="10267"/>
        <v>#REF!</v>
      </c>
      <c r="BD584" s="686" t="str">
        <f ca="1">IFERROR(VLOOKUP(BC584,INDIRECT(AQ579),2,FALSE),"----")</f>
        <v>----</v>
      </c>
      <c r="BE584" s="694" t="e">
        <f t="shared" ca="1" si="10268"/>
        <v>#REF!</v>
      </c>
      <c r="BF584" s="686" t="str">
        <f ca="1">IFERROR(VLOOKUP(BE584,INDIRECT(AQ580),2,FALSE),"----")</f>
        <v>----</v>
      </c>
      <c r="BG584" s="702" t="e">
        <f t="shared" ca="1" si="10269"/>
        <v>#REF!</v>
      </c>
      <c r="BH584" s="686" t="str">
        <f ca="1">IFERROR(VLOOKUP(BG584,INDIRECT(AQ581),2,FALSE),"----")</f>
        <v>----</v>
      </c>
      <c r="BI584" s="702" t="e">
        <f t="shared" ca="1" si="10270"/>
        <v>#REF!</v>
      </c>
      <c r="BJ584" s="686" t="str">
        <f ca="1">IFERROR(VLOOKUP(BI584,INDIRECT(AQ582),2,FALSE),"----")</f>
        <v>----</v>
      </c>
      <c r="BK584" s="702" t="e">
        <f t="shared" ca="1" si="10271"/>
        <v>#REF!</v>
      </c>
      <c r="BL584" s="686" t="str">
        <f ca="1">IFERROR(VLOOKUP(BK584,INDIRECT(AQ583),2,FALSE),"----")</f>
        <v>----</v>
      </c>
      <c r="BM584" s="702" t="e">
        <f t="shared" ca="1" si="10272"/>
        <v>#REF!</v>
      </c>
      <c r="BN584" s="686" t="str">
        <f ca="1">IFERROR(VLOOKUP(BM584,INDIRECT(AQ584),2,FALSE),"----")</f>
        <v>----</v>
      </c>
      <c r="BO584" s="702" t="e">
        <f t="shared" ca="1" si="10273"/>
        <v>#REF!</v>
      </c>
      <c r="BP584" s="686" t="str">
        <f ca="1">IFERROR(VLOOKUP(BO584,INDIRECT(AQ585),2,FALSE),"----")</f>
        <v>----</v>
      </c>
      <c r="BQ584" s="702" t="e">
        <f t="shared" ca="1" si="10274"/>
        <v>#REF!</v>
      </c>
      <c r="BR584" s="686" t="str">
        <f ca="1">IFERROR(VLOOKUP(BQ584,INDIRECT(AQ586),2,FALSE),"----")</f>
        <v>----</v>
      </c>
      <c r="BS584" s="695">
        <f>IF(AI584="",1,IF(COUNTIF(BN575:BN586,AI584)=0,2,1))</f>
        <v>1</v>
      </c>
      <c r="BT584" s="696">
        <f>IF(AF584="",1,IF(BN575=".",2,1))</f>
        <v>1</v>
      </c>
      <c r="BU584" s="706"/>
      <c r="BV584" s="155">
        <f ca="1">IF(COUNTIF(DX575:DX586,AF584)=0,IF(AF584&lt;&gt;"",0,1),1)</f>
        <v>1</v>
      </c>
      <c r="BW584" s="157">
        <f ca="1">IFERROR(MATCH(AF584,DX575:DX586,0),1)</f>
        <v>1</v>
      </c>
      <c r="BX584" s="769" t="e">
        <f t="shared" ref="BX584" si="10749">5*E575^3*W581/(384*X575)</f>
        <v>#VALUE!</v>
      </c>
      <c r="BY584" s="769" t="e">
        <f t="shared" ref="BY584" si="10750">E575^3*W581/(60*X575)</f>
        <v>#VALUE!</v>
      </c>
      <c r="BZ584" s="1110"/>
      <c r="CA584" s="691" t="e">
        <f t="shared" ca="1" si="10602"/>
        <v>#REF!</v>
      </c>
      <c r="CB584" s="4" t="e" cm="1">
        <f t="array" aca="1" ref="CB584" ca="1">IF(AND(INDEX(INDIRECT(BY575),CA584,4)&gt;=$AB575,INDEX(INDIRECT(BY575),CA584,5)&gt;=$S575,INDEX(INDIRECT(BY575),CA584,6)&gt;=$R575),1,0)</f>
        <v>#REF!</v>
      </c>
      <c r="CC584" s="4" t="e">
        <f t="shared" ref="CC584" ca="1" si="10751">MATCH(1,OFFSET(CB575:CB586,CD583,0,COUNT(CB575:CB586)-CD583),0)</f>
        <v>#REF!</v>
      </c>
      <c r="CD584" s="4" t="e">
        <f t="shared" ca="1" si="10604"/>
        <v>#REF!</v>
      </c>
      <c r="CE584" s="692" t="str" cm="1">
        <f t="array" aca="1" ref="CE584" ca="1">IFERROR(VLOOKUP(INDEX(CA575:CA586,CD584),INDIRECT(BY575),2,FALSE),"----")</f>
        <v>----</v>
      </c>
      <c r="CF584" s="691" t="e">
        <f t="shared" ca="1" si="10605"/>
        <v>#N/A</v>
      </c>
      <c r="CG584" s="4" t="e">
        <f ca="1">IF(AND(INDEX(SSM,CF584,4)&gt;=$AB575,INDEX(SSM,CF584,5)&gt;=$S575,INDEX(SSM,CF584,6)&gt;=$R575),1,0)</f>
        <v>#N/A</v>
      </c>
      <c r="CH584" s="4" t="e">
        <f t="shared" ref="CH584" ca="1" si="10752">MATCH(1,OFFSET(CG575:CG586,CI583,0,COUNT(CG575:CG586)-CI583),0)</f>
        <v>#REF!</v>
      </c>
      <c r="CI584" s="4" t="e">
        <f t="shared" ca="1" si="10607"/>
        <v>#REF!</v>
      </c>
      <c r="CJ584" s="692" t="str">
        <f ca="1">IFERROR(IF(AD576="Nested Steel Stud (wood infill)",VLOOKUP(INDEX(CF575:CF586,CI584),SSW,2,FALSE),VLOOKUP(INDEX(CF575:CF586,CI584),SSM,2,FALSE)),"----")</f>
        <v>----</v>
      </c>
      <c r="CK584" s="691" t="e">
        <f t="shared" ca="1" si="10608"/>
        <v>#N/A</v>
      </c>
      <c r="CL584" s="4" t="e">
        <f ca="1">IF(AND(INDEX(WSM,CK584,4)&gt;=$AB575,INDEX(WSM,CK584,5)&gt;=$S575,INDEX(WSM,CK584,6)&gt;=$R575),1,0)</f>
        <v>#N/A</v>
      </c>
      <c r="CM584" s="4" t="e">
        <f t="shared" ref="CM584" ca="1" si="10753">MATCH(1,OFFSET(CL575:CL586,CN583,0,COUNT(CL575:CL586)-CN583),0)</f>
        <v>#REF!</v>
      </c>
      <c r="CN584" s="4" t="e">
        <f t="shared" ca="1" si="10610"/>
        <v>#REF!</v>
      </c>
      <c r="CO584" s="692" t="str">
        <f ca="1">IFERROR(VLOOKUP(INDEX(CK575:CK586,CN584),WSM,2,FALSE),"----")</f>
        <v>----</v>
      </c>
      <c r="CP584" s="691" t="e">
        <f t="shared" ca="1" si="10611"/>
        <v>#N/A</v>
      </c>
      <c r="CQ584" s="4" t="e">
        <f ca="1">IF(AND(INDEX(STM,CP584,4)&gt;=$AB575,INDEX(STM,CP584,5)&gt;=$S575,INDEX(STM,CP584,6)&gt;=$R575),1,0)</f>
        <v>#N/A</v>
      </c>
      <c r="CR584" s="4" t="e">
        <f t="shared" ref="CR584" ca="1" si="10754">MATCH(1,OFFSET(CQ575:CQ586,CS583,0,COUNT(CQ575:CQ586)-CS583),0)</f>
        <v>#REF!</v>
      </c>
      <c r="CS584" s="4" t="e">
        <f t="shared" ca="1" si="10613"/>
        <v>#REF!</v>
      </c>
      <c r="CT584" s="692" t="str">
        <f ca="1">IFERROR(VLOOKUP(INDEX(CP575:CP586,CS584),STM,2,FALSE),"----")</f>
        <v>----</v>
      </c>
      <c r="CU584" s="691" t="e">
        <f t="shared" ca="1" si="10614"/>
        <v>#N/A</v>
      </c>
      <c r="CV584" s="4" t="e">
        <f ca="1">IF(AND(INDEX(ELM,CU584,4)&gt;=$AB575,INDEX(ELM,CU584,5)&gt;=$S575,INDEX(ELM,CU584,6)&gt;=$R575),1,0)</f>
        <v>#N/A</v>
      </c>
      <c r="CW584" s="4" t="e">
        <f t="shared" ref="CW584" ca="1" si="10755">MATCH(1,OFFSET(CV575:CV586,CX583,0,COUNT(CV575:CV586)-CX583),0)</f>
        <v>#REF!</v>
      </c>
      <c r="CX584" s="4" t="e">
        <f t="shared" ca="1" si="10616"/>
        <v>#REF!</v>
      </c>
      <c r="CY584" s="692" t="str">
        <f ca="1">IFERROR(VLOOKUP(INDEX(CU575:CU586,CX584),ELM,2,FALSE),"----")</f>
        <v>----</v>
      </c>
      <c r="CZ584" s="691" t="e">
        <f t="shared" ca="1" si="10617"/>
        <v>#N/A</v>
      </c>
      <c r="DA584" s="4" t="e">
        <f ca="1">IF(LEFT($J575,7)="Clad Wo",IF(AND(INDEX(SPPWS,CZ584,4)&gt;=$AB575,INDEX(SPPWS,CZ584,5)&gt;=$S575,INDEX(SPPWS,CZ584,6)&gt;=$R575),1,0),IF(AND(INDEX(SPM,CZ584,4)&gt;=$AB575,INDEX(SPM,CZ584,5)&gt;=$S575,INDEX(SPM,CZ584,6)&gt;=$R575),1,0))</f>
        <v>#N/A</v>
      </c>
      <c r="DB584" s="4" t="e">
        <f t="shared" ref="DB584" ca="1" si="10756">MATCH(1,OFFSET(DA575:DA586,DC583,0,COUNT(DA575:DA586)-DC583),0)</f>
        <v>#REF!</v>
      </c>
      <c r="DC584" s="4" t="e">
        <f t="shared" ca="1" si="10619"/>
        <v>#REF!</v>
      </c>
      <c r="DD584" s="693" t="str">
        <f ca="1">IF(LEFT($J575,7)="Clad Wo",IFERROR(VLOOKUP(INDEX(CZ575:CZ586,DC584),SPPWS,2,FALSE),"----"),IFERROR(VLOOKUP(INDEX(CZ575:CZ586,DC584),SPM,2,FALSE),"----"))</f>
        <v>----</v>
      </c>
      <c r="DE584" s="691" t="e">
        <f t="shared" ca="1" si="10620"/>
        <v>#REF!</v>
      </c>
      <c r="DF584" s="4" t="e" cm="1">
        <f t="array" aca="1" ref="DF584" ca="1">IF(AND(INDEX(INDIRECT(BY575),DE584,4)&gt;=$AB581,INDEX(INDIRECT(BY575),DE584,5)&gt;=$S575,INDEX(INDIRECT(BY575),DE584,6)&gt;=$R575),1,0)</f>
        <v>#REF!</v>
      </c>
      <c r="DG584" s="4" t="e">
        <f t="shared" ref="DG584" ca="1" si="10757">MATCH(1,OFFSET(DF575:DF586,DH583,0,COUNT(DF575:DF586)-DH583),0)</f>
        <v>#REF!</v>
      </c>
      <c r="DH584" s="4" t="e">
        <f t="shared" ca="1" si="10622"/>
        <v>#REF!</v>
      </c>
      <c r="DI584" s="692" t="str" cm="1">
        <f t="array" aca="1" ref="DI584" ca="1">IFERROR(VLOOKUP(INDEX(DE575:DE586,DH584),INDIRECT(BY575),2,FALSE),"----")</f>
        <v>----</v>
      </c>
      <c r="DJ584" s="691" t="e">
        <f t="shared" ca="1" si="10623"/>
        <v>#N/A</v>
      </c>
      <c r="DK584" s="4" t="e">
        <f ca="1">IF(AND(INDEX(SSM,DJ584,4)&gt;=$AB581,INDEX(SSM,DJ584,5)&gt;=$S575,INDEX(SSM,DJ584,6)&gt;=$R575),1,0)</f>
        <v>#N/A</v>
      </c>
      <c r="DL584" s="4" t="e">
        <f t="shared" ref="DL584" ca="1" si="10758">MATCH(1,OFFSET(DK575:DK586,DM583,0,COUNT(DK575:DK586)-DM583),0)</f>
        <v>#REF!</v>
      </c>
      <c r="DM584" s="4" t="e">
        <f t="shared" ca="1" si="10625"/>
        <v>#REF!</v>
      </c>
      <c r="DN584" s="692" t="str">
        <f ca="1">IFERROR(IF(AD582="Nested Steel Stud (wood infill)",VLOOKUP(INDEX(DJ575:DJ586,DM584),SSW,2,FALSE),VLOOKUP(INDEX(DJ575:DJ586,DM584),SSM,2,FALSE)),"----")</f>
        <v>----</v>
      </c>
      <c r="DO584" s="691" t="e">
        <f t="shared" ca="1" si="10626"/>
        <v>#N/A</v>
      </c>
      <c r="DP584" s="4" t="e">
        <f ca="1">IF(AND(INDEX(WSM,DO584,4)&gt;=$AB581,INDEX(WSM,DO584,5)&gt;=$S575,INDEX(WSM,DO584,6)&gt;=$R575),1,0)</f>
        <v>#N/A</v>
      </c>
      <c r="DQ584" s="4" t="e">
        <f t="shared" ref="DQ584" ca="1" si="10759">MATCH(1,OFFSET(DP575:DP586,DR583,0,COUNT(DP575:DP586)-DR583),0)</f>
        <v>#REF!</v>
      </c>
      <c r="DR584" s="4" t="e">
        <f t="shared" ca="1" si="10628"/>
        <v>#REF!</v>
      </c>
      <c r="DS584" s="692" t="str">
        <f ca="1">IFERROR(VLOOKUP(INDEX(DO575:DO586,DR584),WSM,2,FALSE),"----")</f>
        <v>----</v>
      </c>
      <c r="DT584" s="691" t="e">
        <f t="shared" ca="1" si="10629"/>
        <v>#N/A</v>
      </c>
      <c r="DU584" s="4" t="e">
        <f ca="1">IF(AND(INDEX(STM,DT584,4)&gt;=$AB581,INDEX(STM,DT584,5)&gt;=$S575,INDEX(STM,DT584,6)&gt;=$R575),1,0)</f>
        <v>#N/A</v>
      </c>
      <c r="DV584" s="4" t="e">
        <f t="shared" ref="DV584" ca="1" si="10760">MATCH(1,OFFSET(DU575:DU586,DW583,0,COUNT(DU575:DU586)-DW583),0)</f>
        <v>#REF!</v>
      </c>
      <c r="DW584" s="4" t="e">
        <f t="shared" ca="1" si="10631"/>
        <v>#REF!</v>
      </c>
      <c r="DX584" s="692" t="str">
        <f ca="1">IFERROR(VLOOKUP(INDEX(DT575:DT586,DW584),STM,2,FALSE),"----")</f>
        <v>----</v>
      </c>
      <c r="DY584" s="691" t="e">
        <f t="shared" ca="1" si="10632"/>
        <v>#N/A</v>
      </c>
      <c r="DZ584" s="4" t="e">
        <f ca="1">IF(AND(INDEX(ELM,DY584,4)&gt;=$AB581,INDEX(ELM,DY584,5)&gt;=$S575,INDEX(ELM,DY584,6)&gt;=$R575),1,0)</f>
        <v>#N/A</v>
      </c>
      <c r="EA584" s="4" t="e">
        <f t="shared" ref="EA584" ca="1" si="10761">MATCH(1,OFFSET(DZ575:DZ586,EB583,0,COUNT(DZ575:DZ586)-EB583),0)</f>
        <v>#REF!</v>
      </c>
      <c r="EB584" s="4" t="e">
        <f t="shared" ca="1" si="10634"/>
        <v>#REF!</v>
      </c>
      <c r="EC584" s="692" t="str">
        <f ca="1">IFERROR(VLOOKUP(INDEX(DY575:DY586,EB584),ELM,2,FALSE),"----")</f>
        <v>----</v>
      </c>
      <c r="ED584" s="691" t="e">
        <f t="shared" ca="1" si="10635"/>
        <v>#N/A</v>
      </c>
      <c r="EE584" s="4" t="e">
        <f ca="1">IF(LEFT($J575,7)="Clad Wo",IF(AND(INDEX(SPPWS,ED584,4)&gt;=$AB581,INDEX(SPPWS,ED584,5)&gt;=$S575,INDEX(SPPWS,ED584,6)&gt;=$R575),1,0),IF(AND(INDEX(SPM,ED584,4)&gt;=$AB581,INDEX(SPM,ED584,5)&gt;=$S575,INDEX(SPM,ED584,6)&gt;=$R575),1,0))</f>
        <v>#N/A</v>
      </c>
      <c r="EF584" s="4" t="e">
        <f t="shared" ref="EF584" ca="1" si="10762">MATCH(1,OFFSET(EE575:EE586,EG583,0,COUNT(EE575:EE586)-EG583),0)</f>
        <v>#REF!</v>
      </c>
      <c r="EG584" s="4" t="e">
        <f t="shared" ca="1" si="10637"/>
        <v>#REF!</v>
      </c>
      <c r="EH584" s="692" t="str">
        <f ca="1">IF(LEFT($J575,7)="Clad Wo",IFERROR(VLOOKUP(INDEX(ED575:ED586,EG584),SPPWS,2,FALSE),"----"),IFERROR(VLOOKUP(INDEX(ED575:ED586,EG584),SPM,2,FALSE),"----"))</f>
        <v>----</v>
      </c>
    </row>
    <row r="585" spans="1:138" ht="15" customHeight="1" x14ac:dyDescent="0.25">
      <c r="A585" s="1085"/>
      <c r="B585" s="925"/>
      <c r="C585" s="926"/>
      <c r="D585" s="927"/>
      <c r="E585" s="995"/>
      <c r="F585" s="996"/>
      <c r="G585" s="997"/>
      <c r="H585" s="1062"/>
      <c r="I585" s="990"/>
      <c r="J585" s="902"/>
      <c r="K585" s="903"/>
      <c r="L585" s="1002"/>
      <c r="M585" s="923"/>
      <c r="N585" s="1042"/>
      <c r="O585" s="1018"/>
      <c r="P585" s="987"/>
      <c r="Q585" s="1015"/>
      <c r="R585" s="1012"/>
      <c r="S585" s="1006"/>
      <c r="T585" s="1007"/>
      <c r="U585" s="878"/>
      <c r="V585" s="881"/>
      <c r="W585" s="884"/>
      <c r="X585" s="884"/>
      <c r="Y585" s="887"/>
      <c r="Z585" s="887"/>
      <c r="AA585" s="887"/>
      <c r="AB585" s="1081"/>
      <c r="AC585" s="1078"/>
      <c r="AD585" s="1070" t="str">
        <f t="shared" si="10247"/>
        <v>Engineered Lumber</v>
      </c>
      <c r="AE585" s="1071"/>
      <c r="AF585" s="1052"/>
      <c r="AG585" s="1053"/>
      <c r="AH585" s="1053"/>
      <c r="AI585" s="1068"/>
      <c r="AJ585" s="1069"/>
      <c r="AK585" s="154" t="str">
        <f t="shared" ca="1" si="10024"/>
        <v/>
      </c>
      <c r="AL585" s="1059"/>
      <c r="AM585" s="344" t="str">
        <f ca="1">IFERROR(Q575/12*ROUND(VLOOKUP(AF585,OFFSET(ELM,0,1),6,FALSE),2),"")</f>
        <v/>
      </c>
      <c r="AN585" t="str">
        <f t="shared" ca="1" si="10040"/>
        <v/>
      </c>
      <c r="AP585" s="122" t="str">
        <f t="shared" ref="AP585" si="10763">_xlfn.CONCAT(AR585,AS586)</f>
        <v/>
      </c>
      <c r="AQ585" s="683" t="str">
        <f t="shared" si="10249"/>
        <v/>
      </c>
      <c r="AR585" s="4" t="str">
        <f t="shared" si="10009"/>
        <v/>
      </c>
      <c r="AS585" s="4"/>
      <c r="AT585" s="697" t="str">
        <f>AL581</f>
        <v/>
      </c>
      <c r="AU585" s="694" t="e">
        <f t="shared" ca="1" si="10265"/>
        <v>#REF!</v>
      </c>
      <c r="AV585" s="698" t="str">
        <f ca="1">IFERROR(VLOOKUP(AU585,INDIRECT(AQ575),2,FALSE),"----")</f>
        <v>----</v>
      </c>
      <c r="AW585" s="694" t="e">
        <f t="shared" ca="1" si="10266"/>
        <v>#REF!</v>
      </c>
      <c r="AX585" s="698" t="str">
        <f ca="1">IFERROR(VLOOKUP(AW585,INDIRECT(AQ576),2,FALSE),"----")</f>
        <v>----</v>
      </c>
      <c r="AY585" s="694" t="e">
        <f t="shared" ca="1" si="10511"/>
        <v>#REF!</v>
      </c>
      <c r="AZ585" s="698" t="str">
        <f ca="1">IFERROR(VLOOKUP(AY585,INDIRECT(AQ577),2,FALSE),"----")</f>
        <v>----</v>
      </c>
      <c r="BA585" s="694" t="e">
        <f t="shared" ca="1" si="10512"/>
        <v>#REF!</v>
      </c>
      <c r="BB585" s="698" t="str">
        <f ca="1">IFERROR(VLOOKUP(BA585,INDIRECT(AQ578),2,FALSE),"----")</f>
        <v>----</v>
      </c>
      <c r="BC585" s="694" t="e">
        <f t="shared" ca="1" si="10267"/>
        <v>#REF!</v>
      </c>
      <c r="BD585" s="698" t="str">
        <f ca="1">IFERROR(VLOOKUP(BC585,INDIRECT(AQ579),2,FALSE),"----")</f>
        <v>----</v>
      </c>
      <c r="BE585" s="694" t="e">
        <f t="shared" ca="1" si="10268"/>
        <v>#REF!</v>
      </c>
      <c r="BF585" s="698" t="str">
        <f ca="1">IFERROR(VLOOKUP(BE585,INDIRECT(AQ580),2,FALSE),"----")</f>
        <v>----</v>
      </c>
      <c r="BG585" s="702" t="e">
        <f t="shared" ca="1" si="10269"/>
        <v>#REF!</v>
      </c>
      <c r="BH585" s="686" t="str">
        <f ca="1">IFERROR(VLOOKUP(BG585,INDIRECT(AQ581),2,FALSE),"----")</f>
        <v>----</v>
      </c>
      <c r="BI585" s="702" t="e">
        <f t="shared" ca="1" si="10270"/>
        <v>#REF!</v>
      </c>
      <c r="BJ585" s="686" t="str">
        <f ca="1">IFERROR(VLOOKUP(BI585,INDIRECT(AQ582),2,FALSE),"----")</f>
        <v>----</v>
      </c>
      <c r="BK585" s="702" t="e">
        <f t="shared" ca="1" si="10271"/>
        <v>#REF!</v>
      </c>
      <c r="BL585" s="686" t="str">
        <f ca="1">IFERROR(VLOOKUP(BK585,INDIRECT(AQ583),2,FALSE),"----")</f>
        <v>----</v>
      </c>
      <c r="BM585" s="702" t="e">
        <f t="shared" ca="1" si="10272"/>
        <v>#REF!</v>
      </c>
      <c r="BN585" s="686" t="str">
        <f ca="1">IFERROR(VLOOKUP(BM585,INDIRECT(AQ584),2,FALSE),"----")</f>
        <v>----</v>
      </c>
      <c r="BO585" s="702" t="e">
        <f t="shared" ca="1" si="10273"/>
        <v>#REF!</v>
      </c>
      <c r="BP585" s="686" t="str">
        <f ca="1">IFERROR(VLOOKUP(BO585,INDIRECT(AQ585),2,FALSE),"----")</f>
        <v>----</v>
      </c>
      <c r="BQ585" s="702" t="e">
        <f t="shared" ca="1" si="10274"/>
        <v>#REF!</v>
      </c>
      <c r="BR585" s="686" t="str">
        <f ca="1">IFERROR(VLOOKUP(BQ585,INDIRECT(AQ586),2,FALSE),"----")</f>
        <v>----</v>
      </c>
      <c r="BS585" s="695">
        <f>IF(AI585="",1,IF(COUNTIF(BP575:BP586,AI585)=0,2,1))</f>
        <v>1</v>
      </c>
      <c r="BT585" s="696">
        <f>IF(AF585="",1,IF(BP575=".",2,1))</f>
        <v>1</v>
      </c>
      <c r="BU585" s="706"/>
      <c r="BV585" s="155">
        <f ca="1">IF(COUNTIF(EC575:EC586,AF585)=0,IF(AF585&lt;&gt;"",0,1),1)</f>
        <v>1</v>
      </c>
      <c r="BW585" s="157">
        <f ca="1">IFERROR(MATCH(AF585,EC575:EC586,0),1)</f>
        <v>1</v>
      </c>
      <c r="BX585" s="769"/>
      <c r="BY585" s="769"/>
      <c r="BZ585" s="1110"/>
      <c r="CA585" s="691" t="e">
        <f t="shared" ca="1" si="10602"/>
        <v>#REF!</v>
      </c>
      <c r="CB585" s="4" t="e" cm="1">
        <f t="array" aca="1" ref="CB585" ca="1">IF(AND(INDEX(INDIRECT(BY575),CA585,4)&gt;=$AB575,INDEX(INDIRECT(BY575),CA585,5)&gt;=$S575,INDEX(INDIRECT(BY575),CA585,6)&gt;=$R575),1,0)</f>
        <v>#REF!</v>
      </c>
      <c r="CC585" s="4" t="e">
        <f t="shared" ref="CC585" ca="1" si="10764">MATCH(1,OFFSET(CB575:CB586,CD584,0,COUNT(CB575:CB586)-CD584),0)</f>
        <v>#REF!</v>
      </c>
      <c r="CD585" s="4" t="e">
        <f t="shared" ca="1" si="10604"/>
        <v>#REF!</v>
      </c>
      <c r="CE585" s="692" t="str" cm="1">
        <f t="array" aca="1" ref="CE585" ca="1">IFERROR(VLOOKUP(INDEX(CA575:CA586,CD585),INDIRECT(BY575),2,FALSE),"----")</f>
        <v>----</v>
      </c>
      <c r="CF585" s="691" t="e">
        <f t="shared" ca="1" si="10605"/>
        <v>#N/A</v>
      </c>
      <c r="CG585" s="4" t="e">
        <f ca="1">IF(AND(INDEX(SSM,CF585,4)&gt;=$AB575,INDEX(SSM,CF585,5)&gt;=$S575,INDEX(SSM,CF585,6)&gt;=$R575),1,0)</f>
        <v>#N/A</v>
      </c>
      <c r="CH585" s="4" t="e">
        <f t="shared" ref="CH585" ca="1" si="10765">MATCH(1,OFFSET(CG575:CG586,CI584,0,COUNT(CG575:CG586)-CI584),0)</f>
        <v>#REF!</v>
      </c>
      <c r="CI585" s="4" t="e">
        <f t="shared" ca="1" si="10607"/>
        <v>#REF!</v>
      </c>
      <c r="CJ585" s="692" t="str">
        <f ca="1">IFERROR(IF(AD576="Nested Steel Stud (wood infill)",VLOOKUP(INDEX(CF575:CF586,CI585),SSW,2,FALSE),VLOOKUP(INDEX(CF575:CF586,CI585),SSM,2,FALSE)),"----")</f>
        <v>----</v>
      </c>
      <c r="CK585" s="691" t="e">
        <f t="shared" ca="1" si="10608"/>
        <v>#N/A</v>
      </c>
      <c r="CL585" s="4" t="e">
        <f ca="1">IF(AND(INDEX(WSM,CK585,4)&gt;=$AB575,INDEX(WSM,CK585,5)&gt;=$S575,INDEX(WSM,CK585,6)&gt;=$R575),1,0)</f>
        <v>#N/A</v>
      </c>
      <c r="CM585" s="4" t="e">
        <f t="shared" ref="CM585" ca="1" si="10766">MATCH(1,OFFSET(CL575:CL586,CN584,0,COUNT(CL575:CL586)-CN584),0)</f>
        <v>#REF!</v>
      </c>
      <c r="CN585" s="4" t="e">
        <f t="shared" ca="1" si="10610"/>
        <v>#REF!</v>
      </c>
      <c r="CO585" s="692" t="str">
        <f ca="1">IFERROR(VLOOKUP(INDEX(CK575:CK586,CN585),WSM,2,FALSE),"----")</f>
        <v>----</v>
      </c>
      <c r="CP585" s="691" t="e">
        <f t="shared" ca="1" si="10611"/>
        <v>#N/A</v>
      </c>
      <c r="CQ585" s="4" t="e">
        <f ca="1">IF(AND(INDEX(STM,CP585,4)&gt;=$AB575,INDEX(STM,CP585,5)&gt;=$S575,INDEX(STM,CP585,6)&gt;=$R575),1,0)</f>
        <v>#N/A</v>
      </c>
      <c r="CR585" s="4" t="e">
        <f t="shared" ref="CR585" ca="1" si="10767">MATCH(1,OFFSET(CQ575:CQ586,CS584,0,COUNT(CQ575:CQ586)-CS584),0)</f>
        <v>#REF!</v>
      </c>
      <c r="CS585" s="4" t="e">
        <f t="shared" ca="1" si="10613"/>
        <v>#REF!</v>
      </c>
      <c r="CT585" s="692" t="str">
        <f ca="1">IFERROR(VLOOKUP(INDEX(CP575:CP586,CS585),STM,2,FALSE),"----")</f>
        <v>----</v>
      </c>
      <c r="CU585" s="691" t="e">
        <f t="shared" ca="1" si="10614"/>
        <v>#N/A</v>
      </c>
      <c r="CV585" s="4" t="e">
        <f ca="1">IF(AND(INDEX(ELM,CU585,4)&gt;=$AB575,INDEX(ELM,CU585,5)&gt;=$S575,INDEX(ELM,CU585,6)&gt;=$R575),1,0)</f>
        <v>#N/A</v>
      </c>
      <c r="CW585" s="4" t="e">
        <f t="shared" ref="CW585" ca="1" si="10768">MATCH(1,OFFSET(CV575:CV586,CX584,0,COUNT(CV575:CV586)-CX584),0)</f>
        <v>#REF!</v>
      </c>
      <c r="CX585" s="4" t="e">
        <f t="shared" ca="1" si="10616"/>
        <v>#REF!</v>
      </c>
      <c r="CY585" s="692" t="str">
        <f ca="1">IFERROR(VLOOKUP(INDEX(CU575:CU586,CX585),ELM,2,FALSE),"----")</f>
        <v>----</v>
      </c>
      <c r="CZ585" s="691" t="e">
        <f t="shared" ca="1" si="10617"/>
        <v>#N/A</v>
      </c>
      <c r="DA585" s="4" t="e">
        <f ca="1">IF(LEFT($J575,7)="Clad Wo",IF(AND(INDEX(SPPWS,CZ585,4)&gt;=$AB575,INDEX(SPPWS,CZ585,5)&gt;=$S575,INDEX(SPPWS,CZ585,6)&gt;=$R575),1,0),IF(AND(INDEX(SPM,CZ585,4)&gt;=$AB575,INDEX(SPM,CZ585,5)&gt;=$S575,INDEX(SPM,CZ585,6)&gt;=$R575),1,0))</f>
        <v>#N/A</v>
      </c>
      <c r="DB585" s="4" t="e">
        <f t="shared" ref="DB585" ca="1" si="10769">MATCH(1,OFFSET(DA575:DA586,DC584,0,COUNT(DA575:DA586)-DC584),0)</f>
        <v>#REF!</v>
      </c>
      <c r="DC585" s="4" t="e">
        <f t="shared" ca="1" si="10619"/>
        <v>#REF!</v>
      </c>
      <c r="DD585" s="693" t="str">
        <f ca="1">IF(LEFT($J575,7)="Clad Wo",IFERROR(VLOOKUP(INDEX(CZ575:CZ586,DC585),SPPWS,2,FALSE),"----"),IFERROR(VLOOKUP(INDEX(CZ575:CZ586,DC585),SPM,2,FALSE),"----"))</f>
        <v>----</v>
      </c>
      <c r="DE585" s="691" t="e">
        <f t="shared" ca="1" si="10620"/>
        <v>#REF!</v>
      </c>
      <c r="DF585" s="4" t="e" cm="1">
        <f t="array" aca="1" ref="DF585" ca="1">IF(AND(INDEX(INDIRECT(BY575),DE585,4)&gt;=$AB581,INDEX(INDIRECT(BY575),DE585,5)&gt;=$S575,INDEX(INDIRECT(BY575),DE585,6)&gt;=$R575),1,0)</f>
        <v>#REF!</v>
      </c>
      <c r="DG585" s="4" t="e">
        <f t="shared" ref="DG585" ca="1" si="10770">MATCH(1,OFFSET(DF575:DF586,DH584,0,COUNT(DF575:DF586)-DH584),0)</f>
        <v>#REF!</v>
      </c>
      <c r="DH585" s="4" t="e">
        <f t="shared" ca="1" si="10622"/>
        <v>#REF!</v>
      </c>
      <c r="DI585" s="692" t="str" cm="1">
        <f t="array" aca="1" ref="DI585" ca="1">IFERROR(VLOOKUP(INDEX(DE575:DE586,DH585),INDIRECT(BY575),2,FALSE),"----")</f>
        <v>----</v>
      </c>
      <c r="DJ585" s="691" t="e">
        <f t="shared" ca="1" si="10623"/>
        <v>#N/A</v>
      </c>
      <c r="DK585" s="4" t="e">
        <f ca="1">IF(AND(INDEX(SSM,DJ585,4)&gt;=$AB581,INDEX(SSM,DJ585,5)&gt;=$S575,INDEX(SSM,DJ585,6)&gt;=$R575),1,0)</f>
        <v>#N/A</v>
      </c>
      <c r="DL585" s="4" t="e">
        <f t="shared" ref="DL585" ca="1" si="10771">MATCH(1,OFFSET(DK575:DK586,DM584,0,COUNT(DK575:DK586)-DM584),0)</f>
        <v>#REF!</v>
      </c>
      <c r="DM585" s="4" t="e">
        <f t="shared" ca="1" si="10625"/>
        <v>#REF!</v>
      </c>
      <c r="DN585" s="692" t="str">
        <f ca="1">IFERROR(IF(AD582="Nested Steel Stud (wood infill)",VLOOKUP(INDEX(DJ575:DJ586,DM585),SSW,2,FALSE),VLOOKUP(INDEX(DJ575:DJ586,DM585),SSM,2,FALSE)),"----")</f>
        <v>----</v>
      </c>
      <c r="DO585" s="691" t="e">
        <f t="shared" ca="1" si="10626"/>
        <v>#N/A</v>
      </c>
      <c r="DP585" s="4" t="e">
        <f ca="1">IF(AND(INDEX(WSM,DO585,4)&gt;=$AB581,INDEX(WSM,DO585,5)&gt;=$S575,INDEX(WSM,DO585,6)&gt;=$R575),1,0)</f>
        <v>#N/A</v>
      </c>
      <c r="DQ585" s="4" t="e">
        <f t="shared" ref="DQ585" ca="1" si="10772">MATCH(1,OFFSET(DP575:DP586,DR584,0,COUNT(DP575:DP586)-DR584),0)</f>
        <v>#REF!</v>
      </c>
      <c r="DR585" s="4" t="e">
        <f t="shared" ca="1" si="10628"/>
        <v>#REF!</v>
      </c>
      <c r="DS585" s="692" t="str">
        <f ca="1">IFERROR(VLOOKUP(INDEX(DO575:DO586,DR585),WSM,2,FALSE),"----")</f>
        <v>----</v>
      </c>
      <c r="DT585" s="691" t="e">
        <f t="shared" ca="1" si="10629"/>
        <v>#N/A</v>
      </c>
      <c r="DU585" s="4" t="e">
        <f ca="1">IF(AND(INDEX(STM,DT585,4)&gt;=$AB581,INDEX(STM,DT585,5)&gt;=$S575,INDEX(STM,DT585,6)&gt;=$R575),1,0)</f>
        <v>#N/A</v>
      </c>
      <c r="DV585" s="4" t="e">
        <f t="shared" ref="DV585" ca="1" si="10773">MATCH(1,OFFSET(DU575:DU586,DW584,0,COUNT(DU575:DU586)-DW584),0)</f>
        <v>#REF!</v>
      </c>
      <c r="DW585" s="4" t="e">
        <f t="shared" ca="1" si="10631"/>
        <v>#REF!</v>
      </c>
      <c r="DX585" s="692" t="str">
        <f ca="1">IFERROR(VLOOKUP(INDEX(DT575:DT586,DW585),STM,2,FALSE),"----")</f>
        <v>----</v>
      </c>
      <c r="DY585" s="691" t="e">
        <f t="shared" ca="1" si="10632"/>
        <v>#N/A</v>
      </c>
      <c r="DZ585" s="4" t="e">
        <f ca="1">IF(AND(INDEX(ELM,DY585,4)&gt;=$AB581,INDEX(ELM,DY585,5)&gt;=$S575,INDEX(ELM,DY585,6)&gt;=$R575),1,0)</f>
        <v>#N/A</v>
      </c>
      <c r="EA585" s="4" t="e">
        <f t="shared" ref="EA585" ca="1" si="10774">MATCH(1,OFFSET(DZ575:DZ586,EB584,0,COUNT(DZ575:DZ586)-EB584),0)</f>
        <v>#REF!</v>
      </c>
      <c r="EB585" s="4" t="e">
        <f t="shared" ca="1" si="10634"/>
        <v>#REF!</v>
      </c>
      <c r="EC585" s="692" t="str">
        <f ca="1">IFERROR(VLOOKUP(INDEX(DY575:DY586,EB585),ELM,2,FALSE),"----")</f>
        <v>----</v>
      </c>
      <c r="ED585" s="691" t="e">
        <f t="shared" ca="1" si="10635"/>
        <v>#N/A</v>
      </c>
      <c r="EE585" s="4" t="e">
        <f ca="1">IF(LEFT($J575,7)="Clad Wo",IF(AND(INDEX(SPPWS,ED585,4)&gt;=$AB581,INDEX(SPPWS,ED585,5)&gt;=$S575,INDEX(SPPWS,ED585,6)&gt;=$R575),1,0),IF(AND(INDEX(SPM,ED585,4)&gt;=$AB581,INDEX(SPM,ED585,5)&gt;=$S575,INDEX(SPM,ED585,6)&gt;=$R575),1,0))</f>
        <v>#N/A</v>
      </c>
      <c r="EF585" s="4" t="e">
        <f t="shared" ref="EF585" ca="1" si="10775">MATCH(1,OFFSET(EE575:EE586,EG584,0,COUNT(EE575:EE586)-EG584),0)</f>
        <v>#REF!</v>
      </c>
      <c r="EG585" s="4" t="e">
        <f t="shared" ca="1" si="10637"/>
        <v>#REF!</v>
      </c>
      <c r="EH585" s="692" t="str">
        <f ca="1">IF(LEFT($J575,7)="Clad Wo",IFERROR(VLOOKUP(INDEX(ED575:ED586,EG585),SPPWS,2,FALSE),"----"),IFERROR(VLOOKUP(INDEX(ED575:ED586,EG585),SPM,2,FALSE),"----"))</f>
        <v>----</v>
      </c>
    </row>
    <row r="586" spans="1:138" ht="15" customHeight="1" thickBot="1" x14ac:dyDescent="0.3">
      <c r="A586" s="1085"/>
      <c r="B586" s="928"/>
      <c r="C586" s="929"/>
      <c r="D586" s="930"/>
      <c r="E586" s="998"/>
      <c r="F586" s="999"/>
      <c r="G586" s="1000"/>
      <c r="H586" s="1063"/>
      <c r="I586" s="991"/>
      <c r="J586" s="904"/>
      <c r="K586" s="905"/>
      <c r="L586" s="1003"/>
      <c r="M586" s="1065"/>
      <c r="N586" s="1043"/>
      <c r="O586" s="1019"/>
      <c r="P586" s="988"/>
      <c r="Q586" s="1016"/>
      <c r="R586" s="1013"/>
      <c r="S586" s="1008"/>
      <c r="T586" s="1009"/>
      <c r="U586" s="879"/>
      <c r="V586" s="882"/>
      <c r="W586" s="885"/>
      <c r="X586" s="885"/>
      <c r="Y586" s="888"/>
      <c r="Z586" s="888"/>
      <c r="AA586" s="888"/>
      <c r="AB586" s="1082"/>
      <c r="AC586" s="1087"/>
      <c r="AD586" s="1098" t="str">
        <f t="shared" ref="AD586" si="10776">IF(LEFT(J575,7)="Clad Wo","Pella Wood Spr / Steel Pte","Steel Plate")</f>
        <v>Steel Plate</v>
      </c>
      <c r="AE586" s="1099"/>
      <c r="AF586" s="1096"/>
      <c r="AG586" s="1097"/>
      <c r="AH586" s="1097"/>
      <c r="AI586" s="1094"/>
      <c r="AJ586" s="1095"/>
      <c r="AK586" s="163" t="str">
        <f t="shared" ca="1" si="10024"/>
        <v/>
      </c>
      <c r="AL586" s="1060"/>
      <c r="AM586" s="345" t="str">
        <f ca="1">IFERROR(Q575/12*ROUND(VLOOKUP(AF586,OFFSET(SPM,0,1),6,FALSE),2),"")</f>
        <v/>
      </c>
      <c r="AN586" t="str">
        <f t="shared" ca="1" si="10040"/>
        <v/>
      </c>
      <c r="AP586" s="699" t="str">
        <f t="shared" ref="AP586" si="10777">_xlfn.CONCAT(AR586,AS586)</f>
        <v/>
      </c>
      <c r="AQ586" s="700" t="str">
        <f t="shared" si="10249"/>
        <v/>
      </c>
      <c r="AR586" s="160" t="str">
        <f t="shared" si="10009"/>
        <v/>
      </c>
      <c r="AS586" s="160" t="str">
        <f>IFERROR(VLOOKUP(J583, WallType,2,FALSE),"")</f>
        <v/>
      </c>
      <c r="AT586" s="707" t="str">
        <f>AL581</f>
        <v/>
      </c>
      <c r="AU586" s="708" t="e">
        <f t="shared" ca="1" si="10265"/>
        <v>#REF!</v>
      </c>
      <c r="AV586" s="709" t="str">
        <f ca="1">IFERROR(VLOOKUP(AU586,INDIRECT(AQ575),2,FALSE),"----")</f>
        <v>----</v>
      </c>
      <c r="AW586" s="710" t="e">
        <f t="shared" ca="1" si="10266"/>
        <v>#REF!</v>
      </c>
      <c r="AX586" s="709" t="str">
        <f ca="1">IFERROR(VLOOKUP(AW586,INDIRECT(AQ576),2,FALSE),"----")</f>
        <v>----</v>
      </c>
      <c r="AY586" s="710" t="e">
        <f t="shared" ca="1" si="10511"/>
        <v>#REF!</v>
      </c>
      <c r="AZ586" s="709" t="str">
        <f ca="1">IFERROR(VLOOKUP(AY586,INDIRECT(AQ577),2,FALSE),"----")</f>
        <v>----</v>
      </c>
      <c r="BA586" s="710" t="e">
        <f t="shared" ca="1" si="10512"/>
        <v>#REF!</v>
      </c>
      <c r="BB586" s="709" t="str">
        <f ca="1">IFERROR(VLOOKUP(BA586,INDIRECT(AQ578),2,FALSE),"----")</f>
        <v>----</v>
      </c>
      <c r="BC586" s="710" t="e">
        <f t="shared" ca="1" si="10267"/>
        <v>#REF!</v>
      </c>
      <c r="BD586" s="709" t="str">
        <f ca="1">IFERROR(VLOOKUP(BC586,INDIRECT(AQ579),2,FALSE),"----")</f>
        <v>----</v>
      </c>
      <c r="BE586" s="710" t="e">
        <f t="shared" ca="1" si="10268"/>
        <v>#REF!</v>
      </c>
      <c r="BF586" s="709" t="str">
        <f ca="1">IFERROR(VLOOKUP(BE586,INDIRECT(AQ580),2,FALSE),"----")</f>
        <v>----</v>
      </c>
      <c r="BG586" s="710" t="e">
        <f t="shared" ca="1" si="10269"/>
        <v>#REF!</v>
      </c>
      <c r="BH586" s="711" t="str">
        <f ca="1">IFERROR(VLOOKUP(BG586,INDIRECT(AQ581),2,FALSE),"----")</f>
        <v>----</v>
      </c>
      <c r="BI586" s="710" t="e">
        <f t="shared" ca="1" si="10270"/>
        <v>#REF!</v>
      </c>
      <c r="BJ586" s="711" t="str">
        <f ca="1">IFERROR(VLOOKUP(BI586,INDIRECT(AQ582),2,FALSE),"----")</f>
        <v>----</v>
      </c>
      <c r="BK586" s="710" t="e">
        <f t="shared" ca="1" si="10271"/>
        <v>#REF!</v>
      </c>
      <c r="BL586" s="711" t="str">
        <f ca="1">IFERROR(VLOOKUP(BK586,INDIRECT(AQ583),2,FALSE),"----")</f>
        <v>----</v>
      </c>
      <c r="BM586" s="710" t="e">
        <f t="shared" ca="1" si="10272"/>
        <v>#REF!</v>
      </c>
      <c r="BN586" s="711" t="str">
        <f ca="1">IFERROR(VLOOKUP(BM586,INDIRECT(AQ584),2,FALSE),"----")</f>
        <v>----</v>
      </c>
      <c r="BO586" s="710" t="e">
        <f t="shared" ca="1" si="10273"/>
        <v>#REF!</v>
      </c>
      <c r="BP586" s="711" t="str">
        <f ca="1">IFERROR(VLOOKUP(BO586,INDIRECT(AQ585),2,FALSE),"----")</f>
        <v>----</v>
      </c>
      <c r="BQ586" s="710" t="e">
        <f t="shared" ca="1" si="10274"/>
        <v>#REF!</v>
      </c>
      <c r="BR586" s="712" t="str">
        <f ca="1">IFERROR(VLOOKUP(BQ586,INDIRECT(AQ586),2,FALSE),"----")</f>
        <v>----</v>
      </c>
      <c r="BS586" s="695">
        <f>IF(AI586="",1,IF(COUNTIF(BR575:BR586,AI586)=0,2,1))</f>
        <v>1</v>
      </c>
      <c r="BT586" s="713">
        <f>IF(AF586="",1,IF(BR575=".",2,1))</f>
        <v>1</v>
      </c>
      <c r="BV586" s="155">
        <f ca="1">IF(COUNTIF(EH575:EH586,AF586)=0,IF(AF586&lt;&gt;"",0,1),1)</f>
        <v>1</v>
      </c>
      <c r="BW586" s="157">
        <f ca="1">IFERROR(MATCH(AF586,EH575:EH586,0),1)</f>
        <v>1</v>
      </c>
      <c r="BX586" s="718"/>
      <c r="BY586" s="777"/>
      <c r="BZ586" s="1110"/>
      <c r="CA586" s="714" t="e">
        <f t="shared" ca="1" si="10602"/>
        <v>#REF!</v>
      </c>
      <c r="CB586" s="715" t="e" cm="1">
        <f t="array" aca="1" ref="CB586" ca="1">IF(AND(INDEX(INDIRECT(BY575),CA586,4)&gt;=$AB575,INDEX(INDIRECT(BY575),CA586,5)&gt;=$S575,INDEX(INDIRECT(BY575),CA586,6)&gt;=$R575),1,0)</f>
        <v>#REF!</v>
      </c>
      <c r="CC586" s="715" t="e">
        <f t="shared" ref="CC586" ca="1" si="10778">MATCH(1,OFFSET(CB575:CB586,CD585,0,COUNT(CB575:CB586)-CD585),0)</f>
        <v>#REF!</v>
      </c>
      <c r="CD586" s="715" t="e">
        <f t="shared" ca="1" si="10604"/>
        <v>#REF!</v>
      </c>
      <c r="CE586" s="716" t="str" cm="1">
        <f t="array" aca="1" ref="CE586" ca="1">IFERROR(VLOOKUP(INDEX(CA575:CA586,CD586),INDIRECT(BY575),2,FALSE),"----")</f>
        <v>----</v>
      </c>
      <c r="CF586" s="714" t="e">
        <f t="shared" ca="1" si="10605"/>
        <v>#N/A</v>
      </c>
      <c r="CG586" s="715" t="e">
        <f ca="1">IF(AND(INDEX(SSM,CF586,4)&gt;=$AB575,INDEX(SSM,CF586,5)&gt;=$S575,INDEX(SSM,CF586,6)&gt;=$R575),1,0)</f>
        <v>#N/A</v>
      </c>
      <c r="CH586" s="715" t="e">
        <f t="shared" ref="CH586" ca="1" si="10779">MATCH(1,OFFSET(CG575:CG586,CI585,0,COUNT(CG575:CG586)-CI585),0)</f>
        <v>#REF!</v>
      </c>
      <c r="CI586" s="715" t="e">
        <f t="shared" ca="1" si="10607"/>
        <v>#REF!</v>
      </c>
      <c r="CJ586" s="716" t="str">
        <f ca="1">IFERROR(IF(AD576="Nested Steel Stud (wood infill)",VLOOKUP(INDEX(CF575:CF586,CI586),SSW,2,FALSE),VLOOKUP(INDEX(CF575:CF586,CI586),SSM,2,FALSE)),"----")</f>
        <v>----</v>
      </c>
      <c r="CK586" s="714" t="e">
        <f t="shared" ca="1" si="10608"/>
        <v>#N/A</v>
      </c>
      <c r="CL586" s="715" t="e">
        <f ca="1">IF(AND(INDEX(WSM,CK586,4)&gt;=$AB575,INDEX(WSM,CK586,5)&gt;=$S575,INDEX(WSM,CK586,6)&gt;=$R575),1,0)</f>
        <v>#N/A</v>
      </c>
      <c r="CM586" s="715" t="e">
        <f t="shared" ref="CM586" ca="1" si="10780">MATCH(1,OFFSET(CL575:CL586,CN585,0,COUNT(CL575:CL586)-CN585),0)</f>
        <v>#REF!</v>
      </c>
      <c r="CN586" s="715" t="e">
        <f t="shared" ca="1" si="10610"/>
        <v>#REF!</v>
      </c>
      <c r="CO586" s="716" t="str">
        <f ca="1">IFERROR(VLOOKUP(INDEX(CK575:CK586,CN586),WSM,2,FALSE),"----")</f>
        <v>----</v>
      </c>
      <c r="CP586" s="714" t="e">
        <f t="shared" ca="1" si="10611"/>
        <v>#N/A</v>
      </c>
      <c r="CQ586" s="715" t="e">
        <f ca="1">IF(AND(INDEX(STM,CP586,4)&gt;=$AB575,INDEX(STM,CP586,5)&gt;=$S575,INDEX(STM,CP586,6)&gt;=$R575),1,0)</f>
        <v>#N/A</v>
      </c>
      <c r="CR586" s="715" t="e">
        <f t="shared" ref="CR586" ca="1" si="10781">MATCH(1,OFFSET(CQ575:CQ586,CS585,0,COUNT(CQ575:CQ586)-CS585),0)</f>
        <v>#REF!</v>
      </c>
      <c r="CS586" s="715" t="e">
        <f t="shared" ca="1" si="10613"/>
        <v>#REF!</v>
      </c>
      <c r="CT586" s="716" t="str">
        <f ca="1">IFERROR(VLOOKUP(INDEX(CP575:CP586,CS586),STM,2,FALSE),"----")</f>
        <v>----</v>
      </c>
      <c r="CU586" s="714" t="e">
        <f t="shared" ca="1" si="10614"/>
        <v>#N/A</v>
      </c>
      <c r="CV586" s="715" t="e">
        <f ca="1">IF(AND(INDEX(ELM,CU586,4)&gt;=$AB575,INDEX(ELM,CU586,5)&gt;=$S575,INDEX(ELM,CU586,6)&gt;=$R575),1,0)</f>
        <v>#N/A</v>
      </c>
      <c r="CW586" s="715" t="e">
        <f t="shared" ref="CW586" ca="1" si="10782">MATCH(1,OFFSET(CV575:CV586,CX585,0,COUNT(CV575:CV586)-CX585),0)</f>
        <v>#REF!</v>
      </c>
      <c r="CX586" s="715" t="e">
        <f t="shared" ca="1" si="10616"/>
        <v>#REF!</v>
      </c>
      <c r="CY586" s="716" t="str">
        <f ca="1">IFERROR(VLOOKUP(INDEX(CU575:CU586,CX586),ELM,2,FALSE),"----")</f>
        <v>----</v>
      </c>
      <c r="CZ586" s="714" t="e">
        <f t="shared" ca="1" si="10617"/>
        <v>#N/A</v>
      </c>
      <c r="DA586" s="715" t="e">
        <f ca="1">IF(LEFT($J575,7)="Clad Wo",IF(AND(INDEX(SPPWS,CZ586,4)&gt;=$AB575,INDEX(SPPWS,CZ586,5)&gt;=$S575,INDEX(SPPWS,CZ586,6)&gt;=$R575),1,0),IF(AND(INDEX(SPM,CZ586,4)&gt;=$AB575,INDEX(SPM,CZ586,5)&gt;=$S575,INDEX(SPM,CZ586,6)&gt;=$R575),1,0))</f>
        <v>#N/A</v>
      </c>
      <c r="DB586" s="715" t="e">
        <f t="shared" ref="DB586" ca="1" si="10783">MATCH(1,OFFSET(DA575:DA586,DC585,0,COUNT(DA575:DA586)-DC585),0)</f>
        <v>#REF!</v>
      </c>
      <c r="DC586" s="715" t="e">
        <f t="shared" ca="1" si="10619"/>
        <v>#REF!</v>
      </c>
      <c r="DD586" s="717" t="str">
        <f ca="1">IF(LEFT($J575,7)="Clad Wo",IFERROR(VLOOKUP(INDEX(CZ575:CZ586,DC586),SPPWS,2,FALSE),"----"),IFERROR(VLOOKUP(INDEX(CZ575:CZ586,DC586),SPM,2,FALSE),"----"))</f>
        <v>----</v>
      </c>
      <c r="DE586" s="714" t="e">
        <f t="shared" ca="1" si="10620"/>
        <v>#REF!</v>
      </c>
      <c r="DF586" s="715" t="e" cm="1">
        <f t="array" aca="1" ref="DF586" ca="1">IF(AND(INDEX(INDIRECT(BY575),DE586,4)&gt;=$AB581,INDEX(INDIRECT(BY575),DE586,5)&gt;=$S575,INDEX(INDIRECT(BY575),DE586,6)&gt;=$R575),1,0)</f>
        <v>#REF!</v>
      </c>
      <c r="DG586" s="715" t="e">
        <f t="shared" ref="DG586" ca="1" si="10784">MATCH(1,OFFSET(DF575:DF586,DH585,0,COUNT(DF575:DF586)-DH585),0)</f>
        <v>#REF!</v>
      </c>
      <c r="DH586" s="715" t="e">
        <f t="shared" ca="1" si="10622"/>
        <v>#REF!</v>
      </c>
      <c r="DI586" s="716" t="str" cm="1">
        <f t="array" aca="1" ref="DI586" ca="1">IFERROR(VLOOKUP(INDEX(DE575:DE586,DH586),INDIRECT(BY575),2,FALSE),"----")</f>
        <v>----</v>
      </c>
      <c r="DJ586" s="714" t="e">
        <f t="shared" ca="1" si="10623"/>
        <v>#N/A</v>
      </c>
      <c r="DK586" s="715" t="e">
        <f ca="1">IF(AND(INDEX(SSM,DJ586,4)&gt;=$AB581,INDEX(SSM,DJ586,5)&gt;=$S575,INDEX(SSM,DJ586,6)&gt;=$R575),1,0)</f>
        <v>#N/A</v>
      </c>
      <c r="DL586" s="715" t="e">
        <f t="shared" ref="DL586" ca="1" si="10785">MATCH(1,OFFSET(DK575:DK586,DM585,0,COUNT(DK575:DK586)-DM585),0)</f>
        <v>#REF!</v>
      </c>
      <c r="DM586" s="715" t="e">
        <f t="shared" ca="1" si="10625"/>
        <v>#REF!</v>
      </c>
      <c r="DN586" s="716" t="str">
        <f ca="1">IFERROR(IF(AD582="Nested Steel Stud (wood infill)",VLOOKUP(INDEX(DJ575:DJ586,DM586),SSW,2,FALSE),VLOOKUP(INDEX(DJ575:DJ586,DM586),SSM,2,FALSE)),"----")</f>
        <v>----</v>
      </c>
      <c r="DO586" s="714" t="e">
        <f t="shared" ca="1" si="10626"/>
        <v>#N/A</v>
      </c>
      <c r="DP586" s="715" t="e">
        <f ca="1">IF(AND(INDEX(WSM,DO586,4)&gt;=$AB581,INDEX(WSM,DO586,5)&gt;=$S575,INDEX(WSM,DO586,6)&gt;=$R575),1,0)</f>
        <v>#N/A</v>
      </c>
      <c r="DQ586" s="715" t="e">
        <f t="shared" ref="DQ586" ca="1" si="10786">MATCH(1,OFFSET(DP575:DP586,DR585,0,COUNT(DP575:DP586)-DR585),0)</f>
        <v>#REF!</v>
      </c>
      <c r="DR586" s="715" t="e">
        <f t="shared" ca="1" si="10628"/>
        <v>#REF!</v>
      </c>
      <c r="DS586" s="716" t="str">
        <f ca="1">IFERROR(VLOOKUP(INDEX(DO575:DO586,DR586),WSM,2,FALSE),"----")</f>
        <v>----</v>
      </c>
      <c r="DT586" s="714" t="e">
        <f t="shared" ca="1" si="10629"/>
        <v>#N/A</v>
      </c>
      <c r="DU586" s="715" t="e">
        <f ca="1">IF(AND(INDEX(STM,DT586,4)&gt;=$AB581,INDEX(STM,DT586,5)&gt;=$S575,INDEX(STM,DT586,6)&gt;=$R575),1,0)</f>
        <v>#N/A</v>
      </c>
      <c r="DV586" s="715" t="e">
        <f t="shared" ref="DV586" ca="1" si="10787">MATCH(1,OFFSET(DU575:DU586,DW585,0,COUNT(DU575:DU586)-DW585),0)</f>
        <v>#REF!</v>
      </c>
      <c r="DW586" s="715" t="e">
        <f t="shared" ca="1" si="10631"/>
        <v>#REF!</v>
      </c>
      <c r="DX586" s="716" t="str">
        <f ca="1">IFERROR(VLOOKUP(INDEX(DT575:DT586,DW586),STM,2,FALSE),"----")</f>
        <v>----</v>
      </c>
      <c r="DY586" s="714" t="e">
        <f t="shared" ca="1" si="10632"/>
        <v>#N/A</v>
      </c>
      <c r="DZ586" s="715" t="e">
        <f ca="1">IF(AND(INDEX(ELM,DY586,4)&gt;=$AB581,INDEX(ELM,DY586,5)&gt;=$S575,INDEX(ELM,DY586,6)&gt;=$R575),1,0)</f>
        <v>#N/A</v>
      </c>
      <c r="EA586" s="715" t="e">
        <f t="shared" ref="EA586" ca="1" si="10788">MATCH(1,OFFSET(DZ575:DZ586,EB585,0,COUNT(DZ575:DZ586)-EB585),0)</f>
        <v>#REF!</v>
      </c>
      <c r="EB586" s="715" t="e">
        <f t="shared" ca="1" si="10634"/>
        <v>#REF!</v>
      </c>
      <c r="EC586" s="716" t="str">
        <f ca="1">IFERROR(VLOOKUP(INDEX(DY575:DY586,EB586),ELM,2,FALSE),"----")</f>
        <v>----</v>
      </c>
      <c r="ED586" s="714" t="e">
        <f t="shared" ca="1" si="10635"/>
        <v>#N/A</v>
      </c>
      <c r="EE586" s="715" t="e">
        <f ca="1">IF(LEFT($J575,7)="Clad Wo",IF(AND(INDEX(SPPWS,ED586,4)&gt;=$AB581,INDEX(SPPWS,ED586,5)&gt;=$S575,INDEX(SPPWS,ED586,6)&gt;=$R575),1,0),IF(AND(INDEX(SPM,ED586,4)&gt;=$AB581,INDEX(SPM,ED586,5)&gt;=$S575,INDEX(SPM,ED586,6)&gt;=$R575),1,0))</f>
        <v>#N/A</v>
      </c>
      <c r="EF586" s="715" t="e">
        <f t="shared" ref="EF586" ca="1" si="10789">MATCH(1,OFFSET(EE575:EE586,EG585,0,COUNT(EE575:EE586)-EG585),0)</f>
        <v>#REF!</v>
      </c>
      <c r="EG586" s="715" t="e">
        <f t="shared" ca="1" si="10637"/>
        <v>#REF!</v>
      </c>
      <c r="EH586" s="716" t="str">
        <f ca="1">IF(LEFT($J575,7)="Clad Wo",IFERROR(VLOOKUP(INDEX(ED575:ED586,EG586),SPPWS,2,FALSE),"----"),IFERROR(VLOOKUP(INDEX(ED575:ED586,EG586),SPM,2,FALSE),"----"))</f>
        <v>----</v>
      </c>
    </row>
    <row r="587" spans="1:138" ht="15" customHeight="1" thickTop="1" x14ac:dyDescent="0.25">
      <c r="A587" s="1085"/>
      <c r="B587" s="931" t="s">
        <v>92</v>
      </c>
      <c r="C587" s="932"/>
      <c r="D587" s="933"/>
      <c r="E587" s="992"/>
      <c r="F587" s="993"/>
      <c r="G587" s="994"/>
      <c r="H587" s="1061"/>
      <c r="I587" s="989"/>
      <c r="J587" s="906"/>
      <c r="K587" s="907"/>
      <c r="L587" s="1001">
        <f>$W$3</f>
        <v>4</v>
      </c>
      <c r="M587" s="923" t="str">
        <f t="shared" ref="M587" si="10790">IFERROR(IF($AE$13="",IF($AG$19="Wind Loading",MIN($V$31,IF(E$11="ASCE 7-05",$U$26,$V$7)*$V$9*(IF($E$12&lt;60,0.0771*LN(MAX(MIN(500,O587),10)) -1.2737,IF($E$11="ASCE 7-22",0.0524*LN(MAX(MIN(500,O587),50))-1.0278,0.0614*LN(MAX(MIN(500,O587),20)) -1.0829))-$V$8)),$V$7*IF(E$12&lt;60,$V$13*($V$15*0.0771*LN(MAX(MIN(500,O587),10))-1.2737-$V$16),$V$13*$V$15*((0.0524*LN(MAX(MIN(500,O587),20))-1.0278)-$V$16))),-ABS($AE$13)),"")</f>
        <v/>
      </c>
      <c r="N587" s="1042" t="str">
        <f t="shared" ref="N587" si="10791">IFERROR(IF($AE$15="",IF($AG$19="Wind Loading",MAX($U$31,IF(E$11="ASCE 7-05",$U$26,$V$7)*$V$9*((IF($E$12&lt;60,-0.077*LN(MAX(MIN(500,O587),10))+1.1737,IF($E$11="ASCE 7-22",-0.077*LN(MAX(MIN(500,O587),20))+1.0798,-0.093*LN(MAX(MIN(500,O587),20))+1.1776)))+$V$8)),$V$7*IF(E$12&lt;60,$V$13*($V$15*(-0.077*LN(MAX(MIN(500,O587),10))+1.1737)-$V$17),$V$13*$V$15*((-0.077*LN(MAX(MIN(500,O587),20))+1.0798)-$V$17))),ABS($AE$15)),"")</f>
        <v/>
      </c>
      <c r="O587" s="1017" t="str">
        <f>IF(BX594=0,"",IF(AG$14="Trapezoidal",BY594,BX594))</f>
        <v/>
      </c>
      <c r="P587" s="986"/>
      <c r="Q587" s="1014"/>
      <c r="R587" s="1011">
        <f>P587*Q587/8</f>
        <v>0</v>
      </c>
      <c r="S587" s="1004">
        <f t="shared" ref="S587" si="10792">IF(5*(P587*Q587^3/(384*0.125))=0,0,5*(P587*Q587^3/(384*0.125)))</f>
        <v>0</v>
      </c>
      <c r="T587" s="1005"/>
      <c r="U587" s="877" t="e">
        <f ca="1">VLOOKUP(J591,INDIRECT(VLOOKUP(J587,FrameStrength,2,FALSE)),3,FALSE)</f>
        <v>#N/A</v>
      </c>
      <c r="V587" s="880">
        <f t="shared" ref="V587" si="10793">(H587+I587)/2</f>
        <v>0</v>
      </c>
      <c r="W587" s="883" t="e">
        <f t="shared" ref="W587" si="10794">MAX(-M587,N587)*O587</f>
        <v>#VALUE!</v>
      </c>
      <c r="X587" s="883">
        <f t="shared" ref="X587" si="10795">IF(E587&gt;162,(E587/240+0.25),IF(AND(E587&lt;162,E587/175&lt;0.75),E587/175,0.75))</f>
        <v>0</v>
      </c>
      <c r="Y587" s="886">
        <f>IFERROR(IF(AG$14="Trapezoidal",BY595,BX595)+IF($E$17="4",(400*E587^3)/(48*X587),0),0)</f>
        <v>0</v>
      </c>
      <c r="Z587" s="886" t="e">
        <f t="shared" ref="Z587" si="10796">+($V587*MAX(-$M587,$N587)*$E587^2)/(144*8)+IF($E$17=4,(400*$E587)/4,0)</f>
        <v>#VALUE!</v>
      </c>
      <c r="AA587" s="886" t="e">
        <f ca="1">VLOOKUP(J591,INDIRECT(VLOOKUP(J587,FrameStrength,2,FALSE)),2,FALSE)</f>
        <v>#N/A</v>
      </c>
      <c r="AB587" s="1083" t="str">
        <f t="shared" ref="AB587" ca="1" si="10797">IFERROR(Z587-AA587,"")</f>
        <v/>
      </c>
      <c r="AC587" s="1077" t="str">
        <f t="shared" ref="AC587" ca="1" si="10798">IFERROR(Y587-U587,"")</f>
        <v/>
      </c>
      <c r="AD587" s="1100" t="str">
        <f>IFERROR(IF(LEFT(J591,2)="As",VLOOKUP(J591,EIMM,4,FALSE),VLOOKUP(J587,EIMM,4,FALSE)),IF(AND(ISNUMBER(SEARCH("Impervia",J587)),ISNUMBER(SEARCH("door",J591))),'New Lookup Cells'!AF$10,IF(ISNUMBER(SEARCH("Impervia",J587)),'New Lookup Cells'!AF$7,IF(AND(ISNUMBER(SEARCH("250",J587)),ISNUMBER(SEARCH("door",J591))),'New Lookup Cells'!AF$14,IF(ISNUMBER(SEARCH("250",J587)),'New Lookup Cells'!AF$13,"")))))</f>
        <v/>
      </c>
      <c r="AE587" s="1101"/>
      <c r="AF587" s="1050"/>
      <c r="AG587" s="1051"/>
      <c r="AH587" s="1051"/>
      <c r="AI587" s="1088"/>
      <c r="AJ587" s="1089"/>
      <c r="AK587" s="154" t="str">
        <f t="shared" ca="1" si="10024"/>
        <v/>
      </c>
      <c r="AL587" s="1038" t="str">
        <f t="shared" ref="AL587" si="10799">IFERROR(ROUND(SQRT(P587^2+(W587/2+IF($E$17=4,200,0))^2),0),"")</f>
        <v/>
      </c>
      <c r="AM587" s="342" t="s">
        <v>669</v>
      </c>
      <c r="AN587" t="str">
        <f t="shared" ca="1" si="10040"/>
        <v/>
      </c>
      <c r="AP587" s="122" t="str">
        <f t="shared" ref="AP587" si="10800">_xlfn.CONCAT(AR587,AS592)</f>
        <v/>
      </c>
      <c r="AQ587" s="683" t="str">
        <f t="shared" si="10249"/>
        <v/>
      </c>
      <c r="AR587" s="96" t="str">
        <f t="shared" si="10009"/>
        <v/>
      </c>
      <c r="AS587" s="96" t="str">
        <f>IF(COUNTIF(imp_1,AF587)=1,"imp_1",IF(COUNTIF(imp_2,AF587)=1,"imp_2",IF(COUNTIF(imp_3,AF587)=1,"imp_3",IF(COUNTIF(impdoor,AF587)=1,"impdoor",""))))</f>
        <v/>
      </c>
      <c r="AT587" s="684" t="str">
        <f>AL587</f>
        <v/>
      </c>
      <c r="AU587" s="685" t="e">
        <f ca="1">MATCH(AL587,INDIRECT(AP587),-1)</f>
        <v>#REF!</v>
      </c>
      <c r="AV587" s="686" t="str">
        <f ca="1">IFERROR(VLOOKUP(AU587,INDIRECT(AQ587),2,FALSE),"----")</f>
        <v>----</v>
      </c>
      <c r="AW587" s="685" t="e">
        <f ca="1">MATCH(AL587,INDIRECT(AP588),-1)</f>
        <v>#REF!</v>
      </c>
      <c r="AX587" s="686" t="str">
        <f ca="1">IFERROR(VLOOKUP(AW587,INDIRECT(AQ588),2,FALSE),"----")</f>
        <v>----</v>
      </c>
      <c r="AY587" s="685" t="e">
        <f ca="1">MATCH(AL587,INDIRECT(AP589),-1)</f>
        <v>#REF!</v>
      </c>
      <c r="AZ587" s="686" t="str">
        <f ca="1">IFERROR(VLOOKUP(AY587,INDIRECT(AQ589),2,FALSE),"----")</f>
        <v>----</v>
      </c>
      <c r="BA587" s="685" t="e">
        <f ca="1">MATCH(AL587,INDIRECT(AP590),-1)</f>
        <v>#REF!</v>
      </c>
      <c r="BB587" s="686" t="str">
        <f ca="1">IFERROR(VLOOKUP(BA587,INDIRECT(AQ590),2,FALSE),"----")</f>
        <v>----</v>
      </c>
      <c r="BC587" s="685" t="e">
        <f ca="1">MATCH(AL587,INDIRECT(AP591),-1)</f>
        <v>#REF!</v>
      </c>
      <c r="BD587" s="686" t="str">
        <f ca="1">IFERROR(VLOOKUP(BC587,INDIRECT(AQ591),2,FALSE),"----")</f>
        <v>----</v>
      </c>
      <c r="BE587" s="685" t="e">
        <f ca="1">MATCH(AL587,INDIRECT(AP592),-1)</f>
        <v>#REF!</v>
      </c>
      <c r="BF587" s="686" t="str">
        <f ca="1">IFERROR(VLOOKUP(BE587,INDIRECT(AQ592),2,FALSE),"----")</f>
        <v>----</v>
      </c>
      <c r="BG587" s="685" t="e">
        <f ca="1">MATCH(AL593,INDIRECT(AP593),-1)</f>
        <v>#REF!</v>
      </c>
      <c r="BH587" s="686" t="str">
        <f ca="1">IFERROR(VLOOKUP(BG587,INDIRECT(AQ593),2,FALSE),"----")</f>
        <v>----</v>
      </c>
      <c r="BI587" s="685" t="e">
        <f ca="1">MATCH(AL593,INDIRECT(AP594),-1)</f>
        <v>#REF!</v>
      </c>
      <c r="BJ587" s="686" t="str">
        <f ca="1">IFERROR(VLOOKUP(BI587,INDIRECT(AQ594),2,FALSE),"----")</f>
        <v>----</v>
      </c>
      <c r="BK587" s="685" t="e">
        <f ca="1">MATCH(AL593,INDIRECT(AP595),-1)</f>
        <v>#REF!</v>
      </c>
      <c r="BL587" s="686" t="str">
        <f ca="1">IFERROR(VLOOKUP(BK587,INDIRECT(AQ595),2,FALSE),"----")</f>
        <v>----</v>
      </c>
      <c r="BM587" s="685" t="e">
        <f ca="1">MATCH(AL593,INDIRECT(AP596),-1)</f>
        <v>#REF!</v>
      </c>
      <c r="BN587" s="686" t="str">
        <f ca="1">IFERROR(VLOOKUP(BM587,INDIRECT(AQ596),2,FALSE),"----")</f>
        <v>----</v>
      </c>
      <c r="BO587" s="685" t="e">
        <f ca="1">MATCH(AL593,INDIRECT(AP597),-1)</f>
        <v>#REF!</v>
      </c>
      <c r="BP587" s="686" t="str">
        <f ca="1">IFERROR(VLOOKUP(BO587,INDIRECT(AQ597),2,FALSE),"----")</f>
        <v>----</v>
      </c>
      <c r="BQ587" s="685" t="e">
        <f ca="1">MATCH(AL593,INDIRECT(AP598),-1)</f>
        <v>#REF!</v>
      </c>
      <c r="BR587" s="686" t="str">
        <f ca="1">IFERROR(VLOOKUP(BQ587,INDIRECT(AQ598),2,FALSE),"----")</f>
        <v>----</v>
      </c>
      <c r="BS587" s="687">
        <f>IF(AI587="",1,IF(COUNTIF(AV587:AV598,AI587)=0,2,1))</f>
        <v>1</v>
      </c>
      <c r="BT587" s="688">
        <f>IF(AP587="1",1,IF(AF587="",1,IF(AV587=".",2,1)))</f>
        <v>1</v>
      </c>
      <c r="BU587" s="706"/>
      <c r="BV587" s="155">
        <f ca="1">IF(COUNTIF(CE587:CE598,AF587)=0,IF(AF587&lt;&gt;"",0,1),1)</f>
        <v>1</v>
      </c>
      <c r="BW587" s="157">
        <f ca="1">IFERROR(MATCH(AF587,CE587:CE598,0),1)</f>
        <v>1</v>
      </c>
      <c r="BX587" s="769" t="str">
        <f>IFERROR(IF(LEFT(J591,2)="As",VLOOKUP(J591,EIMM,2,FALSE),IF(AND(ISNUMBER(SEARCH("Impervia",J587)),ISNUMBER(SEARCH("door",J591))),VLOOKUP("Impervia Door",EIMM,2,FALSE),IF(AND(ISNUMBER(SEARCH("250",J587)),ISNUMBER(SEARCH("door",J591))),VLOOKUP("250 Series Door",EIMM,2,FALSE),VLOOKUP(J587,EIMM,2,FALSE)))),"")</f>
        <v/>
      </c>
      <c r="BY587" s="769" t="str">
        <f ca="1">IFERROR(VLOOKUP(BX587,OFFSET(EIMM,0,1),2,FALSE),"")</f>
        <v/>
      </c>
      <c r="BZ587" s="1110" t="e">
        <f ca="1">IF((COUNTIF(INDIRECT(SUBSTITUTE(J587," ","_")),J591))=0,IF(J591="",1,0),1)</f>
        <v>#REF!</v>
      </c>
      <c r="CA587" s="691" t="e">
        <f ca="1">MATCH(AC587,INDIRECT(BX587),-1)</f>
        <v>#REF!</v>
      </c>
      <c r="CB587" s="4" t="e" cm="1">
        <f t="array" aca="1" ref="CB587" ca="1">IF(AND(INDEX(INDIRECT(BY587),CA587,4)&gt;=$AB587,INDEX(INDIRECT(BY587),CA587,5)&gt;=$S587,INDEX(INDIRECT(BY587),CA587,6)&gt;=$R587),1,0)</f>
        <v>#REF!</v>
      </c>
      <c r="CC587" s="4" t="e">
        <f t="shared" ref="CC587" ca="1" si="10801">MATCH(1,OFFSET(CB587:CB598,$W$2,0,COUNT(CB587:CB598)-$W$2),0)</f>
        <v>#REF!</v>
      </c>
      <c r="CD587" s="4" t="e">
        <f t="shared" ref="CD587" ca="1" si="10802">$W$2+CC587</f>
        <v>#REF!</v>
      </c>
      <c r="CE587" s="692" t="str" cm="1">
        <f t="array" aca="1" ref="CE587" ca="1">IFERROR(VLOOKUP(INDEX(CA587:CA598,CD587),INDIRECT(BY587),2,FALSE),"----")</f>
        <v>----</v>
      </c>
      <c r="CF587" s="691" t="e">
        <f ca="1">MATCH($AC587,SSEI,-1)</f>
        <v>#N/A</v>
      </c>
      <c r="CG587" s="4" t="e">
        <f ca="1">IF(AND(INDEX(SSM,CF587,4)&gt;=$AB587,INDEX(SSM,CF587,5)&gt;=$S587,INDEX(SSM,CF587,6)&gt;=$R587),1,0)</f>
        <v>#N/A</v>
      </c>
      <c r="CH587" s="4" t="e">
        <f t="shared" ref="CH587" ca="1" si="10803">MATCH(1,OFFSET(CG587:CG598,$W$2,0,COUNT(CG587:CG598)-$W$2),0)</f>
        <v>#REF!</v>
      </c>
      <c r="CI587" s="4" t="e">
        <f t="shared" ref="CI587" ca="1" si="10804">$W$2+CH587</f>
        <v>#REF!</v>
      </c>
      <c r="CJ587" s="692" t="str">
        <f ca="1">IFERROR(IF(AD588="Nested Steel Stud (wood infill)",VLOOKUP(INDEX(CF587:CF598,CI587),SSW,2,FALSE),VLOOKUP(INDEX(CF587:CF598,CI587),SSM,2,FALSE)),"----")</f>
        <v>----</v>
      </c>
      <c r="CK587" s="691" t="e">
        <f ca="1">MATCH($AC587,WSEI,-1)</f>
        <v>#N/A</v>
      </c>
      <c r="CL587" s="4" t="e">
        <f ca="1">IF(AND(INDEX(WSM,CK587,4)&gt;=$AB587,INDEX(WSM,CK587,5)&gt;=$S587,INDEX(WSM,CK587,6)&gt;=$R587),1,0)</f>
        <v>#N/A</v>
      </c>
      <c r="CM587" s="4" t="e">
        <f t="shared" ref="CM587" ca="1" si="10805">MATCH(1,OFFSET(CL587:CL598,$W$2,0,COUNT(CL587:CL598)-$W$2),0)</f>
        <v>#REF!</v>
      </c>
      <c r="CN587" s="4" t="e">
        <f t="shared" ref="CN587" ca="1" si="10806">$W$2+CM587</f>
        <v>#REF!</v>
      </c>
      <c r="CO587" s="692" t="str">
        <f ca="1">IFERROR(VLOOKUP(INDEX(CK587:CK598,CN587),WSM,2,FALSE),"----")</f>
        <v>----</v>
      </c>
      <c r="CP587" s="691" t="e">
        <f ca="1">MATCH($AC587,STEI,-1)</f>
        <v>#N/A</v>
      </c>
      <c r="CQ587" s="4" t="e">
        <f ca="1">IF(AND(INDEX(STM,CP587,4)&gt;=$AB587,INDEX(STM,CP587,5)&gt;=$S587,INDEX(STM,CP587,6)&gt;=$R587),1,0)</f>
        <v>#N/A</v>
      </c>
      <c r="CR587" s="4" t="e">
        <f t="shared" ref="CR587" ca="1" si="10807">MATCH(1,OFFSET(CQ587:CQ598,$W$2,0,COUNT(CQ587:CQ598)-$W$2),0)</f>
        <v>#REF!</v>
      </c>
      <c r="CS587" s="4" t="e">
        <f t="shared" ref="CS587" ca="1" si="10808">$W$2+CR587</f>
        <v>#REF!</v>
      </c>
      <c r="CT587" s="692" t="str">
        <f ca="1">IFERROR(VLOOKUP(INDEX(CP587:CP598,CS587),STM,2,FALSE),"----")</f>
        <v>----</v>
      </c>
      <c r="CU587" s="691" t="e">
        <f ca="1">MATCH($AC587,ELEI,-1)</f>
        <v>#N/A</v>
      </c>
      <c r="CV587" s="4" t="e">
        <f ca="1">IF(AND(INDEX(ELM,CU587,4)&gt;=$AB587,INDEX(ELM,CU587,5)&gt;=$S587,INDEX(ELM,CU587,6)&gt;=$R587),1,0)</f>
        <v>#N/A</v>
      </c>
      <c r="CW587" s="4" t="e">
        <f t="shared" ref="CW587" ca="1" si="10809">MATCH(1,OFFSET(CV587:CV598,$W$2,0,COUNT(CV587:CV598)-$W$2),0)</f>
        <v>#REF!</v>
      </c>
      <c r="CX587" s="4" t="e">
        <f t="shared" ref="CX587" ca="1" si="10810">$W$2+CW587</f>
        <v>#REF!</v>
      </c>
      <c r="CY587" s="692" t="str">
        <f ca="1">IFERROR(VLOOKUP(INDEX(CU587:CU598,CX587),ELM,2,FALSE),"----")</f>
        <v>----</v>
      </c>
      <c r="CZ587" s="691" t="e">
        <f ca="1">IF(LEFT($J587,7)="Clad Wo",MATCH($AC587,SPEIW,-1),MATCH($AC587,SPEI,-1))</f>
        <v>#N/A</v>
      </c>
      <c r="DA587" s="4" t="e">
        <f ca="1">IF(LEFT($J587,7)="Clad Wo",IF(AND(INDEX(SPPWS,CZ587,4)&gt;=$AB587,INDEX(SPPWS,CZ587,5)&gt;=$S587,INDEX(SPPWS,CZ587,6)&gt;=$R587),1,0),IF(AND(INDEX(SPM,CZ587,4)&gt;=$AB587,INDEX(SPM,CZ587,5)&gt;=$S587,INDEX(SPM,CZ587,6)&gt;=$R587),1,0))</f>
        <v>#N/A</v>
      </c>
      <c r="DB587" s="4" t="e">
        <f t="shared" ref="DB587" ca="1" si="10811">MATCH(1,OFFSET(DA587:DA598,$W$2,0,COUNT(DA587:DA598)-$W$2),0)</f>
        <v>#REF!</v>
      </c>
      <c r="DC587" s="4" t="e">
        <f t="shared" ref="DC587" ca="1" si="10812">$W$2+DB587</f>
        <v>#REF!</v>
      </c>
      <c r="DD587" s="693" t="str">
        <f ca="1">IF(LEFT($J587,7)="Clad Wo",IFERROR(VLOOKUP(INDEX(CZ587:CZ598,DC587),SPPWS,2,FALSE),"----"),IFERROR(VLOOKUP(INDEX(CZ587:CZ598,DC587),SPM,2,FALSE),"----"))</f>
        <v>----</v>
      </c>
      <c r="DE587" s="691" t="e">
        <f ca="1">MATCH(AC593,INDIRECT(BX587),-1)</f>
        <v>#REF!</v>
      </c>
      <c r="DF587" s="4" t="e" cm="1">
        <f t="array" aca="1" ref="DF587" ca="1">IF(AND(INDEX(INDIRECT(BY587),DE587,4)&gt;=$AB593,INDEX(INDIRECT(BY587),DE587,5)&gt;=$S587,INDEX(INDIRECT(BY587),DE587,6)&gt;=$R587),1,0)</f>
        <v>#REF!</v>
      </c>
      <c r="DG587" s="4" t="e">
        <f t="shared" ref="DG587" ca="1" si="10813">MATCH(1,OFFSET(DF587:DF598,$W$2,0,COUNT(DF587:DF598)-$W$2),0)</f>
        <v>#REF!</v>
      </c>
      <c r="DH587" s="4" t="e">
        <f t="shared" ref="DH587" ca="1" si="10814">$W$2+DG587</f>
        <v>#REF!</v>
      </c>
      <c r="DI587" s="692" t="str" cm="1">
        <f t="array" aca="1" ref="DI587" ca="1">IFERROR(VLOOKUP(INDEX(DE587:DE598,DH587),INDIRECT(BY587),2,FALSE),"----")</f>
        <v>----</v>
      </c>
      <c r="DJ587" s="691" t="e">
        <f ca="1">MATCH($AC593,SSEI,-1)</f>
        <v>#N/A</v>
      </c>
      <c r="DK587" s="4" t="e">
        <f ca="1">IF(AND(INDEX(SSM,DJ587,4)&gt;=$AB593,INDEX(SSM,DJ587,5)&gt;=$S587,INDEX(SSM,DJ587,6)&gt;=$R587),1,0)</f>
        <v>#N/A</v>
      </c>
      <c r="DL587" s="4" t="e">
        <f t="shared" ref="DL587" ca="1" si="10815">MATCH(1,OFFSET(DK587:DK598,$W$2,0,COUNT(DK587:DK598)-$W$2),0)</f>
        <v>#REF!</v>
      </c>
      <c r="DM587" s="4" t="e">
        <f t="shared" ref="DM587" ca="1" si="10816">$W$2+DL587</f>
        <v>#REF!</v>
      </c>
      <c r="DN587" s="692" t="str">
        <f ca="1">IFERROR(IF(AD594="Nested Steel Stud (wood infill)",VLOOKUP(INDEX(DJ587:DJ598,DM587),SSW,2,FALSE),VLOOKUP(INDEX(DJ587:DJ598,DM587),SSM,2,FALSE)),"----")</f>
        <v>----</v>
      </c>
      <c r="DO587" s="691" t="e">
        <f ca="1">MATCH($AC593,WSEI,-1)</f>
        <v>#N/A</v>
      </c>
      <c r="DP587" s="4" t="e">
        <f ca="1">IF(AND(INDEX(WSM,DO587,4)&gt;=$AB593,INDEX(WSM,DO587,5)&gt;=$S587,INDEX(WSM,DO587,6)&gt;=$R587),1,0)</f>
        <v>#N/A</v>
      </c>
      <c r="DQ587" s="4" t="e">
        <f t="shared" ref="DQ587" ca="1" si="10817">MATCH(1,OFFSET(DP587:DP598,$W$2,0,COUNT(DP587:DP598)-$W$2),0)</f>
        <v>#REF!</v>
      </c>
      <c r="DR587" s="4" t="e">
        <f t="shared" ref="DR587" ca="1" si="10818">$W$2+DQ587</f>
        <v>#REF!</v>
      </c>
      <c r="DS587" s="692" t="str">
        <f ca="1">IFERROR(VLOOKUP(INDEX(DO587:DO598,DR587),WSM,2,FALSE),"----")</f>
        <v>----</v>
      </c>
      <c r="DT587" s="691" t="e">
        <f ca="1">MATCH($AC593,STEI,-1)</f>
        <v>#N/A</v>
      </c>
      <c r="DU587" s="4" t="e">
        <f ca="1">IF(AND(INDEX(STM,DT587,4)&gt;=$AB593,INDEX(STM,DT587,5)&gt;=$S587,INDEX(STM,DT587,6)&gt;=$R587),1,0)</f>
        <v>#N/A</v>
      </c>
      <c r="DV587" s="4" t="e">
        <f t="shared" ref="DV587" ca="1" si="10819">MATCH(1,OFFSET(DU587:DU598,$W$2,0,COUNT(DU587:DU598)-$W$2),0)</f>
        <v>#REF!</v>
      </c>
      <c r="DW587" s="4" t="e">
        <f t="shared" ref="DW587" ca="1" si="10820">$W$2+DV587</f>
        <v>#REF!</v>
      </c>
      <c r="DX587" s="692" t="str">
        <f ca="1">IFERROR(VLOOKUP(INDEX(DT587:DT598,DW587),STM,2,FALSE),"----")</f>
        <v>----</v>
      </c>
      <c r="DY587" s="691" t="e">
        <f ca="1">MATCH($AC593,ELEI,-1)</f>
        <v>#N/A</v>
      </c>
      <c r="DZ587" s="4" t="e">
        <f ca="1">IF(AND(INDEX(ELM,DY587,4)&gt;=$AB593,INDEX(ELM,DY587,5)&gt;=$S587,INDEX(ELM,DY587,6)&gt;=$R587),1,0)</f>
        <v>#N/A</v>
      </c>
      <c r="EA587" s="4" t="e">
        <f t="shared" ref="EA587" ca="1" si="10821">MATCH(1,OFFSET(DZ587:DZ598,$W$2,0,COUNT(DZ587:DZ598)-$W$2),0)</f>
        <v>#REF!</v>
      </c>
      <c r="EB587" s="4" t="e">
        <f t="shared" ref="EB587" ca="1" si="10822">EA587+$W$2</f>
        <v>#REF!</v>
      </c>
      <c r="EC587" s="692" t="str">
        <f ca="1">IFERROR(VLOOKUP(INDEX(DY587:DY598,EB587),ELM,2,FALSE),"----")</f>
        <v>----</v>
      </c>
      <c r="ED587" s="691" t="e">
        <f ca="1">IF(LEFT($J587,7)="Clad Wo",MATCH($AC593,SPEIW,-1),MATCH($AC593,SPEI,-1))</f>
        <v>#N/A</v>
      </c>
      <c r="EE587" s="4" t="e">
        <f ca="1">IF(LEFT($J587,7)="Clad Wo",IF(AND(INDEX(SPPWS,ED587,4)&gt;=$AB593,INDEX(SPPWS,ED587,5)&gt;=$S587,INDEX(SPPWS,ED587,6)&gt;=$R587),1,0),IF(AND(INDEX(SPM,ED587,4)&gt;=$AB593,INDEX(SPM,ED587,5)&gt;=$S587,INDEX(SPM,ED587,6)&gt;=$R587),1,0))</f>
        <v>#N/A</v>
      </c>
      <c r="EF587" s="4" t="e">
        <f t="shared" ref="EF587" ca="1" si="10823">MATCH(1,OFFSET(EE587:EE598,$W$2,0,COUNT(EE587:EE598)-$W$2),0)</f>
        <v>#REF!</v>
      </c>
      <c r="EG587" s="4" t="e">
        <f t="shared" ref="EG587" ca="1" si="10824">$W$2+EF587</f>
        <v>#REF!</v>
      </c>
      <c r="EH587" s="692" t="str">
        <f ca="1">IF(LEFT($J587,7)="Clad Wo",IFERROR(VLOOKUP(INDEX(ED587:ED598,EG587),SPPWS,2,FALSE),"----"),IFERROR(VLOOKUP(INDEX(ED587:ED598,EG587),SPM,2,FALSE),"----"))</f>
        <v>----</v>
      </c>
    </row>
    <row r="588" spans="1:138" ht="15" customHeight="1" x14ac:dyDescent="0.25">
      <c r="A588" s="1085"/>
      <c r="B588" s="925"/>
      <c r="C588" s="926"/>
      <c r="D588" s="927"/>
      <c r="E588" s="995"/>
      <c r="F588" s="996"/>
      <c r="G588" s="997"/>
      <c r="H588" s="1062"/>
      <c r="I588" s="990"/>
      <c r="J588" s="908"/>
      <c r="K588" s="909"/>
      <c r="L588" s="1002"/>
      <c r="M588" s="923"/>
      <c r="N588" s="1042"/>
      <c r="O588" s="1018"/>
      <c r="P588" s="987"/>
      <c r="Q588" s="1015"/>
      <c r="R588" s="1012"/>
      <c r="S588" s="1006"/>
      <c r="T588" s="1007"/>
      <c r="U588" s="878"/>
      <c r="V588" s="881"/>
      <c r="W588" s="884"/>
      <c r="X588" s="884"/>
      <c r="Y588" s="887"/>
      <c r="Z588" s="887"/>
      <c r="AA588" s="887"/>
      <c r="AB588" s="1081"/>
      <c r="AC588" s="1078"/>
      <c r="AD588" s="1102" t="s">
        <v>38</v>
      </c>
      <c r="AE588" s="1103"/>
      <c r="AF588" s="1052"/>
      <c r="AG588" s="1053"/>
      <c r="AH588" s="1053"/>
      <c r="AI588" s="1066"/>
      <c r="AJ588" s="1067"/>
      <c r="AK588" s="156" t="str">
        <f t="shared" ca="1" si="10024"/>
        <v/>
      </c>
      <c r="AL588" s="1039"/>
      <c r="AM588" s="343" t="str">
        <f ca="1">IFERROR(Q587/12*ROUND(VLOOKUP(AF588,OFFSET(SSM,0,1),6,FALSE),2),"")</f>
        <v/>
      </c>
      <c r="AN588" t="str">
        <f t="shared" ca="1" si="10040"/>
        <v/>
      </c>
      <c r="AP588" s="122" t="str">
        <f t="shared" ref="AP588" si="10825">_xlfn.CONCAT(AR588,AS592)</f>
        <v/>
      </c>
      <c r="AQ588" s="683" t="str">
        <f t="shared" si="10249"/>
        <v/>
      </c>
      <c r="AR588" s="96" t="str">
        <f t="shared" si="10009"/>
        <v/>
      </c>
      <c r="AS588" s="96" t="str">
        <f>IF(COUNTIF(Vista_1,AF587)=1,"Vista_1",IF(COUNTIF(Vista_2,AF587)=1,"Vista_2",""))</f>
        <v/>
      </c>
      <c r="AT588" s="684" t="str">
        <f>AL587</f>
        <v/>
      </c>
      <c r="AU588" s="694" t="e">
        <f t="shared" ref="AU588" ca="1" si="10826">AU587-1</f>
        <v>#REF!</v>
      </c>
      <c r="AV588" s="686" t="str">
        <f ca="1">IFERROR(VLOOKUP(AU588,INDIRECT(AQ587),2,FALSE),"----")</f>
        <v>----</v>
      </c>
      <c r="AW588" s="694" t="e">
        <f t="shared" ref="AW588:AW589" ca="1" si="10827">AW587-1</f>
        <v>#REF!</v>
      </c>
      <c r="AX588" s="686" t="str">
        <f ca="1">IFERROR(VLOOKUP(AW588,INDIRECT(AQ588),2,FALSE),"----")</f>
        <v>----</v>
      </c>
      <c r="AY588" s="694" t="e">
        <f t="shared" ref="AY588:AY589" ca="1" si="10828">AY587-1</f>
        <v>#REF!</v>
      </c>
      <c r="AZ588" s="686" t="str">
        <f ca="1">IFERROR(VLOOKUP(AY588,INDIRECT(AQ589),2,FALSE),"----")</f>
        <v>----</v>
      </c>
      <c r="BA588" s="694" t="e">
        <f t="shared" ref="BA588:BA589" ca="1" si="10829">BA587-1</f>
        <v>#REF!</v>
      </c>
      <c r="BB588" s="686" t="str">
        <f ca="1">IFERROR(VLOOKUP(BA588,INDIRECT(AQ590),2,FALSE),"----")</f>
        <v>----</v>
      </c>
      <c r="BC588" s="694" t="e">
        <f t="shared" ref="BC588:BC589" ca="1" si="10830">BC587-1</f>
        <v>#REF!</v>
      </c>
      <c r="BD588" s="686" t="str">
        <f ca="1">IFERROR(VLOOKUP(BC588,INDIRECT(AQ591),2,FALSE),"----")</f>
        <v>----</v>
      </c>
      <c r="BE588" s="694" t="e">
        <f t="shared" ref="BE588" ca="1" si="10831">BE587-1</f>
        <v>#REF!</v>
      </c>
      <c r="BF588" s="686" t="str">
        <f ca="1">IFERROR(VLOOKUP(BE588,INDIRECT(AQ592),2,FALSE),"----")</f>
        <v>----</v>
      </c>
      <c r="BG588" s="694" t="e">
        <f t="shared" ref="BG588" ca="1" si="10832">BG587-1</f>
        <v>#REF!</v>
      </c>
      <c r="BH588" s="686" t="str">
        <f ca="1">IFERROR(VLOOKUP(BG588,INDIRECT(AQ593),2,FALSE),"----")</f>
        <v>----</v>
      </c>
      <c r="BI588" s="694" t="e">
        <f t="shared" ref="BI588:BI589" ca="1" si="10833">BI587-1</f>
        <v>#REF!</v>
      </c>
      <c r="BJ588" s="686" t="str">
        <f ca="1">IFERROR(VLOOKUP(BI588,INDIRECT(AQ594),2,FALSE),"----")</f>
        <v>----</v>
      </c>
      <c r="BK588" s="694" t="e">
        <f t="shared" ref="BK588:BK589" ca="1" si="10834">BK587-1</f>
        <v>#REF!</v>
      </c>
      <c r="BL588" s="686" t="str">
        <f ca="1">IFERROR(VLOOKUP(BK588,INDIRECT(AQ595),2,FALSE),"----")</f>
        <v>----</v>
      </c>
      <c r="BM588" s="694" t="e">
        <f t="shared" ref="BM588:BM589" ca="1" si="10835">BM587-1</f>
        <v>#REF!</v>
      </c>
      <c r="BN588" s="686" t="str">
        <f ca="1">IFERROR(VLOOKUP(BM588,INDIRECT(AQ596),2,FALSE),"----")</f>
        <v>----</v>
      </c>
      <c r="BO588" s="694" t="e">
        <f t="shared" ref="BO588:BO589" ca="1" si="10836">BO587-1</f>
        <v>#REF!</v>
      </c>
      <c r="BP588" s="686" t="str">
        <f ca="1">IFERROR(VLOOKUP(BO588,INDIRECT(AQ597),2,FALSE),"----")</f>
        <v>----</v>
      </c>
      <c r="BQ588" s="694" t="e">
        <f t="shared" ref="BQ588" ca="1" si="10837">BQ587-1</f>
        <v>#REF!</v>
      </c>
      <c r="BR588" s="686" t="str">
        <f ca="1">IFERROR(VLOOKUP(BQ588,INDIRECT(AQ598),2,FALSE),"----")</f>
        <v>----</v>
      </c>
      <c r="BS588" s="695">
        <f>IF(AI588="",1,IF(COUNTIF(AX587:AX598,AI588)=0,2,1))</f>
        <v>1</v>
      </c>
      <c r="BT588" s="696">
        <f>IF(AF588="",1,IF(AX587=".",2,1))</f>
        <v>1</v>
      </c>
      <c r="BU588" s="706"/>
      <c r="BV588" s="155">
        <f ca="1">IF(COUNTIF(CJ587:CJ598,AF588)=0,IF(AF588&lt;&gt;"",0,1),1)</f>
        <v>1</v>
      </c>
      <c r="BW588" s="157">
        <f ca="1">IFERROR(MATCH(AF588,CJ587:CJ598,0),1)</f>
        <v>1</v>
      </c>
      <c r="BX588" s="769"/>
      <c r="BY588" s="769"/>
      <c r="BZ588" s="1110"/>
      <c r="CA588" s="691" t="e">
        <f t="shared" ref="CA588:CA598" ca="1" si="10838">CA587-1</f>
        <v>#REF!</v>
      </c>
      <c r="CB588" s="4" t="e" cm="1">
        <f t="array" aca="1" ref="CB588" ca="1">IF(AND(INDEX(INDIRECT(BY587),CA588,4)&gt;=$AB587,INDEX(INDIRECT(BY587),CA588,5)&gt;=$S587,INDEX(INDIRECT(BY587),CA588,6)&gt;=$R587),1,0)</f>
        <v>#REF!</v>
      </c>
      <c r="CC588" s="4" t="e">
        <f t="shared" ref="CC588" ca="1" si="10839">MATCH(1,OFFSET(CB587:CB598,CD587,0,COUNT(CB587:CB598)-CD587),0)</f>
        <v>#REF!</v>
      </c>
      <c r="CD588" s="4" t="e">
        <f t="shared" ref="CD588:CD598" ca="1" si="10840">CD587+CC588</f>
        <v>#REF!</v>
      </c>
      <c r="CE588" s="692" t="str" cm="1">
        <f t="array" aca="1" ref="CE588" ca="1">IFERROR(VLOOKUP(INDEX(CA587:CA598,CD588),INDIRECT(BY587),2,FALSE),"----")</f>
        <v>----</v>
      </c>
      <c r="CF588" s="691" t="e">
        <f t="shared" ref="CF588:CF598" ca="1" si="10841">CF587-1</f>
        <v>#N/A</v>
      </c>
      <c r="CG588" s="4" t="e">
        <f ca="1">IF(AND(INDEX(SSM,CF588,4)&gt;=$AB587,INDEX(SSM,CF588,5)&gt;=$S587,INDEX(SSM,CF588,6)&gt;=$R587),1,0)</f>
        <v>#N/A</v>
      </c>
      <c r="CH588" s="4" t="e">
        <f t="shared" ref="CH588" ca="1" si="10842">MATCH(1,OFFSET(CG587:CG598,CI587,0,COUNT(CG587:CG598)-CI587),0)</f>
        <v>#REF!</v>
      </c>
      <c r="CI588" s="4" t="e">
        <f t="shared" ref="CI588:CI598" ca="1" si="10843">CI587+CH588</f>
        <v>#REF!</v>
      </c>
      <c r="CJ588" s="692" t="str">
        <f ca="1">IFERROR(IF(AD588="Nested Steel Stud (wood infill)",VLOOKUP(INDEX(CF587:CF598,CI588),SSW,2,FALSE),VLOOKUP(INDEX(CF587:CF598,CI588),SSM,2,FALSE)),"----")</f>
        <v>----</v>
      </c>
      <c r="CK588" s="691" t="e">
        <f t="shared" ref="CK588:CK598" ca="1" si="10844">CK587-1</f>
        <v>#N/A</v>
      </c>
      <c r="CL588" s="4" t="e">
        <f ca="1">IF(AND(INDEX(WSM,CK588,4)&gt;=$AB587,INDEX(WSM,CK588,5)&gt;=$S587,INDEX(WSM,CK588,6)&gt;=$R587),1,0)</f>
        <v>#N/A</v>
      </c>
      <c r="CM588" s="4" t="e">
        <f t="shared" ref="CM588" ca="1" si="10845">MATCH(1,OFFSET(CL587:CL598,CN587,0,COUNT(CL587:CL598)-CN587),0)</f>
        <v>#REF!</v>
      </c>
      <c r="CN588" s="4" t="e">
        <f t="shared" ref="CN588:CN598" ca="1" si="10846">CM588+CN587</f>
        <v>#REF!</v>
      </c>
      <c r="CO588" s="692" t="str">
        <f ca="1">IFERROR(VLOOKUP(INDEX(CK587:CK598,CN588),WSM,2,FALSE),"----")</f>
        <v>----</v>
      </c>
      <c r="CP588" s="691" t="e">
        <f t="shared" ref="CP588:CP598" ca="1" si="10847">CP587-1</f>
        <v>#N/A</v>
      </c>
      <c r="CQ588" s="4" t="e">
        <f ca="1">IF(AND(INDEX(STM,CP588,4)&gt;=$AB587,INDEX(STM,CP588,5)&gt;=$S587,INDEX(STM,CP588,6)&gt;=$R587),1,0)</f>
        <v>#N/A</v>
      </c>
      <c r="CR588" s="4" t="e">
        <f t="shared" ref="CR588" ca="1" si="10848">MATCH(1,OFFSET(CQ587:CQ598,CS587,0,COUNT(CQ587:CQ598)-CS587),0)</f>
        <v>#REF!</v>
      </c>
      <c r="CS588" s="4" t="e">
        <f t="shared" ref="CS588:CS598" ca="1" si="10849">CR588+CS587</f>
        <v>#REF!</v>
      </c>
      <c r="CT588" s="692" t="str">
        <f ca="1">IFERROR(VLOOKUP(INDEX(CP587:CP598,CS588),STM,2,FALSE),"----")</f>
        <v>----</v>
      </c>
      <c r="CU588" s="691" t="e">
        <f t="shared" ref="CU588:CU598" ca="1" si="10850">CU587-1</f>
        <v>#N/A</v>
      </c>
      <c r="CV588" s="4" t="e">
        <f ca="1">IF(AND(INDEX(ELM,CU588,4)&gt;=$AB587,INDEX(ELM,CU588,5)&gt;=$S587,INDEX(ELM,CU588,6)&gt;=$R587),1,0)</f>
        <v>#N/A</v>
      </c>
      <c r="CW588" s="4" t="e">
        <f t="shared" ref="CW588" ca="1" si="10851">MATCH(1,OFFSET(CV587:CV598,CX587,0,COUNT(CV587:CV598)-CX587),0)</f>
        <v>#REF!</v>
      </c>
      <c r="CX588" s="4" t="e">
        <f t="shared" ref="CX588:CX598" ca="1" si="10852">CW588+CX587</f>
        <v>#REF!</v>
      </c>
      <c r="CY588" s="692" t="str">
        <f ca="1">IFERROR(VLOOKUP(INDEX(CU587:CU598,CX588),ELM,2,FALSE),"----")</f>
        <v>----</v>
      </c>
      <c r="CZ588" s="691" t="e">
        <f t="shared" ref="CZ588:CZ598" ca="1" si="10853">CZ587-1</f>
        <v>#N/A</v>
      </c>
      <c r="DA588" s="4" t="e">
        <f ca="1">IF(LEFT($J587,7)="Clad Wo",IF(AND(INDEX(SPPWS,CZ588,4)&gt;=$AB587,INDEX(SPPWS,CZ588,5)&gt;=$S587,INDEX(SPPWS,CZ588,6)&gt;=$R587),1,0),IF(AND(INDEX(SPM,CZ588,4)&gt;=$AB587,INDEX(SPM,CZ588,5)&gt;=$S587,INDEX(SPM,CZ588,6)&gt;=$R587),1,0))</f>
        <v>#N/A</v>
      </c>
      <c r="DB588" s="4" t="e">
        <f t="shared" ref="DB588" ca="1" si="10854">MATCH(1,OFFSET(DA587:DA598,DC587,0,COUNT(DA587:DA598)-DC587),0)</f>
        <v>#REF!</v>
      </c>
      <c r="DC588" s="4" t="e">
        <f t="shared" ref="DC588:DC598" ca="1" si="10855">DC587+DB588</f>
        <v>#REF!</v>
      </c>
      <c r="DD588" s="693" t="str">
        <f ca="1">IF(LEFT($J587,7)="Clad Wo",IFERROR(VLOOKUP(INDEX(CZ587:CZ598,DC588),SPPWS,2,FALSE),"----"),IFERROR(VLOOKUP(INDEX(CZ587:CZ598,DC588),SPM,2,FALSE),"----"))</f>
        <v>----</v>
      </c>
      <c r="DE588" s="691" t="e">
        <f t="shared" ref="DE588:DE598" ca="1" si="10856">DE587-1</f>
        <v>#REF!</v>
      </c>
      <c r="DF588" s="4" t="e" cm="1">
        <f t="array" aca="1" ref="DF588" ca="1">IF(AND(INDEX(INDIRECT(BY587),DE588,4)&gt;=$AB593,INDEX(INDIRECT(BY587),DE588,5)&gt;=$S587,INDEX(INDIRECT(BY587),DE588,6)&gt;=$R587),1,0)</f>
        <v>#REF!</v>
      </c>
      <c r="DG588" s="4" t="e">
        <f t="shared" ref="DG588" ca="1" si="10857">MATCH(1,OFFSET(DF587:DF598,DH587,0,COUNT(DF587:DF598)-DH587),0)</f>
        <v>#REF!</v>
      </c>
      <c r="DH588" s="4" t="e">
        <f t="shared" ref="DH588:DH598" ca="1" si="10858">DH587+DG588</f>
        <v>#REF!</v>
      </c>
      <c r="DI588" s="692" t="str" cm="1">
        <f t="array" aca="1" ref="DI588" ca="1">IFERROR(VLOOKUP(INDEX(DE587:DE598,DH588),INDIRECT(BY587),2,FALSE),"----")</f>
        <v>----</v>
      </c>
      <c r="DJ588" s="691" t="e">
        <f t="shared" ref="DJ588:DJ598" ca="1" si="10859">DJ587-1</f>
        <v>#N/A</v>
      </c>
      <c r="DK588" s="4" t="e">
        <f ca="1">IF(AND(INDEX(SSM,DJ588,4)&gt;=$AB593,INDEX(SSM,DJ588,5)&gt;=$S587,INDEX(SSM,DJ588,6)&gt;=$R587),1,0)</f>
        <v>#N/A</v>
      </c>
      <c r="DL588" s="4" t="e">
        <f t="shared" ref="DL588" ca="1" si="10860">MATCH(1,OFFSET(DK587:DK598,DM587,0,COUNT(DK587:DK598)-DM587),0)</f>
        <v>#REF!</v>
      </c>
      <c r="DM588" s="4" t="e">
        <f t="shared" ref="DM588:DM598" ca="1" si="10861">DL588+DM587</f>
        <v>#REF!</v>
      </c>
      <c r="DN588" s="692" t="str">
        <f ca="1">IFERROR(IF(AD594="Nested Steel Stud (wood infill)",VLOOKUP(INDEX(DJ587:DJ598,DM588),SSW,2,FALSE),VLOOKUP(INDEX(DJ587:DJ598,DM588),SSM,2,FALSE)),"----")</f>
        <v>----</v>
      </c>
      <c r="DO588" s="691" t="e">
        <f t="shared" ref="DO588:DO598" ca="1" si="10862">DO587-1</f>
        <v>#N/A</v>
      </c>
      <c r="DP588" s="4" t="e">
        <f ca="1">IF(AND(INDEX(WSM,DO588,4)&gt;=$AB593,INDEX(WSM,DO588,5)&gt;=$S587,INDEX(WSM,DO588,6)&gt;=$R587),1,0)</f>
        <v>#N/A</v>
      </c>
      <c r="DQ588" s="4" t="e">
        <f t="shared" ref="DQ588" ca="1" si="10863">MATCH(1,OFFSET(DP587:DP598,DR587,0,COUNT(DP587:DP598)-DR587),0)</f>
        <v>#REF!</v>
      </c>
      <c r="DR588" s="4" t="e">
        <f t="shared" ref="DR588:DR598" ca="1" si="10864">DQ588+DR587</f>
        <v>#REF!</v>
      </c>
      <c r="DS588" s="692" t="str">
        <f ca="1">IFERROR(VLOOKUP(INDEX(DO587:DO598,DR588),WSM,2,FALSE),"----")</f>
        <v>----</v>
      </c>
      <c r="DT588" s="691" t="e">
        <f t="shared" ref="DT588:DT598" ca="1" si="10865">DT587-1</f>
        <v>#N/A</v>
      </c>
      <c r="DU588" s="4" t="e">
        <f ca="1">IF(AND(INDEX(STM,DT588,4)&gt;=$AB593,INDEX(STM,DT588,5)&gt;=$S587,INDEX(STM,DT588,6)&gt;=$R587),1,0)</f>
        <v>#N/A</v>
      </c>
      <c r="DV588" s="4" t="e">
        <f t="shared" ref="DV588" ca="1" si="10866">MATCH(1,OFFSET(DU587:DU598,DW587,0,COUNT(DU587:DU598)-DW587),0)</f>
        <v>#REF!</v>
      </c>
      <c r="DW588" s="4" t="e">
        <f t="shared" ref="DW588:DW598" ca="1" si="10867">DV588+DW587</f>
        <v>#REF!</v>
      </c>
      <c r="DX588" s="692" t="str">
        <f ca="1">IFERROR(VLOOKUP(INDEX(DT587:DT598,DW588),STM,2,FALSE),"----")</f>
        <v>----</v>
      </c>
      <c r="DY588" s="691" t="e">
        <f t="shared" ref="DY588:DY598" ca="1" si="10868">DY587-1</f>
        <v>#N/A</v>
      </c>
      <c r="DZ588" s="4" t="e">
        <f ca="1">IF(AND(INDEX(ELM,DY588,4)&gt;=$AB593,INDEX(ELM,DY588,5)&gt;=$S587,INDEX(ELM,DY588,6)&gt;=$R587),1,0)</f>
        <v>#N/A</v>
      </c>
      <c r="EA588" s="4" t="e">
        <f t="shared" ref="EA588" ca="1" si="10869">MATCH(1,OFFSET(DZ587:DZ598,EB587,0,COUNT(DZ587:DZ598)-EB587),0)</f>
        <v>#REF!</v>
      </c>
      <c r="EB588" s="4" t="e">
        <f t="shared" ref="EB588:EB598" ca="1" si="10870">EA588+EB587</f>
        <v>#REF!</v>
      </c>
      <c r="EC588" s="692" t="str">
        <f ca="1">IFERROR(VLOOKUP(INDEX(DY587:DY598,EB588),ELM,2,FALSE),"----")</f>
        <v>----</v>
      </c>
      <c r="ED588" s="691" t="e">
        <f t="shared" ref="ED588:ED598" ca="1" si="10871">ED587-1</f>
        <v>#N/A</v>
      </c>
      <c r="EE588" s="4" t="e">
        <f ca="1">IF(LEFT($J587,7)="Clad Wo",IF(AND(INDEX(SPPWS,ED588,4)&gt;=$AB593,INDEX(SPPWS,ED588,5)&gt;=$S587,INDEX(SPPWS,ED588,6)&gt;=$R587),1,0),IF(AND(INDEX(SPM,ED588,4)&gt;=$AB593,INDEX(SPM,ED588,5)&gt;=$S587,INDEX(SPM,ED588,6)&gt;=$R587),1,0))</f>
        <v>#N/A</v>
      </c>
      <c r="EF588" s="4" t="e">
        <f t="shared" ref="EF588" ca="1" si="10872">MATCH(1,OFFSET(EE587:EE598,EG587,0,COUNT(EE587:EE598)-EG587),0)</f>
        <v>#REF!</v>
      </c>
      <c r="EG588" s="4" t="e">
        <f t="shared" ref="EG588:EG598" ca="1" si="10873">EG587+EF588</f>
        <v>#REF!</v>
      </c>
      <c r="EH588" s="692" t="str">
        <f ca="1">IF(LEFT($J587,7)="Clad Wo",IFERROR(VLOOKUP(INDEX(ED587:ED598,EG588),SPPWS,2,FALSE),"----"),IFERROR(VLOOKUP(INDEX(ED587:ED598,EG588),SPM,2,FALSE),"----"))</f>
        <v>----</v>
      </c>
    </row>
    <row r="589" spans="1:138" ht="15" customHeight="1" x14ac:dyDescent="0.25">
      <c r="A589" s="1085"/>
      <c r="B589" s="925"/>
      <c r="C589" s="926"/>
      <c r="D589" s="927"/>
      <c r="E589" s="995"/>
      <c r="F589" s="996"/>
      <c r="G589" s="997"/>
      <c r="H589" s="1062"/>
      <c r="I589" s="990"/>
      <c r="J589" s="908"/>
      <c r="K589" s="909"/>
      <c r="L589" s="1002"/>
      <c r="M589" s="923"/>
      <c r="N589" s="1042"/>
      <c r="O589" s="1018"/>
      <c r="P589" s="987"/>
      <c r="Q589" s="1015"/>
      <c r="R589" s="1012"/>
      <c r="S589" s="1006"/>
      <c r="T589" s="1007"/>
      <c r="U589" s="878"/>
      <c r="V589" s="881"/>
      <c r="W589" s="884"/>
      <c r="X589" s="884"/>
      <c r="Y589" s="887"/>
      <c r="Z589" s="887"/>
      <c r="AA589" s="887"/>
      <c r="AB589" s="1081"/>
      <c r="AC589" s="1078"/>
      <c r="AD589" s="1070" t="s">
        <v>333</v>
      </c>
      <c r="AE589" s="1071"/>
      <c r="AF589" s="1052"/>
      <c r="AG589" s="1053"/>
      <c r="AH589" s="1053"/>
      <c r="AI589" s="1066"/>
      <c r="AJ589" s="1067"/>
      <c r="AK589" s="154" t="str">
        <f t="shared" ca="1" si="10024"/>
        <v/>
      </c>
      <c r="AL589" s="1039"/>
      <c r="AM589" s="344" t="str">
        <f ca="1">IFERROR(Q587/12*ROUND(VLOOKUP(AF589,OFFSET(WSM,0,1),6,FALSE),2),"")</f>
        <v/>
      </c>
      <c r="AN589" t="str">
        <f t="shared" ca="1" si="10040"/>
        <v/>
      </c>
      <c r="AP589" s="122" t="str">
        <f t="shared" ref="AP589" si="10874">_xlfn.CONCAT(AR589,AS592)</f>
        <v/>
      </c>
      <c r="AQ589" s="683" t="str">
        <f t="shared" si="10249"/>
        <v/>
      </c>
      <c r="AR589" s="4" t="str">
        <f t="shared" si="10009"/>
        <v/>
      </c>
      <c r="AS589" s="4"/>
      <c r="AT589" s="697" t="str">
        <f>AL587</f>
        <v/>
      </c>
      <c r="AU589" s="694" t="e">
        <f t="shared" ca="1" si="10265"/>
        <v>#REF!</v>
      </c>
      <c r="AV589" s="686" t="str">
        <f ca="1">IFERROR(VLOOKUP(AU589,INDIRECT(AQ587),2,FALSE),"----")</f>
        <v>----</v>
      </c>
      <c r="AW589" s="694" t="e">
        <f t="shared" ca="1" si="10827"/>
        <v>#REF!</v>
      </c>
      <c r="AX589" s="686" t="str">
        <f ca="1">IFERROR(VLOOKUP(AW589,INDIRECT(AQ588),2,FALSE),"----")</f>
        <v>----</v>
      </c>
      <c r="AY589" s="694" t="e">
        <f t="shared" ca="1" si="10828"/>
        <v>#REF!</v>
      </c>
      <c r="AZ589" s="686" t="str">
        <f ca="1">IFERROR(VLOOKUP(AY589,INDIRECT(AQ589),2,FALSE),"----")</f>
        <v>----</v>
      </c>
      <c r="BA589" s="694" t="e">
        <f t="shared" ca="1" si="10829"/>
        <v>#REF!</v>
      </c>
      <c r="BB589" s="686" t="str">
        <f ca="1">IFERROR(VLOOKUP(BA589,INDIRECT(AQ590),2,FALSE),"----")</f>
        <v>----</v>
      </c>
      <c r="BC589" s="694" t="e">
        <f t="shared" ca="1" si="10830"/>
        <v>#REF!</v>
      </c>
      <c r="BD589" s="686" t="str">
        <f ca="1">IFERROR(VLOOKUP(BC589,INDIRECT(AQ591),2,FALSE),"----")</f>
        <v>----</v>
      </c>
      <c r="BE589" s="694" t="e">
        <f t="shared" ca="1" si="10268"/>
        <v>#REF!</v>
      </c>
      <c r="BF589" s="686" t="str">
        <f ca="1">IFERROR(VLOOKUP(BE589,INDIRECT(AQ592),2,FALSE),"----")</f>
        <v>----</v>
      </c>
      <c r="BG589" s="694" t="e">
        <f t="shared" ca="1" si="10269"/>
        <v>#REF!</v>
      </c>
      <c r="BH589" s="686" t="str">
        <f ca="1">IFERROR(VLOOKUP(BG589,INDIRECT(AQ593),2,FALSE),"----")</f>
        <v>----</v>
      </c>
      <c r="BI589" s="694" t="e">
        <f t="shared" ca="1" si="10833"/>
        <v>#REF!</v>
      </c>
      <c r="BJ589" s="686" t="str">
        <f ca="1">IFERROR(VLOOKUP(BI589,INDIRECT(AQ594),2,FALSE),"----")</f>
        <v>----</v>
      </c>
      <c r="BK589" s="694" t="e">
        <f t="shared" ca="1" si="10834"/>
        <v>#REF!</v>
      </c>
      <c r="BL589" s="686" t="str">
        <f ca="1">IFERROR(VLOOKUP(BK589,INDIRECT(AQ595),2,FALSE),"----")</f>
        <v>----</v>
      </c>
      <c r="BM589" s="694" t="e">
        <f t="shared" ca="1" si="10835"/>
        <v>#REF!</v>
      </c>
      <c r="BN589" s="686" t="str">
        <f ca="1">IFERROR(VLOOKUP(BM589,INDIRECT(AQ596),2,FALSE),"----")</f>
        <v>----</v>
      </c>
      <c r="BO589" s="694" t="e">
        <f t="shared" ca="1" si="10836"/>
        <v>#REF!</v>
      </c>
      <c r="BP589" s="686" t="str">
        <f ca="1">IFERROR(VLOOKUP(BO589,INDIRECT(AQ597),2,FALSE),"----")</f>
        <v>----</v>
      </c>
      <c r="BQ589" s="694" t="e">
        <f t="shared" ca="1" si="10274"/>
        <v>#REF!</v>
      </c>
      <c r="BR589" s="686" t="str">
        <f ca="1">IFERROR(VLOOKUP(BQ589,INDIRECT(AQ598),2,FALSE),"----")</f>
        <v>----</v>
      </c>
      <c r="BS589" s="695">
        <f>IF(AI589="",1,IF(COUNTIF(AZ587:AZ598,AI589)=0,2,1))</f>
        <v>1</v>
      </c>
      <c r="BT589" s="696">
        <f>IF(AF589="",1,IF(AZ587=".",2,1))</f>
        <v>1</v>
      </c>
      <c r="BU589" s="706"/>
      <c r="BV589" s="155">
        <f ca="1">IF(COUNTIF(CO587:CO598,AF589)=0,IF(AF589&lt;&gt;"",0,1),1)</f>
        <v>1</v>
      </c>
      <c r="BW589" s="157">
        <f ca="1">IFERROR(MATCH(AF589,CO587:CO598,0),1)</f>
        <v>1</v>
      </c>
      <c r="BX589" s="769"/>
      <c r="BY589" s="769"/>
      <c r="BZ589" s="1110"/>
      <c r="CA589" s="691" t="e">
        <f t="shared" ca="1" si="10838"/>
        <v>#REF!</v>
      </c>
      <c r="CB589" s="4" t="e" cm="1">
        <f t="array" aca="1" ref="CB589" ca="1">IF(AND(INDEX(INDIRECT(BY587),CA589,4)&gt;=$AB587,INDEX(INDIRECT(BY587),CA589,5)&gt;=$S587,INDEX(INDIRECT(BY587),CA589,6)&gt;=$R587),1,0)</f>
        <v>#REF!</v>
      </c>
      <c r="CC589" s="4" t="e">
        <f t="shared" ref="CC589" ca="1" si="10875">MATCH(1,OFFSET(CB587:CB598,CD588,0,COUNT(CB587:CB598)-CD588),0)</f>
        <v>#REF!</v>
      </c>
      <c r="CD589" s="4" t="e">
        <f t="shared" ca="1" si="10840"/>
        <v>#REF!</v>
      </c>
      <c r="CE589" s="692" t="str" cm="1">
        <f t="array" aca="1" ref="CE589" ca="1">IFERROR(VLOOKUP(INDEX(CA587:CA598,CD589),INDIRECT(BY587),2,FALSE),"----")</f>
        <v>----</v>
      </c>
      <c r="CF589" s="691" t="e">
        <f t="shared" ca="1" si="10841"/>
        <v>#N/A</v>
      </c>
      <c r="CG589" s="4" t="e">
        <f ca="1">IF(AND(INDEX(SSM,CF589,4)&gt;=$AB587,INDEX(SSM,CF589,5)&gt;=$S587,INDEX(SSM,CF589,6)&gt;=$R587),1,0)</f>
        <v>#N/A</v>
      </c>
      <c r="CH589" s="4" t="e">
        <f t="shared" ref="CH589" ca="1" si="10876">MATCH(1,OFFSET(CG587:CG598,CI588,0,COUNT(CG587:CG598)-CI588),0)</f>
        <v>#REF!</v>
      </c>
      <c r="CI589" s="4" t="e">
        <f t="shared" ca="1" si="10843"/>
        <v>#REF!</v>
      </c>
      <c r="CJ589" s="692" t="str">
        <f ca="1">IFERROR(IF(AD588="Nested Steel Stud (wood infill)",VLOOKUP(INDEX(CF587:CF598,CI589),SSW,2,FALSE),VLOOKUP(INDEX(CF587:CF598,CI589),SSM,2,FALSE)),"----")</f>
        <v>----</v>
      </c>
      <c r="CK589" s="691" t="e">
        <f t="shared" ca="1" si="10844"/>
        <v>#N/A</v>
      </c>
      <c r="CL589" s="4" t="e">
        <f ca="1">IF(AND(INDEX(WSM,CK589,4)&gt;=$AB587,INDEX(WSM,CK589,5)&gt;=$S587,INDEX(WSM,CK589,6)&gt;=$R587),1,0)</f>
        <v>#N/A</v>
      </c>
      <c r="CM589" s="4" t="e">
        <f t="shared" ref="CM589" ca="1" si="10877">MATCH(1,OFFSET(CL587:CL598,CN588,0,COUNT(CL587:CL598)-CN588),0)</f>
        <v>#REF!</v>
      </c>
      <c r="CN589" s="4" t="e">
        <f t="shared" ca="1" si="10846"/>
        <v>#REF!</v>
      </c>
      <c r="CO589" s="692" t="str">
        <f ca="1">IFERROR(VLOOKUP(INDEX(CK587:CK598,CN589),WSM,2,FALSE),"----")</f>
        <v>----</v>
      </c>
      <c r="CP589" s="691" t="e">
        <f t="shared" ca="1" si="10847"/>
        <v>#N/A</v>
      </c>
      <c r="CQ589" s="4" t="e">
        <f ca="1">IF(AND(INDEX(STM,CP589,4)&gt;=$AB587,INDEX(STM,CP589,5)&gt;=$S587,INDEX(STM,CP589,6)&gt;=$R587),1,0)</f>
        <v>#N/A</v>
      </c>
      <c r="CR589" s="4" t="e">
        <f t="shared" ref="CR589" ca="1" si="10878">MATCH(1,OFFSET(CQ587:CQ598,CS588,0,COUNT(CQ587:CQ598)-CS588),0)</f>
        <v>#REF!</v>
      </c>
      <c r="CS589" s="4" t="e">
        <f t="shared" ca="1" si="10849"/>
        <v>#REF!</v>
      </c>
      <c r="CT589" s="692" t="str">
        <f ca="1">IFERROR(VLOOKUP(INDEX(CP587:CP598,CS589),STM,2,FALSE),"----")</f>
        <v>----</v>
      </c>
      <c r="CU589" s="691" t="e">
        <f t="shared" ca="1" si="10850"/>
        <v>#N/A</v>
      </c>
      <c r="CV589" s="4" t="e">
        <f ca="1">IF(AND(INDEX(ELM,CU589,4)&gt;=$AB587,INDEX(ELM,CU589,5)&gt;=$S587,INDEX(ELM,CU589,6)&gt;=$R587),1,0)</f>
        <v>#N/A</v>
      </c>
      <c r="CW589" s="4" t="e">
        <f t="shared" ref="CW589" ca="1" si="10879">MATCH(1,OFFSET(CV587:CV598,CX588,0,COUNT(CV587:CV598)-CX588),0)</f>
        <v>#REF!</v>
      </c>
      <c r="CX589" s="4" t="e">
        <f t="shared" ca="1" si="10852"/>
        <v>#REF!</v>
      </c>
      <c r="CY589" s="692" t="str">
        <f ca="1">IFERROR(VLOOKUP(INDEX(CU587:CU598,CX589),ELM,2,FALSE),"----")</f>
        <v>----</v>
      </c>
      <c r="CZ589" s="691" t="e">
        <f t="shared" ca="1" si="10853"/>
        <v>#N/A</v>
      </c>
      <c r="DA589" s="4" t="e">
        <f ca="1">IF(LEFT($J587,7)="Clad Wo",IF(AND(INDEX(SPPWS,CZ589,4)&gt;=$AB587,INDEX(SPPWS,CZ589,5)&gt;=$S587,INDEX(SPPWS,CZ589,6)&gt;=$R587),1,0),IF(AND(INDEX(SPM,CZ589,4)&gt;=$AB587,INDEX(SPM,CZ589,5)&gt;=$S587,INDEX(SPM,CZ589,6)&gt;=$R587),1,0))</f>
        <v>#N/A</v>
      </c>
      <c r="DB589" s="4" t="e">
        <f t="shared" ref="DB589" ca="1" si="10880">MATCH(1,OFFSET(DA587:DA598,DC588,0,COUNT(DA587:DA598)-DC588),0)</f>
        <v>#REF!</v>
      </c>
      <c r="DC589" s="4" t="e">
        <f t="shared" ca="1" si="10855"/>
        <v>#REF!</v>
      </c>
      <c r="DD589" s="693" t="str">
        <f ca="1">IF(LEFT($J587,7)="Clad Wo",IFERROR(VLOOKUP(INDEX(CZ587:CZ598,DC589),SPPWS,2,FALSE),"----"),IFERROR(VLOOKUP(INDEX(CZ587:CZ598,DC589),SPM,2,FALSE),"----"))</f>
        <v>----</v>
      </c>
      <c r="DE589" s="691" t="e">
        <f t="shared" ca="1" si="10856"/>
        <v>#REF!</v>
      </c>
      <c r="DF589" s="4" t="e" cm="1">
        <f t="array" aca="1" ref="DF589" ca="1">IF(AND(INDEX(INDIRECT(BY587),DE589,4)&gt;=$AB593,INDEX(INDIRECT(BY587),DE589,5)&gt;=$S587,INDEX(INDIRECT(BY587),DE589,6)&gt;=$R587),1,0)</f>
        <v>#REF!</v>
      </c>
      <c r="DG589" s="4" t="e">
        <f t="shared" ref="DG589" ca="1" si="10881">MATCH(1,OFFSET(DF587:DF598,DH588,0,COUNT(DF587:DF598)-DH588),0)</f>
        <v>#REF!</v>
      </c>
      <c r="DH589" s="4" t="e">
        <f t="shared" ca="1" si="10858"/>
        <v>#REF!</v>
      </c>
      <c r="DI589" s="692" t="str" cm="1">
        <f t="array" aca="1" ref="DI589" ca="1">IFERROR(VLOOKUP(INDEX(DE587:DE598,DH589),INDIRECT(BY587),2,FALSE),"----")</f>
        <v>----</v>
      </c>
      <c r="DJ589" s="691" t="e">
        <f t="shared" ca="1" si="10859"/>
        <v>#N/A</v>
      </c>
      <c r="DK589" s="4" t="e">
        <f ca="1">IF(AND(INDEX(SSM,DJ589,4)&gt;=$AB593,INDEX(SSM,DJ589,5)&gt;=$S587,INDEX(SSM,DJ589,6)&gt;=$R587),1,0)</f>
        <v>#N/A</v>
      </c>
      <c r="DL589" s="4" t="e">
        <f t="shared" ref="DL589" ca="1" si="10882">MATCH(1,OFFSET(DK587:DK598,DM588,0,COUNT(DK587:DK598)-DM588),0)</f>
        <v>#REF!</v>
      </c>
      <c r="DM589" s="4" t="e">
        <f t="shared" ca="1" si="10861"/>
        <v>#REF!</v>
      </c>
      <c r="DN589" s="692" t="str">
        <f ca="1">IFERROR(IF(AD594="Nested Steel Stud (wood infill)",VLOOKUP(INDEX(DJ587:DJ598,DM589),SSW,2,FALSE),VLOOKUP(INDEX(DJ587:DJ598,DM589),SSM,2,FALSE)),"----")</f>
        <v>----</v>
      </c>
      <c r="DO589" s="691" t="e">
        <f t="shared" ca="1" si="10862"/>
        <v>#N/A</v>
      </c>
      <c r="DP589" s="4" t="e">
        <f ca="1">IF(AND(INDEX(WSM,DO589,4)&gt;=$AB593,INDEX(WSM,DO589,5)&gt;=$S587,INDEX(WSM,DO589,6)&gt;=$R587),1,0)</f>
        <v>#N/A</v>
      </c>
      <c r="DQ589" s="4" t="e">
        <f t="shared" ref="DQ589" ca="1" si="10883">MATCH(1,OFFSET(DP587:DP598,DR588,0,COUNT(DP587:DP598)-DR588),0)</f>
        <v>#REF!</v>
      </c>
      <c r="DR589" s="4" t="e">
        <f t="shared" ca="1" si="10864"/>
        <v>#REF!</v>
      </c>
      <c r="DS589" s="692" t="str">
        <f ca="1">IFERROR(VLOOKUP(INDEX(DO587:DO598,DR589),WSM,2,FALSE),"----")</f>
        <v>----</v>
      </c>
      <c r="DT589" s="691" t="e">
        <f t="shared" ca="1" si="10865"/>
        <v>#N/A</v>
      </c>
      <c r="DU589" s="4" t="e">
        <f ca="1">IF(AND(INDEX(STM,DT589,4)&gt;=$AB593,INDEX(STM,DT589,5)&gt;=$S587,INDEX(STM,DT589,6)&gt;=$R587),1,0)</f>
        <v>#N/A</v>
      </c>
      <c r="DV589" s="4" t="e">
        <f t="shared" ref="DV589" ca="1" si="10884">MATCH(1,OFFSET(DU587:DU598,DW588,0,COUNT(DU587:DU598)-DW588),0)</f>
        <v>#REF!</v>
      </c>
      <c r="DW589" s="4" t="e">
        <f t="shared" ca="1" si="10867"/>
        <v>#REF!</v>
      </c>
      <c r="DX589" s="692" t="str">
        <f ca="1">IFERROR(VLOOKUP(INDEX(DT587:DT598,DW589),STM,2,FALSE),"----")</f>
        <v>----</v>
      </c>
      <c r="DY589" s="691" t="e">
        <f t="shared" ca="1" si="10868"/>
        <v>#N/A</v>
      </c>
      <c r="DZ589" s="4" t="e">
        <f ca="1">IF(AND(INDEX(ELM,DY589,4)&gt;=$AB593,INDEX(ELM,DY589,5)&gt;=$S587,INDEX(ELM,DY589,6)&gt;=$R587),1,0)</f>
        <v>#N/A</v>
      </c>
      <c r="EA589" s="4" t="e">
        <f t="shared" ref="EA589" ca="1" si="10885">MATCH(1,OFFSET(DZ587:DZ598,EB588,0,COUNT(DZ587:DZ598)-EB588),0)</f>
        <v>#REF!</v>
      </c>
      <c r="EB589" s="4" t="e">
        <f t="shared" ca="1" si="10870"/>
        <v>#REF!</v>
      </c>
      <c r="EC589" s="692" t="str">
        <f ca="1">IFERROR(VLOOKUP(INDEX(DY587:DY598,EB589),ELM,2,FALSE),"----")</f>
        <v>----</v>
      </c>
      <c r="ED589" s="691" t="e">
        <f t="shared" ca="1" si="10871"/>
        <v>#N/A</v>
      </c>
      <c r="EE589" s="4" t="e">
        <f ca="1">IF(LEFT($J587,7)="Clad Wo",IF(AND(INDEX(SPPWS,ED589,4)&gt;=$AB593,INDEX(SPPWS,ED589,5)&gt;=$S587,INDEX(SPPWS,ED589,6)&gt;=$R587),1,0),IF(AND(INDEX(SPM,ED589,4)&gt;=$AB593,INDEX(SPM,ED589,5)&gt;=$S587,INDEX(SPM,ED589,6)&gt;=$R587),1,0))</f>
        <v>#N/A</v>
      </c>
      <c r="EF589" s="4" t="e">
        <f t="shared" ref="EF589" ca="1" si="10886">MATCH(1,OFFSET(EE587:EE598,EG588,0,COUNT(EE587:EE598)-EG588),0)</f>
        <v>#REF!</v>
      </c>
      <c r="EG589" s="4" t="e">
        <f t="shared" ca="1" si="10873"/>
        <v>#REF!</v>
      </c>
      <c r="EH589" s="692" t="str">
        <f ca="1">IF(LEFT($J587,7)="Clad Wo",IFERROR(VLOOKUP(INDEX(ED587:ED598,EG589),SPPWS,2,FALSE),"----"),IFERROR(VLOOKUP(INDEX(ED587:ED598,EG589),SPM,2,FALSE),"----"))</f>
        <v>----</v>
      </c>
    </row>
    <row r="590" spans="1:138" ht="15" customHeight="1" x14ac:dyDescent="0.25">
      <c r="A590" s="1085"/>
      <c r="B590" s="925"/>
      <c r="C590" s="926"/>
      <c r="D590" s="927"/>
      <c r="E590" s="995"/>
      <c r="F590" s="996"/>
      <c r="G590" s="997"/>
      <c r="H590" s="1062"/>
      <c r="I590" s="990"/>
      <c r="J590" s="908"/>
      <c r="K590" s="909"/>
      <c r="L590" s="1002"/>
      <c r="M590" s="923"/>
      <c r="N590" s="1042"/>
      <c r="O590" s="1018"/>
      <c r="P590" s="987"/>
      <c r="Q590" s="1015"/>
      <c r="R590" s="1012"/>
      <c r="S590" s="1006"/>
      <c r="T590" s="1007"/>
      <c r="U590" s="878"/>
      <c r="V590" s="881"/>
      <c r="W590" s="884"/>
      <c r="X590" s="884"/>
      <c r="Y590" s="887"/>
      <c r="Z590" s="887"/>
      <c r="AA590" s="887"/>
      <c r="AB590" s="1081"/>
      <c r="AC590" s="1078"/>
      <c r="AD590" s="1070" t="s">
        <v>37</v>
      </c>
      <c r="AE590" s="1071"/>
      <c r="AF590" s="1052"/>
      <c r="AG590" s="1053"/>
      <c r="AH590" s="1053"/>
      <c r="AI590" s="1066"/>
      <c r="AJ590" s="1067"/>
      <c r="AK590" s="156" t="str">
        <f t="shared" ca="1" si="10024"/>
        <v/>
      </c>
      <c r="AL590" s="1039"/>
      <c r="AM590" s="343" t="str">
        <f ca="1">IFERROR(Q587/12*ROUND(VLOOKUP(AF590,OFFSET(STM,0,1),6,FALSE),2),"")</f>
        <v/>
      </c>
      <c r="AN590" t="str">
        <f t="shared" ca="1" si="10040"/>
        <v/>
      </c>
      <c r="AP590" s="122" t="str">
        <f t="shared" ref="AP590" si="10887">_xlfn.CONCAT(AR590,AS592)</f>
        <v/>
      </c>
      <c r="AQ590" s="683" t="str">
        <f t="shared" si="10249"/>
        <v/>
      </c>
      <c r="AR590" s="4" t="str">
        <f t="shared" si="10009"/>
        <v/>
      </c>
      <c r="AS590" s="4"/>
      <c r="AT590" s="697" t="str">
        <f>AL587</f>
        <v/>
      </c>
      <c r="AU590" s="694" t="e">
        <f t="shared" ca="1" si="10265"/>
        <v>#REF!</v>
      </c>
      <c r="AV590" s="686" t="str">
        <f ca="1">IFERROR(VLOOKUP(AU590,INDIRECT(AQ587),2,FALSE),"----")</f>
        <v>----</v>
      </c>
      <c r="AW590" s="694" t="e">
        <f t="shared" ca="1" si="10266"/>
        <v>#REF!</v>
      </c>
      <c r="AX590" s="686" t="str">
        <f ca="1">IFERROR(VLOOKUP(AW590,INDIRECT(AQ588),2,FALSE),"----")</f>
        <v>----</v>
      </c>
      <c r="AY590" s="694" t="e">
        <f t="shared" ref="AY590" ca="1" si="10888">AY589-1</f>
        <v>#REF!</v>
      </c>
      <c r="AZ590" s="686" t="str">
        <f ca="1">IFERROR(VLOOKUP(AY590,INDIRECT(AQ589),2,FALSE),"----")</f>
        <v>----</v>
      </c>
      <c r="BA590" s="694" t="e">
        <f t="shared" ref="BA590" ca="1" si="10889">BA589-1</f>
        <v>#REF!</v>
      </c>
      <c r="BB590" s="686" t="str">
        <f ca="1">IFERROR(VLOOKUP(BA590,INDIRECT(AQ590),2,FALSE),"----")</f>
        <v>----</v>
      </c>
      <c r="BC590" s="694" t="e">
        <f t="shared" ca="1" si="10267"/>
        <v>#REF!</v>
      </c>
      <c r="BD590" s="686" t="str">
        <f ca="1">IFERROR(VLOOKUP(BC590,INDIRECT(AQ591),2,FALSE),"----")</f>
        <v>----</v>
      </c>
      <c r="BE590" s="694" t="e">
        <f t="shared" ca="1" si="10268"/>
        <v>#REF!</v>
      </c>
      <c r="BF590" s="686" t="str">
        <f ca="1">IFERROR(VLOOKUP(BE590,INDIRECT(AQ592),2,FALSE),"----")</f>
        <v>----</v>
      </c>
      <c r="BG590" s="694" t="e">
        <f t="shared" ca="1" si="10269"/>
        <v>#REF!</v>
      </c>
      <c r="BH590" s="686" t="str">
        <f ca="1">IFERROR(VLOOKUP(BG590,INDIRECT(AQ593),2,FALSE),"----")</f>
        <v>----</v>
      </c>
      <c r="BI590" s="694" t="e">
        <f t="shared" ca="1" si="10270"/>
        <v>#REF!</v>
      </c>
      <c r="BJ590" s="686" t="str">
        <f ca="1">IFERROR(VLOOKUP(BI590,INDIRECT(AQ594),2,FALSE),"----")</f>
        <v>----</v>
      </c>
      <c r="BK590" s="694" t="e">
        <f t="shared" ca="1" si="10271"/>
        <v>#REF!</v>
      </c>
      <c r="BL590" s="686" t="str">
        <f ca="1">IFERROR(VLOOKUP(BK590,INDIRECT(AQ595),2,FALSE),"----")</f>
        <v>----</v>
      </c>
      <c r="BM590" s="694" t="e">
        <f t="shared" ca="1" si="10272"/>
        <v>#REF!</v>
      </c>
      <c r="BN590" s="686" t="str">
        <f ca="1">IFERROR(VLOOKUP(BM590,INDIRECT(AQ596),2,FALSE),"----")</f>
        <v>----</v>
      </c>
      <c r="BO590" s="694" t="e">
        <f t="shared" ca="1" si="10273"/>
        <v>#REF!</v>
      </c>
      <c r="BP590" s="686" t="str">
        <f ca="1">IFERROR(VLOOKUP(BO590,INDIRECT(AQ597),2,FALSE),"----")</f>
        <v>----</v>
      </c>
      <c r="BQ590" s="694" t="e">
        <f t="shared" ca="1" si="10274"/>
        <v>#REF!</v>
      </c>
      <c r="BR590" s="686" t="str">
        <f ca="1">IFERROR(VLOOKUP(BQ590,INDIRECT(AQ598),2,FALSE),"----")</f>
        <v>----</v>
      </c>
      <c r="BS590" s="695">
        <f>IF(AI590="",1,IF(COUNTIF(BB587:BB598,AI590)=0,2,1))</f>
        <v>1</v>
      </c>
      <c r="BT590" s="696">
        <f>IF(AF590="",1,IF(BB587=".",2,1))</f>
        <v>1</v>
      </c>
      <c r="BU590" s="706"/>
      <c r="BV590" s="155">
        <f ca="1">IF(COUNTIF(CT587:CT598,AF590)=0,IF(AF590&lt;&gt;"",0,1),1)</f>
        <v>1</v>
      </c>
      <c r="BW590" s="157">
        <f ca="1">IFERROR(MATCH(AF590,CT587:CT598,0),1)</f>
        <v>1</v>
      </c>
      <c r="BX590" s="769"/>
      <c r="BY590" s="769"/>
      <c r="BZ590" s="1110"/>
      <c r="CA590" s="691" t="e">
        <f t="shared" ca="1" si="10838"/>
        <v>#REF!</v>
      </c>
      <c r="CB590" s="4" t="e" cm="1">
        <f t="array" aca="1" ref="CB590" ca="1">IF(AND(INDEX(INDIRECT(BY587),CA590,4)&gt;=$AB587,INDEX(INDIRECT(BY587),CA590,5)&gt;=$S587,INDEX(INDIRECT(BY587),CA590,6)&gt;=$R587),1,0)</f>
        <v>#REF!</v>
      </c>
      <c r="CC590" s="4" t="e">
        <f t="shared" ref="CC590" ca="1" si="10890">MATCH(1,OFFSET(CB587:CB598,CD589,0,COUNT(CB587:CB598)-CD589),0)</f>
        <v>#REF!</v>
      </c>
      <c r="CD590" s="4" t="e">
        <f t="shared" ca="1" si="10840"/>
        <v>#REF!</v>
      </c>
      <c r="CE590" s="692" t="str" cm="1">
        <f t="array" aca="1" ref="CE590" ca="1">IFERROR(VLOOKUP(INDEX(CA587:CA598,CD590),INDIRECT(BY587),2,FALSE),"----")</f>
        <v>----</v>
      </c>
      <c r="CF590" s="691" t="e">
        <f t="shared" ca="1" si="10841"/>
        <v>#N/A</v>
      </c>
      <c r="CG590" s="4" t="e">
        <f ca="1">IF(AND(INDEX(SSM,CF590,4)&gt;=$AB587,INDEX(SSM,CF590,5)&gt;=$S587,INDEX(SSM,CF590,6)&gt;=$R587),1,0)</f>
        <v>#N/A</v>
      </c>
      <c r="CH590" s="4" t="e">
        <f t="shared" ref="CH590" ca="1" si="10891">MATCH(1,OFFSET(CG587:CG598,CI589,0,COUNT(CG587:CG598)-CI589),0)</f>
        <v>#REF!</v>
      </c>
      <c r="CI590" s="4" t="e">
        <f t="shared" ca="1" si="10843"/>
        <v>#REF!</v>
      </c>
      <c r="CJ590" s="692" t="str">
        <f ca="1">IFERROR(IF(AD588="Nested Steel Stud (wood infill)",VLOOKUP(INDEX(CF587:CF598,CI590),SSW,2,FALSE),VLOOKUP(INDEX(CF587:CF598,CI590),SSM,2,FALSE)),"----")</f>
        <v>----</v>
      </c>
      <c r="CK590" s="691" t="e">
        <f t="shared" ca="1" si="10844"/>
        <v>#N/A</v>
      </c>
      <c r="CL590" s="4" t="e">
        <f ca="1">IF(AND(INDEX(WSM,CK590,4)&gt;=$AB587,INDEX(WSM,CK590,5)&gt;=$S587,INDEX(WSM,CK590,6)&gt;=$R587),1,0)</f>
        <v>#N/A</v>
      </c>
      <c r="CM590" s="4" t="e">
        <f t="shared" ref="CM590" ca="1" si="10892">MATCH(1,OFFSET(CL587:CL598,CN589,0,COUNT(CL587:CL598)-CN589),0)</f>
        <v>#REF!</v>
      </c>
      <c r="CN590" s="4" t="e">
        <f t="shared" ca="1" si="10846"/>
        <v>#REF!</v>
      </c>
      <c r="CO590" s="692" t="str">
        <f ca="1">IFERROR(VLOOKUP(INDEX(CK587:CK598,CN590),WSM,2,FALSE),"----")</f>
        <v>----</v>
      </c>
      <c r="CP590" s="691" t="e">
        <f t="shared" ca="1" si="10847"/>
        <v>#N/A</v>
      </c>
      <c r="CQ590" s="4" t="e">
        <f ca="1">IF(AND(INDEX(STM,CP590,4)&gt;=$AB587,INDEX(STM,CP590,5)&gt;=$S587,INDEX(STM,CP590,6)&gt;=$R587),1,0)</f>
        <v>#N/A</v>
      </c>
      <c r="CR590" s="4" t="e">
        <f t="shared" ref="CR590" ca="1" si="10893">MATCH(1,OFFSET(CQ587:CQ598,CS589,0,COUNT(CQ587:CQ598)-CS589),0)</f>
        <v>#REF!</v>
      </c>
      <c r="CS590" s="4" t="e">
        <f t="shared" ca="1" si="10849"/>
        <v>#REF!</v>
      </c>
      <c r="CT590" s="692" t="str">
        <f ca="1">IFERROR(VLOOKUP(INDEX(CP587:CP598,CS590),STM,2,FALSE),"----")</f>
        <v>----</v>
      </c>
      <c r="CU590" s="691" t="e">
        <f t="shared" ca="1" si="10850"/>
        <v>#N/A</v>
      </c>
      <c r="CV590" s="4" t="e">
        <f ca="1">IF(AND(INDEX(ELM,CU590,4)&gt;=$AB587,INDEX(ELM,CU590,5)&gt;=$S587,INDEX(ELM,CU590,6)&gt;=$R587),1,0)</f>
        <v>#N/A</v>
      </c>
      <c r="CW590" s="4" t="e">
        <f t="shared" ref="CW590" ca="1" si="10894">MATCH(1,OFFSET(CV587:CV598,CX589,0,COUNT(CV587:CV598)-CX589),0)</f>
        <v>#REF!</v>
      </c>
      <c r="CX590" s="4" t="e">
        <f t="shared" ca="1" si="10852"/>
        <v>#REF!</v>
      </c>
      <c r="CY590" s="692" t="str">
        <f ca="1">IFERROR(VLOOKUP(INDEX(CU587:CU598,CX590),ELM,2,FALSE),"----")</f>
        <v>----</v>
      </c>
      <c r="CZ590" s="691" t="e">
        <f t="shared" ca="1" si="10853"/>
        <v>#N/A</v>
      </c>
      <c r="DA590" s="4" t="e">
        <f ca="1">IF(LEFT($J587,7)="Clad Wo",IF(AND(INDEX(SPPWS,CZ590,4)&gt;=$AB587,INDEX(SPPWS,CZ590,5)&gt;=$S587,INDEX(SPPWS,CZ590,6)&gt;=$R587),1,0),IF(AND(INDEX(SPM,CZ590,4)&gt;=$AB587,INDEX(SPM,CZ590,5)&gt;=$S587,INDEX(SPM,CZ590,6)&gt;=$R587),1,0))</f>
        <v>#N/A</v>
      </c>
      <c r="DB590" s="4" t="e">
        <f t="shared" ref="DB590" ca="1" si="10895">MATCH(1,OFFSET(DA587:DA598,DC589,0,COUNT(DA587:DA598)-DC589),0)</f>
        <v>#REF!</v>
      </c>
      <c r="DC590" s="4" t="e">
        <f t="shared" ca="1" si="10855"/>
        <v>#REF!</v>
      </c>
      <c r="DD590" s="693" t="str">
        <f ca="1">IF(LEFT($J587,7)="Clad Wo",IFERROR(VLOOKUP(INDEX(CZ587:CZ598,DC590),SPPWS,2,FALSE),"----"),IFERROR(VLOOKUP(INDEX(CZ587:CZ598,DC590),SPM,2,FALSE),"----"))</f>
        <v>----</v>
      </c>
      <c r="DE590" s="691" t="e">
        <f t="shared" ca="1" si="10856"/>
        <v>#REF!</v>
      </c>
      <c r="DF590" s="4" t="e" cm="1">
        <f t="array" aca="1" ref="DF590" ca="1">IF(AND(INDEX(INDIRECT(BY587),DE590,4)&gt;=$AB593,INDEX(INDIRECT(BY587),DE590,5)&gt;=$S587,INDEX(INDIRECT(BY587),DE590,6)&gt;=$R587),1,0)</f>
        <v>#REF!</v>
      </c>
      <c r="DG590" s="4" t="e">
        <f t="shared" ref="DG590" ca="1" si="10896">MATCH(1,OFFSET(DF587:DF598,DH589,0,COUNT(DF587:DF598)-DH589),0)</f>
        <v>#REF!</v>
      </c>
      <c r="DH590" s="4" t="e">
        <f t="shared" ca="1" si="10858"/>
        <v>#REF!</v>
      </c>
      <c r="DI590" s="692" t="str" cm="1">
        <f t="array" aca="1" ref="DI590" ca="1">IFERROR(VLOOKUP(INDEX(DE587:DE598,DH590),INDIRECT(BY587),2,FALSE),"----")</f>
        <v>----</v>
      </c>
      <c r="DJ590" s="691" t="e">
        <f t="shared" ca="1" si="10859"/>
        <v>#N/A</v>
      </c>
      <c r="DK590" s="4" t="e">
        <f ca="1">IF(AND(INDEX(SSM,DJ590,4)&gt;=$AB593,INDEX(SSM,DJ590,5)&gt;=$S587,INDEX(SSM,DJ590,6)&gt;=$R587),1,0)</f>
        <v>#N/A</v>
      </c>
      <c r="DL590" s="4" t="e">
        <f t="shared" ref="DL590" ca="1" si="10897">MATCH(1,OFFSET(DK587:DK598,DM589,0,COUNT(DK587:DK598)-DM589),0)</f>
        <v>#REF!</v>
      </c>
      <c r="DM590" s="4" t="e">
        <f t="shared" ca="1" si="10861"/>
        <v>#REF!</v>
      </c>
      <c r="DN590" s="692" t="str">
        <f ca="1">IFERROR(IF(AD594="Nested Steel Stud (wood infill)",VLOOKUP(INDEX(DJ587:DJ598,DM590),SSW,2,FALSE),VLOOKUP(INDEX(DJ587:DJ598,DM590),SSM,2,FALSE)),"----")</f>
        <v>----</v>
      </c>
      <c r="DO590" s="691" t="e">
        <f t="shared" ca="1" si="10862"/>
        <v>#N/A</v>
      </c>
      <c r="DP590" s="4" t="e">
        <f ca="1">IF(AND(INDEX(WSM,DO590,4)&gt;=$AB593,INDEX(WSM,DO590,5)&gt;=$S587,INDEX(WSM,DO590,6)&gt;=$R587),1,0)</f>
        <v>#N/A</v>
      </c>
      <c r="DQ590" s="4" t="e">
        <f t="shared" ref="DQ590" ca="1" si="10898">MATCH(1,OFFSET(DP587:DP598,DR589,0,COUNT(DP587:DP598)-DR589),0)</f>
        <v>#REF!</v>
      </c>
      <c r="DR590" s="4" t="e">
        <f t="shared" ca="1" si="10864"/>
        <v>#REF!</v>
      </c>
      <c r="DS590" s="692" t="str">
        <f ca="1">IFERROR(VLOOKUP(INDEX(DO587:DO598,DR590),WSM,2,FALSE),"----")</f>
        <v>----</v>
      </c>
      <c r="DT590" s="691" t="e">
        <f t="shared" ca="1" si="10865"/>
        <v>#N/A</v>
      </c>
      <c r="DU590" s="4" t="e">
        <f ca="1">IF(AND(INDEX(STM,DT590,4)&gt;=$AB593,INDEX(STM,DT590,5)&gt;=$S587,INDEX(STM,DT590,6)&gt;=$R587),1,0)</f>
        <v>#N/A</v>
      </c>
      <c r="DV590" s="4" t="e">
        <f t="shared" ref="DV590" ca="1" si="10899">MATCH(1,OFFSET(DU587:DU598,DW589,0,COUNT(DU587:DU598)-DW589),0)</f>
        <v>#REF!</v>
      </c>
      <c r="DW590" s="4" t="e">
        <f t="shared" ca="1" si="10867"/>
        <v>#REF!</v>
      </c>
      <c r="DX590" s="692" t="str">
        <f ca="1">IFERROR(VLOOKUP(INDEX(DT587:DT598,DW590),STM,2,FALSE),"----")</f>
        <v>----</v>
      </c>
      <c r="DY590" s="691" t="e">
        <f t="shared" ca="1" si="10868"/>
        <v>#N/A</v>
      </c>
      <c r="DZ590" s="4" t="e">
        <f ca="1">IF(AND(INDEX(ELM,DY590,4)&gt;=$AB593,INDEX(ELM,DY590,5)&gt;=$S587,INDEX(ELM,DY590,6)&gt;=$R587),1,0)</f>
        <v>#N/A</v>
      </c>
      <c r="EA590" s="4" t="e">
        <f t="shared" ref="EA590" ca="1" si="10900">MATCH(1,OFFSET(DZ587:DZ598,EB589,0,COUNT(DZ587:DZ598)-EB589),0)</f>
        <v>#REF!</v>
      </c>
      <c r="EB590" s="4" t="e">
        <f t="shared" ca="1" si="10870"/>
        <v>#REF!</v>
      </c>
      <c r="EC590" s="692" t="str">
        <f ca="1">IFERROR(VLOOKUP(INDEX(DY587:DY598,EB590),ELM,2,FALSE),"----")</f>
        <v>----</v>
      </c>
      <c r="ED590" s="691" t="e">
        <f t="shared" ca="1" si="10871"/>
        <v>#N/A</v>
      </c>
      <c r="EE590" s="4" t="e">
        <f ca="1">IF(LEFT($J587,7)="Clad Wo",IF(AND(INDEX(SPPWS,ED590,4)&gt;=$AB593,INDEX(SPPWS,ED590,5)&gt;=$S587,INDEX(SPPWS,ED590,6)&gt;=$R587),1,0),IF(AND(INDEX(SPM,ED590,4)&gt;=$AB593,INDEX(SPM,ED590,5)&gt;=$S587,INDEX(SPM,ED590,6)&gt;=$R587),1,0))</f>
        <v>#N/A</v>
      </c>
      <c r="EF590" s="4" t="e">
        <f t="shared" ref="EF590" ca="1" si="10901">MATCH(1,OFFSET(EE587:EE598,EG589,0,COUNT(EE587:EE598)-EG589),0)</f>
        <v>#REF!</v>
      </c>
      <c r="EG590" s="4" t="e">
        <f t="shared" ca="1" si="10873"/>
        <v>#REF!</v>
      </c>
      <c r="EH590" s="692" t="str">
        <f ca="1">IF(LEFT($J587,7)="Clad Wo",IFERROR(VLOOKUP(INDEX(ED587:ED598,EG590),SPPWS,2,FALSE),"----"),IFERROR(VLOOKUP(INDEX(ED587:ED598,EG590),SPM,2,FALSE),"----"))</f>
        <v>----</v>
      </c>
    </row>
    <row r="591" spans="1:138" ht="15" customHeight="1" x14ac:dyDescent="0.25">
      <c r="A591" s="1085"/>
      <c r="B591" s="925"/>
      <c r="C591" s="926"/>
      <c r="D591" s="927"/>
      <c r="E591" s="995"/>
      <c r="F591" s="996"/>
      <c r="G591" s="997"/>
      <c r="H591" s="1062"/>
      <c r="I591" s="990"/>
      <c r="J591" s="910"/>
      <c r="K591" s="911"/>
      <c r="L591" s="1002"/>
      <c r="M591" s="923"/>
      <c r="N591" s="1042"/>
      <c r="O591" s="1018"/>
      <c r="P591" s="987"/>
      <c r="Q591" s="1015"/>
      <c r="R591" s="1012"/>
      <c r="S591" s="1006"/>
      <c r="T591" s="1007"/>
      <c r="U591" s="878"/>
      <c r="V591" s="881"/>
      <c r="W591" s="884"/>
      <c r="X591" s="884"/>
      <c r="Y591" s="887"/>
      <c r="Z591" s="887"/>
      <c r="AA591" s="887"/>
      <c r="AB591" s="1081"/>
      <c r="AC591" s="1078"/>
      <c r="AD591" s="1070" t="s">
        <v>39</v>
      </c>
      <c r="AE591" s="1071"/>
      <c r="AF591" s="1052"/>
      <c r="AG591" s="1053"/>
      <c r="AH591" s="1053"/>
      <c r="AI591" s="1068"/>
      <c r="AJ591" s="1069"/>
      <c r="AK591" s="154" t="str">
        <f t="shared" ca="1" si="10024"/>
        <v/>
      </c>
      <c r="AL591" s="1039"/>
      <c r="AM591" s="344" t="str">
        <f ca="1">IFERROR(Q587/12*ROUND(VLOOKUP(AF591,OFFSET(ELM,0,1),6,FALSE),2),"")</f>
        <v/>
      </c>
      <c r="AN591" t="str">
        <f t="shared" ca="1" si="10040"/>
        <v/>
      </c>
      <c r="AP591" s="122" t="str">
        <f t="shared" ref="AP591" si="10902">_xlfn.CONCAT(AR591,AS592)</f>
        <v/>
      </c>
      <c r="AQ591" s="683" t="str">
        <f t="shared" si="10249"/>
        <v/>
      </c>
      <c r="AR591" s="4" t="str">
        <f t="shared" si="10009"/>
        <v/>
      </c>
      <c r="AS591" s="4"/>
      <c r="AT591" s="697" t="str">
        <f>AL587</f>
        <v/>
      </c>
      <c r="AU591" s="694" t="e">
        <f t="shared" ca="1" si="10265"/>
        <v>#REF!</v>
      </c>
      <c r="AV591" s="698" t="str">
        <f ca="1">IFERROR(VLOOKUP(AU591,INDIRECT(AQ587),2,FALSE),"----")</f>
        <v>----</v>
      </c>
      <c r="AW591" s="694" t="e">
        <f t="shared" ca="1" si="10266"/>
        <v>#REF!</v>
      </c>
      <c r="AX591" s="698" t="str">
        <f ca="1">IFERROR(VLOOKUP(AW591,INDIRECT(AQ588),2,FALSE),"----")</f>
        <v>----</v>
      </c>
      <c r="AY591" s="694" t="e">
        <f t="shared" ref="AY591" ca="1" si="10903">AY590-1</f>
        <v>#REF!</v>
      </c>
      <c r="AZ591" s="698" t="str">
        <f ca="1">IFERROR(VLOOKUP(AY591,INDIRECT(AQ589),2,FALSE),"----")</f>
        <v>----</v>
      </c>
      <c r="BA591" s="694" t="e">
        <f t="shared" ref="BA591" ca="1" si="10904">BA590-1</f>
        <v>#REF!</v>
      </c>
      <c r="BB591" s="698" t="str">
        <f ca="1">IFERROR(VLOOKUP(BA591,INDIRECT(AQ590),2,FALSE),"----")</f>
        <v>----</v>
      </c>
      <c r="BC591" s="694" t="e">
        <f t="shared" ca="1" si="10267"/>
        <v>#REF!</v>
      </c>
      <c r="BD591" s="698" t="str">
        <f ca="1">IFERROR(VLOOKUP(BC591,INDIRECT(AQ591),2,FALSE),"----")</f>
        <v>----</v>
      </c>
      <c r="BE591" s="694" t="e">
        <f t="shared" ca="1" si="10268"/>
        <v>#REF!</v>
      </c>
      <c r="BF591" s="698" t="str">
        <f ca="1">IFERROR(VLOOKUP(BE591,INDIRECT(AQ592),2,FALSE),"----")</f>
        <v>----</v>
      </c>
      <c r="BG591" s="694" t="e">
        <f t="shared" ca="1" si="10269"/>
        <v>#REF!</v>
      </c>
      <c r="BH591" s="686" t="str">
        <f ca="1">IFERROR(VLOOKUP(BG591,INDIRECT(AQ593),2,FALSE),"----")</f>
        <v>----</v>
      </c>
      <c r="BI591" s="694" t="e">
        <f t="shared" ca="1" si="10270"/>
        <v>#REF!</v>
      </c>
      <c r="BJ591" s="686" t="str">
        <f ca="1">IFERROR(VLOOKUP(BI591,INDIRECT(AQ594),2,FALSE),"----")</f>
        <v>----</v>
      </c>
      <c r="BK591" s="694" t="e">
        <f t="shared" ca="1" si="10271"/>
        <v>#REF!</v>
      </c>
      <c r="BL591" s="686" t="str">
        <f ca="1">IFERROR(VLOOKUP(BK591,INDIRECT(AQ595),2,FALSE),"----")</f>
        <v>----</v>
      </c>
      <c r="BM591" s="694" t="e">
        <f t="shared" ca="1" si="10272"/>
        <v>#REF!</v>
      </c>
      <c r="BN591" s="686" t="str">
        <f ca="1">IFERROR(VLOOKUP(BM591,INDIRECT(AQ596),2,FALSE),"----")</f>
        <v>----</v>
      </c>
      <c r="BO591" s="694" t="e">
        <f t="shared" ca="1" si="10273"/>
        <v>#REF!</v>
      </c>
      <c r="BP591" s="686" t="str">
        <f ca="1">IFERROR(VLOOKUP(BO591,INDIRECT(AQ597),2,FALSE),"----")</f>
        <v>----</v>
      </c>
      <c r="BQ591" s="694" t="e">
        <f t="shared" ca="1" si="10274"/>
        <v>#REF!</v>
      </c>
      <c r="BR591" s="686" t="str">
        <f ca="1">IFERROR(VLOOKUP(BQ591,INDIRECT(AQ598),2,FALSE),"----")</f>
        <v>----</v>
      </c>
      <c r="BS591" s="695">
        <f>IF(AI591="",1,IF(COUNTIF(BD587:BD598,AI591)=0,2,1))</f>
        <v>1</v>
      </c>
      <c r="BT591" s="696">
        <f>IF(AF591="",1,IF(BD587=".",2,1))</f>
        <v>1</v>
      </c>
      <c r="BU591" s="706"/>
      <c r="BV591" s="155">
        <f ca="1">IF(COUNTIF(CY587:CY598,AF591)=0,IF(AF591&lt;&gt;"",0,1),1)</f>
        <v>1</v>
      </c>
      <c r="BW591" s="157">
        <f ca="1">IFERROR(MATCH(AF591,CY587:CY598,0),1)</f>
        <v>1</v>
      </c>
      <c r="BX591" s="769"/>
      <c r="BY591" s="769"/>
      <c r="BZ591" s="1110"/>
      <c r="CA591" s="691" t="e">
        <f t="shared" ca="1" si="10838"/>
        <v>#REF!</v>
      </c>
      <c r="CB591" s="4" t="e" cm="1">
        <f t="array" aca="1" ref="CB591" ca="1">IF(AND(INDEX(INDIRECT(BY587),CA591,4)&gt;=$AB587,INDEX(INDIRECT(BY587),CA591,5)&gt;=$S587,INDEX(INDIRECT(BY587),CA591,6)&gt;=$R587),1,0)</f>
        <v>#REF!</v>
      </c>
      <c r="CC591" s="4" t="e">
        <f t="shared" ref="CC591" ca="1" si="10905">MATCH(1,OFFSET(CB587:CB598,CD590,0,COUNT(CB587:CB598)-CD590),0)</f>
        <v>#REF!</v>
      </c>
      <c r="CD591" s="4" t="e">
        <f t="shared" ca="1" si="10840"/>
        <v>#REF!</v>
      </c>
      <c r="CE591" s="692" t="str" cm="1">
        <f t="array" aca="1" ref="CE591" ca="1">IFERROR(VLOOKUP(INDEX(CA587:CA598,CD591),INDIRECT(BY587),2,FALSE),"----")</f>
        <v>----</v>
      </c>
      <c r="CF591" s="691" t="e">
        <f t="shared" ca="1" si="10841"/>
        <v>#N/A</v>
      </c>
      <c r="CG591" s="4" t="e">
        <f ca="1">IF(AND(INDEX(SSM,CF591,4)&gt;=$AB587,INDEX(SSM,CF591,5)&gt;=$S587,INDEX(SSM,CF591,6)&gt;=$R587),1,0)</f>
        <v>#N/A</v>
      </c>
      <c r="CH591" s="4" t="e">
        <f t="shared" ref="CH591" ca="1" si="10906">MATCH(1,OFFSET(CG587:CG598,CI590,0,COUNT(CG587:CG598)-CI590),0)</f>
        <v>#REF!</v>
      </c>
      <c r="CI591" s="4" t="e">
        <f t="shared" ca="1" si="10843"/>
        <v>#REF!</v>
      </c>
      <c r="CJ591" s="692" t="str">
        <f ca="1">IFERROR(IF(AD588="Nested Steel Stud (wood infill)",VLOOKUP(INDEX(CF587:CF598,CI591),SSW,2,FALSE),VLOOKUP(INDEX(CF587:CF598,CI591),SSM,2,FALSE)),"----")</f>
        <v>----</v>
      </c>
      <c r="CK591" s="691" t="e">
        <f t="shared" ca="1" si="10844"/>
        <v>#N/A</v>
      </c>
      <c r="CL591" s="4" t="e">
        <f ca="1">IF(AND(INDEX(WSM,CK591,4)&gt;=$AB587,INDEX(WSM,CK591,5)&gt;=$S587,INDEX(WSM,CK591,6)&gt;=$R587),1,0)</f>
        <v>#N/A</v>
      </c>
      <c r="CM591" s="4" t="e">
        <f t="shared" ref="CM591" ca="1" si="10907">MATCH(1,OFFSET(CL587:CL598,CN590,0,COUNT(CL587:CL598)-CN590),0)</f>
        <v>#REF!</v>
      </c>
      <c r="CN591" s="4" t="e">
        <f t="shared" ca="1" si="10846"/>
        <v>#REF!</v>
      </c>
      <c r="CO591" s="692" t="str">
        <f ca="1">IFERROR(VLOOKUP(INDEX(CK587:CK598,CN591),WSM,2,FALSE),"----")</f>
        <v>----</v>
      </c>
      <c r="CP591" s="691" t="e">
        <f t="shared" ca="1" si="10847"/>
        <v>#N/A</v>
      </c>
      <c r="CQ591" s="4" t="e">
        <f ca="1">IF(AND(INDEX(STM,CP591,4)&gt;=$AB587,INDEX(STM,CP591,5)&gt;=$S587,INDEX(STM,CP591,6)&gt;=$R587),1,0)</f>
        <v>#N/A</v>
      </c>
      <c r="CR591" s="4" t="e">
        <f t="shared" ref="CR591" ca="1" si="10908">MATCH(1,OFFSET(CQ587:CQ598,CS590,0,COUNT(CQ587:CQ598)-CS590),0)</f>
        <v>#REF!</v>
      </c>
      <c r="CS591" s="4" t="e">
        <f t="shared" ca="1" si="10849"/>
        <v>#REF!</v>
      </c>
      <c r="CT591" s="692" t="str">
        <f ca="1">IFERROR(VLOOKUP(INDEX(CP587:CP598,CS591),STM,2,FALSE),"----")</f>
        <v>----</v>
      </c>
      <c r="CU591" s="691" t="e">
        <f t="shared" ca="1" si="10850"/>
        <v>#N/A</v>
      </c>
      <c r="CV591" s="4" t="e">
        <f ca="1">IF(AND(INDEX(ELM,CU591,4)&gt;=$AB587,INDEX(ELM,CU591,5)&gt;=$S587,INDEX(ELM,CU591,6)&gt;=$R587),1,0)</f>
        <v>#N/A</v>
      </c>
      <c r="CW591" s="4" t="e">
        <f t="shared" ref="CW591" ca="1" si="10909">MATCH(1,OFFSET(CV587:CV598,CX590,0,COUNT(CV587:CV598)-CX590),0)</f>
        <v>#REF!</v>
      </c>
      <c r="CX591" s="4" t="e">
        <f t="shared" ca="1" si="10852"/>
        <v>#REF!</v>
      </c>
      <c r="CY591" s="692" t="str">
        <f ca="1">IFERROR(VLOOKUP(INDEX(CU587:CU598,CX591),ELM,2,FALSE),"----")</f>
        <v>----</v>
      </c>
      <c r="CZ591" s="691" t="e">
        <f t="shared" ca="1" si="10853"/>
        <v>#N/A</v>
      </c>
      <c r="DA591" s="4" t="e">
        <f ca="1">IF(LEFT($J587,7)="Clad Wo",IF(AND(INDEX(SPPWS,CZ591,4)&gt;=$AB587,INDEX(SPPWS,CZ591,5)&gt;=$S587,INDEX(SPPWS,CZ591,6)&gt;=$R587),1,0),IF(AND(INDEX(SPM,CZ591,4)&gt;=$AB587,INDEX(SPM,CZ591,5)&gt;=$S587,INDEX(SPM,CZ591,6)&gt;=$R587),1,0))</f>
        <v>#N/A</v>
      </c>
      <c r="DB591" s="4" t="e">
        <f t="shared" ref="DB591" ca="1" si="10910">MATCH(1,OFFSET(DA587:DA598,DC590,0,COUNT(DA587:DA598)-DC590),0)</f>
        <v>#REF!</v>
      </c>
      <c r="DC591" s="4" t="e">
        <f t="shared" ca="1" si="10855"/>
        <v>#REF!</v>
      </c>
      <c r="DD591" s="693" t="str">
        <f ca="1">IF(LEFT($J587,7)="Clad Wo",IFERROR(VLOOKUP(INDEX(CZ587:CZ598,DC591),SPPWS,2,FALSE),"----"),IFERROR(VLOOKUP(INDEX(CZ587:CZ598,DC591),SPM,2,FALSE),"----"))</f>
        <v>----</v>
      </c>
      <c r="DE591" s="691" t="e">
        <f t="shared" ca="1" si="10856"/>
        <v>#REF!</v>
      </c>
      <c r="DF591" s="4" t="e" cm="1">
        <f t="array" aca="1" ref="DF591" ca="1">IF(AND(INDEX(INDIRECT(BY587),DE591,4)&gt;=$AB593,INDEX(INDIRECT(BY587),DE591,5)&gt;=$S587,INDEX(INDIRECT(BY587),DE591,6)&gt;=$R587),1,0)</f>
        <v>#REF!</v>
      </c>
      <c r="DG591" s="4" t="e">
        <f t="shared" ref="DG591" ca="1" si="10911">MATCH(1,OFFSET(DF587:DF598,DH590,0,COUNT(DF587:DF598)-DH590),0)</f>
        <v>#REF!</v>
      </c>
      <c r="DH591" s="4" t="e">
        <f t="shared" ca="1" si="10858"/>
        <v>#REF!</v>
      </c>
      <c r="DI591" s="692" t="str" cm="1">
        <f t="array" aca="1" ref="DI591" ca="1">IFERROR(VLOOKUP(INDEX(DE587:DE598,DH591),INDIRECT(BY587),2,FALSE),"----")</f>
        <v>----</v>
      </c>
      <c r="DJ591" s="691" t="e">
        <f t="shared" ca="1" si="10859"/>
        <v>#N/A</v>
      </c>
      <c r="DK591" s="4" t="e">
        <f ca="1">IF(AND(INDEX(SSM,DJ591,4)&gt;=$AB593,INDEX(SSM,DJ591,5)&gt;=$S587,INDEX(SSM,DJ591,6)&gt;=$R587),1,0)</f>
        <v>#N/A</v>
      </c>
      <c r="DL591" s="4" t="e">
        <f t="shared" ref="DL591" ca="1" si="10912">MATCH(1,OFFSET(DK587:DK598,DM590,0,COUNT(DK587:DK598)-DM590),0)</f>
        <v>#REF!</v>
      </c>
      <c r="DM591" s="4" t="e">
        <f t="shared" ca="1" si="10861"/>
        <v>#REF!</v>
      </c>
      <c r="DN591" s="692" t="str">
        <f ca="1">IFERROR(IF(AD594="Nested Steel Stud (wood infill)",VLOOKUP(INDEX(DJ587:DJ598,DM591),SSW,2,FALSE),VLOOKUP(INDEX(DJ587:DJ598,DM591),SSM,2,FALSE)),"----")</f>
        <v>----</v>
      </c>
      <c r="DO591" s="691" t="e">
        <f t="shared" ca="1" si="10862"/>
        <v>#N/A</v>
      </c>
      <c r="DP591" s="4" t="e">
        <f ca="1">IF(AND(INDEX(WSM,DO591,4)&gt;=$AB593,INDEX(WSM,DO591,5)&gt;=$S587,INDEX(WSM,DO591,6)&gt;=$R587),1,0)</f>
        <v>#N/A</v>
      </c>
      <c r="DQ591" s="4" t="e">
        <f t="shared" ref="DQ591" ca="1" si="10913">MATCH(1,OFFSET(DP587:DP598,DR590,0,COUNT(DP587:DP598)-DR590),0)</f>
        <v>#REF!</v>
      </c>
      <c r="DR591" s="4" t="e">
        <f t="shared" ca="1" si="10864"/>
        <v>#REF!</v>
      </c>
      <c r="DS591" s="692" t="str">
        <f ca="1">IFERROR(VLOOKUP(INDEX(DO587:DO598,DR591),WSM,2,FALSE),"----")</f>
        <v>----</v>
      </c>
      <c r="DT591" s="691" t="e">
        <f t="shared" ca="1" si="10865"/>
        <v>#N/A</v>
      </c>
      <c r="DU591" s="4" t="e">
        <f ca="1">IF(AND(INDEX(STM,DT591,4)&gt;=$AB593,INDEX(STM,DT591,5)&gt;=$S587,INDEX(STM,DT591,6)&gt;=$R587),1,0)</f>
        <v>#N/A</v>
      </c>
      <c r="DV591" s="4" t="e">
        <f t="shared" ref="DV591" ca="1" si="10914">MATCH(1,OFFSET(DU587:DU598,DW590,0,COUNT(DU587:DU598)-DW590),0)</f>
        <v>#REF!</v>
      </c>
      <c r="DW591" s="4" t="e">
        <f t="shared" ca="1" si="10867"/>
        <v>#REF!</v>
      </c>
      <c r="DX591" s="692" t="str">
        <f ca="1">IFERROR(VLOOKUP(INDEX(DT587:DT598,DW591),STM,2,FALSE),"----")</f>
        <v>----</v>
      </c>
      <c r="DY591" s="691" t="e">
        <f t="shared" ca="1" si="10868"/>
        <v>#N/A</v>
      </c>
      <c r="DZ591" s="4" t="e">
        <f ca="1">IF(AND(INDEX(ELM,DY591,4)&gt;=$AB593,INDEX(ELM,DY591,5)&gt;=$S587,INDEX(ELM,DY591,6)&gt;=$R587),1,0)</f>
        <v>#N/A</v>
      </c>
      <c r="EA591" s="4" t="e">
        <f t="shared" ref="EA591" ca="1" si="10915">MATCH(1,OFFSET(DZ587:DZ598,EB590,0,COUNT(DZ587:DZ598)-EB590),0)</f>
        <v>#REF!</v>
      </c>
      <c r="EB591" s="4" t="e">
        <f t="shared" ca="1" si="10870"/>
        <v>#REF!</v>
      </c>
      <c r="EC591" s="692" t="str">
        <f ca="1">IFERROR(VLOOKUP(INDEX(DY587:DY598,EB591),ELM,2,FALSE),"----")</f>
        <v>----</v>
      </c>
      <c r="ED591" s="691" t="e">
        <f t="shared" ca="1" si="10871"/>
        <v>#N/A</v>
      </c>
      <c r="EE591" s="4" t="e">
        <f ca="1">IF(LEFT($J587,7)="Clad Wo",IF(AND(INDEX(SPPWS,ED591,4)&gt;=$AB593,INDEX(SPPWS,ED591,5)&gt;=$S587,INDEX(SPPWS,ED591,6)&gt;=$R587),1,0),IF(AND(INDEX(SPM,ED591,4)&gt;=$AB593,INDEX(SPM,ED591,5)&gt;=$S587,INDEX(SPM,ED591,6)&gt;=$R587),1,0))</f>
        <v>#N/A</v>
      </c>
      <c r="EF591" s="4" t="e">
        <f t="shared" ref="EF591" ca="1" si="10916">MATCH(1,OFFSET(EE587:EE598,EG590,0,COUNT(EE587:EE598)-EG590),0)</f>
        <v>#REF!</v>
      </c>
      <c r="EG591" s="4" t="e">
        <f t="shared" ca="1" si="10873"/>
        <v>#REF!</v>
      </c>
      <c r="EH591" s="692" t="str">
        <f ca="1">IF(LEFT($J587,7)="Clad Wo",IFERROR(VLOOKUP(INDEX(ED587:ED598,EG591),SPPWS,2,FALSE),"----"),IFERROR(VLOOKUP(INDEX(ED587:ED598,EG591),SPM,2,FALSE),"----"))</f>
        <v>----</v>
      </c>
    </row>
    <row r="592" spans="1:138" ht="15" customHeight="1" thickBot="1" x14ac:dyDescent="0.3">
      <c r="A592" s="1085"/>
      <c r="B592" s="934"/>
      <c r="C592" s="935"/>
      <c r="D592" s="936"/>
      <c r="E592" s="995"/>
      <c r="F592" s="996"/>
      <c r="G592" s="997"/>
      <c r="H592" s="1062"/>
      <c r="I592" s="990"/>
      <c r="J592" s="908"/>
      <c r="K592" s="909"/>
      <c r="L592" s="1010"/>
      <c r="M592" s="924"/>
      <c r="N592" s="1044"/>
      <c r="O592" s="1018"/>
      <c r="P592" s="987"/>
      <c r="Q592" s="1015"/>
      <c r="R592" s="1012"/>
      <c r="S592" s="1006"/>
      <c r="T592" s="1007"/>
      <c r="U592" s="878"/>
      <c r="V592" s="881"/>
      <c r="W592" s="889"/>
      <c r="X592" s="884"/>
      <c r="Y592" s="890"/>
      <c r="Z592" s="890"/>
      <c r="AA592" s="887"/>
      <c r="AB592" s="1084"/>
      <c r="AC592" s="1079"/>
      <c r="AD592" s="1072" t="str">
        <f t="shared" ref="AD592" si="10917">IF(LEFT(J587,7)="Clad Wo","Pella Wood Spr / Steel Pte","Steel Plate")</f>
        <v>Steel Plate</v>
      </c>
      <c r="AE592" s="1073"/>
      <c r="AF592" s="1054"/>
      <c r="AG592" s="1055"/>
      <c r="AH592" s="1055"/>
      <c r="AI592" s="1092"/>
      <c r="AJ592" s="1093"/>
      <c r="AK592" s="159" t="str">
        <f t="shared" ca="1" si="10024"/>
        <v/>
      </c>
      <c r="AL592" s="1040"/>
      <c r="AM592" s="345" t="str">
        <f ca="1">IFERROR(Q587/12*ROUND(VLOOKUP(AF592,OFFSET(SPM,0,1),6,FALSE),2),"")</f>
        <v/>
      </c>
      <c r="AN592" t="str">
        <f t="shared" ca="1" si="10040"/>
        <v/>
      </c>
      <c r="AP592" s="699" t="str">
        <f t="shared" ref="AP592" si="10918">_xlfn.CONCAT(AR592,AS592)</f>
        <v/>
      </c>
      <c r="AQ592" s="700" t="str">
        <f t="shared" si="10249"/>
        <v/>
      </c>
      <c r="AR592" s="160" t="str">
        <f t="shared" si="10009"/>
        <v/>
      </c>
      <c r="AS592" s="160" t="str">
        <f>IFERROR(VLOOKUP(J595, WallType,2,FALSE),"")</f>
        <v/>
      </c>
      <c r="AT592" s="701" t="str">
        <f>AL587</f>
        <v/>
      </c>
      <c r="AU592" s="694" t="e">
        <f t="shared" ca="1" si="10265"/>
        <v>#REF!</v>
      </c>
      <c r="AV592" s="698" t="str">
        <f ca="1">IFERROR(VLOOKUP(AU592,INDIRECT(AQ587),2,FALSE),"----")</f>
        <v>----</v>
      </c>
      <c r="AW592" s="702" t="e">
        <f t="shared" ca="1" si="10266"/>
        <v>#REF!</v>
      </c>
      <c r="AX592" s="698" t="str">
        <f ca="1">IFERROR(VLOOKUP(AW592,INDIRECT(AQ588),2,FALSE),"----")</f>
        <v>----</v>
      </c>
      <c r="AY592" s="702" t="e">
        <f t="shared" ref="AY592" ca="1" si="10919">AY591-1</f>
        <v>#REF!</v>
      </c>
      <c r="AZ592" s="698" t="str">
        <f ca="1">IFERROR(VLOOKUP(AY592,INDIRECT(AQ589),2,FALSE),"----")</f>
        <v>----</v>
      </c>
      <c r="BA592" s="702" t="e">
        <f t="shared" ref="BA592" ca="1" si="10920">BA591-1</f>
        <v>#REF!</v>
      </c>
      <c r="BB592" s="698" t="str">
        <f ca="1">IFERROR(VLOOKUP(BA592,INDIRECT(AQ590),2,FALSE),"----")</f>
        <v>----</v>
      </c>
      <c r="BC592" s="702" t="e">
        <f t="shared" ca="1" si="10267"/>
        <v>#REF!</v>
      </c>
      <c r="BD592" s="698" t="str">
        <f ca="1">IFERROR(VLOOKUP(BC592,INDIRECT(AQ591),2,FALSE),"----")</f>
        <v>----</v>
      </c>
      <c r="BE592" s="702" t="e">
        <f t="shared" ca="1" si="10268"/>
        <v>#REF!</v>
      </c>
      <c r="BF592" s="698" t="str">
        <f ca="1">IFERROR(VLOOKUP(BE592,INDIRECT(AQ592),2,FALSE),"----")</f>
        <v>----</v>
      </c>
      <c r="BG592" s="702" t="e">
        <f t="shared" ca="1" si="10269"/>
        <v>#REF!</v>
      </c>
      <c r="BH592" s="686" t="str">
        <f ca="1">IFERROR(VLOOKUP(BG592,INDIRECT(AQ593),2,FALSE),"----")</f>
        <v>----</v>
      </c>
      <c r="BI592" s="702" t="e">
        <f t="shared" ca="1" si="10270"/>
        <v>#REF!</v>
      </c>
      <c r="BJ592" s="686" t="str">
        <f ca="1">IFERROR(VLOOKUP(BI592,INDIRECT(AQ594),2,FALSE),"----")</f>
        <v>----</v>
      </c>
      <c r="BK592" s="702" t="e">
        <f t="shared" ca="1" si="10271"/>
        <v>#REF!</v>
      </c>
      <c r="BL592" s="686" t="str">
        <f ca="1">IFERROR(VLOOKUP(BK592,INDIRECT(AQ595),2,FALSE),"----")</f>
        <v>----</v>
      </c>
      <c r="BM592" s="702" t="e">
        <f t="shared" ca="1" si="10272"/>
        <v>#REF!</v>
      </c>
      <c r="BN592" s="686" t="str">
        <f ca="1">IFERROR(VLOOKUP(BM592,INDIRECT(AQ596),2,FALSE),"----")</f>
        <v>----</v>
      </c>
      <c r="BO592" s="702" t="e">
        <f t="shared" ca="1" si="10273"/>
        <v>#REF!</v>
      </c>
      <c r="BP592" s="686" t="str">
        <f ca="1">IFERROR(VLOOKUP(BO592,INDIRECT(AQ597),2,FALSE),"----")</f>
        <v>----</v>
      </c>
      <c r="BQ592" s="702" t="e">
        <f t="shared" ca="1" si="10274"/>
        <v>#REF!</v>
      </c>
      <c r="BR592" s="686" t="str">
        <f ca="1">IFERROR(VLOOKUP(BQ592,INDIRECT(AQ598),2,FALSE),"----")</f>
        <v>----</v>
      </c>
      <c r="BS592" s="703">
        <f>IF(AI592="",1,IF(COUNTIF(BF587:BF598,AI592)=0,2,1))</f>
        <v>1</v>
      </c>
      <c r="BT592" s="704">
        <f>IF(AF592="",1,IF(BF587=".",2,1))</f>
        <v>1</v>
      </c>
      <c r="BV592" s="155">
        <f ca="1">IF(COUNTIF(DD587:DD598,AF592)=0,IF(AF592&lt;&gt;"",0,1),1)</f>
        <v>1</v>
      </c>
      <c r="BW592" s="157">
        <f ca="1">IFERROR(MATCH(AF592,DD587:DD598,0),1)</f>
        <v>1</v>
      </c>
      <c r="BX592" s="875" t="s">
        <v>1594</v>
      </c>
      <c r="BY592" s="876"/>
      <c r="BZ592" s="1110"/>
      <c r="CA592" s="691" t="e">
        <f t="shared" ca="1" si="10838"/>
        <v>#REF!</v>
      </c>
      <c r="CB592" s="4" t="e" cm="1">
        <f t="array" aca="1" ref="CB592" ca="1">IF(AND(INDEX(INDIRECT(BY587),CA592,4)&gt;=$AB587,INDEX(INDIRECT(BY587),CA592,5)&gt;=$S587,INDEX(INDIRECT(BY587),CA592,6)&gt;=$R587),1,0)</f>
        <v>#REF!</v>
      </c>
      <c r="CC592" s="4" t="e">
        <f t="shared" ref="CC592" ca="1" si="10921">MATCH(1,OFFSET(CB587:CB598,CD591,0,COUNT(CB587:CB598)-CD591),0)</f>
        <v>#REF!</v>
      </c>
      <c r="CD592" s="4" t="e">
        <f t="shared" ca="1" si="10840"/>
        <v>#REF!</v>
      </c>
      <c r="CE592" s="692" t="str" cm="1">
        <f t="array" aca="1" ref="CE592" ca="1">IFERROR(VLOOKUP(INDEX(CA587:CA598,CD592),INDIRECT(BY587),2,FALSE),"----")</f>
        <v>----</v>
      </c>
      <c r="CF592" s="691" t="e">
        <f t="shared" ca="1" si="10841"/>
        <v>#N/A</v>
      </c>
      <c r="CG592" s="4" t="e">
        <f ca="1">IF(AND(INDEX(SSM,CF592,4)&gt;=$AB587,INDEX(SSM,CF592,5)&gt;=$S587,INDEX(SSM,CF592,6)&gt;=$R587),1,0)</f>
        <v>#N/A</v>
      </c>
      <c r="CH592" s="4" t="e">
        <f t="shared" ref="CH592" ca="1" si="10922">MATCH(1,OFFSET(CG587:CG598,CI591,0,COUNT(CG587:CG598)-CI591),0)</f>
        <v>#REF!</v>
      </c>
      <c r="CI592" s="4" t="e">
        <f t="shared" ca="1" si="10843"/>
        <v>#REF!</v>
      </c>
      <c r="CJ592" s="692" t="str">
        <f ca="1">IFERROR(IF(AD588="Nested Steel Stud (wood infill)",VLOOKUP(INDEX(CF587:CF598,CI592),SSW,2,FALSE),VLOOKUP(INDEX(CF587:CF598,CI592),SSM,2,FALSE)),"----")</f>
        <v>----</v>
      </c>
      <c r="CK592" s="691" t="e">
        <f t="shared" ca="1" si="10844"/>
        <v>#N/A</v>
      </c>
      <c r="CL592" s="4" t="e">
        <f ca="1">IF(AND(INDEX(WSM,CK592,4)&gt;=$AB587,INDEX(WSM,CK592,5)&gt;=$S587,INDEX(WSM,CK592,6)&gt;=$R587),1,0)</f>
        <v>#N/A</v>
      </c>
      <c r="CM592" s="4" t="e">
        <f t="shared" ref="CM592" ca="1" si="10923">MATCH(1,OFFSET(CL587:CL598,CN591,0,COUNT(CL587:CL598)-CN591),0)</f>
        <v>#REF!</v>
      </c>
      <c r="CN592" s="4" t="e">
        <f t="shared" ca="1" si="10846"/>
        <v>#REF!</v>
      </c>
      <c r="CO592" s="692" t="str">
        <f ca="1">IFERROR(VLOOKUP(INDEX(CK587:CK598,CN592),WSM,2,FALSE),"----")</f>
        <v>----</v>
      </c>
      <c r="CP592" s="691" t="e">
        <f t="shared" ca="1" si="10847"/>
        <v>#N/A</v>
      </c>
      <c r="CQ592" s="4" t="e">
        <f ca="1">IF(AND(INDEX(STM,CP592,4)&gt;=$AB587,INDEX(STM,CP592,5)&gt;=$S587,INDEX(STM,CP592,6)&gt;=$R587),1,0)</f>
        <v>#N/A</v>
      </c>
      <c r="CR592" s="4" t="e">
        <f t="shared" ref="CR592" ca="1" si="10924">MATCH(1,OFFSET(CQ587:CQ598,CS591,0,COUNT(CQ587:CQ598)-CS591),0)</f>
        <v>#REF!</v>
      </c>
      <c r="CS592" s="4" t="e">
        <f t="shared" ca="1" si="10849"/>
        <v>#REF!</v>
      </c>
      <c r="CT592" s="692" t="str">
        <f ca="1">IFERROR(VLOOKUP(INDEX(CP587:CP598,CS592),STM,2,FALSE),"----")</f>
        <v>----</v>
      </c>
      <c r="CU592" s="691" t="e">
        <f t="shared" ca="1" si="10850"/>
        <v>#N/A</v>
      </c>
      <c r="CV592" s="4" t="e">
        <f ca="1">IF(AND(INDEX(ELM,CU592,4)&gt;=$AB587,INDEX(ELM,CU592,5)&gt;=$S587,INDEX(ELM,CU592,6)&gt;=$R587),1,0)</f>
        <v>#N/A</v>
      </c>
      <c r="CW592" s="4" t="e">
        <f t="shared" ref="CW592" ca="1" si="10925">MATCH(1,OFFSET(CV587:CV598,CX591,0,COUNT(CV587:CV598)-CX591),0)</f>
        <v>#REF!</v>
      </c>
      <c r="CX592" s="4" t="e">
        <f t="shared" ca="1" si="10852"/>
        <v>#REF!</v>
      </c>
      <c r="CY592" s="692" t="str">
        <f ca="1">IFERROR(VLOOKUP(INDEX(CU587:CU598,CX592),ELM,2,FALSE),"----")</f>
        <v>----</v>
      </c>
      <c r="CZ592" s="691" t="e">
        <f t="shared" ca="1" si="10853"/>
        <v>#N/A</v>
      </c>
      <c r="DA592" s="4" t="e">
        <f ca="1">IF(LEFT($J587,7)="Clad Wo",IF(AND(INDEX(SPPWS,CZ592,4)&gt;=$AB587,INDEX(SPPWS,CZ592,5)&gt;=$S587,INDEX(SPPWS,CZ592,6)&gt;=$R587),1,0),IF(AND(INDEX(SPM,CZ592,4)&gt;=$AB587,INDEX(SPM,CZ592,5)&gt;=$S587,INDEX(SPM,CZ592,6)&gt;=$R587),1,0))</f>
        <v>#N/A</v>
      </c>
      <c r="DB592" s="4" t="e">
        <f t="shared" ref="DB592" ca="1" si="10926">MATCH(1,OFFSET(DA587:DA598,DC591,0,COUNT(DA587:DA598)-DC591),0)</f>
        <v>#REF!</v>
      </c>
      <c r="DC592" s="4" t="e">
        <f t="shared" ca="1" si="10855"/>
        <v>#REF!</v>
      </c>
      <c r="DD592" s="693" t="str">
        <f ca="1">IF(LEFT($J587,7)="Clad Wo",IFERROR(VLOOKUP(INDEX(CZ587:CZ598,DC592),SPPWS,2,FALSE),"----"),IFERROR(VLOOKUP(INDEX(CZ587:CZ598,DC592),SPM,2,FALSE),"----"))</f>
        <v>----</v>
      </c>
      <c r="DE592" s="691" t="e">
        <f t="shared" ca="1" si="10856"/>
        <v>#REF!</v>
      </c>
      <c r="DF592" s="4" t="e" cm="1">
        <f t="array" aca="1" ref="DF592" ca="1">IF(AND(INDEX(INDIRECT(BY587),DE592,4)&gt;=$AB593,INDEX(INDIRECT(BY587),DE592,5)&gt;=$S587,INDEX(INDIRECT(BY587),DE592,6)&gt;=$R587),1,0)</f>
        <v>#REF!</v>
      </c>
      <c r="DG592" s="4" t="e">
        <f t="shared" ref="DG592" ca="1" si="10927">MATCH(1,OFFSET(DF587:DF598,DH591,0,COUNT(DF587:DF598)-DH591),0)</f>
        <v>#REF!</v>
      </c>
      <c r="DH592" s="4" t="e">
        <f t="shared" ca="1" si="10858"/>
        <v>#REF!</v>
      </c>
      <c r="DI592" s="692" t="str" cm="1">
        <f t="array" aca="1" ref="DI592" ca="1">IFERROR(VLOOKUP(INDEX(DE587:DE598,DH592),INDIRECT(BY587),2,FALSE),"----")</f>
        <v>----</v>
      </c>
      <c r="DJ592" s="691" t="e">
        <f t="shared" ca="1" si="10859"/>
        <v>#N/A</v>
      </c>
      <c r="DK592" s="4" t="e">
        <f ca="1">IF(AND(INDEX(SSM,DJ592,4)&gt;=$AB593,INDEX(SSM,DJ592,5)&gt;=$S587,INDEX(SSM,DJ592,6)&gt;=$R587),1,0)</f>
        <v>#N/A</v>
      </c>
      <c r="DL592" s="4" t="e">
        <f t="shared" ref="DL592" ca="1" si="10928">MATCH(1,OFFSET(DK587:DK598,DM591,0,COUNT(DK587:DK598)-DM591),0)</f>
        <v>#REF!</v>
      </c>
      <c r="DM592" s="4" t="e">
        <f t="shared" ca="1" si="10861"/>
        <v>#REF!</v>
      </c>
      <c r="DN592" s="692" t="str">
        <f ca="1">IFERROR(IF(AD594="Nested Steel Stud (wood infill)",VLOOKUP(INDEX(DJ587:DJ598,DM592),SSW,2,FALSE),VLOOKUP(INDEX(DJ587:DJ598,DM592),SSM,2,FALSE)),"----")</f>
        <v>----</v>
      </c>
      <c r="DO592" s="691" t="e">
        <f t="shared" ca="1" si="10862"/>
        <v>#N/A</v>
      </c>
      <c r="DP592" s="4" t="e">
        <f ca="1">IF(AND(INDEX(WSM,DO592,4)&gt;=$AB593,INDEX(WSM,DO592,5)&gt;=$S587,INDEX(WSM,DO592,6)&gt;=$R587),1,0)</f>
        <v>#N/A</v>
      </c>
      <c r="DQ592" s="4" t="e">
        <f t="shared" ref="DQ592" ca="1" si="10929">MATCH(1,OFFSET(DP587:DP598,DR591,0,COUNT(DP587:DP598)-DR591),0)</f>
        <v>#REF!</v>
      </c>
      <c r="DR592" s="4" t="e">
        <f t="shared" ca="1" si="10864"/>
        <v>#REF!</v>
      </c>
      <c r="DS592" s="692" t="str">
        <f ca="1">IFERROR(VLOOKUP(INDEX(DO587:DO598,DR592),WSM,2,FALSE),"----")</f>
        <v>----</v>
      </c>
      <c r="DT592" s="691" t="e">
        <f t="shared" ca="1" si="10865"/>
        <v>#N/A</v>
      </c>
      <c r="DU592" s="4" t="e">
        <f ca="1">IF(AND(INDEX(STM,DT592,4)&gt;=$AB593,INDEX(STM,DT592,5)&gt;=$S587,INDEX(STM,DT592,6)&gt;=$R587),1,0)</f>
        <v>#N/A</v>
      </c>
      <c r="DV592" s="4" t="e">
        <f t="shared" ref="DV592" ca="1" si="10930">MATCH(1,OFFSET(DU587:DU598,DW591,0,COUNT(DU587:DU598)-DW591),0)</f>
        <v>#REF!</v>
      </c>
      <c r="DW592" s="4" t="e">
        <f t="shared" ca="1" si="10867"/>
        <v>#REF!</v>
      </c>
      <c r="DX592" s="692" t="str">
        <f ca="1">IFERROR(VLOOKUP(INDEX(DT587:DT598,DW592),STM,2,FALSE),"----")</f>
        <v>----</v>
      </c>
      <c r="DY592" s="691" t="e">
        <f t="shared" ca="1" si="10868"/>
        <v>#N/A</v>
      </c>
      <c r="DZ592" s="4" t="e">
        <f ca="1">IF(AND(INDEX(ELM,DY592,4)&gt;=$AB593,INDEX(ELM,DY592,5)&gt;=$S587,INDEX(ELM,DY592,6)&gt;=$R587),1,0)</f>
        <v>#N/A</v>
      </c>
      <c r="EA592" s="4" t="e">
        <f t="shared" ref="EA592" ca="1" si="10931">MATCH(1,OFFSET(DZ587:DZ598,EB591,0,COUNT(DZ587:DZ598)-EB591),0)</f>
        <v>#REF!</v>
      </c>
      <c r="EB592" s="4" t="e">
        <f t="shared" ca="1" si="10870"/>
        <v>#REF!</v>
      </c>
      <c r="EC592" s="692" t="str">
        <f ca="1">IFERROR(VLOOKUP(INDEX(DY587:DY598,EB592),ELM,2,FALSE),"----")</f>
        <v>----</v>
      </c>
      <c r="ED592" s="691" t="e">
        <f t="shared" ca="1" si="10871"/>
        <v>#N/A</v>
      </c>
      <c r="EE592" s="4" t="e">
        <f ca="1">IF(LEFT($J587,7)="Clad Wo",IF(AND(INDEX(SPPWS,ED592,4)&gt;=$AB593,INDEX(SPPWS,ED592,5)&gt;=$S587,INDEX(SPPWS,ED592,6)&gt;=$R587),1,0),IF(AND(INDEX(SPM,ED592,4)&gt;=$AB593,INDEX(SPM,ED592,5)&gt;=$S587,INDEX(SPM,ED592,6)&gt;=$R587),1,0))</f>
        <v>#N/A</v>
      </c>
      <c r="EF592" s="4" t="e">
        <f t="shared" ref="EF592" ca="1" si="10932">MATCH(1,OFFSET(EE587:EE598,EG591,0,COUNT(EE587:EE598)-EG591),0)</f>
        <v>#REF!</v>
      </c>
      <c r="EG592" s="4" t="e">
        <f t="shared" ca="1" si="10873"/>
        <v>#REF!</v>
      </c>
      <c r="EH592" s="692" t="str">
        <f ca="1">IF(LEFT($J587,7)="Clad Wo",IFERROR(VLOOKUP(INDEX(ED587:ED598,EG592),SPPWS,2,FALSE),"----"),IFERROR(VLOOKUP(INDEX(ED587:ED598,EG592),SPM,2,FALSE),"----"))</f>
        <v>----</v>
      </c>
    </row>
    <row r="593" spans="1:138" ht="15" customHeight="1" x14ac:dyDescent="0.25">
      <c r="A593" s="1085"/>
      <c r="B593" s="925" t="s">
        <v>409</v>
      </c>
      <c r="C593" s="926"/>
      <c r="D593" s="927"/>
      <c r="E593" s="995"/>
      <c r="F593" s="996"/>
      <c r="G593" s="997"/>
      <c r="H593" s="1062"/>
      <c r="I593" s="990"/>
      <c r="J593" s="908"/>
      <c r="K593" s="909"/>
      <c r="L593" s="1001">
        <f>L587+1</f>
        <v>5</v>
      </c>
      <c r="M593" s="1064" t="str">
        <f t="shared" ref="M593" si="10933">IFERROR(IF($AE$17="",IF($AG$19="Wind Loading",MIN($V$31,IF(E$11="ASCE 7-05",$U$26,$V$7)*$V$9*(IF($E$12&lt;60,0.156*LN(MAX(MIN(500,O587),10)) -1.7618,IF($E$11="ASCE 7-22", 0.2026*LN(MAX(MIN(500,O587),20))-2.2638,0.2503*LN(MAX(MIN(500,O587),20)) -2.5526))-$V$8)),$V$7*IF(E$12&lt;60,$V$13*($V$15*(0.156*LN(MAX(MIN(500,O587),10)) -1.7618)-$V$16),$V$13*$V$15*((0.2026*LN(MAX(MIN(500,O587),20))-2.2638)-$V$16))),-ABS($AE$17)),"")</f>
        <v/>
      </c>
      <c r="N593" s="1041" t="str">
        <f t="shared" ref="N593" si="10934">IFERROR(IF($AE$19="",IF($AG$19="Wind Loading",MAX($U$31,IF(E$11="ASCE 7-05",$U$26,$V$7)*$V$9*((IF($E$12&lt;60,-0.077*LN(MAX(MIN(500,O587),10))+1.1737,IF($E$11="ASCE 7-22",-0.077*LN(MAX(MIN(500,O587),20))+1.0798,-0.093*LN(MAX(MIN(500,O587),20))+1.1776)))+$V$8)),$V$7*IF(E$12&lt;60,$V$13*($V$15*(-0.077*LN(MAX(MIN(500,O587),10))+1.1737)-$V$17),$V$13*$V$15*((-0.077*LN(MAX(MIN(500,O587),20))+1.0798)-$V$17))),ABS($AE$19)),"")</f>
        <v/>
      </c>
      <c r="O593" s="1018"/>
      <c r="P593" s="987"/>
      <c r="Q593" s="1015"/>
      <c r="R593" s="1012">
        <f>P593*Q593/8</f>
        <v>0</v>
      </c>
      <c r="S593" s="1006"/>
      <c r="T593" s="1007"/>
      <c r="U593" s="878"/>
      <c r="V593" s="881"/>
      <c r="W593" s="883" t="e">
        <f t="shared" ref="W593" si="10935">MAX(-M593,N593)*O587</f>
        <v>#VALUE!</v>
      </c>
      <c r="X593" s="884"/>
      <c r="Y593" s="886">
        <f>IFERROR(IF(AG$14="Trapezoidal",BY596,BX596)+IF($E$17="4",(400*E587^3)/(48*X587),0),0)</f>
        <v>0</v>
      </c>
      <c r="Z593" s="886" t="e">
        <f t="shared" ref="Z593" si="10936">+($V587*MAX(-$M593,$N593)*$E587^2)/(144*8)+IF($E$17=4,(400*$E587)/4,0)</f>
        <v>#VALUE!</v>
      </c>
      <c r="AA593" s="887"/>
      <c r="AB593" s="1080" t="str">
        <f t="shared" ref="AB593" ca="1" si="10937">IFERROR(Z593-AA587,"")</f>
        <v/>
      </c>
      <c r="AC593" s="1086" t="str">
        <f t="shared" ref="AC593" ca="1" si="10938">IFERROR(Y593-U587,"")</f>
        <v/>
      </c>
      <c r="AD593" s="1074" t="str">
        <f t="shared" ref="AD593" si="10939">AD587</f>
        <v/>
      </c>
      <c r="AE593" s="1075"/>
      <c r="AF593" s="1056"/>
      <c r="AG593" s="1057"/>
      <c r="AH593" s="1057"/>
      <c r="AI593" s="1088"/>
      <c r="AJ593" s="1089"/>
      <c r="AK593" s="162" t="str">
        <f t="shared" ca="1" si="10024"/>
        <v/>
      </c>
      <c r="AL593" s="1058" t="str">
        <f t="shared" ref="AL593" si="10940">IFERROR(ROUND(SQRT(P587^2+(W593/2+IF($E$17=4,200,0))^2),0),"")</f>
        <v/>
      </c>
      <c r="AM593" s="342" t="s">
        <v>669</v>
      </c>
      <c r="AN593" t="str">
        <f t="shared" ca="1" si="10040"/>
        <v/>
      </c>
      <c r="AP593" s="122" t="str">
        <f t="shared" ref="AP593" si="10941">_xlfn.CONCAT(AR593,AS598)</f>
        <v/>
      </c>
      <c r="AQ593" s="683" t="str">
        <f t="shared" si="10249"/>
        <v/>
      </c>
      <c r="AR593" s="96" t="str">
        <f t="shared" si="10009"/>
        <v/>
      </c>
      <c r="AS593" s="96" t="str">
        <f>IF(COUNTIF(imp_1,AF593)=1,"imp_1",IF(COUNTIF(imp_2,AF593)=1,"imp_2",IF(COUNTIF(imp_3,AF593)=1,"imp_3",IF(COUNTIF(impdoor,AF593)=1,"impdoor",""))))</f>
        <v/>
      </c>
      <c r="AT593" s="684" t="str">
        <f>AL593</f>
        <v/>
      </c>
      <c r="AU593" s="685" t="e">
        <f t="shared" ca="1" si="10265"/>
        <v>#REF!</v>
      </c>
      <c r="AV593" s="686" t="str">
        <f ca="1">IFERROR(VLOOKUP(AU593,INDIRECT(AQ587),2,FALSE),"----")</f>
        <v>----</v>
      </c>
      <c r="AW593" s="685" t="e">
        <f t="shared" ca="1" si="10266"/>
        <v>#REF!</v>
      </c>
      <c r="AX593" s="686" t="str">
        <f ca="1">IFERROR(VLOOKUP(AW593,INDIRECT(AQ588),2,FALSE),"----")</f>
        <v>----</v>
      </c>
      <c r="AY593" s="685" t="e">
        <f t="shared" ca="1" si="10683"/>
        <v>#REF!</v>
      </c>
      <c r="AZ593" s="686" t="str">
        <f ca="1">IFERROR(VLOOKUP(AY593,INDIRECT(AQ589),2,FALSE),"----")</f>
        <v>----</v>
      </c>
      <c r="BA593" s="685" t="e">
        <f t="shared" ca="1" si="10684"/>
        <v>#REF!</v>
      </c>
      <c r="BB593" s="686" t="str">
        <f ca="1">IFERROR(VLOOKUP(BA593,INDIRECT(AQ590),2,FALSE),"----")</f>
        <v>----</v>
      </c>
      <c r="BC593" s="685" t="e">
        <f t="shared" ca="1" si="10267"/>
        <v>#REF!</v>
      </c>
      <c r="BD593" s="686" t="str">
        <f ca="1">IFERROR(VLOOKUP(BC593,INDIRECT(AQ591),2,FALSE),"----")</f>
        <v>----</v>
      </c>
      <c r="BE593" s="685" t="e">
        <f t="shared" ca="1" si="10268"/>
        <v>#REF!</v>
      </c>
      <c r="BF593" s="686" t="str">
        <f ca="1">IFERROR(VLOOKUP(BE593,INDIRECT(AQ592),2,FALSE),"----")</f>
        <v>----</v>
      </c>
      <c r="BG593" s="702" t="e">
        <f t="shared" ca="1" si="10269"/>
        <v>#REF!</v>
      </c>
      <c r="BH593" s="686" t="str">
        <f ca="1">IFERROR(VLOOKUP(BG593,INDIRECT(AQ593),2,FALSE),"----")</f>
        <v>----</v>
      </c>
      <c r="BI593" s="702" t="e">
        <f t="shared" ca="1" si="10270"/>
        <v>#REF!</v>
      </c>
      <c r="BJ593" s="686" t="str">
        <f ca="1">IFERROR(VLOOKUP(BI593,INDIRECT(AQ594),2,FALSE),"----")</f>
        <v>----</v>
      </c>
      <c r="BK593" s="702" t="e">
        <f t="shared" ca="1" si="10271"/>
        <v>#REF!</v>
      </c>
      <c r="BL593" s="686" t="str">
        <f ca="1">IFERROR(VLOOKUP(BK593,INDIRECT(AQ595),2,FALSE),"----")</f>
        <v>----</v>
      </c>
      <c r="BM593" s="702" t="e">
        <f t="shared" ca="1" si="10272"/>
        <v>#REF!</v>
      </c>
      <c r="BN593" s="686" t="str">
        <f ca="1">IFERROR(VLOOKUP(BM593,INDIRECT(AQ596),2,FALSE),"----")</f>
        <v>----</v>
      </c>
      <c r="BO593" s="702" t="e">
        <f t="shared" ca="1" si="10273"/>
        <v>#REF!</v>
      </c>
      <c r="BP593" s="686" t="str">
        <f ca="1">IFERROR(VLOOKUP(BO593,INDIRECT(AQ597),2,FALSE),"----")</f>
        <v>----</v>
      </c>
      <c r="BQ593" s="702" t="e">
        <f t="shared" ca="1" si="10274"/>
        <v>#REF!</v>
      </c>
      <c r="BR593" s="686" t="str">
        <f ca="1">IFERROR(VLOOKUP(BQ593,INDIRECT(AQ598),2,FALSE),"----")</f>
        <v>----</v>
      </c>
      <c r="BS593" s="695">
        <f>IF(AI593="",1,IF(COUNTIF(BH587:BH598,AI593)=0,2,1))</f>
        <v>1</v>
      </c>
      <c r="BT593" s="696">
        <f>IF(AP593="1",1,IF(AF593="",1,IF(BH587=".",2,1)))</f>
        <v>1</v>
      </c>
      <c r="BU593" s="706"/>
      <c r="BV593" s="155">
        <f ca="1">IF(COUNTIF(DI587:DI598,AF593)=0,IF(AF593&lt;&gt;"",0,1),1)</f>
        <v>1</v>
      </c>
      <c r="BW593" s="157">
        <f ca="1">IFERROR(MATCH(AF593,DI587:DI598,0),1)</f>
        <v>1</v>
      </c>
      <c r="BX593" s="769" t="s">
        <v>1593</v>
      </c>
      <c r="BY593" s="769" t="s">
        <v>1629</v>
      </c>
      <c r="BZ593" s="1110"/>
      <c r="CA593" s="691" t="e">
        <f t="shared" ca="1" si="10838"/>
        <v>#REF!</v>
      </c>
      <c r="CB593" s="4" t="e" cm="1">
        <f t="array" aca="1" ref="CB593" ca="1">IF(AND(INDEX(INDIRECT(BY587),CA593,4)&gt;=$AB587,INDEX(INDIRECT(BY587),CA593,5)&gt;=$S587,INDEX(INDIRECT(BY587),CA593,6)&gt;=$R587),1,0)</f>
        <v>#REF!</v>
      </c>
      <c r="CC593" s="4" t="e">
        <f t="shared" ref="CC593" ca="1" si="10942">MATCH(1,OFFSET(CB587:CB598,CD592,0,COUNT(CB587:CB598)-CD592),0)</f>
        <v>#REF!</v>
      </c>
      <c r="CD593" s="4" t="e">
        <f t="shared" ca="1" si="10840"/>
        <v>#REF!</v>
      </c>
      <c r="CE593" s="692" t="str" cm="1">
        <f t="array" aca="1" ref="CE593" ca="1">IFERROR(VLOOKUP(INDEX(CA587:CA598,CD593),INDIRECT(BY587),2,FALSE),"----")</f>
        <v>----</v>
      </c>
      <c r="CF593" s="691" t="e">
        <f t="shared" ca="1" si="10841"/>
        <v>#N/A</v>
      </c>
      <c r="CG593" s="4" t="e">
        <f ca="1">IF(AND(INDEX(SSM,CF593,4)&gt;=$AB587,INDEX(SSM,CF593,5)&gt;=$S587,INDEX(SSM,CF593,6)&gt;=$R587),1,0)</f>
        <v>#N/A</v>
      </c>
      <c r="CH593" s="4" t="e">
        <f t="shared" ref="CH593" ca="1" si="10943">MATCH(1,OFFSET(CG587:CG598,CI592,0,COUNT(CG587:CG598)-CI592),0)</f>
        <v>#REF!</v>
      </c>
      <c r="CI593" s="4" t="e">
        <f t="shared" ca="1" si="10843"/>
        <v>#REF!</v>
      </c>
      <c r="CJ593" s="692" t="str">
        <f ca="1">IFERROR(IF(AD588="Nested Steel Stud (wood infill)",VLOOKUP(INDEX(CF587:CF598,CI593),SSW,2,FALSE),VLOOKUP(INDEX(CF587:CF598,CI593),SSM,2,FALSE)),"----")</f>
        <v>----</v>
      </c>
      <c r="CK593" s="691" t="e">
        <f t="shared" ca="1" si="10844"/>
        <v>#N/A</v>
      </c>
      <c r="CL593" s="4" t="e">
        <f ca="1">IF(AND(INDEX(WSM,CK593,4)&gt;=$AB587,INDEX(WSM,CK593,5)&gt;=$S587,INDEX(WSM,CK593,6)&gt;=$R587),1,0)</f>
        <v>#N/A</v>
      </c>
      <c r="CM593" s="4" t="e">
        <f t="shared" ref="CM593" ca="1" si="10944">MATCH(1,OFFSET(CL587:CL598,CN592,0,COUNT(CL587:CL598)-CN592),0)</f>
        <v>#REF!</v>
      </c>
      <c r="CN593" s="4" t="e">
        <f t="shared" ca="1" si="10846"/>
        <v>#REF!</v>
      </c>
      <c r="CO593" s="692" t="str">
        <f ca="1">IFERROR(VLOOKUP(INDEX(CK587:CK598,CN593),WSM,2,FALSE),"----")</f>
        <v>----</v>
      </c>
      <c r="CP593" s="691" t="e">
        <f t="shared" ca="1" si="10847"/>
        <v>#N/A</v>
      </c>
      <c r="CQ593" s="4" t="e">
        <f ca="1">IF(AND(INDEX(STM,CP593,4)&gt;=$AB587,INDEX(STM,CP593,5)&gt;=$S587,INDEX(STM,CP593,6)&gt;=$R587),1,0)</f>
        <v>#N/A</v>
      </c>
      <c r="CR593" s="4" t="e">
        <f t="shared" ref="CR593" ca="1" si="10945">MATCH(1,OFFSET(CQ587:CQ598,CS592,0,COUNT(CQ587:CQ598)-CS592),0)</f>
        <v>#REF!</v>
      </c>
      <c r="CS593" s="4" t="e">
        <f t="shared" ca="1" si="10849"/>
        <v>#REF!</v>
      </c>
      <c r="CT593" s="692" t="str">
        <f ca="1">IFERROR(VLOOKUP(INDEX(CP587:CP598,CS593),STM,2,FALSE),"----")</f>
        <v>----</v>
      </c>
      <c r="CU593" s="691" t="e">
        <f t="shared" ca="1" si="10850"/>
        <v>#N/A</v>
      </c>
      <c r="CV593" s="4" t="e">
        <f ca="1">IF(AND(INDEX(ELM,CU593,4)&gt;=$AB587,INDEX(ELM,CU593,5)&gt;=$S587,INDEX(ELM,CU593,6)&gt;=$R587),1,0)</f>
        <v>#N/A</v>
      </c>
      <c r="CW593" s="4" t="e">
        <f t="shared" ref="CW593" ca="1" si="10946">MATCH(1,OFFSET(CV587:CV598,CX592,0,COUNT(CV587:CV598)-CX592),0)</f>
        <v>#REF!</v>
      </c>
      <c r="CX593" s="4" t="e">
        <f t="shared" ca="1" si="10852"/>
        <v>#REF!</v>
      </c>
      <c r="CY593" s="692" t="str">
        <f ca="1">IFERROR(VLOOKUP(INDEX(CU587:CU598,CX593),ELM,2,FALSE),"----")</f>
        <v>----</v>
      </c>
      <c r="CZ593" s="691" t="e">
        <f t="shared" ca="1" si="10853"/>
        <v>#N/A</v>
      </c>
      <c r="DA593" s="4" t="e">
        <f ca="1">IF(LEFT($J587,7)="Clad Wo",IF(AND(INDEX(SPPWS,CZ593,4)&gt;=$AB587,INDEX(SPPWS,CZ593,5)&gt;=$S587,INDEX(SPPWS,CZ593,6)&gt;=$R587),1,0),IF(AND(INDEX(SPM,CZ593,4)&gt;=$AB587,INDEX(SPM,CZ593,5)&gt;=$S587,INDEX(SPM,CZ593,6)&gt;=$R587),1,0))</f>
        <v>#N/A</v>
      </c>
      <c r="DB593" s="4" t="e">
        <f t="shared" ref="DB593" ca="1" si="10947">MATCH(1,OFFSET(DA587:DA598,DC592,0,COUNT(DA587:DA598)-DC592),0)</f>
        <v>#REF!</v>
      </c>
      <c r="DC593" s="4" t="e">
        <f t="shared" ca="1" si="10855"/>
        <v>#REF!</v>
      </c>
      <c r="DD593" s="693" t="str">
        <f ca="1">IF(LEFT($J587,7)="Clad Wo",IFERROR(VLOOKUP(INDEX(CZ587:CZ598,DC593),SPPWS,2,FALSE),"----"),IFERROR(VLOOKUP(INDEX(CZ587:CZ598,DC593),SPM,2,FALSE),"----"))</f>
        <v>----</v>
      </c>
      <c r="DE593" s="691" t="e">
        <f t="shared" ca="1" si="10856"/>
        <v>#REF!</v>
      </c>
      <c r="DF593" s="4" t="e" cm="1">
        <f t="array" aca="1" ref="DF593" ca="1">IF(AND(INDEX(INDIRECT(BY587),DE593,4)&gt;=$AB593,INDEX(INDIRECT(BY587),DE593,5)&gt;=$S587,INDEX(INDIRECT(BY587),DE593,6)&gt;=$R587),1,0)</f>
        <v>#REF!</v>
      </c>
      <c r="DG593" s="4" t="e">
        <f t="shared" ref="DG593" ca="1" si="10948">MATCH(1,OFFSET(DF587:DF598,DH592,0,COUNT(DF587:DF598)-DH592),0)</f>
        <v>#REF!</v>
      </c>
      <c r="DH593" s="4" t="e">
        <f t="shared" ca="1" si="10858"/>
        <v>#REF!</v>
      </c>
      <c r="DI593" s="692" t="str" cm="1">
        <f t="array" aca="1" ref="DI593" ca="1">IFERROR(VLOOKUP(INDEX(DE587:DE598,DH593),INDIRECT(BY587),2,FALSE),"----")</f>
        <v>----</v>
      </c>
      <c r="DJ593" s="691" t="e">
        <f t="shared" ca="1" si="10859"/>
        <v>#N/A</v>
      </c>
      <c r="DK593" s="4" t="e">
        <f ca="1">IF(AND(INDEX(SSM,DJ593,4)&gt;=$AB593,INDEX(SSM,DJ593,5)&gt;=$S587,INDEX(SSM,DJ593,6)&gt;=$R587),1,0)</f>
        <v>#N/A</v>
      </c>
      <c r="DL593" s="4" t="e">
        <f t="shared" ref="DL593" ca="1" si="10949">MATCH(1,OFFSET(DK587:DK598,DM592,0,COUNT(DK587:DK598)-DM592),0)</f>
        <v>#REF!</v>
      </c>
      <c r="DM593" s="4" t="e">
        <f t="shared" ca="1" si="10861"/>
        <v>#REF!</v>
      </c>
      <c r="DN593" s="692" t="str">
        <f ca="1">IFERROR(IF(AD594="Nested Steel Stud (wood infill)",VLOOKUP(INDEX(DJ587:DJ598,DM593),SSW,2,FALSE),VLOOKUP(INDEX(DJ587:DJ598,DM593),SSM,2,FALSE)),"----")</f>
        <v>----</v>
      </c>
      <c r="DO593" s="691" t="e">
        <f t="shared" ca="1" si="10862"/>
        <v>#N/A</v>
      </c>
      <c r="DP593" s="4" t="e">
        <f ca="1">IF(AND(INDEX(WSM,DO593,4)&gt;=$AB593,INDEX(WSM,DO593,5)&gt;=$S587,INDEX(WSM,DO593,6)&gt;=$R587),1,0)</f>
        <v>#N/A</v>
      </c>
      <c r="DQ593" s="4" t="e">
        <f t="shared" ref="DQ593" ca="1" si="10950">MATCH(1,OFFSET(DP587:DP598,DR592,0,COUNT(DP587:DP598)-DR592),0)</f>
        <v>#REF!</v>
      </c>
      <c r="DR593" s="4" t="e">
        <f t="shared" ca="1" si="10864"/>
        <v>#REF!</v>
      </c>
      <c r="DS593" s="692" t="str">
        <f ca="1">IFERROR(VLOOKUP(INDEX(DO587:DO598,DR593),WSM,2,FALSE),"----")</f>
        <v>----</v>
      </c>
      <c r="DT593" s="691" t="e">
        <f t="shared" ca="1" si="10865"/>
        <v>#N/A</v>
      </c>
      <c r="DU593" s="4" t="e">
        <f ca="1">IF(AND(INDEX(STM,DT593,4)&gt;=$AB593,INDEX(STM,DT593,5)&gt;=$S587,INDEX(STM,DT593,6)&gt;=$R587),1,0)</f>
        <v>#N/A</v>
      </c>
      <c r="DV593" s="4" t="e">
        <f t="shared" ref="DV593" ca="1" si="10951">MATCH(1,OFFSET(DU587:DU598,DW592,0,COUNT(DU587:DU598)-DW592),0)</f>
        <v>#REF!</v>
      </c>
      <c r="DW593" s="4" t="e">
        <f t="shared" ca="1" si="10867"/>
        <v>#REF!</v>
      </c>
      <c r="DX593" s="692" t="str">
        <f ca="1">IFERROR(VLOOKUP(INDEX(DT587:DT598,DW593),STM,2,FALSE),"----")</f>
        <v>----</v>
      </c>
      <c r="DY593" s="691" t="e">
        <f t="shared" ca="1" si="10868"/>
        <v>#N/A</v>
      </c>
      <c r="DZ593" s="4" t="e">
        <f ca="1">IF(AND(INDEX(ELM,DY593,4)&gt;=$AB593,INDEX(ELM,DY593,5)&gt;=$S587,INDEX(ELM,DY593,6)&gt;=$R587),1,0)</f>
        <v>#N/A</v>
      </c>
      <c r="EA593" s="4" t="e">
        <f t="shared" ref="EA593" ca="1" si="10952">MATCH(1,OFFSET(DZ587:DZ598,EB592,0,COUNT(DZ587:DZ598)-EB592),0)</f>
        <v>#REF!</v>
      </c>
      <c r="EB593" s="4" t="e">
        <f t="shared" ca="1" si="10870"/>
        <v>#REF!</v>
      </c>
      <c r="EC593" s="692" t="str">
        <f ca="1">IFERROR(VLOOKUP(INDEX(DY587:DY598,EB593),ELM,2,FALSE),"----")</f>
        <v>----</v>
      </c>
      <c r="ED593" s="691" t="e">
        <f t="shared" ca="1" si="10871"/>
        <v>#N/A</v>
      </c>
      <c r="EE593" s="4" t="e">
        <f ca="1">IF(LEFT($J587,7)="Clad Wo",IF(AND(INDEX(SPPWS,ED593,4)&gt;=$AB593,INDEX(SPPWS,ED593,5)&gt;=$S587,INDEX(SPPWS,ED593,6)&gt;=$R587),1,0),IF(AND(INDEX(SPM,ED593,4)&gt;=$AB593,INDEX(SPM,ED593,5)&gt;=$S587,INDEX(SPM,ED593,6)&gt;=$R587),1,0))</f>
        <v>#N/A</v>
      </c>
      <c r="EF593" s="4" t="e">
        <f t="shared" ref="EF593" ca="1" si="10953">MATCH(1,OFFSET(EE587:EE598,EG592,0,COUNT(EE587:EE598)-EG592),0)</f>
        <v>#REF!</v>
      </c>
      <c r="EG593" s="4" t="e">
        <f t="shared" ca="1" si="10873"/>
        <v>#REF!</v>
      </c>
      <c r="EH593" s="692" t="str">
        <f ca="1">IF(LEFT($J587,7)="Clad Wo",IFERROR(VLOOKUP(INDEX(ED587:ED598,EG593),SPPWS,2,FALSE),"----"),IFERROR(VLOOKUP(INDEX(ED587:ED598,EG593),SPM,2,FALSE),"----"))</f>
        <v>----</v>
      </c>
    </row>
    <row r="594" spans="1:138" ht="15" customHeight="1" x14ac:dyDescent="0.25">
      <c r="A594" s="1085"/>
      <c r="B594" s="925"/>
      <c r="C594" s="926"/>
      <c r="D594" s="927"/>
      <c r="E594" s="995"/>
      <c r="F594" s="996"/>
      <c r="G594" s="997"/>
      <c r="H594" s="1062"/>
      <c r="I594" s="990"/>
      <c r="J594" s="912"/>
      <c r="K594" s="913"/>
      <c r="L594" s="1002"/>
      <c r="M594" s="923"/>
      <c r="N594" s="1042"/>
      <c r="O594" s="1018"/>
      <c r="P594" s="987"/>
      <c r="Q594" s="1015"/>
      <c r="R594" s="1012"/>
      <c r="S594" s="1006"/>
      <c r="T594" s="1007"/>
      <c r="U594" s="878"/>
      <c r="V594" s="881"/>
      <c r="W594" s="884"/>
      <c r="X594" s="884"/>
      <c r="Y594" s="887"/>
      <c r="Z594" s="887"/>
      <c r="AA594" s="887"/>
      <c r="AB594" s="1081"/>
      <c r="AC594" s="1078"/>
      <c r="AD594" s="1070" t="str">
        <f t="shared" ref="AD594" si="10954">IF(ISBLANK(AD588)=TRUE,"",AD588)</f>
        <v>Nested Steel Stud</v>
      </c>
      <c r="AE594" s="1071"/>
      <c r="AF594" s="1052"/>
      <c r="AG594" s="1053"/>
      <c r="AH594" s="1053"/>
      <c r="AI594" s="1066"/>
      <c r="AJ594" s="1067"/>
      <c r="AK594" s="156" t="str">
        <f t="shared" ca="1" si="10024"/>
        <v/>
      </c>
      <c r="AL594" s="1059"/>
      <c r="AM594" s="343" t="str">
        <f ca="1">IFERROR(Q587/12*ROUND(VLOOKUP(AF594,OFFSET(SSM,0,1),6,FALSE),2),"")</f>
        <v/>
      </c>
      <c r="AN594" t="str">
        <f t="shared" ca="1" si="10040"/>
        <v/>
      </c>
      <c r="AP594" s="122" t="str">
        <f t="shared" ref="AP594" si="10955">_xlfn.CONCAT(AR594,AS598)</f>
        <v/>
      </c>
      <c r="AQ594" s="683" t="str">
        <f t="shared" si="10249"/>
        <v/>
      </c>
      <c r="AR594" s="96" t="str">
        <f t="shared" si="10009"/>
        <v/>
      </c>
      <c r="AS594" s="96" t="str">
        <f>IF(COUNTIF(Vista_1,AF593)=1,"Vista_1",IF(COUNTIF(Vista_2,AF593)=1,"Vista_2",""))</f>
        <v/>
      </c>
      <c r="AT594" s="684" t="str">
        <f>AL593</f>
        <v/>
      </c>
      <c r="AU594" s="694" t="e">
        <f t="shared" ca="1" si="10265"/>
        <v>#REF!</v>
      </c>
      <c r="AV594" s="686" t="str">
        <f ca="1">IFERROR(VLOOKUP(AU594,INDIRECT(AQ587),2,FALSE),"----")</f>
        <v>----</v>
      </c>
      <c r="AW594" s="694" t="e">
        <f t="shared" ca="1" si="10266"/>
        <v>#REF!</v>
      </c>
      <c r="AX594" s="686" t="str">
        <f ca="1">IFERROR(VLOOKUP(AW594,INDIRECT(AQ588),2,FALSE),"----")</f>
        <v>----</v>
      </c>
      <c r="AY594" s="694" t="e">
        <f t="shared" ca="1" si="10683"/>
        <v>#REF!</v>
      </c>
      <c r="AZ594" s="686" t="str">
        <f ca="1">IFERROR(VLOOKUP(AY594,INDIRECT(AQ589),2,FALSE),"----")</f>
        <v>----</v>
      </c>
      <c r="BA594" s="694" t="e">
        <f t="shared" ca="1" si="10684"/>
        <v>#REF!</v>
      </c>
      <c r="BB594" s="686" t="str">
        <f ca="1">IFERROR(VLOOKUP(BA594,INDIRECT(AQ590),2,FALSE),"----")</f>
        <v>----</v>
      </c>
      <c r="BC594" s="694" t="e">
        <f t="shared" ca="1" si="10267"/>
        <v>#REF!</v>
      </c>
      <c r="BD594" s="686" t="str">
        <f ca="1">IFERROR(VLOOKUP(BC594,INDIRECT(AQ591),2,FALSE),"----")</f>
        <v>----</v>
      </c>
      <c r="BE594" s="694" t="e">
        <f t="shared" ca="1" si="10268"/>
        <v>#REF!</v>
      </c>
      <c r="BF594" s="686" t="str">
        <f ca="1">IFERROR(VLOOKUP(BE594,INDIRECT(AQ592),2,FALSE),"----")</f>
        <v>----</v>
      </c>
      <c r="BG594" s="702" t="e">
        <f t="shared" ca="1" si="10269"/>
        <v>#REF!</v>
      </c>
      <c r="BH594" s="686" t="str">
        <f ca="1">IFERROR(VLOOKUP(BG594,INDIRECT(AQ593),2,FALSE),"----")</f>
        <v>----</v>
      </c>
      <c r="BI594" s="702" t="e">
        <f t="shared" ca="1" si="10270"/>
        <v>#REF!</v>
      </c>
      <c r="BJ594" s="686" t="str">
        <f ca="1">IFERROR(VLOOKUP(BI594,INDIRECT(AQ594),2,FALSE),"----")</f>
        <v>----</v>
      </c>
      <c r="BK594" s="702" t="e">
        <f t="shared" ca="1" si="10271"/>
        <v>#REF!</v>
      </c>
      <c r="BL594" s="686" t="str">
        <f ca="1">IFERROR(VLOOKUP(BK594,INDIRECT(AQ595),2,FALSE),"----")</f>
        <v>----</v>
      </c>
      <c r="BM594" s="702" t="e">
        <f t="shared" ca="1" si="10272"/>
        <v>#REF!</v>
      </c>
      <c r="BN594" s="686" t="str">
        <f ca="1">IFERROR(VLOOKUP(BM594,INDIRECT(AQ596),2,FALSE),"----")</f>
        <v>----</v>
      </c>
      <c r="BO594" s="702" t="e">
        <f t="shared" ca="1" si="10273"/>
        <v>#REF!</v>
      </c>
      <c r="BP594" s="686" t="str">
        <f ca="1">IFERROR(VLOOKUP(BO594,INDIRECT(AQ597),2,FALSE),"----")</f>
        <v>----</v>
      </c>
      <c r="BQ594" s="702" t="e">
        <f t="shared" ca="1" si="10274"/>
        <v>#REF!</v>
      </c>
      <c r="BR594" s="686" t="str">
        <f ca="1">IFERROR(VLOOKUP(BQ594,INDIRECT(AQ598),2,FALSE),"----")</f>
        <v>----</v>
      </c>
      <c r="BS594" s="695">
        <f>IF(AI594="",1,IF(COUNTIF(BJ587:BJ598,AI594)=0,2,1))</f>
        <v>1</v>
      </c>
      <c r="BT594" s="696">
        <f>IF(AF594="",1,IF(BJ587=".",2,1))</f>
        <v>1</v>
      </c>
      <c r="BU594" s="706"/>
      <c r="BV594" s="155">
        <f ca="1">IF(COUNTIF(DN587:DN598,AF594)=0,IF(AF594&lt;&gt;"",0,1),1)</f>
        <v>1</v>
      </c>
      <c r="BW594" s="157">
        <f ca="1">IFERROR(MATCH(AF594,DN587:DN598,0),1)</f>
        <v>1</v>
      </c>
      <c r="BX594" s="769">
        <f t="shared" ref="BX594" si="10956">E587*(H587+I587)/144/2</f>
        <v>0</v>
      </c>
      <c r="BY594" s="769">
        <f>SUM(IF(H587&gt;E587,E587^2/4,(H587*E587/2)-(H587^2/4))/144,IF(I587&gt;E587,E587^2/4,(I587*E587/2)-(I587^2/4))/144)</f>
        <v>0</v>
      </c>
      <c r="BZ594" s="1110"/>
      <c r="CA594" s="691" t="e">
        <f t="shared" ca="1" si="10838"/>
        <v>#REF!</v>
      </c>
      <c r="CB594" s="4" t="e" cm="1">
        <f t="array" aca="1" ref="CB594" ca="1">IF(AND(INDEX(INDIRECT(BY587),CA594,4)&gt;=$AB587,INDEX(INDIRECT(BY587),CA594,5)&gt;=$S587,INDEX(INDIRECT(BY587),CA594,6)&gt;=$R587),1,0)</f>
        <v>#REF!</v>
      </c>
      <c r="CC594" s="4" t="e">
        <f t="shared" ref="CC594" ca="1" si="10957">MATCH(1,OFFSET(CB587:CB598,CD593,0,COUNT(CB587:CB598)-CD593),0)</f>
        <v>#REF!</v>
      </c>
      <c r="CD594" s="4" t="e">
        <f t="shared" ca="1" si="10840"/>
        <v>#REF!</v>
      </c>
      <c r="CE594" s="692" t="str" cm="1">
        <f t="array" aca="1" ref="CE594" ca="1">IFERROR(VLOOKUP(INDEX(CA587:CA598,CD594),INDIRECT(BY587),2,FALSE),"----")</f>
        <v>----</v>
      </c>
      <c r="CF594" s="691" t="e">
        <f t="shared" ca="1" si="10841"/>
        <v>#N/A</v>
      </c>
      <c r="CG594" s="4" t="e">
        <f ca="1">IF(AND(INDEX(SSM,CF594,4)&gt;=$AB587,INDEX(SSM,CF594,5)&gt;=$S587,INDEX(SSM,CF594,6)&gt;=$R587),1,0)</f>
        <v>#N/A</v>
      </c>
      <c r="CH594" s="4" t="e">
        <f t="shared" ref="CH594" ca="1" si="10958">MATCH(1,OFFSET(CG587:CG598,CI593,0,COUNT(CG587:CG598)-CI593),0)</f>
        <v>#REF!</v>
      </c>
      <c r="CI594" s="4" t="e">
        <f t="shared" ca="1" si="10843"/>
        <v>#REF!</v>
      </c>
      <c r="CJ594" s="692" t="str">
        <f ca="1">IFERROR(IF(AD588="Nested Steel Stud (wood infill)",VLOOKUP(INDEX(CF587:CF598,CI594),SSW,2,FALSE),VLOOKUP(INDEX(CF587:CF598,CI594),SSM,2,FALSE)),"----")</f>
        <v>----</v>
      </c>
      <c r="CK594" s="691" t="e">
        <f t="shared" ca="1" si="10844"/>
        <v>#N/A</v>
      </c>
      <c r="CL594" s="4" t="e">
        <f ca="1">IF(AND(INDEX(WSM,CK594,4)&gt;=$AB587,INDEX(WSM,CK594,5)&gt;=$S587,INDEX(WSM,CK594,6)&gt;=$R587),1,0)</f>
        <v>#N/A</v>
      </c>
      <c r="CM594" s="4" t="e">
        <f t="shared" ref="CM594" ca="1" si="10959">MATCH(1,OFFSET(CL587:CL598,CN593,0,COUNT(CL587:CL598)-CN593),0)</f>
        <v>#REF!</v>
      </c>
      <c r="CN594" s="4" t="e">
        <f t="shared" ca="1" si="10846"/>
        <v>#REF!</v>
      </c>
      <c r="CO594" s="692" t="str">
        <f ca="1">IFERROR(VLOOKUP(INDEX(CK587:CK598,CN594),WSM,2,FALSE),"----")</f>
        <v>----</v>
      </c>
      <c r="CP594" s="691" t="e">
        <f t="shared" ca="1" si="10847"/>
        <v>#N/A</v>
      </c>
      <c r="CQ594" s="4" t="e">
        <f ca="1">IF(AND(INDEX(STM,CP594,4)&gt;=$AB587,INDEX(STM,CP594,5)&gt;=$S587,INDEX(STM,CP594,6)&gt;=$R587),1,0)</f>
        <v>#N/A</v>
      </c>
      <c r="CR594" s="4" t="e">
        <f t="shared" ref="CR594" ca="1" si="10960">MATCH(1,OFFSET(CQ587:CQ598,CS593,0,COUNT(CQ587:CQ598)-CS593),0)</f>
        <v>#REF!</v>
      </c>
      <c r="CS594" s="4" t="e">
        <f t="shared" ca="1" si="10849"/>
        <v>#REF!</v>
      </c>
      <c r="CT594" s="692" t="str">
        <f ca="1">IFERROR(VLOOKUP(INDEX(CP587:CP598,CS594),STM,2,FALSE),"----")</f>
        <v>----</v>
      </c>
      <c r="CU594" s="691" t="e">
        <f t="shared" ca="1" si="10850"/>
        <v>#N/A</v>
      </c>
      <c r="CV594" s="4" t="e">
        <f ca="1">IF(AND(INDEX(ELM,CU594,4)&gt;=$AB587,INDEX(ELM,CU594,5)&gt;=$S587,INDEX(ELM,CU594,6)&gt;=$R587),1,0)</f>
        <v>#N/A</v>
      </c>
      <c r="CW594" s="4" t="e">
        <f t="shared" ref="CW594" ca="1" si="10961">MATCH(1,OFFSET(CV587:CV598,CX593,0,COUNT(CV587:CV598)-CX593),0)</f>
        <v>#REF!</v>
      </c>
      <c r="CX594" s="4" t="e">
        <f t="shared" ca="1" si="10852"/>
        <v>#REF!</v>
      </c>
      <c r="CY594" s="692" t="str">
        <f ca="1">IFERROR(VLOOKUP(INDEX(CU587:CU598,CX594),ELM,2,FALSE),"----")</f>
        <v>----</v>
      </c>
      <c r="CZ594" s="691" t="e">
        <f t="shared" ca="1" si="10853"/>
        <v>#N/A</v>
      </c>
      <c r="DA594" s="4" t="e">
        <f ca="1">IF(LEFT($J587,7)="Clad Wo",IF(AND(INDEX(SPPWS,CZ594,4)&gt;=$AB587,INDEX(SPPWS,CZ594,5)&gt;=$S587,INDEX(SPPWS,CZ594,6)&gt;=$R587),1,0),IF(AND(INDEX(SPM,CZ594,4)&gt;=$AB587,INDEX(SPM,CZ594,5)&gt;=$S587,INDEX(SPM,CZ594,6)&gt;=$R587),1,0))</f>
        <v>#N/A</v>
      </c>
      <c r="DB594" s="4" t="e">
        <f t="shared" ref="DB594" ca="1" si="10962">MATCH(1,OFFSET(DA587:DA598,DC593,0,COUNT(DA587:DA598)-DC593),0)</f>
        <v>#REF!</v>
      </c>
      <c r="DC594" s="4" t="e">
        <f t="shared" ca="1" si="10855"/>
        <v>#REF!</v>
      </c>
      <c r="DD594" s="693" t="str">
        <f ca="1">IF(LEFT($J587,7)="Clad Wo",IFERROR(VLOOKUP(INDEX(CZ587:CZ598,DC594),SPPWS,2,FALSE),"----"),IFERROR(VLOOKUP(INDEX(CZ587:CZ598,DC594),SPM,2,FALSE),"----"))</f>
        <v>----</v>
      </c>
      <c r="DE594" s="691" t="e">
        <f t="shared" ca="1" si="10856"/>
        <v>#REF!</v>
      </c>
      <c r="DF594" s="4" t="e" cm="1">
        <f t="array" aca="1" ref="DF594" ca="1">IF(AND(INDEX(INDIRECT(BY587),DE594,4)&gt;=$AB593,INDEX(INDIRECT(BY587),DE594,5)&gt;=$S587,INDEX(INDIRECT(BY587),DE594,6)&gt;=$R587),1,0)</f>
        <v>#REF!</v>
      </c>
      <c r="DG594" s="4" t="e">
        <f t="shared" ref="DG594" ca="1" si="10963">MATCH(1,OFFSET(DF587:DF598,DH593,0,COUNT(DF587:DF598)-DH593),0)</f>
        <v>#REF!</v>
      </c>
      <c r="DH594" s="4" t="e">
        <f t="shared" ca="1" si="10858"/>
        <v>#REF!</v>
      </c>
      <c r="DI594" s="692" t="str" cm="1">
        <f t="array" aca="1" ref="DI594" ca="1">IFERROR(VLOOKUP(INDEX(DE587:DE598,DH594),INDIRECT(BY587),2,FALSE),"----")</f>
        <v>----</v>
      </c>
      <c r="DJ594" s="691" t="e">
        <f t="shared" ca="1" si="10859"/>
        <v>#N/A</v>
      </c>
      <c r="DK594" s="4" t="e">
        <f ca="1">IF(AND(INDEX(SSM,DJ594,4)&gt;=$AB593,INDEX(SSM,DJ594,5)&gt;=$S587,INDEX(SSM,DJ594,6)&gt;=$R587),1,0)</f>
        <v>#N/A</v>
      </c>
      <c r="DL594" s="4" t="e">
        <f t="shared" ref="DL594" ca="1" si="10964">MATCH(1,OFFSET(DK587:DK598,DM593,0,COUNT(DK587:DK598)-DM593),0)</f>
        <v>#REF!</v>
      </c>
      <c r="DM594" s="4" t="e">
        <f t="shared" ca="1" si="10861"/>
        <v>#REF!</v>
      </c>
      <c r="DN594" s="692" t="str">
        <f ca="1">IFERROR(IF(AD594="Nested Steel Stud (wood infill)",VLOOKUP(INDEX(DJ587:DJ598,DM594),SSW,2,FALSE),VLOOKUP(INDEX(DJ587:DJ598,DM594),SSM,2,FALSE)),"----")</f>
        <v>----</v>
      </c>
      <c r="DO594" s="691" t="e">
        <f t="shared" ca="1" si="10862"/>
        <v>#N/A</v>
      </c>
      <c r="DP594" s="4" t="e">
        <f ca="1">IF(AND(INDEX(WSM,DO594,4)&gt;=$AB593,INDEX(WSM,DO594,5)&gt;=$S587,INDEX(WSM,DO594,6)&gt;=$R587),1,0)</f>
        <v>#N/A</v>
      </c>
      <c r="DQ594" s="4" t="e">
        <f t="shared" ref="DQ594" ca="1" si="10965">MATCH(1,OFFSET(DP587:DP598,DR593,0,COUNT(DP587:DP598)-DR593),0)</f>
        <v>#REF!</v>
      </c>
      <c r="DR594" s="4" t="e">
        <f t="shared" ca="1" si="10864"/>
        <v>#REF!</v>
      </c>
      <c r="DS594" s="692" t="str">
        <f ca="1">IFERROR(VLOOKUP(INDEX(DO587:DO598,DR594),WSM,2,FALSE),"----")</f>
        <v>----</v>
      </c>
      <c r="DT594" s="691" t="e">
        <f t="shared" ca="1" si="10865"/>
        <v>#N/A</v>
      </c>
      <c r="DU594" s="4" t="e">
        <f ca="1">IF(AND(INDEX(STM,DT594,4)&gt;=$AB593,INDEX(STM,DT594,5)&gt;=$S587,INDEX(STM,DT594,6)&gt;=$R587),1,0)</f>
        <v>#N/A</v>
      </c>
      <c r="DV594" s="4" t="e">
        <f t="shared" ref="DV594" ca="1" si="10966">MATCH(1,OFFSET(DU587:DU598,DW593,0,COUNT(DU587:DU598)-DW593),0)</f>
        <v>#REF!</v>
      </c>
      <c r="DW594" s="4" t="e">
        <f t="shared" ca="1" si="10867"/>
        <v>#REF!</v>
      </c>
      <c r="DX594" s="692" t="str">
        <f ca="1">IFERROR(VLOOKUP(INDEX(DT587:DT598,DW594),STM,2,FALSE),"----")</f>
        <v>----</v>
      </c>
      <c r="DY594" s="691" t="e">
        <f t="shared" ca="1" si="10868"/>
        <v>#N/A</v>
      </c>
      <c r="DZ594" s="4" t="e">
        <f ca="1">IF(AND(INDEX(ELM,DY594,4)&gt;=$AB593,INDEX(ELM,DY594,5)&gt;=$S587,INDEX(ELM,DY594,6)&gt;=$R587),1,0)</f>
        <v>#N/A</v>
      </c>
      <c r="EA594" s="4" t="e">
        <f t="shared" ref="EA594" ca="1" si="10967">MATCH(1,OFFSET(DZ587:DZ598,EB593,0,COUNT(DZ587:DZ598)-EB593),0)</f>
        <v>#REF!</v>
      </c>
      <c r="EB594" s="4" t="e">
        <f t="shared" ca="1" si="10870"/>
        <v>#REF!</v>
      </c>
      <c r="EC594" s="692" t="str">
        <f ca="1">IFERROR(VLOOKUP(INDEX(DY587:DY598,EB594),ELM,2,FALSE),"----")</f>
        <v>----</v>
      </c>
      <c r="ED594" s="691" t="e">
        <f t="shared" ca="1" si="10871"/>
        <v>#N/A</v>
      </c>
      <c r="EE594" s="4" t="e">
        <f ca="1">IF(LEFT($J587,7)="Clad Wo",IF(AND(INDEX(SPPWS,ED594,4)&gt;=$AB593,INDEX(SPPWS,ED594,5)&gt;=$S587,INDEX(SPPWS,ED594,6)&gt;=$R587),1,0),IF(AND(INDEX(SPM,ED594,4)&gt;=$AB593,INDEX(SPM,ED594,5)&gt;=$S587,INDEX(SPM,ED594,6)&gt;=$R587),1,0))</f>
        <v>#N/A</v>
      </c>
      <c r="EF594" s="4" t="e">
        <f t="shared" ref="EF594" ca="1" si="10968">MATCH(1,OFFSET(EE587:EE598,EG593,0,COUNT(EE587:EE598)-EG593),0)</f>
        <v>#REF!</v>
      </c>
      <c r="EG594" s="4" t="e">
        <f t="shared" ca="1" si="10873"/>
        <v>#REF!</v>
      </c>
      <c r="EH594" s="692" t="str">
        <f ca="1">IF(LEFT($J587,7)="Clad Wo",IFERROR(VLOOKUP(INDEX(ED587:ED598,EG594),SPPWS,2,FALSE),"----"),IFERROR(VLOOKUP(INDEX(ED587:ED598,EG594),SPM,2,FALSE),"----"))</f>
        <v>----</v>
      </c>
    </row>
    <row r="595" spans="1:138" ht="15" customHeight="1" x14ac:dyDescent="0.25">
      <c r="A595" s="1085"/>
      <c r="B595" s="925"/>
      <c r="C595" s="926"/>
      <c r="D595" s="927"/>
      <c r="E595" s="995"/>
      <c r="F595" s="996"/>
      <c r="G595" s="997"/>
      <c r="H595" s="1062"/>
      <c r="I595" s="990"/>
      <c r="J595" s="902"/>
      <c r="K595" s="903"/>
      <c r="L595" s="1002"/>
      <c r="M595" s="923"/>
      <c r="N595" s="1042"/>
      <c r="O595" s="1018"/>
      <c r="P595" s="987"/>
      <c r="Q595" s="1015"/>
      <c r="R595" s="1012"/>
      <c r="S595" s="1006"/>
      <c r="T595" s="1007"/>
      <c r="U595" s="878"/>
      <c r="V595" s="881"/>
      <c r="W595" s="884"/>
      <c r="X595" s="884"/>
      <c r="Y595" s="887"/>
      <c r="Z595" s="887"/>
      <c r="AA595" s="887"/>
      <c r="AB595" s="1081"/>
      <c r="AC595" s="1078"/>
      <c r="AD595" s="1070" t="str">
        <f t="shared" si="10247"/>
        <v>Wood Stud Framing</v>
      </c>
      <c r="AE595" s="1071"/>
      <c r="AF595" s="1052"/>
      <c r="AG595" s="1053"/>
      <c r="AH595" s="1053"/>
      <c r="AI595" s="1066"/>
      <c r="AJ595" s="1067"/>
      <c r="AK595" s="156" t="str">
        <f t="shared" ca="1" si="10024"/>
        <v/>
      </c>
      <c r="AL595" s="1059"/>
      <c r="AM595" s="344" t="str">
        <f ca="1">IFERROR(Q587/12*ROUND(VLOOKUP(AF595,OFFSET(WSM,0,1),6,FALSE),2),"")</f>
        <v/>
      </c>
      <c r="AN595" t="str">
        <f t="shared" ca="1" si="10040"/>
        <v/>
      </c>
      <c r="AP595" s="122" t="str">
        <f t="shared" ref="AP595" si="10969">_xlfn.CONCAT(AR595,AS598)</f>
        <v/>
      </c>
      <c r="AQ595" s="683" t="str">
        <f t="shared" si="10249"/>
        <v/>
      </c>
      <c r="AR595" s="4" t="str">
        <f t="shared" si="10009"/>
        <v/>
      </c>
      <c r="AS595" s="4"/>
      <c r="AT595" s="697" t="str">
        <f>AL593</f>
        <v/>
      </c>
      <c r="AU595" s="694" t="e">
        <f t="shared" ca="1" si="10265"/>
        <v>#REF!</v>
      </c>
      <c r="AV595" s="686" t="str">
        <f ca="1">IFERROR(VLOOKUP(AU595,INDIRECT(AQ587),2,FALSE),"----")</f>
        <v>----</v>
      </c>
      <c r="AW595" s="694" t="e">
        <f t="shared" ca="1" si="10266"/>
        <v>#REF!</v>
      </c>
      <c r="AX595" s="686" t="str">
        <f ca="1">IFERROR(VLOOKUP(AW595,INDIRECT(AQ588),2,FALSE),"----")</f>
        <v>----</v>
      </c>
      <c r="AY595" s="694" t="e">
        <f t="shared" ca="1" si="10683"/>
        <v>#REF!</v>
      </c>
      <c r="AZ595" s="686" t="str">
        <f ca="1">IFERROR(VLOOKUP(AY595,INDIRECT(AQ589),2,FALSE),"----")</f>
        <v>----</v>
      </c>
      <c r="BA595" s="694" t="e">
        <f t="shared" ca="1" si="10684"/>
        <v>#REF!</v>
      </c>
      <c r="BB595" s="686" t="str">
        <f ca="1">IFERROR(VLOOKUP(BA595,INDIRECT(AQ590),2,FALSE),"----")</f>
        <v>----</v>
      </c>
      <c r="BC595" s="694" t="e">
        <f t="shared" ca="1" si="10267"/>
        <v>#REF!</v>
      </c>
      <c r="BD595" s="686" t="str">
        <f ca="1">IFERROR(VLOOKUP(BC595,INDIRECT(AQ591),2,FALSE),"----")</f>
        <v>----</v>
      </c>
      <c r="BE595" s="694" t="e">
        <f t="shared" ca="1" si="10268"/>
        <v>#REF!</v>
      </c>
      <c r="BF595" s="686" t="str">
        <f ca="1">IFERROR(VLOOKUP(BE595,INDIRECT(AQ592),2,FALSE),"----")</f>
        <v>----</v>
      </c>
      <c r="BG595" s="702" t="e">
        <f t="shared" ca="1" si="10269"/>
        <v>#REF!</v>
      </c>
      <c r="BH595" s="686" t="str">
        <f ca="1">IFERROR(VLOOKUP(BG595,INDIRECT(AQ593),2,FALSE),"----")</f>
        <v>----</v>
      </c>
      <c r="BI595" s="702" t="e">
        <f t="shared" ca="1" si="10270"/>
        <v>#REF!</v>
      </c>
      <c r="BJ595" s="686" t="str">
        <f ca="1">IFERROR(VLOOKUP(BI595,INDIRECT(AQ594),2,FALSE),"----")</f>
        <v>----</v>
      </c>
      <c r="BK595" s="702" t="e">
        <f t="shared" ca="1" si="10271"/>
        <v>#REF!</v>
      </c>
      <c r="BL595" s="686" t="str">
        <f ca="1">IFERROR(VLOOKUP(BK595,INDIRECT(AQ595),2,FALSE),"----")</f>
        <v>----</v>
      </c>
      <c r="BM595" s="702" t="e">
        <f t="shared" ca="1" si="10272"/>
        <v>#REF!</v>
      </c>
      <c r="BN595" s="686" t="str">
        <f ca="1">IFERROR(VLOOKUP(BM595,INDIRECT(AQ596),2,FALSE),"----")</f>
        <v>----</v>
      </c>
      <c r="BO595" s="702" t="e">
        <f t="shared" ca="1" si="10273"/>
        <v>#REF!</v>
      </c>
      <c r="BP595" s="686" t="str">
        <f ca="1">IFERROR(VLOOKUP(BO595,INDIRECT(AQ597),2,FALSE),"----")</f>
        <v>----</v>
      </c>
      <c r="BQ595" s="702" t="e">
        <f t="shared" ca="1" si="10274"/>
        <v>#REF!</v>
      </c>
      <c r="BR595" s="686" t="str">
        <f ca="1">IFERROR(VLOOKUP(BQ595,INDIRECT(AQ598),2,FALSE),"----")</f>
        <v>----</v>
      </c>
      <c r="BS595" s="695">
        <f>IF(AI595="",1,IF(COUNTIF(BL587:BL598,AI595)=0,2,1))</f>
        <v>1</v>
      </c>
      <c r="BT595" s="696">
        <f>IF(AF595="",1,IF(BL587=".",2,1))</f>
        <v>1</v>
      </c>
      <c r="BU595" s="706"/>
      <c r="BV595" s="155">
        <f ca="1">IF(COUNTIF(DS587:DS598,AF595)=0,IF(AF595&lt;&gt;"",0,1),1)</f>
        <v>1</v>
      </c>
      <c r="BW595" s="157">
        <f ca="1">IFERROR(MATCH(AF595,DS587:DS598,0),1)</f>
        <v>1</v>
      </c>
      <c r="BX595" s="769" t="e">
        <f t="shared" ref="BX595" si="10970">5*E587^3*W587/(384*X587)</f>
        <v>#VALUE!</v>
      </c>
      <c r="BY595" s="769" t="e">
        <f t="shared" ref="BY595" si="10971">W587*E587^3/(60*X587)</f>
        <v>#VALUE!</v>
      </c>
      <c r="BZ595" s="1110"/>
      <c r="CA595" s="691" t="e">
        <f t="shared" ca="1" si="10838"/>
        <v>#REF!</v>
      </c>
      <c r="CB595" s="4" t="e" cm="1">
        <f t="array" aca="1" ref="CB595" ca="1">IF(AND(INDEX(INDIRECT(BY587),CA595,4)&gt;=$AB587,INDEX(INDIRECT(BY587),CA595,5)&gt;=$S587,INDEX(INDIRECT(BY587),CA595,6)&gt;=$R587),1,0)</f>
        <v>#REF!</v>
      </c>
      <c r="CC595" s="4" t="e">
        <f t="shared" ref="CC595" ca="1" si="10972">MATCH(1,OFFSET(CB587:CB598,CD594,0,COUNT(CB587:CB598)-CD594),0)</f>
        <v>#REF!</v>
      </c>
      <c r="CD595" s="4" t="e">
        <f t="shared" ca="1" si="10840"/>
        <v>#REF!</v>
      </c>
      <c r="CE595" s="692" t="str" cm="1">
        <f t="array" aca="1" ref="CE595" ca="1">IFERROR(VLOOKUP(INDEX(CA587:CA598,CD595),INDIRECT(BY587),2,FALSE),"----")</f>
        <v>----</v>
      </c>
      <c r="CF595" s="691" t="e">
        <f t="shared" ca="1" si="10841"/>
        <v>#N/A</v>
      </c>
      <c r="CG595" s="4" t="e">
        <f ca="1">IF(AND(INDEX(SSM,CF595,4)&gt;=$AB587,INDEX(SSM,CF595,5)&gt;=$S587,INDEX(SSM,CF595,6)&gt;=$R587),1,0)</f>
        <v>#N/A</v>
      </c>
      <c r="CH595" s="4" t="e">
        <f t="shared" ref="CH595" ca="1" si="10973">MATCH(1,OFFSET(CG587:CG598,CI594,0,COUNT(CG587:CG598)-CI594),0)</f>
        <v>#REF!</v>
      </c>
      <c r="CI595" s="4" t="e">
        <f t="shared" ca="1" si="10843"/>
        <v>#REF!</v>
      </c>
      <c r="CJ595" s="692" t="str">
        <f ca="1">IFERROR(IF(AD588="Nested Steel Stud (wood infill)",VLOOKUP(INDEX(CF587:CF598,CI595),SSW,2,FALSE),VLOOKUP(INDEX(CF587:CF598,CI595),SSM,2,FALSE)),"----")</f>
        <v>----</v>
      </c>
      <c r="CK595" s="691" t="e">
        <f t="shared" ca="1" si="10844"/>
        <v>#N/A</v>
      </c>
      <c r="CL595" s="4" t="e">
        <f ca="1">IF(AND(INDEX(WSM,CK595,4)&gt;=$AB587,INDEX(WSM,CK595,5)&gt;=$S587,INDEX(WSM,CK595,6)&gt;=$R587),1,0)</f>
        <v>#N/A</v>
      </c>
      <c r="CM595" s="4" t="e">
        <f t="shared" ref="CM595" ca="1" si="10974">MATCH(1,OFFSET(CL587:CL598,CN594,0,COUNT(CL587:CL598)-CN594),0)</f>
        <v>#REF!</v>
      </c>
      <c r="CN595" s="4" t="e">
        <f t="shared" ca="1" si="10846"/>
        <v>#REF!</v>
      </c>
      <c r="CO595" s="692" t="str">
        <f ca="1">IFERROR(VLOOKUP(INDEX(CK587:CK598,CN595),WSM,2,FALSE),"----")</f>
        <v>----</v>
      </c>
      <c r="CP595" s="691" t="e">
        <f t="shared" ca="1" si="10847"/>
        <v>#N/A</v>
      </c>
      <c r="CQ595" s="4" t="e">
        <f ca="1">IF(AND(INDEX(STM,CP595,4)&gt;=$AB587,INDEX(STM,CP595,5)&gt;=$S587,INDEX(STM,CP595,6)&gt;=$R587),1,0)</f>
        <v>#N/A</v>
      </c>
      <c r="CR595" s="4" t="e">
        <f t="shared" ref="CR595" ca="1" si="10975">MATCH(1,OFFSET(CQ587:CQ598,CS594,0,COUNT(CQ587:CQ598)-CS594),0)</f>
        <v>#REF!</v>
      </c>
      <c r="CS595" s="4" t="e">
        <f t="shared" ca="1" si="10849"/>
        <v>#REF!</v>
      </c>
      <c r="CT595" s="692" t="str">
        <f ca="1">IFERROR(VLOOKUP(INDEX(CP587:CP598,CS595),STM,2,FALSE),"----")</f>
        <v>----</v>
      </c>
      <c r="CU595" s="691" t="e">
        <f t="shared" ca="1" si="10850"/>
        <v>#N/A</v>
      </c>
      <c r="CV595" s="4" t="e">
        <f ca="1">IF(AND(INDEX(ELM,CU595,4)&gt;=$AB587,INDEX(ELM,CU595,5)&gt;=$S587,INDEX(ELM,CU595,6)&gt;=$R587),1,0)</f>
        <v>#N/A</v>
      </c>
      <c r="CW595" s="4" t="e">
        <f t="shared" ref="CW595" ca="1" si="10976">MATCH(1,OFFSET(CV587:CV598,CX594,0,COUNT(CV587:CV598)-CX594),0)</f>
        <v>#REF!</v>
      </c>
      <c r="CX595" s="4" t="e">
        <f t="shared" ca="1" si="10852"/>
        <v>#REF!</v>
      </c>
      <c r="CY595" s="692" t="str">
        <f ca="1">IFERROR(VLOOKUP(INDEX(CU587:CU598,CX595),ELM,2,FALSE),"----")</f>
        <v>----</v>
      </c>
      <c r="CZ595" s="691" t="e">
        <f t="shared" ca="1" si="10853"/>
        <v>#N/A</v>
      </c>
      <c r="DA595" s="4" t="e">
        <f ca="1">IF(LEFT($J587,7)="Clad Wo",IF(AND(INDEX(SPPWS,CZ595,4)&gt;=$AB587,INDEX(SPPWS,CZ595,5)&gt;=$S587,INDEX(SPPWS,CZ595,6)&gt;=$R587),1,0),IF(AND(INDEX(SPM,CZ595,4)&gt;=$AB587,INDEX(SPM,CZ595,5)&gt;=$S587,INDEX(SPM,CZ595,6)&gt;=$R587),1,0))</f>
        <v>#N/A</v>
      </c>
      <c r="DB595" s="4" t="e">
        <f t="shared" ref="DB595" ca="1" si="10977">MATCH(1,OFFSET(DA587:DA598,DC594,0,COUNT(DA587:DA598)-DC594),0)</f>
        <v>#REF!</v>
      </c>
      <c r="DC595" s="4" t="e">
        <f t="shared" ca="1" si="10855"/>
        <v>#REF!</v>
      </c>
      <c r="DD595" s="693" t="str">
        <f ca="1">IF(LEFT($J587,7)="Clad Wo",IFERROR(VLOOKUP(INDEX(CZ587:CZ598,DC595),SPPWS,2,FALSE),"----"),IFERROR(VLOOKUP(INDEX(CZ587:CZ598,DC595),SPM,2,FALSE),"----"))</f>
        <v>----</v>
      </c>
      <c r="DE595" s="691" t="e">
        <f t="shared" ca="1" si="10856"/>
        <v>#REF!</v>
      </c>
      <c r="DF595" s="4" t="e" cm="1">
        <f t="array" aca="1" ref="DF595" ca="1">IF(AND(INDEX(INDIRECT(BY587),DE595,4)&gt;=$AB593,INDEX(INDIRECT(BY587),DE595,5)&gt;=$S587,INDEX(INDIRECT(BY587),DE595,6)&gt;=$R587),1,0)</f>
        <v>#REF!</v>
      </c>
      <c r="DG595" s="4" t="e">
        <f t="shared" ref="DG595" ca="1" si="10978">MATCH(1,OFFSET(DF587:DF598,DH594,0,COUNT(DF587:DF598)-DH594),0)</f>
        <v>#REF!</v>
      </c>
      <c r="DH595" s="4" t="e">
        <f t="shared" ca="1" si="10858"/>
        <v>#REF!</v>
      </c>
      <c r="DI595" s="692" t="str" cm="1">
        <f t="array" aca="1" ref="DI595" ca="1">IFERROR(VLOOKUP(INDEX(DE587:DE598,DH595),INDIRECT(BY587),2,FALSE),"----")</f>
        <v>----</v>
      </c>
      <c r="DJ595" s="691" t="e">
        <f t="shared" ca="1" si="10859"/>
        <v>#N/A</v>
      </c>
      <c r="DK595" s="4" t="e">
        <f ca="1">IF(AND(INDEX(SSM,DJ595,4)&gt;=$AB593,INDEX(SSM,DJ595,5)&gt;=$S587,INDEX(SSM,DJ595,6)&gt;=$R587),1,0)</f>
        <v>#N/A</v>
      </c>
      <c r="DL595" s="4" t="e">
        <f t="shared" ref="DL595" ca="1" si="10979">MATCH(1,OFFSET(DK587:DK598,DM594,0,COUNT(DK587:DK598)-DM594),0)</f>
        <v>#REF!</v>
      </c>
      <c r="DM595" s="4" t="e">
        <f t="shared" ca="1" si="10861"/>
        <v>#REF!</v>
      </c>
      <c r="DN595" s="692" t="str">
        <f ca="1">IFERROR(IF(AD594="Nested Steel Stud (wood infill)",VLOOKUP(INDEX(DJ587:DJ598,DM595),SSW,2,FALSE),VLOOKUP(INDEX(DJ587:DJ598,DM595),SSM,2,FALSE)),"----")</f>
        <v>----</v>
      </c>
      <c r="DO595" s="691" t="e">
        <f t="shared" ca="1" si="10862"/>
        <v>#N/A</v>
      </c>
      <c r="DP595" s="4" t="e">
        <f ca="1">IF(AND(INDEX(WSM,DO595,4)&gt;=$AB593,INDEX(WSM,DO595,5)&gt;=$S587,INDEX(WSM,DO595,6)&gt;=$R587),1,0)</f>
        <v>#N/A</v>
      </c>
      <c r="DQ595" s="4" t="e">
        <f t="shared" ref="DQ595" ca="1" si="10980">MATCH(1,OFFSET(DP587:DP598,DR594,0,COUNT(DP587:DP598)-DR594),0)</f>
        <v>#REF!</v>
      </c>
      <c r="DR595" s="4" t="e">
        <f t="shared" ca="1" si="10864"/>
        <v>#REF!</v>
      </c>
      <c r="DS595" s="692" t="str">
        <f ca="1">IFERROR(VLOOKUP(INDEX(DO587:DO598,DR595),WSM,2,FALSE),"----")</f>
        <v>----</v>
      </c>
      <c r="DT595" s="691" t="e">
        <f t="shared" ca="1" si="10865"/>
        <v>#N/A</v>
      </c>
      <c r="DU595" s="4" t="e">
        <f ca="1">IF(AND(INDEX(STM,DT595,4)&gt;=$AB593,INDEX(STM,DT595,5)&gt;=$S587,INDEX(STM,DT595,6)&gt;=$R587),1,0)</f>
        <v>#N/A</v>
      </c>
      <c r="DV595" s="4" t="e">
        <f t="shared" ref="DV595" ca="1" si="10981">MATCH(1,OFFSET(DU587:DU598,DW594,0,COUNT(DU587:DU598)-DW594),0)</f>
        <v>#REF!</v>
      </c>
      <c r="DW595" s="4" t="e">
        <f t="shared" ca="1" si="10867"/>
        <v>#REF!</v>
      </c>
      <c r="DX595" s="692" t="str">
        <f ca="1">IFERROR(VLOOKUP(INDEX(DT587:DT598,DW595),STM,2,FALSE),"----")</f>
        <v>----</v>
      </c>
      <c r="DY595" s="691" t="e">
        <f t="shared" ca="1" si="10868"/>
        <v>#N/A</v>
      </c>
      <c r="DZ595" s="4" t="e">
        <f ca="1">IF(AND(INDEX(ELM,DY595,4)&gt;=$AB593,INDEX(ELM,DY595,5)&gt;=$S587,INDEX(ELM,DY595,6)&gt;=$R587),1,0)</f>
        <v>#N/A</v>
      </c>
      <c r="EA595" s="4" t="e">
        <f t="shared" ref="EA595" ca="1" si="10982">MATCH(1,OFFSET(DZ587:DZ598,EB594,0,COUNT(DZ587:DZ598)-EB594),0)</f>
        <v>#REF!</v>
      </c>
      <c r="EB595" s="4" t="e">
        <f t="shared" ca="1" si="10870"/>
        <v>#REF!</v>
      </c>
      <c r="EC595" s="692" t="str">
        <f ca="1">IFERROR(VLOOKUP(INDEX(DY587:DY598,EB595),ELM,2,FALSE),"----")</f>
        <v>----</v>
      </c>
      <c r="ED595" s="691" t="e">
        <f t="shared" ca="1" si="10871"/>
        <v>#N/A</v>
      </c>
      <c r="EE595" s="4" t="e">
        <f ca="1">IF(LEFT($J587,7)="Clad Wo",IF(AND(INDEX(SPPWS,ED595,4)&gt;=$AB593,INDEX(SPPWS,ED595,5)&gt;=$S587,INDEX(SPPWS,ED595,6)&gt;=$R587),1,0),IF(AND(INDEX(SPM,ED595,4)&gt;=$AB593,INDEX(SPM,ED595,5)&gt;=$S587,INDEX(SPM,ED595,6)&gt;=$R587),1,0))</f>
        <v>#N/A</v>
      </c>
      <c r="EF595" s="4" t="e">
        <f t="shared" ref="EF595" ca="1" si="10983">MATCH(1,OFFSET(EE587:EE598,EG594,0,COUNT(EE587:EE598)-EG594),0)</f>
        <v>#REF!</v>
      </c>
      <c r="EG595" s="4" t="e">
        <f t="shared" ca="1" si="10873"/>
        <v>#REF!</v>
      </c>
      <c r="EH595" s="692" t="str">
        <f ca="1">IF(LEFT($J587,7)="Clad Wo",IFERROR(VLOOKUP(INDEX(ED587:ED598,EG595),SPPWS,2,FALSE),"----"),IFERROR(VLOOKUP(INDEX(ED587:ED598,EG595),SPM,2,FALSE),"----"))</f>
        <v>----</v>
      </c>
    </row>
    <row r="596" spans="1:138" ht="15" customHeight="1" x14ac:dyDescent="0.25">
      <c r="A596" s="1085"/>
      <c r="B596" s="925"/>
      <c r="C596" s="926"/>
      <c r="D596" s="927"/>
      <c r="E596" s="995"/>
      <c r="F596" s="996"/>
      <c r="G596" s="997"/>
      <c r="H596" s="1062"/>
      <c r="I596" s="990"/>
      <c r="J596" s="902"/>
      <c r="K596" s="903"/>
      <c r="L596" s="1002"/>
      <c r="M596" s="923"/>
      <c r="N596" s="1042"/>
      <c r="O596" s="1018"/>
      <c r="P596" s="987"/>
      <c r="Q596" s="1015"/>
      <c r="R596" s="1012"/>
      <c r="S596" s="1006"/>
      <c r="T596" s="1007"/>
      <c r="U596" s="878"/>
      <c r="V596" s="881"/>
      <c r="W596" s="884"/>
      <c r="X596" s="884"/>
      <c r="Y596" s="887"/>
      <c r="Z596" s="887"/>
      <c r="AA596" s="887"/>
      <c r="AB596" s="1081"/>
      <c r="AC596" s="1078"/>
      <c r="AD596" s="1070" t="str">
        <f t="shared" si="10247"/>
        <v>Steel Tube</v>
      </c>
      <c r="AE596" s="1071"/>
      <c r="AF596" s="1052"/>
      <c r="AG596" s="1053"/>
      <c r="AH596" s="1053"/>
      <c r="AI596" s="1066"/>
      <c r="AJ596" s="1067"/>
      <c r="AK596" s="156" t="str">
        <f t="shared" ca="1" si="10024"/>
        <v/>
      </c>
      <c r="AL596" s="1059"/>
      <c r="AM596" s="343" t="str">
        <f ca="1">IFERROR(Q587/12*ROUND(VLOOKUP(AF596,OFFSET(STM,0,1),6,FALSE),2),"")</f>
        <v/>
      </c>
      <c r="AN596" t="str">
        <f t="shared" ca="1" si="10040"/>
        <v/>
      </c>
      <c r="AP596" s="122" t="str">
        <f t="shared" ref="AP596" si="10984">_xlfn.CONCAT(AR596,AS598)</f>
        <v/>
      </c>
      <c r="AQ596" s="683" t="str">
        <f t="shared" si="10249"/>
        <v/>
      </c>
      <c r="AR596" s="4" t="str">
        <f t="shared" si="10009"/>
        <v/>
      </c>
      <c r="AS596" s="4"/>
      <c r="AT596" s="697" t="str">
        <f>AL593</f>
        <v/>
      </c>
      <c r="AU596" s="694" t="e">
        <f t="shared" ca="1" si="10265"/>
        <v>#REF!</v>
      </c>
      <c r="AV596" s="686" t="str">
        <f ca="1">IFERROR(VLOOKUP(AU596,INDIRECT(AQ587),2,FALSE),"----")</f>
        <v>----</v>
      </c>
      <c r="AW596" s="694" t="e">
        <f t="shared" ca="1" si="10266"/>
        <v>#REF!</v>
      </c>
      <c r="AX596" s="686" t="str">
        <f ca="1">IFERROR(VLOOKUP(AW596,INDIRECT(AQ588),2,FALSE),"----")</f>
        <v>----</v>
      </c>
      <c r="AY596" s="694" t="e">
        <f t="shared" ca="1" si="10511"/>
        <v>#REF!</v>
      </c>
      <c r="AZ596" s="686" t="str">
        <f ca="1">IFERROR(VLOOKUP(AY596,INDIRECT(AQ589),2,FALSE),"----")</f>
        <v>----</v>
      </c>
      <c r="BA596" s="694" t="e">
        <f t="shared" ca="1" si="10512"/>
        <v>#REF!</v>
      </c>
      <c r="BB596" s="686" t="str">
        <f ca="1">IFERROR(VLOOKUP(BA596,INDIRECT(AQ590),2,FALSE),"----")</f>
        <v>----</v>
      </c>
      <c r="BC596" s="694" t="e">
        <f t="shared" ca="1" si="10267"/>
        <v>#REF!</v>
      </c>
      <c r="BD596" s="686" t="str">
        <f ca="1">IFERROR(VLOOKUP(BC596,INDIRECT(AQ591),2,FALSE),"----")</f>
        <v>----</v>
      </c>
      <c r="BE596" s="694" t="e">
        <f t="shared" ca="1" si="10268"/>
        <v>#REF!</v>
      </c>
      <c r="BF596" s="686" t="str">
        <f ca="1">IFERROR(VLOOKUP(BE596,INDIRECT(AQ592),2,FALSE),"----")</f>
        <v>----</v>
      </c>
      <c r="BG596" s="702" t="e">
        <f t="shared" ca="1" si="10269"/>
        <v>#REF!</v>
      </c>
      <c r="BH596" s="686" t="str">
        <f ca="1">IFERROR(VLOOKUP(BG596,INDIRECT(AQ593),2,FALSE),"----")</f>
        <v>----</v>
      </c>
      <c r="BI596" s="702" t="e">
        <f t="shared" ca="1" si="10270"/>
        <v>#REF!</v>
      </c>
      <c r="BJ596" s="686" t="str">
        <f ca="1">IFERROR(VLOOKUP(BI596,INDIRECT(AQ594),2,FALSE),"----")</f>
        <v>----</v>
      </c>
      <c r="BK596" s="702" t="e">
        <f t="shared" ca="1" si="10271"/>
        <v>#REF!</v>
      </c>
      <c r="BL596" s="686" t="str">
        <f ca="1">IFERROR(VLOOKUP(BK596,INDIRECT(AQ595),2,FALSE),"----")</f>
        <v>----</v>
      </c>
      <c r="BM596" s="702" t="e">
        <f t="shared" ca="1" si="10272"/>
        <v>#REF!</v>
      </c>
      <c r="BN596" s="686" t="str">
        <f ca="1">IFERROR(VLOOKUP(BM596,INDIRECT(AQ596),2,FALSE),"----")</f>
        <v>----</v>
      </c>
      <c r="BO596" s="702" t="e">
        <f t="shared" ca="1" si="10273"/>
        <v>#REF!</v>
      </c>
      <c r="BP596" s="686" t="str">
        <f ca="1">IFERROR(VLOOKUP(BO596,INDIRECT(AQ597),2,FALSE),"----")</f>
        <v>----</v>
      </c>
      <c r="BQ596" s="702" t="e">
        <f t="shared" ca="1" si="10274"/>
        <v>#REF!</v>
      </c>
      <c r="BR596" s="686" t="str">
        <f ca="1">IFERROR(VLOOKUP(BQ596,INDIRECT(AQ598),2,FALSE),"----")</f>
        <v>----</v>
      </c>
      <c r="BS596" s="695">
        <f>IF(AI596="",1,IF(COUNTIF(BN587:BN598,AI596)=0,2,1))</f>
        <v>1</v>
      </c>
      <c r="BT596" s="696">
        <f>IF(AF596="",1,IF(BN587=".",2,1))</f>
        <v>1</v>
      </c>
      <c r="BU596" s="706"/>
      <c r="BV596" s="155">
        <f ca="1">IF(COUNTIF(DX587:DX598,AF596)=0,IF(AF596&lt;&gt;"",0,1),1)</f>
        <v>1</v>
      </c>
      <c r="BW596" s="157">
        <f ca="1">IFERROR(MATCH(AF596,DX587:DX598,0),1)</f>
        <v>1</v>
      </c>
      <c r="BX596" s="769" t="e">
        <f t="shared" ref="BX596" si="10985">5*E587^3*W593/(384*X587)</f>
        <v>#VALUE!</v>
      </c>
      <c r="BY596" s="769" t="e">
        <f t="shared" ref="BY596" si="10986">E587^3*W593/(60*X587)</f>
        <v>#VALUE!</v>
      </c>
      <c r="BZ596" s="1110"/>
      <c r="CA596" s="691" t="e">
        <f t="shared" ca="1" si="10838"/>
        <v>#REF!</v>
      </c>
      <c r="CB596" s="4" t="e" cm="1">
        <f t="array" aca="1" ref="CB596" ca="1">IF(AND(INDEX(INDIRECT(BY587),CA596,4)&gt;=$AB587,INDEX(INDIRECT(BY587),CA596,5)&gt;=$S587,INDEX(INDIRECT(BY587),CA596,6)&gt;=$R587),1,0)</f>
        <v>#REF!</v>
      </c>
      <c r="CC596" s="4" t="e">
        <f t="shared" ref="CC596" ca="1" si="10987">MATCH(1,OFFSET(CB587:CB598,CD595,0,COUNT(CB587:CB598)-CD595),0)</f>
        <v>#REF!</v>
      </c>
      <c r="CD596" s="4" t="e">
        <f t="shared" ca="1" si="10840"/>
        <v>#REF!</v>
      </c>
      <c r="CE596" s="692" t="str" cm="1">
        <f t="array" aca="1" ref="CE596" ca="1">IFERROR(VLOOKUP(INDEX(CA587:CA598,CD596),INDIRECT(BY587),2,FALSE),"----")</f>
        <v>----</v>
      </c>
      <c r="CF596" s="691" t="e">
        <f t="shared" ca="1" si="10841"/>
        <v>#N/A</v>
      </c>
      <c r="CG596" s="4" t="e">
        <f ca="1">IF(AND(INDEX(SSM,CF596,4)&gt;=$AB587,INDEX(SSM,CF596,5)&gt;=$S587,INDEX(SSM,CF596,6)&gt;=$R587),1,0)</f>
        <v>#N/A</v>
      </c>
      <c r="CH596" s="4" t="e">
        <f t="shared" ref="CH596" ca="1" si="10988">MATCH(1,OFFSET(CG587:CG598,CI595,0,COUNT(CG587:CG598)-CI595),0)</f>
        <v>#REF!</v>
      </c>
      <c r="CI596" s="4" t="e">
        <f t="shared" ca="1" si="10843"/>
        <v>#REF!</v>
      </c>
      <c r="CJ596" s="692" t="str">
        <f ca="1">IFERROR(IF(AD588="Nested Steel Stud (wood infill)",VLOOKUP(INDEX(CF587:CF598,CI596),SSW,2,FALSE),VLOOKUP(INDEX(CF587:CF598,CI596),SSM,2,FALSE)),"----")</f>
        <v>----</v>
      </c>
      <c r="CK596" s="691" t="e">
        <f t="shared" ca="1" si="10844"/>
        <v>#N/A</v>
      </c>
      <c r="CL596" s="4" t="e">
        <f ca="1">IF(AND(INDEX(WSM,CK596,4)&gt;=$AB587,INDEX(WSM,CK596,5)&gt;=$S587,INDEX(WSM,CK596,6)&gt;=$R587),1,0)</f>
        <v>#N/A</v>
      </c>
      <c r="CM596" s="4" t="e">
        <f t="shared" ref="CM596" ca="1" si="10989">MATCH(1,OFFSET(CL587:CL598,CN595,0,COUNT(CL587:CL598)-CN595),0)</f>
        <v>#REF!</v>
      </c>
      <c r="CN596" s="4" t="e">
        <f t="shared" ca="1" si="10846"/>
        <v>#REF!</v>
      </c>
      <c r="CO596" s="692" t="str">
        <f ca="1">IFERROR(VLOOKUP(INDEX(CK587:CK598,CN596),WSM,2,FALSE),"----")</f>
        <v>----</v>
      </c>
      <c r="CP596" s="691" t="e">
        <f t="shared" ca="1" si="10847"/>
        <v>#N/A</v>
      </c>
      <c r="CQ596" s="4" t="e">
        <f ca="1">IF(AND(INDEX(STM,CP596,4)&gt;=$AB587,INDEX(STM,CP596,5)&gt;=$S587,INDEX(STM,CP596,6)&gt;=$R587),1,0)</f>
        <v>#N/A</v>
      </c>
      <c r="CR596" s="4" t="e">
        <f t="shared" ref="CR596" ca="1" si="10990">MATCH(1,OFFSET(CQ587:CQ598,CS595,0,COUNT(CQ587:CQ598)-CS595),0)</f>
        <v>#REF!</v>
      </c>
      <c r="CS596" s="4" t="e">
        <f t="shared" ca="1" si="10849"/>
        <v>#REF!</v>
      </c>
      <c r="CT596" s="692" t="str">
        <f ca="1">IFERROR(VLOOKUP(INDEX(CP587:CP598,CS596),STM,2,FALSE),"----")</f>
        <v>----</v>
      </c>
      <c r="CU596" s="691" t="e">
        <f t="shared" ca="1" si="10850"/>
        <v>#N/A</v>
      </c>
      <c r="CV596" s="4" t="e">
        <f ca="1">IF(AND(INDEX(ELM,CU596,4)&gt;=$AB587,INDEX(ELM,CU596,5)&gt;=$S587,INDEX(ELM,CU596,6)&gt;=$R587),1,0)</f>
        <v>#N/A</v>
      </c>
      <c r="CW596" s="4" t="e">
        <f t="shared" ref="CW596" ca="1" si="10991">MATCH(1,OFFSET(CV587:CV598,CX595,0,COUNT(CV587:CV598)-CX595),0)</f>
        <v>#REF!</v>
      </c>
      <c r="CX596" s="4" t="e">
        <f t="shared" ca="1" si="10852"/>
        <v>#REF!</v>
      </c>
      <c r="CY596" s="692" t="str">
        <f ca="1">IFERROR(VLOOKUP(INDEX(CU587:CU598,CX596),ELM,2,FALSE),"----")</f>
        <v>----</v>
      </c>
      <c r="CZ596" s="691" t="e">
        <f t="shared" ca="1" si="10853"/>
        <v>#N/A</v>
      </c>
      <c r="DA596" s="4" t="e">
        <f ca="1">IF(LEFT($J587,7)="Clad Wo",IF(AND(INDEX(SPPWS,CZ596,4)&gt;=$AB587,INDEX(SPPWS,CZ596,5)&gt;=$S587,INDEX(SPPWS,CZ596,6)&gt;=$R587),1,0),IF(AND(INDEX(SPM,CZ596,4)&gt;=$AB587,INDEX(SPM,CZ596,5)&gt;=$S587,INDEX(SPM,CZ596,6)&gt;=$R587),1,0))</f>
        <v>#N/A</v>
      </c>
      <c r="DB596" s="4" t="e">
        <f t="shared" ref="DB596" ca="1" si="10992">MATCH(1,OFFSET(DA587:DA598,DC595,0,COUNT(DA587:DA598)-DC595),0)</f>
        <v>#REF!</v>
      </c>
      <c r="DC596" s="4" t="e">
        <f t="shared" ca="1" si="10855"/>
        <v>#REF!</v>
      </c>
      <c r="DD596" s="693" t="str">
        <f ca="1">IF(LEFT($J587,7)="Clad Wo",IFERROR(VLOOKUP(INDEX(CZ587:CZ598,DC596),SPPWS,2,FALSE),"----"),IFERROR(VLOOKUP(INDEX(CZ587:CZ598,DC596),SPM,2,FALSE),"----"))</f>
        <v>----</v>
      </c>
      <c r="DE596" s="691" t="e">
        <f t="shared" ca="1" si="10856"/>
        <v>#REF!</v>
      </c>
      <c r="DF596" s="4" t="e" cm="1">
        <f t="array" aca="1" ref="DF596" ca="1">IF(AND(INDEX(INDIRECT(BY587),DE596,4)&gt;=$AB593,INDEX(INDIRECT(BY587),DE596,5)&gt;=$S587,INDEX(INDIRECT(BY587),DE596,6)&gt;=$R587),1,0)</f>
        <v>#REF!</v>
      </c>
      <c r="DG596" s="4" t="e">
        <f t="shared" ref="DG596" ca="1" si="10993">MATCH(1,OFFSET(DF587:DF598,DH595,0,COUNT(DF587:DF598)-DH595),0)</f>
        <v>#REF!</v>
      </c>
      <c r="DH596" s="4" t="e">
        <f t="shared" ca="1" si="10858"/>
        <v>#REF!</v>
      </c>
      <c r="DI596" s="692" t="str" cm="1">
        <f t="array" aca="1" ref="DI596" ca="1">IFERROR(VLOOKUP(INDEX(DE587:DE598,DH596),INDIRECT(BY587),2,FALSE),"----")</f>
        <v>----</v>
      </c>
      <c r="DJ596" s="691" t="e">
        <f t="shared" ca="1" si="10859"/>
        <v>#N/A</v>
      </c>
      <c r="DK596" s="4" t="e">
        <f ca="1">IF(AND(INDEX(SSM,DJ596,4)&gt;=$AB593,INDEX(SSM,DJ596,5)&gt;=$S587,INDEX(SSM,DJ596,6)&gt;=$R587),1,0)</f>
        <v>#N/A</v>
      </c>
      <c r="DL596" s="4" t="e">
        <f t="shared" ref="DL596" ca="1" si="10994">MATCH(1,OFFSET(DK587:DK598,DM595,0,COUNT(DK587:DK598)-DM595),0)</f>
        <v>#REF!</v>
      </c>
      <c r="DM596" s="4" t="e">
        <f t="shared" ca="1" si="10861"/>
        <v>#REF!</v>
      </c>
      <c r="DN596" s="692" t="str">
        <f ca="1">IFERROR(IF(AD594="Nested Steel Stud (wood infill)",VLOOKUP(INDEX(DJ587:DJ598,DM596),SSW,2,FALSE),VLOOKUP(INDEX(DJ587:DJ598,DM596),SSM,2,FALSE)),"----")</f>
        <v>----</v>
      </c>
      <c r="DO596" s="691" t="e">
        <f t="shared" ca="1" si="10862"/>
        <v>#N/A</v>
      </c>
      <c r="DP596" s="4" t="e">
        <f ca="1">IF(AND(INDEX(WSM,DO596,4)&gt;=$AB593,INDEX(WSM,DO596,5)&gt;=$S587,INDEX(WSM,DO596,6)&gt;=$R587),1,0)</f>
        <v>#N/A</v>
      </c>
      <c r="DQ596" s="4" t="e">
        <f t="shared" ref="DQ596" ca="1" si="10995">MATCH(1,OFFSET(DP587:DP598,DR595,0,COUNT(DP587:DP598)-DR595),0)</f>
        <v>#REF!</v>
      </c>
      <c r="DR596" s="4" t="e">
        <f t="shared" ca="1" si="10864"/>
        <v>#REF!</v>
      </c>
      <c r="DS596" s="692" t="str">
        <f ca="1">IFERROR(VLOOKUP(INDEX(DO587:DO598,DR596),WSM,2,FALSE),"----")</f>
        <v>----</v>
      </c>
      <c r="DT596" s="691" t="e">
        <f t="shared" ca="1" si="10865"/>
        <v>#N/A</v>
      </c>
      <c r="DU596" s="4" t="e">
        <f ca="1">IF(AND(INDEX(STM,DT596,4)&gt;=$AB593,INDEX(STM,DT596,5)&gt;=$S587,INDEX(STM,DT596,6)&gt;=$R587),1,0)</f>
        <v>#N/A</v>
      </c>
      <c r="DV596" s="4" t="e">
        <f t="shared" ref="DV596" ca="1" si="10996">MATCH(1,OFFSET(DU587:DU598,DW595,0,COUNT(DU587:DU598)-DW595),0)</f>
        <v>#REF!</v>
      </c>
      <c r="DW596" s="4" t="e">
        <f t="shared" ca="1" si="10867"/>
        <v>#REF!</v>
      </c>
      <c r="DX596" s="692" t="str">
        <f ca="1">IFERROR(VLOOKUP(INDEX(DT587:DT598,DW596),STM,2,FALSE),"----")</f>
        <v>----</v>
      </c>
      <c r="DY596" s="691" t="e">
        <f t="shared" ca="1" si="10868"/>
        <v>#N/A</v>
      </c>
      <c r="DZ596" s="4" t="e">
        <f ca="1">IF(AND(INDEX(ELM,DY596,4)&gt;=$AB593,INDEX(ELM,DY596,5)&gt;=$S587,INDEX(ELM,DY596,6)&gt;=$R587),1,0)</f>
        <v>#N/A</v>
      </c>
      <c r="EA596" s="4" t="e">
        <f t="shared" ref="EA596" ca="1" si="10997">MATCH(1,OFFSET(DZ587:DZ598,EB595,0,COUNT(DZ587:DZ598)-EB595),0)</f>
        <v>#REF!</v>
      </c>
      <c r="EB596" s="4" t="e">
        <f t="shared" ca="1" si="10870"/>
        <v>#REF!</v>
      </c>
      <c r="EC596" s="692" t="str">
        <f ca="1">IFERROR(VLOOKUP(INDEX(DY587:DY598,EB596),ELM,2,FALSE),"----")</f>
        <v>----</v>
      </c>
      <c r="ED596" s="691" t="e">
        <f t="shared" ca="1" si="10871"/>
        <v>#N/A</v>
      </c>
      <c r="EE596" s="4" t="e">
        <f ca="1">IF(LEFT($J587,7)="Clad Wo",IF(AND(INDEX(SPPWS,ED596,4)&gt;=$AB593,INDEX(SPPWS,ED596,5)&gt;=$S587,INDEX(SPPWS,ED596,6)&gt;=$R587),1,0),IF(AND(INDEX(SPM,ED596,4)&gt;=$AB593,INDEX(SPM,ED596,5)&gt;=$S587,INDEX(SPM,ED596,6)&gt;=$R587),1,0))</f>
        <v>#N/A</v>
      </c>
      <c r="EF596" s="4" t="e">
        <f t="shared" ref="EF596" ca="1" si="10998">MATCH(1,OFFSET(EE587:EE598,EG595,0,COUNT(EE587:EE598)-EG595),0)</f>
        <v>#REF!</v>
      </c>
      <c r="EG596" s="4" t="e">
        <f t="shared" ca="1" si="10873"/>
        <v>#REF!</v>
      </c>
      <c r="EH596" s="692" t="str">
        <f ca="1">IF(LEFT($J587,7)="Clad Wo",IFERROR(VLOOKUP(INDEX(ED587:ED598,EG596),SPPWS,2,FALSE),"----"),IFERROR(VLOOKUP(INDEX(ED587:ED598,EG596),SPM,2,FALSE),"----"))</f>
        <v>----</v>
      </c>
    </row>
    <row r="597" spans="1:138" ht="15" customHeight="1" x14ac:dyDescent="0.25">
      <c r="A597" s="1085"/>
      <c r="B597" s="925"/>
      <c r="C597" s="926"/>
      <c r="D597" s="927"/>
      <c r="E597" s="995"/>
      <c r="F597" s="996"/>
      <c r="G597" s="997"/>
      <c r="H597" s="1062"/>
      <c r="I597" s="990"/>
      <c r="J597" s="902"/>
      <c r="K597" s="903"/>
      <c r="L597" s="1002"/>
      <c r="M597" s="923"/>
      <c r="N597" s="1042"/>
      <c r="O597" s="1018"/>
      <c r="P597" s="987"/>
      <c r="Q597" s="1015"/>
      <c r="R597" s="1012"/>
      <c r="S597" s="1006"/>
      <c r="T597" s="1007"/>
      <c r="U597" s="878"/>
      <c r="V597" s="881"/>
      <c r="W597" s="884"/>
      <c r="X597" s="884"/>
      <c r="Y597" s="887"/>
      <c r="Z597" s="887"/>
      <c r="AA597" s="887"/>
      <c r="AB597" s="1081"/>
      <c r="AC597" s="1078"/>
      <c r="AD597" s="1070" t="str">
        <f t="shared" si="10247"/>
        <v>Engineered Lumber</v>
      </c>
      <c r="AE597" s="1071"/>
      <c r="AF597" s="1052"/>
      <c r="AG597" s="1053"/>
      <c r="AH597" s="1053"/>
      <c r="AI597" s="1068"/>
      <c r="AJ597" s="1069"/>
      <c r="AK597" s="154" t="str">
        <f t="shared" ca="1" si="10024"/>
        <v/>
      </c>
      <c r="AL597" s="1059"/>
      <c r="AM597" s="344" t="str">
        <f ca="1">IFERROR(Q587/12*ROUND(VLOOKUP(AF597,OFFSET(ELM,0,1),6,FALSE),2),"")</f>
        <v/>
      </c>
      <c r="AN597" t="str">
        <f t="shared" ca="1" si="10040"/>
        <v/>
      </c>
      <c r="AP597" s="122" t="str">
        <f t="shared" ref="AP597" si="10999">_xlfn.CONCAT(AR597,AS598)</f>
        <v/>
      </c>
      <c r="AQ597" s="683" t="str">
        <f t="shared" si="10249"/>
        <v/>
      </c>
      <c r="AR597" s="4" t="str">
        <f t="shared" si="10009"/>
        <v/>
      </c>
      <c r="AS597" s="4"/>
      <c r="AT597" s="697" t="str">
        <f>AL593</f>
        <v/>
      </c>
      <c r="AU597" s="694" t="e">
        <f t="shared" ca="1" si="10265"/>
        <v>#REF!</v>
      </c>
      <c r="AV597" s="698" t="str">
        <f ca="1">IFERROR(VLOOKUP(AU597,INDIRECT(AQ587),2,FALSE),"----")</f>
        <v>----</v>
      </c>
      <c r="AW597" s="694" t="e">
        <f t="shared" ca="1" si="10266"/>
        <v>#REF!</v>
      </c>
      <c r="AX597" s="698" t="str">
        <f ca="1">IFERROR(VLOOKUP(AW597,INDIRECT(AQ588),2,FALSE),"----")</f>
        <v>----</v>
      </c>
      <c r="AY597" s="694" t="e">
        <f t="shared" ca="1" si="10511"/>
        <v>#REF!</v>
      </c>
      <c r="AZ597" s="698" t="str">
        <f ca="1">IFERROR(VLOOKUP(AY597,INDIRECT(AQ589),2,FALSE),"----")</f>
        <v>----</v>
      </c>
      <c r="BA597" s="694" t="e">
        <f t="shared" ca="1" si="10512"/>
        <v>#REF!</v>
      </c>
      <c r="BB597" s="698" t="str">
        <f ca="1">IFERROR(VLOOKUP(BA597,INDIRECT(AQ590),2,FALSE),"----")</f>
        <v>----</v>
      </c>
      <c r="BC597" s="694" t="e">
        <f t="shared" ca="1" si="10267"/>
        <v>#REF!</v>
      </c>
      <c r="BD597" s="698" t="str">
        <f ca="1">IFERROR(VLOOKUP(BC597,INDIRECT(AQ591),2,FALSE),"----")</f>
        <v>----</v>
      </c>
      <c r="BE597" s="694" t="e">
        <f t="shared" ca="1" si="10268"/>
        <v>#REF!</v>
      </c>
      <c r="BF597" s="698" t="str">
        <f ca="1">IFERROR(VLOOKUP(BE597,INDIRECT(AQ592),2,FALSE),"----")</f>
        <v>----</v>
      </c>
      <c r="BG597" s="702" t="e">
        <f t="shared" ca="1" si="10269"/>
        <v>#REF!</v>
      </c>
      <c r="BH597" s="686" t="str">
        <f ca="1">IFERROR(VLOOKUP(BG597,INDIRECT(AQ593),2,FALSE),"----")</f>
        <v>----</v>
      </c>
      <c r="BI597" s="702" t="e">
        <f t="shared" ca="1" si="10270"/>
        <v>#REF!</v>
      </c>
      <c r="BJ597" s="686" t="str">
        <f ca="1">IFERROR(VLOOKUP(BI597,INDIRECT(AQ594),2,FALSE),"----")</f>
        <v>----</v>
      </c>
      <c r="BK597" s="702" t="e">
        <f t="shared" ca="1" si="10271"/>
        <v>#REF!</v>
      </c>
      <c r="BL597" s="686" t="str">
        <f ca="1">IFERROR(VLOOKUP(BK597,INDIRECT(AQ595),2,FALSE),"----")</f>
        <v>----</v>
      </c>
      <c r="BM597" s="702" t="e">
        <f t="shared" ca="1" si="10272"/>
        <v>#REF!</v>
      </c>
      <c r="BN597" s="686" t="str">
        <f ca="1">IFERROR(VLOOKUP(BM597,INDIRECT(AQ596),2,FALSE),"----")</f>
        <v>----</v>
      </c>
      <c r="BO597" s="702" t="e">
        <f t="shared" ca="1" si="10273"/>
        <v>#REF!</v>
      </c>
      <c r="BP597" s="686" t="str">
        <f ca="1">IFERROR(VLOOKUP(BO597,INDIRECT(AQ597),2,FALSE),"----")</f>
        <v>----</v>
      </c>
      <c r="BQ597" s="702" t="e">
        <f t="shared" ca="1" si="10274"/>
        <v>#REF!</v>
      </c>
      <c r="BR597" s="686" t="str">
        <f ca="1">IFERROR(VLOOKUP(BQ597,INDIRECT(AQ598),2,FALSE),"----")</f>
        <v>----</v>
      </c>
      <c r="BS597" s="695">
        <f>IF(AI597="",1,IF(COUNTIF(BP587:BP598,AI597)=0,2,1))</f>
        <v>1</v>
      </c>
      <c r="BT597" s="696">
        <f>IF(AF597="",1,IF(BP587=".",2,1))</f>
        <v>1</v>
      </c>
      <c r="BU597" s="706"/>
      <c r="BV597" s="155">
        <f ca="1">IF(COUNTIF(EC587:EC598,AF597)=0,IF(AF597&lt;&gt;"",0,1),1)</f>
        <v>1</v>
      </c>
      <c r="BW597" s="157">
        <f ca="1">IFERROR(MATCH(AF597,EC587:EC598,0),1)</f>
        <v>1</v>
      </c>
      <c r="BX597" s="769"/>
      <c r="BY597" s="769"/>
      <c r="BZ597" s="1110"/>
      <c r="CA597" s="691" t="e">
        <f t="shared" ca="1" si="10838"/>
        <v>#REF!</v>
      </c>
      <c r="CB597" s="4" t="e" cm="1">
        <f t="array" aca="1" ref="CB597" ca="1">IF(AND(INDEX(INDIRECT(BY587),CA597,4)&gt;=$AB587,INDEX(INDIRECT(BY587),CA597,5)&gt;=$S587,INDEX(INDIRECT(BY587),CA597,6)&gt;=$R587),1,0)</f>
        <v>#REF!</v>
      </c>
      <c r="CC597" s="4" t="e">
        <f t="shared" ref="CC597" ca="1" si="11000">MATCH(1,OFFSET(CB587:CB598,CD596,0,COUNT(CB587:CB598)-CD596),0)</f>
        <v>#REF!</v>
      </c>
      <c r="CD597" s="4" t="e">
        <f t="shared" ca="1" si="10840"/>
        <v>#REF!</v>
      </c>
      <c r="CE597" s="692" t="str" cm="1">
        <f t="array" aca="1" ref="CE597" ca="1">IFERROR(VLOOKUP(INDEX(CA587:CA598,CD597),INDIRECT(BY587),2,FALSE),"----")</f>
        <v>----</v>
      </c>
      <c r="CF597" s="691" t="e">
        <f t="shared" ca="1" si="10841"/>
        <v>#N/A</v>
      </c>
      <c r="CG597" s="4" t="e">
        <f ca="1">IF(AND(INDEX(SSM,CF597,4)&gt;=$AB587,INDEX(SSM,CF597,5)&gt;=$S587,INDEX(SSM,CF597,6)&gt;=$R587),1,0)</f>
        <v>#N/A</v>
      </c>
      <c r="CH597" s="4" t="e">
        <f t="shared" ref="CH597" ca="1" si="11001">MATCH(1,OFFSET(CG587:CG598,CI596,0,COUNT(CG587:CG598)-CI596),0)</f>
        <v>#REF!</v>
      </c>
      <c r="CI597" s="4" t="e">
        <f t="shared" ca="1" si="10843"/>
        <v>#REF!</v>
      </c>
      <c r="CJ597" s="692" t="str">
        <f ca="1">IFERROR(IF(AD588="Nested Steel Stud (wood infill)",VLOOKUP(INDEX(CF587:CF598,CI597),SSW,2,FALSE),VLOOKUP(INDEX(CF587:CF598,CI597),SSM,2,FALSE)),"----")</f>
        <v>----</v>
      </c>
      <c r="CK597" s="691" t="e">
        <f t="shared" ca="1" si="10844"/>
        <v>#N/A</v>
      </c>
      <c r="CL597" s="4" t="e">
        <f ca="1">IF(AND(INDEX(WSM,CK597,4)&gt;=$AB587,INDEX(WSM,CK597,5)&gt;=$S587,INDEX(WSM,CK597,6)&gt;=$R587),1,0)</f>
        <v>#N/A</v>
      </c>
      <c r="CM597" s="4" t="e">
        <f t="shared" ref="CM597" ca="1" si="11002">MATCH(1,OFFSET(CL587:CL598,CN596,0,COUNT(CL587:CL598)-CN596),0)</f>
        <v>#REF!</v>
      </c>
      <c r="CN597" s="4" t="e">
        <f t="shared" ca="1" si="10846"/>
        <v>#REF!</v>
      </c>
      <c r="CO597" s="692" t="str">
        <f ca="1">IFERROR(VLOOKUP(INDEX(CK587:CK598,CN597),WSM,2,FALSE),"----")</f>
        <v>----</v>
      </c>
      <c r="CP597" s="691" t="e">
        <f t="shared" ca="1" si="10847"/>
        <v>#N/A</v>
      </c>
      <c r="CQ597" s="4" t="e">
        <f ca="1">IF(AND(INDEX(STM,CP597,4)&gt;=$AB587,INDEX(STM,CP597,5)&gt;=$S587,INDEX(STM,CP597,6)&gt;=$R587),1,0)</f>
        <v>#N/A</v>
      </c>
      <c r="CR597" s="4" t="e">
        <f t="shared" ref="CR597" ca="1" si="11003">MATCH(1,OFFSET(CQ587:CQ598,CS596,0,COUNT(CQ587:CQ598)-CS596),0)</f>
        <v>#REF!</v>
      </c>
      <c r="CS597" s="4" t="e">
        <f t="shared" ca="1" si="10849"/>
        <v>#REF!</v>
      </c>
      <c r="CT597" s="692" t="str">
        <f ca="1">IFERROR(VLOOKUP(INDEX(CP587:CP598,CS597),STM,2,FALSE),"----")</f>
        <v>----</v>
      </c>
      <c r="CU597" s="691" t="e">
        <f t="shared" ca="1" si="10850"/>
        <v>#N/A</v>
      </c>
      <c r="CV597" s="4" t="e">
        <f ca="1">IF(AND(INDEX(ELM,CU597,4)&gt;=$AB587,INDEX(ELM,CU597,5)&gt;=$S587,INDEX(ELM,CU597,6)&gt;=$R587),1,0)</f>
        <v>#N/A</v>
      </c>
      <c r="CW597" s="4" t="e">
        <f t="shared" ref="CW597" ca="1" si="11004">MATCH(1,OFFSET(CV587:CV598,CX596,0,COUNT(CV587:CV598)-CX596),0)</f>
        <v>#REF!</v>
      </c>
      <c r="CX597" s="4" t="e">
        <f t="shared" ca="1" si="10852"/>
        <v>#REF!</v>
      </c>
      <c r="CY597" s="692" t="str">
        <f ca="1">IFERROR(VLOOKUP(INDEX(CU587:CU598,CX597),ELM,2,FALSE),"----")</f>
        <v>----</v>
      </c>
      <c r="CZ597" s="691" t="e">
        <f t="shared" ca="1" si="10853"/>
        <v>#N/A</v>
      </c>
      <c r="DA597" s="4" t="e">
        <f ca="1">IF(LEFT($J587,7)="Clad Wo",IF(AND(INDEX(SPPWS,CZ597,4)&gt;=$AB587,INDEX(SPPWS,CZ597,5)&gt;=$S587,INDEX(SPPWS,CZ597,6)&gt;=$R587),1,0),IF(AND(INDEX(SPM,CZ597,4)&gt;=$AB587,INDEX(SPM,CZ597,5)&gt;=$S587,INDEX(SPM,CZ597,6)&gt;=$R587),1,0))</f>
        <v>#N/A</v>
      </c>
      <c r="DB597" s="4" t="e">
        <f t="shared" ref="DB597" ca="1" si="11005">MATCH(1,OFFSET(DA587:DA598,DC596,0,COUNT(DA587:DA598)-DC596),0)</f>
        <v>#REF!</v>
      </c>
      <c r="DC597" s="4" t="e">
        <f t="shared" ca="1" si="10855"/>
        <v>#REF!</v>
      </c>
      <c r="DD597" s="693" t="str">
        <f ca="1">IF(LEFT($J587,7)="Clad Wo",IFERROR(VLOOKUP(INDEX(CZ587:CZ598,DC597),SPPWS,2,FALSE),"----"),IFERROR(VLOOKUP(INDEX(CZ587:CZ598,DC597),SPM,2,FALSE),"----"))</f>
        <v>----</v>
      </c>
      <c r="DE597" s="691" t="e">
        <f t="shared" ca="1" si="10856"/>
        <v>#REF!</v>
      </c>
      <c r="DF597" s="4" t="e" cm="1">
        <f t="array" aca="1" ref="DF597" ca="1">IF(AND(INDEX(INDIRECT(BY587),DE597,4)&gt;=$AB593,INDEX(INDIRECT(BY587),DE597,5)&gt;=$S587,INDEX(INDIRECT(BY587),DE597,6)&gt;=$R587),1,0)</f>
        <v>#REF!</v>
      </c>
      <c r="DG597" s="4" t="e">
        <f t="shared" ref="DG597" ca="1" si="11006">MATCH(1,OFFSET(DF587:DF598,DH596,0,COUNT(DF587:DF598)-DH596),0)</f>
        <v>#REF!</v>
      </c>
      <c r="DH597" s="4" t="e">
        <f t="shared" ca="1" si="10858"/>
        <v>#REF!</v>
      </c>
      <c r="DI597" s="692" t="str" cm="1">
        <f t="array" aca="1" ref="DI597" ca="1">IFERROR(VLOOKUP(INDEX(DE587:DE598,DH597),INDIRECT(BY587),2,FALSE),"----")</f>
        <v>----</v>
      </c>
      <c r="DJ597" s="691" t="e">
        <f t="shared" ca="1" si="10859"/>
        <v>#N/A</v>
      </c>
      <c r="DK597" s="4" t="e">
        <f ca="1">IF(AND(INDEX(SSM,DJ597,4)&gt;=$AB593,INDEX(SSM,DJ597,5)&gt;=$S587,INDEX(SSM,DJ597,6)&gt;=$R587),1,0)</f>
        <v>#N/A</v>
      </c>
      <c r="DL597" s="4" t="e">
        <f t="shared" ref="DL597" ca="1" si="11007">MATCH(1,OFFSET(DK587:DK598,DM596,0,COUNT(DK587:DK598)-DM596),0)</f>
        <v>#REF!</v>
      </c>
      <c r="DM597" s="4" t="e">
        <f t="shared" ca="1" si="10861"/>
        <v>#REF!</v>
      </c>
      <c r="DN597" s="692" t="str">
        <f ca="1">IFERROR(IF(AD594="Nested Steel Stud (wood infill)",VLOOKUP(INDEX(DJ587:DJ598,DM597),SSW,2,FALSE),VLOOKUP(INDEX(DJ587:DJ598,DM597),SSM,2,FALSE)),"----")</f>
        <v>----</v>
      </c>
      <c r="DO597" s="691" t="e">
        <f t="shared" ca="1" si="10862"/>
        <v>#N/A</v>
      </c>
      <c r="DP597" s="4" t="e">
        <f ca="1">IF(AND(INDEX(WSM,DO597,4)&gt;=$AB593,INDEX(WSM,DO597,5)&gt;=$S587,INDEX(WSM,DO597,6)&gt;=$R587),1,0)</f>
        <v>#N/A</v>
      </c>
      <c r="DQ597" s="4" t="e">
        <f t="shared" ref="DQ597" ca="1" si="11008">MATCH(1,OFFSET(DP587:DP598,DR596,0,COUNT(DP587:DP598)-DR596),0)</f>
        <v>#REF!</v>
      </c>
      <c r="DR597" s="4" t="e">
        <f t="shared" ca="1" si="10864"/>
        <v>#REF!</v>
      </c>
      <c r="DS597" s="692" t="str">
        <f ca="1">IFERROR(VLOOKUP(INDEX(DO587:DO598,DR597),WSM,2,FALSE),"----")</f>
        <v>----</v>
      </c>
      <c r="DT597" s="691" t="e">
        <f t="shared" ca="1" si="10865"/>
        <v>#N/A</v>
      </c>
      <c r="DU597" s="4" t="e">
        <f ca="1">IF(AND(INDEX(STM,DT597,4)&gt;=$AB593,INDEX(STM,DT597,5)&gt;=$S587,INDEX(STM,DT597,6)&gt;=$R587),1,0)</f>
        <v>#N/A</v>
      </c>
      <c r="DV597" s="4" t="e">
        <f t="shared" ref="DV597" ca="1" si="11009">MATCH(1,OFFSET(DU587:DU598,DW596,0,COUNT(DU587:DU598)-DW596),0)</f>
        <v>#REF!</v>
      </c>
      <c r="DW597" s="4" t="e">
        <f t="shared" ca="1" si="10867"/>
        <v>#REF!</v>
      </c>
      <c r="DX597" s="692" t="str">
        <f ca="1">IFERROR(VLOOKUP(INDEX(DT587:DT598,DW597),STM,2,FALSE),"----")</f>
        <v>----</v>
      </c>
      <c r="DY597" s="691" t="e">
        <f t="shared" ca="1" si="10868"/>
        <v>#N/A</v>
      </c>
      <c r="DZ597" s="4" t="e">
        <f ca="1">IF(AND(INDEX(ELM,DY597,4)&gt;=$AB593,INDEX(ELM,DY597,5)&gt;=$S587,INDEX(ELM,DY597,6)&gt;=$R587),1,0)</f>
        <v>#N/A</v>
      </c>
      <c r="EA597" s="4" t="e">
        <f t="shared" ref="EA597" ca="1" si="11010">MATCH(1,OFFSET(DZ587:DZ598,EB596,0,COUNT(DZ587:DZ598)-EB596),0)</f>
        <v>#REF!</v>
      </c>
      <c r="EB597" s="4" t="e">
        <f t="shared" ca="1" si="10870"/>
        <v>#REF!</v>
      </c>
      <c r="EC597" s="692" t="str">
        <f ca="1">IFERROR(VLOOKUP(INDEX(DY587:DY598,EB597),ELM,2,FALSE),"----")</f>
        <v>----</v>
      </c>
      <c r="ED597" s="691" t="e">
        <f t="shared" ca="1" si="10871"/>
        <v>#N/A</v>
      </c>
      <c r="EE597" s="4" t="e">
        <f ca="1">IF(LEFT($J587,7)="Clad Wo",IF(AND(INDEX(SPPWS,ED597,4)&gt;=$AB593,INDEX(SPPWS,ED597,5)&gt;=$S587,INDEX(SPPWS,ED597,6)&gt;=$R587),1,0),IF(AND(INDEX(SPM,ED597,4)&gt;=$AB593,INDEX(SPM,ED597,5)&gt;=$S587,INDEX(SPM,ED597,6)&gt;=$R587),1,0))</f>
        <v>#N/A</v>
      </c>
      <c r="EF597" s="4" t="e">
        <f t="shared" ref="EF597" ca="1" si="11011">MATCH(1,OFFSET(EE587:EE598,EG596,0,COUNT(EE587:EE598)-EG596),0)</f>
        <v>#REF!</v>
      </c>
      <c r="EG597" s="4" t="e">
        <f t="shared" ca="1" si="10873"/>
        <v>#REF!</v>
      </c>
      <c r="EH597" s="692" t="str">
        <f ca="1">IF(LEFT($J587,7)="Clad Wo",IFERROR(VLOOKUP(INDEX(ED587:ED598,EG597),SPPWS,2,FALSE),"----"),IFERROR(VLOOKUP(INDEX(ED587:ED598,EG597),SPM,2,FALSE),"----"))</f>
        <v>----</v>
      </c>
    </row>
    <row r="598" spans="1:138" ht="15" customHeight="1" thickBot="1" x14ac:dyDescent="0.3">
      <c r="A598" s="1085"/>
      <c r="B598" s="928"/>
      <c r="C598" s="929"/>
      <c r="D598" s="930"/>
      <c r="E598" s="998"/>
      <c r="F598" s="999"/>
      <c r="G598" s="1000"/>
      <c r="H598" s="1063"/>
      <c r="I598" s="991"/>
      <c r="J598" s="904"/>
      <c r="K598" s="905"/>
      <c r="L598" s="1003"/>
      <c r="M598" s="1065"/>
      <c r="N598" s="1043"/>
      <c r="O598" s="1019"/>
      <c r="P598" s="988"/>
      <c r="Q598" s="1016"/>
      <c r="R598" s="1013"/>
      <c r="S598" s="1008"/>
      <c r="T598" s="1009"/>
      <c r="U598" s="879"/>
      <c r="V598" s="882"/>
      <c r="W598" s="885"/>
      <c r="X598" s="885"/>
      <c r="Y598" s="888"/>
      <c r="Z598" s="888"/>
      <c r="AA598" s="888"/>
      <c r="AB598" s="1082"/>
      <c r="AC598" s="1087"/>
      <c r="AD598" s="1098" t="str">
        <f t="shared" ref="AD598" si="11012">IF(LEFT(J587,7)="Clad Wo","Pella Wood Spr / Steel Pte","Steel Plate")</f>
        <v>Steel Plate</v>
      </c>
      <c r="AE598" s="1099"/>
      <c r="AF598" s="1096"/>
      <c r="AG598" s="1097"/>
      <c r="AH598" s="1097"/>
      <c r="AI598" s="1094"/>
      <c r="AJ598" s="1095"/>
      <c r="AK598" s="163" t="str">
        <f t="shared" ca="1" si="10024"/>
        <v/>
      </c>
      <c r="AL598" s="1060"/>
      <c r="AM598" s="345" t="str">
        <f ca="1">IFERROR(Q587/12*ROUND(VLOOKUP(AF598,OFFSET(SPM,0,1),6,FALSE),2),"")</f>
        <v/>
      </c>
      <c r="AN598" t="str">
        <f t="shared" ca="1" si="10040"/>
        <v/>
      </c>
      <c r="AP598" s="699" t="str">
        <f t="shared" ref="AP598" si="11013">_xlfn.CONCAT(AR598,AS598)</f>
        <v/>
      </c>
      <c r="AQ598" s="700" t="str">
        <f t="shared" si="10249"/>
        <v/>
      </c>
      <c r="AR598" s="160" t="str">
        <f t="shared" si="10009"/>
        <v/>
      </c>
      <c r="AS598" s="160" t="str">
        <f>IFERROR(VLOOKUP(J595, WallType,2,FALSE),"")</f>
        <v/>
      </c>
      <c r="AT598" s="707" t="str">
        <f>AL593</f>
        <v/>
      </c>
      <c r="AU598" s="708" t="e">
        <f t="shared" ca="1" si="10265"/>
        <v>#REF!</v>
      </c>
      <c r="AV598" s="709" t="str">
        <f ca="1">IFERROR(VLOOKUP(AU598,INDIRECT(AQ587),2,FALSE),"----")</f>
        <v>----</v>
      </c>
      <c r="AW598" s="710" t="e">
        <f t="shared" ca="1" si="10266"/>
        <v>#REF!</v>
      </c>
      <c r="AX598" s="709" t="str">
        <f ca="1">IFERROR(VLOOKUP(AW598,INDIRECT(AQ588),2,FALSE),"----")</f>
        <v>----</v>
      </c>
      <c r="AY598" s="710" t="e">
        <f t="shared" ca="1" si="10511"/>
        <v>#REF!</v>
      </c>
      <c r="AZ598" s="709" t="str">
        <f ca="1">IFERROR(VLOOKUP(AY598,INDIRECT(AQ589),2,FALSE),"----")</f>
        <v>----</v>
      </c>
      <c r="BA598" s="710" t="e">
        <f t="shared" ca="1" si="10512"/>
        <v>#REF!</v>
      </c>
      <c r="BB598" s="709" t="str">
        <f ca="1">IFERROR(VLOOKUP(BA598,INDIRECT(AQ590),2,FALSE),"----")</f>
        <v>----</v>
      </c>
      <c r="BC598" s="710" t="e">
        <f t="shared" ca="1" si="10267"/>
        <v>#REF!</v>
      </c>
      <c r="BD598" s="709" t="str">
        <f ca="1">IFERROR(VLOOKUP(BC598,INDIRECT(AQ591),2,FALSE),"----")</f>
        <v>----</v>
      </c>
      <c r="BE598" s="710" t="e">
        <f t="shared" ca="1" si="10268"/>
        <v>#REF!</v>
      </c>
      <c r="BF598" s="709" t="str">
        <f ca="1">IFERROR(VLOOKUP(BE598,INDIRECT(AQ592),2,FALSE),"----")</f>
        <v>----</v>
      </c>
      <c r="BG598" s="710" t="e">
        <f t="shared" ca="1" si="10269"/>
        <v>#REF!</v>
      </c>
      <c r="BH598" s="711" t="str">
        <f ca="1">IFERROR(VLOOKUP(BG598,INDIRECT(AQ593),2,FALSE),"----")</f>
        <v>----</v>
      </c>
      <c r="BI598" s="710" t="e">
        <f t="shared" ca="1" si="10270"/>
        <v>#REF!</v>
      </c>
      <c r="BJ598" s="711" t="str">
        <f ca="1">IFERROR(VLOOKUP(BI598,INDIRECT(AQ594),2,FALSE),"----")</f>
        <v>----</v>
      </c>
      <c r="BK598" s="710" t="e">
        <f t="shared" ca="1" si="10271"/>
        <v>#REF!</v>
      </c>
      <c r="BL598" s="711" t="str">
        <f ca="1">IFERROR(VLOOKUP(BK598,INDIRECT(AQ595),2,FALSE),"----")</f>
        <v>----</v>
      </c>
      <c r="BM598" s="710" t="e">
        <f t="shared" ca="1" si="10272"/>
        <v>#REF!</v>
      </c>
      <c r="BN598" s="711" t="str">
        <f ca="1">IFERROR(VLOOKUP(BM598,INDIRECT(AQ596),2,FALSE),"----")</f>
        <v>----</v>
      </c>
      <c r="BO598" s="710" t="e">
        <f t="shared" ca="1" si="10273"/>
        <v>#REF!</v>
      </c>
      <c r="BP598" s="711" t="str">
        <f ca="1">IFERROR(VLOOKUP(BO598,INDIRECT(AQ597),2,FALSE),"----")</f>
        <v>----</v>
      </c>
      <c r="BQ598" s="710" t="e">
        <f t="shared" ca="1" si="10274"/>
        <v>#REF!</v>
      </c>
      <c r="BR598" s="712" t="str">
        <f ca="1">IFERROR(VLOOKUP(BQ598,INDIRECT(AQ598),2,FALSE),"----")</f>
        <v>----</v>
      </c>
      <c r="BS598" s="695">
        <f>IF(AI598="",1,IF(COUNTIF(BR587:BR598,AI598)=0,2,1))</f>
        <v>1</v>
      </c>
      <c r="BT598" s="713">
        <f>IF(AF598="",1,IF(BR587=".",2,1))</f>
        <v>1</v>
      </c>
      <c r="BV598" s="155">
        <f ca="1">IF(COUNTIF(EH587:EH598,AF598)=0,IF(AF598&lt;&gt;"",0,1),1)</f>
        <v>1</v>
      </c>
      <c r="BW598" s="157">
        <f ca="1">IFERROR(MATCH(AF598,EH587:EH598,0),1)</f>
        <v>1</v>
      </c>
      <c r="BX598" s="718"/>
      <c r="BY598" s="777"/>
      <c r="BZ598" s="1110"/>
      <c r="CA598" s="714" t="e">
        <f t="shared" ca="1" si="10838"/>
        <v>#REF!</v>
      </c>
      <c r="CB598" s="715" t="e" cm="1">
        <f t="array" aca="1" ref="CB598" ca="1">IF(AND(INDEX(INDIRECT(BY587),CA598,4)&gt;=$AB587,INDEX(INDIRECT(BY587),CA598,5)&gt;=$S587,INDEX(INDIRECT(BY587),CA598,6)&gt;=$R587),1,0)</f>
        <v>#REF!</v>
      </c>
      <c r="CC598" s="715" t="e">
        <f t="shared" ref="CC598" ca="1" si="11014">MATCH(1,OFFSET(CB587:CB598,CD597,0,COUNT(CB587:CB598)-CD597),0)</f>
        <v>#REF!</v>
      </c>
      <c r="CD598" s="715" t="e">
        <f t="shared" ca="1" si="10840"/>
        <v>#REF!</v>
      </c>
      <c r="CE598" s="716" t="str" cm="1">
        <f t="array" aca="1" ref="CE598" ca="1">IFERROR(VLOOKUP(INDEX(CA587:CA598,CD598),INDIRECT(BY587),2,FALSE),"----")</f>
        <v>----</v>
      </c>
      <c r="CF598" s="714" t="e">
        <f t="shared" ca="1" si="10841"/>
        <v>#N/A</v>
      </c>
      <c r="CG598" s="715" t="e">
        <f ca="1">IF(AND(INDEX(SSM,CF598,4)&gt;=$AB587,INDEX(SSM,CF598,5)&gt;=$S587,INDEX(SSM,CF598,6)&gt;=$R587),1,0)</f>
        <v>#N/A</v>
      </c>
      <c r="CH598" s="715" t="e">
        <f t="shared" ref="CH598" ca="1" si="11015">MATCH(1,OFFSET(CG587:CG598,CI597,0,COUNT(CG587:CG598)-CI597),0)</f>
        <v>#REF!</v>
      </c>
      <c r="CI598" s="715" t="e">
        <f t="shared" ca="1" si="10843"/>
        <v>#REF!</v>
      </c>
      <c r="CJ598" s="716" t="str">
        <f ca="1">IFERROR(IF(AD588="Nested Steel Stud (wood infill)",VLOOKUP(INDEX(CF587:CF598,CI598),SSW,2,FALSE),VLOOKUP(INDEX(CF587:CF598,CI598),SSM,2,FALSE)),"----")</f>
        <v>----</v>
      </c>
      <c r="CK598" s="714" t="e">
        <f t="shared" ca="1" si="10844"/>
        <v>#N/A</v>
      </c>
      <c r="CL598" s="715" t="e">
        <f ca="1">IF(AND(INDEX(WSM,CK598,4)&gt;=$AB587,INDEX(WSM,CK598,5)&gt;=$S587,INDEX(WSM,CK598,6)&gt;=$R587),1,0)</f>
        <v>#N/A</v>
      </c>
      <c r="CM598" s="715" t="e">
        <f t="shared" ref="CM598" ca="1" si="11016">MATCH(1,OFFSET(CL587:CL598,CN597,0,COUNT(CL587:CL598)-CN597),0)</f>
        <v>#REF!</v>
      </c>
      <c r="CN598" s="715" t="e">
        <f t="shared" ca="1" si="10846"/>
        <v>#REF!</v>
      </c>
      <c r="CO598" s="716" t="str">
        <f ca="1">IFERROR(VLOOKUP(INDEX(CK587:CK598,CN598),WSM,2,FALSE),"----")</f>
        <v>----</v>
      </c>
      <c r="CP598" s="714" t="e">
        <f t="shared" ca="1" si="10847"/>
        <v>#N/A</v>
      </c>
      <c r="CQ598" s="715" t="e">
        <f ca="1">IF(AND(INDEX(STM,CP598,4)&gt;=$AB587,INDEX(STM,CP598,5)&gt;=$S587,INDEX(STM,CP598,6)&gt;=$R587),1,0)</f>
        <v>#N/A</v>
      </c>
      <c r="CR598" s="715" t="e">
        <f t="shared" ref="CR598" ca="1" si="11017">MATCH(1,OFFSET(CQ587:CQ598,CS597,0,COUNT(CQ587:CQ598)-CS597),0)</f>
        <v>#REF!</v>
      </c>
      <c r="CS598" s="715" t="e">
        <f t="shared" ca="1" si="10849"/>
        <v>#REF!</v>
      </c>
      <c r="CT598" s="716" t="str">
        <f ca="1">IFERROR(VLOOKUP(INDEX(CP587:CP598,CS598),STM,2,FALSE),"----")</f>
        <v>----</v>
      </c>
      <c r="CU598" s="714" t="e">
        <f t="shared" ca="1" si="10850"/>
        <v>#N/A</v>
      </c>
      <c r="CV598" s="715" t="e">
        <f ca="1">IF(AND(INDEX(ELM,CU598,4)&gt;=$AB587,INDEX(ELM,CU598,5)&gt;=$S587,INDEX(ELM,CU598,6)&gt;=$R587),1,0)</f>
        <v>#N/A</v>
      </c>
      <c r="CW598" s="715" t="e">
        <f t="shared" ref="CW598" ca="1" si="11018">MATCH(1,OFFSET(CV587:CV598,CX597,0,COUNT(CV587:CV598)-CX597),0)</f>
        <v>#REF!</v>
      </c>
      <c r="CX598" s="715" t="e">
        <f t="shared" ca="1" si="10852"/>
        <v>#REF!</v>
      </c>
      <c r="CY598" s="716" t="str">
        <f ca="1">IFERROR(VLOOKUP(INDEX(CU587:CU598,CX598),ELM,2,FALSE),"----")</f>
        <v>----</v>
      </c>
      <c r="CZ598" s="714" t="e">
        <f t="shared" ca="1" si="10853"/>
        <v>#N/A</v>
      </c>
      <c r="DA598" s="715" t="e">
        <f ca="1">IF(LEFT($J587,7)="Clad Wo",IF(AND(INDEX(SPPWS,CZ598,4)&gt;=$AB587,INDEX(SPPWS,CZ598,5)&gt;=$S587,INDEX(SPPWS,CZ598,6)&gt;=$R587),1,0),IF(AND(INDEX(SPM,CZ598,4)&gt;=$AB587,INDEX(SPM,CZ598,5)&gt;=$S587,INDEX(SPM,CZ598,6)&gt;=$R587),1,0))</f>
        <v>#N/A</v>
      </c>
      <c r="DB598" s="715" t="e">
        <f t="shared" ref="DB598" ca="1" si="11019">MATCH(1,OFFSET(DA587:DA598,DC597,0,COUNT(DA587:DA598)-DC597),0)</f>
        <v>#REF!</v>
      </c>
      <c r="DC598" s="715" t="e">
        <f t="shared" ca="1" si="10855"/>
        <v>#REF!</v>
      </c>
      <c r="DD598" s="717" t="str">
        <f ca="1">IF(LEFT($J587,7)="Clad Wo",IFERROR(VLOOKUP(INDEX(CZ587:CZ598,DC598),SPPWS,2,FALSE),"----"),IFERROR(VLOOKUP(INDEX(CZ587:CZ598,DC598),SPM,2,FALSE),"----"))</f>
        <v>----</v>
      </c>
      <c r="DE598" s="714" t="e">
        <f t="shared" ca="1" si="10856"/>
        <v>#REF!</v>
      </c>
      <c r="DF598" s="715" t="e" cm="1">
        <f t="array" aca="1" ref="DF598" ca="1">IF(AND(INDEX(INDIRECT(BY587),DE598,4)&gt;=$AB593,INDEX(INDIRECT(BY587),DE598,5)&gt;=$S587,INDEX(INDIRECT(BY587),DE598,6)&gt;=$R587),1,0)</f>
        <v>#REF!</v>
      </c>
      <c r="DG598" s="715" t="e">
        <f t="shared" ref="DG598" ca="1" si="11020">MATCH(1,OFFSET(DF587:DF598,DH597,0,COUNT(DF587:DF598)-DH597),0)</f>
        <v>#REF!</v>
      </c>
      <c r="DH598" s="715" t="e">
        <f t="shared" ca="1" si="10858"/>
        <v>#REF!</v>
      </c>
      <c r="DI598" s="716" t="str" cm="1">
        <f t="array" aca="1" ref="DI598" ca="1">IFERROR(VLOOKUP(INDEX(DE587:DE598,DH598),INDIRECT(BY587),2,FALSE),"----")</f>
        <v>----</v>
      </c>
      <c r="DJ598" s="714" t="e">
        <f t="shared" ca="1" si="10859"/>
        <v>#N/A</v>
      </c>
      <c r="DK598" s="715" t="e">
        <f ca="1">IF(AND(INDEX(SSM,DJ598,4)&gt;=$AB593,INDEX(SSM,DJ598,5)&gt;=$S587,INDEX(SSM,DJ598,6)&gt;=$R587),1,0)</f>
        <v>#N/A</v>
      </c>
      <c r="DL598" s="715" t="e">
        <f t="shared" ref="DL598" ca="1" si="11021">MATCH(1,OFFSET(DK587:DK598,DM597,0,COUNT(DK587:DK598)-DM597),0)</f>
        <v>#REF!</v>
      </c>
      <c r="DM598" s="715" t="e">
        <f t="shared" ca="1" si="10861"/>
        <v>#REF!</v>
      </c>
      <c r="DN598" s="716" t="str">
        <f ca="1">IFERROR(IF(AD594="Nested Steel Stud (wood infill)",VLOOKUP(INDEX(DJ587:DJ598,DM598),SSW,2,FALSE),VLOOKUP(INDEX(DJ587:DJ598,DM598),SSM,2,FALSE)),"----")</f>
        <v>----</v>
      </c>
      <c r="DO598" s="714" t="e">
        <f t="shared" ca="1" si="10862"/>
        <v>#N/A</v>
      </c>
      <c r="DP598" s="715" t="e">
        <f ca="1">IF(AND(INDEX(WSM,DO598,4)&gt;=$AB593,INDEX(WSM,DO598,5)&gt;=$S587,INDEX(WSM,DO598,6)&gt;=$R587),1,0)</f>
        <v>#N/A</v>
      </c>
      <c r="DQ598" s="715" t="e">
        <f t="shared" ref="DQ598" ca="1" si="11022">MATCH(1,OFFSET(DP587:DP598,DR597,0,COUNT(DP587:DP598)-DR597),0)</f>
        <v>#REF!</v>
      </c>
      <c r="DR598" s="715" t="e">
        <f t="shared" ca="1" si="10864"/>
        <v>#REF!</v>
      </c>
      <c r="DS598" s="716" t="str">
        <f ca="1">IFERROR(VLOOKUP(INDEX(DO587:DO598,DR598),WSM,2,FALSE),"----")</f>
        <v>----</v>
      </c>
      <c r="DT598" s="714" t="e">
        <f t="shared" ca="1" si="10865"/>
        <v>#N/A</v>
      </c>
      <c r="DU598" s="715" t="e">
        <f ca="1">IF(AND(INDEX(STM,DT598,4)&gt;=$AB593,INDEX(STM,DT598,5)&gt;=$S587,INDEX(STM,DT598,6)&gt;=$R587),1,0)</f>
        <v>#N/A</v>
      </c>
      <c r="DV598" s="715" t="e">
        <f t="shared" ref="DV598" ca="1" si="11023">MATCH(1,OFFSET(DU587:DU598,DW597,0,COUNT(DU587:DU598)-DW597),0)</f>
        <v>#REF!</v>
      </c>
      <c r="DW598" s="715" t="e">
        <f t="shared" ca="1" si="10867"/>
        <v>#REF!</v>
      </c>
      <c r="DX598" s="716" t="str">
        <f ca="1">IFERROR(VLOOKUP(INDEX(DT587:DT598,DW598),STM,2,FALSE),"----")</f>
        <v>----</v>
      </c>
      <c r="DY598" s="714" t="e">
        <f t="shared" ca="1" si="10868"/>
        <v>#N/A</v>
      </c>
      <c r="DZ598" s="715" t="e">
        <f ca="1">IF(AND(INDEX(ELM,DY598,4)&gt;=$AB593,INDEX(ELM,DY598,5)&gt;=$S587,INDEX(ELM,DY598,6)&gt;=$R587),1,0)</f>
        <v>#N/A</v>
      </c>
      <c r="EA598" s="715" t="e">
        <f t="shared" ref="EA598" ca="1" si="11024">MATCH(1,OFFSET(DZ587:DZ598,EB597,0,COUNT(DZ587:DZ598)-EB597),0)</f>
        <v>#REF!</v>
      </c>
      <c r="EB598" s="715" t="e">
        <f t="shared" ca="1" si="10870"/>
        <v>#REF!</v>
      </c>
      <c r="EC598" s="716" t="str">
        <f ca="1">IFERROR(VLOOKUP(INDEX(DY587:DY598,EB598),ELM,2,FALSE),"----")</f>
        <v>----</v>
      </c>
      <c r="ED598" s="714" t="e">
        <f t="shared" ca="1" si="10871"/>
        <v>#N/A</v>
      </c>
      <c r="EE598" s="715" t="e">
        <f ca="1">IF(LEFT($J587,7)="Clad Wo",IF(AND(INDEX(SPPWS,ED598,4)&gt;=$AB593,INDEX(SPPWS,ED598,5)&gt;=$S587,INDEX(SPPWS,ED598,6)&gt;=$R587),1,0),IF(AND(INDEX(SPM,ED598,4)&gt;=$AB593,INDEX(SPM,ED598,5)&gt;=$S587,INDEX(SPM,ED598,6)&gt;=$R587),1,0))</f>
        <v>#N/A</v>
      </c>
      <c r="EF598" s="715" t="e">
        <f t="shared" ref="EF598" ca="1" si="11025">MATCH(1,OFFSET(EE587:EE598,EG597,0,COUNT(EE587:EE598)-EG597),0)</f>
        <v>#REF!</v>
      </c>
      <c r="EG598" s="715" t="e">
        <f t="shared" ca="1" si="10873"/>
        <v>#REF!</v>
      </c>
      <c r="EH598" s="716" t="str">
        <f ca="1">IF(LEFT($J587,7)="Clad Wo",IFERROR(VLOOKUP(INDEX(ED587:ED598,EG598),SPPWS,2,FALSE),"----"),IFERROR(VLOOKUP(INDEX(ED587:ED598,EG598),SPM,2,FALSE),"----"))</f>
        <v>----</v>
      </c>
    </row>
    <row r="599" spans="1:138" ht="15" customHeight="1" thickTop="1" x14ac:dyDescent="0.25">
      <c r="A599" s="1085"/>
      <c r="B599" s="931" t="s">
        <v>92</v>
      </c>
      <c r="C599" s="932"/>
      <c r="D599" s="933"/>
      <c r="E599" s="992"/>
      <c r="F599" s="993"/>
      <c r="G599" s="994"/>
      <c r="H599" s="1061"/>
      <c r="I599" s="989"/>
      <c r="J599" s="906"/>
      <c r="K599" s="907"/>
      <c r="L599" s="1001">
        <f>$W$3</f>
        <v>4</v>
      </c>
      <c r="M599" s="923" t="str">
        <f t="shared" ref="M599" si="11026">IFERROR(IF($AE$13="",IF($AG$19="Wind Loading",MIN($V$31,IF(E$11="ASCE 7-05",$U$26,$V$7)*$V$9*(IF($E$12&lt;60,0.0771*LN(MAX(MIN(500,O599),10)) -1.2737,IF($E$11="ASCE 7-22",0.0524*LN(MAX(MIN(500,O599),50))-1.0278,0.0614*LN(MAX(MIN(500,O599),20)) -1.0829))-$V$8)),$V$7*IF(E$12&lt;60,$V$13*($V$15*0.0771*LN(MAX(MIN(500,O599),10))-1.2737-$V$16),$V$13*$V$15*((0.0524*LN(MAX(MIN(500,O599),20))-1.0278)-$V$16))),-ABS($AE$13)),"")</f>
        <v/>
      </c>
      <c r="N599" s="1042" t="str">
        <f t="shared" ref="N599" si="11027">IFERROR(IF($AE$15="",IF($AG$19="Wind Loading",MAX($U$31,IF(E$11="ASCE 7-05",$U$26,$V$7)*$V$9*((IF($E$12&lt;60,-0.077*LN(MAX(MIN(500,O599),10))+1.1737,IF($E$11="ASCE 7-22",-0.077*LN(MAX(MIN(500,O599),20))+1.0798,-0.093*LN(MAX(MIN(500,O599),20))+1.1776)))+$V$8)),$V$7*IF(E$12&lt;60,$V$13*($V$15*(-0.077*LN(MAX(MIN(500,O599),10))+1.1737)-$V$17),$V$13*$V$15*((-0.077*LN(MAX(MIN(500,O599),20))+1.0798)-$V$17))),ABS($AE$15)),"")</f>
        <v/>
      </c>
      <c r="O599" s="1017" t="str">
        <f>IF(BX606=0,"",IF(AG$14="Trapezoidal",BY606,BX606))</f>
        <v/>
      </c>
      <c r="P599" s="986"/>
      <c r="Q599" s="1014"/>
      <c r="R599" s="1011">
        <f>P599*Q599/8</f>
        <v>0</v>
      </c>
      <c r="S599" s="1004">
        <f t="shared" ref="S599" si="11028">IF(5*(P599*Q599^3/(384*0.125))=0,0,5*(P599*Q599^3/(384*0.125)))</f>
        <v>0</v>
      </c>
      <c r="T599" s="1005"/>
      <c r="U599" s="877" t="e">
        <f ca="1">VLOOKUP(J603,INDIRECT(VLOOKUP(J599,FrameStrength,2,FALSE)),3,FALSE)</f>
        <v>#N/A</v>
      </c>
      <c r="V599" s="880">
        <f t="shared" ref="V599" si="11029">(H599+I599)/2</f>
        <v>0</v>
      </c>
      <c r="W599" s="883" t="e">
        <f t="shared" ref="W599" si="11030">MAX(-M599,N599)*O599</f>
        <v>#VALUE!</v>
      </c>
      <c r="X599" s="883">
        <f t="shared" ref="X599" si="11031">IF(E599&gt;162,(E599/240+0.25),IF(AND(E599&lt;162,E599/175&lt;0.75),E599/175,0.75))</f>
        <v>0</v>
      </c>
      <c r="Y599" s="886">
        <f>IFERROR(IF(AG$14="Trapezoidal",BY607,BX607)+IF($E$17="4",(400*E599^3)/(48*X599),0),0)</f>
        <v>0</v>
      </c>
      <c r="Z599" s="886" t="e">
        <f t="shared" ref="Z599" si="11032">+($V599*MAX(-$M599,$N599)*$E599^2)/(144*8)+IF($E$17=4,(400*$E599)/4,0)</f>
        <v>#VALUE!</v>
      </c>
      <c r="AA599" s="886" t="e">
        <f ca="1">VLOOKUP(J603,INDIRECT(VLOOKUP(J599,FrameStrength,2,FALSE)),2,FALSE)</f>
        <v>#N/A</v>
      </c>
      <c r="AB599" s="1083" t="str">
        <f t="shared" ref="AB599" ca="1" si="11033">IFERROR(Z599-AA599,"")</f>
        <v/>
      </c>
      <c r="AC599" s="1077" t="str">
        <f t="shared" ref="AC599" ca="1" si="11034">IFERROR(Y599-U599,"")</f>
        <v/>
      </c>
      <c r="AD599" s="1100" t="str">
        <f>IFERROR(IF(LEFT(J603,2)="As",VLOOKUP(J603,EIMM,4,FALSE),VLOOKUP(J599,EIMM,4,FALSE)),IF(AND(ISNUMBER(SEARCH("Impervia",J599)),ISNUMBER(SEARCH("door",J603))),'New Lookup Cells'!AF$10,IF(ISNUMBER(SEARCH("Impervia",J599)),'New Lookup Cells'!AF$7,IF(AND(ISNUMBER(SEARCH("250",J599)),ISNUMBER(SEARCH("door",J603))),'New Lookup Cells'!AF$14,IF(ISNUMBER(SEARCH("250",J599)),'New Lookup Cells'!AF$13,"")))))</f>
        <v/>
      </c>
      <c r="AE599" s="1101"/>
      <c r="AF599" s="1050"/>
      <c r="AG599" s="1051"/>
      <c r="AH599" s="1051"/>
      <c r="AI599" s="1088"/>
      <c r="AJ599" s="1089"/>
      <c r="AK599" s="154" t="str">
        <f t="shared" ca="1" si="10024"/>
        <v/>
      </c>
      <c r="AL599" s="1038" t="str">
        <f t="shared" ref="AL599" si="11035">IFERROR(ROUND(SQRT(P599^2+(W599/2+IF($E$17=4,200,0))^2),0),"")</f>
        <v/>
      </c>
      <c r="AM599" s="342" t="s">
        <v>669</v>
      </c>
      <c r="AN599" t="str">
        <f t="shared" ca="1" si="10040"/>
        <v/>
      </c>
      <c r="AP599" s="122" t="str">
        <f t="shared" ref="AP599" si="11036">_xlfn.CONCAT(AR599,AS604)</f>
        <v/>
      </c>
      <c r="AQ599" s="683" t="str">
        <f t="shared" si="10249"/>
        <v/>
      </c>
      <c r="AR599" s="96" t="str">
        <f t="shared" si="10009"/>
        <v/>
      </c>
      <c r="AS599" s="96" t="str">
        <f>IF(COUNTIF(imp_1,AF599)=1,"imp_1",IF(COUNTIF(imp_2,AF599)=1,"imp_2",IF(COUNTIF(imp_3,AF599)=1,"imp_3",IF(COUNTIF(impdoor,AF599)=1,"impdoor",""))))</f>
        <v/>
      </c>
      <c r="AT599" s="684" t="str">
        <f>AL599</f>
        <v/>
      </c>
      <c r="AU599" s="685" t="e">
        <f ca="1">MATCH(AL599,INDIRECT(AP599),-1)</f>
        <v>#REF!</v>
      </c>
      <c r="AV599" s="686" t="str">
        <f ca="1">IFERROR(VLOOKUP(AU599,INDIRECT(AQ599),2,FALSE),"----")</f>
        <v>----</v>
      </c>
      <c r="AW599" s="685" t="e">
        <f ca="1">MATCH(AL599,INDIRECT(AP600),-1)</f>
        <v>#REF!</v>
      </c>
      <c r="AX599" s="686" t="str">
        <f ca="1">IFERROR(VLOOKUP(AW599,INDIRECT(AQ600),2,FALSE),"----")</f>
        <v>----</v>
      </c>
      <c r="AY599" s="685" t="e">
        <f ca="1">MATCH(AL599,INDIRECT(AP601),-1)</f>
        <v>#REF!</v>
      </c>
      <c r="AZ599" s="686" t="str">
        <f ca="1">IFERROR(VLOOKUP(AY599,INDIRECT(AQ601),2,FALSE),"----")</f>
        <v>----</v>
      </c>
      <c r="BA599" s="685" t="e">
        <f ca="1">MATCH(AL599,INDIRECT(AP602),-1)</f>
        <v>#REF!</v>
      </c>
      <c r="BB599" s="686" t="str">
        <f ca="1">IFERROR(VLOOKUP(BA599,INDIRECT(AQ602),2,FALSE),"----")</f>
        <v>----</v>
      </c>
      <c r="BC599" s="685" t="e">
        <f ca="1">MATCH(AL599,INDIRECT(AP603),-1)</f>
        <v>#REF!</v>
      </c>
      <c r="BD599" s="686" t="str">
        <f ca="1">IFERROR(VLOOKUP(BC599,INDIRECT(AQ603),2,FALSE),"----")</f>
        <v>----</v>
      </c>
      <c r="BE599" s="685" t="e">
        <f ca="1">MATCH(AL599,INDIRECT(AP604),-1)</f>
        <v>#REF!</v>
      </c>
      <c r="BF599" s="686" t="str">
        <f ca="1">IFERROR(VLOOKUP(BE599,INDIRECT(AQ604),2,FALSE),"----")</f>
        <v>----</v>
      </c>
      <c r="BG599" s="685" t="e">
        <f ca="1">MATCH(AL605,INDIRECT(AP605),-1)</f>
        <v>#REF!</v>
      </c>
      <c r="BH599" s="686" t="str">
        <f ca="1">IFERROR(VLOOKUP(BG599,INDIRECT(AQ605),2,FALSE),"----")</f>
        <v>----</v>
      </c>
      <c r="BI599" s="685" t="e">
        <f ca="1">MATCH(AL605,INDIRECT(AP606),-1)</f>
        <v>#REF!</v>
      </c>
      <c r="BJ599" s="686" t="str">
        <f ca="1">IFERROR(VLOOKUP(BI599,INDIRECT(AQ606),2,FALSE),"----")</f>
        <v>----</v>
      </c>
      <c r="BK599" s="685" t="e">
        <f ca="1">MATCH(AL605,INDIRECT(AP607),-1)</f>
        <v>#REF!</v>
      </c>
      <c r="BL599" s="686" t="str">
        <f ca="1">IFERROR(VLOOKUP(BK599,INDIRECT(AQ607),2,FALSE),"----")</f>
        <v>----</v>
      </c>
      <c r="BM599" s="685" t="e">
        <f ca="1">MATCH(AL605,INDIRECT(AP608),-1)</f>
        <v>#REF!</v>
      </c>
      <c r="BN599" s="686" t="str">
        <f ca="1">IFERROR(VLOOKUP(BM599,INDIRECT(AQ608),2,FALSE),"----")</f>
        <v>----</v>
      </c>
      <c r="BO599" s="685" t="e">
        <f ca="1">MATCH(AL605,INDIRECT(AP609),-1)</f>
        <v>#REF!</v>
      </c>
      <c r="BP599" s="686" t="str">
        <f ca="1">IFERROR(VLOOKUP(BO599,INDIRECT(AQ609),2,FALSE),"----")</f>
        <v>----</v>
      </c>
      <c r="BQ599" s="685" t="e">
        <f ca="1">MATCH(AL605,INDIRECT(AP610),-1)</f>
        <v>#REF!</v>
      </c>
      <c r="BR599" s="686" t="str">
        <f ca="1">IFERROR(VLOOKUP(BQ599,INDIRECT(AQ610),2,FALSE),"----")</f>
        <v>----</v>
      </c>
      <c r="BS599" s="687">
        <f>IF(AI599="",1,IF(COUNTIF(AV599:AV610,AI599)=0,2,1))</f>
        <v>1</v>
      </c>
      <c r="BT599" s="688">
        <f>IF(AP599="1",1,IF(AF599="",1,IF(AV599=".",2,1)))</f>
        <v>1</v>
      </c>
      <c r="BU599" s="706"/>
      <c r="BV599" s="155">
        <f ca="1">IF(COUNTIF(CE599:CE610,AF599)=0,IF(AF599&lt;&gt;"",0,1),1)</f>
        <v>1</v>
      </c>
      <c r="BW599" s="157">
        <f ca="1">IFERROR(MATCH(AF599,CE599:CE610,0),1)</f>
        <v>1</v>
      </c>
      <c r="BX599" s="769" t="str">
        <f>IFERROR(IF(LEFT(J603,2)="As",VLOOKUP(J603,EIMM,2,FALSE),IF(AND(ISNUMBER(SEARCH("Impervia",J599)),ISNUMBER(SEARCH("door",J603))),VLOOKUP("Impervia Door",EIMM,2,FALSE),IF(AND(ISNUMBER(SEARCH("250",J599)),ISNUMBER(SEARCH("door",J603))),VLOOKUP("250 Series Door",EIMM,2,FALSE),VLOOKUP(J599,EIMM,2,FALSE)))),"")</f>
        <v/>
      </c>
      <c r="BY599" s="769" t="str">
        <f ca="1">IFERROR(VLOOKUP(BX599,OFFSET(EIMM,0,1),2,FALSE),"")</f>
        <v/>
      </c>
      <c r="BZ599" s="1110" t="e">
        <f ca="1">IF((COUNTIF(INDIRECT(SUBSTITUTE(J599," ","_")),J603))=0,IF(J603="",1,0),1)</f>
        <v>#REF!</v>
      </c>
      <c r="CA599" s="691" t="e">
        <f ca="1">MATCH(AC599,INDIRECT(BX599),-1)</f>
        <v>#REF!</v>
      </c>
      <c r="CB599" s="4" t="e" cm="1">
        <f t="array" aca="1" ref="CB599" ca="1">IF(AND(INDEX(INDIRECT(BY599),CA599,4)&gt;=$AB599,INDEX(INDIRECT(BY599),CA599,5)&gt;=$S599,INDEX(INDIRECT(BY599),CA599,6)&gt;=$R599),1,0)</f>
        <v>#REF!</v>
      </c>
      <c r="CC599" s="4" t="e">
        <f t="shared" ref="CC599" ca="1" si="11037">MATCH(1,OFFSET(CB599:CB610,$W$2,0,COUNT(CB599:CB610)-$W$2),0)</f>
        <v>#REF!</v>
      </c>
      <c r="CD599" s="4" t="e">
        <f t="shared" ref="CD599" ca="1" si="11038">$W$2+CC599</f>
        <v>#REF!</v>
      </c>
      <c r="CE599" s="692" t="str" cm="1">
        <f t="array" aca="1" ref="CE599" ca="1">IFERROR(VLOOKUP(INDEX(CA599:CA610,CD599),INDIRECT(BY599),2,FALSE),"----")</f>
        <v>----</v>
      </c>
      <c r="CF599" s="691" t="e">
        <f ca="1">MATCH($AC599,SSEI,-1)</f>
        <v>#N/A</v>
      </c>
      <c r="CG599" s="4" t="e">
        <f ca="1">IF(AND(INDEX(SSM,CF599,4)&gt;=$AB599,INDEX(SSM,CF599,5)&gt;=$S599,INDEX(SSM,CF599,6)&gt;=$R599),1,0)</f>
        <v>#N/A</v>
      </c>
      <c r="CH599" s="4" t="e">
        <f t="shared" ref="CH599" ca="1" si="11039">MATCH(1,OFFSET(CG599:CG610,$W$2,0,COUNT(CG599:CG610)-$W$2),0)</f>
        <v>#REF!</v>
      </c>
      <c r="CI599" s="4" t="e">
        <f t="shared" ref="CI599" ca="1" si="11040">$W$2+CH599</f>
        <v>#REF!</v>
      </c>
      <c r="CJ599" s="692" t="str">
        <f ca="1">IFERROR(IF(AD600="Nested Steel Stud (wood infill)",VLOOKUP(INDEX(CF599:CF610,CI599),SSW,2,FALSE),VLOOKUP(INDEX(CF599:CF610,CI599),SSM,2,FALSE)),"----")</f>
        <v>----</v>
      </c>
      <c r="CK599" s="691" t="e">
        <f ca="1">MATCH($AC599,WSEI,-1)</f>
        <v>#N/A</v>
      </c>
      <c r="CL599" s="4" t="e">
        <f ca="1">IF(AND(INDEX(WSM,CK599,4)&gt;=$AB599,INDEX(WSM,CK599,5)&gt;=$S599,INDEX(WSM,CK599,6)&gt;=$R599),1,0)</f>
        <v>#N/A</v>
      </c>
      <c r="CM599" s="4" t="e">
        <f t="shared" ref="CM599" ca="1" si="11041">MATCH(1,OFFSET(CL599:CL610,$W$2,0,COUNT(CL599:CL610)-$W$2),0)</f>
        <v>#REF!</v>
      </c>
      <c r="CN599" s="4" t="e">
        <f t="shared" ref="CN599" ca="1" si="11042">$W$2+CM599</f>
        <v>#REF!</v>
      </c>
      <c r="CO599" s="692" t="str">
        <f ca="1">IFERROR(VLOOKUP(INDEX(CK599:CK610,CN599),WSM,2,FALSE),"----")</f>
        <v>----</v>
      </c>
      <c r="CP599" s="691" t="e">
        <f ca="1">MATCH($AC599,STEI,-1)</f>
        <v>#N/A</v>
      </c>
      <c r="CQ599" s="4" t="e">
        <f ca="1">IF(AND(INDEX(STM,CP599,4)&gt;=$AB599,INDEX(STM,CP599,5)&gt;=$S599,INDEX(STM,CP599,6)&gt;=$R599),1,0)</f>
        <v>#N/A</v>
      </c>
      <c r="CR599" s="4" t="e">
        <f t="shared" ref="CR599" ca="1" si="11043">MATCH(1,OFFSET(CQ599:CQ610,$W$2,0,COUNT(CQ599:CQ610)-$W$2),0)</f>
        <v>#REF!</v>
      </c>
      <c r="CS599" s="4" t="e">
        <f t="shared" ref="CS599" ca="1" si="11044">$W$2+CR599</f>
        <v>#REF!</v>
      </c>
      <c r="CT599" s="692" t="str">
        <f ca="1">IFERROR(VLOOKUP(INDEX(CP599:CP610,CS599),STM,2,FALSE),"----")</f>
        <v>----</v>
      </c>
      <c r="CU599" s="691" t="e">
        <f ca="1">MATCH($AC599,ELEI,-1)</f>
        <v>#N/A</v>
      </c>
      <c r="CV599" s="4" t="e">
        <f ca="1">IF(AND(INDEX(ELM,CU599,4)&gt;=$AB599,INDEX(ELM,CU599,5)&gt;=$S599,INDEX(ELM,CU599,6)&gt;=$R599),1,0)</f>
        <v>#N/A</v>
      </c>
      <c r="CW599" s="4" t="e">
        <f t="shared" ref="CW599" ca="1" si="11045">MATCH(1,OFFSET(CV599:CV610,$W$2,0,COUNT(CV599:CV610)-$W$2),0)</f>
        <v>#REF!</v>
      </c>
      <c r="CX599" s="4" t="e">
        <f t="shared" ref="CX599" ca="1" si="11046">$W$2+CW599</f>
        <v>#REF!</v>
      </c>
      <c r="CY599" s="692" t="str">
        <f ca="1">IFERROR(VLOOKUP(INDEX(CU599:CU610,CX599),ELM,2,FALSE),"----")</f>
        <v>----</v>
      </c>
      <c r="CZ599" s="691" t="e">
        <f ca="1">IF(LEFT($J599,7)="Clad Wo",MATCH($AC599,SPEIW,-1),MATCH($AC599,SPEI,-1))</f>
        <v>#N/A</v>
      </c>
      <c r="DA599" s="4" t="e">
        <f ca="1">IF(LEFT($J599,7)="Clad Wo",IF(AND(INDEX(SPPWS,CZ599,4)&gt;=$AB599,INDEX(SPPWS,CZ599,5)&gt;=$S599,INDEX(SPPWS,CZ599,6)&gt;=$R599),1,0),IF(AND(INDEX(SPM,CZ599,4)&gt;=$AB599,INDEX(SPM,CZ599,5)&gt;=$S599,INDEX(SPM,CZ599,6)&gt;=$R599),1,0))</f>
        <v>#N/A</v>
      </c>
      <c r="DB599" s="4" t="e">
        <f t="shared" ref="DB599" ca="1" si="11047">MATCH(1,OFFSET(DA599:DA610,$W$2,0,COUNT(DA599:DA610)-$W$2),0)</f>
        <v>#REF!</v>
      </c>
      <c r="DC599" s="4" t="e">
        <f t="shared" ref="DC599" ca="1" si="11048">$W$2+DB599</f>
        <v>#REF!</v>
      </c>
      <c r="DD599" s="693" t="str">
        <f ca="1">IF(LEFT($J599,7)="Clad Wo",IFERROR(VLOOKUP(INDEX(CZ599:CZ610,DC599),SPPWS,2,FALSE),"----"),IFERROR(VLOOKUP(INDEX(CZ599:CZ610,DC599),SPM,2,FALSE),"----"))</f>
        <v>----</v>
      </c>
      <c r="DE599" s="691" t="e">
        <f ca="1">MATCH(AC605,INDIRECT(BX599),-1)</f>
        <v>#REF!</v>
      </c>
      <c r="DF599" s="4" t="e" cm="1">
        <f t="array" aca="1" ref="DF599" ca="1">IF(AND(INDEX(INDIRECT(BY599),DE599,4)&gt;=$AB605,INDEX(INDIRECT(BY599),DE599,5)&gt;=$S599,INDEX(INDIRECT(BY599),DE599,6)&gt;=$R599),1,0)</f>
        <v>#REF!</v>
      </c>
      <c r="DG599" s="4" t="e">
        <f t="shared" ref="DG599" ca="1" si="11049">MATCH(1,OFFSET(DF599:DF610,$W$2,0,COUNT(DF599:DF610)-$W$2),0)</f>
        <v>#REF!</v>
      </c>
      <c r="DH599" s="4" t="e">
        <f t="shared" ref="DH599" ca="1" si="11050">$W$2+DG599</f>
        <v>#REF!</v>
      </c>
      <c r="DI599" s="692" t="str" cm="1">
        <f t="array" aca="1" ref="DI599" ca="1">IFERROR(VLOOKUP(INDEX(DE599:DE610,DH599),INDIRECT(BY599),2,FALSE),"----")</f>
        <v>----</v>
      </c>
      <c r="DJ599" s="691" t="e">
        <f ca="1">MATCH($AC605,SSEI,-1)</f>
        <v>#N/A</v>
      </c>
      <c r="DK599" s="4" t="e">
        <f ca="1">IF(AND(INDEX(SSM,DJ599,4)&gt;=$AB605,INDEX(SSM,DJ599,5)&gt;=$S599,INDEX(SSM,DJ599,6)&gt;=$R599),1,0)</f>
        <v>#N/A</v>
      </c>
      <c r="DL599" s="4" t="e">
        <f t="shared" ref="DL599" ca="1" si="11051">MATCH(1,OFFSET(DK599:DK610,$W$2,0,COUNT(DK599:DK610)-$W$2),0)</f>
        <v>#REF!</v>
      </c>
      <c r="DM599" s="4" t="e">
        <f t="shared" ref="DM599" ca="1" si="11052">$W$2+DL599</f>
        <v>#REF!</v>
      </c>
      <c r="DN599" s="692" t="str">
        <f ca="1">IFERROR(IF(AD606="Nested Steel Stud (wood infill)",VLOOKUP(INDEX(DJ599:DJ610,DM599),SSW,2,FALSE),VLOOKUP(INDEX(DJ599:DJ610,DM599),SSM,2,FALSE)),"----")</f>
        <v>----</v>
      </c>
      <c r="DO599" s="691" t="e">
        <f ca="1">MATCH($AC605,WSEI,-1)</f>
        <v>#N/A</v>
      </c>
      <c r="DP599" s="4" t="e">
        <f ca="1">IF(AND(INDEX(WSM,DO599,4)&gt;=$AB605,INDEX(WSM,DO599,5)&gt;=$S599,INDEX(WSM,DO599,6)&gt;=$R599),1,0)</f>
        <v>#N/A</v>
      </c>
      <c r="DQ599" s="4" t="e">
        <f t="shared" ref="DQ599" ca="1" si="11053">MATCH(1,OFFSET(DP599:DP610,$W$2,0,COUNT(DP599:DP610)-$W$2),0)</f>
        <v>#REF!</v>
      </c>
      <c r="DR599" s="4" t="e">
        <f t="shared" ref="DR599" ca="1" si="11054">$W$2+DQ599</f>
        <v>#REF!</v>
      </c>
      <c r="DS599" s="692" t="str">
        <f ca="1">IFERROR(VLOOKUP(INDEX(DO599:DO610,DR599),WSM,2,FALSE),"----")</f>
        <v>----</v>
      </c>
      <c r="DT599" s="691" t="e">
        <f ca="1">MATCH($AC605,STEI,-1)</f>
        <v>#N/A</v>
      </c>
      <c r="DU599" s="4" t="e">
        <f ca="1">IF(AND(INDEX(STM,DT599,4)&gt;=$AB605,INDEX(STM,DT599,5)&gt;=$S599,INDEX(STM,DT599,6)&gt;=$R599),1,0)</f>
        <v>#N/A</v>
      </c>
      <c r="DV599" s="4" t="e">
        <f t="shared" ref="DV599" ca="1" si="11055">MATCH(1,OFFSET(DU599:DU610,$W$2,0,COUNT(DU599:DU610)-$W$2),0)</f>
        <v>#REF!</v>
      </c>
      <c r="DW599" s="4" t="e">
        <f t="shared" ref="DW599" ca="1" si="11056">$W$2+DV599</f>
        <v>#REF!</v>
      </c>
      <c r="DX599" s="692" t="str">
        <f ca="1">IFERROR(VLOOKUP(INDEX(DT599:DT610,DW599),STM,2,FALSE),"----")</f>
        <v>----</v>
      </c>
      <c r="DY599" s="691" t="e">
        <f ca="1">MATCH($AC605,ELEI,-1)</f>
        <v>#N/A</v>
      </c>
      <c r="DZ599" s="4" t="e">
        <f ca="1">IF(AND(INDEX(ELM,DY599,4)&gt;=$AB605,INDEX(ELM,DY599,5)&gt;=$S599,INDEX(ELM,DY599,6)&gt;=$R599),1,0)</f>
        <v>#N/A</v>
      </c>
      <c r="EA599" s="4" t="e">
        <f t="shared" ref="EA599" ca="1" si="11057">MATCH(1,OFFSET(DZ599:DZ610,$W$2,0,COUNT(DZ599:DZ610)-$W$2),0)</f>
        <v>#REF!</v>
      </c>
      <c r="EB599" s="4" t="e">
        <f t="shared" ref="EB599" ca="1" si="11058">EA599+$W$2</f>
        <v>#REF!</v>
      </c>
      <c r="EC599" s="692" t="str">
        <f ca="1">IFERROR(VLOOKUP(INDEX(DY599:DY610,EB599),ELM,2,FALSE),"----")</f>
        <v>----</v>
      </c>
      <c r="ED599" s="691" t="e">
        <f ca="1">IF(LEFT($J599,7)="Clad Wo",MATCH($AC605,SPEIW,-1),MATCH($AC605,SPEI,-1))</f>
        <v>#N/A</v>
      </c>
      <c r="EE599" s="4" t="e">
        <f ca="1">IF(LEFT($J599,7)="Clad Wo",IF(AND(INDEX(SPPWS,ED599,4)&gt;=$AB605,INDEX(SPPWS,ED599,5)&gt;=$S599,INDEX(SPPWS,ED599,6)&gt;=$R599),1,0),IF(AND(INDEX(SPM,ED599,4)&gt;=$AB605,INDEX(SPM,ED599,5)&gt;=$S599,INDEX(SPM,ED599,6)&gt;=$R599),1,0))</f>
        <v>#N/A</v>
      </c>
      <c r="EF599" s="4" t="e">
        <f t="shared" ref="EF599" ca="1" si="11059">MATCH(1,OFFSET(EE599:EE610,$W$2,0,COUNT(EE599:EE610)-$W$2),0)</f>
        <v>#REF!</v>
      </c>
      <c r="EG599" s="4" t="e">
        <f t="shared" ref="EG599" ca="1" si="11060">$W$2+EF599</f>
        <v>#REF!</v>
      </c>
      <c r="EH599" s="692" t="str">
        <f ca="1">IF(LEFT($J599,7)="Clad Wo",IFERROR(VLOOKUP(INDEX(ED599:ED610,EG599),SPPWS,2,FALSE),"----"),IFERROR(VLOOKUP(INDEX(ED599:ED610,EG599),SPM,2,FALSE),"----"))</f>
        <v>----</v>
      </c>
    </row>
    <row r="600" spans="1:138" ht="15" customHeight="1" x14ac:dyDescent="0.25">
      <c r="A600" s="1085"/>
      <c r="B600" s="925"/>
      <c r="C600" s="926"/>
      <c r="D600" s="927"/>
      <c r="E600" s="995"/>
      <c r="F600" s="996"/>
      <c r="G600" s="997"/>
      <c r="H600" s="1062"/>
      <c r="I600" s="990"/>
      <c r="J600" s="908"/>
      <c r="K600" s="909"/>
      <c r="L600" s="1002"/>
      <c r="M600" s="923"/>
      <c r="N600" s="1042"/>
      <c r="O600" s="1018"/>
      <c r="P600" s="987"/>
      <c r="Q600" s="1015"/>
      <c r="R600" s="1012"/>
      <c r="S600" s="1006"/>
      <c r="T600" s="1007"/>
      <c r="U600" s="878"/>
      <c r="V600" s="881"/>
      <c r="W600" s="884"/>
      <c r="X600" s="884"/>
      <c r="Y600" s="887"/>
      <c r="Z600" s="887"/>
      <c r="AA600" s="887"/>
      <c r="AB600" s="1081"/>
      <c r="AC600" s="1078"/>
      <c r="AD600" s="1102" t="s">
        <v>38</v>
      </c>
      <c r="AE600" s="1103"/>
      <c r="AF600" s="1052"/>
      <c r="AG600" s="1053"/>
      <c r="AH600" s="1053"/>
      <c r="AI600" s="1066"/>
      <c r="AJ600" s="1067"/>
      <c r="AK600" s="156" t="str">
        <f t="shared" ca="1" si="10024"/>
        <v/>
      </c>
      <c r="AL600" s="1039"/>
      <c r="AM600" s="343" t="str">
        <f ca="1">IFERROR(Q599/12*ROUND(VLOOKUP(AF600,OFFSET(SSM,0,1),6,FALSE),2),"")</f>
        <v/>
      </c>
      <c r="AN600" t="str">
        <f t="shared" ca="1" si="10040"/>
        <v/>
      </c>
      <c r="AP600" s="122" t="str">
        <f t="shared" ref="AP600" si="11061">_xlfn.CONCAT(AR600,AS604)</f>
        <v/>
      </c>
      <c r="AQ600" s="683" t="str">
        <f t="shared" si="10249"/>
        <v/>
      </c>
      <c r="AR600" s="96" t="str">
        <f t="shared" si="10009"/>
        <v/>
      </c>
      <c r="AS600" s="96" t="str">
        <f>IF(COUNTIF(Vista_1,AF599)=1,"Vista_1",IF(COUNTIF(Vista_2,AF599)=1,"Vista_2",""))</f>
        <v/>
      </c>
      <c r="AT600" s="684" t="str">
        <f>AL599</f>
        <v/>
      </c>
      <c r="AU600" s="694" t="e">
        <f t="shared" ref="AU600" ca="1" si="11062">AU599-1</f>
        <v>#REF!</v>
      </c>
      <c r="AV600" s="686" t="str">
        <f ca="1">IFERROR(VLOOKUP(AU600,INDIRECT(AQ599),2,FALSE),"----")</f>
        <v>----</v>
      </c>
      <c r="AW600" s="694" t="e">
        <f t="shared" ref="AW600:AW601" ca="1" si="11063">AW599-1</f>
        <v>#REF!</v>
      </c>
      <c r="AX600" s="686" t="str">
        <f ca="1">IFERROR(VLOOKUP(AW600,INDIRECT(AQ600),2,FALSE),"----")</f>
        <v>----</v>
      </c>
      <c r="AY600" s="694" t="e">
        <f t="shared" ref="AY600:AY601" ca="1" si="11064">AY599-1</f>
        <v>#REF!</v>
      </c>
      <c r="AZ600" s="686" t="str">
        <f ca="1">IFERROR(VLOOKUP(AY600,INDIRECT(AQ601),2,FALSE),"----")</f>
        <v>----</v>
      </c>
      <c r="BA600" s="694" t="e">
        <f t="shared" ref="BA600:BA601" ca="1" si="11065">BA599-1</f>
        <v>#REF!</v>
      </c>
      <c r="BB600" s="686" t="str">
        <f ca="1">IFERROR(VLOOKUP(BA600,INDIRECT(AQ602),2,FALSE),"----")</f>
        <v>----</v>
      </c>
      <c r="BC600" s="694" t="e">
        <f t="shared" ref="BC600:BC601" ca="1" si="11066">BC599-1</f>
        <v>#REF!</v>
      </c>
      <c r="BD600" s="686" t="str">
        <f ca="1">IFERROR(VLOOKUP(BC600,INDIRECT(AQ603),2,FALSE),"----")</f>
        <v>----</v>
      </c>
      <c r="BE600" s="694" t="e">
        <f t="shared" ref="BE600" ca="1" si="11067">BE599-1</f>
        <v>#REF!</v>
      </c>
      <c r="BF600" s="686" t="str">
        <f ca="1">IFERROR(VLOOKUP(BE600,INDIRECT(AQ604),2,FALSE),"----")</f>
        <v>----</v>
      </c>
      <c r="BG600" s="694" t="e">
        <f t="shared" ref="BG600" ca="1" si="11068">BG599-1</f>
        <v>#REF!</v>
      </c>
      <c r="BH600" s="686" t="str">
        <f ca="1">IFERROR(VLOOKUP(BG600,INDIRECT(AQ605),2,FALSE),"----")</f>
        <v>----</v>
      </c>
      <c r="BI600" s="694" t="e">
        <f t="shared" ref="BI600:BI601" ca="1" si="11069">BI599-1</f>
        <v>#REF!</v>
      </c>
      <c r="BJ600" s="686" t="str">
        <f ca="1">IFERROR(VLOOKUP(BI600,INDIRECT(AQ606),2,FALSE),"----")</f>
        <v>----</v>
      </c>
      <c r="BK600" s="694" t="e">
        <f t="shared" ref="BK600:BK601" ca="1" si="11070">BK599-1</f>
        <v>#REF!</v>
      </c>
      <c r="BL600" s="686" t="str">
        <f ca="1">IFERROR(VLOOKUP(BK600,INDIRECT(AQ607),2,FALSE),"----")</f>
        <v>----</v>
      </c>
      <c r="BM600" s="694" t="e">
        <f t="shared" ref="BM600:BM601" ca="1" si="11071">BM599-1</f>
        <v>#REF!</v>
      </c>
      <c r="BN600" s="686" t="str">
        <f ca="1">IFERROR(VLOOKUP(BM600,INDIRECT(AQ608),2,FALSE),"----")</f>
        <v>----</v>
      </c>
      <c r="BO600" s="694" t="e">
        <f t="shared" ref="BO600:BO601" ca="1" si="11072">BO599-1</f>
        <v>#REF!</v>
      </c>
      <c r="BP600" s="686" t="str">
        <f ca="1">IFERROR(VLOOKUP(BO600,INDIRECT(AQ609),2,FALSE),"----")</f>
        <v>----</v>
      </c>
      <c r="BQ600" s="694" t="e">
        <f t="shared" ref="BQ600" ca="1" si="11073">BQ599-1</f>
        <v>#REF!</v>
      </c>
      <c r="BR600" s="686" t="str">
        <f ca="1">IFERROR(VLOOKUP(BQ600,INDIRECT(AQ610),2,FALSE),"----")</f>
        <v>----</v>
      </c>
      <c r="BS600" s="695">
        <f>IF(AI600="",1,IF(COUNTIF(AX599:AX610,AI600)=0,2,1))</f>
        <v>1</v>
      </c>
      <c r="BT600" s="696">
        <f>IF(AF600="",1,IF(AX599=".",2,1))</f>
        <v>1</v>
      </c>
      <c r="BU600" s="706"/>
      <c r="BV600" s="155">
        <f ca="1">IF(COUNTIF(CJ599:CJ610,AF600)=0,IF(AF600&lt;&gt;"",0,1),1)</f>
        <v>1</v>
      </c>
      <c r="BW600" s="157">
        <f ca="1">IFERROR(MATCH(AF600,CJ599:CJ610,0),1)</f>
        <v>1</v>
      </c>
      <c r="BX600" s="769"/>
      <c r="BY600" s="769"/>
      <c r="BZ600" s="1110"/>
      <c r="CA600" s="691" t="e">
        <f t="shared" ref="CA600:CA610" ca="1" si="11074">CA599-1</f>
        <v>#REF!</v>
      </c>
      <c r="CB600" s="4" t="e" cm="1">
        <f t="array" aca="1" ref="CB600" ca="1">IF(AND(INDEX(INDIRECT(BY599),CA600,4)&gt;=$AB599,INDEX(INDIRECT(BY599),CA600,5)&gt;=$S599,INDEX(INDIRECT(BY599),CA600,6)&gt;=$R599),1,0)</f>
        <v>#REF!</v>
      </c>
      <c r="CC600" s="4" t="e">
        <f t="shared" ref="CC600" ca="1" si="11075">MATCH(1,OFFSET(CB599:CB610,CD599,0,COUNT(CB599:CB610)-CD599),0)</f>
        <v>#REF!</v>
      </c>
      <c r="CD600" s="4" t="e">
        <f t="shared" ref="CD600:CD610" ca="1" si="11076">CD599+CC600</f>
        <v>#REF!</v>
      </c>
      <c r="CE600" s="692" t="str" cm="1">
        <f t="array" aca="1" ref="CE600" ca="1">IFERROR(VLOOKUP(INDEX(CA599:CA610,CD600),INDIRECT(BY599),2,FALSE),"----")</f>
        <v>----</v>
      </c>
      <c r="CF600" s="691" t="e">
        <f t="shared" ref="CF600:CF610" ca="1" si="11077">CF599-1</f>
        <v>#N/A</v>
      </c>
      <c r="CG600" s="4" t="e">
        <f ca="1">IF(AND(INDEX(SSM,CF600,4)&gt;=$AB599,INDEX(SSM,CF600,5)&gt;=$S599,INDEX(SSM,CF600,6)&gt;=$R599),1,0)</f>
        <v>#N/A</v>
      </c>
      <c r="CH600" s="4" t="e">
        <f t="shared" ref="CH600" ca="1" si="11078">MATCH(1,OFFSET(CG599:CG610,CI599,0,COUNT(CG599:CG610)-CI599),0)</f>
        <v>#REF!</v>
      </c>
      <c r="CI600" s="4" t="e">
        <f t="shared" ref="CI600:CI610" ca="1" si="11079">CI599+CH600</f>
        <v>#REF!</v>
      </c>
      <c r="CJ600" s="692" t="str">
        <f ca="1">IFERROR(IF(AD600="Nested Steel Stud (wood infill)",VLOOKUP(INDEX(CF599:CF610,CI600),SSW,2,FALSE),VLOOKUP(INDEX(CF599:CF610,CI600),SSM,2,FALSE)),"----")</f>
        <v>----</v>
      </c>
      <c r="CK600" s="691" t="e">
        <f t="shared" ref="CK600:CK610" ca="1" si="11080">CK599-1</f>
        <v>#N/A</v>
      </c>
      <c r="CL600" s="4" t="e">
        <f ca="1">IF(AND(INDEX(WSM,CK600,4)&gt;=$AB599,INDEX(WSM,CK600,5)&gt;=$S599,INDEX(WSM,CK600,6)&gt;=$R599),1,0)</f>
        <v>#N/A</v>
      </c>
      <c r="CM600" s="4" t="e">
        <f t="shared" ref="CM600" ca="1" si="11081">MATCH(1,OFFSET(CL599:CL610,CN599,0,COUNT(CL599:CL610)-CN599),0)</f>
        <v>#REF!</v>
      </c>
      <c r="CN600" s="4" t="e">
        <f t="shared" ref="CN600:CN610" ca="1" si="11082">CM600+CN599</f>
        <v>#REF!</v>
      </c>
      <c r="CO600" s="692" t="str">
        <f ca="1">IFERROR(VLOOKUP(INDEX(CK599:CK610,CN600),WSM,2,FALSE),"----")</f>
        <v>----</v>
      </c>
      <c r="CP600" s="691" t="e">
        <f t="shared" ref="CP600:CP610" ca="1" si="11083">CP599-1</f>
        <v>#N/A</v>
      </c>
      <c r="CQ600" s="4" t="e">
        <f ca="1">IF(AND(INDEX(STM,CP600,4)&gt;=$AB599,INDEX(STM,CP600,5)&gt;=$S599,INDEX(STM,CP600,6)&gt;=$R599),1,0)</f>
        <v>#N/A</v>
      </c>
      <c r="CR600" s="4" t="e">
        <f t="shared" ref="CR600" ca="1" si="11084">MATCH(1,OFFSET(CQ599:CQ610,CS599,0,COUNT(CQ599:CQ610)-CS599),0)</f>
        <v>#REF!</v>
      </c>
      <c r="CS600" s="4" t="e">
        <f t="shared" ref="CS600:CS610" ca="1" si="11085">CR600+CS599</f>
        <v>#REF!</v>
      </c>
      <c r="CT600" s="692" t="str">
        <f ca="1">IFERROR(VLOOKUP(INDEX(CP599:CP610,CS600),STM,2,FALSE),"----")</f>
        <v>----</v>
      </c>
      <c r="CU600" s="691" t="e">
        <f t="shared" ref="CU600:CU610" ca="1" si="11086">CU599-1</f>
        <v>#N/A</v>
      </c>
      <c r="CV600" s="4" t="e">
        <f ca="1">IF(AND(INDEX(ELM,CU600,4)&gt;=$AB599,INDEX(ELM,CU600,5)&gt;=$S599,INDEX(ELM,CU600,6)&gt;=$R599),1,0)</f>
        <v>#N/A</v>
      </c>
      <c r="CW600" s="4" t="e">
        <f t="shared" ref="CW600" ca="1" si="11087">MATCH(1,OFFSET(CV599:CV610,CX599,0,COUNT(CV599:CV610)-CX599),0)</f>
        <v>#REF!</v>
      </c>
      <c r="CX600" s="4" t="e">
        <f t="shared" ref="CX600:CX610" ca="1" si="11088">CW600+CX599</f>
        <v>#REF!</v>
      </c>
      <c r="CY600" s="692" t="str">
        <f ca="1">IFERROR(VLOOKUP(INDEX(CU599:CU610,CX600),ELM,2,FALSE),"----")</f>
        <v>----</v>
      </c>
      <c r="CZ600" s="691" t="e">
        <f t="shared" ref="CZ600:CZ610" ca="1" si="11089">CZ599-1</f>
        <v>#N/A</v>
      </c>
      <c r="DA600" s="4" t="e">
        <f ca="1">IF(LEFT($J599,7)="Clad Wo",IF(AND(INDEX(SPPWS,CZ600,4)&gt;=$AB599,INDEX(SPPWS,CZ600,5)&gt;=$S599,INDEX(SPPWS,CZ600,6)&gt;=$R599),1,0),IF(AND(INDEX(SPM,CZ600,4)&gt;=$AB599,INDEX(SPM,CZ600,5)&gt;=$S599,INDEX(SPM,CZ600,6)&gt;=$R599),1,0))</f>
        <v>#N/A</v>
      </c>
      <c r="DB600" s="4" t="e">
        <f t="shared" ref="DB600" ca="1" si="11090">MATCH(1,OFFSET(DA599:DA610,DC599,0,COUNT(DA599:DA610)-DC599),0)</f>
        <v>#REF!</v>
      </c>
      <c r="DC600" s="4" t="e">
        <f t="shared" ref="DC600:DC610" ca="1" si="11091">DC599+DB600</f>
        <v>#REF!</v>
      </c>
      <c r="DD600" s="693" t="str">
        <f ca="1">IF(LEFT($J599,7)="Clad Wo",IFERROR(VLOOKUP(INDEX(CZ599:CZ610,DC600),SPPWS,2,FALSE),"----"),IFERROR(VLOOKUP(INDEX(CZ599:CZ610,DC600),SPM,2,FALSE),"----"))</f>
        <v>----</v>
      </c>
      <c r="DE600" s="691" t="e">
        <f t="shared" ref="DE600:DE610" ca="1" si="11092">DE599-1</f>
        <v>#REF!</v>
      </c>
      <c r="DF600" s="4" t="e" cm="1">
        <f t="array" aca="1" ref="DF600" ca="1">IF(AND(INDEX(INDIRECT(BY599),DE600,4)&gt;=$AB605,INDEX(INDIRECT(BY599),DE600,5)&gt;=$S599,INDEX(INDIRECT(BY599),DE600,6)&gt;=$R599),1,0)</f>
        <v>#REF!</v>
      </c>
      <c r="DG600" s="4" t="e">
        <f t="shared" ref="DG600" ca="1" si="11093">MATCH(1,OFFSET(DF599:DF610,DH599,0,COUNT(DF599:DF610)-DH599),0)</f>
        <v>#REF!</v>
      </c>
      <c r="DH600" s="4" t="e">
        <f t="shared" ref="DH600:DH610" ca="1" si="11094">DH599+DG600</f>
        <v>#REF!</v>
      </c>
      <c r="DI600" s="692" t="str" cm="1">
        <f t="array" aca="1" ref="DI600" ca="1">IFERROR(VLOOKUP(INDEX(DE599:DE610,DH600),INDIRECT(BY599),2,FALSE),"----")</f>
        <v>----</v>
      </c>
      <c r="DJ600" s="691" t="e">
        <f t="shared" ref="DJ600:DJ610" ca="1" si="11095">DJ599-1</f>
        <v>#N/A</v>
      </c>
      <c r="DK600" s="4" t="e">
        <f ca="1">IF(AND(INDEX(SSM,DJ600,4)&gt;=$AB605,INDEX(SSM,DJ600,5)&gt;=$S599,INDEX(SSM,DJ600,6)&gt;=$R599),1,0)</f>
        <v>#N/A</v>
      </c>
      <c r="DL600" s="4" t="e">
        <f t="shared" ref="DL600" ca="1" si="11096">MATCH(1,OFFSET(DK599:DK610,DM599,0,COUNT(DK599:DK610)-DM599),0)</f>
        <v>#REF!</v>
      </c>
      <c r="DM600" s="4" t="e">
        <f t="shared" ref="DM600:DM610" ca="1" si="11097">DL600+DM599</f>
        <v>#REF!</v>
      </c>
      <c r="DN600" s="692" t="str">
        <f ca="1">IFERROR(IF(AD606="Nested Steel Stud (wood infill)",VLOOKUP(INDEX(DJ599:DJ610,DM600),SSW,2,FALSE),VLOOKUP(INDEX(DJ599:DJ610,DM600),SSM,2,FALSE)),"----")</f>
        <v>----</v>
      </c>
      <c r="DO600" s="691" t="e">
        <f t="shared" ref="DO600:DO610" ca="1" si="11098">DO599-1</f>
        <v>#N/A</v>
      </c>
      <c r="DP600" s="4" t="e">
        <f ca="1">IF(AND(INDEX(WSM,DO600,4)&gt;=$AB605,INDEX(WSM,DO600,5)&gt;=$S599,INDEX(WSM,DO600,6)&gt;=$R599),1,0)</f>
        <v>#N/A</v>
      </c>
      <c r="DQ600" s="4" t="e">
        <f t="shared" ref="DQ600" ca="1" si="11099">MATCH(1,OFFSET(DP599:DP610,DR599,0,COUNT(DP599:DP610)-DR599),0)</f>
        <v>#REF!</v>
      </c>
      <c r="DR600" s="4" t="e">
        <f t="shared" ref="DR600:DR610" ca="1" si="11100">DQ600+DR599</f>
        <v>#REF!</v>
      </c>
      <c r="DS600" s="692" t="str">
        <f ca="1">IFERROR(VLOOKUP(INDEX(DO599:DO610,DR600),WSM,2,FALSE),"----")</f>
        <v>----</v>
      </c>
      <c r="DT600" s="691" t="e">
        <f t="shared" ref="DT600:DT610" ca="1" si="11101">DT599-1</f>
        <v>#N/A</v>
      </c>
      <c r="DU600" s="4" t="e">
        <f ca="1">IF(AND(INDEX(STM,DT600,4)&gt;=$AB605,INDEX(STM,DT600,5)&gt;=$S599,INDEX(STM,DT600,6)&gt;=$R599),1,0)</f>
        <v>#N/A</v>
      </c>
      <c r="DV600" s="4" t="e">
        <f t="shared" ref="DV600" ca="1" si="11102">MATCH(1,OFFSET(DU599:DU610,DW599,0,COUNT(DU599:DU610)-DW599),0)</f>
        <v>#REF!</v>
      </c>
      <c r="DW600" s="4" t="e">
        <f t="shared" ref="DW600:DW610" ca="1" si="11103">DV600+DW599</f>
        <v>#REF!</v>
      </c>
      <c r="DX600" s="692" t="str">
        <f ca="1">IFERROR(VLOOKUP(INDEX(DT599:DT610,DW600),STM,2,FALSE),"----")</f>
        <v>----</v>
      </c>
      <c r="DY600" s="691" t="e">
        <f t="shared" ref="DY600:DY610" ca="1" si="11104">DY599-1</f>
        <v>#N/A</v>
      </c>
      <c r="DZ600" s="4" t="e">
        <f ca="1">IF(AND(INDEX(ELM,DY600,4)&gt;=$AB605,INDEX(ELM,DY600,5)&gt;=$S599,INDEX(ELM,DY600,6)&gt;=$R599),1,0)</f>
        <v>#N/A</v>
      </c>
      <c r="EA600" s="4" t="e">
        <f t="shared" ref="EA600" ca="1" si="11105">MATCH(1,OFFSET(DZ599:DZ610,EB599,0,COUNT(DZ599:DZ610)-EB599),0)</f>
        <v>#REF!</v>
      </c>
      <c r="EB600" s="4" t="e">
        <f t="shared" ref="EB600:EB610" ca="1" si="11106">EA600+EB599</f>
        <v>#REF!</v>
      </c>
      <c r="EC600" s="692" t="str">
        <f ca="1">IFERROR(VLOOKUP(INDEX(DY599:DY610,EB600),ELM,2,FALSE),"----")</f>
        <v>----</v>
      </c>
      <c r="ED600" s="691" t="e">
        <f t="shared" ref="ED600:ED610" ca="1" si="11107">ED599-1</f>
        <v>#N/A</v>
      </c>
      <c r="EE600" s="4" t="e">
        <f ca="1">IF(LEFT($J599,7)="Clad Wo",IF(AND(INDEX(SPPWS,ED600,4)&gt;=$AB605,INDEX(SPPWS,ED600,5)&gt;=$S599,INDEX(SPPWS,ED600,6)&gt;=$R599),1,0),IF(AND(INDEX(SPM,ED600,4)&gt;=$AB605,INDEX(SPM,ED600,5)&gt;=$S599,INDEX(SPM,ED600,6)&gt;=$R599),1,0))</f>
        <v>#N/A</v>
      </c>
      <c r="EF600" s="4" t="e">
        <f t="shared" ref="EF600" ca="1" si="11108">MATCH(1,OFFSET(EE599:EE610,EG599,0,COUNT(EE599:EE610)-EG599),0)</f>
        <v>#REF!</v>
      </c>
      <c r="EG600" s="4" t="e">
        <f t="shared" ref="EG600:EG610" ca="1" si="11109">EG599+EF600</f>
        <v>#REF!</v>
      </c>
      <c r="EH600" s="692" t="str">
        <f ca="1">IF(LEFT($J599,7)="Clad Wo",IFERROR(VLOOKUP(INDEX(ED599:ED610,EG600),SPPWS,2,FALSE),"----"),IFERROR(VLOOKUP(INDEX(ED599:ED610,EG600),SPM,2,FALSE),"----"))</f>
        <v>----</v>
      </c>
    </row>
    <row r="601" spans="1:138" ht="15" customHeight="1" x14ac:dyDescent="0.25">
      <c r="A601" s="1085"/>
      <c r="B601" s="925"/>
      <c r="C601" s="926"/>
      <c r="D601" s="927"/>
      <c r="E601" s="995"/>
      <c r="F601" s="996"/>
      <c r="G601" s="997"/>
      <c r="H601" s="1062"/>
      <c r="I601" s="990"/>
      <c r="J601" s="908"/>
      <c r="K601" s="909"/>
      <c r="L601" s="1002"/>
      <c r="M601" s="923"/>
      <c r="N601" s="1042"/>
      <c r="O601" s="1018"/>
      <c r="P601" s="987"/>
      <c r="Q601" s="1015"/>
      <c r="R601" s="1012"/>
      <c r="S601" s="1006"/>
      <c r="T601" s="1007"/>
      <c r="U601" s="878"/>
      <c r="V601" s="881"/>
      <c r="W601" s="884"/>
      <c r="X601" s="884"/>
      <c r="Y601" s="887"/>
      <c r="Z601" s="887"/>
      <c r="AA601" s="887"/>
      <c r="AB601" s="1081"/>
      <c r="AC601" s="1078"/>
      <c r="AD601" s="1070" t="s">
        <v>333</v>
      </c>
      <c r="AE601" s="1071"/>
      <c r="AF601" s="1052"/>
      <c r="AG601" s="1053"/>
      <c r="AH601" s="1053"/>
      <c r="AI601" s="1066"/>
      <c r="AJ601" s="1067"/>
      <c r="AK601" s="154" t="str">
        <f t="shared" ca="1" si="10024"/>
        <v/>
      </c>
      <c r="AL601" s="1039"/>
      <c r="AM601" s="344" t="str">
        <f ca="1">IFERROR(Q599/12*ROUND(VLOOKUP(AF601,OFFSET(WSM,0,1),6,FALSE),2),"")</f>
        <v/>
      </c>
      <c r="AN601" t="str">
        <f t="shared" ca="1" si="10040"/>
        <v/>
      </c>
      <c r="AP601" s="122" t="str">
        <f t="shared" ref="AP601" si="11110">_xlfn.CONCAT(AR601,AS604)</f>
        <v/>
      </c>
      <c r="AQ601" s="683" t="str">
        <f t="shared" si="10249"/>
        <v/>
      </c>
      <c r="AR601" s="4" t="str">
        <f t="shared" si="10009"/>
        <v/>
      </c>
      <c r="AS601" s="4"/>
      <c r="AT601" s="697" t="str">
        <f>AL599</f>
        <v/>
      </c>
      <c r="AU601" s="694" t="e">
        <f t="shared" ca="1" si="10265"/>
        <v>#REF!</v>
      </c>
      <c r="AV601" s="686" t="str">
        <f ca="1">IFERROR(VLOOKUP(AU601,INDIRECT(AQ599),2,FALSE),"----")</f>
        <v>----</v>
      </c>
      <c r="AW601" s="694" t="e">
        <f t="shared" ca="1" si="11063"/>
        <v>#REF!</v>
      </c>
      <c r="AX601" s="686" t="str">
        <f ca="1">IFERROR(VLOOKUP(AW601,INDIRECT(AQ600),2,FALSE),"----")</f>
        <v>----</v>
      </c>
      <c r="AY601" s="694" t="e">
        <f t="shared" ca="1" si="11064"/>
        <v>#REF!</v>
      </c>
      <c r="AZ601" s="686" t="str">
        <f ca="1">IFERROR(VLOOKUP(AY601,INDIRECT(AQ601),2,FALSE),"----")</f>
        <v>----</v>
      </c>
      <c r="BA601" s="694" t="e">
        <f t="shared" ca="1" si="11065"/>
        <v>#REF!</v>
      </c>
      <c r="BB601" s="686" t="str">
        <f ca="1">IFERROR(VLOOKUP(BA601,INDIRECT(AQ602),2,FALSE),"----")</f>
        <v>----</v>
      </c>
      <c r="BC601" s="694" t="e">
        <f t="shared" ca="1" si="11066"/>
        <v>#REF!</v>
      </c>
      <c r="BD601" s="686" t="str">
        <f ca="1">IFERROR(VLOOKUP(BC601,INDIRECT(AQ603),2,FALSE),"----")</f>
        <v>----</v>
      </c>
      <c r="BE601" s="694" t="e">
        <f t="shared" ca="1" si="10268"/>
        <v>#REF!</v>
      </c>
      <c r="BF601" s="686" t="str">
        <f ca="1">IFERROR(VLOOKUP(BE601,INDIRECT(AQ604),2,FALSE),"----")</f>
        <v>----</v>
      </c>
      <c r="BG601" s="694" t="e">
        <f t="shared" ca="1" si="10269"/>
        <v>#REF!</v>
      </c>
      <c r="BH601" s="686" t="str">
        <f ca="1">IFERROR(VLOOKUP(BG601,INDIRECT(AQ605),2,FALSE),"----")</f>
        <v>----</v>
      </c>
      <c r="BI601" s="694" t="e">
        <f t="shared" ca="1" si="11069"/>
        <v>#REF!</v>
      </c>
      <c r="BJ601" s="686" t="str">
        <f ca="1">IFERROR(VLOOKUP(BI601,INDIRECT(AQ606),2,FALSE),"----")</f>
        <v>----</v>
      </c>
      <c r="BK601" s="694" t="e">
        <f t="shared" ca="1" si="11070"/>
        <v>#REF!</v>
      </c>
      <c r="BL601" s="686" t="str">
        <f ca="1">IFERROR(VLOOKUP(BK601,INDIRECT(AQ607),2,FALSE),"----")</f>
        <v>----</v>
      </c>
      <c r="BM601" s="694" t="e">
        <f t="shared" ca="1" si="11071"/>
        <v>#REF!</v>
      </c>
      <c r="BN601" s="686" t="str">
        <f ca="1">IFERROR(VLOOKUP(BM601,INDIRECT(AQ608),2,FALSE),"----")</f>
        <v>----</v>
      </c>
      <c r="BO601" s="694" t="e">
        <f t="shared" ca="1" si="11072"/>
        <v>#REF!</v>
      </c>
      <c r="BP601" s="686" t="str">
        <f ca="1">IFERROR(VLOOKUP(BO601,INDIRECT(AQ609),2,FALSE),"----")</f>
        <v>----</v>
      </c>
      <c r="BQ601" s="694" t="e">
        <f t="shared" ca="1" si="10274"/>
        <v>#REF!</v>
      </c>
      <c r="BR601" s="686" t="str">
        <f ca="1">IFERROR(VLOOKUP(BQ601,INDIRECT(AQ610),2,FALSE),"----")</f>
        <v>----</v>
      </c>
      <c r="BS601" s="695">
        <f>IF(AI601="",1,IF(COUNTIF(AZ599:AZ610,AI601)=0,2,1))</f>
        <v>1</v>
      </c>
      <c r="BT601" s="696">
        <f>IF(AF601="",1,IF(AZ599=".",2,1))</f>
        <v>1</v>
      </c>
      <c r="BU601" s="706"/>
      <c r="BV601" s="155">
        <f ca="1">IF(COUNTIF(CO599:CO610,AF601)=0,IF(AF601&lt;&gt;"",0,1),1)</f>
        <v>1</v>
      </c>
      <c r="BW601" s="157">
        <f ca="1">IFERROR(MATCH(AF601,CO599:CO610,0),1)</f>
        <v>1</v>
      </c>
      <c r="BX601" s="769"/>
      <c r="BY601" s="769"/>
      <c r="BZ601" s="1110"/>
      <c r="CA601" s="691" t="e">
        <f t="shared" ca="1" si="11074"/>
        <v>#REF!</v>
      </c>
      <c r="CB601" s="4" t="e" cm="1">
        <f t="array" aca="1" ref="CB601" ca="1">IF(AND(INDEX(INDIRECT(BY599),CA601,4)&gt;=$AB599,INDEX(INDIRECT(BY599),CA601,5)&gt;=$S599,INDEX(INDIRECT(BY599),CA601,6)&gt;=$R599),1,0)</f>
        <v>#REF!</v>
      </c>
      <c r="CC601" s="4" t="e">
        <f t="shared" ref="CC601" ca="1" si="11111">MATCH(1,OFFSET(CB599:CB610,CD600,0,COUNT(CB599:CB610)-CD600),0)</f>
        <v>#REF!</v>
      </c>
      <c r="CD601" s="4" t="e">
        <f t="shared" ca="1" si="11076"/>
        <v>#REF!</v>
      </c>
      <c r="CE601" s="692" t="str" cm="1">
        <f t="array" aca="1" ref="CE601" ca="1">IFERROR(VLOOKUP(INDEX(CA599:CA610,CD601),INDIRECT(BY599),2,FALSE),"----")</f>
        <v>----</v>
      </c>
      <c r="CF601" s="691" t="e">
        <f t="shared" ca="1" si="11077"/>
        <v>#N/A</v>
      </c>
      <c r="CG601" s="4" t="e">
        <f ca="1">IF(AND(INDEX(SSM,CF601,4)&gt;=$AB599,INDEX(SSM,CF601,5)&gt;=$S599,INDEX(SSM,CF601,6)&gt;=$R599),1,0)</f>
        <v>#N/A</v>
      </c>
      <c r="CH601" s="4" t="e">
        <f t="shared" ref="CH601" ca="1" si="11112">MATCH(1,OFFSET(CG599:CG610,CI600,0,COUNT(CG599:CG610)-CI600),0)</f>
        <v>#REF!</v>
      </c>
      <c r="CI601" s="4" t="e">
        <f t="shared" ca="1" si="11079"/>
        <v>#REF!</v>
      </c>
      <c r="CJ601" s="692" t="str">
        <f ca="1">IFERROR(IF(AD600="Nested Steel Stud (wood infill)",VLOOKUP(INDEX(CF599:CF610,CI601),SSW,2,FALSE),VLOOKUP(INDEX(CF599:CF610,CI601),SSM,2,FALSE)),"----")</f>
        <v>----</v>
      </c>
      <c r="CK601" s="691" t="e">
        <f t="shared" ca="1" si="11080"/>
        <v>#N/A</v>
      </c>
      <c r="CL601" s="4" t="e">
        <f ca="1">IF(AND(INDEX(WSM,CK601,4)&gt;=$AB599,INDEX(WSM,CK601,5)&gt;=$S599,INDEX(WSM,CK601,6)&gt;=$R599),1,0)</f>
        <v>#N/A</v>
      </c>
      <c r="CM601" s="4" t="e">
        <f t="shared" ref="CM601" ca="1" si="11113">MATCH(1,OFFSET(CL599:CL610,CN600,0,COUNT(CL599:CL610)-CN600),0)</f>
        <v>#REF!</v>
      </c>
      <c r="CN601" s="4" t="e">
        <f t="shared" ca="1" si="11082"/>
        <v>#REF!</v>
      </c>
      <c r="CO601" s="692" t="str">
        <f ca="1">IFERROR(VLOOKUP(INDEX(CK599:CK610,CN601),WSM,2,FALSE),"----")</f>
        <v>----</v>
      </c>
      <c r="CP601" s="691" t="e">
        <f t="shared" ca="1" si="11083"/>
        <v>#N/A</v>
      </c>
      <c r="CQ601" s="4" t="e">
        <f ca="1">IF(AND(INDEX(STM,CP601,4)&gt;=$AB599,INDEX(STM,CP601,5)&gt;=$S599,INDEX(STM,CP601,6)&gt;=$R599),1,0)</f>
        <v>#N/A</v>
      </c>
      <c r="CR601" s="4" t="e">
        <f t="shared" ref="CR601" ca="1" si="11114">MATCH(1,OFFSET(CQ599:CQ610,CS600,0,COUNT(CQ599:CQ610)-CS600),0)</f>
        <v>#REF!</v>
      </c>
      <c r="CS601" s="4" t="e">
        <f t="shared" ca="1" si="11085"/>
        <v>#REF!</v>
      </c>
      <c r="CT601" s="692" t="str">
        <f ca="1">IFERROR(VLOOKUP(INDEX(CP599:CP610,CS601),STM,2,FALSE),"----")</f>
        <v>----</v>
      </c>
      <c r="CU601" s="691" t="e">
        <f t="shared" ca="1" si="11086"/>
        <v>#N/A</v>
      </c>
      <c r="CV601" s="4" t="e">
        <f ca="1">IF(AND(INDEX(ELM,CU601,4)&gt;=$AB599,INDEX(ELM,CU601,5)&gt;=$S599,INDEX(ELM,CU601,6)&gt;=$R599),1,0)</f>
        <v>#N/A</v>
      </c>
      <c r="CW601" s="4" t="e">
        <f t="shared" ref="CW601" ca="1" si="11115">MATCH(1,OFFSET(CV599:CV610,CX600,0,COUNT(CV599:CV610)-CX600),0)</f>
        <v>#REF!</v>
      </c>
      <c r="CX601" s="4" t="e">
        <f t="shared" ca="1" si="11088"/>
        <v>#REF!</v>
      </c>
      <c r="CY601" s="692" t="str">
        <f ca="1">IFERROR(VLOOKUP(INDEX(CU599:CU610,CX601),ELM,2,FALSE),"----")</f>
        <v>----</v>
      </c>
      <c r="CZ601" s="691" t="e">
        <f t="shared" ca="1" si="11089"/>
        <v>#N/A</v>
      </c>
      <c r="DA601" s="4" t="e">
        <f ca="1">IF(LEFT($J599,7)="Clad Wo",IF(AND(INDEX(SPPWS,CZ601,4)&gt;=$AB599,INDEX(SPPWS,CZ601,5)&gt;=$S599,INDEX(SPPWS,CZ601,6)&gt;=$R599),1,0),IF(AND(INDEX(SPM,CZ601,4)&gt;=$AB599,INDEX(SPM,CZ601,5)&gt;=$S599,INDEX(SPM,CZ601,6)&gt;=$R599),1,0))</f>
        <v>#N/A</v>
      </c>
      <c r="DB601" s="4" t="e">
        <f t="shared" ref="DB601" ca="1" si="11116">MATCH(1,OFFSET(DA599:DA610,DC600,0,COUNT(DA599:DA610)-DC600),0)</f>
        <v>#REF!</v>
      </c>
      <c r="DC601" s="4" t="e">
        <f t="shared" ca="1" si="11091"/>
        <v>#REF!</v>
      </c>
      <c r="DD601" s="693" t="str">
        <f ca="1">IF(LEFT($J599,7)="Clad Wo",IFERROR(VLOOKUP(INDEX(CZ599:CZ610,DC601),SPPWS,2,FALSE),"----"),IFERROR(VLOOKUP(INDEX(CZ599:CZ610,DC601),SPM,2,FALSE),"----"))</f>
        <v>----</v>
      </c>
      <c r="DE601" s="691" t="e">
        <f t="shared" ca="1" si="11092"/>
        <v>#REF!</v>
      </c>
      <c r="DF601" s="4" t="e" cm="1">
        <f t="array" aca="1" ref="DF601" ca="1">IF(AND(INDEX(INDIRECT(BY599),DE601,4)&gt;=$AB605,INDEX(INDIRECT(BY599),DE601,5)&gt;=$S599,INDEX(INDIRECT(BY599),DE601,6)&gt;=$R599),1,0)</f>
        <v>#REF!</v>
      </c>
      <c r="DG601" s="4" t="e">
        <f t="shared" ref="DG601" ca="1" si="11117">MATCH(1,OFFSET(DF599:DF610,DH600,0,COUNT(DF599:DF610)-DH600),0)</f>
        <v>#REF!</v>
      </c>
      <c r="DH601" s="4" t="e">
        <f t="shared" ca="1" si="11094"/>
        <v>#REF!</v>
      </c>
      <c r="DI601" s="692" t="str" cm="1">
        <f t="array" aca="1" ref="DI601" ca="1">IFERROR(VLOOKUP(INDEX(DE599:DE610,DH601),INDIRECT(BY599),2,FALSE),"----")</f>
        <v>----</v>
      </c>
      <c r="DJ601" s="691" t="e">
        <f t="shared" ca="1" si="11095"/>
        <v>#N/A</v>
      </c>
      <c r="DK601" s="4" t="e">
        <f ca="1">IF(AND(INDEX(SSM,DJ601,4)&gt;=$AB605,INDEX(SSM,DJ601,5)&gt;=$S599,INDEX(SSM,DJ601,6)&gt;=$R599),1,0)</f>
        <v>#N/A</v>
      </c>
      <c r="DL601" s="4" t="e">
        <f t="shared" ref="DL601" ca="1" si="11118">MATCH(1,OFFSET(DK599:DK610,DM600,0,COUNT(DK599:DK610)-DM600),0)</f>
        <v>#REF!</v>
      </c>
      <c r="DM601" s="4" t="e">
        <f t="shared" ca="1" si="11097"/>
        <v>#REF!</v>
      </c>
      <c r="DN601" s="692" t="str">
        <f ca="1">IFERROR(IF(AD606="Nested Steel Stud (wood infill)",VLOOKUP(INDEX(DJ599:DJ610,DM601),SSW,2,FALSE),VLOOKUP(INDEX(DJ599:DJ610,DM601),SSM,2,FALSE)),"----")</f>
        <v>----</v>
      </c>
      <c r="DO601" s="691" t="e">
        <f t="shared" ca="1" si="11098"/>
        <v>#N/A</v>
      </c>
      <c r="DP601" s="4" t="e">
        <f ca="1">IF(AND(INDEX(WSM,DO601,4)&gt;=$AB605,INDEX(WSM,DO601,5)&gt;=$S599,INDEX(WSM,DO601,6)&gt;=$R599),1,0)</f>
        <v>#N/A</v>
      </c>
      <c r="DQ601" s="4" t="e">
        <f t="shared" ref="DQ601" ca="1" si="11119">MATCH(1,OFFSET(DP599:DP610,DR600,0,COUNT(DP599:DP610)-DR600),0)</f>
        <v>#REF!</v>
      </c>
      <c r="DR601" s="4" t="e">
        <f t="shared" ca="1" si="11100"/>
        <v>#REF!</v>
      </c>
      <c r="DS601" s="692" t="str">
        <f ca="1">IFERROR(VLOOKUP(INDEX(DO599:DO610,DR601),WSM,2,FALSE),"----")</f>
        <v>----</v>
      </c>
      <c r="DT601" s="691" t="e">
        <f t="shared" ca="1" si="11101"/>
        <v>#N/A</v>
      </c>
      <c r="DU601" s="4" t="e">
        <f ca="1">IF(AND(INDEX(STM,DT601,4)&gt;=$AB605,INDEX(STM,DT601,5)&gt;=$S599,INDEX(STM,DT601,6)&gt;=$R599),1,0)</f>
        <v>#N/A</v>
      </c>
      <c r="DV601" s="4" t="e">
        <f t="shared" ref="DV601" ca="1" si="11120">MATCH(1,OFFSET(DU599:DU610,DW600,0,COUNT(DU599:DU610)-DW600),0)</f>
        <v>#REF!</v>
      </c>
      <c r="DW601" s="4" t="e">
        <f t="shared" ca="1" si="11103"/>
        <v>#REF!</v>
      </c>
      <c r="DX601" s="692" t="str">
        <f ca="1">IFERROR(VLOOKUP(INDEX(DT599:DT610,DW601),STM,2,FALSE),"----")</f>
        <v>----</v>
      </c>
      <c r="DY601" s="691" t="e">
        <f t="shared" ca="1" si="11104"/>
        <v>#N/A</v>
      </c>
      <c r="DZ601" s="4" t="e">
        <f ca="1">IF(AND(INDEX(ELM,DY601,4)&gt;=$AB605,INDEX(ELM,DY601,5)&gt;=$S599,INDEX(ELM,DY601,6)&gt;=$R599),1,0)</f>
        <v>#N/A</v>
      </c>
      <c r="EA601" s="4" t="e">
        <f t="shared" ref="EA601" ca="1" si="11121">MATCH(1,OFFSET(DZ599:DZ610,EB600,0,COUNT(DZ599:DZ610)-EB600),0)</f>
        <v>#REF!</v>
      </c>
      <c r="EB601" s="4" t="e">
        <f t="shared" ca="1" si="11106"/>
        <v>#REF!</v>
      </c>
      <c r="EC601" s="692" t="str">
        <f ca="1">IFERROR(VLOOKUP(INDEX(DY599:DY610,EB601),ELM,2,FALSE),"----")</f>
        <v>----</v>
      </c>
      <c r="ED601" s="691" t="e">
        <f t="shared" ca="1" si="11107"/>
        <v>#N/A</v>
      </c>
      <c r="EE601" s="4" t="e">
        <f ca="1">IF(LEFT($J599,7)="Clad Wo",IF(AND(INDEX(SPPWS,ED601,4)&gt;=$AB605,INDEX(SPPWS,ED601,5)&gt;=$S599,INDEX(SPPWS,ED601,6)&gt;=$R599),1,0),IF(AND(INDEX(SPM,ED601,4)&gt;=$AB605,INDEX(SPM,ED601,5)&gt;=$S599,INDEX(SPM,ED601,6)&gt;=$R599),1,0))</f>
        <v>#N/A</v>
      </c>
      <c r="EF601" s="4" t="e">
        <f t="shared" ref="EF601" ca="1" si="11122">MATCH(1,OFFSET(EE599:EE610,EG600,0,COUNT(EE599:EE610)-EG600),0)</f>
        <v>#REF!</v>
      </c>
      <c r="EG601" s="4" t="e">
        <f t="shared" ca="1" si="11109"/>
        <v>#REF!</v>
      </c>
      <c r="EH601" s="692" t="str">
        <f ca="1">IF(LEFT($J599,7)="Clad Wo",IFERROR(VLOOKUP(INDEX(ED599:ED610,EG601),SPPWS,2,FALSE),"----"),IFERROR(VLOOKUP(INDEX(ED599:ED610,EG601),SPM,2,FALSE),"----"))</f>
        <v>----</v>
      </c>
    </row>
    <row r="602" spans="1:138" ht="15" customHeight="1" x14ac:dyDescent="0.25">
      <c r="A602" s="1085"/>
      <c r="B602" s="925"/>
      <c r="C602" s="926"/>
      <c r="D602" s="927"/>
      <c r="E602" s="995"/>
      <c r="F602" s="996"/>
      <c r="G602" s="997"/>
      <c r="H602" s="1062"/>
      <c r="I602" s="990"/>
      <c r="J602" s="908"/>
      <c r="K602" s="909"/>
      <c r="L602" s="1002"/>
      <c r="M602" s="923"/>
      <c r="N602" s="1042"/>
      <c r="O602" s="1018"/>
      <c r="P602" s="987"/>
      <c r="Q602" s="1015"/>
      <c r="R602" s="1012"/>
      <c r="S602" s="1006"/>
      <c r="T602" s="1007"/>
      <c r="U602" s="878"/>
      <c r="V602" s="881"/>
      <c r="W602" s="884"/>
      <c r="X602" s="884"/>
      <c r="Y602" s="887"/>
      <c r="Z602" s="887"/>
      <c r="AA602" s="887"/>
      <c r="AB602" s="1081"/>
      <c r="AC602" s="1078"/>
      <c r="AD602" s="1070" t="s">
        <v>37</v>
      </c>
      <c r="AE602" s="1071"/>
      <c r="AF602" s="1052"/>
      <c r="AG602" s="1053"/>
      <c r="AH602" s="1053"/>
      <c r="AI602" s="1066"/>
      <c r="AJ602" s="1067"/>
      <c r="AK602" s="156" t="str">
        <f t="shared" ca="1" si="10024"/>
        <v/>
      </c>
      <c r="AL602" s="1039"/>
      <c r="AM602" s="343" t="str">
        <f ca="1">IFERROR(Q599/12*ROUND(VLOOKUP(AF602,OFFSET(STM,0,1),6,FALSE),2),"")</f>
        <v/>
      </c>
      <c r="AN602" t="str">
        <f t="shared" ca="1" si="10040"/>
        <v/>
      </c>
      <c r="AP602" s="122" t="str">
        <f t="shared" ref="AP602" si="11123">_xlfn.CONCAT(AR602,AS604)</f>
        <v/>
      </c>
      <c r="AQ602" s="683" t="str">
        <f t="shared" si="10249"/>
        <v/>
      </c>
      <c r="AR602" s="4" t="str">
        <f t="shared" si="10009"/>
        <v/>
      </c>
      <c r="AS602" s="4"/>
      <c r="AT602" s="697" t="str">
        <f>AL599</f>
        <v/>
      </c>
      <c r="AU602" s="694" t="e">
        <f t="shared" ca="1" si="10265"/>
        <v>#REF!</v>
      </c>
      <c r="AV602" s="686" t="str">
        <f ca="1">IFERROR(VLOOKUP(AU602,INDIRECT(AQ599),2,FALSE),"----")</f>
        <v>----</v>
      </c>
      <c r="AW602" s="694" t="e">
        <f t="shared" ca="1" si="10266"/>
        <v>#REF!</v>
      </c>
      <c r="AX602" s="686" t="str">
        <f ca="1">IFERROR(VLOOKUP(AW602,INDIRECT(AQ600),2,FALSE),"----")</f>
        <v>----</v>
      </c>
      <c r="AY602" s="694" t="e">
        <f t="shared" ref="AY602" ca="1" si="11124">AY601-1</f>
        <v>#REF!</v>
      </c>
      <c r="AZ602" s="686" t="str">
        <f ca="1">IFERROR(VLOOKUP(AY602,INDIRECT(AQ601),2,FALSE),"----")</f>
        <v>----</v>
      </c>
      <c r="BA602" s="694" t="e">
        <f t="shared" ref="BA602" ca="1" si="11125">BA601-1</f>
        <v>#REF!</v>
      </c>
      <c r="BB602" s="686" t="str">
        <f ca="1">IFERROR(VLOOKUP(BA602,INDIRECT(AQ602),2,FALSE),"----")</f>
        <v>----</v>
      </c>
      <c r="BC602" s="694" t="e">
        <f t="shared" ca="1" si="10267"/>
        <v>#REF!</v>
      </c>
      <c r="BD602" s="686" t="str">
        <f ca="1">IFERROR(VLOOKUP(BC602,INDIRECT(AQ603),2,FALSE),"----")</f>
        <v>----</v>
      </c>
      <c r="BE602" s="694" t="e">
        <f t="shared" ca="1" si="10268"/>
        <v>#REF!</v>
      </c>
      <c r="BF602" s="686" t="str">
        <f ca="1">IFERROR(VLOOKUP(BE602,INDIRECT(AQ604),2,FALSE),"----")</f>
        <v>----</v>
      </c>
      <c r="BG602" s="694" t="e">
        <f t="shared" ca="1" si="10269"/>
        <v>#REF!</v>
      </c>
      <c r="BH602" s="686" t="str">
        <f ca="1">IFERROR(VLOOKUP(BG602,INDIRECT(AQ605),2,FALSE),"----")</f>
        <v>----</v>
      </c>
      <c r="BI602" s="694" t="e">
        <f t="shared" ca="1" si="10270"/>
        <v>#REF!</v>
      </c>
      <c r="BJ602" s="686" t="str">
        <f ca="1">IFERROR(VLOOKUP(BI602,INDIRECT(AQ606),2,FALSE),"----")</f>
        <v>----</v>
      </c>
      <c r="BK602" s="694" t="e">
        <f t="shared" ca="1" si="10271"/>
        <v>#REF!</v>
      </c>
      <c r="BL602" s="686" t="str">
        <f ca="1">IFERROR(VLOOKUP(BK602,INDIRECT(AQ607),2,FALSE),"----")</f>
        <v>----</v>
      </c>
      <c r="BM602" s="694" t="e">
        <f t="shared" ca="1" si="10272"/>
        <v>#REF!</v>
      </c>
      <c r="BN602" s="686" t="str">
        <f ca="1">IFERROR(VLOOKUP(BM602,INDIRECT(AQ608),2,FALSE),"----")</f>
        <v>----</v>
      </c>
      <c r="BO602" s="694" t="e">
        <f t="shared" ca="1" si="10273"/>
        <v>#REF!</v>
      </c>
      <c r="BP602" s="686" t="str">
        <f ca="1">IFERROR(VLOOKUP(BO602,INDIRECT(AQ609),2,FALSE),"----")</f>
        <v>----</v>
      </c>
      <c r="BQ602" s="694" t="e">
        <f t="shared" ca="1" si="10274"/>
        <v>#REF!</v>
      </c>
      <c r="BR602" s="686" t="str">
        <f ca="1">IFERROR(VLOOKUP(BQ602,INDIRECT(AQ610),2,FALSE),"----")</f>
        <v>----</v>
      </c>
      <c r="BS602" s="695">
        <f>IF(AI602="",1,IF(COUNTIF(BB599:BB610,AI602)=0,2,1))</f>
        <v>1</v>
      </c>
      <c r="BT602" s="696">
        <f>IF(AF602="",1,IF(BB599=".",2,1))</f>
        <v>1</v>
      </c>
      <c r="BU602" s="706"/>
      <c r="BV602" s="155">
        <f ca="1">IF(COUNTIF(CT599:CT610,AF602)=0,IF(AF602&lt;&gt;"",0,1),1)</f>
        <v>1</v>
      </c>
      <c r="BW602" s="157">
        <f ca="1">IFERROR(MATCH(AF602,CT599:CT610,0),1)</f>
        <v>1</v>
      </c>
      <c r="BX602" s="769"/>
      <c r="BY602" s="769"/>
      <c r="BZ602" s="1110"/>
      <c r="CA602" s="691" t="e">
        <f t="shared" ca="1" si="11074"/>
        <v>#REF!</v>
      </c>
      <c r="CB602" s="4" t="e" cm="1">
        <f t="array" aca="1" ref="CB602" ca="1">IF(AND(INDEX(INDIRECT(BY599),CA602,4)&gt;=$AB599,INDEX(INDIRECT(BY599),CA602,5)&gt;=$S599,INDEX(INDIRECT(BY599),CA602,6)&gt;=$R599),1,0)</f>
        <v>#REF!</v>
      </c>
      <c r="CC602" s="4" t="e">
        <f t="shared" ref="CC602" ca="1" si="11126">MATCH(1,OFFSET(CB599:CB610,CD601,0,COUNT(CB599:CB610)-CD601),0)</f>
        <v>#REF!</v>
      </c>
      <c r="CD602" s="4" t="e">
        <f t="shared" ca="1" si="11076"/>
        <v>#REF!</v>
      </c>
      <c r="CE602" s="692" t="str" cm="1">
        <f t="array" aca="1" ref="CE602" ca="1">IFERROR(VLOOKUP(INDEX(CA599:CA610,CD602),INDIRECT(BY599),2,FALSE),"----")</f>
        <v>----</v>
      </c>
      <c r="CF602" s="691" t="e">
        <f t="shared" ca="1" si="11077"/>
        <v>#N/A</v>
      </c>
      <c r="CG602" s="4" t="e">
        <f ca="1">IF(AND(INDEX(SSM,CF602,4)&gt;=$AB599,INDEX(SSM,CF602,5)&gt;=$S599,INDEX(SSM,CF602,6)&gt;=$R599),1,0)</f>
        <v>#N/A</v>
      </c>
      <c r="CH602" s="4" t="e">
        <f t="shared" ref="CH602" ca="1" si="11127">MATCH(1,OFFSET(CG599:CG610,CI601,0,COUNT(CG599:CG610)-CI601),0)</f>
        <v>#REF!</v>
      </c>
      <c r="CI602" s="4" t="e">
        <f t="shared" ca="1" si="11079"/>
        <v>#REF!</v>
      </c>
      <c r="CJ602" s="692" t="str">
        <f ca="1">IFERROR(IF(AD600="Nested Steel Stud (wood infill)",VLOOKUP(INDEX(CF599:CF610,CI602),SSW,2,FALSE),VLOOKUP(INDEX(CF599:CF610,CI602),SSM,2,FALSE)),"----")</f>
        <v>----</v>
      </c>
      <c r="CK602" s="691" t="e">
        <f t="shared" ca="1" si="11080"/>
        <v>#N/A</v>
      </c>
      <c r="CL602" s="4" t="e">
        <f ca="1">IF(AND(INDEX(WSM,CK602,4)&gt;=$AB599,INDEX(WSM,CK602,5)&gt;=$S599,INDEX(WSM,CK602,6)&gt;=$R599),1,0)</f>
        <v>#N/A</v>
      </c>
      <c r="CM602" s="4" t="e">
        <f t="shared" ref="CM602" ca="1" si="11128">MATCH(1,OFFSET(CL599:CL610,CN601,0,COUNT(CL599:CL610)-CN601),0)</f>
        <v>#REF!</v>
      </c>
      <c r="CN602" s="4" t="e">
        <f t="shared" ca="1" si="11082"/>
        <v>#REF!</v>
      </c>
      <c r="CO602" s="692" t="str">
        <f ca="1">IFERROR(VLOOKUP(INDEX(CK599:CK610,CN602),WSM,2,FALSE),"----")</f>
        <v>----</v>
      </c>
      <c r="CP602" s="691" t="e">
        <f t="shared" ca="1" si="11083"/>
        <v>#N/A</v>
      </c>
      <c r="CQ602" s="4" t="e">
        <f ca="1">IF(AND(INDEX(STM,CP602,4)&gt;=$AB599,INDEX(STM,CP602,5)&gt;=$S599,INDEX(STM,CP602,6)&gt;=$R599),1,0)</f>
        <v>#N/A</v>
      </c>
      <c r="CR602" s="4" t="e">
        <f t="shared" ref="CR602" ca="1" si="11129">MATCH(1,OFFSET(CQ599:CQ610,CS601,0,COUNT(CQ599:CQ610)-CS601),0)</f>
        <v>#REF!</v>
      </c>
      <c r="CS602" s="4" t="e">
        <f t="shared" ca="1" si="11085"/>
        <v>#REF!</v>
      </c>
      <c r="CT602" s="692" t="str">
        <f ca="1">IFERROR(VLOOKUP(INDEX(CP599:CP610,CS602),STM,2,FALSE),"----")</f>
        <v>----</v>
      </c>
      <c r="CU602" s="691" t="e">
        <f t="shared" ca="1" si="11086"/>
        <v>#N/A</v>
      </c>
      <c r="CV602" s="4" t="e">
        <f ca="1">IF(AND(INDEX(ELM,CU602,4)&gt;=$AB599,INDEX(ELM,CU602,5)&gt;=$S599,INDEX(ELM,CU602,6)&gt;=$R599),1,0)</f>
        <v>#N/A</v>
      </c>
      <c r="CW602" s="4" t="e">
        <f t="shared" ref="CW602" ca="1" si="11130">MATCH(1,OFFSET(CV599:CV610,CX601,0,COUNT(CV599:CV610)-CX601),0)</f>
        <v>#REF!</v>
      </c>
      <c r="CX602" s="4" t="e">
        <f t="shared" ca="1" si="11088"/>
        <v>#REF!</v>
      </c>
      <c r="CY602" s="692" t="str">
        <f ca="1">IFERROR(VLOOKUP(INDEX(CU599:CU610,CX602),ELM,2,FALSE),"----")</f>
        <v>----</v>
      </c>
      <c r="CZ602" s="691" t="e">
        <f t="shared" ca="1" si="11089"/>
        <v>#N/A</v>
      </c>
      <c r="DA602" s="4" t="e">
        <f ca="1">IF(LEFT($J599,7)="Clad Wo",IF(AND(INDEX(SPPWS,CZ602,4)&gt;=$AB599,INDEX(SPPWS,CZ602,5)&gt;=$S599,INDEX(SPPWS,CZ602,6)&gt;=$R599),1,0),IF(AND(INDEX(SPM,CZ602,4)&gt;=$AB599,INDEX(SPM,CZ602,5)&gt;=$S599,INDEX(SPM,CZ602,6)&gt;=$R599),1,0))</f>
        <v>#N/A</v>
      </c>
      <c r="DB602" s="4" t="e">
        <f t="shared" ref="DB602" ca="1" si="11131">MATCH(1,OFFSET(DA599:DA610,DC601,0,COUNT(DA599:DA610)-DC601),0)</f>
        <v>#REF!</v>
      </c>
      <c r="DC602" s="4" t="e">
        <f t="shared" ca="1" si="11091"/>
        <v>#REF!</v>
      </c>
      <c r="DD602" s="693" t="str">
        <f ca="1">IF(LEFT($J599,7)="Clad Wo",IFERROR(VLOOKUP(INDEX(CZ599:CZ610,DC602),SPPWS,2,FALSE),"----"),IFERROR(VLOOKUP(INDEX(CZ599:CZ610,DC602),SPM,2,FALSE),"----"))</f>
        <v>----</v>
      </c>
      <c r="DE602" s="691" t="e">
        <f t="shared" ca="1" si="11092"/>
        <v>#REF!</v>
      </c>
      <c r="DF602" s="4" t="e" cm="1">
        <f t="array" aca="1" ref="DF602" ca="1">IF(AND(INDEX(INDIRECT(BY599),DE602,4)&gt;=$AB605,INDEX(INDIRECT(BY599),DE602,5)&gt;=$S599,INDEX(INDIRECT(BY599),DE602,6)&gt;=$R599),1,0)</f>
        <v>#REF!</v>
      </c>
      <c r="DG602" s="4" t="e">
        <f t="shared" ref="DG602" ca="1" si="11132">MATCH(1,OFFSET(DF599:DF610,DH601,0,COUNT(DF599:DF610)-DH601),0)</f>
        <v>#REF!</v>
      </c>
      <c r="DH602" s="4" t="e">
        <f t="shared" ca="1" si="11094"/>
        <v>#REF!</v>
      </c>
      <c r="DI602" s="692" t="str" cm="1">
        <f t="array" aca="1" ref="DI602" ca="1">IFERROR(VLOOKUP(INDEX(DE599:DE610,DH602),INDIRECT(BY599),2,FALSE),"----")</f>
        <v>----</v>
      </c>
      <c r="DJ602" s="691" t="e">
        <f t="shared" ca="1" si="11095"/>
        <v>#N/A</v>
      </c>
      <c r="DK602" s="4" t="e">
        <f ca="1">IF(AND(INDEX(SSM,DJ602,4)&gt;=$AB605,INDEX(SSM,DJ602,5)&gt;=$S599,INDEX(SSM,DJ602,6)&gt;=$R599),1,0)</f>
        <v>#N/A</v>
      </c>
      <c r="DL602" s="4" t="e">
        <f t="shared" ref="DL602" ca="1" si="11133">MATCH(1,OFFSET(DK599:DK610,DM601,0,COUNT(DK599:DK610)-DM601),0)</f>
        <v>#REF!</v>
      </c>
      <c r="DM602" s="4" t="e">
        <f t="shared" ca="1" si="11097"/>
        <v>#REF!</v>
      </c>
      <c r="DN602" s="692" t="str">
        <f ca="1">IFERROR(IF(AD606="Nested Steel Stud (wood infill)",VLOOKUP(INDEX(DJ599:DJ610,DM602),SSW,2,FALSE),VLOOKUP(INDEX(DJ599:DJ610,DM602),SSM,2,FALSE)),"----")</f>
        <v>----</v>
      </c>
      <c r="DO602" s="691" t="e">
        <f t="shared" ca="1" si="11098"/>
        <v>#N/A</v>
      </c>
      <c r="DP602" s="4" t="e">
        <f ca="1">IF(AND(INDEX(WSM,DO602,4)&gt;=$AB605,INDEX(WSM,DO602,5)&gt;=$S599,INDEX(WSM,DO602,6)&gt;=$R599),1,0)</f>
        <v>#N/A</v>
      </c>
      <c r="DQ602" s="4" t="e">
        <f t="shared" ref="DQ602" ca="1" si="11134">MATCH(1,OFFSET(DP599:DP610,DR601,0,COUNT(DP599:DP610)-DR601),0)</f>
        <v>#REF!</v>
      </c>
      <c r="DR602" s="4" t="e">
        <f t="shared" ca="1" si="11100"/>
        <v>#REF!</v>
      </c>
      <c r="DS602" s="692" t="str">
        <f ca="1">IFERROR(VLOOKUP(INDEX(DO599:DO610,DR602),WSM,2,FALSE),"----")</f>
        <v>----</v>
      </c>
      <c r="DT602" s="691" t="e">
        <f t="shared" ca="1" si="11101"/>
        <v>#N/A</v>
      </c>
      <c r="DU602" s="4" t="e">
        <f ca="1">IF(AND(INDEX(STM,DT602,4)&gt;=$AB605,INDEX(STM,DT602,5)&gt;=$S599,INDEX(STM,DT602,6)&gt;=$R599),1,0)</f>
        <v>#N/A</v>
      </c>
      <c r="DV602" s="4" t="e">
        <f t="shared" ref="DV602" ca="1" si="11135">MATCH(1,OFFSET(DU599:DU610,DW601,0,COUNT(DU599:DU610)-DW601),0)</f>
        <v>#REF!</v>
      </c>
      <c r="DW602" s="4" t="e">
        <f t="shared" ca="1" si="11103"/>
        <v>#REF!</v>
      </c>
      <c r="DX602" s="692" t="str">
        <f ca="1">IFERROR(VLOOKUP(INDEX(DT599:DT610,DW602),STM,2,FALSE),"----")</f>
        <v>----</v>
      </c>
      <c r="DY602" s="691" t="e">
        <f t="shared" ca="1" si="11104"/>
        <v>#N/A</v>
      </c>
      <c r="DZ602" s="4" t="e">
        <f ca="1">IF(AND(INDEX(ELM,DY602,4)&gt;=$AB605,INDEX(ELM,DY602,5)&gt;=$S599,INDEX(ELM,DY602,6)&gt;=$R599),1,0)</f>
        <v>#N/A</v>
      </c>
      <c r="EA602" s="4" t="e">
        <f t="shared" ref="EA602" ca="1" si="11136">MATCH(1,OFFSET(DZ599:DZ610,EB601,0,COUNT(DZ599:DZ610)-EB601),0)</f>
        <v>#REF!</v>
      </c>
      <c r="EB602" s="4" t="e">
        <f t="shared" ca="1" si="11106"/>
        <v>#REF!</v>
      </c>
      <c r="EC602" s="692" t="str">
        <f ca="1">IFERROR(VLOOKUP(INDEX(DY599:DY610,EB602),ELM,2,FALSE),"----")</f>
        <v>----</v>
      </c>
      <c r="ED602" s="691" t="e">
        <f t="shared" ca="1" si="11107"/>
        <v>#N/A</v>
      </c>
      <c r="EE602" s="4" t="e">
        <f ca="1">IF(LEFT($J599,7)="Clad Wo",IF(AND(INDEX(SPPWS,ED602,4)&gt;=$AB605,INDEX(SPPWS,ED602,5)&gt;=$S599,INDEX(SPPWS,ED602,6)&gt;=$R599),1,0),IF(AND(INDEX(SPM,ED602,4)&gt;=$AB605,INDEX(SPM,ED602,5)&gt;=$S599,INDEX(SPM,ED602,6)&gt;=$R599),1,0))</f>
        <v>#N/A</v>
      </c>
      <c r="EF602" s="4" t="e">
        <f t="shared" ref="EF602" ca="1" si="11137">MATCH(1,OFFSET(EE599:EE610,EG601,0,COUNT(EE599:EE610)-EG601),0)</f>
        <v>#REF!</v>
      </c>
      <c r="EG602" s="4" t="e">
        <f t="shared" ca="1" si="11109"/>
        <v>#REF!</v>
      </c>
      <c r="EH602" s="692" t="str">
        <f ca="1">IF(LEFT($J599,7)="Clad Wo",IFERROR(VLOOKUP(INDEX(ED599:ED610,EG602),SPPWS,2,FALSE),"----"),IFERROR(VLOOKUP(INDEX(ED599:ED610,EG602),SPM,2,FALSE),"----"))</f>
        <v>----</v>
      </c>
    </row>
    <row r="603" spans="1:138" ht="15" customHeight="1" x14ac:dyDescent="0.25">
      <c r="A603" s="1085"/>
      <c r="B603" s="925"/>
      <c r="C603" s="926"/>
      <c r="D603" s="927"/>
      <c r="E603" s="995"/>
      <c r="F603" s="996"/>
      <c r="G603" s="997"/>
      <c r="H603" s="1062"/>
      <c r="I603" s="990"/>
      <c r="J603" s="910"/>
      <c r="K603" s="911"/>
      <c r="L603" s="1002"/>
      <c r="M603" s="923"/>
      <c r="N603" s="1042"/>
      <c r="O603" s="1018"/>
      <c r="P603" s="987"/>
      <c r="Q603" s="1015"/>
      <c r="R603" s="1012"/>
      <c r="S603" s="1006"/>
      <c r="T603" s="1007"/>
      <c r="U603" s="878"/>
      <c r="V603" s="881"/>
      <c r="W603" s="884"/>
      <c r="X603" s="884"/>
      <c r="Y603" s="887"/>
      <c r="Z603" s="887"/>
      <c r="AA603" s="887"/>
      <c r="AB603" s="1081"/>
      <c r="AC603" s="1078"/>
      <c r="AD603" s="1070" t="s">
        <v>39</v>
      </c>
      <c r="AE603" s="1071"/>
      <c r="AF603" s="1052"/>
      <c r="AG603" s="1053"/>
      <c r="AH603" s="1053"/>
      <c r="AI603" s="1068"/>
      <c r="AJ603" s="1069"/>
      <c r="AK603" s="154" t="str">
        <f t="shared" ca="1" si="10024"/>
        <v/>
      </c>
      <c r="AL603" s="1039"/>
      <c r="AM603" s="344" t="str">
        <f ca="1">IFERROR(Q599/12*ROUND(VLOOKUP(AF603,OFFSET(ELM,0,1),6,FALSE),2),"")</f>
        <v/>
      </c>
      <c r="AN603" t="str">
        <f t="shared" ca="1" si="10040"/>
        <v/>
      </c>
      <c r="AP603" s="122" t="str">
        <f t="shared" ref="AP603" si="11138">_xlfn.CONCAT(AR603,AS604)</f>
        <v/>
      </c>
      <c r="AQ603" s="683" t="str">
        <f t="shared" si="10249"/>
        <v/>
      </c>
      <c r="AR603" s="4" t="str">
        <f t="shared" si="10009"/>
        <v/>
      </c>
      <c r="AS603" s="4"/>
      <c r="AT603" s="697" t="str">
        <f>AL599</f>
        <v/>
      </c>
      <c r="AU603" s="694" t="e">
        <f t="shared" ca="1" si="10265"/>
        <v>#REF!</v>
      </c>
      <c r="AV603" s="698" t="str">
        <f ca="1">IFERROR(VLOOKUP(AU603,INDIRECT(AQ599),2,FALSE),"----")</f>
        <v>----</v>
      </c>
      <c r="AW603" s="694" t="e">
        <f t="shared" ca="1" si="10266"/>
        <v>#REF!</v>
      </c>
      <c r="AX603" s="698" t="str">
        <f ca="1">IFERROR(VLOOKUP(AW603,INDIRECT(AQ600),2,FALSE),"----")</f>
        <v>----</v>
      </c>
      <c r="AY603" s="694" t="e">
        <f t="shared" ref="AY603" ca="1" si="11139">AY602-1</f>
        <v>#REF!</v>
      </c>
      <c r="AZ603" s="698" t="str">
        <f ca="1">IFERROR(VLOOKUP(AY603,INDIRECT(AQ601),2,FALSE),"----")</f>
        <v>----</v>
      </c>
      <c r="BA603" s="694" t="e">
        <f t="shared" ref="BA603" ca="1" si="11140">BA602-1</f>
        <v>#REF!</v>
      </c>
      <c r="BB603" s="698" t="str">
        <f ca="1">IFERROR(VLOOKUP(BA603,INDIRECT(AQ602),2,FALSE),"----")</f>
        <v>----</v>
      </c>
      <c r="BC603" s="694" t="e">
        <f t="shared" ca="1" si="10267"/>
        <v>#REF!</v>
      </c>
      <c r="BD603" s="698" t="str">
        <f ca="1">IFERROR(VLOOKUP(BC603,INDIRECT(AQ603),2,FALSE),"----")</f>
        <v>----</v>
      </c>
      <c r="BE603" s="694" t="e">
        <f t="shared" ca="1" si="10268"/>
        <v>#REF!</v>
      </c>
      <c r="BF603" s="698" t="str">
        <f ca="1">IFERROR(VLOOKUP(BE603,INDIRECT(AQ604),2,FALSE),"----")</f>
        <v>----</v>
      </c>
      <c r="BG603" s="694" t="e">
        <f t="shared" ca="1" si="10269"/>
        <v>#REF!</v>
      </c>
      <c r="BH603" s="686" t="str">
        <f ca="1">IFERROR(VLOOKUP(BG603,INDIRECT(AQ605),2,FALSE),"----")</f>
        <v>----</v>
      </c>
      <c r="BI603" s="694" t="e">
        <f t="shared" ca="1" si="10270"/>
        <v>#REF!</v>
      </c>
      <c r="BJ603" s="686" t="str">
        <f ca="1">IFERROR(VLOOKUP(BI603,INDIRECT(AQ606),2,FALSE),"----")</f>
        <v>----</v>
      </c>
      <c r="BK603" s="694" t="e">
        <f t="shared" ca="1" si="10271"/>
        <v>#REF!</v>
      </c>
      <c r="BL603" s="686" t="str">
        <f ca="1">IFERROR(VLOOKUP(BK603,INDIRECT(AQ607),2,FALSE),"----")</f>
        <v>----</v>
      </c>
      <c r="BM603" s="694" t="e">
        <f t="shared" ca="1" si="10272"/>
        <v>#REF!</v>
      </c>
      <c r="BN603" s="686" t="str">
        <f ca="1">IFERROR(VLOOKUP(BM603,INDIRECT(AQ608),2,FALSE),"----")</f>
        <v>----</v>
      </c>
      <c r="BO603" s="694" t="e">
        <f t="shared" ca="1" si="10273"/>
        <v>#REF!</v>
      </c>
      <c r="BP603" s="686" t="str">
        <f ca="1">IFERROR(VLOOKUP(BO603,INDIRECT(AQ609),2,FALSE),"----")</f>
        <v>----</v>
      </c>
      <c r="BQ603" s="694" t="e">
        <f t="shared" ca="1" si="10274"/>
        <v>#REF!</v>
      </c>
      <c r="BR603" s="686" t="str">
        <f ca="1">IFERROR(VLOOKUP(BQ603,INDIRECT(AQ610),2,FALSE),"----")</f>
        <v>----</v>
      </c>
      <c r="BS603" s="695">
        <f>IF(AI603="",1,IF(COUNTIF(BD599:BD610,AI603)=0,2,1))</f>
        <v>1</v>
      </c>
      <c r="BT603" s="696">
        <f>IF(AF603="",1,IF(BD599=".",2,1))</f>
        <v>1</v>
      </c>
      <c r="BU603" s="706"/>
      <c r="BV603" s="155">
        <f ca="1">IF(COUNTIF(CY599:CY610,AF603)=0,IF(AF603&lt;&gt;"",0,1),1)</f>
        <v>1</v>
      </c>
      <c r="BW603" s="157">
        <f ca="1">IFERROR(MATCH(AF603,CY599:CY610,0),1)</f>
        <v>1</v>
      </c>
      <c r="BX603" s="769"/>
      <c r="BY603" s="769"/>
      <c r="BZ603" s="1110"/>
      <c r="CA603" s="691" t="e">
        <f t="shared" ca="1" si="11074"/>
        <v>#REF!</v>
      </c>
      <c r="CB603" s="4" t="e" cm="1">
        <f t="array" aca="1" ref="CB603" ca="1">IF(AND(INDEX(INDIRECT(BY599),CA603,4)&gt;=$AB599,INDEX(INDIRECT(BY599),CA603,5)&gt;=$S599,INDEX(INDIRECT(BY599),CA603,6)&gt;=$R599),1,0)</f>
        <v>#REF!</v>
      </c>
      <c r="CC603" s="4" t="e">
        <f t="shared" ref="CC603" ca="1" si="11141">MATCH(1,OFFSET(CB599:CB610,CD602,0,COUNT(CB599:CB610)-CD602),0)</f>
        <v>#REF!</v>
      </c>
      <c r="CD603" s="4" t="e">
        <f t="shared" ca="1" si="11076"/>
        <v>#REF!</v>
      </c>
      <c r="CE603" s="692" t="str" cm="1">
        <f t="array" aca="1" ref="CE603" ca="1">IFERROR(VLOOKUP(INDEX(CA599:CA610,CD603),INDIRECT(BY599),2,FALSE),"----")</f>
        <v>----</v>
      </c>
      <c r="CF603" s="691" t="e">
        <f t="shared" ca="1" si="11077"/>
        <v>#N/A</v>
      </c>
      <c r="CG603" s="4" t="e">
        <f ca="1">IF(AND(INDEX(SSM,CF603,4)&gt;=$AB599,INDEX(SSM,CF603,5)&gt;=$S599,INDEX(SSM,CF603,6)&gt;=$R599),1,0)</f>
        <v>#N/A</v>
      </c>
      <c r="CH603" s="4" t="e">
        <f t="shared" ref="CH603" ca="1" si="11142">MATCH(1,OFFSET(CG599:CG610,CI602,0,COUNT(CG599:CG610)-CI602),0)</f>
        <v>#REF!</v>
      </c>
      <c r="CI603" s="4" t="e">
        <f t="shared" ca="1" si="11079"/>
        <v>#REF!</v>
      </c>
      <c r="CJ603" s="692" t="str">
        <f ca="1">IFERROR(IF(AD600="Nested Steel Stud (wood infill)",VLOOKUP(INDEX(CF599:CF610,CI603),SSW,2,FALSE),VLOOKUP(INDEX(CF599:CF610,CI603),SSM,2,FALSE)),"----")</f>
        <v>----</v>
      </c>
      <c r="CK603" s="691" t="e">
        <f t="shared" ca="1" si="11080"/>
        <v>#N/A</v>
      </c>
      <c r="CL603" s="4" t="e">
        <f ca="1">IF(AND(INDEX(WSM,CK603,4)&gt;=$AB599,INDEX(WSM,CK603,5)&gt;=$S599,INDEX(WSM,CK603,6)&gt;=$R599),1,0)</f>
        <v>#N/A</v>
      </c>
      <c r="CM603" s="4" t="e">
        <f t="shared" ref="CM603" ca="1" si="11143">MATCH(1,OFFSET(CL599:CL610,CN602,0,COUNT(CL599:CL610)-CN602),0)</f>
        <v>#REF!</v>
      </c>
      <c r="CN603" s="4" t="e">
        <f t="shared" ca="1" si="11082"/>
        <v>#REF!</v>
      </c>
      <c r="CO603" s="692" t="str">
        <f ca="1">IFERROR(VLOOKUP(INDEX(CK599:CK610,CN603),WSM,2,FALSE),"----")</f>
        <v>----</v>
      </c>
      <c r="CP603" s="691" t="e">
        <f t="shared" ca="1" si="11083"/>
        <v>#N/A</v>
      </c>
      <c r="CQ603" s="4" t="e">
        <f ca="1">IF(AND(INDEX(STM,CP603,4)&gt;=$AB599,INDEX(STM,CP603,5)&gt;=$S599,INDEX(STM,CP603,6)&gt;=$R599),1,0)</f>
        <v>#N/A</v>
      </c>
      <c r="CR603" s="4" t="e">
        <f t="shared" ref="CR603" ca="1" si="11144">MATCH(1,OFFSET(CQ599:CQ610,CS602,0,COUNT(CQ599:CQ610)-CS602),0)</f>
        <v>#REF!</v>
      </c>
      <c r="CS603" s="4" t="e">
        <f t="shared" ca="1" si="11085"/>
        <v>#REF!</v>
      </c>
      <c r="CT603" s="692" t="str">
        <f ca="1">IFERROR(VLOOKUP(INDEX(CP599:CP610,CS603),STM,2,FALSE),"----")</f>
        <v>----</v>
      </c>
      <c r="CU603" s="691" t="e">
        <f t="shared" ca="1" si="11086"/>
        <v>#N/A</v>
      </c>
      <c r="CV603" s="4" t="e">
        <f ca="1">IF(AND(INDEX(ELM,CU603,4)&gt;=$AB599,INDEX(ELM,CU603,5)&gt;=$S599,INDEX(ELM,CU603,6)&gt;=$R599),1,0)</f>
        <v>#N/A</v>
      </c>
      <c r="CW603" s="4" t="e">
        <f t="shared" ref="CW603" ca="1" si="11145">MATCH(1,OFFSET(CV599:CV610,CX602,0,COUNT(CV599:CV610)-CX602),0)</f>
        <v>#REF!</v>
      </c>
      <c r="CX603" s="4" t="e">
        <f t="shared" ca="1" si="11088"/>
        <v>#REF!</v>
      </c>
      <c r="CY603" s="692" t="str">
        <f ca="1">IFERROR(VLOOKUP(INDEX(CU599:CU610,CX603),ELM,2,FALSE),"----")</f>
        <v>----</v>
      </c>
      <c r="CZ603" s="691" t="e">
        <f t="shared" ca="1" si="11089"/>
        <v>#N/A</v>
      </c>
      <c r="DA603" s="4" t="e">
        <f ca="1">IF(LEFT($J599,7)="Clad Wo",IF(AND(INDEX(SPPWS,CZ603,4)&gt;=$AB599,INDEX(SPPWS,CZ603,5)&gt;=$S599,INDEX(SPPWS,CZ603,6)&gt;=$R599),1,0),IF(AND(INDEX(SPM,CZ603,4)&gt;=$AB599,INDEX(SPM,CZ603,5)&gt;=$S599,INDEX(SPM,CZ603,6)&gt;=$R599),1,0))</f>
        <v>#N/A</v>
      </c>
      <c r="DB603" s="4" t="e">
        <f t="shared" ref="DB603" ca="1" si="11146">MATCH(1,OFFSET(DA599:DA610,DC602,0,COUNT(DA599:DA610)-DC602),0)</f>
        <v>#REF!</v>
      </c>
      <c r="DC603" s="4" t="e">
        <f t="shared" ca="1" si="11091"/>
        <v>#REF!</v>
      </c>
      <c r="DD603" s="693" t="str">
        <f ca="1">IF(LEFT($J599,7)="Clad Wo",IFERROR(VLOOKUP(INDEX(CZ599:CZ610,DC603),SPPWS,2,FALSE),"----"),IFERROR(VLOOKUP(INDEX(CZ599:CZ610,DC603),SPM,2,FALSE),"----"))</f>
        <v>----</v>
      </c>
      <c r="DE603" s="691" t="e">
        <f t="shared" ca="1" si="11092"/>
        <v>#REF!</v>
      </c>
      <c r="DF603" s="4" t="e" cm="1">
        <f t="array" aca="1" ref="DF603" ca="1">IF(AND(INDEX(INDIRECT(BY599),DE603,4)&gt;=$AB605,INDEX(INDIRECT(BY599),DE603,5)&gt;=$S599,INDEX(INDIRECT(BY599),DE603,6)&gt;=$R599),1,0)</f>
        <v>#REF!</v>
      </c>
      <c r="DG603" s="4" t="e">
        <f t="shared" ref="DG603" ca="1" si="11147">MATCH(1,OFFSET(DF599:DF610,DH602,0,COUNT(DF599:DF610)-DH602),0)</f>
        <v>#REF!</v>
      </c>
      <c r="DH603" s="4" t="e">
        <f t="shared" ca="1" si="11094"/>
        <v>#REF!</v>
      </c>
      <c r="DI603" s="692" t="str" cm="1">
        <f t="array" aca="1" ref="DI603" ca="1">IFERROR(VLOOKUP(INDEX(DE599:DE610,DH603),INDIRECT(BY599),2,FALSE),"----")</f>
        <v>----</v>
      </c>
      <c r="DJ603" s="691" t="e">
        <f t="shared" ca="1" si="11095"/>
        <v>#N/A</v>
      </c>
      <c r="DK603" s="4" t="e">
        <f ca="1">IF(AND(INDEX(SSM,DJ603,4)&gt;=$AB605,INDEX(SSM,DJ603,5)&gt;=$S599,INDEX(SSM,DJ603,6)&gt;=$R599),1,0)</f>
        <v>#N/A</v>
      </c>
      <c r="DL603" s="4" t="e">
        <f t="shared" ref="DL603" ca="1" si="11148">MATCH(1,OFFSET(DK599:DK610,DM602,0,COUNT(DK599:DK610)-DM602),0)</f>
        <v>#REF!</v>
      </c>
      <c r="DM603" s="4" t="e">
        <f t="shared" ca="1" si="11097"/>
        <v>#REF!</v>
      </c>
      <c r="DN603" s="692" t="str">
        <f ca="1">IFERROR(IF(AD606="Nested Steel Stud (wood infill)",VLOOKUP(INDEX(DJ599:DJ610,DM603),SSW,2,FALSE),VLOOKUP(INDEX(DJ599:DJ610,DM603),SSM,2,FALSE)),"----")</f>
        <v>----</v>
      </c>
      <c r="DO603" s="691" t="e">
        <f t="shared" ca="1" si="11098"/>
        <v>#N/A</v>
      </c>
      <c r="DP603" s="4" t="e">
        <f ca="1">IF(AND(INDEX(WSM,DO603,4)&gt;=$AB605,INDEX(WSM,DO603,5)&gt;=$S599,INDEX(WSM,DO603,6)&gt;=$R599),1,0)</f>
        <v>#N/A</v>
      </c>
      <c r="DQ603" s="4" t="e">
        <f t="shared" ref="DQ603" ca="1" si="11149">MATCH(1,OFFSET(DP599:DP610,DR602,0,COUNT(DP599:DP610)-DR602),0)</f>
        <v>#REF!</v>
      </c>
      <c r="DR603" s="4" t="e">
        <f t="shared" ca="1" si="11100"/>
        <v>#REF!</v>
      </c>
      <c r="DS603" s="692" t="str">
        <f ca="1">IFERROR(VLOOKUP(INDEX(DO599:DO610,DR603),WSM,2,FALSE),"----")</f>
        <v>----</v>
      </c>
      <c r="DT603" s="691" t="e">
        <f t="shared" ca="1" si="11101"/>
        <v>#N/A</v>
      </c>
      <c r="DU603" s="4" t="e">
        <f ca="1">IF(AND(INDEX(STM,DT603,4)&gt;=$AB605,INDEX(STM,DT603,5)&gt;=$S599,INDEX(STM,DT603,6)&gt;=$R599),1,0)</f>
        <v>#N/A</v>
      </c>
      <c r="DV603" s="4" t="e">
        <f t="shared" ref="DV603" ca="1" si="11150">MATCH(1,OFFSET(DU599:DU610,DW602,0,COUNT(DU599:DU610)-DW602),0)</f>
        <v>#REF!</v>
      </c>
      <c r="DW603" s="4" t="e">
        <f t="shared" ca="1" si="11103"/>
        <v>#REF!</v>
      </c>
      <c r="DX603" s="692" t="str">
        <f ca="1">IFERROR(VLOOKUP(INDEX(DT599:DT610,DW603),STM,2,FALSE),"----")</f>
        <v>----</v>
      </c>
      <c r="DY603" s="691" t="e">
        <f t="shared" ca="1" si="11104"/>
        <v>#N/A</v>
      </c>
      <c r="DZ603" s="4" t="e">
        <f ca="1">IF(AND(INDEX(ELM,DY603,4)&gt;=$AB605,INDEX(ELM,DY603,5)&gt;=$S599,INDEX(ELM,DY603,6)&gt;=$R599),1,0)</f>
        <v>#N/A</v>
      </c>
      <c r="EA603" s="4" t="e">
        <f t="shared" ref="EA603" ca="1" si="11151">MATCH(1,OFFSET(DZ599:DZ610,EB602,0,COUNT(DZ599:DZ610)-EB602),0)</f>
        <v>#REF!</v>
      </c>
      <c r="EB603" s="4" t="e">
        <f t="shared" ca="1" si="11106"/>
        <v>#REF!</v>
      </c>
      <c r="EC603" s="692" t="str">
        <f ca="1">IFERROR(VLOOKUP(INDEX(DY599:DY610,EB603),ELM,2,FALSE),"----")</f>
        <v>----</v>
      </c>
      <c r="ED603" s="691" t="e">
        <f t="shared" ca="1" si="11107"/>
        <v>#N/A</v>
      </c>
      <c r="EE603" s="4" t="e">
        <f ca="1">IF(LEFT($J599,7)="Clad Wo",IF(AND(INDEX(SPPWS,ED603,4)&gt;=$AB605,INDEX(SPPWS,ED603,5)&gt;=$S599,INDEX(SPPWS,ED603,6)&gt;=$R599),1,0),IF(AND(INDEX(SPM,ED603,4)&gt;=$AB605,INDEX(SPM,ED603,5)&gt;=$S599,INDEX(SPM,ED603,6)&gt;=$R599),1,0))</f>
        <v>#N/A</v>
      </c>
      <c r="EF603" s="4" t="e">
        <f t="shared" ref="EF603" ca="1" si="11152">MATCH(1,OFFSET(EE599:EE610,EG602,0,COUNT(EE599:EE610)-EG602),0)</f>
        <v>#REF!</v>
      </c>
      <c r="EG603" s="4" t="e">
        <f t="shared" ca="1" si="11109"/>
        <v>#REF!</v>
      </c>
      <c r="EH603" s="692" t="str">
        <f ca="1">IF(LEFT($J599,7)="Clad Wo",IFERROR(VLOOKUP(INDEX(ED599:ED610,EG603),SPPWS,2,FALSE),"----"),IFERROR(VLOOKUP(INDEX(ED599:ED610,EG603),SPM,2,FALSE),"----"))</f>
        <v>----</v>
      </c>
    </row>
    <row r="604" spans="1:138" ht="15" customHeight="1" thickBot="1" x14ac:dyDescent="0.3">
      <c r="A604" s="1085"/>
      <c r="B604" s="934"/>
      <c r="C604" s="935"/>
      <c r="D604" s="936"/>
      <c r="E604" s="995"/>
      <c r="F604" s="996"/>
      <c r="G604" s="997"/>
      <c r="H604" s="1062"/>
      <c r="I604" s="990"/>
      <c r="J604" s="908"/>
      <c r="K604" s="909"/>
      <c r="L604" s="1010"/>
      <c r="M604" s="924"/>
      <c r="N604" s="1044"/>
      <c r="O604" s="1018"/>
      <c r="P604" s="987"/>
      <c r="Q604" s="1015"/>
      <c r="R604" s="1012"/>
      <c r="S604" s="1006"/>
      <c r="T604" s="1007"/>
      <c r="U604" s="878"/>
      <c r="V604" s="881"/>
      <c r="W604" s="889"/>
      <c r="X604" s="884"/>
      <c r="Y604" s="890"/>
      <c r="Z604" s="890"/>
      <c r="AA604" s="887"/>
      <c r="AB604" s="1084"/>
      <c r="AC604" s="1079"/>
      <c r="AD604" s="1072" t="str">
        <f t="shared" ref="AD604" si="11153">IF(LEFT(J599,7)="Clad Wo","Pella Wood Spr / Steel Pte","Steel Plate")</f>
        <v>Steel Plate</v>
      </c>
      <c r="AE604" s="1073"/>
      <c r="AF604" s="1054"/>
      <c r="AG604" s="1055"/>
      <c r="AH604" s="1055"/>
      <c r="AI604" s="1092"/>
      <c r="AJ604" s="1093"/>
      <c r="AK604" s="159" t="str">
        <f t="shared" ca="1" si="10024"/>
        <v/>
      </c>
      <c r="AL604" s="1040"/>
      <c r="AM604" s="345" t="str">
        <f ca="1">IFERROR(Q599/12*ROUND(VLOOKUP(AF604,OFFSET(SPM,0,1),6,FALSE),2),"")</f>
        <v/>
      </c>
      <c r="AN604" t="str">
        <f t="shared" ca="1" si="10040"/>
        <v/>
      </c>
      <c r="AP604" s="699" t="str">
        <f t="shared" ref="AP604" si="11154">_xlfn.CONCAT(AR604,AS604)</f>
        <v/>
      </c>
      <c r="AQ604" s="700" t="str">
        <f t="shared" si="10249"/>
        <v/>
      </c>
      <c r="AR604" s="160" t="str">
        <f t="shared" si="10009"/>
        <v/>
      </c>
      <c r="AS604" s="160" t="str">
        <f>IFERROR(VLOOKUP(J607, WallType,2,FALSE),"")</f>
        <v/>
      </c>
      <c r="AT604" s="701" t="str">
        <f>AL599</f>
        <v/>
      </c>
      <c r="AU604" s="694" t="e">
        <f t="shared" ca="1" si="10265"/>
        <v>#REF!</v>
      </c>
      <c r="AV604" s="698" t="str">
        <f ca="1">IFERROR(VLOOKUP(AU604,INDIRECT(AQ599),2,FALSE),"----")</f>
        <v>----</v>
      </c>
      <c r="AW604" s="702" t="e">
        <f t="shared" ca="1" si="10266"/>
        <v>#REF!</v>
      </c>
      <c r="AX604" s="698" t="str">
        <f ca="1">IFERROR(VLOOKUP(AW604,INDIRECT(AQ600),2,FALSE),"----")</f>
        <v>----</v>
      </c>
      <c r="AY604" s="702" t="e">
        <f t="shared" ref="AY604:AY619" ca="1" si="11155">AY603-1</f>
        <v>#REF!</v>
      </c>
      <c r="AZ604" s="698" t="str">
        <f ca="1">IFERROR(VLOOKUP(AY604,INDIRECT(AQ601),2,FALSE),"----")</f>
        <v>----</v>
      </c>
      <c r="BA604" s="702" t="e">
        <f t="shared" ref="BA604:BA619" ca="1" si="11156">BA603-1</f>
        <v>#REF!</v>
      </c>
      <c r="BB604" s="698" t="str">
        <f ca="1">IFERROR(VLOOKUP(BA604,INDIRECT(AQ602),2,FALSE),"----")</f>
        <v>----</v>
      </c>
      <c r="BC604" s="702" t="e">
        <f t="shared" ca="1" si="10267"/>
        <v>#REF!</v>
      </c>
      <c r="BD604" s="698" t="str">
        <f ca="1">IFERROR(VLOOKUP(BC604,INDIRECT(AQ603),2,FALSE),"----")</f>
        <v>----</v>
      </c>
      <c r="BE604" s="702" t="e">
        <f t="shared" ca="1" si="10268"/>
        <v>#REF!</v>
      </c>
      <c r="BF604" s="698" t="str">
        <f ca="1">IFERROR(VLOOKUP(BE604,INDIRECT(AQ604),2,FALSE),"----")</f>
        <v>----</v>
      </c>
      <c r="BG604" s="702" t="e">
        <f t="shared" ca="1" si="10269"/>
        <v>#REF!</v>
      </c>
      <c r="BH604" s="686" t="str">
        <f ca="1">IFERROR(VLOOKUP(BG604,INDIRECT(AQ605),2,FALSE),"----")</f>
        <v>----</v>
      </c>
      <c r="BI604" s="702" t="e">
        <f t="shared" ca="1" si="10270"/>
        <v>#REF!</v>
      </c>
      <c r="BJ604" s="686" t="str">
        <f ca="1">IFERROR(VLOOKUP(BI604,INDIRECT(AQ606),2,FALSE),"----")</f>
        <v>----</v>
      </c>
      <c r="BK604" s="702" t="e">
        <f t="shared" ca="1" si="10271"/>
        <v>#REF!</v>
      </c>
      <c r="BL604" s="686" t="str">
        <f ca="1">IFERROR(VLOOKUP(BK604,INDIRECT(AQ607),2,FALSE),"----")</f>
        <v>----</v>
      </c>
      <c r="BM604" s="702" t="e">
        <f t="shared" ca="1" si="10272"/>
        <v>#REF!</v>
      </c>
      <c r="BN604" s="686" t="str">
        <f ca="1">IFERROR(VLOOKUP(BM604,INDIRECT(AQ608),2,FALSE),"----")</f>
        <v>----</v>
      </c>
      <c r="BO604" s="702" t="e">
        <f t="shared" ca="1" si="10273"/>
        <v>#REF!</v>
      </c>
      <c r="BP604" s="686" t="str">
        <f ca="1">IFERROR(VLOOKUP(BO604,INDIRECT(AQ609),2,FALSE),"----")</f>
        <v>----</v>
      </c>
      <c r="BQ604" s="702" t="e">
        <f t="shared" ca="1" si="10274"/>
        <v>#REF!</v>
      </c>
      <c r="BR604" s="686" t="str">
        <f ca="1">IFERROR(VLOOKUP(BQ604,INDIRECT(AQ610),2,FALSE),"----")</f>
        <v>----</v>
      </c>
      <c r="BS604" s="703">
        <f>IF(AI604="",1,IF(COUNTIF(BF599:BF610,AI604)=0,2,1))</f>
        <v>1</v>
      </c>
      <c r="BT604" s="704">
        <f>IF(AF604="",1,IF(BF599=".",2,1))</f>
        <v>1</v>
      </c>
      <c r="BV604" s="155">
        <f ca="1">IF(COUNTIF(DD599:DD610,AF604)=0,IF(AF604&lt;&gt;"",0,1),1)</f>
        <v>1</v>
      </c>
      <c r="BW604" s="157">
        <f ca="1">IFERROR(MATCH(AF604,DD599:DD610,0),1)</f>
        <v>1</v>
      </c>
      <c r="BX604" s="875" t="s">
        <v>1594</v>
      </c>
      <c r="BY604" s="876"/>
      <c r="BZ604" s="1110"/>
      <c r="CA604" s="691" t="e">
        <f t="shared" ca="1" si="11074"/>
        <v>#REF!</v>
      </c>
      <c r="CB604" s="4" t="e" cm="1">
        <f t="array" aca="1" ref="CB604" ca="1">IF(AND(INDEX(INDIRECT(BY599),CA604,4)&gt;=$AB599,INDEX(INDIRECT(BY599),CA604,5)&gt;=$S599,INDEX(INDIRECT(BY599),CA604,6)&gt;=$R599),1,0)</f>
        <v>#REF!</v>
      </c>
      <c r="CC604" s="4" t="e">
        <f t="shared" ref="CC604" ca="1" si="11157">MATCH(1,OFFSET(CB599:CB610,CD603,0,COUNT(CB599:CB610)-CD603),0)</f>
        <v>#REF!</v>
      </c>
      <c r="CD604" s="4" t="e">
        <f t="shared" ca="1" si="11076"/>
        <v>#REF!</v>
      </c>
      <c r="CE604" s="692" t="str" cm="1">
        <f t="array" aca="1" ref="CE604" ca="1">IFERROR(VLOOKUP(INDEX(CA599:CA610,CD604),INDIRECT(BY599),2,FALSE),"----")</f>
        <v>----</v>
      </c>
      <c r="CF604" s="691" t="e">
        <f t="shared" ca="1" si="11077"/>
        <v>#N/A</v>
      </c>
      <c r="CG604" s="4" t="e">
        <f ca="1">IF(AND(INDEX(SSM,CF604,4)&gt;=$AB599,INDEX(SSM,CF604,5)&gt;=$S599,INDEX(SSM,CF604,6)&gt;=$R599),1,0)</f>
        <v>#N/A</v>
      </c>
      <c r="CH604" s="4" t="e">
        <f t="shared" ref="CH604" ca="1" si="11158">MATCH(1,OFFSET(CG599:CG610,CI603,0,COUNT(CG599:CG610)-CI603),0)</f>
        <v>#REF!</v>
      </c>
      <c r="CI604" s="4" t="e">
        <f t="shared" ca="1" si="11079"/>
        <v>#REF!</v>
      </c>
      <c r="CJ604" s="692" t="str">
        <f ca="1">IFERROR(IF(AD600="Nested Steel Stud (wood infill)",VLOOKUP(INDEX(CF599:CF610,CI604),SSW,2,FALSE),VLOOKUP(INDEX(CF599:CF610,CI604),SSM,2,FALSE)),"----")</f>
        <v>----</v>
      </c>
      <c r="CK604" s="691" t="e">
        <f t="shared" ca="1" si="11080"/>
        <v>#N/A</v>
      </c>
      <c r="CL604" s="4" t="e">
        <f ca="1">IF(AND(INDEX(WSM,CK604,4)&gt;=$AB599,INDEX(WSM,CK604,5)&gt;=$S599,INDEX(WSM,CK604,6)&gt;=$R599),1,0)</f>
        <v>#N/A</v>
      </c>
      <c r="CM604" s="4" t="e">
        <f t="shared" ref="CM604" ca="1" si="11159">MATCH(1,OFFSET(CL599:CL610,CN603,0,COUNT(CL599:CL610)-CN603),0)</f>
        <v>#REF!</v>
      </c>
      <c r="CN604" s="4" t="e">
        <f t="shared" ca="1" si="11082"/>
        <v>#REF!</v>
      </c>
      <c r="CO604" s="692" t="str">
        <f ca="1">IFERROR(VLOOKUP(INDEX(CK599:CK610,CN604),WSM,2,FALSE),"----")</f>
        <v>----</v>
      </c>
      <c r="CP604" s="691" t="e">
        <f t="shared" ca="1" si="11083"/>
        <v>#N/A</v>
      </c>
      <c r="CQ604" s="4" t="e">
        <f ca="1">IF(AND(INDEX(STM,CP604,4)&gt;=$AB599,INDEX(STM,CP604,5)&gt;=$S599,INDEX(STM,CP604,6)&gt;=$R599),1,0)</f>
        <v>#N/A</v>
      </c>
      <c r="CR604" s="4" t="e">
        <f t="shared" ref="CR604" ca="1" si="11160">MATCH(1,OFFSET(CQ599:CQ610,CS603,0,COUNT(CQ599:CQ610)-CS603),0)</f>
        <v>#REF!</v>
      </c>
      <c r="CS604" s="4" t="e">
        <f t="shared" ca="1" si="11085"/>
        <v>#REF!</v>
      </c>
      <c r="CT604" s="692" t="str">
        <f ca="1">IFERROR(VLOOKUP(INDEX(CP599:CP610,CS604),STM,2,FALSE),"----")</f>
        <v>----</v>
      </c>
      <c r="CU604" s="691" t="e">
        <f t="shared" ca="1" si="11086"/>
        <v>#N/A</v>
      </c>
      <c r="CV604" s="4" t="e">
        <f ca="1">IF(AND(INDEX(ELM,CU604,4)&gt;=$AB599,INDEX(ELM,CU604,5)&gt;=$S599,INDEX(ELM,CU604,6)&gt;=$R599),1,0)</f>
        <v>#N/A</v>
      </c>
      <c r="CW604" s="4" t="e">
        <f t="shared" ref="CW604" ca="1" si="11161">MATCH(1,OFFSET(CV599:CV610,CX603,0,COUNT(CV599:CV610)-CX603),0)</f>
        <v>#REF!</v>
      </c>
      <c r="CX604" s="4" t="e">
        <f t="shared" ca="1" si="11088"/>
        <v>#REF!</v>
      </c>
      <c r="CY604" s="692" t="str">
        <f ca="1">IFERROR(VLOOKUP(INDEX(CU599:CU610,CX604),ELM,2,FALSE),"----")</f>
        <v>----</v>
      </c>
      <c r="CZ604" s="691" t="e">
        <f t="shared" ca="1" si="11089"/>
        <v>#N/A</v>
      </c>
      <c r="DA604" s="4" t="e">
        <f ca="1">IF(LEFT($J599,7)="Clad Wo",IF(AND(INDEX(SPPWS,CZ604,4)&gt;=$AB599,INDEX(SPPWS,CZ604,5)&gt;=$S599,INDEX(SPPWS,CZ604,6)&gt;=$R599),1,0),IF(AND(INDEX(SPM,CZ604,4)&gt;=$AB599,INDEX(SPM,CZ604,5)&gt;=$S599,INDEX(SPM,CZ604,6)&gt;=$R599),1,0))</f>
        <v>#N/A</v>
      </c>
      <c r="DB604" s="4" t="e">
        <f t="shared" ref="DB604" ca="1" si="11162">MATCH(1,OFFSET(DA599:DA610,DC603,0,COUNT(DA599:DA610)-DC603),0)</f>
        <v>#REF!</v>
      </c>
      <c r="DC604" s="4" t="e">
        <f t="shared" ca="1" si="11091"/>
        <v>#REF!</v>
      </c>
      <c r="DD604" s="693" t="str">
        <f ca="1">IF(LEFT($J599,7)="Clad Wo",IFERROR(VLOOKUP(INDEX(CZ599:CZ610,DC604),SPPWS,2,FALSE),"----"),IFERROR(VLOOKUP(INDEX(CZ599:CZ610,DC604),SPM,2,FALSE),"----"))</f>
        <v>----</v>
      </c>
      <c r="DE604" s="691" t="e">
        <f t="shared" ca="1" si="11092"/>
        <v>#REF!</v>
      </c>
      <c r="DF604" s="4" t="e" cm="1">
        <f t="array" aca="1" ref="DF604" ca="1">IF(AND(INDEX(INDIRECT(BY599),DE604,4)&gt;=$AB605,INDEX(INDIRECT(BY599),DE604,5)&gt;=$S599,INDEX(INDIRECT(BY599),DE604,6)&gt;=$R599),1,0)</f>
        <v>#REF!</v>
      </c>
      <c r="DG604" s="4" t="e">
        <f t="shared" ref="DG604" ca="1" si="11163">MATCH(1,OFFSET(DF599:DF610,DH603,0,COUNT(DF599:DF610)-DH603),0)</f>
        <v>#REF!</v>
      </c>
      <c r="DH604" s="4" t="e">
        <f t="shared" ca="1" si="11094"/>
        <v>#REF!</v>
      </c>
      <c r="DI604" s="692" t="str" cm="1">
        <f t="array" aca="1" ref="DI604" ca="1">IFERROR(VLOOKUP(INDEX(DE599:DE610,DH604),INDIRECT(BY599),2,FALSE),"----")</f>
        <v>----</v>
      </c>
      <c r="DJ604" s="691" t="e">
        <f t="shared" ca="1" si="11095"/>
        <v>#N/A</v>
      </c>
      <c r="DK604" s="4" t="e">
        <f ca="1">IF(AND(INDEX(SSM,DJ604,4)&gt;=$AB605,INDEX(SSM,DJ604,5)&gt;=$S599,INDEX(SSM,DJ604,6)&gt;=$R599),1,0)</f>
        <v>#N/A</v>
      </c>
      <c r="DL604" s="4" t="e">
        <f t="shared" ref="DL604" ca="1" si="11164">MATCH(1,OFFSET(DK599:DK610,DM603,0,COUNT(DK599:DK610)-DM603),0)</f>
        <v>#REF!</v>
      </c>
      <c r="DM604" s="4" t="e">
        <f t="shared" ca="1" si="11097"/>
        <v>#REF!</v>
      </c>
      <c r="DN604" s="692" t="str">
        <f ca="1">IFERROR(IF(AD606="Nested Steel Stud (wood infill)",VLOOKUP(INDEX(DJ599:DJ610,DM604),SSW,2,FALSE),VLOOKUP(INDEX(DJ599:DJ610,DM604),SSM,2,FALSE)),"----")</f>
        <v>----</v>
      </c>
      <c r="DO604" s="691" t="e">
        <f t="shared" ca="1" si="11098"/>
        <v>#N/A</v>
      </c>
      <c r="DP604" s="4" t="e">
        <f ca="1">IF(AND(INDEX(WSM,DO604,4)&gt;=$AB605,INDEX(WSM,DO604,5)&gt;=$S599,INDEX(WSM,DO604,6)&gt;=$R599),1,0)</f>
        <v>#N/A</v>
      </c>
      <c r="DQ604" s="4" t="e">
        <f t="shared" ref="DQ604" ca="1" si="11165">MATCH(1,OFFSET(DP599:DP610,DR603,0,COUNT(DP599:DP610)-DR603),0)</f>
        <v>#REF!</v>
      </c>
      <c r="DR604" s="4" t="e">
        <f t="shared" ca="1" si="11100"/>
        <v>#REF!</v>
      </c>
      <c r="DS604" s="692" t="str">
        <f ca="1">IFERROR(VLOOKUP(INDEX(DO599:DO610,DR604),WSM,2,FALSE),"----")</f>
        <v>----</v>
      </c>
      <c r="DT604" s="691" t="e">
        <f t="shared" ca="1" si="11101"/>
        <v>#N/A</v>
      </c>
      <c r="DU604" s="4" t="e">
        <f ca="1">IF(AND(INDEX(STM,DT604,4)&gt;=$AB605,INDEX(STM,DT604,5)&gt;=$S599,INDEX(STM,DT604,6)&gt;=$R599),1,0)</f>
        <v>#N/A</v>
      </c>
      <c r="DV604" s="4" t="e">
        <f t="shared" ref="DV604" ca="1" si="11166">MATCH(1,OFFSET(DU599:DU610,DW603,0,COUNT(DU599:DU610)-DW603),0)</f>
        <v>#REF!</v>
      </c>
      <c r="DW604" s="4" t="e">
        <f t="shared" ca="1" si="11103"/>
        <v>#REF!</v>
      </c>
      <c r="DX604" s="692" t="str">
        <f ca="1">IFERROR(VLOOKUP(INDEX(DT599:DT610,DW604),STM,2,FALSE),"----")</f>
        <v>----</v>
      </c>
      <c r="DY604" s="691" t="e">
        <f t="shared" ca="1" si="11104"/>
        <v>#N/A</v>
      </c>
      <c r="DZ604" s="4" t="e">
        <f ca="1">IF(AND(INDEX(ELM,DY604,4)&gt;=$AB605,INDEX(ELM,DY604,5)&gt;=$S599,INDEX(ELM,DY604,6)&gt;=$R599),1,0)</f>
        <v>#N/A</v>
      </c>
      <c r="EA604" s="4" t="e">
        <f t="shared" ref="EA604" ca="1" si="11167">MATCH(1,OFFSET(DZ599:DZ610,EB603,0,COUNT(DZ599:DZ610)-EB603),0)</f>
        <v>#REF!</v>
      </c>
      <c r="EB604" s="4" t="e">
        <f t="shared" ca="1" si="11106"/>
        <v>#REF!</v>
      </c>
      <c r="EC604" s="692" t="str">
        <f ca="1">IFERROR(VLOOKUP(INDEX(DY599:DY610,EB604),ELM,2,FALSE),"----")</f>
        <v>----</v>
      </c>
      <c r="ED604" s="691" t="e">
        <f t="shared" ca="1" si="11107"/>
        <v>#N/A</v>
      </c>
      <c r="EE604" s="4" t="e">
        <f ca="1">IF(LEFT($J599,7)="Clad Wo",IF(AND(INDEX(SPPWS,ED604,4)&gt;=$AB605,INDEX(SPPWS,ED604,5)&gt;=$S599,INDEX(SPPWS,ED604,6)&gt;=$R599),1,0),IF(AND(INDEX(SPM,ED604,4)&gt;=$AB605,INDEX(SPM,ED604,5)&gt;=$S599,INDEX(SPM,ED604,6)&gt;=$R599),1,0))</f>
        <v>#N/A</v>
      </c>
      <c r="EF604" s="4" t="e">
        <f t="shared" ref="EF604" ca="1" si="11168">MATCH(1,OFFSET(EE599:EE610,EG603,0,COUNT(EE599:EE610)-EG603),0)</f>
        <v>#REF!</v>
      </c>
      <c r="EG604" s="4" t="e">
        <f t="shared" ca="1" si="11109"/>
        <v>#REF!</v>
      </c>
      <c r="EH604" s="692" t="str">
        <f ca="1">IF(LEFT($J599,7)="Clad Wo",IFERROR(VLOOKUP(INDEX(ED599:ED610,EG604),SPPWS,2,FALSE),"----"),IFERROR(VLOOKUP(INDEX(ED599:ED610,EG604),SPM,2,FALSE),"----"))</f>
        <v>----</v>
      </c>
    </row>
    <row r="605" spans="1:138" ht="15" customHeight="1" x14ac:dyDescent="0.25">
      <c r="A605" s="1085"/>
      <c r="B605" s="925" t="s">
        <v>409</v>
      </c>
      <c r="C605" s="926"/>
      <c r="D605" s="927"/>
      <c r="E605" s="995"/>
      <c r="F605" s="996"/>
      <c r="G605" s="997"/>
      <c r="H605" s="1062"/>
      <c r="I605" s="990"/>
      <c r="J605" s="908"/>
      <c r="K605" s="909"/>
      <c r="L605" s="1001">
        <f>L599+1</f>
        <v>5</v>
      </c>
      <c r="M605" s="1064" t="str">
        <f t="shared" ref="M605" si="11169">IFERROR(IF($AE$17="",IF($AG$19="Wind Loading",MIN($V$31,IF(E$11="ASCE 7-05",$U$26,$V$7)*$V$9*(IF($E$12&lt;60,0.156*LN(MAX(MIN(500,O599),10)) -1.7618,IF($E$11="ASCE 7-22", 0.2026*LN(MAX(MIN(500,O599),20))-2.2638,0.2503*LN(MAX(MIN(500,O599),20)) -2.5526))-$V$8)),$V$7*IF(E$12&lt;60,$V$13*($V$15*(0.156*LN(MAX(MIN(500,O599),10)) -1.7618)-$V$16),$V$13*$V$15*((0.2026*LN(MAX(MIN(500,O599),20))-2.2638)-$V$16))),-ABS($AE$17)),"")</f>
        <v/>
      </c>
      <c r="N605" s="1041" t="str">
        <f t="shared" ref="N605" si="11170">IFERROR(IF($AE$19="",IF($AG$19="Wind Loading",MAX($U$31,IF(E$11="ASCE 7-05",$U$26,$V$7)*$V$9*((IF($E$12&lt;60,-0.077*LN(MAX(MIN(500,O599),10))+1.1737,IF($E$11="ASCE 7-22",-0.077*LN(MAX(MIN(500,O599),20))+1.0798,-0.093*LN(MAX(MIN(500,O599),20))+1.1776)))+$V$8)),$V$7*IF(E$12&lt;60,$V$13*($V$15*(-0.077*LN(MAX(MIN(500,O599),10))+1.1737)-$V$17),$V$13*$V$15*((-0.077*LN(MAX(MIN(500,O599),20))+1.0798)-$V$17))),ABS($AE$19)),"")</f>
        <v/>
      </c>
      <c r="O605" s="1018"/>
      <c r="P605" s="987"/>
      <c r="Q605" s="1015"/>
      <c r="R605" s="1012">
        <f>P605*Q605/8</f>
        <v>0</v>
      </c>
      <c r="S605" s="1006"/>
      <c r="T605" s="1007"/>
      <c r="U605" s="878"/>
      <c r="V605" s="881"/>
      <c r="W605" s="883" t="e">
        <f t="shared" ref="W605" si="11171">MAX(-M605,N605)*O599</f>
        <v>#VALUE!</v>
      </c>
      <c r="X605" s="884"/>
      <c r="Y605" s="886">
        <f>IFERROR(IF(AG$14="Trapezoidal",BY608,BX608)+IF($E$17="4",(400*E599^3)/(48*X599),0),0)</f>
        <v>0</v>
      </c>
      <c r="Z605" s="886" t="e">
        <f t="shared" ref="Z605" si="11172">+($V599*MAX(-$M605,$N605)*$E599^2)/(144*8)+IF($E$17=4,(400*$E599)/4,0)</f>
        <v>#VALUE!</v>
      </c>
      <c r="AA605" s="887"/>
      <c r="AB605" s="1080" t="str">
        <f t="shared" ref="AB605" ca="1" si="11173">IFERROR(Z605-AA599,"")</f>
        <v/>
      </c>
      <c r="AC605" s="1086" t="str">
        <f t="shared" ref="AC605" ca="1" si="11174">IFERROR(Y605-U599,"")</f>
        <v/>
      </c>
      <c r="AD605" s="1074" t="str">
        <f t="shared" ref="AD605" si="11175">AD599</f>
        <v/>
      </c>
      <c r="AE605" s="1075"/>
      <c r="AF605" s="1056"/>
      <c r="AG605" s="1057"/>
      <c r="AH605" s="1057"/>
      <c r="AI605" s="1088"/>
      <c r="AJ605" s="1089"/>
      <c r="AK605" s="162" t="str">
        <f t="shared" ca="1" si="10024"/>
        <v/>
      </c>
      <c r="AL605" s="1058" t="str">
        <f t="shared" ref="AL605" si="11176">IFERROR(ROUND(SQRT(P599^2+(W605/2+IF($E$17=4,200,0))^2),0),"")</f>
        <v/>
      </c>
      <c r="AM605" s="342" t="s">
        <v>669</v>
      </c>
      <c r="AN605" t="str">
        <f t="shared" ca="1" si="10040"/>
        <v/>
      </c>
      <c r="AP605" s="122" t="str">
        <f t="shared" ref="AP605" si="11177">_xlfn.CONCAT(AR605,AS610)</f>
        <v/>
      </c>
      <c r="AQ605" s="683" t="str">
        <f t="shared" si="10249"/>
        <v/>
      </c>
      <c r="AR605" s="96" t="str">
        <f t="shared" si="10009"/>
        <v/>
      </c>
      <c r="AS605" s="96" t="str">
        <f>IF(COUNTIF(imp_1,AF605)=1,"imp_1",IF(COUNTIF(imp_2,AF605)=1,"imp_2",IF(COUNTIF(imp_3,AF605)=1,"imp_3",IF(COUNTIF(impdoor,AF605)=1,"impdoor",""))))</f>
        <v/>
      </c>
      <c r="AT605" s="684" t="str">
        <f>AL605</f>
        <v/>
      </c>
      <c r="AU605" s="685" t="e">
        <f t="shared" ca="1" si="10265"/>
        <v>#REF!</v>
      </c>
      <c r="AV605" s="686" t="str">
        <f ca="1">IFERROR(VLOOKUP(AU605,INDIRECT(AQ599),2,FALSE),"----")</f>
        <v>----</v>
      </c>
      <c r="AW605" s="685" t="e">
        <f t="shared" ca="1" si="10266"/>
        <v>#REF!</v>
      </c>
      <c r="AX605" s="686" t="str">
        <f ca="1">IFERROR(VLOOKUP(AW605,INDIRECT(AQ600),2,FALSE),"----")</f>
        <v>----</v>
      </c>
      <c r="AY605" s="685" t="e">
        <f t="shared" ca="1" si="11155"/>
        <v>#REF!</v>
      </c>
      <c r="AZ605" s="686" t="str">
        <f ca="1">IFERROR(VLOOKUP(AY605,INDIRECT(AQ601),2,FALSE),"----")</f>
        <v>----</v>
      </c>
      <c r="BA605" s="685" t="e">
        <f t="shared" ca="1" si="11156"/>
        <v>#REF!</v>
      </c>
      <c r="BB605" s="686" t="str">
        <f ca="1">IFERROR(VLOOKUP(BA605,INDIRECT(AQ602),2,FALSE),"----")</f>
        <v>----</v>
      </c>
      <c r="BC605" s="685" t="e">
        <f t="shared" ca="1" si="10267"/>
        <v>#REF!</v>
      </c>
      <c r="BD605" s="686" t="str">
        <f ca="1">IFERROR(VLOOKUP(BC605,INDIRECT(AQ603),2,FALSE),"----")</f>
        <v>----</v>
      </c>
      <c r="BE605" s="685" t="e">
        <f t="shared" ca="1" si="10268"/>
        <v>#REF!</v>
      </c>
      <c r="BF605" s="686" t="str">
        <f ca="1">IFERROR(VLOOKUP(BE605,INDIRECT(AQ604),2,FALSE),"----")</f>
        <v>----</v>
      </c>
      <c r="BG605" s="702" t="e">
        <f t="shared" ca="1" si="10269"/>
        <v>#REF!</v>
      </c>
      <c r="BH605" s="686" t="str">
        <f ca="1">IFERROR(VLOOKUP(BG605,INDIRECT(AQ605),2,FALSE),"----")</f>
        <v>----</v>
      </c>
      <c r="BI605" s="702" t="e">
        <f t="shared" ca="1" si="10270"/>
        <v>#REF!</v>
      </c>
      <c r="BJ605" s="686" t="str">
        <f ca="1">IFERROR(VLOOKUP(BI605,INDIRECT(AQ606),2,FALSE),"----")</f>
        <v>----</v>
      </c>
      <c r="BK605" s="702" t="e">
        <f t="shared" ca="1" si="10271"/>
        <v>#REF!</v>
      </c>
      <c r="BL605" s="686" t="str">
        <f ca="1">IFERROR(VLOOKUP(BK605,INDIRECT(AQ607),2,FALSE),"----")</f>
        <v>----</v>
      </c>
      <c r="BM605" s="702" t="e">
        <f t="shared" ca="1" si="10272"/>
        <v>#REF!</v>
      </c>
      <c r="BN605" s="686" t="str">
        <f ca="1">IFERROR(VLOOKUP(BM605,INDIRECT(AQ608),2,FALSE),"----")</f>
        <v>----</v>
      </c>
      <c r="BO605" s="702" t="e">
        <f t="shared" ca="1" si="10273"/>
        <v>#REF!</v>
      </c>
      <c r="BP605" s="686" t="str">
        <f ca="1">IFERROR(VLOOKUP(BO605,INDIRECT(AQ609),2,FALSE),"----")</f>
        <v>----</v>
      </c>
      <c r="BQ605" s="702" t="e">
        <f t="shared" ca="1" si="10274"/>
        <v>#REF!</v>
      </c>
      <c r="BR605" s="686" t="str">
        <f ca="1">IFERROR(VLOOKUP(BQ605,INDIRECT(AQ610),2,FALSE),"----")</f>
        <v>----</v>
      </c>
      <c r="BS605" s="695">
        <f>IF(AI605="",1,IF(COUNTIF(BH599:BH610,AI605)=0,2,1))</f>
        <v>1</v>
      </c>
      <c r="BT605" s="696">
        <f>IF(AP605="1",1,IF(AF605="",1,IF(BH599=".",2,1)))</f>
        <v>1</v>
      </c>
      <c r="BU605" s="706"/>
      <c r="BV605" s="155">
        <f ca="1">IF(COUNTIF(DI599:DI610,AF605)=0,IF(AF605&lt;&gt;"",0,1),1)</f>
        <v>1</v>
      </c>
      <c r="BW605" s="157">
        <f ca="1">IFERROR(MATCH(AF605,DI599:DI610,0),1)</f>
        <v>1</v>
      </c>
      <c r="BX605" s="769" t="s">
        <v>1593</v>
      </c>
      <c r="BY605" s="769" t="s">
        <v>1629</v>
      </c>
      <c r="BZ605" s="1110"/>
      <c r="CA605" s="691" t="e">
        <f t="shared" ca="1" si="11074"/>
        <v>#REF!</v>
      </c>
      <c r="CB605" s="4" t="e" cm="1">
        <f t="array" aca="1" ref="CB605" ca="1">IF(AND(INDEX(INDIRECT(BY599),CA605,4)&gt;=$AB599,INDEX(INDIRECT(BY599),CA605,5)&gt;=$S599,INDEX(INDIRECT(BY599),CA605,6)&gt;=$R599),1,0)</f>
        <v>#REF!</v>
      </c>
      <c r="CC605" s="4" t="e">
        <f t="shared" ref="CC605" ca="1" si="11178">MATCH(1,OFFSET(CB599:CB610,CD604,0,COUNT(CB599:CB610)-CD604),0)</f>
        <v>#REF!</v>
      </c>
      <c r="CD605" s="4" t="e">
        <f t="shared" ca="1" si="11076"/>
        <v>#REF!</v>
      </c>
      <c r="CE605" s="692" t="str" cm="1">
        <f t="array" aca="1" ref="CE605" ca="1">IFERROR(VLOOKUP(INDEX(CA599:CA610,CD605),INDIRECT(BY599),2,FALSE),"----")</f>
        <v>----</v>
      </c>
      <c r="CF605" s="691" t="e">
        <f t="shared" ca="1" si="11077"/>
        <v>#N/A</v>
      </c>
      <c r="CG605" s="4" t="e">
        <f ca="1">IF(AND(INDEX(SSM,CF605,4)&gt;=$AB599,INDEX(SSM,CF605,5)&gt;=$S599,INDEX(SSM,CF605,6)&gt;=$R599),1,0)</f>
        <v>#N/A</v>
      </c>
      <c r="CH605" s="4" t="e">
        <f t="shared" ref="CH605" ca="1" si="11179">MATCH(1,OFFSET(CG599:CG610,CI604,0,COUNT(CG599:CG610)-CI604),0)</f>
        <v>#REF!</v>
      </c>
      <c r="CI605" s="4" t="e">
        <f t="shared" ca="1" si="11079"/>
        <v>#REF!</v>
      </c>
      <c r="CJ605" s="692" t="str">
        <f ca="1">IFERROR(IF(AD600="Nested Steel Stud (wood infill)",VLOOKUP(INDEX(CF599:CF610,CI605),SSW,2,FALSE),VLOOKUP(INDEX(CF599:CF610,CI605),SSM,2,FALSE)),"----")</f>
        <v>----</v>
      </c>
      <c r="CK605" s="691" t="e">
        <f t="shared" ca="1" si="11080"/>
        <v>#N/A</v>
      </c>
      <c r="CL605" s="4" t="e">
        <f ca="1">IF(AND(INDEX(WSM,CK605,4)&gt;=$AB599,INDEX(WSM,CK605,5)&gt;=$S599,INDEX(WSM,CK605,6)&gt;=$R599),1,0)</f>
        <v>#N/A</v>
      </c>
      <c r="CM605" s="4" t="e">
        <f t="shared" ref="CM605" ca="1" si="11180">MATCH(1,OFFSET(CL599:CL610,CN604,0,COUNT(CL599:CL610)-CN604),0)</f>
        <v>#REF!</v>
      </c>
      <c r="CN605" s="4" t="e">
        <f t="shared" ca="1" si="11082"/>
        <v>#REF!</v>
      </c>
      <c r="CO605" s="692" t="str">
        <f ca="1">IFERROR(VLOOKUP(INDEX(CK599:CK610,CN605),WSM,2,FALSE),"----")</f>
        <v>----</v>
      </c>
      <c r="CP605" s="691" t="e">
        <f t="shared" ca="1" si="11083"/>
        <v>#N/A</v>
      </c>
      <c r="CQ605" s="4" t="e">
        <f ca="1">IF(AND(INDEX(STM,CP605,4)&gt;=$AB599,INDEX(STM,CP605,5)&gt;=$S599,INDEX(STM,CP605,6)&gt;=$R599),1,0)</f>
        <v>#N/A</v>
      </c>
      <c r="CR605" s="4" t="e">
        <f t="shared" ref="CR605" ca="1" si="11181">MATCH(1,OFFSET(CQ599:CQ610,CS604,0,COUNT(CQ599:CQ610)-CS604),0)</f>
        <v>#REF!</v>
      </c>
      <c r="CS605" s="4" t="e">
        <f t="shared" ca="1" si="11085"/>
        <v>#REF!</v>
      </c>
      <c r="CT605" s="692" t="str">
        <f ca="1">IFERROR(VLOOKUP(INDEX(CP599:CP610,CS605),STM,2,FALSE),"----")</f>
        <v>----</v>
      </c>
      <c r="CU605" s="691" t="e">
        <f t="shared" ca="1" si="11086"/>
        <v>#N/A</v>
      </c>
      <c r="CV605" s="4" t="e">
        <f ca="1">IF(AND(INDEX(ELM,CU605,4)&gt;=$AB599,INDEX(ELM,CU605,5)&gt;=$S599,INDEX(ELM,CU605,6)&gt;=$R599),1,0)</f>
        <v>#N/A</v>
      </c>
      <c r="CW605" s="4" t="e">
        <f t="shared" ref="CW605" ca="1" si="11182">MATCH(1,OFFSET(CV599:CV610,CX604,0,COUNT(CV599:CV610)-CX604),0)</f>
        <v>#REF!</v>
      </c>
      <c r="CX605" s="4" t="e">
        <f t="shared" ca="1" si="11088"/>
        <v>#REF!</v>
      </c>
      <c r="CY605" s="692" t="str">
        <f ca="1">IFERROR(VLOOKUP(INDEX(CU599:CU610,CX605),ELM,2,FALSE),"----")</f>
        <v>----</v>
      </c>
      <c r="CZ605" s="691" t="e">
        <f t="shared" ca="1" si="11089"/>
        <v>#N/A</v>
      </c>
      <c r="DA605" s="4" t="e">
        <f ca="1">IF(LEFT($J599,7)="Clad Wo",IF(AND(INDEX(SPPWS,CZ605,4)&gt;=$AB599,INDEX(SPPWS,CZ605,5)&gt;=$S599,INDEX(SPPWS,CZ605,6)&gt;=$R599),1,0),IF(AND(INDEX(SPM,CZ605,4)&gt;=$AB599,INDEX(SPM,CZ605,5)&gt;=$S599,INDEX(SPM,CZ605,6)&gt;=$R599),1,0))</f>
        <v>#N/A</v>
      </c>
      <c r="DB605" s="4" t="e">
        <f t="shared" ref="DB605" ca="1" si="11183">MATCH(1,OFFSET(DA599:DA610,DC604,0,COUNT(DA599:DA610)-DC604),0)</f>
        <v>#REF!</v>
      </c>
      <c r="DC605" s="4" t="e">
        <f t="shared" ca="1" si="11091"/>
        <v>#REF!</v>
      </c>
      <c r="DD605" s="693" t="str">
        <f ca="1">IF(LEFT($J599,7)="Clad Wo",IFERROR(VLOOKUP(INDEX(CZ599:CZ610,DC605),SPPWS,2,FALSE),"----"),IFERROR(VLOOKUP(INDEX(CZ599:CZ610,DC605),SPM,2,FALSE),"----"))</f>
        <v>----</v>
      </c>
      <c r="DE605" s="691" t="e">
        <f t="shared" ca="1" si="11092"/>
        <v>#REF!</v>
      </c>
      <c r="DF605" s="4" t="e" cm="1">
        <f t="array" aca="1" ref="DF605" ca="1">IF(AND(INDEX(INDIRECT(BY599),DE605,4)&gt;=$AB605,INDEX(INDIRECT(BY599),DE605,5)&gt;=$S599,INDEX(INDIRECT(BY599),DE605,6)&gt;=$R599),1,0)</f>
        <v>#REF!</v>
      </c>
      <c r="DG605" s="4" t="e">
        <f t="shared" ref="DG605" ca="1" si="11184">MATCH(1,OFFSET(DF599:DF610,DH604,0,COUNT(DF599:DF610)-DH604),0)</f>
        <v>#REF!</v>
      </c>
      <c r="DH605" s="4" t="e">
        <f t="shared" ca="1" si="11094"/>
        <v>#REF!</v>
      </c>
      <c r="DI605" s="692" t="str" cm="1">
        <f t="array" aca="1" ref="DI605" ca="1">IFERROR(VLOOKUP(INDEX(DE599:DE610,DH605),INDIRECT(BY599),2,FALSE),"----")</f>
        <v>----</v>
      </c>
      <c r="DJ605" s="691" t="e">
        <f t="shared" ca="1" si="11095"/>
        <v>#N/A</v>
      </c>
      <c r="DK605" s="4" t="e">
        <f ca="1">IF(AND(INDEX(SSM,DJ605,4)&gt;=$AB605,INDEX(SSM,DJ605,5)&gt;=$S599,INDEX(SSM,DJ605,6)&gt;=$R599),1,0)</f>
        <v>#N/A</v>
      </c>
      <c r="DL605" s="4" t="e">
        <f t="shared" ref="DL605" ca="1" si="11185">MATCH(1,OFFSET(DK599:DK610,DM604,0,COUNT(DK599:DK610)-DM604),0)</f>
        <v>#REF!</v>
      </c>
      <c r="DM605" s="4" t="e">
        <f t="shared" ca="1" si="11097"/>
        <v>#REF!</v>
      </c>
      <c r="DN605" s="692" t="str">
        <f ca="1">IFERROR(IF(AD606="Nested Steel Stud (wood infill)",VLOOKUP(INDEX(DJ599:DJ610,DM605),SSW,2,FALSE),VLOOKUP(INDEX(DJ599:DJ610,DM605),SSM,2,FALSE)),"----")</f>
        <v>----</v>
      </c>
      <c r="DO605" s="691" t="e">
        <f t="shared" ca="1" si="11098"/>
        <v>#N/A</v>
      </c>
      <c r="DP605" s="4" t="e">
        <f ca="1">IF(AND(INDEX(WSM,DO605,4)&gt;=$AB605,INDEX(WSM,DO605,5)&gt;=$S599,INDEX(WSM,DO605,6)&gt;=$R599),1,0)</f>
        <v>#N/A</v>
      </c>
      <c r="DQ605" s="4" t="e">
        <f t="shared" ref="DQ605" ca="1" si="11186">MATCH(1,OFFSET(DP599:DP610,DR604,0,COUNT(DP599:DP610)-DR604),0)</f>
        <v>#REF!</v>
      </c>
      <c r="DR605" s="4" t="e">
        <f t="shared" ca="1" si="11100"/>
        <v>#REF!</v>
      </c>
      <c r="DS605" s="692" t="str">
        <f ca="1">IFERROR(VLOOKUP(INDEX(DO599:DO610,DR605),WSM,2,FALSE),"----")</f>
        <v>----</v>
      </c>
      <c r="DT605" s="691" t="e">
        <f t="shared" ca="1" si="11101"/>
        <v>#N/A</v>
      </c>
      <c r="DU605" s="4" t="e">
        <f ca="1">IF(AND(INDEX(STM,DT605,4)&gt;=$AB605,INDEX(STM,DT605,5)&gt;=$S599,INDEX(STM,DT605,6)&gt;=$R599),1,0)</f>
        <v>#N/A</v>
      </c>
      <c r="DV605" s="4" t="e">
        <f t="shared" ref="DV605" ca="1" si="11187">MATCH(1,OFFSET(DU599:DU610,DW604,0,COUNT(DU599:DU610)-DW604),0)</f>
        <v>#REF!</v>
      </c>
      <c r="DW605" s="4" t="e">
        <f t="shared" ca="1" si="11103"/>
        <v>#REF!</v>
      </c>
      <c r="DX605" s="692" t="str">
        <f ca="1">IFERROR(VLOOKUP(INDEX(DT599:DT610,DW605),STM,2,FALSE),"----")</f>
        <v>----</v>
      </c>
      <c r="DY605" s="691" t="e">
        <f t="shared" ca="1" si="11104"/>
        <v>#N/A</v>
      </c>
      <c r="DZ605" s="4" t="e">
        <f ca="1">IF(AND(INDEX(ELM,DY605,4)&gt;=$AB605,INDEX(ELM,DY605,5)&gt;=$S599,INDEX(ELM,DY605,6)&gt;=$R599),1,0)</f>
        <v>#N/A</v>
      </c>
      <c r="EA605" s="4" t="e">
        <f t="shared" ref="EA605" ca="1" si="11188">MATCH(1,OFFSET(DZ599:DZ610,EB604,0,COUNT(DZ599:DZ610)-EB604),0)</f>
        <v>#REF!</v>
      </c>
      <c r="EB605" s="4" t="e">
        <f t="shared" ca="1" si="11106"/>
        <v>#REF!</v>
      </c>
      <c r="EC605" s="692" t="str">
        <f ca="1">IFERROR(VLOOKUP(INDEX(DY599:DY610,EB605),ELM,2,FALSE),"----")</f>
        <v>----</v>
      </c>
      <c r="ED605" s="691" t="e">
        <f t="shared" ca="1" si="11107"/>
        <v>#N/A</v>
      </c>
      <c r="EE605" s="4" t="e">
        <f ca="1">IF(LEFT($J599,7)="Clad Wo",IF(AND(INDEX(SPPWS,ED605,4)&gt;=$AB605,INDEX(SPPWS,ED605,5)&gt;=$S599,INDEX(SPPWS,ED605,6)&gt;=$R599),1,0),IF(AND(INDEX(SPM,ED605,4)&gt;=$AB605,INDEX(SPM,ED605,5)&gt;=$S599,INDEX(SPM,ED605,6)&gt;=$R599),1,0))</f>
        <v>#N/A</v>
      </c>
      <c r="EF605" s="4" t="e">
        <f t="shared" ref="EF605" ca="1" si="11189">MATCH(1,OFFSET(EE599:EE610,EG604,0,COUNT(EE599:EE610)-EG604),0)</f>
        <v>#REF!</v>
      </c>
      <c r="EG605" s="4" t="e">
        <f t="shared" ca="1" si="11109"/>
        <v>#REF!</v>
      </c>
      <c r="EH605" s="692" t="str">
        <f ca="1">IF(LEFT($J599,7)="Clad Wo",IFERROR(VLOOKUP(INDEX(ED599:ED610,EG605),SPPWS,2,FALSE),"----"),IFERROR(VLOOKUP(INDEX(ED599:ED610,EG605),SPM,2,FALSE),"----"))</f>
        <v>----</v>
      </c>
    </row>
    <row r="606" spans="1:138" ht="15" customHeight="1" x14ac:dyDescent="0.25">
      <c r="A606" s="1085"/>
      <c r="B606" s="925"/>
      <c r="C606" s="926"/>
      <c r="D606" s="927"/>
      <c r="E606" s="995"/>
      <c r="F606" s="996"/>
      <c r="G606" s="997"/>
      <c r="H606" s="1062"/>
      <c r="I606" s="990"/>
      <c r="J606" s="912"/>
      <c r="K606" s="913"/>
      <c r="L606" s="1002"/>
      <c r="M606" s="923"/>
      <c r="N606" s="1042"/>
      <c r="O606" s="1018"/>
      <c r="P606" s="987"/>
      <c r="Q606" s="1015"/>
      <c r="R606" s="1012"/>
      <c r="S606" s="1006"/>
      <c r="T606" s="1007"/>
      <c r="U606" s="878"/>
      <c r="V606" s="881"/>
      <c r="W606" s="884"/>
      <c r="X606" s="884"/>
      <c r="Y606" s="887"/>
      <c r="Z606" s="887"/>
      <c r="AA606" s="887"/>
      <c r="AB606" s="1081"/>
      <c r="AC606" s="1078"/>
      <c r="AD606" s="1070" t="str">
        <f t="shared" ref="AD606" si="11190">IF(ISBLANK(AD600)=TRUE,"",AD600)</f>
        <v>Nested Steel Stud</v>
      </c>
      <c r="AE606" s="1071"/>
      <c r="AF606" s="1052"/>
      <c r="AG606" s="1053"/>
      <c r="AH606" s="1053"/>
      <c r="AI606" s="1066"/>
      <c r="AJ606" s="1067"/>
      <c r="AK606" s="156" t="str">
        <f t="shared" ca="1" si="10024"/>
        <v/>
      </c>
      <c r="AL606" s="1059"/>
      <c r="AM606" s="343" t="str">
        <f ca="1">IFERROR(Q599/12*ROUND(VLOOKUP(AF606,OFFSET(SSM,0,1),6,FALSE),2),"")</f>
        <v/>
      </c>
      <c r="AN606" t="str">
        <f t="shared" ca="1" si="10040"/>
        <v/>
      </c>
      <c r="AP606" s="122" t="str">
        <f t="shared" ref="AP606" si="11191">_xlfn.CONCAT(AR606,AS610)</f>
        <v/>
      </c>
      <c r="AQ606" s="683" t="str">
        <f t="shared" si="10249"/>
        <v/>
      </c>
      <c r="AR606" s="96" t="str">
        <f t="shared" si="10009"/>
        <v/>
      </c>
      <c r="AS606" s="96" t="str">
        <f>IF(COUNTIF(Vista_1,AF605)=1,"Vista_1",IF(COUNTIF(Vista_2,AF605)=1,"Vista_2",""))</f>
        <v/>
      </c>
      <c r="AT606" s="684" t="str">
        <f>AL605</f>
        <v/>
      </c>
      <c r="AU606" s="694" t="e">
        <f t="shared" ca="1" si="10265"/>
        <v>#REF!</v>
      </c>
      <c r="AV606" s="686" t="str">
        <f ca="1">IFERROR(VLOOKUP(AU606,INDIRECT(AQ599),2,FALSE),"----")</f>
        <v>----</v>
      </c>
      <c r="AW606" s="694" t="e">
        <f t="shared" ca="1" si="10266"/>
        <v>#REF!</v>
      </c>
      <c r="AX606" s="686" t="str">
        <f ca="1">IFERROR(VLOOKUP(AW606,INDIRECT(AQ600),2,FALSE),"----")</f>
        <v>----</v>
      </c>
      <c r="AY606" s="694" t="e">
        <f t="shared" ca="1" si="11155"/>
        <v>#REF!</v>
      </c>
      <c r="AZ606" s="686" t="str">
        <f ca="1">IFERROR(VLOOKUP(AY606,INDIRECT(AQ601),2,FALSE),"----")</f>
        <v>----</v>
      </c>
      <c r="BA606" s="694" t="e">
        <f t="shared" ca="1" si="11156"/>
        <v>#REF!</v>
      </c>
      <c r="BB606" s="686" t="str">
        <f ca="1">IFERROR(VLOOKUP(BA606,INDIRECT(AQ602),2,FALSE),"----")</f>
        <v>----</v>
      </c>
      <c r="BC606" s="694" t="e">
        <f t="shared" ca="1" si="10267"/>
        <v>#REF!</v>
      </c>
      <c r="BD606" s="686" t="str">
        <f ca="1">IFERROR(VLOOKUP(BC606,INDIRECT(AQ603),2,FALSE),"----")</f>
        <v>----</v>
      </c>
      <c r="BE606" s="694" t="e">
        <f t="shared" ca="1" si="10268"/>
        <v>#REF!</v>
      </c>
      <c r="BF606" s="686" t="str">
        <f ca="1">IFERROR(VLOOKUP(BE606,INDIRECT(AQ604),2,FALSE),"----")</f>
        <v>----</v>
      </c>
      <c r="BG606" s="702" t="e">
        <f t="shared" ca="1" si="10269"/>
        <v>#REF!</v>
      </c>
      <c r="BH606" s="686" t="str">
        <f ca="1">IFERROR(VLOOKUP(BG606,INDIRECT(AQ605),2,FALSE),"----")</f>
        <v>----</v>
      </c>
      <c r="BI606" s="702" t="e">
        <f t="shared" ca="1" si="10270"/>
        <v>#REF!</v>
      </c>
      <c r="BJ606" s="686" t="str">
        <f ca="1">IFERROR(VLOOKUP(BI606,INDIRECT(AQ606),2,FALSE),"----")</f>
        <v>----</v>
      </c>
      <c r="BK606" s="702" t="e">
        <f t="shared" ca="1" si="10271"/>
        <v>#REF!</v>
      </c>
      <c r="BL606" s="686" t="str">
        <f ca="1">IFERROR(VLOOKUP(BK606,INDIRECT(AQ607),2,FALSE),"----")</f>
        <v>----</v>
      </c>
      <c r="BM606" s="702" t="e">
        <f t="shared" ca="1" si="10272"/>
        <v>#REF!</v>
      </c>
      <c r="BN606" s="686" t="str">
        <f ca="1">IFERROR(VLOOKUP(BM606,INDIRECT(AQ608),2,FALSE),"----")</f>
        <v>----</v>
      </c>
      <c r="BO606" s="702" t="e">
        <f t="shared" ca="1" si="10273"/>
        <v>#REF!</v>
      </c>
      <c r="BP606" s="686" t="str">
        <f ca="1">IFERROR(VLOOKUP(BO606,INDIRECT(AQ609),2,FALSE),"----")</f>
        <v>----</v>
      </c>
      <c r="BQ606" s="702" t="e">
        <f t="shared" ca="1" si="10274"/>
        <v>#REF!</v>
      </c>
      <c r="BR606" s="686" t="str">
        <f ca="1">IFERROR(VLOOKUP(BQ606,INDIRECT(AQ610),2,FALSE),"----")</f>
        <v>----</v>
      </c>
      <c r="BS606" s="695">
        <f>IF(AI606="",1,IF(COUNTIF(BJ599:BJ610,AI606)=0,2,1))</f>
        <v>1</v>
      </c>
      <c r="BT606" s="696">
        <f>IF(AF606="",1,IF(BJ599=".",2,1))</f>
        <v>1</v>
      </c>
      <c r="BU606" s="706"/>
      <c r="BV606" s="155">
        <f ca="1">IF(COUNTIF(DN599:DN610,AF606)=0,IF(AF606&lt;&gt;"",0,1),1)</f>
        <v>1</v>
      </c>
      <c r="BW606" s="157">
        <f ca="1">IFERROR(MATCH(AF606,DN599:DN610,0),1)</f>
        <v>1</v>
      </c>
      <c r="BX606" s="769">
        <f t="shared" ref="BX606" si="11192">E599*(H599+I599)/144/2</f>
        <v>0</v>
      </c>
      <c r="BY606" s="769">
        <f>SUM(IF(H599&gt;E599,E599^2/4,(H599*E599/2)-(H599^2/4))/144,IF(I599&gt;E599,E599^2/4,(I599*E599/2)-(I599^2/4))/144)</f>
        <v>0</v>
      </c>
      <c r="BZ606" s="1110"/>
      <c r="CA606" s="691" t="e">
        <f t="shared" ca="1" si="11074"/>
        <v>#REF!</v>
      </c>
      <c r="CB606" s="4" t="e" cm="1">
        <f t="array" aca="1" ref="CB606" ca="1">IF(AND(INDEX(INDIRECT(BY599),CA606,4)&gt;=$AB599,INDEX(INDIRECT(BY599),CA606,5)&gt;=$S599,INDEX(INDIRECT(BY599),CA606,6)&gt;=$R599),1,0)</f>
        <v>#REF!</v>
      </c>
      <c r="CC606" s="4" t="e">
        <f t="shared" ref="CC606" ca="1" si="11193">MATCH(1,OFFSET(CB599:CB610,CD605,0,COUNT(CB599:CB610)-CD605),0)</f>
        <v>#REF!</v>
      </c>
      <c r="CD606" s="4" t="e">
        <f t="shared" ca="1" si="11076"/>
        <v>#REF!</v>
      </c>
      <c r="CE606" s="692" t="str" cm="1">
        <f t="array" aca="1" ref="CE606" ca="1">IFERROR(VLOOKUP(INDEX(CA599:CA610,CD606),INDIRECT(BY599),2,FALSE),"----")</f>
        <v>----</v>
      </c>
      <c r="CF606" s="691" t="e">
        <f t="shared" ca="1" si="11077"/>
        <v>#N/A</v>
      </c>
      <c r="CG606" s="4" t="e">
        <f ca="1">IF(AND(INDEX(SSM,CF606,4)&gt;=$AB599,INDEX(SSM,CF606,5)&gt;=$S599,INDEX(SSM,CF606,6)&gt;=$R599),1,0)</f>
        <v>#N/A</v>
      </c>
      <c r="CH606" s="4" t="e">
        <f t="shared" ref="CH606" ca="1" si="11194">MATCH(1,OFFSET(CG599:CG610,CI605,0,COUNT(CG599:CG610)-CI605),0)</f>
        <v>#REF!</v>
      </c>
      <c r="CI606" s="4" t="e">
        <f t="shared" ca="1" si="11079"/>
        <v>#REF!</v>
      </c>
      <c r="CJ606" s="692" t="str">
        <f ca="1">IFERROR(IF(AD600="Nested Steel Stud (wood infill)",VLOOKUP(INDEX(CF599:CF610,CI606),SSW,2,FALSE),VLOOKUP(INDEX(CF599:CF610,CI606),SSM,2,FALSE)),"----")</f>
        <v>----</v>
      </c>
      <c r="CK606" s="691" t="e">
        <f t="shared" ca="1" si="11080"/>
        <v>#N/A</v>
      </c>
      <c r="CL606" s="4" t="e">
        <f ca="1">IF(AND(INDEX(WSM,CK606,4)&gt;=$AB599,INDEX(WSM,CK606,5)&gt;=$S599,INDEX(WSM,CK606,6)&gt;=$R599),1,0)</f>
        <v>#N/A</v>
      </c>
      <c r="CM606" s="4" t="e">
        <f t="shared" ref="CM606" ca="1" si="11195">MATCH(1,OFFSET(CL599:CL610,CN605,0,COUNT(CL599:CL610)-CN605),0)</f>
        <v>#REF!</v>
      </c>
      <c r="CN606" s="4" t="e">
        <f t="shared" ca="1" si="11082"/>
        <v>#REF!</v>
      </c>
      <c r="CO606" s="692" t="str">
        <f ca="1">IFERROR(VLOOKUP(INDEX(CK599:CK610,CN606),WSM,2,FALSE),"----")</f>
        <v>----</v>
      </c>
      <c r="CP606" s="691" t="e">
        <f t="shared" ca="1" si="11083"/>
        <v>#N/A</v>
      </c>
      <c r="CQ606" s="4" t="e">
        <f ca="1">IF(AND(INDEX(STM,CP606,4)&gt;=$AB599,INDEX(STM,CP606,5)&gt;=$S599,INDEX(STM,CP606,6)&gt;=$R599),1,0)</f>
        <v>#N/A</v>
      </c>
      <c r="CR606" s="4" t="e">
        <f t="shared" ref="CR606" ca="1" si="11196">MATCH(1,OFFSET(CQ599:CQ610,CS605,0,COUNT(CQ599:CQ610)-CS605),0)</f>
        <v>#REF!</v>
      </c>
      <c r="CS606" s="4" t="e">
        <f t="shared" ca="1" si="11085"/>
        <v>#REF!</v>
      </c>
      <c r="CT606" s="692" t="str">
        <f ca="1">IFERROR(VLOOKUP(INDEX(CP599:CP610,CS606),STM,2,FALSE),"----")</f>
        <v>----</v>
      </c>
      <c r="CU606" s="691" t="e">
        <f t="shared" ca="1" si="11086"/>
        <v>#N/A</v>
      </c>
      <c r="CV606" s="4" t="e">
        <f ca="1">IF(AND(INDEX(ELM,CU606,4)&gt;=$AB599,INDEX(ELM,CU606,5)&gt;=$S599,INDEX(ELM,CU606,6)&gt;=$R599),1,0)</f>
        <v>#N/A</v>
      </c>
      <c r="CW606" s="4" t="e">
        <f t="shared" ref="CW606" ca="1" si="11197">MATCH(1,OFFSET(CV599:CV610,CX605,0,COUNT(CV599:CV610)-CX605),0)</f>
        <v>#REF!</v>
      </c>
      <c r="CX606" s="4" t="e">
        <f t="shared" ca="1" si="11088"/>
        <v>#REF!</v>
      </c>
      <c r="CY606" s="692" t="str">
        <f ca="1">IFERROR(VLOOKUP(INDEX(CU599:CU610,CX606),ELM,2,FALSE),"----")</f>
        <v>----</v>
      </c>
      <c r="CZ606" s="691" t="e">
        <f t="shared" ca="1" si="11089"/>
        <v>#N/A</v>
      </c>
      <c r="DA606" s="4" t="e">
        <f ca="1">IF(LEFT($J599,7)="Clad Wo",IF(AND(INDEX(SPPWS,CZ606,4)&gt;=$AB599,INDEX(SPPWS,CZ606,5)&gt;=$S599,INDEX(SPPWS,CZ606,6)&gt;=$R599),1,0),IF(AND(INDEX(SPM,CZ606,4)&gt;=$AB599,INDEX(SPM,CZ606,5)&gt;=$S599,INDEX(SPM,CZ606,6)&gt;=$R599),1,0))</f>
        <v>#N/A</v>
      </c>
      <c r="DB606" s="4" t="e">
        <f t="shared" ref="DB606" ca="1" si="11198">MATCH(1,OFFSET(DA599:DA610,DC605,0,COUNT(DA599:DA610)-DC605),0)</f>
        <v>#REF!</v>
      </c>
      <c r="DC606" s="4" t="e">
        <f t="shared" ca="1" si="11091"/>
        <v>#REF!</v>
      </c>
      <c r="DD606" s="693" t="str">
        <f ca="1">IF(LEFT($J599,7)="Clad Wo",IFERROR(VLOOKUP(INDEX(CZ599:CZ610,DC606),SPPWS,2,FALSE),"----"),IFERROR(VLOOKUP(INDEX(CZ599:CZ610,DC606),SPM,2,FALSE),"----"))</f>
        <v>----</v>
      </c>
      <c r="DE606" s="691" t="e">
        <f t="shared" ca="1" si="11092"/>
        <v>#REF!</v>
      </c>
      <c r="DF606" s="4" t="e" cm="1">
        <f t="array" aca="1" ref="DF606" ca="1">IF(AND(INDEX(INDIRECT(BY599),DE606,4)&gt;=$AB605,INDEX(INDIRECT(BY599),DE606,5)&gt;=$S599,INDEX(INDIRECT(BY599),DE606,6)&gt;=$R599),1,0)</f>
        <v>#REF!</v>
      </c>
      <c r="DG606" s="4" t="e">
        <f t="shared" ref="DG606" ca="1" si="11199">MATCH(1,OFFSET(DF599:DF610,DH605,0,COUNT(DF599:DF610)-DH605),0)</f>
        <v>#REF!</v>
      </c>
      <c r="DH606" s="4" t="e">
        <f t="shared" ca="1" si="11094"/>
        <v>#REF!</v>
      </c>
      <c r="DI606" s="692" t="str" cm="1">
        <f t="array" aca="1" ref="DI606" ca="1">IFERROR(VLOOKUP(INDEX(DE599:DE610,DH606),INDIRECT(BY599),2,FALSE),"----")</f>
        <v>----</v>
      </c>
      <c r="DJ606" s="691" t="e">
        <f t="shared" ca="1" si="11095"/>
        <v>#N/A</v>
      </c>
      <c r="DK606" s="4" t="e">
        <f ca="1">IF(AND(INDEX(SSM,DJ606,4)&gt;=$AB605,INDEX(SSM,DJ606,5)&gt;=$S599,INDEX(SSM,DJ606,6)&gt;=$R599),1,0)</f>
        <v>#N/A</v>
      </c>
      <c r="DL606" s="4" t="e">
        <f t="shared" ref="DL606" ca="1" si="11200">MATCH(1,OFFSET(DK599:DK610,DM605,0,COUNT(DK599:DK610)-DM605),0)</f>
        <v>#REF!</v>
      </c>
      <c r="DM606" s="4" t="e">
        <f t="shared" ca="1" si="11097"/>
        <v>#REF!</v>
      </c>
      <c r="DN606" s="692" t="str">
        <f ca="1">IFERROR(IF(AD606="Nested Steel Stud (wood infill)",VLOOKUP(INDEX(DJ599:DJ610,DM606),SSW,2,FALSE),VLOOKUP(INDEX(DJ599:DJ610,DM606),SSM,2,FALSE)),"----")</f>
        <v>----</v>
      </c>
      <c r="DO606" s="691" t="e">
        <f t="shared" ca="1" si="11098"/>
        <v>#N/A</v>
      </c>
      <c r="DP606" s="4" t="e">
        <f ca="1">IF(AND(INDEX(WSM,DO606,4)&gt;=$AB605,INDEX(WSM,DO606,5)&gt;=$S599,INDEX(WSM,DO606,6)&gt;=$R599),1,0)</f>
        <v>#N/A</v>
      </c>
      <c r="DQ606" s="4" t="e">
        <f t="shared" ref="DQ606" ca="1" si="11201">MATCH(1,OFFSET(DP599:DP610,DR605,0,COUNT(DP599:DP610)-DR605),0)</f>
        <v>#REF!</v>
      </c>
      <c r="DR606" s="4" t="e">
        <f t="shared" ca="1" si="11100"/>
        <v>#REF!</v>
      </c>
      <c r="DS606" s="692" t="str">
        <f ca="1">IFERROR(VLOOKUP(INDEX(DO599:DO610,DR606),WSM,2,FALSE),"----")</f>
        <v>----</v>
      </c>
      <c r="DT606" s="691" t="e">
        <f t="shared" ca="1" si="11101"/>
        <v>#N/A</v>
      </c>
      <c r="DU606" s="4" t="e">
        <f ca="1">IF(AND(INDEX(STM,DT606,4)&gt;=$AB605,INDEX(STM,DT606,5)&gt;=$S599,INDEX(STM,DT606,6)&gt;=$R599),1,0)</f>
        <v>#N/A</v>
      </c>
      <c r="DV606" s="4" t="e">
        <f t="shared" ref="DV606" ca="1" si="11202">MATCH(1,OFFSET(DU599:DU610,DW605,0,COUNT(DU599:DU610)-DW605),0)</f>
        <v>#REF!</v>
      </c>
      <c r="DW606" s="4" t="e">
        <f t="shared" ca="1" si="11103"/>
        <v>#REF!</v>
      </c>
      <c r="DX606" s="692" t="str">
        <f ca="1">IFERROR(VLOOKUP(INDEX(DT599:DT610,DW606),STM,2,FALSE),"----")</f>
        <v>----</v>
      </c>
      <c r="DY606" s="691" t="e">
        <f t="shared" ca="1" si="11104"/>
        <v>#N/A</v>
      </c>
      <c r="DZ606" s="4" t="e">
        <f ca="1">IF(AND(INDEX(ELM,DY606,4)&gt;=$AB605,INDEX(ELM,DY606,5)&gt;=$S599,INDEX(ELM,DY606,6)&gt;=$R599),1,0)</f>
        <v>#N/A</v>
      </c>
      <c r="EA606" s="4" t="e">
        <f t="shared" ref="EA606" ca="1" si="11203">MATCH(1,OFFSET(DZ599:DZ610,EB605,0,COUNT(DZ599:DZ610)-EB605),0)</f>
        <v>#REF!</v>
      </c>
      <c r="EB606" s="4" t="e">
        <f t="shared" ca="1" si="11106"/>
        <v>#REF!</v>
      </c>
      <c r="EC606" s="692" t="str">
        <f ca="1">IFERROR(VLOOKUP(INDEX(DY599:DY610,EB606),ELM,2,FALSE),"----")</f>
        <v>----</v>
      </c>
      <c r="ED606" s="691" t="e">
        <f t="shared" ca="1" si="11107"/>
        <v>#N/A</v>
      </c>
      <c r="EE606" s="4" t="e">
        <f ca="1">IF(LEFT($J599,7)="Clad Wo",IF(AND(INDEX(SPPWS,ED606,4)&gt;=$AB605,INDEX(SPPWS,ED606,5)&gt;=$S599,INDEX(SPPWS,ED606,6)&gt;=$R599),1,0),IF(AND(INDEX(SPM,ED606,4)&gt;=$AB605,INDEX(SPM,ED606,5)&gt;=$S599,INDEX(SPM,ED606,6)&gt;=$R599),1,0))</f>
        <v>#N/A</v>
      </c>
      <c r="EF606" s="4" t="e">
        <f t="shared" ref="EF606" ca="1" si="11204">MATCH(1,OFFSET(EE599:EE610,EG605,0,COUNT(EE599:EE610)-EG605),0)</f>
        <v>#REF!</v>
      </c>
      <c r="EG606" s="4" t="e">
        <f t="shared" ca="1" si="11109"/>
        <v>#REF!</v>
      </c>
      <c r="EH606" s="692" t="str">
        <f ca="1">IF(LEFT($J599,7)="Clad Wo",IFERROR(VLOOKUP(INDEX(ED599:ED610,EG606),SPPWS,2,FALSE),"----"),IFERROR(VLOOKUP(INDEX(ED599:ED610,EG606),SPM,2,FALSE),"----"))</f>
        <v>----</v>
      </c>
    </row>
    <row r="607" spans="1:138" ht="15" customHeight="1" x14ac:dyDescent="0.25">
      <c r="A607" s="1085"/>
      <c r="B607" s="925"/>
      <c r="C607" s="926"/>
      <c r="D607" s="927"/>
      <c r="E607" s="995"/>
      <c r="F607" s="996"/>
      <c r="G607" s="997"/>
      <c r="H607" s="1062"/>
      <c r="I607" s="990"/>
      <c r="J607" s="902"/>
      <c r="K607" s="903"/>
      <c r="L607" s="1002"/>
      <c r="M607" s="923"/>
      <c r="N607" s="1042"/>
      <c r="O607" s="1018"/>
      <c r="P607" s="987"/>
      <c r="Q607" s="1015"/>
      <c r="R607" s="1012"/>
      <c r="S607" s="1006"/>
      <c r="T607" s="1007"/>
      <c r="U607" s="878"/>
      <c r="V607" s="881"/>
      <c r="W607" s="884"/>
      <c r="X607" s="884"/>
      <c r="Y607" s="887"/>
      <c r="Z607" s="887"/>
      <c r="AA607" s="887"/>
      <c r="AB607" s="1081"/>
      <c r="AC607" s="1078"/>
      <c r="AD607" s="1070" t="str">
        <f t="shared" si="10247"/>
        <v>Wood Stud Framing</v>
      </c>
      <c r="AE607" s="1071"/>
      <c r="AF607" s="1052"/>
      <c r="AG607" s="1053"/>
      <c r="AH607" s="1053"/>
      <c r="AI607" s="1066"/>
      <c r="AJ607" s="1067"/>
      <c r="AK607" s="156" t="str">
        <f t="shared" ca="1" si="10024"/>
        <v/>
      </c>
      <c r="AL607" s="1059"/>
      <c r="AM607" s="344" t="str">
        <f ca="1">IFERROR(Q599/12*ROUND(VLOOKUP(AF607,OFFSET(WSM,0,1),6,FALSE),2),"")</f>
        <v/>
      </c>
      <c r="AN607" t="str">
        <f t="shared" ca="1" si="10040"/>
        <v/>
      </c>
      <c r="AP607" s="122" t="str">
        <f t="shared" ref="AP607" si="11205">_xlfn.CONCAT(AR607,AS610)</f>
        <v/>
      </c>
      <c r="AQ607" s="683" t="str">
        <f t="shared" si="10249"/>
        <v/>
      </c>
      <c r="AR607" s="4" t="str">
        <f t="shared" si="10009"/>
        <v/>
      </c>
      <c r="AS607" s="4"/>
      <c r="AT607" s="697" t="str">
        <f>AL605</f>
        <v/>
      </c>
      <c r="AU607" s="694" t="e">
        <f t="shared" ca="1" si="10265"/>
        <v>#REF!</v>
      </c>
      <c r="AV607" s="686" t="str">
        <f ca="1">IFERROR(VLOOKUP(AU607,INDIRECT(AQ599),2,FALSE),"----")</f>
        <v>----</v>
      </c>
      <c r="AW607" s="694" t="e">
        <f t="shared" ca="1" si="10266"/>
        <v>#REF!</v>
      </c>
      <c r="AX607" s="686" t="str">
        <f ca="1">IFERROR(VLOOKUP(AW607,INDIRECT(AQ600),2,FALSE),"----")</f>
        <v>----</v>
      </c>
      <c r="AY607" s="694" t="e">
        <f t="shared" ca="1" si="11155"/>
        <v>#REF!</v>
      </c>
      <c r="AZ607" s="686" t="str">
        <f ca="1">IFERROR(VLOOKUP(AY607,INDIRECT(AQ601),2,FALSE),"----")</f>
        <v>----</v>
      </c>
      <c r="BA607" s="694" t="e">
        <f t="shared" ca="1" si="11156"/>
        <v>#REF!</v>
      </c>
      <c r="BB607" s="686" t="str">
        <f ca="1">IFERROR(VLOOKUP(BA607,INDIRECT(AQ602),2,FALSE),"----")</f>
        <v>----</v>
      </c>
      <c r="BC607" s="694" t="e">
        <f t="shared" ca="1" si="10267"/>
        <v>#REF!</v>
      </c>
      <c r="BD607" s="686" t="str">
        <f ca="1">IFERROR(VLOOKUP(BC607,INDIRECT(AQ603),2,FALSE),"----")</f>
        <v>----</v>
      </c>
      <c r="BE607" s="694" t="e">
        <f t="shared" ca="1" si="10268"/>
        <v>#REF!</v>
      </c>
      <c r="BF607" s="686" t="str">
        <f ca="1">IFERROR(VLOOKUP(BE607,INDIRECT(AQ604),2,FALSE),"----")</f>
        <v>----</v>
      </c>
      <c r="BG607" s="702" t="e">
        <f t="shared" ca="1" si="10269"/>
        <v>#REF!</v>
      </c>
      <c r="BH607" s="686" t="str">
        <f ca="1">IFERROR(VLOOKUP(BG607,INDIRECT(AQ605),2,FALSE),"----")</f>
        <v>----</v>
      </c>
      <c r="BI607" s="702" t="e">
        <f t="shared" ca="1" si="10270"/>
        <v>#REF!</v>
      </c>
      <c r="BJ607" s="686" t="str">
        <f ca="1">IFERROR(VLOOKUP(BI607,INDIRECT(AQ606),2,FALSE),"----")</f>
        <v>----</v>
      </c>
      <c r="BK607" s="702" t="e">
        <f t="shared" ca="1" si="10271"/>
        <v>#REF!</v>
      </c>
      <c r="BL607" s="686" t="str">
        <f ca="1">IFERROR(VLOOKUP(BK607,INDIRECT(AQ607),2,FALSE),"----")</f>
        <v>----</v>
      </c>
      <c r="BM607" s="702" t="e">
        <f t="shared" ca="1" si="10272"/>
        <v>#REF!</v>
      </c>
      <c r="BN607" s="686" t="str">
        <f ca="1">IFERROR(VLOOKUP(BM607,INDIRECT(AQ608),2,FALSE),"----")</f>
        <v>----</v>
      </c>
      <c r="BO607" s="702" t="e">
        <f t="shared" ca="1" si="10273"/>
        <v>#REF!</v>
      </c>
      <c r="BP607" s="686" t="str">
        <f ca="1">IFERROR(VLOOKUP(BO607,INDIRECT(AQ609),2,FALSE),"----")</f>
        <v>----</v>
      </c>
      <c r="BQ607" s="702" t="e">
        <f t="shared" ca="1" si="10274"/>
        <v>#REF!</v>
      </c>
      <c r="BR607" s="686" t="str">
        <f ca="1">IFERROR(VLOOKUP(BQ607,INDIRECT(AQ610),2,FALSE),"----")</f>
        <v>----</v>
      </c>
      <c r="BS607" s="695">
        <f>IF(AI607="",1,IF(COUNTIF(BL599:BL610,AI607)=0,2,1))</f>
        <v>1</v>
      </c>
      <c r="BT607" s="696">
        <f>IF(AF607="",1,IF(BL599=".",2,1))</f>
        <v>1</v>
      </c>
      <c r="BU607" s="706"/>
      <c r="BV607" s="155">
        <f ca="1">IF(COUNTIF(DS599:DS610,AF607)=0,IF(AF607&lt;&gt;"",0,1),1)</f>
        <v>1</v>
      </c>
      <c r="BW607" s="157">
        <f ca="1">IFERROR(MATCH(AF607,DS599:DS610,0),1)</f>
        <v>1</v>
      </c>
      <c r="BX607" s="769" t="e">
        <f t="shared" ref="BX607" si="11206">5*E599^3*W599/(384*X599)</f>
        <v>#VALUE!</v>
      </c>
      <c r="BY607" s="769" t="e">
        <f t="shared" ref="BY607" si="11207">W599*E599^3/(60*X599)</f>
        <v>#VALUE!</v>
      </c>
      <c r="BZ607" s="1110"/>
      <c r="CA607" s="691" t="e">
        <f t="shared" ca="1" si="11074"/>
        <v>#REF!</v>
      </c>
      <c r="CB607" s="4" t="e" cm="1">
        <f t="array" aca="1" ref="CB607" ca="1">IF(AND(INDEX(INDIRECT(BY599),CA607,4)&gt;=$AB599,INDEX(INDIRECT(BY599),CA607,5)&gt;=$S599,INDEX(INDIRECT(BY599),CA607,6)&gt;=$R599),1,0)</f>
        <v>#REF!</v>
      </c>
      <c r="CC607" s="4" t="e">
        <f t="shared" ref="CC607" ca="1" si="11208">MATCH(1,OFFSET(CB599:CB610,CD606,0,COUNT(CB599:CB610)-CD606),0)</f>
        <v>#REF!</v>
      </c>
      <c r="CD607" s="4" t="e">
        <f t="shared" ca="1" si="11076"/>
        <v>#REF!</v>
      </c>
      <c r="CE607" s="692" t="str" cm="1">
        <f t="array" aca="1" ref="CE607" ca="1">IFERROR(VLOOKUP(INDEX(CA599:CA610,CD607),INDIRECT(BY599),2,FALSE),"----")</f>
        <v>----</v>
      </c>
      <c r="CF607" s="691" t="e">
        <f t="shared" ca="1" si="11077"/>
        <v>#N/A</v>
      </c>
      <c r="CG607" s="4" t="e">
        <f ca="1">IF(AND(INDEX(SSM,CF607,4)&gt;=$AB599,INDEX(SSM,CF607,5)&gt;=$S599,INDEX(SSM,CF607,6)&gt;=$R599),1,0)</f>
        <v>#N/A</v>
      </c>
      <c r="CH607" s="4" t="e">
        <f t="shared" ref="CH607" ca="1" si="11209">MATCH(1,OFFSET(CG599:CG610,CI606,0,COUNT(CG599:CG610)-CI606),0)</f>
        <v>#REF!</v>
      </c>
      <c r="CI607" s="4" t="e">
        <f t="shared" ca="1" si="11079"/>
        <v>#REF!</v>
      </c>
      <c r="CJ607" s="692" t="str">
        <f ca="1">IFERROR(IF(AD600="Nested Steel Stud (wood infill)",VLOOKUP(INDEX(CF599:CF610,CI607),SSW,2,FALSE),VLOOKUP(INDEX(CF599:CF610,CI607),SSM,2,FALSE)),"----")</f>
        <v>----</v>
      </c>
      <c r="CK607" s="691" t="e">
        <f t="shared" ca="1" si="11080"/>
        <v>#N/A</v>
      </c>
      <c r="CL607" s="4" t="e">
        <f ca="1">IF(AND(INDEX(WSM,CK607,4)&gt;=$AB599,INDEX(WSM,CK607,5)&gt;=$S599,INDEX(WSM,CK607,6)&gt;=$R599),1,0)</f>
        <v>#N/A</v>
      </c>
      <c r="CM607" s="4" t="e">
        <f t="shared" ref="CM607" ca="1" si="11210">MATCH(1,OFFSET(CL599:CL610,CN606,0,COUNT(CL599:CL610)-CN606),0)</f>
        <v>#REF!</v>
      </c>
      <c r="CN607" s="4" t="e">
        <f t="shared" ca="1" si="11082"/>
        <v>#REF!</v>
      </c>
      <c r="CO607" s="692" t="str">
        <f ca="1">IFERROR(VLOOKUP(INDEX(CK599:CK610,CN607),WSM,2,FALSE),"----")</f>
        <v>----</v>
      </c>
      <c r="CP607" s="691" t="e">
        <f t="shared" ca="1" si="11083"/>
        <v>#N/A</v>
      </c>
      <c r="CQ607" s="4" t="e">
        <f ca="1">IF(AND(INDEX(STM,CP607,4)&gt;=$AB599,INDEX(STM,CP607,5)&gt;=$S599,INDEX(STM,CP607,6)&gt;=$R599),1,0)</f>
        <v>#N/A</v>
      </c>
      <c r="CR607" s="4" t="e">
        <f t="shared" ref="CR607" ca="1" si="11211">MATCH(1,OFFSET(CQ599:CQ610,CS606,0,COUNT(CQ599:CQ610)-CS606),0)</f>
        <v>#REF!</v>
      </c>
      <c r="CS607" s="4" t="e">
        <f t="shared" ca="1" si="11085"/>
        <v>#REF!</v>
      </c>
      <c r="CT607" s="692" t="str">
        <f ca="1">IFERROR(VLOOKUP(INDEX(CP599:CP610,CS607),STM,2,FALSE),"----")</f>
        <v>----</v>
      </c>
      <c r="CU607" s="691" t="e">
        <f t="shared" ca="1" si="11086"/>
        <v>#N/A</v>
      </c>
      <c r="CV607" s="4" t="e">
        <f ca="1">IF(AND(INDEX(ELM,CU607,4)&gt;=$AB599,INDEX(ELM,CU607,5)&gt;=$S599,INDEX(ELM,CU607,6)&gt;=$R599),1,0)</f>
        <v>#N/A</v>
      </c>
      <c r="CW607" s="4" t="e">
        <f t="shared" ref="CW607" ca="1" si="11212">MATCH(1,OFFSET(CV599:CV610,CX606,0,COUNT(CV599:CV610)-CX606),0)</f>
        <v>#REF!</v>
      </c>
      <c r="CX607" s="4" t="e">
        <f t="shared" ca="1" si="11088"/>
        <v>#REF!</v>
      </c>
      <c r="CY607" s="692" t="str">
        <f ca="1">IFERROR(VLOOKUP(INDEX(CU599:CU610,CX607),ELM,2,FALSE),"----")</f>
        <v>----</v>
      </c>
      <c r="CZ607" s="691" t="e">
        <f t="shared" ca="1" si="11089"/>
        <v>#N/A</v>
      </c>
      <c r="DA607" s="4" t="e">
        <f ca="1">IF(LEFT($J599,7)="Clad Wo",IF(AND(INDEX(SPPWS,CZ607,4)&gt;=$AB599,INDEX(SPPWS,CZ607,5)&gt;=$S599,INDEX(SPPWS,CZ607,6)&gt;=$R599),1,0),IF(AND(INDEX(SPM,CZ607,4)&gt;=$AB599,INDEX(SPM,CZ607,5)&gt;=$S599,INDEX(SPM,CZ607,6)&gt;=$R599),1,0))</f>
        <v>#N/A</v>
      </c>
      <c r="DB607" s="4" t="e">
        <f t="shared" ref="DB607" ca="1" si="11213">MATCH(1,OFFSET(DA599:DA610,DC606,0,COUNT(DA599:DA610)-DC606),0)</f>
        <v>#REF!</v>
      </c>
      <c r="DC607" s="4" t="e">
        <f t="shared" ca="1" si="11091"/>
        <v>#REF!</v>
      </c>
      <c r="DD607" s="693" t="str">
        <f ca="1">IF(LEFT($J599,7)="Clad Wo",IFERROR(VLOOKUP(INDEX(CZ599:CZ610,DC607),SPPWS,2,FALSE),"----"),IFERROR(VLOOKUP(INDEX(CZ599:CZ610,DC607),SPM,2,FALSE),"----"))</f>
        <v>----</v>
      </c>
      <c r="DE607" s="691" t="e">
        <f t="shared" ca="1" si="11092"/>
        <v>#REF!</v>
      </c>
      <c r="DF607" s="4" t="e" cm="1">
        <f t="array" aca="1" ref="DF607" ca="1">IF(AND(INDEX(INDIRECT(BY599),DE607,4)&gt;=$AB605,INDEX(INDIRECT(BY599),DE607,5)&gt;=$S599,INDEX(INDIRECT(BY599),DE607,6)&gt;=$R599),1,0)</f>
        <v>#REF!</v>
      </c>
      <c r="DG607" s="4" t="e">
        <f t="shared" ref="DG607" ca="1" si="11214">MATCH(1,OFFSET(DF599:DF610,DH606,0,COUNT(DF599:DF610)-DH606),0)</f>
        <v>#REF!</v>
      </c>
      <c r="DH607" s="4" t="e">
        <f t="shared" ca="1" si="11094"/>
        <v>#REF!</v>
      </c>
      <c r="DI607" s="692" t="str" cm="1">
        <f t="array" aca="1" ref="DI607" ca="1">IFERROR(VLOOKUP(INDEX(DE599:DE610,DH607),INDIRECT(BY599),2,FALSE),"----")</f>
        <v>----</v>
      </c>
      <c r="DJ607" s="691" t="e">
        <f t="shared" ca="1" si="11095"/>
        <v>#N/A</v>
      </c>
      <c r="DK607" s="4" t="e">
        <f ca="1">IF(AND(INDEX(SSM,DJ607,4)&gt;=$AB605,INDEX(SSM,DJ607,5)&gt;=$S599,INDEX(SSM,DJ607,6)&gt;=$R599),1,0)</f>
        <v>#N/A</v>
      </c>
      <c r="DL607" s="4" t="e">
        <f t="shared" ref="DL607" ca="1" si="11215">MATCH(1,OFFSET(DK599:DK610,DM606,0,COUNT(DK599:DK610)-DM606),0)</f>
        <v>#REF!</v>
      </c>
      <c r="DM607" s="4" t="e">
        <f t="shared" ca="1" si="11097"/>
        <v>#REF!</v>
      </c>
      <c r="DN607" s="692" t="str">
        <f ca="1">IFERROR(IF(AD606="Nested Steel Stud (wood infill)",VLOOKUP(INDEX(DJ599:DJ610,DM607),SSW,2,FALSE),VLOOKUP(INDEX(DJ599:DJ610,DM607),SSM,2,FALSE)),"----")</f>
        <v>----</v>
      </c>
      <c r="DO607" s="691" t="e">
        <f t="shared" ca="1" si="11098"/>
        <v>#N/A</v>
      </c>
      <c r="DP607" s="4" t="e">
        <f ca="1">IF(AND(INDEX(WSM,DO607,4)&gt;=$AB605,INDEX(WSM,DO607,5)&gt;=$S599,INDEX(WSM,DO607,6)&gt;=$R599),1,0)</f>
        <v>#N/A</v>
      </c>
      <c r="DQ607" s="4" t="e">
        <f t="shared" ref="DQ607" ca="1" si="11216">MATCH(1,OFFSET(DP599:DP610,DR606,0,COUNT(DP599:DP610)-DR606),0)</f>
        <v>#REF!</v>
      </c>
      <c r="DR607" s="4" t="e">
        <f t="shared" ca="1" si="11100"/>
        <v>#REF!</v>
      </c>
      <c r="DS607" s="692" t="str">
        <f ca="1">IFERROR(VLOOKUP(INDEX(DO599:DO610,DR607),WSM,2,FALSE),"----")</f>
        <v>----</v>
      </c>
      <c r="DT607" s="691" t="e">
        <f t="shared" ca="1" si="11101"/>
        <v>#N/A</v>
      </c>
      <c r="DU607" s="4" t="e">
        <f ca="1">IF(AND(INDEX(STM,DT607,4)&gt;=$AB605,INDEX(STM,DT607,5)&gt;=$S599,INDEX(STM,DT607,6)&gt;=$R599),1,0)</f>
        <v>#N/A</v>
      </c>
      <c r="DV607" s="4" t="e">
        <f t="shared" ref="DV607" ca="1" si="11217">MATCH(1,OFFSET(DU599:DU610,DW606,0,COUNT(DU599:DU610)-DW606),0)</f>
        <v>#REF!</v>
      </c>
      <c r="DW607" s="4" t="e">
        <f t="shared" ca="1" si="11103"/>
        <v>#REF!</v>
      </c>
      <c r="DX607" s="692" t="str">
        <f ca="1">IFERROR(VLOOKUP(INDEX(DT599:DT610,DW607),STM,2,FALSE),"----")</f>
        <v>----</v>
      </c>
      <c r="DY607" s="691" t="e">
        <f t="shared" ca="1" si="11104"/>
        <v>#N/A</v>
      </c>
      <c r="DZ607" s="4" t="e">
        <f ca="1">IF(AND(INDEX(ELM,DY607,4)&gt;=$AB605,INDEX(ELM,DY607,5)&gt;=$S599,INDEX(ELM,DY607,6)&gt;=$R599),1,0)</f>
        <v>#N/A</v>
      </c>
      <c r="EA607" s="4" t="e">
        <f t="shared" ref="EA607" ca="1" si="11218">MATCH(1,OFFSET(DZ599:DZ610,EB606,0,COUNT(DZ599:DZ610)-EB606),0)</f>
        <v>#REF!</v>
      </c>
      <c r="EB607" s="4" t="e">
        <f t="shared" ca="1" si="11106"/>
        <v>#REF!</v>
      </c>
      <c r="EC607" s="692" t="str">
        <f ca="1">IFERROR(VLOOKUP(INDEX(DY599:DY610,EB607),ELM,2,FALSE),"----")</f>
        <v>----</v>
      </c>
      <c r="ED607" s="691" t="e">
        <f t="shared" ca="1" si="11107"/>
        <v>#N/A</v>
      </c>
      <c r="EE607" s="4" t="e">
        <f ca="1">IF(LEFT($J599,7)="Clad Wo",IF(AND(INDEX(SPPWS,ED607,4)&gt;=$AB605,INDEX(SPPWS,ED607,5)&gt;=$S599,INDEX(SPPWS,ED607,6)&gt;=$R599),1,0),IF(AND(INDEX(SPM,ED607,4)&gt;=$AB605,INDEX(SPM,ED607,5)&gt;=$S599,INDEX(SPM,ED607,6)&gt;=$R599),1,0))</f>
        <v>#N/A</v>
      </c>
      <c r="EF607" s="4" t="e">
        <f t="shared" ref="EF607" ca="1" si="11219">MATCH(1,OFFSET(EE599:EE610,EG606,0,COUNT(EE599:EE610)-EG606),0)</f>
        <v>#REF!</v>
      </c>
      <c r="EG607" s="4" t="e">
        <f t="shared" ca="1" si="11109"/>
        <v>#REF!</v>
      </c>
      <c r="EH607" s="692" t="str">
        <f ca="1">IF(LEFT($J599,7)="Clad Wo",IFERROR(VLOOKUP(INDEX(ED599:ED610,EG607),SPPWS,2,FALSE),"----"),IFERROR(VLOOKUP(INDEX(ED599:ED610,EG607),SPM,2,FALSE),"----"))</f>
        <v>----</v>
      </c>
    </row>
    <row r="608" spans="1:138" ht="15" customHeight="1" x14ac:dyDescent="0.25">
      <c r="A608" s="1085"/>
      <c r="B608" s="925"/>
      <c r="C608" s="926"/>
      <c r="D608" s="927"/>
      <c r="E608" s="995"/>
      <c r="F608" s="996"/>
      <c r="G608" s="997"/>
      <c r="H608" s="1062"/>
      <c r="I608" s="990"/>
      <c r="J608" s="902"/>
      <c r="K608" s="903"/>
      <c r="L608" s="1002"/>
      <c r="M608" s="923"/>
      <c r="N608" s="1042"/>
      <c r="O608" s="1018"/>
      <c r="P608" s="987"/>
      <c r="Q608" s="1015"/>
      <c r="R608" s="1012"/>
      <c r="S608" s="1006"/>
      <c r="T608" s="1007"/>
      <c r="U608" s="878"/>
      <c r="V608" s="881"/>
      <c r="W608" s="884"/>
      <c r="X608" s="884"/>
      <c r="Y608" s="887"/>
      <c r="Z608" s="887"/>
      <c r="AA608" s="887"/>
      <c r="AB608" s="1081"/>
      <c r="AC608" s="1078"/>
      <c r="AD608" s="1070" t="str">
        <f t="shared" si="10247"/>
        <v>Steel Tube</v>
      </c>
      <c r="AE608" s="1071"/>
      <c r="AF608" s="1052"/>
      <c r="AG608" s="1053"/>
      <c r="AH608" s="1053"/>
      <c r="AI608" s="1066"/>
      <c r="AJ608" s="1067"/>
      <c r="AK608" s="156" t="str">
        <f t="shared" ca="1" si="10024"/>
        <v/>
      </c>
      <c r="AL608" s="1059"/>
      <c r="AM608" s="343" t="str">
        <f ca="1">IFERROR(Q599/12*ROUND(VLOOKUP(AF608,OFFSET(STM,0,1),6,FALSE),2),"")</f>
        <v/>
      </c>
      <c r="AN608" t="str">
        <f t="shared" ca="1" si="10040"/>
        <v/>
      </c>
      <c r="AP608" s="122" t="str">
        <f t="shared" ref="AP608" si="11220">_xlfn.CONCAT(AR608,AS610)</f>
        <v/>
      </c>
      <c r="AQ608" s="683" t="str">
        <f t="shared" si="10249"/>
        <v/>
      </c>
      <c r="AR608" s="4" t="str">
        <f t="shared" si="10009"/>
        <v/>
      </c>
      <c r="AS608" s="4"/>
      <c r="AT608" s="697" t="str">
        <f>AL605</f>
        <v/>
      </c>
      <c r="AU608" s="694" t="e">
        <f t="shared" ca="1" si="10265"/>
        <v>#REF!</v>
      </c>
      <c r="AV608" s="686" t="str">
        <f ca="1">IFERROR(VLOOKUP(AU608,INDIRECT(AQ599),2,FALSE),"----")</f>
        <v>----</v>
      </c>
      <c r="AW608" s="694" t="e">
        <f t="shared" ca="1" si="10266"/>
        <v>#REF!</v>
      </c>
      <c r="AX608" s="686" t="str">
        <f ca="1">IFERROR(VLOOKUP(AW608,INDIRECT(AQ600),2,FALSE),"----")</f>
        <v>----</v>
      </c>
      <c r="AY608" s="694" t="e">
        <f t="shared" ca="1" si="10511"/>
        <v>#REF!</v>
      </c>
      <c r="AZ608" s="686" t="str">
        <f ca="1">IFERROR(VLOOKUP(AY608,INDIRECT(AQ601),2,FALSE),"----")</f>
        <v>----</v>
      </c>
      <c r="BA608" s="694" t="e">
        <f t="shared" ca="1" si="10512"/>
        <v>#REF!</v>
      </c>
      <c r="BB608" s="686" t="str">
        <f ca="1">IFERROR(VLOOKUP(BA608,INDIRECT(AQ602),2,FALSE),"----")</f>
        <v>----</v>
      </c>
      <c r="BC608" s="694" t="e">
        <f t="shared" ca="1" si="10267"/>
        <v>#REF!</v>
      </c>
      <c r="BD608" s="686" t="str">
        <f ca="1">IFERROR(VLOOKUP(BC608,INDIRECT(AQ603),2,FALSE),"----")</f>
        <v>----</v>
      </c>
      <c r="BE608" s="694" t="e">
        <f t="shared" ca="1" si="10268"/>
        <v>#REF!</v>
      </c>
      <c r="BF608" s="686" t="str">
        <f ca="1">IFERROR(VLOOKUP(BE608,INDIRECT(AQ604),2,FALSE),"----")</f>
        <v>----</v>
      </c>
      <c r="BG608" s="702" t="e">
        <f t="shared" ca="1" si="10269"/>
        <v>#REF!</v>
      </c>
      <c r="BH608" s="686" t="str">
        <f ca="1">IFERROR(VLOOKUP(BG608,INDIRECT(AQ605),2,FALSE),"----")</f>
        <v>----</v>
      </c>
      <c r="BI608" s="702" t="e">
        <f t="shared" ca="1" si="10270"/>
        <v>#REF!</v>
      </c>
      <c r="BJ608" s="686" t="str">
        <f ca="1">IFERROR(VLOOKUP(BI608,INDIRECT(AQ606),2,FALSE),"----")</f>
        <v>----</v>
      </c>
      <c r="BK608" s="702" t="e">
        <f t="shared" ca="1" si="10271"/>
        <v>#REF!</v>
      </c>
      <c r="BL608" s="686" t="str">
        <f ca="1">IFERROR(VLOOKUP(BK608,INDIRECT(AQ607),2,FALSE),"----")</f>
        <v>----</v>
      </c>
      <c r="BM608" s="702" t="e">
        <f t="shared" ca="1" si="10272"/>
        <v>#REF!</v>
      </c>
      <c r="BN608" s="686" t="str">
        <f ca="1">IFERROR(VLOOKUP(BM608,INDIRECT(AQ608),2,FALSE),"----")</f>
        <v>----</v>
      </c>
      <c r="BO608" s="702" t="e">
        <f t="shared" ca="1" si="10273"/>
        <v>#REF!</v>
      </c>
      <c r="BP608" s="686" t="str">
        <f ca="1">IFERROR(VLOOKUP(BO608,INDIRECT(AQ609),2,FALSE),"----")</f>
        <v>----</v>
      </c>
      <c r="BQ608" s="702" t="e">
        <f t="shared" ca="1" si="10274"/>
        <v>#REF!</v>
      </c>
      <c r="BR608" s="686" t="str">
        <f ca="1">IFERROR(VLOOKUP(BQ608,INDIRECT(AQ610),2,FALSE),"----")</f>
        <v>----</v>
      </c>
      <c r="BS608" s="695">
        <f>IF(AI608="",1,IF(COUNTIF(BN599:BN610,AI608)=0,2,1))</f>
        <v>1</v>
      </c>
      <c r="BT608" s="696">
        <f>IF(AF608="",1,IF(BN599=".",2,1))</f>
        <v>1</v>
      </c>
      <c r="BU608" s="706"/>
      <c r="BV608" s="155">
        <f ca="1">IF(COUNTIF(DX599:DX610,AF608)=0,IF(AF608&lt;&gt;"",0,1),1)</f>
        <v>1</v>
      </c>
      <c r="BW608" s="157">
        <f ca="1">IFERROR(MATCH(AF608,DX599:DX610,0),1)</f>
        <v>1</v>
      </c>
      <c r="BX608" s="769" t="e">
        <f t="shared" ref="BX608" si="11221">5*E599^3*W605/(384*X599)</f>
        <v>#VALUE!</v>
      </c>
      <c r="BY608" s="769" t="e">
        <f t="shared" ref="BY608" si="11222">E599^3*W605/(60*X599)</f>
        <v>#VALUE!</v>
      </c>
      <c r="BZ608" s="1110"/>
      <c r="CA608" s="691" t="e">
        <f t="shared" ca="1" si="11074"/>
        <v>#REF!</v>
      </c>
      <c r="CB608" s="4" t="e" cm="1">
        <f t="array" aca="1" ref="CB608" ca="1">IF(AND(INDEX(INDIRECT(BY599),CA608,4)&gt;=$AB599,INDEX(INDIRECT(BY599),CA608,5)&gt;=$S599,INDEX(INDIRECT(BY599),CA608,6)&gt;=$R599),1,0)</f>
        <v>#REF!</v>
      </c>
      <c r="CC608" s="4" t="e">
        <f t="shared" ref="CC608" ca="1" si="11223">MATCH(1,OFFSET(CB599:CB610,CD607,0,COUNT(CB599:CB610)-CD607),0)</f>
        <v>#REF!</v>
      </c>
      <c r="CD608" s="4" t="e">
        <f t="shared" ca="1" si="11076"/>
        <v>#REF!</v>
      </c>
      <c r="CE608" s="692" t="str" cm="1">
        <f t="array" aca="1" ref="CE608" ca="1">IFERROR(VLOOKUP(INDEX(CA599:CA610,CD608),INDIRECT(BY599),2,FALSE),"----")</f>
        <v>----</v>
      </c>
      <c r="CF608" s="691" t="e">
        <f t="shared" ca="1" si="11077"/>
        <v>#N/A</v>
      </c>
      <c r="CG608" s="4" t="e">
        <f ca="1">IF(AND(INDEX(SSM,CF608,4)&gt;=$AB599,INDEX(SSM,CF608,5)&gt;=$S599,INDEX(SSM,CF608,6)&gt;=$R599),1,0)</f>
        <v>#N/A</v>
      </c>
      <c r="CH608" s="4" t="e">
        <f t="shared" ref="CH608" ca="1" si="11224">MATCH(1,OFFSET(CG599:CG610,CI607,0,COUNT(CG599:CG610)-CI607),0)</f>
        <v>#REF!</v>
      </c>
      <c r="CI608" s="4" t="e">
        <f t="shared" ca="1" si="11079"/>
        <v>#REF!</v>
      </c>
      <c r="CJ608" s="692" t="str">
        <f ca="1">IFERROR(IF(AD600="Nested Steel Stud (wood infill)",VLOOKUP(INDEX(CF599:CF610,CI608),SSW,2,FALSE),VLOOKUP(INDEX(CF599:CF610,CI608),SSM,2,FALSE)),"----")</f>
        <v>----</v>
      </c>
      <c r="CK608" s="691" t="e">
        <f t="shared" ca="1" si="11080"/>
        <v>#N/A</v>
      </c>
      <c r="CL608" s="4" t="e">
        <f ca="1">IF(AND(INDEX(WSM,CK608,4)&gt;=$AB599,INDEX(WSM,CK608,5)&gt;=$S599,INDEX(WSM,CK608,6)&gt;=$R599),1,0)</f>
        <v>#N/A</v>
      </c>
      <c r="CM608" s="4" t="e">
        <f t="shared" ref="CM608" ca="1" si="11225">MATCH(1,OFFSET(CL599:CL610,CN607,0,COUNT(CL599:CL610)-CN607),0)</f>
        <v>#REF!</v>
      </c>
      <c r="CN608" s="4" t="e">
        <f t="shared" ca="1" si="11082"/>
        <v>#REF!</v>
      </c>
      <c r="CO608" s="692" t="str">
        <f ca="1">IFERROR(VLOOKUP(INDEX(CK599:CK610,CN608),WSM,2,FALSE),"----")</f>
        <v>----</v>
      </c>
      <c r="CP608" s="691" t="e">
        <f t="shared" ca="1" si="11083"/>
        <v>#N/A</v>
      </c>
      <c r="CQ608" s="4" t="e">
        <f ca="1">IF(AND(INDEX(STM,CP608,4)&gt;=$AB599,INDEX(STM,CP608,5)&gt;=$S599,INDEX(STM,CP608,6)&gt;=$R599),1,0)</f>
        <v>#N/A</v>
      </c>
      <c r="CR608" s="4" t="e">
        <f t="shared" ref="CR608" ca="1" si="11226">MATCH(1,OFFSET(CQ599:CQ610,CS607,0,COUNT(CQ599:CQ610)-CS607),0)</f>
        <v>#REF!</v>
      </c>
      <c r="CS608" s="4" t="e">
        <f t="shared" ca="1" si="11085"/>
        <v>#REF!</v>
      </c>
      <c r="CT608" s="692" t="str">
        <f ca="1">IFERROR(VLOOKUP(INDEX(CP599:CP610,CS608),STM,2,FALSE),"----")</f>
        <v>----</v>
      </c>
      <c r="CU608" s="691" t="e">
        <f t="shared" ca="1" si="11086"/>
        <v>#N/A</v>
      </c>
      <c r="CV608" s="4" t="e">
        <f ca="1">IF(AND(INDEX(ELM,CU608,4)&gt;=$AB599,INDEX(ELM,CU608,5)&gt;=$S599,INDEX(ELM,CU608,6)&gt;=$R599),1,0)</f>
        <v>#N/A</v>
      </c>
      <c r="CW608" s="4" t="e">
        <f t="shared" ref="CW608" ca="1" si="11227">MATCH(1,OFFSET(CV599:CV610,CX607,0,COUNT(CV599:CV610)-CX607),0)</f>
        <v>#REF!</v>
      </c>
      <c r="CX608" s="4" t="e">
        <f t="shared" ca="1" si="11088"/>
        <v>#REF!</v>
      </c>
      <c r="CY608" s="692" t="str">
        <f ca="1">IFERROR(VLOOKUP(INDEX(CU599:CU610,CX608),ELM,2,FALSE),"----")</f>
        <v>----</v>
      </c>
      <c r="CZ608" s="691" t="e">
        <f t="shared" ca="1" si="11089"/>
        <v>#N/A</v>
      </c>
      <c r="DA608" s="4" t="e">
        <f ca="1">IF(LEFT($J599,7)="Clad Wo",IF(AND(INDEX(SPPWS,CZ608,4)&gt;=$AB599,INDEX(SPPWS,CZ608,5)&gt;=$S599,INDEX(SPPWS,CZ608,6)&gt;=$R599),1,0),IF(AND(INDEX(SPM,CZ608,4)&gt;=$AB599,INDEX(SPM,CZ608,5)&gt;=$S599,INDEX(SPM,CZ608,6)&gt;=$R599),1,0))</f>
        <v>#N/A</v>
      </c>
      <c r="DB608" s="4" t="e">
        <f t="shared" ref="DB608" ca="1" si="11228">MATCH(1,OFFSET(DA599:DA610,DC607,0,COUNT(DA599:DA610)-DC607),0)</f>
        <v>#REF!</v>
      </c>
      <c r="DC608" s="4" t="e">
        <f t="shared" ca="1" si="11091"/>
        <v>#REF!</v>
      </c>
      <c r="DD608" s="693" t="str">
        <f ca="1">IF(LEFT($J599,7)="Clad Wo",IFERROR(VLOOKUP(INDEX(CZ599:CZ610,DC608),SPPWS,2,FALSE),"----"),IFERROR(VLOOKUP(INDEX(CZ599:CZ610,DC608),SPM,2,FALSE),"----"))</f>
        <v>----</v>
      </c>
      <c r="DE608" s="691" t="e">
        <f t="shared" ca="1" si="11092"/>
        <v>#REF!</v>
      </c>
      <c r="DF608" s="4" t="e" cm="1">
        <f t="array" aca="1" ref="DF608" ca="1">IF(AND(INDEX(INDIRECT(BY599),DE608,4)&gt;=$AB605,INDEX(INDIRECT(BY599),DE608,5)&gt;=$S599,INDEX(INDIRECT(BY599),DE608,6)&gt;=$R599),1,0)</f>
        <v>#REF!</v>
      </c>
      <c r="DG608" s="4" t="e">
        <f t="shared" ref="DG608" ca="1" si="11229">MATCH(1,OFFSET(DF599:DF610,DH607,0,COUNT(DF599:DF610)-DH607),0)</f>
        <v>#REF!</v>
      </c>
      <c r="DH608" s="4" t="e">
        <f t="shared" ca="1" si="11094"/>
        <v>#REF!</v>
      </c>
      <c r="DI608" s="692" t="str" cm="1">
        <f t="array" aca="1" ref="DI608" ca="1">IFERROR(VLOOKUP(INDEX(DE599:DE610,DH608),INDIRECT(BY599),2,FALSE),"----")</f>
        <v>----</v>
      </c>
      <c r="DJ608" s="691" t="e">
        <f t="shared" ca="1" si="11095"/>
        <v>#N/A</v>
      </c>
      <c r="DK608" s="4" t="e">
        <f ca="1">IF(AND(INDEX(SSM,DJ608,4)&gt;=$AB605,INDEX(SSM,DJ608,5)&gt;=$S599,INDEX(SSM,DJ608,6)&gt;=$R599),1,0)</f>
        <v>#N/A</v>
      </c>
      <c r="DL608" s="4" t="e">
        <f t="shared" ref="DL608" ca="1" si="11230">MATCH(1,OFFSET(DK599:DK610,DM607,0,COUNT(DK599:DK610)-DM607),0)</f>
        <v>#REF!</v>
      </c>
      <c r="DM608" s="4" t="e">
        <f t="shared" ca="1" si="11097"/>
        <v>#REF!</v>
      </c>
      <c r="DN608" s="692" t="str">
        <f ca="1">IFERROR(IF(AD606="Nested Steel Stud (wood infill)",VLOOKUP(INDEX(DJ599:DJ610,DM608),SSW,2,FALSE),VLOOKUP(INDEX(DJ599:DJ610,DM608),SSM,2,FALSE)),"----")</f>
        <v>----</v>
      </c>
      <c r="DO608" s="691" t="e">
        <f t="shared" ca="1" si="11098"/>
        <v>#N/A</v>
      </c>
      <c r="DP608" s="4" t="e">
        <f ca="1">IF(AND(INDEX(WSM,DO608,4)&gt;=$AB605,INDEX(WSM,DO608,5)&gt;=$S599,INDEX(WSM,DO608,6)&gt;=$R599),1,0)</f>
        <v>#N/A</v>
      </c>
      <c r="DQ608" s="4" t="e">
        <f t="shared" ref="DQ608" ca="1" si="11231">MATCH(1,OFFSET(DP599:DP610,DR607,0,COUNT(DP599:DP610)-DR607),0)</f>
        <v>#REF!</v>
      </c>
      <c r="DR608" s="4" t="e">
        <f t="shared" ca="1" si="11100"/>
        <v>#REF!</v>
      </c>
      <c r="DS608" s="692" t="str">
        <f ca="1">IFERROR(VLOOKUP(INDEX(DO599:DO610,DR608),WSM,2,FALSE),"----")</f>
        <v>----</v>
      </c>
      <c r="DT608" s="691" t="e">
        <f t="shared" ca="1" si="11101"/>
        <v>#N/A</v>
      </c>
      <c r="DU608" s="4" t="e">
        <f ca="1">IF(AND(INDEX(STM,DT608,4)&gt;=$AB605,INDEX(STM,DT608,5)&gt;=$S599,INDEX(STM,DT608,6)&gt;=$R599),1,0)</f>
        <v>#N/A</v>
      </c>
      <c r="DV608" s="4" t="e">
        <f t="shared" ref="DV608" ca="1" si="11232">MATCH(1,OFFSET(DU599:DU610,DW607,0,COUNT(DU599:DU610)-DW607),0)</f>
        <v>#REF!</v>
      </c>
      <c r="DW608" s="4" t="e">
        <f t="shared" ca="1" si="11103"/>
        <v>#REF!</v>
      </c>
      <c r="DX608" s="692" t="str">
        <f ca="1">IFERROR(VLOOKUP(INDEX(DT599:DT610,DW608),STM,2,FALSE),"----")</f>
        <v>----</v>
      </c>
      <c r="DY608" s="691" t="e">
        <f t="shared" ca="1" si="11104"/>
        <v>#N/A</v>
      </c>
      <c r="DZ608" s="4" t="e">
        <f ca="1">IF(AND(INDEX(ELM,DY608,4)&gt;=$AB605,INDEX(ELM,DY608,5)&gt;=$S599,INDEX(ELM,DY608,6)&gt;=$R599),1,0)</f>
        <v>#N/A</v>
      </c>
      <c r="EA608" s="4" t="e">
        <f t="shared" ref="EA608" ca="1" si="11233">MATCH(1,OFFSET(DZ599:DZ610,EB607,0,COUNT(DZ599:DZ610)-EB607),0)</f>
        <v>#REF!</v>
      </c>
      <c r="EB608" s="4" t="e">
        <f t="shared" ca="1" si="11106"/>
        <v>#REF!</v>
      </c>
      <c r="EC608" s="692" t="str">
        <f ca="1">IFERROR(VLOOKUP(INDEX(DY599:DY610,EB608),ELM,2,FALSE),"----")</f>
        <v>----</v>
      </c>
      <c r="ED608" s="691" t="e">
        <f t="shared" ca="1" si="11107"/>
        <v>#N/A</v>
      </c>
      <c r="EE608" s="4" t="e">
        <f ca="1">IF(LEFT($J599,7)="Clad Wo",IF(AND(INDEX(SPPWS,ED608,4)&gt;=$AB605,INDEX(SPPWS,ED608,5)&gt;=$S599,INDEX(SPPWS,ED608,6)&gt;=$R599),1,0),IF(AND(INDEX(SPM,ED608,4)&gt;=$AB605,INDEX(SPM,ED608,5)&gt;=$S599,INDEX(SPM,ED608,6)&gt;=$R599),1,0))</f>
        <v>#N/A</v>
      </c>
      <c r="EF608" s="4" t="e">
        <f t="shared" ref="EF608" ca="1" si="11234">MATCH(1,OFFSET(EE599:EE610,EG607,0,COUNT(EE599:EE610)-EG607),0)</f>
        <v>#REF!</v>
      </c>
      <c r="EG608" s="4" t="e">
        <f t="shared" ca="1" si="11109"/>
        <v>#REF!</v>
      </c>
      <c r="EH608" s="692" t="str">
        <f ca="1">IF(LEFT($J599,7)="Clad Wo",IFERROR(VLOOKUP(INDEX(ED599:ED610,EG608),SPPWS,2,FALSE),"----"),IFERROR(VLOOKUP(INDEX(ED599:ED610,EG608),SPM,2,FALSE),"----"))</f>
        <v>----</v>
      </c>
    </row>
    <row r="609" spans="1:138" ht="15" customHeight="1" x14ac:dyDescent="0.25">
      <c r="A609" s="1085"/>
      <c r="B609" s="925"/>
      <c r="C609" s="926"/>
      <c r="D609" s="927"/>
      <c r="E609" s="995"/>
      <c r="F609" s="996"/>
      <c r="G609" s="997"/>
      <c r="H609" s="1062"/>
      <c r="I609" s="990"/>
      <c r="J609" s="902"/>
      <c r="K609" s="903"/>
      <c r="L609" s="1002"/>
      <c r="M609" s="923"/>
      <c r="N609" s="1042"/>
      <c r="O609" s="1018"/>
      <c r="P609" s="987"/>
      <c r="Q609" s="1015"/>
      <c r="R609" s="1012"/>
      <c r="S609" s="1006"/>
      <c r="T609" s="1007"/>
      <c r="U609" s="878"/>
      <c r="V609" s="881"/>
      <c r="W609" s="884"/>
      <c r="X609" s="884"/>
      <c r="Y609" s="887"/>
      <c r="Z609" s="887"/>
      <c r="AA609" s="887"/>
      <c r="AB609" s="1081"/>
      <c r="AC609" s="1078"/>
      <c r="AD609" s="1070" t="str">
        <f t="shared" si="10247"/>
        <v>Engineered Lumber</v>
      </c>
      <c r="AE609" s="1071"/>
      <c r="AF609" s="1052"/>
      <c r="AG609" s="1053"/>
      <c r="AH609" s="1053"/>
      <c r="AI609" s="1068"/>
      <c r="AJ609" s="1069"/>
      <c r="AK609" s="154" t="str">
        <f t="shared" ca="1" si="10024"/>
        <v/>
      </c>
      <c r="AL609" s="1059"/>
      <c r="AM609" s="344" t="str">
        <f ca="1">IFERROR(Q599/12*ROUND(VLOOKUP(AF609,OFFSET(ELM,0,1),6,FALSE),2),"")</f>
        <v/>
      </c>
      <c r="AN609" t="str">
        <f t="shared" ca="1" si="10040"/>
        <v/>
      </c>
      <c r="AP609" s="122" t="str">
        <f t="shared" ref="AP609" si="11235">_xlfn.CONCAT(AR609,AS610)</f>
        <v/>
      </c>
      <c r="AQ609" s="683" t="str">
        <f t="shared" si="10249"/>
        <v/>
      </c>
      <c r="AR609" s="4" t="str">
        <f t="shared" si="10009"/>
        <v/>
      </c>
      <c r="AS609" s="4"/>
      <c r="AT609" s="697" t="str">
        <f>AL605</f>
        <v/>
      </c>
      <c r="AU609" s="694" t="e">
        <f t="shared" ca="1" si="10265"/>
        <v>#REF!</v>
      </c>
      <c r="AV609" s="698" t="str">
        <f ca="1">IFERROR(VLOOKUP(AU609,INDIRECT(AQ599),2,FALSE),"----")</f>
        <v>----</v>
      </c>
      <c r="AW609" s="694" t="e">
        <f t="shared" ca="1" si="10266"/>
        <v>#REF!</v>
      </c>
      <c r="AX609" s="698" t="str">
        <f ca="1">IFERROR(VLOOKUP(AW609,INDIRECT(AQ600),2,FALSE),"----")</f>
        <v>----</v>
      </c>
      <c r="AY609" s="694" t="e">
        <f t="shared" ca="1" si="10511"/>
        <v>#REF!</v>
      </c>
      <c r="AZ609" s="698" t="str">
        <f ca="1">IFERROR(VLOOKUP(AY609,INDIRECT(AQ601),2,FALSE),"----")</f>
        <v>----</v>
      </c>
      <c r="BA609" s="694" t="e">
        <f t="shared" ca="1" si="10512"/>
        <v>#REF!</v>
      </c>
      <c r="BB609" s="698" t="str">
        <f ca="1">IFERROR(VLOOKUP(BA609,INDIRECT(AQ602),2,FALSE),"----")</f>
        <v>----</v>
      </c>
      <c r="BC609" s="694" t="e">
        <f t="shared" ca="1" si="10267"/>
        <v>#REF!</v>
      </c>
      <c r="BD609" s="698" t="str">
        <f ca="1">IFERROR(VLOOKUP(BC609,INDIRECT(AQ603),2,FALSE),"----")</f>
        <v>----</v>
      </c>
      <c r="BE609" s="694" t="e">
        <f t="shared" ca="1" si="10268"/>
        <v>#REF!</v>
      </c>
      <c r="BF609" s="698" t="str">
        <f ca="1">IFERROR(VLOOKUP(BE609,INDIRECT(AQ604),2,FALSE),"----")</f>
        <v>----</v>
      </c>
      <c r="BG609" s="702" t="e">
        <f t="shared" ca="1" si="10269"/>
        <v>#REF!</v>
      </c>
      <c r="BH609" s="686" t="str">
        <f ca="1">IFERROR(VLOOKUP(BG609,INDIRECT(AQ605),2,FALSE),"----")</f>
        <v>----</v>
      </c>
      <c r="BI609" s="702" t="e">
        <f t="shared" ca="1" si="10270"/>
        <v>#REF!</v>
      </c>
      <c r="BJ609" s="686" t="str">
        <f ca="1">IFERROR(VLOOKUP(BI609,INDIRECT(AQ606),2,FALSE),"----")</f>
        <v>----</v>
      </c>
      <c r="BK609" s="702" t="e">
        <f t="shared" ca="1" si="10271"/>
        <v>#REF!</v>
      </c>
      <c r="BL609" s="686" t="str">
        <f ca="1">IFERROR(VLOOKUP(BK609,INDIRECT(AQ607),2,FALSE),"----")</f>
        <v>----</v>
      </c>
      <c r="BM609" s="702" t="e">
        <f t="shared" ca="1" si="10272"/>
        <v>#REF!</v>
      </c>
      <c r="BN609" s="686" t="str">
        <f ca="1">IFERROR(VLOOKUP(BM609,INDIRECT(AQ608),2,FALSE),"----")</f>
        <v>----</v>
      </c>
      <c r="BO609" s="702" t="e">
        <f t="shared" ca="1" si="10273"/>
        <v>#REF!</v>
      </c>
      <c r="BP609" s="686" t="str">
        <f ca="1">IFERROR(VLOOKUP(BO609,INDIRECT(AQ609),2,FALSE),"----")</f>
        <v>----</v>
      </c>
      <c r="BQ609" s="702" t="e">
        <f t="shared" ca="1" si="10274"/>
        <v>#REF!</v>
      </c>
      <c r="BR609" s="686" t="str">
        <f ca="1">IFERROR(VLOOKUP(BQ609,INDIRECT(AQ610),2,FALSE),"----")</f>
        <v>----</v>
      </c>
      <c r="BS609" s="695">
        <f>IF(AI609="",1,IF(COUNTIF(BP599:BP610,AI609)=0,2,1))</f>
        <v>1</v>
      </c>
      <c r="BT609" s="696">
        <f>IF(AF609="",1,IF(BP599=".",2,1))</f>
        <v>1</v>
      </c>
      <c r="BU609" s="706"/>
      <c r="BV609" s="155">
        <f ca="1">IF(COUNTIF(EC599:EC610,AF609)=0,IF(AF609&lt;&gt;"",0,1),1)</f>
        <v>1</v>
      </c>
      <c r="BW609" s="157">
        <f ca="1">IFERROR(MATCH(AF609,EC599:EC610,0),1)</f>
        <v>1</v>
      </c>
      <c r="BX609" s="769"/>
      <c r="BY609" s="769"/>
      <c r="BZ609" s="1110"/>
      <c r="CA609" s="691" t="e">
        <f t="shared" ca="1" si="11074"/>
        <v>#REF!</v>
      </c>
      <c r="CB609" s="4" t="e" cm="1">
        <f t="array" aca="1" ref="CB609" ca="1">IF(AND(INDEX(INDIRECT(BY599),CA609,4)&gt;=$AB599,INDEX(INDIRECT(BY599),CA609,5)&gt;=$S599,INDEX(INDIRECT(BY599),CA609,6)&gt;=$R599),1,0)</f>
        <v>#REF!</v>
      </c>
      <c r="CC609" s="4" t="e">
        <f t="shared" ref="CC609" ca="1" si="11236">MATCH(1,OFFSET(CB599:CB610,CD608,0,COUNT(CB599:CB610)-CD608),0)</f>
        <v>#REF!</v>
      </c>
      <c r="CD609" s="4" t="e">
        <f t="shared" ca="1" si="11076"/>
        <v>#REF!</v>
      </c>
      <c r="CE609" s="692" t="str" cm="1">
        <f t="array" aca="1" ref="CE609" ca="1">IFERROR(VLOOKUP(INDEX(CA599:CA610,CD609),INDIRECT(BY599),2,FALSE),"----")</f>
        <v>----</v>
      </c>
      <c r="CF609" s="691" t="e">
        <f t="shared" ca="1" si="11077"/>
        <v>#N/A</v>
      </c>
      <c r="CG609" s="4" t="e">
        <f ca="1">IF(AND(INDEX(SSM,CF609,4)&gt;=$AB599,INDEX(SSM,CF609,5)&gt;=$S599,INDEX(SSM,CF609,6)&gt;=$R599),1,0)</f>
        <v>#N/A</v>
      </c>
      <c r="CH609" s="4" t="e">
        <f t="shared" ref="CH609" ca="1" si="11237">MATCH(1,OFFSET(CG599:CG610,CI608,0,COUNT(CG599:CG610)-CI608),0)</f>
        <v>#REF!</v>
      </c>
      <c r="CI609" s="4" t="e">
        <f t="shared" ca="1" si="11079"/>
        <v>#REF!</v>
      </c>
      <c r="CJ609" s="692" t="str">
        <f ca="1">IFERROR(IF(AD600="Nested Steel Stud (wood infill)",VLOOKUP(INDEX(CF599:CF610,CI609),SSW,2,FALSE),VLOOKUP(INDEX(CF599:CF610,CI609),SSM,2,FALSE)),"----")</f>
        <v>----</v>
      </c>
      <c r="CK609" s="691" t="e">
        <f t="shared" ca="1" si="11080"/>
        <v>#N/A</v>
      </c>
      <c r="CL609" s="4" t="e">
        <f ca="1">IF(AND(INDEX(WSM,CK609,4)&gt;=$AB599,INDEX(WSM,CK609,5)&gt;=$S599,INDEX(WSM,CK609,6)&gt;=$R599),1,0)</f>
        <v>#N/A</v>
      </c>
      <c r="CM609" s="4" t="e">
        <f t="shared" ref="CM609" ca="1" si="11238">MATCH(1,OFFSET(CL599:CL610,CN608,0,COUNT(CL599:CL610)-CN608),0)</f>
        <v>#REF!</v>
      </c>
      <c r="CN609" s="4" t="e">
        <f t="shared" ca="1" si="11082"/>
        <v>#REF!</v>
      </c>
      <c r="CO609" s="692" t="str">
        <f ca="1">IFERROR(VLOOKUP(INDEX(CK599:CK610,CN609),WSM,2,FALSE),"----")</f>
        <v>----</v>
      </c>
      <c r="CP609" s="691" t="e">
        <f t="shared" ca="1" si="11083"/>
        <v>#N/A</v>
      </c>
      <c r="CQ609" s="4" t="e">
        <f ca="1">IF(AND(INDEX(STM,CP609,4)&gt;=$AB599,INDEX(STM,CP609,5)&gt;=$S599,INDEX(STM,CP609,6)&gt;=$R599),1,0)</f>
        <v>#N/A</v>
      </c>
      <c r="CR609" s="4" t="e">
        <f t="shared" ref="CR609" ca="1" si="11239">MATCH(1,OFFSET(CQ599:CQ610,CS608,0,COUNT(CQ599:CQ610)-CS608),0)</f>
        <v>#REF!</v>
      </c>
      <c r="CS609" s="4" t="e">
        <f t="shared" ca="1" si="11085"/>
        <v>#REF!</v>
      </c>
      <c r="CT609" s="692" t="str">
        <f ca="1">IFERROR(VLOOKUP(INDEX(CP599:CP610,CS609),STM,2,FALSE),"----")</f>
        <v>----</v>
      </c>
      <c r="CU609" s="691" t="e">
        <f t="shared" ca="1" si="11086"/>
        <v>#N/A</v>
      </c>
      <c r="CV609" s="4" t="e">
        <f ca="1">IF(AND(INDEX(ELM,CU609,4)&gt;=$AB599,INDEX(ELM,CU609,5)&gt;=$S599,INDEX(ELM,CU609,6)&gt;=$R599),1,0)</f>
        <v>#N/A</v>
      </c>
      <c r="CW609" s="4" t="e">
        <f t="shared" ref="CW609" ca="1" si="11240">MATCH(1,OFFSET(CV599:CV610,CX608,0,COUNT(CV599:CV610)-CX608),0)</f>
        <v>#REF!</v>
      </c>
      <c r="CX609" s="4" t="e">
        <f t="shared" ca="1" si="11088"/>
        <v>#REF!</v>
      </c>
      <c r="CY609" s="692" t="str">
        <f ca="1">IFERROR(VLOOKUP(INDEX(CU599:CU610,CX609),ELM,2,FALSE),"----")</f>
        <v>----</v>
      </c>
      <c r="CZ609" s="691" t="e">
        <f t="shared" ca="1" si="11089"/>
        <v>#N/A</v>
      </c>
      <c r="DA609" s="4" t="e">
        <f ca="1">IF(LEFT($J599,7)="Clad Wo",IF(AND(INDEX(SPPWS,CZ609,4)&gt;=$AB599,INDEX(SPPWS,CZ609,5)&gt;=$S599,INDEX(SPPWS,CZ609,6)&gt;=$R599),1,0),IF(AND(INDEX(SPM,CZ609,4)&gt;=$AB599,INDEX(SPM,CZ609,5)&gt;=$S599,INDEX(SPM,CZ609,6)&gt;=$R599),1,0))</f>
        <v>#N/A</v>
      </c>
      <c r="DB609" s="4" t="e">
        <f t="shared" ref="DB609" ca="1" si="11241">MATCH(1,OFFSET(DA599:DA610,DC608,0,COUNT(DA599:DA610)-DC608),0)</f>
        <v>#REF!</v>
      </c>
      <c r="DC609" s="4" t="e">
        <f t="shared" ca="1" si="11091"/>
        <v>#REF!</v>
      </c>
      <c r="DD609" s="693" t="str">
        <f ca="1">IF(LEFT($J599,7)="Clad Wo",IFERROR(VLOOKUP(INDEX(CZ599:CZ610,DC609),SPPWS,2,FALSE),"----"),IFERROR(VLOOKUP(INDEX(CZ599:CZ610,DC609),SPM,2,FALSE),"----"))</f>
        <v>----</v>
      </c>
      <c r="DE609" s="691" t="e">
        <f t="shared" ca="1" si="11092"/>
        <v>#REF!</v>
      </c>
      <c r="DF609" s="4" t="e" cm="1">
        <f t="array" aca="1" ref="DF609" ca="1">IF(AND(INDEX(INDIRECT(BY599),DE609,4)&gt;=$AB605,INDEX(INDIRECT(BY599),DE609,5)&gt;=$S599,INDEX(INDIRECT(BY599),DE609,6)&gt;=$R599),1,0)</f>
        <v>#REF!</v>
      </c>
      <c r="DG609" s="4" t="e">
        <f t="shared" ref="DG609" ca="1" si="11242">MATCH(1,OFFSET(DF599:DF610,DH608,0,COUNT(DF599:DF610)-DH608),0)</f>
        <v>#REF!</v>
      </c>
      <c r="DH609" s="4" t="e">
        <f t="shared" ca="1" si="11094"/>
        <v>#REF!</v>
      </c>
      <c r="DI609" s="692" t="str" cm="1">
        <f t="array" aca="1" ref="DI609" ca="1">IFERROR(VLOOKUP(INDEX(DE599:DE610,DH609),INDIRECT(BY599),2,FALSE),"----")</f>
        <v>----</v>
      </c>
      <c r="DJ609" s="691" t="e">
        <f t="shared" ca="1" si="11095"/>
        <v>#N/A</v>
      </c>
      <c r="DK609" s="4" t="e">
        <f ca="1">IF(AND(INDEX(SSM,DJ609,4)&gt;=$AB605,INDEX(SSM,DJ609,5)&gt;=$S599,INDEX(SSM,DJ609,6)&gt;=$R599),1,0)</f>
        <v>#N/A</v>
      </c>
      <c r="DL609" s="4" t="e">
        <f t="shared" ref="DL609" ca="1" si="11243">MATCH(1,OFFSET(DK599:DK610,DM608,0,COUNT(DK599:DK610)-DM608),0)</f>
        <v>#REF!</v>
      </c>
      <c r="DM609" s="4" t="e">
        <f t="shared" ca="1" si="11097"/>
        <v>#REF!</v>
      </c>
      <c r="DN609" s="692" t="str">
        <f ca="1">IFERROR(IF(AD606="Nested Steel Stud (wood infill)",VLOOKUP(INDEX(DJ599:DJ610,DM609),SSW,2,FALSE),VLOOKUP(INDEX(DJ599:DJ610,DM609),SSM,2,FALSE)),"----")</f>
        <v>----</v>
      </c>
      <c r="DO609" s="691" t="e">
        <f t="shared" ca="1" si="11098"/>
        <v>#N/A</v>
      </c>
      <c r="DP609" s="4" t="e">
        <f ca="1">IF(AND(INDEX(WSM,DO609,4)&gt;=$AB605,INDEX(WSM,DO609,5)&gt;=$S599,INDEX(WSM,DO609,6)&gt;=$R599),1,0)</f>
        <v>#N/A</v>
      </c>
      <c r="DQ609" s="4" t="e">
        <f t="shared" ref="DQ609" ca="1" si="11244">MATCH(1,OFFSET(DP599:DP610,DR608,0,COUNT(DP599:DP610)-DR608),0)</f>
        <v>#REF!</v>
      </c>
      <c r="DR609" s="4" t="e">
        <f t="shared" ca="1" si="11100"/>
        <v>#REF!</v>
      </c>
      <c r="DS609" s="692" t="str">
        <f ca="1">IFERROR(VLOOKUP(INDEX(DO599:DO610,DR609),WSM,2,FALSE),"----")</f>
        <v>----</v>
      </c>
      <c r="DT609" s="691" t="e">
        <f t="shared" ca="1" si="11101"/>
        <v>#N/A</v>
      </c>
      <c r="DU609" s="4" t="e">
        <f ca="1">IF(AND(INDEX(STM,DT609,4)&gt;=$AB605,INDEX(STM,DT609,5)&gt;=$S599,INDEX(STM,DT609,6)&gt;=$R599),1,0)</f>
        <v>#N/A</v>
      </c>
      <c r="DV609" s="4" t="e">
        <f t="shared" ref="DV609" ca="1" si="11245">MATCH(1,OFFSET(DU599:DU610,DW608,0,COUNT(DU599:DU610)-DW608),0)</f>
        <v>#REF!</v>
      </c>
      <c r="DW609" s="4" t="e">
        <f t="shared" ca="1" si="11103"/>
        <v>#REF!</v>
      </c>
      <c r="DX609" s="692" t="str">
        <f ca="1">IFERROR(VLOOKUP(INDEX(DT599:DT610,DW609),STM,2,FALSE),"----")</f>
        <v>----</v>
      </c>
      <c r="DY609" s="691" t="e">
        <f t="shared" ca="1" si="11104"/>
        <v>#N/A</v>
      </c>
      <c r="DZ609" s="4" t="e">
        <f ca="1">IF(AND(INDEX(ELM,DY609,4)&gt;=$AB605,INDEX(ELM,DY609,5)&gt;=$S599,INDEX(ELM,DY609,6)&gt;=$R599),1,0)</f>
        <v>#N/A</v>
      </c>
      <c r="EA609" s="4" t="e">
        <f t="shared" ref="EA609" ca="1" si="11246">MATCH(1,OFFSET(DZ599:DZ610,EB608,0,COUNT(DZ599:DZ610)-EB608),0)</f>
        <v>#REF!</v>
      </c>
      <c r="EB609" s="4" t="e">
        <f t="shared" ca="1" si="11106"/>
        <v>#REF!</v>
      </c>
      <c r="EC609" s="692" t="str">
        <f ca="1">IFERROR(VLOOKUP(INDEX(DY599:DY610,EB609),ELM,2,FALSE),"----")</f>
        <v>----</v>
      </c>
      <c r="ED609" s="691" t="e">
        <f t="shared" ca="1" si="11107"/>
        <v>#N/A</v>
      </c>
      <c r="EE609" s="4" t="e">
        <f ca="1">IF(LEFT($J599,7)="Clad Wo",IF(AND(INDEX(SPPWS,ED609,4)&gt;=$AB605,INDEX(SPPWS,ED609,5)&gt;=$S599,INDEX(SPPWS,ED609,6)&gt;=$R599),1,0),IF(AND(INDEX(SPM,ED609,4)&gt;=$AB605,INDEX(SPM,ED609,5)&gt;=$S599,INDEX(SPM,ED609,6)&gt;=$R599),1,0))</f>
        <v>#N/A</v>
      </c>
      <c r="EF609" s="4" t="e">
        <f t="shared" ref="EF609" ca="1" si="11247">MATCH(1,OFFSET(EE599:EE610,EG608,0,COUNT(EE599:EE610)-EG608),0)</f>
        <v>#REF!</v>
      </c>
      <c r="EG609" s="4" t="e">
        <f t="shared" ca="1" si="11109"/>
        <v>#REF!</v>
      </c>
      <c r="EH609" s="692" t="str">
        <f ca="1">IF(LEFT($J599,7)="Clad Wo",IFERROR(VLOOKUP(INDEX(ED599:ED610,EG609),SPPWS,2,FALSE),"----"),IFERROR(VLOOKUP(INDEX(ED599:ED610,EG609),SPM,2,FALSE),"----"))</f>
        <v>----</v>
      </c>
    </row>
    <row r="610" spans="1:138" ht="15" customHeight="1" thickBot="1" x14ac:dyDescent="0.3">
      <c r="A610" s="1085"/>
      <c r="B610" s="928"/>
      <c r="C610" s="929"/>
      <c r="D610" s="930"/>
      <c r="E610" s="998"/>
      <c r="F610" s="999"/>
      <c r="G610" s="1000"/>
      <c r="H610" s="1063"/>
      <c r="I610" s="991"/>
      <c r="J610" s="904"/>
      <c r="K610" s="905"/>
      <c r="L610" s="1003"/>
      <c r="M610" s="1065"/>
      <c r="N610" s="1043"/>
      <c r="O610" s="1019"/>
      <c r="P610" s="988"/>
      <c r="Q610" s="1016"/>
      <c r="R610" s="1013"/>
      <c r="S610" s="1008"/>
      <c r="T610" s="1009"/>
      <c r="U610" s="879"/>
      <c r="V610" s="882"/>
      <c r="W610" s="885"/>
      <c r="X610" s="885"/>
      <c r="Y610" s="888"/>
      <c r="Z610" s="888"/>
      <c r="AA610" s="888"/>
      <c r="AB610" s="1082"/>
      <c r="AC610" s="1087"/>
      <c r="AD610" s="1098" t="str">
        <f t="shared" ref="AD610" si="11248">IF(LEFT(J599,7)="Clad Wo","Pella Wood Spr / Steel Pte","Steel Plate")</f>
        <v>Steel Plate</v>
      </c>
      <c r="AE610" s="1099"/>
      <c r="AF610" s="1096"/>
      <c r="AG610" s="1097"/>
      <c r="AH610" s="1097"/>
      <c r="AI610" s="1094"/>
      <c r="AJ610" s="1095"/>
      <c r="AK610" s="163" t="str">
        <f t="shared" ca="1" si="10024"/>
        <v/>
      </c>
      <c r="AL610" s="1060"/>
      <c r="AM610" s="345" t="str">
        <f ca="1">IFERROR(Q599/12*ROUND(VLOOKUP(AF610,OFFSET(SPM,0,1),6,FALSE),2),"")</f>
        <v/>
      </c>
      <c r="AN610" t="str">
        <f t="shared" ca="1" si="10040"/>
        <v/>
      </c>
      <c r="AP610" s="699" t="str">
        <f t="shared" ref="AP610" si="11249">_xlfn.CONCAT(AR610,AS610)</f>
        <v/>
      </c>
      <c r="AQ610" s="700" t="str">
        <f t="shared" si="10249"/>
        <v/>
      </c>
      <c r="AR610" s="160" t="str">
        <f t="shared" si="10009"/>
        <v/>
      </c>
      <c r="AS610" s="160" t="str">
        <f>IFERROR(VLOOKUP(J607, WallType,2,FALSE),"")</f>
        <v/>
      </c>
      <c r="AT610" s="707" t="str">
        <f>AL605</f>
        <v/>
      </c>
      <c r="AU610" s="708" t="e">
        <f t="shared" ca="1" si="10265"/>
        <v>#REF!</v>
      </c>
      <c r="AV610" s="709" t="str">
        <f ca="1">IFERROR(VLOOKUP(AU610,INDIRECT(AQ599),2,FALSE),"----")</f>
        <v>----</v>
      </c>
      <c r="AW610" s="710" t="e">
        <f t="shared" ca="1" si="10266"/>
        <v>#REF!</v>
      </c>
      <c r="AX610" s="709" t="str">
        <f ca="1">IFERROR(VLOOKUP(AW610,INDIRECT(AQ600),2,FALSE),"----")</f>
        <v>----</v>
      </c>
      <c r="AY610" s="710" t="e">
        <f t="shared" ca="1" si="10511"/>
        <v>#REF!</v>
      </c>
      <c r="AZ610" s="709" t="str">
        <f ca="1">IFERROR(VLOOKUP(AY610,INDIRECT(AQ601),2,FALSE),"----")</f>
        <v>----</v>
      </c>
      <c r="BA610" s="710" t="e">
        <f t="shared" ca="1" si="10512"/>
        <v>#REF!</v>
      </c>
      <c r="BB610" s="709" t="str">
        <f ca="1">IFERROR(VLOOKUP(BA610,INDIRECT(AQ602),2,FALSE),"----")</f>
        <v>----</v>
      </c>
      <c r="BC610" s="710" t="e">
        <f t="shared" ca="1" si="10267"/>
        <v>#REF!</v>
      </c>
      <c r="BD610" s="709" t="str">
        <f ca="1">IFERROR(VLOOKUP(BC610,INDIRECT(AQ603),2,FALSE),"----")</f>
        <v>----</v>
      </c>
      <c r="BE610" s="710" t="e">
        <f t="shared" ca="1" si="10268"/>
        <v>#REF!</v>
      </c>
      <c r="BF610" s="709" t="str">
        <f ca="1">IFERROR(VLOOKUP(BE610,INDIRECT(AQ604),2,FALSE),"----")</f>
        <v>----</v>
      </c>
      <c r="BG610" s="710" t="e">
        <f t="shared" ca="1" si="10269"/>
        <v>#REF!</v>
      </c>
      <c r="BH610" s="711" t="str">
        <f ca="1">IFERROR(VLOOKUP(BG610,INDIRECT(AQ605),2,FALSE),"----")</f>
        <v>----</v>
      </c>
      <c r="BI610" s="710" t="e">
        <f t="shared" ca="1" si="10270"/>
        <v>#REF!</v>
      </c>
      <c r="BJ610" s="711" t="str">
        <f ca="1">IFERROR(VLOOKUP(BI610,INDIRECT(AQ606),2,FALSE),"----")</f>
        <v>----</v>
      </c>
      <c r="BK610" s="710" t="e">
        <f t="shared" ca="1" si="10271"/>
        <v>#REF!</v>
      </c>
      <c r="BL610" s="711" t="str">
        <f ca="1">IFERROR(VLOOKUP(BK610,INDIRECT(AQ607),2,FALSE),"----")</f>
        <v>----</v>
      </c>
      <c r="BM610" s="710" t="e">
        <f t="shared" ca="1" si="10272"/>
        <v>#REF!</v>
      </c>
      <c r="BN610" s="711" t="str">
        <f ca="1">IFERROR(VLOOKUP(BM610,INDIRECT(AQ608),2,FALSE),"----")</f>
        <v>----</v>
      </c>
      <c r="BO610" s="710" t="e">
        <f t="shared" ca="1" si="10273"/>
        <v>#REF!</v>
      </c>
      <c r="BP610" s="711" t="str">
        <f ca="1">IFERROR(VLOOKUP(BO610,INDIRECT(AQ609),2,FALSE),"----")</f>
        <v>----</v>
      </c>
      <c r="BQ610" s="710" t="e">
        <f t="shared" ca="1" si="10274"/>
        <v>#REF!</v>
      </c>
      <c r="BR610" s="712" t="str">
        <f ca="1">IFERROR(VLOOKUP(BQ610,INDIRECT(AQ610),2,FALSE),"----")</f>
        <v>----</v>
      </c>
      <c r="BS610" s="695">
        <f>IF(AI610="",1,IF(COUNTIF(BR599:BR610,AI610)=0,2,1))</f>
        <v>1</v>
      </c>
      <c r="BT610" s="713">
        <f>IF(AF610="",1,IF(BR599=".",2,1))</f>
        <v>1</v>
      </c>
      <c r="BV610" s="155">
        <f ca="1">IF(COUNTIF(EH599:EH610,AF610)=0,IF(AF610&lt;&gt;"",0,1),1)</f>
        <v>1</v>
      </c>
      <c r="BW610" s="157">
        <f ca="1">IFERROR(MATCH(AF610,EH599:EH610,0),1)</f>
        <v>1</v>
      </c>
      <c r="BX610" s="718"/>
      <c r="BY610" s="777"/>
      <c r="BZ610" s="1110"/>
      <c r="CA610" s="714" t="e">
        <f t="shared" ca="1" si="11074"/>
        <v>#REF!</v>
      </c>
      <c r="CB610" s="715" t="e" cm="1">
        <f t="array" aca="1" ref="CB610" ca="1">IF(AND(INDEX(INDIRECT(BY599),CA610,4)&gt;=$AB599,INDEX(INDIRECT(BY599),CA610,5)&gt;=$S599,INDEX(INDIRECT(BY599),CA610,6)&gt;=$R599),1,0)</f>
        <v>#REF!</v>
      </c>
      <c r="CC610" s="715" t="e">
        <f t="shared" ref="CC610" ca="1" si="11250">MATCH(1,OFFSET(CB599:CB610,CD609,0,COUNT(CB599:CB610)-CD609),0)</f>
        <v>#REF!</v>
      </c>
      <c r="CD610" s="715" t="e">
        <f t="shared" ca="1" si="11076"/>
        <v>#REF!</v>
      </c>
      <c r="CE610" s="716" t="str" cm="1">
        <f t="array" aca="1" ref="CE610" ca="1">IFERROR(VLOOKUP(INDEX(CA599:CA610,CD610),INDIRECT(BY599),2,FALSE),"----")</f>
        <v>----</v>
      </c>
      <c r="CF610" s="714" t="e">
        <f t="shared" ca="1" si="11077"/>
        <v>#N/A</v>
      </c>
      <c r="CG610" s="715" t="e">
        <f ca="1">IF(AND(INDEX(SSM,CF610,4)&gt;=$AB599,INDEX(SSM,CF610,5)&gt;=$S599,INDEX(SSM,CF610,6)&gt;=$R599),1,0)</f>
        <v>#N/A</v>
      </c>
      <c r="CH610" s="715" t="e">
        <f t="shared" ref="CH610" ca="1" si="11251">MATCH(1,OFFSET(CG599:CG610,CI609,0,COUNT(CG599:CG610)-CI609),0)</f>
        <v>#REF!</v>
      </c>
      <c r="CI610" s="715" t="e">
        <f t="shared" ca="1" si="11079"/>
        <v>#REF!</v>
      </c>
      <c r="CJ610" s="716" t="str">
        <f ca="1">IFERROR(IF(AD600="Nested Steel Stud (wood infill)",VLOOKUP(INDEX(CF599:CF610,CI610),SSW,2,FALSE),VLOOKUP(INDEX(CF599:CF610,CI610),SSM,2,FALSE)),"----")</f>
        <v>----</v>
      </c>
      <c r="CK610" s="714" t="e">
        <f t="shared" ca="1" si="11080"/>
        <v>#N/A</v>
      </c>
      <c r="CL610" s="715" t="e">
        <f ca="1">IF(AND(INDEX(WSM,CK610,4)&gt;=$AB599,INDEX(WSM,CK610,5)&gt;=$S599,INDEX(WSM,CK610,6)&gt;=$R599),1,0)</f>
        <v>#N/A</v>
      </c>
      <c r="CM610" s="715" t="e">
        <f t="shared" ref="CM610" ca="1" si="11252">MATCH(1,OFFSET(CL599:CL610,CN609,0,COUNT(CL599:CL610)-CN609),0)</f>
        <v>#REF!</v>
      </c>
      <c r="CN610" s="715" t="e">
        <f t="shared" ca="1" si="11082"/>
        <v>#REF!</v>
      </c>
      <c r="CO610" s="716" t="str">
        <f ca="1">IFERROR(VLOOKUP(INDEX(CK599:CK610,CN610),WSM,2,FALSE),"----")</f>
        <v>----</v>
      </c>
      <c r="CP610" s="714" t="e">
        <f t="shared" ca="1" si="11083"/>
        <v>#N/A</v>
      </c>
      <c r="CQ610" s="715" t="e">
        <f ca="1">IF(AND(INDEX(STM,CP610,4)&gt;=$AB599,INDEX(STM,CP610,5)&gt;=$S599,INDEX(STM,CP610,6)&gt;=$R599),1,0)</f>
        <v>#N/A</v>
      </c>
      <c r="CR610" s="715" t="e">
        <f t="shared" ref="CR610" ca="1" si="11253">MATCH(1,OFFSET(CQ599:CQ610,CS609,0,COUNT(CQ599:CQ610)-CS609),0)</f>
        <v>#REF!</v>
      </c>
      <c r="CS610" s="715" t="e">
        <f t="shared" ca="1" si="11085"/>
        <v>#REF!</v>
      </c>
      <c r="CT610" s="716" t="str">
        <f ca="1">IFERROR(VLOOKUP(INDEX(CP599:CP610,CS610),STM,2,FALSE),"----")</f>
        <v>----</v>
      </c>
      <c r="CU610" s="714" t="e">
        <f t="shared" ca="1" si="11086"/>
        <v>#N/A</v>
      </c>
      <c r="CV610" s="715" t="e">
        <f ca="1">IF(AND(INDEX(ELM,CU610,4)&gt;=$AB599,INDEX(ELM,CU610,5)&gt;=$S599,INDEX(ELM,CU610,6)&gt;=$R599),1,0)</f>
        <v>#N/A</v>
      </c>
      <c r="CW610" s="715" t="e">
        <f t="shared" ref="CW610" ca="1" si="11254">MATCH(1,OFFSET(CV599:CV610,CX609,0,COUNT(CV599:CV610)-CX609),0)</f>
        <v>#REF!</v>
      </c>
      <c r="CX610" s="715" t="e">
        <f t="shared" ca="1" si="11088"/>
        <v>#REF!</v>
      </c>
      <c r="CY610" s="716" t="str">
        <f ca="1">IFERROR(VLOOKUP(INDEX(CU599:CU610,CX610),ELM,2,FALSE),"----")</f>
        <v>----</v>
      </c>
      <c r="CZ610" s="714" t="e">
        <f t="shared" ca="1" si="11089"/>
        <v>#N/A</v>
      </c>
      <c r="DA610" s="715" t="e">
        <f ca="1">IF(LEFT($J599,7)="Clad Wo",IF(AND(INDEX(SPPWS,CZ610,4)&gt;=$AB599,INDEX(SPPWS,CZ610,5)&gt;=$S599,INDEX(SPPWS,CZ610,6)&gt;=$R599),1,0),IF(AND(INDEX(SPM,CZ610,4)&gt;=$AB599,INDEX(SPM,CZ610,5)&gt;=$S599,INDEX(SPM,CZ610,6)&gt;=$R599),1,0))</f>
        <v>#N/A</v>
      </c>
      <c r="DB610" s="715" t="e">
        <f t="shared" ref="DB610" ca="1" si="11255">MATCH(1,OFFSET(DA599:DA610,DC609,0,COUNT(DA599:DA610)-DC609),0)</f>
        <v>#REF!</v>
      </c>
      <c r="DC610" s="715" t="e">
        <f t="shared" ca="1" si="11091"/>
        <v>#REF!</v>
      </c>
      <c r="DD610" s="717" t="str">
        <f ca="1">IF(LEFT($J599,7)="Clad Wo",IFERROR(VLOOKUP(INDEX(CZ599:CZ610,DC610),SPPWS,2,FALSE),"----"),IFERROR(VLOOKUP(INDEX(CZ599:CZ610,DC610),SPM,2,FALSE),"----"))</f>
        <v>----</v>
      </c>
      <c r="DE610" s="714" t="e">
        <f t="shared" ca="1" si="11092"/>
        <v>#REF!</v>
      </c>
      <c r="DF610" s="715" t="e" cm="1">
        <f t="array" aca="1" ref="DF610" ca="1">IF(AND(INDEX(INDIRECT(BY599),DE610,4)&gt;=$AB605,INDEX(INDIRECT(BY599),DE610,5)&gt;=$S599,INDEX(INDIRECT(BY599),DE610,6)&gt;=$R599),1,0)</f>
        <v>#REF!</v>
      </c>
      <c r="DG610" s="715" t="e">
        <f t="shared" ref="DG610" ca="1" si="11256">MATCH(1,OFFSET(DF599:DF610,DH609,0,COUNT(DF599:DF610)-DH609),0)</f>
        <v>#REF!</v>
      </c>
      <c r="DH610" s="715" t="e">
        <f t="shared" ca="1" si="11094"/>
        <v>#REF!</v>
      </c>
      <c r="DI610" s="716" t="str" cm="1">
        <f t="array" aca="1" ref="DI610" ca="1">IFERROR(VLOOKUP(INDEX(DE599:DE610,DH610),INDIRECT(BY599),2,FALSE),"----")</f>
        <v>----</v>
      </c>
      <c r="DJ610" s="714" t="e">
        <f t="shared" ca="1" si="11095"/>
        <v>#N/A</v>
      </c>
      <c r="DK610" s="715" t="e">
        <f ca="1">IF(AND(INDEX(SSM,DJ610,4)&gt;=$AB605,INDEX(SSM,DJ610,5)&gt;=$S599,INDEX(SSM,DJ610,6)&gt;=$R599),1,0)</f>
        <v>#N/A</v>
      </c>
      <c r="DL610" s="715" t="e">
        <f t="shared" ref="DL610" ca="1" si="11257">MATCH(1,OFFSET(DK599:DK610,DM609,0,COUNT(DK599:DK610)-DM609),0)</f>
        <v>#REF!</v>
      </c>
      <c r="DM610" s="715" t="e">
        <f t="shared" ca="1" si="11097"/>
        <v>#REF!</v>
      </c>
      <c r="DN610" s="716" t="str">
        <f ca="1">IFERROR(IF(AD606="Nested Steel Stud (wood infill)",VLOOKUP(INDEX(DJ599:DJ610,DM610),SSW,2,FALSE),VLOOKUP(INDEX(DJ599:DJ610,DM610),SSM,2,FALSE)),"----")</f>
        <v>----</v>
      </c>
      <c r="DO610" s="714" t="e">
        <f t="shared" ca="1" si="11098"/>
        <v>#N/A</v>
      </c>
      <c r="DP610" s="715" t="e">
        <f ca="1">IF(AND(INDEX(WSM,DO610,4)&gt;=$AB605,INDEX(WSM,DO610,5)&gt;=$S599,INDEX(WSM,DO610,6)&gt;=$R599),1,0)</f>
        <v>#N/A</v>
      </c>
      <c r="DQ610" s="715" t="e">
        <f t="shared" ref="DQ610" ca="1" si="11258">MATCH(1,OFFSET(DP599:DP610,DR609,0,COUNT(DP599:DP610)-DR609),0)</f>
        <v>#REF!</v>
      </c>
      <c r="DR610" s="715" t="e">
        <f t="shared" ca="1" si="11100"/>
        <v>#REF!</v>
      </c>
      <c r="DS610" s="716" t="str">
        <f ca="1">IFERROR(VLOOKUP(INDEX(DO599:DO610,DR610),WSM,2,FALSE),"----")</f>
        <v>----</v>
      </c>
      <c r="DT610" s="714" t="e">
        <f t="shared" ca="1" si="11101"/>
        <v>#N/A</v>
      </c>
      <c r="DU610" s="715" t="e">
        <f ca="1">IF(AND(INDEX(STM,DT610,4)&gt;=$AB605,INDEX(STM,DT610,5)&gt;=$S599,INDEX(STM,DT610,6)&gt;=$R599),1,0)</f>
        <v>#N/A</v>
      </c>
      <c r="DV610" s="715" t="e">
        <f t="shared" ref="DV610" ca="1" si="11259">MATCH(1,OFFSET(DU599:DU610,DW609,0,COUNT(DU599:DU610)-DW609),0)</f>
        <v>#REF!</v>
      </c>
      <c r="DW610" s="715" t="e">
        <f t="shared" ca="1" si="11103"/>
        <v>#REF!</v>
      </c>
      <c r="DX610" s="716" t="str">
        <f ca="1">IFERROR(VLOOKUP(INDEX(DT599:DT610,DW610),STM,2,FALSE),"----")</f>
        <v>----</v>
      </c>
      <c r="DY610" s="714" t="e">
        <f t="shared" ca="1" si="11104"/>
        <v>#N/A</v>
      </c>
      <c r="DZ610" s="715" t="e">
        <f ca="1">IF(AND(INDEX(ELM,DY610,4)&gt;=$AB605,INDEX(ELM,DY610,5)&gt;=$S599,INDEX(ELM,DY610,6)&gt;=$R599),1,0)</f>
        <v>#N/A</v>
      </c>
      <c r="EA610" s="715" t="e">
        <f t="shared" ref="EA610" ca="1" si="11260">MATCH(1,OFFSET(DZ599:DZ610,EB609,0,COUNT(DZ599:DZ610)-EB609),0)</f>
        <v>#REF!</v>
      </c>
      <c r="EB610" s="715" t="e">
        <f t="shared" ca="1" si="11106"/>
        <v>#REF!</v>
      </c>
      <c r="EC610" s="716" t="str">
        <f ca="1">IFERROR(VLOOKUP(INDEX(DY599:DY610,EB610),ELM,2,FALSE),"----")</f>
        <v>----</v>
      </c>
      <c r="ED610" s="714" t="e">
        <f t="shared" ca="1" si="11107"/>
        <v>#N/A</v>
      </c>
      <c r="EE610" s="715" t="e">
        <f ca="1">IF(LEFT($J599,7)="Clad Wo",IF(AND(INDEX(SPPWS,ED610,4)&gt;=$AB605,INDEX(SPPWS,ED610,5)&gt;=$S599,INDEX(SPPWS,ED610,6)&gt;=$R599),1,0),IF(AND(INDEX(SPM,ED610,4)&gt;=$AB605,INDEX(SPM,ED610,5)&gt;=$S599,INDEX(SPM,ED610,6)&gt;=$R599),1,0))</f>
        <v>#N/A</v>
      </c>
      <c r="EF610" s="715" t="e">
        <f t="shared" ref="EF610" ca="1" si="11261">MATCH(1,OFFSET(EE599:EE610,EG609,0,COUNT(EE599:EE610)-EG609),0)</f>
        <v>#REF!</v>
      </c>
      <c r="EG610" s="715" t="e">
        <f t="shared" ca="1" si="11109"/>
        <v>#REF!</v>
      </c>
      <c r="EH610" s="716" t="str">
        <f ca="1">IF(LEFT($J599,7)="Clad Wo",IFERROR(VLOOKUP(INDEX(ED599:ED610,EG610),SPPWS,2,FALSE),"----"),IFERROR(VLOOKUP(INDEX(ED599:ED610,EG610),SPM,2,FALSE),"----"))</f>
        <v>----</v>
      </c>
    </row>
    <row r="611" spans="1:138" ht="15" customHeight="1" thickTop="1" x14ac:dyDescent="0.25">
      <c r="A611" s="1085"/>
      <c r="B611" s="931" t="s">
        <v>92</v>
      </c>
      <c r="C611" s="932"/>
      <c r="D611" s="933"/>
      <c r="E611" s="992"/>
      <c r="F611" s="993"/>
      <c r="G611" s="994"/>
      <c r="H611" s="1061"/>
      <c r="I611" s="989"/>
      <c r="J611" s="906"/>
      <c r="K611" s="907"/>
      <c r="L611" s="1001">
        <f>$W$3</f>
        <v>4</v>
      </c>
      <c r="M611" s="923" t="str">
        <f t="shared" ref="M611" si="11262">IFERROR(IF($AE$13="",IF($AG$19="Wind Loading",MIN($V$31,IF(E$11="ASCE 7-05",$U$26,$V$7)*$V$9*(IF($E$12&lt;60,0.0771*LN(MAX(MIN(500,O611),10)) -1.2737,IF($E$11="ASCE 7-22",0.0524*LN(MAX(MIN(500,O611),50))-1.0278,0.0614*LN(MAX(MIN(500,O611),20)) -1.0829))-$V$8)),$V$7*IF(E$12&lt;60,$V$13*($V$15*0.0771*LN(MAX(MIN(500,O611),10))-1.2737-$V$16),$V$13*$V$15*((0.0524*LN(MAX(MIN(500,O611),20))-1.0278)-$V$16))),-ABS($AE$13)),"")</f>
        <v/>
      </c>
      <c r="N611" s="1042" t="str">
        <f t="shared" ref="N611" si="11263">IFERROR(IF($AE$15="",IF($AG$19="Wind Loading",MAX($U$31,IF(E$11="ASCE 7-05",$U$26,$V$7)*$V$9*((IF($E$12&lt;60,-0.077*LN(MAX(MIN(500,O611),10))+1.1737,IF($E$11="ASCE 7-22",-0.077*LN(MAX(MIN(500,O611),20))+1.0798,-0.093*LN(MAX(MIN(500,O611),20))+1.1776)))+$V$8)),$V$7*IF(E$12&lt;60,$V$13*($V$15*(-0.077*LN(MAX(MIN(500,O611),10))+1.1737)-$V$17),$V$13*$V$15*((-0.077*LN(MAX(MIN(500,O611),20))+1.0798)-$V$17))),ABS($AE$15)),"")</f>
        <v/>
      </c>
      <c r="O611" s="1017" t="str">
        <f>IF(BX618=0,"",IF(AG$14="Trapezoidal",BY618,BX618))</f>
        <v/>
      </c>
      <c r="P611" s="986"/>
      <c r="Q611" s="1014"/>
      <c r="R611" s="1011">
        <f>P611*Q611/8</f>
        <v>0</v>
      </c>
      <c r="S611" s="1004">
        <f t="shared" ref="S611" si="11264">IF(5*(P611*Q611^3/(384*0.125))=0,0,5*(P611*Q611^3/(384*0.125)))</f>
        <v>0</v>
      </c>
      <c r="T611" s="1005"/>
      <c r="U611" s="877" t="e">
        <f ca="1">VLOOKUP(J615,INDIRECT(VLOOKUP(J611,FrameStrength,2,FALSE)),3,FALSE)</f>
        <v>#N/A</v>
      </c>
      <c r="V611" s="880">
        <f t="shared" ref="V611" si="11265">(H611+I611)/2</f>
        <v>0</v>
      </c>
      <c r="W611" s="883" t="e">
        <f t="shared" ref="W611" si="11266">MAX(-M611,N611)*O611</f>
        <v>#VALUE!</v>
      </c>
      <c r="X611" s="883">
        <f t="shared" ref="X611" si="11267">IF(E611&gt;162,(E611/240+0.25),IF(AND(E611&lt;162,E611/175&lt;0.75),E611/175,0.75))</f>
        <v>0</v>
      </c>
      <c r="Y611" s="886">
        <f>IFERROR(IF(AG$14="Trapezoidal",BY619,BX619)+IF($E$17="4",(400*E611^3)/(48*X611),0),0)</f>
        <v>0</v>
      </c>
      <c r="Z611" s="886" t="e">
        <f t="shared" ref="Z611" si="11268">+($V611*MAX(-$M611,$N611)*$E611^2)/(144*8)+IF($E$17=4,(400*$E611)/4,0)</f>
        <v>#VALUE!</v>
      </c>
      <c r="AA611" s="886" t="e">
        <f ca="1">VLOOKUP(J615,INDIRECT(VLOOKUP(J611,FrameStrength,2,FALSE)),2,FALSE)</f>
        <v>#N/A</v>
      </c>
      <c r="AB611" s="1083" t="str">
        <f t="shared" ref="AB611" ca="1" si="11269">IFERROR(Z611-AA611,"")</f>
        <v/>
      </c>
      <c r="AC611" s="1077" t="str">
        <f t="shared" ref="AC611" ca="1" si="11270">IFERROR(Y611-U611,"")</f>
        <v/>
      </c>
      <c r="AD611" s="1100" t="str">
        <f>IFERROR(IF(LEFT(J615,2)="As",VLOOKUP(J615,EIMM,4,FALSE),VLOOKUP(J611,EIMM,4,FALSE)),IF(AND(ISNUMBER(SEARCH("Impervia",J611)),ISNUMBER(SEARCH("door",J615))),'New Lookup Cells'!AF$10,IF(ISNUMBER(SEARCH("Impervia",J611)),'New Lookup Cells'!AF$7,IF(AND(ISNUMBER(SEARCH("250",J611)),ISNUMBER(SEARCH("door",J615))),'New Lookup Cells'!AF$14,IF(ISNUMBER(SEARCH("250",J611)),'New Lookup Cells'!AF$13,"")))))</f>
        <v/>
      </c>
      <c r="AE611" s="1101"/>
      <c r="AF611" s="1050"/>
      <c r="AG611" s="1051"/>
      <c r="AH611" s="1051"/>
      <c r="AI611" s="1088"/>
      <c r="AJ611" s="1089"/>
      <c r="AK611" s="154" t="str">
        <f t="shared" ca="1" si="10024"/>
        <v/>
      </c>
      <c r="AL611" s="1038" t="str">
        <f t="shared" ref="AL611" si="11271">IFERROR(ROUND(SQRT(P611^2+(W611/2+IF($E$17=4,200,0))^2),0),"")</f>
        <v/>
      </c>
      <c r="AM611" s="342" t="s">
        <v>669</v>
      </c>
      <c r="AN611" t="str">
        <f t="shared" ca="1" si="10040"/>
        <v/>
      </c>
      <c r="AP611" s="122" t="str">
        <f t="shared" ref="AP611" si="11272">_xlfn.CONCAT(AR611,AS616)</f>
        <v/>
      </c>
      <c r="AQ611" s="683" t="str">
        <f t="shared" si="10249"/>
        <v/>
      </c>
      <c r="AR611" s="96" t="str">
        <f t="shared" ref="AR611:AR674" si="11273">IFERROR(VLOOKUP(AF611,MullList,2,FALSE),"")</f>
        <v/>
      </c>
      <c r="AS611" s="96" t="str">
        <f>IF(COUNTIF(imp_1,AF611)=1,"imp_1",IF(COUNTIF(imp_2,AF611)=1,"imp_2",IF(COUNTIF(imp_3,AF611)=1,"imp_3",IF(COUNTIF(impdoor,AF611)=1,"impdoor",""))))</f>
        <v/>
      </c>
      <c r="AT611" s="684" t="str">
        <f>AL611</f>
        <v/>
      </c>
      <c r="AU611" s="685" t="e">
        <f ca="1">MATCH(AL611,INDIRECT(AP611),-1)</f>
        <v>#REF!</v>
      </c>
      <c r="AV611" s="686" t="str">
        <f ca="1">IFERROR(VLOOKUP(AU611,INDIRECT(AQ611),2,FALSE),"----")</f>
        <v>----</v>
      </c>
      <c r="AW611" s="685" t="e">
        <f ca="1">MATCH(AL611,INDIRECT(AP612),-1)</f>
        <v>#REF!</v>
      </c>
      <c r="AX611" s="686" t="str">
        <f ca="1">IFERROR(VLOOKUP(AW611,INDIRECT(AQ612),2,FALSE),"----")</f>
        <v>----</v>
      </c>
      <c r="AY611" s="685" t="e">
        <f ca="1">MATCH(AL611,INDIRECT(AP613),-1)</f>
        <v>#REF!</v>
      </c>
      <c r="AZ611" s="686" t="str">
        <f ca="1">IFERROR(VLOOKUP(AY611,INDIRECT(AQ613),2,FALSE),"----")</f>
        <v>----</v>
      </c>
      <c r="BA611" s="685" t="e">
        <f ca="1">MATCH(AL611,INDIRECT(AP614),-1)</f>
        <v>#REF!</v>
      </c>
      <c r="BB611" s="686" t="str">
        <f ca="1">IFERROR(VLOOKUP(BA611,INDIRECT(AQ614),2,FALSE),"----")</f>
        <v>----</v>
      </c>
      <c r="BC611" s="685" t="e">
        <f ca="1">MATCH(AL611,INDIRECT(AP615),-1)</f>
        <v>#REF!</v>
      </c>
      <c r="BD611" s="686" t="str">
        <f ca="1">IFERROR(VLOOKUP(BC611,INDIRECT(AQ615),2,FALSE),"----")</f>
        <v>----</v>
      </c>
      <c r="BE611" s="685" t="e">
        <f ca="1">MATCH(AL611,INDIRECT(AP616),-1)</f>
        <v>#REF!</v>
      </c>
      <c r="BF611" s="686" t="str">
        <f ca="1">IFERROR(VLOOKUP(BE611,INDIRECT(AQ616),2,FALSE),"----")</f>
        <v>----</v>
      </c>
      <c r="BG611" s="685" t="e">
        <f ca="1">MATCH(AL617,INDIRECT(AP617),-1)</f>
        <v>#REF!</v>
      </c>
      <c r="BH611" s="686" t="str">
        <f ca="1">IFERROR(VLOOKUP(BG611,INDIRECT(AQ617),2,FALSE),"----")</f>
        <v>----</v>
      </c>
      <c r="BI611" s="685" t="e">
        <f ca="1">MATCH(AL617,INDIRECT(AP618),-1)</f>
        <v>#REF!</v>
      </c>
      <c r="BJ611" s="686" t="str">
        <f ca="1">IFERROR(VLOOKUP(BI611,INDIRECT(AQ618),2,FALSE),"----")</f>
        <v>----</v>
      </c>
      <c r="BK611" s="685" t="e">
        <f ca="1">MATCH(AL617,INDIRECT(AP619),-1)</f>
        <v>#REF!</v>
      </c>
      <c r="BL611" s="686" t="str">
        <f ca="1">IFERROR(VLOOKUP(BK611,INDIRECT(AQ619),2,FALSE),"----")</f>
        <v>----</v>
      </c>
      <c r="BM611" s="685" t="e">
        <f ca="1">MATCH(AL617,INDIRECT(AP620),-1)</f>
        <v>#REF!</v>
      </c>
      <c r="BN611" s="686" t="str">
        <f ca="1">IFERROR(VLOOKUP(BM611,INDIRECT(AQ620),2,FALSE),"----")</f>
        <v>----</v>
      </c>
      <c r="BO611" s="685" t="e">
        <f ca="1">MATCH(AL617,INDIRECT(AP621),-1)</f>
        <v>#REF!</v>
      </c>
      <c r="BP611" s="686" t="str">
        <f ca="1">IFERROR(VLOOKUP(BO611,INDIRECT(AQ621),2,FALSE),"----")</f>
        <v>----</v>
      </c>
      <c r="BQ611" s="685" t="e">
        <f ca="1">MATCH(AL617,INDIRECT(AP622),-1)</f>
        <v>#REF!</v>
      </c>
      <c r="BR611" s="686" t="str">
        <f ca="1">IFERROR(VLOOKUP(BQ611,INDIRECT(AQ622),2,FALSE),"----")</f>
        <v>----</v>
      </c>
      <c r="BS611" s="687">
        <f>IF(AI611="",1,IF(COUNTIF(AV611:AV622,AI611)=0,2,1))</f>
        <v>1</v>
      </c>
      <c r="BT611" s="688">
        <f>IF(AP611="1",1,IF(AF611="",1,IF(AV611=".",2,1)))</f>
        <v>1</v>
      </c>
      <c r="BU611" s="706"/>
      <c r="BV611" s="155">
        <f ca="1">IF(COUNTIF(CE611:CE622,AF611)=0,IF(AF611&lt;&gt;"",0,1),1)</f>
        <v>1</v>
      </c>
      <c r="BW611" s="157">
        <f ca="1">IFERROR(MATCH(AF611,CE611:CE622,0),1)</f>
        <v>1</v>
      </c>
      <c r="BX611" s="769" t="str">
        <f>IFERROR(IF(LEFT(J615,2)="As",VLOOKUP(J615,EIMM,2,FALSE),IF(AND(ISNUMBER(SEARCH("Impervia",J611)),ISNUMBER(SEARCH("door",J615))),VLOOKUP("Impervia Door",EIMM,2,FALSE),IF(AND(ISNUMBER(SEARCH("250",J611)),ISNUMBER(SEARCH("door",J615))),VLOOKUP("250 Series Door",EIMM,2,FALSE),VLOOKUP(J611,EIMM,2,FALSE)))),"")</f>
        <v/>
      </c>
      <c r="BY611" s="769" t="str">
        <f ca="1">IFERROR(VLOOKUP(BX611,OFFSET(EIMM,0,1),2,FALSE),"")</f>
        <v/>
      </c>
      <c r="BZ611" s="1110" t="e">
        <f ca="1">IF((COUNTIF(INDIRECT(SUBSTITUTE(J611," ","_")),J615))=0,IF(J615="",1,0),1)</f>
        <v>#REF!</v>
      </c>
      <c r="CA611" s="691" t="e">
        <f ca="1">MATCH(AC611,INDIRECT(BX611),-1)</f>
        <v>#REF!</v>
      </c>
      <c r="CB611" s="4" t="e" cm="1">
        <f t="array" aca="1" ref="CB611" ca="1">IF(AND(INDEX(INDIRECT(BY611),CA611,4)&gt;=$AB611,INDEX(INDIRECT(BY611),CA611,5)&gt;=$S611,INDEX(INDIRECT(BY611),CA611,6)&gt;=$R611),1,0)</f>
        <v>#REF!</v>
      </c>
      <c r="CC611" s="4" t="e">
        <f t="shared" ref="CC611" ca="1" si="11274">MATCH(1,OFFSET(CB611:CB622,$W$2,0,COUNT(CB611:CB622)-$W$2),0)</f>
        <v>#REF!</v>
      </c>
      <c r="CD611" s="4" t="e">
        <f t="shared" ref="CD611" ca="1" si="11275">$W$2+CC611</f>
        <v>#REF!</v>
      </c>
      <c r="CE611" s="692" t="str" cm="1">
        <f t="array" aca="1" ref="CE611" ca="1">IFERROR(VLOOKUP(INDEX(CA611:CA622,CD611),INDIRECT(BY611),2,FALSE),"----")</f>
        <v>----</v>
      </c>
      <c r="CF611" s="691" t="e">
        <f ca="1">MATCH($AC611,SSEI,-1)</f>
        <v>#N/A</v>
      </c>
      <c r="CG611" s="4" t="e">
        <f ca="1">IF(AND(INDEX(SSM,CF611,4)&gt;=$AB611,INDEX(SSM,CF611,5)&gt;=$S611,INDEX(SSM,CF611,6)&gt;=$R611),1,0)</f>
        <v>#N/A</v>
      </c>
      <c r="CH611" s="4" t="e">
        <f t="shared" ref="CH611" ca="1" si="11276">MATCH(1,OFFSET(CG611:CG622,$W$2,0,COUNT(CG611:CG622)-$W$2),0)</f>
        <v>#REF!</v>
      </c>
      <c r="CI611" s="4" t="e">
        <f t="shared" ref="CI611" ca="1" si="11277">$W$2+CH611</f>
        <v>#REF!</v>
      </c>
      <c r="CJ611" s="692" t="str">
        <f ca="1">IFERROR(IF(AD612="Nested Steel Stud (wood infill)",VLOOKUP(INDEX(CF611:CF622,CI611),SSW,2,FALSE),VLOOKUP(INDEX(CF611:CF622,CI611),SSM,2,FALSE)),"----")</f>
        <v>----</v>
      </c>
      <c r="CK611" s="691" t="e">
        <f ca="1">MATCH($AC611,WSEI,-1)</f>
        <v>#N/A</v>
      </c>
      <c r="CL611" s="4" t="e">
        <f ca="1">IF(AND(INDEX(WSM,CK611,4)&gt;=$AB611,INDEX(WSM,CK611,5)&gt;=$S611,INDEX(WSM,CK611,6)&gt;=$R611),1,0)</f>
        <v>#N/A</v>
      </c>
      <c r="CM611" s="4" t="e">
        <f t="shared" ref="CM611" ca="1" si="11278">MATCH(1,OFFSET(CL611:CL622,$W$2,0,COUNT(CL611:CL622)-$W$2),0)</f>
        <v>#REF!</v>
      </c>
      <c r="CN611" s="4" t="e">
        <f t="shared" ref="CN611" ca="1" si="11279">$W$2+CM611</f>
        <v>#REF!</v>
      </c>
      <c r="CO611" s="692" t="str">
        <f ca="1">IFERROR(VLOOKUP(INDEX(CK611:CK622,CN611),WSM,2,FALSE),"----")</f>
        <v>----</v>
      </c>
      <c r="CP611" s="691" t="e">
        <f ca="1">MATCH($AC611,STEI,-1)</f>
        <v>#N/A</v>
      </c>
      <c r="CQ611" s="4" t="e">
        <f ca="1">IF(AND(INDEX(STM,CP611,4)&gt;=$AB611,INDEX(STM,CP611,5)&gt;=$S611,INDEX(STM,CP611,6)&gt;=$R611),1,0)</f>
        <v>#N/A</v>
      </c>
      <c r="CR611" s="4" t="e">
        <f t="shared" ref="CR611" ca="1" si="11280">MATCH(1,OFFSET(CQ611:CQ622,$W$2,0,COUNT(CQ611:CQ622)-$W$2),0)</f>
        <v>#REF!</v>
      </c>
      <c r="CS611" s="4" t="e">
        <f t="shared" ref="CS611" ca="1" si="11281">$W$2+CR611</f>
        <v>#REF!</v>
      </c>
      <c r="CT611" s="692" t="str">
        <f ca="1">IFERROR(VLOOKUP(INDEX(CP611:CP622,CS611),STM,2,FALSE),"----")</f>
        <v>----</v>
      </c>
      <c r="CU611" s="691" t="e">
        <f ca="1">MATCH($AC611,ELEI,-1)</f>
        <v>#N/A</v>
      </c>
      <c r="CV611" s="4" t="e">
        <f ca="1">IF(AND(INDEX(ELM,CU611,4)&gt;=$AB611,INDEX(ELM,CU611,5)&gt;=$S611,INDEX(ELM,CU611,6)&gt;=$R611),1,0)</f>
        <v>#N/A</v>
      </c>
      <c r="CW611" s="4" t="e">
        <f t="shared" ref="CW611" ca="1" si="11282">MATCH(1,OFFSET(CV611:CV622,$W$2,0,COUNT(CV611:CV622)-$W$2),0)</f>
        <v>#REF!</v>
      </c>
      <c r="CX611" s="4" t="e">
        <f t="shared" ref="CX611" ca="1" si="11283">$W$2+CW611</f>
        <v>#REF!</v>
      </c>
      <c r="CY611" s="692" t="str">
        <f ca="1">IFERROR(VLOOKUP(INDEX(CU611:CU622,CX611),ELM,2,FALSE),"----")</f>
        <v>----</v>
      </c>
      <c r="CZ611" s="691" t="e">
        <f ca="1">IF(LEFT($J611,7)="Clad Wo",MATCH($AC611,SPEIW,-1),MATCH($AC611,SPEI,-1))</f>
        <v>#N/A</v>
      </c>
      <c r="DA611" s="4" t="e">
        <f ca="1">IF(LEFT($J611,7)="Clad Wo",IF(AND(INDEX(SPPWS,CZ611,4)&gt;=$AB611,INDEX(SPPWS,CZ611,5)&gt;=$S611,INDEX(SPPWS,CZ611,6)&gt;=$R611),1,0),IF(AND(INDEX(SPM,CZ611,4)&gt;=$AB611,INDEX(SPM,CZ611,5)&gt;=$S611,INDEX(SPM,CZ611,6)&gt;=$R611),1,0))</f>
        <v>#N/A</v>
      </c>
      <c r="DB611" s="4" t="e">
        <f t="shared" ref="DB611" ca="1" si="11284">MATCH(1,OFFSET(DA611:DA622,$W$2,0,COUNT(DA611:DA622)-$W$2),0)</f>
        <v>#REF!</v>
      </c>
      <c r="DC611" s="4" t="e">
        <f t="shared" ref="DC611" ca="1" si="11285">$W$2+DB611</f>
        <v>#REF!</v>
      </c>
      <c r="DD611" s="693" t="str">
        <f ca="1">IF(LEFT($J611,7)="Clad Wo",IFERROR(VLOOKUP(INDEX(CZ611:CZ622,DC611),SPPWS,2,FALSE),"----"),IFERROR(VLOOKUP(INDEX(CZ611:CZ622,DC611),SPM,2,FALSE),"----"))</f>
        <v>----</v>
      </c>
      <c r="DE611" s="691" t="e">
        <f ca="1">MATCH(AC617,INDIRECT(BX611),-1)</f>
        <v>#REF!</v>
      </c>
      <c r="DF611" s="4" t="e" cm="1">
        <f t="array" aca="1" ref="DF611" ca="1">IF(AND(INDEX(INDIRECT(BY611),DE611,4)&gt;=$AB617,INDEX(INDIRECT(BY611),DE611,5)&gt;=$S611,INDEX(INDIRECT(BY611),DE611,6)&gt;=$R611),1,0)</f>
        <v>#REF!</v>
      </c>
      <c r="DG611" s="4" t="e">
        <f t="shared" ref="DG611" ca="1" si="11286">MATCH(1,OFFSET(DF611:DF622,$W$2,0,COUNT(DF611:DF622)-$W$2),0)</f>
        <v>#REF!</v>
      </c>
      <c r="DH611" s="4" t="e">
        <f t="shared" ref="DH611" ca="1" si="11287">$W$2+DG611</f>
        <v>#REF!</v>
      </c>
      <c r="DI611" s="692" t="str" cm="1">
        <f t="array" aca="1" ref="DI611" ca="1">IFERROR(VLOOKUP(INDEX(DE611:DE622,DH611),INDIRECT(BY611),2,FALSE),"----")</f>
        <v>----</v>
      </c>
      <c r="DJ611" s="691" t="e">
        <f ca="1">MATCH($AC617,SSEI,-1)</f>
        <v>#N/A</v>
      </c>
      <c r="DK611" s="4" t="e">
        <f ca="1">IF(AND(INDEX(SSM,DJ611,4)&gt;=$AB617,INDEX(SSM,DJ611,5)&gt;=$S611,INDEX(SSM,DJ611,6)&gt;=$R611),1,0)</f>
        <v>#N/A</v>
      </c>
      <c r="DL611" s="4" t="e">
        <f t="shared" ref="DL611" ca="1" si="11288">MATCH(1,OFFSET(DK611:DK622,$W$2,0,COUNT(DK611:DK622)-$W$2),0)</f>
        <v>#REF!</v>
      </c>
      <c r="DM611" s="4" t="e">
        <f t="shared" ref="DM611" ca="1" si="11289">$W$2+DL611</f>
        <v>#REF!</v>
      </c>
      <c r="DN611" s="692" t="str">
        <f ca="1">IFERROR(IF(AD618="Nested Steel Stud (wood infill)",VLOOKUP(INDEX(DJ611:DJ622,DM611),SSW,2,FALSE),VLOOKUP(INDEX(DJ611:DJ622,DM611),SSM,2,FALSE)),"----")</f>
        <v>----</v>
      </c>
      <c r="DO611" s="691" t="e">
        <f ca="1">MATCH($AC617,WSEI,-1)</f>
        <v>#N/A</v>
      </c>
      <c r="DP611" s="4" t="e">
        <f ca="1">IF(AND(INDEX(WSM,DO611,4)&gt;=$AB617,INDEX(WSM,DO611,5)&gt;=$S611,INDEX(WSM,DO611,6)&gt;=$R611),1,0)</f>
        <v>#N/A</v>
      </c>
      <c r="DQ611" s="4" t="e">
        <f t="shared" ref="DQ611" ca="1" si="11290">MATCH(1,OFFSET(DP611:DP622,$W$2,0,COUNT(DP611:DP622)-$W$2),0)</f>
        <v>#REF!</v>
      </c>
      <c r="DR611" s="4" t="e">
        <f t="shared" ref="DR611" ca="1" si="11291">$W$2+DQ611</f>
        <v>#REF!</v>
      </c>
      <c r="DS611" s="692" t="str">
        <f ca="1">IFERROR(VLOOKUP(INDEX(DO611:DO622,DR611),WSM,2,FALSE),"----")</f>
        <v>----</v>
      </c>
      <c r="DT611" s="691" t="e">
        <f ca="1">MATCH($AC617,STEI,-1)</f>
        <v>#N/A</v>
      </c>
      <c r="DU611" s="4" t="e">
        <f ca="1">IF(AND(INDEX(STM,DT611,4)&gt;=$AB617,INDEX(STM,DT611,5)&gt;=$S611,INDEX(STM,DT611,6)&gt;=$R611),1,0)</f>
        <v>#N/A</v>
      </c>
      <c r="DV611" s="4" t="e">
        <f t="shared" ref="DV611" ca="1" si="11292">MATCH(1,OFFSET(DU611:DU622,$W$2,0,COUNT(DU611:DU622)-$W$2),0)</f>
        <v>#REF!</v>
      </c>
      <c r="DW611" s="4" t="e">
        <f t="shared" ref="DW611" ca="1" si="11293">$W$2+DV611</f>
        <v>#REF!</v>
      </c>
      <c r="DX611" s="692" t="str">
        <f ca="1">IFERROR(VLOOKUP(INDEX(DT611:DT622,DW611),STM,2,FALSE),"----")</f>
        <v>----</v>
      </c>
      <c r="DY611" s="691" t="e">
        <f ca="1">MATCH($AC617,ELEI,-1)</f>
        <v>#N/A</v>
      </c>
      <c r="DZ611" s="4" t="e">
        <f ca="1">IF(AND(INDEX(ELM,DY611,4)&gt;=$AB617,INDEX(ELM,DY611,5)&gt;=$S611,INDEX(ELM,DY611,6)&gt;=$R611),1,0)</f>
        <v>#N/A</v>
      </c>
      <c r="EA611" s="4" t="e">
        <f t="shared" ref="EA611" ca="1" si="11294">MATCH(1,OFFSET(DZ611:DZ622,$W$2,0,COUNT(DZ611:DZ622)-$W$2),0)</f>
        <v>#REF!</v>
      </c>
      <c r="EB611" s="4" t="e">
        <f t="shared" ref="EB611" ca="1" si="11295">EA611+$W$2</f>
        <v>#REF!</v>
      </c>
      <c r="EC611" s="692" t="str">
        <f ca="1">IFERROR(VLOOKUP(INDEX(DY611:DY622,EB611),ELM,2,FALSE),"----")</f>
        <v>----</v>
      </c>
      <c r="ED611" s="691" t="e">
        <f ca="1">IF(LEFT($J611,7)="Clad Wo",MATCH($AC617,SPEIW,-1),MATCH($AC617,SPEI,-1))</f>
        <v>#N/A</v>
      </c>
      <c r="EE611" s="4" t="e">
        <f ca="1">IF(LEFT($J611,7)="Clad Wo",IF(AND(INDEX(SPPWS,ED611,4)&gt;=$AB617,INDEX(SPPWS,ED611,5)&gt;=$S611,INDEX(SPPWS,ED611,6)&gt;=$R611),1,0),IF(AND(INDEX(SPM,ED611,4)&gt;=$AB617,INDEX(SPM,ED611,5)&gt;=$S611,INDEX(SPM,ED611,6)&gt;=$R611),1,0))</f>
        <v>#N/A</v>
      </c>
      <c r="EF611" s="4" t="e">
        <f t="shared" ref="EF611" ca="1" si="11296">MATCH(1,OFFSET(EE611:EE622,$W$2,0,COUNT(EE611:EE622)-$W$2),0)</f>
        <v>#REF!</v>
      </c>
      <c r="EG611" s="4" t="e">
        <f t="shared" ref="EG611" ca="1" si="11297">$W$2+EF611</f>
        <v>#REF!</v>
      </c>
      <c r="EH611" s="692" t="str">
        <f ca="1">IF(LEFT($J611,7)="Clad Wo",IFERROR(VLOOKUP(INDEX(ED611:ED622,EG611),SPPWS,2,FALSE),"----"),IFERROR(VLOOKUP(INDEX(ED611:ED622,EG611),SPM,2,FALSE),"----"))</f>
        <v>----</v>
      </c>
    </row>
    <row r="612" spans="1:138" ht="15" customHeight="1" x14ac:dyDescent="0.25">
      <c r="A612" s="1085"/>
      <c r="B612" s="925"/>
      <c r="C612" s="926"/>
      <c r="D612" s="927"/>
      <c r="E612" s="995"/>
      <c r="F612" s="996"/>
      <c r="G612" s="997"/>
      <c r="H612" s="1062"/>
      <c r="I612" s="990"/>
      <c r="J612" s="908"/>
      <c r="K612" s="909"/>
      <c r="L612" s="1002"/>
      <c r="M612" s="923"/>
      <c r="N612" s="1042"/>
      <c r="O612" s="1018"/>
      <c r="P612" s="987"/>
      <c r="Q612" s="1015"/>
      <c r="R612" s="1012"/>
      <c r="S612" s="1006"/>
      <c r="T612" s="1007"/>
      <c r="U612" s="878"/>
      <c r="V612" s="881"/>
      <c r="W612" s="884"/>
      <c r="X612" s="884"/>
      <c r="Y612" s="887"/>
      <c r="Z612" s="887"/>
      <c r="AA612" s="887"/>
      <c r="AB612" s="1081"/>
      <c r="AC612" s="1078"/>
      <c r="AD612" s="1102" t="s">
        <v>38</v>
      </c>
      <c r="AE612" s="1103"/>
      <c r="AF612" s="1052"/>
      <c r="AG612" s="1053"/>
      <c r="AH612" s="1053"/>
      <c r="AI612" s="1066"/>
      <c r="AJ612" s="1067"/>
      <c r="AK612" s="156" t="str">
        <f t="shared" ref="AK612:AK675" ca="1" si="11298">IFERROR(VLOOKUP(AI612,OFFSET(INDIRECT(AQ612),0,1),2,FALSE),"")</f>
        <v/>
      </c>
      <c r="AL612" s="1039"/>
      <c r="AM612" s="343" t="str">
        <f ca="1">IFERROR(Q611/12*ROUND(VLOOKUP(AF612,OFFSET(SSM,0,1),6,FALSE),2),"")</f>
        <v/>
      </c>
      <c r="AN612" t="str">
        <f t="shared" ca="1" si="10040"/>
        <v/>
      </c>
      <c r="AP612" s="122" t="str">
        <f t="shared" ref="AP612" si="11299">_xlfn.CONCAT(AR612,AS616)</f>
        <v/>
      </c>
      <c r="AQ612" s="683" t="str">
        <f t="shared" si="10249"/>
        <v/>
      </c>
      <c r="AR612" s="96" t="str">
        <f t="shared" si="11273"/>
        <v/>
      </c>
      <c r="AS612" s="96" t="str">
        <f>IF(COUNTIF(Vista_1,AF611)=1,"Vista_1",IF(COUNTIF(Vista_2,AF611)=1,"Vista_2",""))</f>
        <v/>
      </c>
      <c r="AT612" s="684" t="str">
        <f>AL611</f>
        <v/>
      </c>
      <c r="AU612" s="694" t="e">
        <f t="shared" ref="AU612" ca="1" si="11300">AU611-1</f>
        <v>#REF!</v>
      </c>
      <c r="AV612" s="686" t="str">
        <f ca="1">IFERROR(VLOOKUP(AU612,INDIRECT(AQ611),2,FALSE),"----")</f>
        <v>----</v>
      </c>
      <c r="AW612" s="694" t="e">
        <f t="shared" ref="AW612:AW613" ca="1" si="11301">AW611-1</f>
        <v>#REF!</v>
      </c>
      <c r="AX612" s="686" t="str">
        <f ca="1">IFERROR(VLOOKUP(AW612,INDIRECT(AQ612),2,FALSE),"----")</f>
        <v>----</v>
      </c>
      <c r="AY612" s="694" t="e">
        <f t="shared" ref="AY612:AY613" ca="1" si="11302">AY611-1</f>
        <v>#REF!</v>
      </c>
      <c r="AZ612" s="686" t="str">
        <f ca="1">IFERROR(VLOOKUP(AY612,INDIRECT(AQ613),2,FALSE),"----")</f>
        <v>----</v>
      </c>
      <c r="BA612" s="694" t="e">
        <f t="shared" ref="BA612:BA613" ca="1" si="11303">BA611-1</f>
        <v>#REF!</v>
      </c>
      <c r="BB612" s="686" t="str">
        <f ca="1">IFERROR(VLOOKUP(BA612,INDIRECT(AQ614),2,FALSE),"----")</f>
        <v>----</v>
      </c>
      <c r="BC612" s="694" t="e">
        <f t="shared" ref="BC612:BC613" ca="1" si="11304">BC611-1</f>
        <v>#REF!</v>
      </c>
      <c r="BD612" s="686" t="str">
        <f ca="1">IFERROR(VLOOKUP(BC612,INDIRECT(AQ615),2,FALSE),"----")</f>
        <v>----</v>
      </c>
      <c r="BE612" s="694" t="e">
        <f t="shared" ref="BE612" ca="1" si="11305">BE611-1</f>
        <v>#REF!</v>
      </c>
      <c r="BF612" s="686" t="str">
        <f ca="1">IFERROR(VLOOKUP(BE612,INDIRECT(AQ616),2,FALSE),"----")</f>
        <v>----</v>
      </c>
      <c r="BG612" s="694" t="e">
        <f t="shared" ref="BG612" ca="1" si="11306">BG611-1</f>
        <v>#REF!</v>
      </c>
      <c r="BH612" s="686" t="str">
        <f ca="1">IFERROR(VLOOKUP(BG612,INDIRECT(AQ617),2,FALSE),"----")</f>
        <v>----</v>
      </c>
      <c r="BI612" s="694" t="e">
        <f t="shared" ref="BI612:BI613" ca="1" si="11307">BI611-1</f>
        <v>#REF!</v>
      </c>
      <c r="BJ612" s="686" t="str">
        <f ca="1">IFERROR(VLOOKUP(BI612,INDIRECT(AQ618),2,FALSE),"----")</f>
        <v>----</v>
      </c>
      <c r="BK612" s="694" t="e">
        <f t="shared" ref="BK612:BK613" ca="1" si="11308">BK611-1</f>
        <v>#REF!</v>
      </c>
      <c r="BL612" s="686" t="str">
        <f ca="1">IFERROR(VLOOKUP(BK612,INDIRECT(AQ619),2,FALSE),"----")</f>
        <v>----</v>
      </c>
      <c r="BM612" s="694" t="e">
        <f t="shared" ref="BM612:BM613" ca="1" si="11309">BM611-1</f>
        <v>#REF!</v>
      </c>
      <c r="BN612" s="686" t="str">
        <f ca="1">IFERROR(VLOOKUP(BM612,INDIRECT(AQ620),2,FALSE),"----")</f>
        <v>----</v>
      </c>
      <c r="BO612" s="694" t="e">
        <f t="shared" ref="BO612:BO613" ca="1" si="11310">BO611-1</f>
        <v>#REF!</v>
      </c>
      <c r="BP612" s="686" t="str">
        <f ca="1">IFERROR(VLOOKUP(BO612,INDIRECT(AQ621),2,FALSE),"----")</f>
        <v>----</v>
      </c>
      <c r="BQ612" s="694" t="e">
        <f t="shared" ref="BQ612" ca="1" si="11311">BQ611-1</f>
        <v>#REF!</v>
      </c>
      <c r="BR612" s="686" t="str">
        <f ca="1">IFERROR(VLOOKUP(BQ612,INDIRECT(AQ622),2,FALSE),"----")</f>
        <v>----</v>
      </c>
      <c r="BS612" s="695">
        <f>IF(AI612="",1,IF(COUNTIF(AX611:AX622,AI612)=0,2,1))</f>
        <v>1</v>
      </c>
      <c r="BT612" s="696">
        <f>IF(AF612="",1,IF(AX611=".",2,1))</f>
        <v>1</v>
      </c>
      <c r="BU612" s="706"/>
      <c r="BV612" s="155">
        <f ca="1">IF(COUNTIF(CJ611:CJ622,AF612)=0,IF(AF612&lt;&gt;"",0,1),1)</f>
        <v>1</v>
      </c>
      <c r="BW612" s="157">
        <f ca="1">IFERROR(MATCH(AF612,CJ611:CJ622,0),1)</f>
        <v>1</v>
      </c>
      <c r="BX612" s="769"/>
      <c r="BY612" s="769"/>
      <c r="BZ612" s="1110"/>
      <c r="CA612" s="691" t="e">
        <f t="shared" ref="CA612:CA622" ca="1" si="11312">CA611-1</f>
        <v>#REF!</v>
      </c>
      <c r="CB612" s="4" t="e" cm="1">
        <f t="array" aca="1" ref="CB612" ca="1">IF(AND(INDEX(INDIRECT(BY611),CA612,4)&gt;=$AB611,INDEX(INDIRECT(BY611),CA612,5)&gt;=$S611,INDEX(INDIRECT(BY611),CA612,6)&gt;=$R611),1,0)</f>
        <v>#REF!</v>
      </c>
      <c r="CC612" s="4" t="e">
        <f t="shared" ref="CC612" ca="1" si="11313">MATCH(1,OFFSET(CB611:CB622,CD611,0,COUNT(CB611:CB622)-CD611),0)</f>
        <v>#REF!</v>
      </c>
      <c r="CD612" s="4" t="e">
        <f t="shared" ref="CD612:CD622" ca="1" si="11314">CD611+CC612</f>
        <v>#REF!</v>
      </c>
      <c r="CE612" s="692" t="str" cm="1">
        <f t="array" aca="1" ref="CE612" ca="1">IFERROR(VLOOKUP(INDEX(CA611:CA622,CD612),INDIRECT(BY611),2,FALSE),"----")</f>
        <v>----</v>
      </c>
      <c r="CF612" s="691" t="e">
        <f t="shared" ref="CF612:CF622" ca="1" si="11315">CF611-1</f>
        <v>#N/A</v>
      </c>
      <c r="CG612" s="4" t="e">
        <f ca="1">IF(AND(INDEX(SSM,CF612,4)&gt;=$AB611,INDEX(SSM,CF612,5)&gt;=$S611,INDEX(SSM,CF612,6)&gt;=$R611),1,0)</f>
        <v>#N/A</v>
      </c>
      <c r="CH612" s="4" t="e">
        <f t="shared" ref="CH612" ca="1" si="11316">MATCH(1,OFFSET(CG611:CG622,CI611,0,COUNT(CG611:CG622)-CI611),0)</f>
        <v>#REF!</v>
      </c>
      <c r="CI612" s="4" t="e">
        <f t="shared" ref="CI612:CI622" ca="1" si="11317">CI611+CH612</f>
        <v>#REF!</v>
      </c>
      <c r="CJ612" s="692" t="str">
        <f ca="1">IFERROR(IF(AD612="Nested Steel Stud (wood infill)",VLOOKUP(INDEX(CF611:CF622,CI612),SSW,2,FALSE),VLOOKUP(INDEX(CF611:CF622,CI612),SSM,2,FALSE)),"----")</f>
        <v>----</v>
      </c>
      <c r="CK612" s="691" t="e">
        <f t="shared" ref="CK612:CK622" ca="1" si="11318">CK611-1</f>
        <v>#N/A</v>
      </c>
      <c r="CL612" s="4" t="e">
        <f ca="1">IF(AND(INDEX(WSM,CK612,4)&gt;=$AB611,INDEX(WSM,CK612,5)&gt;=$S611,INDEX(WSM,CK612,6)&gt;=$R611),1,0)</f>
        <v>#N/A</v>
      </c>
      <c r="CM612" s="4" t="e">
        <f t="shared" ref="CM612" ca="1" si="11319">MATCH(1,OFFSET(CL611:CL622,CN611,0,COUNT(CL611:CL622)-CN611),0)</f>
        <v>#REF!</v>
      </c>
      <c r="CN612" s="4" t="e">
        <f t="shared" ref="CN612:CN622" ca="1" si="11320">CM612+CN611</f>
        <v>#REF!</v>
      </c>
      <c r="CO612" s="692" t="str">
        <f ca="1">IFERROR(VLOOKUP(INDEX(CK611:CK622,CN612),WSM,2,FALSE),"----")</f>
        <v>----</v>
      </c>
      <c r="CP612" s="691" t="e">
        <f t="shared" ref="CP612:CP622" ca="1" si="11321">CP611-1</f>
        <v>#N/A</v>
      </c>
      <c r="CQ612" s="4" t="e">
        <f ca="1">IF(AND(INDEX(STM,CP612,4)&gt;=$AB611,INDEX(STM,CP612,5)&gt;=$S611,INDEX(STM,CP612,6)&gt;=$R611),1,0)</f>
        <v>#N/A</v>
      </c>
      <c r="CR612" s="4" t="e">
        <f t="shared" ref="CR612" ca="1" si="11322">MATCH(1,OFFSET(CQ611:CQ622,CS611,0,COUNT(CQ611:CQ622)-CS611),0)</f>
        <v>#REF!</v>
      </c>
      <c r="CS612" s="4" t="e">
        <f t="shared" ref="CS612:CS622" ca="1" si="11323">CR612+CS611</f>
        <v>#REF!</v>
      </c>
      <c r="CT612" s="692" t="str">
        <f ca="1">IFERROR(VLOOKUP(INDEX(CP611:CP622,CS612),STM,2,FALSE),"----")</f>
        <v>----</v>
      </c>
      <c r="CU612" s="691" t="e">
        <f t="shared" ref="CU612:CU622" ca="1" si="11324">CU611-1</f>
        <v>#N/A</v>
      </c>
      <c r="CV612" s="4" t="e">
        <f ca="1">IF(AND(INDEX(ELM,CU612,4)&gt;=$AB611,INDEX(ELM,CU612,5)&gt;=$S611,INDEX(ELM,CU612,6)&gt;=$R611),1,0)</f>
        <v>#N/A</v>
      </c>
      <c r="CW612" s="4" t="e">
        <f t="shared" ref="CW612" ca="1" si="11325">MATCH(1,OFFSET(CV611:CV622,CX611,0,COUNT(CV611:CV622)-CX611),0)</f>
        <v>#REF!</v>
      </c>
      <c r="CX612" s="4" t="e">
        <f t="shared" ref="CX612:CX622" ca="1" si="11326">CW612+CX611</f>
        <v>#REF!</v>
      </c>
      <c r="CY612" s="692" t="str">
        <f ca="1">IFERROR(VLOOKUP(INDEX(CU611:CU622,CX612),ELM,2,FALSE),"----")</f>
        <v>----</v>
      </c>
      <c r="CZ612" s="691" t="e">
        <f t="shared" ref="CZ612:CZ622" ca="1" si="11327">CZ611-1</f>
        <v>#N/A</v>
      </c>
      <c r="DA612" s="4" t="e">
        <f ca="1">IF(LEFT($J611,7)="Clad Wo",IF(AND(INDEX(SPPWS,CZ612,4)&gt;=$AB611,INDEX(SPPWS,CZ612,5)&gt;=$S611,INDEX(SPPWS,CZ612,6)&gt;=$R611),1,0),IF(AND(INDEX(SPM,CZ612,4)&gt;=$AB611,INDEX(SPM,CZ612,5)&gt;=$S611,INDEX(SPM,CZ612,6)&gt;=$R611),1,0))</f>
        <v>#N/A</v>
      </c>
      <c r="DB612" s="4" t="e">
        <f t="shared" ref="DB612" ca="1" si="11328">MATCH(1,OFFSET(DA611:DA622,DC611,0,COUNT(DA611:DA622)-DC611),0)</f>
        <v>#REF!</v>
      </c>
      <c r="DC612" s="4" t="e">
        <f t="shared" ref="DC612:DC622" ca="1" si="11329">DC611+DB612</f>
        <v>#REF!</v>
      </c>
      <c r="DD612" s="693" t="str">
        <f ca="1">IF(LEFT($J611,7)="Clad Wo",IFERROR(VLOOKUP(INDEX(CZ611:CZ622,DC612),SPPWS,2,FALSE),"----"),IFERROR(VLOOKUP(INDEX(CZ611:CZ622,DC612),SPM,2,FALSE),"----"))</f>
        <v>----</v>
      </c>
      <c r="DE612" s="691" t="e">
        <f t="shared" ref="DE612:DE622" ca="1" si="11330">DE611-1</f>
        <v>#REF!</v>
      </c>
      <c r="DF612" s="4" t="e" cm="1">
        <f t="array" aca="1" ref="DF612" ca="1">IF(AND(INDEX(INDIRECT(BY611),DE612,4)&gt;=$AB617,INDEX(INDIRECT(BY611),DE612,5)&gt;=$S611,INDEX(INDIRECT(BY611),DE612,6)&gt;=$R611),1,0)</f>
        <v>#REF!</v>
      </c>
      <c r="DG612" s="4" t="e">
        <f t="shared" ref="DG612" ca="1" si="11331">MATCH(1,OFFSET(DF611:DF622,DH611,0,COUNT(DF611:DF622)-DH611),0)</f>
        <v>#REF!</v>
      </c>
      <c r="DH612" s="4" t="e">
        <f t="shared" ref="DH612:DH622" ca="1" si="11332">DH611+DG612</f>
        <v>#REF!</v>
      </c>
      <c r="DI612" s="692" t="str" cm="1">
        <f t="array" aca="1" ref="DI612" ca="1">IFERROR(VLOOKUP(INDEX(DE611:DE622,DH612),INDIRECT(BY611),2,FALSE),"----")</f>
        <v>----</v>
      </c>
      <c r="DJ612" s="691" t="e">
        <f t="shared" ref="DJ612:DJ622" ca="1" si="11333">DJ611-1</f>
        <v>#N/A</v>
      </c>
      <c r="DK612" s="4" t="e">
        <f ca="1">IF(AND(INDEX(SSM,DJ612,4)&gt;=$AB617,INDEX(SSM,DJ612,5)&gt;=$S611,INDEX(SSM,DJ612,6)&gt;=$R611),1,0)</f>
        <v>#N/A</v>
      </c>
      <c r="DL612" s="4" t="e">
        <f t="shared" ref="DL612" ca="1" si="11334">MATCH(1,OFFSET(DK611:DK622,DM611,0,COUNT(DK611:DK622)-DM611),0)</f>
        <v>#REF!</v>
      </c>
      <c r="DM612" s="4" t="e">
        <f t="shared" ref="DM612:DM622" ca="1" si="11335">DL612+DM611</f>
        <v>#REF!</v>
      </c>
      <c r="DN612" s="692" t="str">
        <f ca="1">IFERROR(IF(AD618="Nested Steel Stud (wood infill)",VLOOKUP(INDEX(DJ611:DJ622,DM612),SSW,2,FALSE),VLOOKUP(INDEX(DJ611:DJ622,DM612),SSM,2,FALSE)),"----")</f>
        <v>----</v>
      </c>
      <c r="DO612" s="691" t="e">
        <f t="shared" ref="DO612:DO622" ca="1" si="11336">DO611-1</f>
        <v>#N/A</v>
      </c>
      <c r="DP612" s="4" t="e">
        <f ca="1">IF(AND(INDEX(WSM,DO612,4)&gt;=$AB617,INDEX(WSM,DO612,5)&gt;=$S611,INDEX(WSM,DO612,6)&gt;=$R611),1,0)</f>
        <v>#N/A</v>
      </c>
      <c r="DQ612" s="4" t="e">
        <f t="shared" ref="DQ612" ca="1" si="11337">MATCH(1,OFFSET(DP611:DP622,DR611,0,COUNT(DP611:DP622)-DR611),0)</f>
        <v>#REF!</v>
      </c>
      <c r="DR612" s="4" t="e">
        <f t="shared" ref="DR612:DR622" ca="1" si="11338">DQ612+DR611</f>
        <v>#REF!</v>
      </c>
      <c r="DS612" s="692" t="str">
        <f ca="1">IFERROR(VLOOKUP(INDEX(DO611:DO622,DR612),WSM,2,FALSE),"----")</f>
        <v>----</v>
      </c>
      <c r="DT612" s="691" t="e">
        <f t="shared" ref="DT612:DT622" ca="1" si="11339">DT611-1</f>
        <v>#N/A</v>
      </c>
      <c r="DU612" s="4" t="e">
        <f ca="1">IF(AND(INDEX(STM,DT612,4)&gt;=$AB617,INDEX(STM,DT612,5)&gt;=$S611,INDEX(STM,DT612,6)&gt;=$R611),1,0)</f>
        <v>#N/A</v>
      </c>
      <c r="DV612" s="4" t="e">
        <f t="shared" ref="DV612" ca="1" si="11340">MATCH(1,OFFSET(DU611:DU622,DW611,0,COUNT(DU611:DU622)-DW611),0)</f>
        <v>#REF!</v>
      </c>
      <c r="DW612" s="4" t="e">
        <f t="shared" ref="DW612:DW622" ca="1" si="11341">DV612+DW611</f>
        <v>#REF!</v>
      </c>
      <c r="DX612" s="692" t="str">
        <f ca="1">IFERROR(VLOOKUP(INDEX(DT611:DT622,DW612),STM,2,FALSE),"----")</f>
        <v>----</v>
      </c>
      <c r="DY612" s="691" t="e">
        <f t="shared" ref="DY612:DY622" ca="1" si="11342">DY611-1</f>
        <v>#N/A</v>
      </c>
      <c r="DZ612" s="4" t="e">
        <f ca="1">IF(AND(INDEX(ELM,DY612,4)&gt;=$AB617,INDEX(ELM,DY612,5)&gt;=$S611,INDEX(ELM,DY612,6)&gt;=$R611),1,0)</f>
        <v>#N/A</v>
      </c>
      <c r="EA612" s="4" t="e">
        <f t="shared" ref="EA612" ca="1" si="11343">MATCH(1,OFFSET(DZ611:DZ622,EB611,0,COUNT(DZ611:DZ622)-EB611),0)</f>
        <v>#REF!</v>
      </c>
      <c r="EB612" s="4" t="e">
        <f t="shared" ref="EB612:EB622" ca="1" si="11344">EA612+EB611</f>
        <v>#REF!</v>
      </c>
      <c r="EC612" s="692" t="str">
        <f ca="1">IFERROR(VLOOKUP(INDEX(DY611:DY622,EB612),ELM,2,FALSE),"----")</f>
        <v>----</v>
      </c>
      <c r="ED612" s="691" t="e">
        <f t="shared" ref="ED612:ED622" ca="1" si="11345">ED611-1</f>
        <v>#N/A</v>
      </c>
      <c r="EE612" s="4" t="e">
        <f ca="1">IF(LEFT($J611,7)="Clad Wo",IF(AND(INDEX(SPPWS,ED612,4)&gt;=$AB617,INDEX(SPPWS,ED612,5)&gt;=$S611,INDEX(SPPWS,ED612,6)&gt;=$R611),1,0),IF(AND(INDEX(SPM,ED612,4)&gt;=$AB617,INDEX(SPM,ED612,5)&gt;=$S611,INDEX(SPM,ED612,6)&gt;=$R611),1,0))</f>
        <v>#N/A</v>
      </c>
      <c r="EF612" s="4" t="e">
        <f t="shared" ref="EF612" ca="1" si="11346">MATCH(1,OFFSET(EE611:EE622,EG611,0,COUNT(EE611:EE622)-EG611),0)</f>
        <v>#REF!</v>
      </c>
      <c r="EG612" s="4" t="e">
        <f t="shared" ref="EG612:EG622" ca="1" si="11347">EG611+EF612</f>
        <v>#REF!</v>
      </c>
      <c r="EH612" s="692" t="str">
        <f ca="1">IF(LEFT($J611,7)="Clad Wo",IFERROR(VLOOKUP(INDEX(ED611:ED622,EG612),SPPWS,2,FALSE),"----"),IFERROR(VLOOKUP(INDEX(ED611:ED622,EG612),SPM,2,FALSE),"----"))</f>
        <v>----</v>
      </c>
    </row>
    <row r="613" spans="1:138" ht="15" customHeight="1" x14ac:dyDescent="0.25">
      <c r="A613" s="1085"/>
      <c r="B613" s="925"/>
      <c r="C613" s="926"/>
      <c r="D613" s="927"/>
      <c r="E613" s="995"/>
      <c r="F613" s="996"/>
      <c r="G613" s="997"/>
      <c r="H613" s="1062"/>
      <c r="I613" s="990"/>
      <c r="J613" s="908"/>
      <c r="K613" s="909"/>
      <c r="L613" s="1002"/>
      <c r="M613" s="923"/>
      <c r="N613" s="1042"/>
      <c r="O613" s="1018"/>
      <c r="P613" s="987"/>
      <c r="Q613" s="1015"/>
      <c r="R613" s="1012"/>
      <c r="S613" s="1006"/>
      <c r="T613" s="1007"/>
      <c r="U613" s="878"/>
      <c r="V613" s="881"/>
      <c r="W613" s="884"/>
      <c r="X613" s="884"/>
      <c r="Y613" s="887"/>
      <c r="Z613" s="887"/>
      <c r="AA613" s="887"/>
      <c r="AB613" s="1081"/>
      <c r="AC613" s="1078"/>
      <c r="AD613" s="1070" t="s">
        <v>333</v>
      </c>
      <c r="AE613" s="1071"/>
      <c r="AF613" s="1052"/>
      <c r="AG613" s="1053"/>
      <c r="AH613" s="1053"/>
      <c r="AI613" s="1066"/>
      <c r="AJ613" s="1067"/>
      <c r="AK613" s="154" t="str">
        <f t="shared" ca="1" si="11298"/>
        <v/>
      </c>
      <c r="AL613" s="1039"/>
      <c r="AM613" s="344" t="str">
        <f ca="1">IFERROR(Q611/12*ROUND(VLOOKUP(AF613,OFFSET(WSM,0,1),6,FALSE),2),"")</f>
        <v/>
      </c>
      <c r="AN613" t="str">
        <f t="shared" ref="AN613:AN676" ca="1" si="11348">IF(BW613&gt;1,"Lighter Reinforcement Options Available","")</f>
        <v/>
      </c>
      <c r="AP613" s="122" t="str">
        <f t="shared" ref="AP613" si="11349">_xlfn.CONCAT(AR613,AS616)</f>
        <v/>
      </c>
      <c r="AQ613" s="683" t="str">
        <f t="shared" si="10249"/>
        <v/>
      </c>
      <c r="AR613" s="4" t="str">
        <f t="shared" si="11273"/>
        <v/>
      </c>
      <c r="AS613" s="4"/>
      <c r="AT613" s="697" t="str">
        <f>AL611</f>
        <v/>
      </c>
      <c r="AU613" s="694" t="e">
        <f t="shared" ca="1" si="10265"/>
        <v>#REF!</v>
      </c>
      <c r="AV613" s="686" t="str">
        <f ca="1">IFERROR(VLOOKUP(AU613,INDIRECT(AQ611),2,FALSE),"----")</f>
        <v>----</v>
      </c>
      <c r="AW613" s="694" t="e">
        <f t="shared" ca="1" si="11301"/>
        <v>#REF!</v>
      </c>
      <c r="AX613" s="686" t="str">
        <f ca="1">IFERROR(VLOOKUP(AW613,INDIRECT(AQ612),2,FALSE),"----")</f>
        <v>----</v>
      </c>
      <c r="AY613" s="694" t="e">
        <f t="shared" ca="1" si="11302"/>
        <v>#REF!</v>
      </c>
      <c r="AZ613" s="686" t="str">
        <f ca="1">IFERROR(VLOOKUP(AY613,INDIRECT(AQ613),2,FALSE),"----")</f>
        <v>----</v>
      </c>
      <c r="BA613" s="694" t="e">
        <f t="shared" ca="1" si="11303"/>
        <v>#REF!</v>
      </c>
      <c r="BB613" s="686" t="str">
        <f ca="1">IFERROR(VLOOKUP(BA613,INDIRECT(AQ614),2,FALSE),"----")</f>
        <v>----</v>
      </c>
      <c r="BC613" s="694" t="e">
        <f t="shared" ca="1" si="11304"/>
        <v>#REF!</v>
      </c>
      <c r="BD613" s="686" t="str">
        <f ca="1">IFERROR(VLOOKUP(BC613,INDIRECT(AQ615),2,FALSE),"----")</f>
        <v>----</v>
      </c>
      <c r="BE613" s="694" t="e">
        <f t="shared" ca="1" si="10268"/>
        <v>#REF!</v>
      </c>
      <c r="BF613" s="686" t="str">
        <f ca="1">IFERROR(VLOOKUP(BE613,INDIRECT(AQ616),2,FALSE),"----")</f>
        <v>----</v>
      </c>
      <c r="BG613" s="694" t="e">
        <f t="shared" ca="1" si="10269"/>
        <v>#REF!</v>
      </c>
      <c r="BH613" s="686" t="str">
        <f ca="1">IFERROR(VLOOKUP(BG613,INDIRECT(AQ617),2,FALSE),"----")</f>
        <v>----</v>
      </c>
      <c r="BI613" s="694" t="e">
        <f t="shared" ca="1" si="11307"/>
        <v>#REF!</v>
      </c>
      <c r="BJ613" s="686" t="str">
        <f ca="1">IFERROR(VLOOKUP(BI613,INDIRECT(AQ618),2,FALSE),"----")</f>
        <v>----</v>
      </c>
      <c r="BK613" s="694" t="e">
        <f t="shared" ca="1" si="11308"/>
        <v>#REF!</v>
      </c>
      <c r="BL613" s="686" t="str">
        <f ca="1">IFERROR(VLOOKUP(BK613,INDIRECT(AQ619),2,FALSE),"----")</f>
        <v>----</v>
      </c>
      <c r="BM613" s="694" t="e">
        <f t="shared" ca="1" si="11309"/>
        <v>#REF!</v>
      </c>
      <c r="BN613" s="686" t="str">
        <f ca="1">IFERROR(VLOOKUP(BM613,INDIRECT(AQ620),2,FALSE),"----")</f>
        <v>----</v>
      </c>
      <c r="BO613" s="694" t="e">
        <f t="shared" ca="1" si="11310"/>
        <v>#REF!</v>
      </c>
      <c r="BP613" s="686" t="str">
        <f ca="1">IFERROR(VLOOKUP(BO613,INDIRECT(AQ621),2,FALSE),"----")</f>
        <v>----</v>
      </c>
      <c r="BQ613" s="694" t="e">
        <f t="shared" ca="1" si="10274"/>
        <v>#REF!</v>
      </c>
      <c r="BR613" s="686" t="str">
        <f ca="1">IFERROR(VLOOKUP(BQ613,INDIRECT(AQ622),2,FALSE),"----")</f>
        <v>----</v>
      </c>
      <c r="BS613" s="695">
        <f>IF(AI613="",1,IF(COUNTIF(AZ611:AZ622,AI613)=0,2,1))</f>
        <v>1</v>
      </c>
      <c r="BT613" s="696">
        <f>IF(AF613="",1,IF(AZ611=".",2,1))</f>
        <v>1</v>
      </c>
      <c r="BU613" s="706"/>
      <c r="BV613" s="155">
        <f ca="1">IF(COUNTIF(CO611:CO622,AF613)=0,IF(AF613&lt;&gt;"",0,1),1)</f>
        <v>1</v>
      </c>
      <c r="BW613" s="157">
        <f ca="1">IFERROR(MATCH(AF613,CO611:CO622,0),1)</f>
        <v>1</v>
      </c>
      <c r="BX613" s="769"/>
      <c r="BY613" s="769"/>
      <c r="BZ613" s="1110"/>
      <c r="CA613" s="691" t="e">
        <f t="shared" ca="1" si="11312"/>
        <v>#REF!</v>
      </c>
      <c r="CB613" s="4" t="e" cm="1">
        <f t="array" aca="1" ref="CB613" ca="1">IF(AND(INDEX(INDIRECT(BY611),CA613,4)&gt;=$AB611,INDEX(INDIRECT(BY611),CA613,5)&gt;=$S611,INDEX(INDIRECT(BY611),CA613,6)&gt;=$R611),1,0)</f>
        <v>#REF!</v>
      </c>
      <c r="CC613" s="4" t="e">
        <f t="shared" ref="CC613" ca="1" si="11350">MATCH(1,OFFSET(CB611:CB622,CD612,0,COUNT(CB611:CB622)-CD612),0)</f>
        <v>#REF!</v>
      </c>
      <c r="CD613" s="4" t="e">
        <f t="shared" ca="1" si="11314"/>
        <v>#REF!</v>
      </c>
      <c r="CE613" s="692" t="str" cm="1">
        <f t="array" aca="1" ref="CE613" ca="1">IFERROR(VLOOKUP(INDEX(CA611:CA622,CD613),INDIRECT(BY611),2,FALSE),"----")</f>
        <v>----</v>
      </c>
      <c r="CF613" s="691" t="e">
        <f t="shared" ca="1" si="11315"/>
        <v>#N/A</v>
      </c>
      <c r="CG613" s="4" t="e">
        <f ca="1">IF(AND(INDEX(SSM,CF613,4)&gt;=$AB611,INDEX(SSM,CF613,5)&gt;=$S611,INDEX(SSM,CF613,6)&gt;=$R611),1,0)</f>
        <v>#N/A</v>
      </c>
      <c r="CH613" s="4" t="e">
        <f t="shared" ref="CH613" ca="1" si="11351">MATCH(1,OFFSET(CG611:CG622,CI612,0,COUNT(CG611:CG622)-CI612),0)</f>
        <v>#REF!</v>
      </c>
      <c r="CI613" s="4" t="e">
        <f t="shared" ca="1" si="11317"/>
        <v>#REF!</v>
      </c>
      <c r="CJ613" s="692" t="str">
        <f ca="1">IFERROR(IF(AD612="Nested Steel Stud (wood infill)",VLOOKUP(INDEX(CF611:CF622,CI613),SSW,2,FALSE),VLOOKUP(INDEX(CF611:CF622,CI613),SSM,2,FALSE)),"----")</f>
        <v>----</v>
      </c>
      <c r="CK613" s="691" t="e">
        <f t="shared" ca="1" si="11318"/>
        <v>#N/A</v>
      </c>
      <c r="CL613" s="4" t="e">
        <f ca="1">IF(AND(INDEX(WSM,CK613,4)&gt;=$AB611,INDEX(WSM,CK613,5)&gt;=$S611,INDEX(WSM,CK613,6)&gt;=$R611),1,0)</f>
        <v>#N/A</v>
      </c>
      <c r="CM613" s="4" t="e">
        <f t="shared" ref="CM613" ca="1" si="11352">MATCH(1,OFFSET(CL611:CL622,CN612,0,COUNT(CL611:CL622)-CN612),0)</f>
        <v>#REF!</v>
      </c>
      <c r="CN613" s="4" t="e">
        <f t="shared" ca="1" si="11320"/>
        <v>#REF!</v>
      </c>
      <c r="CO613" s="692" t="str">
        <f ca="1">IFERROR(VLOOKUP(INDEX(CK611:CK622,CN613),WSM,2,FALSE),"----")</f>
        <v>----</v>
      </c>
      <c r="CP613" s="691" t="e">
        <f t="shared" ca="1" si="11321"/>
        <v>#N/A</v>
      </c>
      <c r="CQ613" s="4" t="e">
        <f ca="1">IF(AND(INDEX(STM,CP613,4)&gt;=$AB611,INDEX(STM,CP613,5)&gt;=$S611,INDEX(STM,CP613,6)&gt;=$R611),1,0)</f>
        <v>#N/A</v>
      </c>
      <c r="CR613" s="4" t="e">
        <f t="shared" ref="CR613" ca="1" si="11353">MATCH(1,OFFSET(CQ611:CQ622,CS612,0,COUNT(CQ611:CQ622)-CS612),0)</f>
        <v>#REF!</v>
      </c>
      <c r="CS613" s="4" t="e">
        <f t="shared" ca="1" si="11323"/>
        <v>#REF!</v>
      </c>
      <c r="CT613" s="692" t="str">
        <f ca="1">IFERROR(VLOOKUP(INDEX(CP611:CP622,CS613),STM,2,FALSE),"----")</f>
        <v>----</v>
      </c>
      <c r="CU613" s="691" t="e">
        <f t="shared" ca="1" si="11324"/>
        <v>#N/A</v>
      </c>
      <c r="CV613" s="4" t="e">
        <f ca="1">IF(AND(INDEX(ELM,CU613,4)&gt;=$AB611,INDEX(ELM,CU613,5)&gt;=$S611,INDEX(ELM,CU613,6)&gt;=$R611),1,0)</f>
        <v>#N/A</v>
      </c>
      <c r="CW613" s="4" t="e">
        <f t="shared" ref="CW613" ca="1" si="11354">MATCH(1,OFFSET(CV611:CV622,CX612,0,COUNT(CV611:CV622)-CX612),0)</f>
        <v>#REF!</v>
      </c>
      <c r="CX613" s="4" t="e">
        <f t="shared" ca="1" si="11326"/>
        <v>#REF!</v>
      </c>
      <c r="CY613" s="692" t="str">
        <f ca="1">IFERROR(VLOOKUP(INDEX(CU611:CU622,CX613),ELM,2,FALSE),"----")</f>
        <v>----</v>
      </c>
      <c r="CZ613" s="691" t="e">
        <f t="shared" ca="1" si="11327"/>
        <v>#N/A</v>
      </c>
      <c r="DA613" s="4" t="e">
        <f ca="1">IF(LEFT($J611,7)="Clad Wo",IF(AND(INDEX(SPPWS,CZ613,4)&gt;=$AB611,INDEX(SPPWS,CZ613,5)&gt;=$S611,INDEX(SPPWS,CZ613,6)&gt;=$R611),1,0),IF(AND(INDEX(SPM,CZ613,4)&gt;=$AB611,INDEX(SPM,CZ613,5)&gt;=$S611,INDEX(SPM,CZ613,6)&gt;=$R611),1,0))</f>
        <v>#N/A</v>
      </c>
      <c r="DB613" s="4" t="e">
        <f t="shared" ref="DB613" ca="1" si="11355">MATCH(1,OFFSET(DA611:DA622,DC612,0,COUNT(DA611:DA622)-DC612),0)</f>
        <v>#REF!</v>
      </c>
      <c r="DC613" s="4" t="e">
        <f t="shared" ca="1" si="11329"/>
        <v>#REF!</v>
      </c>
      <c r="DD613" s="693" t="str">
        <f ca="1">IF(LEFT($J611,7)="Clad Wo",IFERROR(VLOOKUP(INDEX(CZ611:CZ622,DC613),SPPWS,2,FALSE),"----"),IFERROR(VLOOKUP(INDEX(CZ611:CZ622,DC613),SPM,2,FALSE),"----"))</f>
        <v>----</v>
      </c>
      <c r="DE613" s="691" t="e">
        <f t="shared" ca="1" si="11330"/>
        <v>#REF!</v>
      </c>
      <c r="DF613" s="4" t="e" cm="1">
        <f t="array" aca="1" ref="DF613" ca="1">IF(AND(INDEX(INDIRECT(BY611),DE613,4)&gt;=$AB617,INDEX(INDIRECT(BY611),DE613,5)&gt;=$S611,INDEX(INDIRECT(BY611),DE613,6)&gt;=$R611),1,0)</f>
        <v>#REF!</v>
      </c>
      <c r="DG613" s="4" t="e">
        <f t="shared" ref="DG613" ca="1" si="11356">MATCH(1,OFFSET(DF611:DF622,DH612,0,COUNT(DF611:DF622)-DH612),0)</f>
        <v>#REF!</v>
      </c>
      <c r="DH613" s="4" t="e">
        <f t="shared" ca="1" si="11332"/>
        <v>#REF!</v>
      </c>
      <c r="DI613" s="692" t="str" cm="1">
        <f t="array" aca="1" ref="DI613" ca="1">IFERROR(VLOOKUP(INDEX(DE611:DE622,DH613),INDIRECT(BY611),2,FALSE),"----")</f>
        <v>----</v>
      </c>
      <c r="DJ613" s="691" t="e">
        <f t="shared" ca="1" si="11333"/>
        <v>#N/A</v>
      </c>
      <c r="DK613" s="4" t="e">
        <f ca="1">IF(AND(INDEX(SSM,DJ613,4)&gt;=$AB617,INDEX(SSM,DJ613,5)&gt;=$S611,INDEX(SSM,DJ613,6)&gt;=$R611),1,0)</f>
        <v>#N/A</v>
      </c>
      <c r="DL613" s="4" t="e">
        <f t="shared" ref="DL613" ca="1" si="11357">MATCH(1,OFFSET(DK611:DK622,DM612,0,COUNT(DK611:DK622)-DM612),0)</f>
        <v>#REF!</v>
      </c>
      <c r="DM613" s="4" t="e">
        <f t="shared" ca="1" si="11335"/>
        <v>#REF!</v>
      </c>
      <c r="DN613" s="692" t="str">
        <f ca="1">IFERROR(IF(AD618="Nested Steel Stud (wood infill)",VLOOKUP(INDEX(DJ611:DJ622,DM613),SSW,2,FALSE),VLOOKUP(INDEX(DJ611:DJ622,DM613),SSM,2,FALSE)),"----")</f>
        <v>----</v>
      </c>
      <c r="DO613" s="691" t="e">
        <f t="shared" ca="1" si="11336"/>
        <v>#N/A</v>
      </c>
      <c r="DP613" s="4" t="e">
        <f ca="1">IF(AND(INDEX(WSM,DO613,4)&gt;=$AB617,INDEX(WSM,DO613,5)&gt;=$S611,INDEX(WSM,DO613,6)&gt;=$R611),1,0)</f>
        <v>#N/A</v>
      </c>
      <c r="DQ613" s="4" t="e">
        <f t="shared" ref="DQ613" ca="1" si="11358">MATCH(1,OFFSET(DP611:DP622,DR612,0,COUNT(DP611:DP622)-DR612),0)</f>
        <v>#REF!</v>
      </c>
      <c r="DR613" s="4" t="e">
        <f t="shared" ca="1" si="11338"/>
        <v>#REF!</v>
      </c>
      <c r="DS613" s="692" t="str">
        <f ca="1">IFERROR(VLOOKUP(INDEX(DO611:DO622,DR613),WSM,2,FALSE),"----")</f>
        <v>----</v>
      </c>
      <c r="DT613" s="691" t="e">
        <f t="shared" ca="1" si="11339"/>
        <v>#N/A</v>
      </c>
      <c r="DU613" s="4" t="e">
        <f ca="1">IF(AND(INDEX(STM,DT613,4)&gt;=$AB617,INDEX(STM,DT613,5)&gt;=$S611,INDEX(STM,DT613,6)&gt;=$R611),1,0)</f>
        <v>#N/A</v>
      </c>
      <c r="DV613" s="4" t="e">
        <f t="shared" ref="DV613" ca="1" si="11359">MATCH(1,OFFSET(DU611:DU622,DW612,0,COUNT(DU611:DU622)-DW612),0)</f>
        <v>#REF!</v>
      </c>
      <c r="DW613" s="4" t="e">
        <f t="shared" ca="1" si="11341"/>
        <v>#REF!</v>
      </c>
      <c r="DX613" s="692" t="str">
        <f ca="1">IFERROR(VLOOKUP(INDEX(DT611:DT622,DW613),STM,2,FALSE),"----")</f>
        <v>----</v>
      </c>
      <c r="DY613" s="691" t="e">
        <f t="shared" ca="1" si="11342"/>
        <v>#N/A</v>
      </c>
      <c r="DZ613" s="4" t="e">
        <f ca="1">IF(AND(INDEX(ELM,DY613,4)&gt;=$AB617,INDEX(ELM,DY613,5)&gt;=$S611,INDEX(ELM,DY613,6)&gt;=$R611),1,0)</f>
        <v>#N/A</v>
      </c>
      <c r="EA613" s="4" t="e">
        <f t="shared" ref="EA613" ca="1" si="11360">MATCH(1,OFFSET(DZ611:DZ622,EB612,0,COUNT(DZ611:DZ622)-EB612),0)</f>
        <v>#REF!</v>
      </c>
      <c r="EB613" s="4" t="e">
        <f t="shared" ca="1" si="11344"/>
        <v>#REF!</v>
      </c>
      <c r="EC613" s="692" t="str">
        <f ca="1">IFERROR(VLOOKUP(INDEX(DY611:DY622,EB613),ELM,2,FALSE),"----")</f>
        <v>----</v>
      </c>
      <c r="ED613" s="691" t="e">
        <f t="shared" ca="1" si="11345"/>
        <v>#N/A</v>
      </c>
      <c r="EE613" s="4" t="e">
        <f ca="1">IF(LEFT($J611,7)="Clad Wo",IF(AND(INDEX(SPPWS,ED613,4)&gt;=$AB617,INDEX(SPPWS,ED613,5)&gt;=$S611,INDEX(SPPWS,ED613,6)&gt;=$R611),1,0),IF(AND(INDEX(SPM,ED613,4)&gt;=$AB617,INDEX(SPM,ED613,5)&gt;=$S611,INDEX(SPM,ED613,6)&gt;=$R611),1,0))</f>
        <v>#N/A</v>
      </c>
      <c r="EF613" s="4" t="e">
        <f t="shared" ref="EF613" ca="1" si="11361">MATCH(1,OFFSET(EE611:EE622,EG612,0,COUNT(EE611:EE622)-EG612),0)</f>
        <v>#REF!</v>
      </c>
      <c r="EG613" s="4" t="e">
        <f t="shared" ca="1" si="11347"/>
        <v>#REF!</v>
      </c>
      <c r="EH613" s="692" t="str">
        <f ca="1">IF(LEFT($J611,7)="Clad Wo",IFERROR(VLOOKUP(INDEX(ED611:ED622,EG613),SPPWS,2,FALSE),"----"),IFERROR(VLOOKUP(INDEX(ED611:ED622,EG613),SPM,2,FALSE),"----"))</f>
        <v>----</v>
      </c>
    </row>
    <row r="614" spans="1:138" ht="15" customHeight="1" x14ac:dyDescent="0.25">
      <c r="A614" s="1085"/>
      <c r="B614" s="925"/>
      <c r="C614" s="926"/>
      <c r="D614" s="927"/>
      <c r="E614" s="995"/>
      <c r="F614" s="996"/>
      <c r="G614" s="997"/>
      <c r="H614" s="1062"/>
      <c r="I614" s="990"/>
      <c r="J614" s="908"/>
      <c r="K614" s="909"/>
      <c r="L614" s="1002"/>
      <c r="M614" s="923"/>
      <c r="N614" s="1042"/>
      <c r="O614" s="1018"/>
      <c r="P614" s="987"/>
      <c r="Q614" s="1015"/>
      <c r="R614" s="1012"/>
      <c r="S614" s="1006"/>
      <c r="T614" s="1007"/>
      <c r="U614" s="878"/>
      <c r="V614" s="881"/>
      <c r="W614" s="884"/>
      <c r="X614" s="884"/>
      <c r="Y614" s="887"/>
      <c r="Z614" s="887"/>
      <c r="AA614" s="887"/>
      <c r="AB614" s="1081"/>
      <c r="AC614" s="1078"/>
      <c r="AD614" s="1070" t="s">
        <v>37</v>
      </c>
      <c r="AE614" s="1071"/>
      <c r="AF614" s="1052"/>
      <c r="AG614" s="1053"/>
      <c r="AH614" s="1053"/>
      <c r="AI614" s="1066"/>
      <c r="AJ614" s="1067"/>
      <c r="AK614" s="156" t="str">
        <f t="shared" ca="1" si="11298"/>
        <v/>
      </c>
      <c r="AL614" s="1039"/>
      <c r="AM614" s="343" t="str">
        <f ca="1">IFERROR(Q611/12*ROUND(VLOOKUP(AF614,OFFSET(STM,0,1),6,FALSE),2),"")</f>
        <v/>
      </c>
      <c r="AN614" t="str">
        <f t="shared" ca="1" si="11348"/>
        <v/>
      </c>
      <c r="AP614" s="122" t="str">
        <f t="shared" ref="AP614" si="11362">_xlfn.CONCAT(AR614,AS616)</f>
        <v/>
      </c>
      <c r="AQ614" s="683" t="str">
        <f t="shared" si="10249"/>
        <v/>
      </c>
      <c r="AR614" s="4" t="str">
        <f t="shared" si="11273"/>
        <v/>
      </c>
      <c r="AS614" s="4"/>
      <c r="AT614" s="697" t="str">
        <f>AL611</f>
        <v/>
      </c>
      <c r="AU614" s="694" t="e">
        <f t="shared" ca="1" si="10265"/>
        <v>#REF!</v>
      </c>
      <c r="AV614" s="686" t="str">
        <f ca="1">IFERROR(VLOOKUP(AU614,INDIRECT(AQ611),2,FALSE),"----")</f>
        <v>----</v>
      </c>
      <c r="AW614" s="694" t="e">
        <f t="shared" ca="1" si="10266"/>
        <v>#REF!</v>
      </c>
      <c r="AX614" s="686" t="str">
        <f ca="1">IFERROR(VLOOKUP(AW614,INDIRECT(AQ612),2,FALSE),"----")</f>
        <v>----</v>
      </c>
      <c r="AY614" s="694" t="e">
        <f t="shared" ref="AY614" ca="1" si="11363">AY613-1</f>
        <v>#REF!</v>
      </c>
      <c r="AZ614" s="686" t="str">
        <f ca="1">IFERROR(VLOOKUP(AY614,INDIRECT(AQ613),2,FALSE),"----")</f>
        <v>----</v>
      </c>
      <c r="BA614" s="694" t="e">
        <f t="shared" ref="BA614" ca="1" si="11364">BA613-1</f>
        <v>#REF!</v>
      </c>
      <c r="BB614" s="686" t="str">
        <f ca="1">IFERROR(VLOOKUP(BA614,INDIRECT(AQ614),2,FALSE),"----")</f>
        <v>----</v>
      </c>
      <c r="BC614" s="694" t="e">
        <f t="shared" ca="1" si="10267"/>
        <v>#REF!</v>
      </c>
      <c r="BD614" s="686" t="str">
        <f ca="1">IFERROR(VLOOKUP(BC614,INDIRECT(AQ615),2,FALSE),"----")</f>
        <v>----</v>
      </c>
      <c r="BE614" s="694" t="e">
        <f t="shared" ca="1" si="10268"/>
        <v>#REF!</v>
      </c>
      <c r="BF614" s="686" t="str">
        <f ca="1">IFERROR(VLOOKUP(BE614,INDIRECT(AQ616),2,FALSE),"----")</f>
        <v>----</v>
      </c>
      <c r="BG614" s="694" t="e">
        <f t="shared" ca="1" si="10269"/>
        <v>#REF!</v>
      </c>
      <c r="BH614" s="686" t="str">
        <f ca="1">IFERROR(VLOOKUP(BG614,INDIRECT(AQ617),2,FALSE),"----")</f>
        <v>----</v>
      </c>
      <c r="BI614" s="694" t="e">
        <f t="shared" ca="1" si="10270"/>
        <v>#REF!</v>
      </c>
      <c r="BJ614" s="686" t="str">
        <f ca="1">IFERROR(VLOOKUP(BI614,INDIRECT(AQ618),2,FALSE),"----")</f>
        <v>----</v>
      </c>
      <c r="BK614" s="694" t="e">
        <f t="shared" ca="1" si="10271"/>
        <v>#REF!</v>
      </c>
      <c r="BL614" s="686" t="str">
        <f ca="1">IFERROR(VLOOKUP(BK614,INDIRECT(AQ619),2,FALSE),"----")</f>
        <v>----</v>
      </c>
      <c r="BM614" s="694" t="e">
        <f t="shared" ca="1" si="10272"/>
        <v>#REF!</v>
      </c>
      <c r="BN614" s="686" t="str">
        <f ca="1">IFERROR(VLOOKUP(BM614,INDIRECT(AQ620),2,FALSE),"----")</f>
        <v>----</v>
      </c>
      <c r="BO614" s="694" t="e">
        <f t="shared" ca="1" si="10273"/>
        <v>#REF!</v>
      </c>
      <c r="BP614" s="686" t="str">
        <f ca="1">IFERROR(VLOOKUP(BO614,INDIRECT(AQ621),2,FALSE),"----")</f>
        <v>----</v>
      </c>
      <c r="BQ614" s="694" t="e">
        <f t="shared" ca="1" si="10274"/>
        <v>#REF!</v>
      </c>
      <c r="BR614" s="686" t="str">
        <f ca="1">IFERROR(VLOOKUP(BQ614,INDIRECT(AQ622),2,FALSE),"----")</f>
        <v>----</v>
      </c>
      <c r="BS614" s="695">
        <f>IF(AI614="",1,IF(COUNTIF(BB611:BB622,AI614)=0,2,1))</f>
        <v>1</v>
      </c>
      <c r="BT614" s="696">
        <f>IF(AF614="",1,IF(BB611=".",2,1))</f>
        <v>1</v>
      </c>
      <c r="BU614" s="706"/>
      <c r="BV614" s="155">
        <f ca="1">IF(COUNTIF(CT611:CT622,AF614)=0,IF(AF614&lt;&gt;"",0,1),1)</f>
        <v>1</v>
      </c>
      <c r="BW614" s="157">
        <f ca="1">IFERROR(MATCH(AF614,CT611:CT622,0),1)</f>
        <v>1</v>
      </c>
      <c r="BX614" s="769"/>
      <c r="BY614" s="769"/>
      <c r="BZ614" s="1110"/>
      <c r="CA614" s="691" t="e">
        <f t="shared" ca="1" si="11312"/>
        <v>#REF!</v>
      </c>
      <c r="CB614" s="4" t="e" cm="1">
        <f t="array" aca="1" ref="CB614" ca="1">IF(AND(INDEX(INDIRECT(BY611),CA614,4)&gt;=$AB611,INDEX(INDIRECT(BY611),CA614,5)&gt;=$S611,INDEX(INDIRECT(BY611),CA614,6)&gt;=$R611),1,0)</f>
        <v>#REF!</v>
      </c>
      <c r="CC614" s="4" t="e">
        <f t="shared" ref="CC614" ca="1" si="11365">MATCH(1,OFFSET(CB611:CB622,CD613,0,COUNT(CB611:CB622)-CD613),0)</f>
        <v>#REF!</v>
      </c>
      <c r="CD614" s="4" t="e">
        <f t="shared" ca="1" si="11314"/>
        <v>#REF!</v>
      </c>
      <c r="CE614" s="692" t="str" cm="1">
        <f t="array" aca="1" ref="CE614" ca="1">IFERROR(VLOOKUP(INDEX(CA611:CA622,CD614),INDIRECT(BY611),2,FALSE),"----")</f>
        <v>----</v>
      </c>
      <c r="CF614" s="691" t="e">
        <f t="shared" ca="1" si="11315"/>
        <v>#N/A</v>
      </c>
      <c r="CG614" s="4" t="e">
        <f ca="1">IF(AND(INDEX(SSM,CF614,4)&gt;=$AB611,INDEX(SSM,CF614,5)&gt;=$S611,INDEX(SSM,CF614,6)&gt;=$R611),1,0)</f>
        <v>#N/A</v>
      </c>
      <c r="CH614" s="4" t="e">
        <f t="shared" ref="CH614" ca="1" si="11366">MATCH(1,OFFSET(CG611:CG622,CI613,0,COUNT(CG611:CG622)-CI613),0)</f>
        <v>#REF!</v>
      </c>
      <c r="CI614" s="4" t="e">
        <f t="shared" ca="1" si="11317"/>
        <v>#REF!</v>
      </c>
      <c r="CJ614" s="692" t="str">
        <f ca="1">IFERROR(IF(AD612="Nested Steel Stud (wood infill)",VLOOKUP(INDEX(CF611:CF622,CI614),SSW,2,FALSE),VLOOKUP(INDEX(CF611:CF622,CI614),SSM,2,FALSE)),"----")</f>
        <v>----</v>
      </c>
      <c r="CK614" s="691" t="e">
        <f t="shared" ca="1" si="11318"/>
        <v>#N/A</v>
      </c>
      <c r="CL614" s="4" t="e">
        <f ca="1">IF(AND(INDEX(WSM,CK614,4)&gt;=$AB611,INDEX(WSM,CK614,5)&gt;=$S611,INDEX(WSM,CK614,6)&gt;=$R611),1,0)</f>
        <v>#N/A</v>
      </c>
      <c r="CM614" s="4" t="e">
        <f t="shared" ref="CM614" ca="1" si="11367">MATCH(1,OFFSET(CL611:CL622,CN613,0,COUNT(CL611:CL622)-CN613),0)</f>
        <v>#REF!</v>
      </c>
      <c r="CN614" s="4" t="e">
        <f t="shared" ca="1" si="11320"/>
        <v>#REF!</v>
      </c>
      <c r="CO614" s="692" t="str">
        <f ca="1">IFERROR(VLOOKUP(INDEX(CK611:CK622,CN614),WSM,2,FALSE),"----")</f>
        <v>----</v>
      </c>
      <c r="CP614" s="691" t="e">
        <f t="shared" ca="1" si="11321"/>
        <v>#N/A</v>
      </c>
      <c r="CQ614" s="4" t="e">
        <f ca="1">IF(AND(INDEX(STM,CP614,4)&gt;=$AB611,INDEX(STM,CP614,5)&gt;=$S611,INDEX(STM,CP614,6)&gt;=$R611),1,0)</f>
        <v>#N/A</v>
      </c>
      <c r="CR614" s="4" t="e">
        <f t="shared" ref="CR614" ca="1" si="11368">MATCH(1,OFFSET(CQ611:CQ622,CS613,0,COUNT(CQ611:CQ622)-CS613),0)</f>
        <v>#REF!</v>
      </c>
      <c r="CS614" s="4" t="e">
        <f t="shared" ca="1" si="11323"/>
        <v>#REF!</v>
      </c>
      <c r="CT614" s="692" t="str">
        <f ca="1">IFERROR(VLOOKUP(INDEX(CP611:CP622,CS614),STM,2,FALSE),"----")</f>
        <v>----</v>
      </c>
      <c r="CU614" s="691" t="e">
        <f t="shared" ca="1" si="11324"/>
        <v>#N/A</v>
      </c>
      <c r="CV614" s="4" t="e">
        <f ca="1">IF(AND(INDEX(ELM,CU614,4)&gt;=$AB611,INDEX(ELM,CU614,5)&gt;=$S611,INDEX(ELM,CU614,6)&gt;=$R611),1,0)</f>
        <v>#N/A</v>
      </c>
      <c r="CW614" s="4" t="e">
        <f t="shared" ref="CW614" ca="1" si="11369">MATCH(1,OFFSET(CV611:CV622,CX613,0,COUNT(CV611:CV622)-CX613),0)</f>
        <v>#REF!</v>
      </c>
      <c r="CX614" s="4" t="e">
        <f t="shared" ca="1" si="11326"/>
        <v>#REF!</v>
      </c>
      <c r="CY614" s="692" t="str">
        <f ca="1">IFERROR(VLOOKUP(INDEX(CU611:CU622,CX614),ELM,2,FALSE),"----")</f>
        <v>----</v>
      </c>
      <c r="CZ614" s="691" t="e">
        <f t="shared" ca="1" si="11327"/>
        <v>#N/A</v>
      </c>
      <c r="DA614" s="4" t="e">
        <f ca="1">IF(LEFT($J611,7)="Clad Wo",IF(AND(INDEX(SPPWS,CZ614,4)&gt;=$AB611,INDEX(SPPWS,CZ614,5)&gt;=$S611,INDEX(SPPWS,CZ614,6)&gt;=$R611),1,0),IF(AND(INDEX(SPM,CZ614,4)&gt;=$AB611,INDEX(SPM,CZ614,5)&gt;=$S611,INDEX(SPM,CZ614,6)&gt;=$R611),1,0))</f>
        <v>#N/A</v>
      </c>
      <c r="DB614" s="4" t="e">
        <f t="shared" ref="DB614" ca="1" si="11370">MATCH(1,OFFSET(DA611:DA622,DC613,0,COUNT(DA611:DA622)-DC613),0)</f>
        <v>#REF!</v>
      </c>
      <c r="DC614" s="4" t="e">
        <f t="shared" ca="1" si="11329"/>
        <v>#REF!</v>
      </c>
      <c r="DD614" s="693" t="str">
        <f ca="1">IF(LEFT($J611,7)="Clad Wo",IFERROR(VLOOKUP(INDEX(CZ611:CZ622,DC614),SPPWS,2,FALSE),"----"),IFERROR(VLOOKUP(INDEX(CZ611:CZ622,DC614),SPM,2,FALSE),"----"))</f>
        <v>----</v>
      </c>
      <c r="DE614" s="691" t="e">
        <f t="shared" ca="1" si="11330"/>
        <v>#REF!</v>
      </c>
      <c r="DF614" s="4" t="e" cm="1">
        <f t="array" aca="1" ref="DF614" ca="1">IF(AND(INDEX(INDIRECT(BY611),DE614,4)&gt;=$AB617,INDEX(INDIRECT(BY611),DE614,5)&gt;=$S611,INDEX(INDIRECT(BY611),DE614,6)&gt;=$R611),1,0)</f>
        <v>#REF!</v>
      </c>
      <c r="DG614" s="4" t="e">
        <f t="shared" ref="DG614" ca="1" si="11371">MATCH(1,OFFSET(DF611:DF622,DH613,0,COUNT(DF611:DF622)-DH613),0)</f>
        <v>#REF!</v>
      </c>
      <c r="DH614" s="4" t="e">
        <f t="shared" ca="1" si="11332"/>
        <v>#REF!</v>
      </c>
      <c r="DI614" s="692" t="str" cm="1">
        <f t="array" aca="1" ref="DI614" ca="1">IFERROR(VLOOKUP(INDEX(DE611:DE622,DH614),INDIRECT(BY611),2,FALSE),"----")</f>
        <v>----</v>
      </c>
      <c r="DJ614" s="691" t="e">
        <f t="shared" ca="1" si="11333"/>
        <v>#N/A</v>
      </c>
      <c r="DK614" s="4" t="e">
        <f ca="1">IF(AND(INDEX(SSM,DJ614,4)&gt;=$AB617,INDEX(SSM,DJ614,5)&gt;=$S611,INDEX(SSM,DJ614,6)&gt;=$R611),1,0)</f>
        <v>#N/A</v>
      </c>
      <c r="DL614" s="4" t="e">
        <f t="shared" ref="DL614" ca="1" si="11372">MATCH(1,OFFSET(DK611:DK622,DM613,0,COUNT(DK611:DK622)-DM613),0)</f>
        <v>#REF!</v>
      </c>
      <c r="DM614" s="4" t="e">
        <f t="shared" ca="1" si="11335"/>
        <v>#REF!</v>
      </c>
      <c r="DN614" s="692" t="str">
        <f ca="1">IFERROR(IF(AD618="Nested Steel Stud (wood infill)",VLOOKUP(INDEX(DJ611:DJ622,DM614),SSW,2,FALSE),VLOOKUP(INDEX(DJ611:DJ622,DM614),SSM,2,FALSE)),"----")</f>
        <v>----</v>
      </c>
      <c r="DO614" s="691" t="e">
        <f t="shared" ca="1" si="11336"/>
        <v>#N/A</v>
      </c>
      <c r="DP614" s="4" t="e">
        <f ca="1">IF(AND(INDEX(WSM,DO614,4)&gt;=$AB617,INDEX(WSM,DO614,5)&gt;=$S611,INDEX(WSM,DO614,6)&gt;=$R611),1,0)</f>
        <v>#N/A</v>
      </c>
      <c r="DQ614" s="4" t="e">
        <f t="shared" ref="DQ614" ca="1" si="11373">MATCH(1,OFFSET(DP611:DP622,DR613,0,COUNT(DP611:DP622)-DR613),0)</f>
        <v>#REF!</v>
      </c>
      <c r="DR614" s="4" t="e">
        <f t="shared" ca="1" si="11338"/>
        <v>#REF!</v>
      </c>
      <c r="DS614" s="692" t="str">
        <f ca="1">IFERROR(VLOOKUP(INDEX(DO611:DO622,DR614),WSM,2,FALSE),"----")</f>
        <v>----</v>
      </c>
      <c r="DT614" s="691" t="e">
        <f t="shared" ca="1" si="11339"/>
        <v>#N/A</v>
      </c>
      <c r="DU614" s="4" t="e">
        <f ca="1">IF(AND(INDEX(STM,DT614,4)&gt;=$AB617,INDEX(STM,DT614,5)&gt;=$S611,INDEX(STM,DT614,6)&gt;=$R611),1,0)</f>
        <v>#N/A</v>
      </c>
      <c r="DV614" s="4" t="e">
        <f t="shared" ref="DV614" ca="1" si="11374">MATCH(1,OFFSET(DU611:DU622,DW613,0,COUNT(DU611:DU622)-DW613),0)</f>
        <v>#REF!</v>
      </c>
      <c r="DW614" s="4" t="e">
        <f t="shared" ca="1" si="11341"/>
        <v>#REF!</v>
      </c>
      <c r="DX614" s="692" t="str">
        <f ca="1">IFERROR(VLOOKUP(INDEX(DT611:DT622,DW614),STM,2,FALSE),"----")</f>
        <v>----</v>
      </c>
      <c r="DY614" s="691" t="e">
        <f t="shared" ca="1" si="11342"/>
        <v>#N/A</v>
      </c>
      <c r="DZ614" s="4" t="e">
        <f ca="1">IF(AND(INDEX(ELM,DY614,4)&gt;=$AB617,INDEX(ELM,DY614,5)&gt;=$S611,INDEX(ELM,DY614,6)&gt;=$R611),1,0)</f>
        <v>#N/A</v>
      </c>
      <c r="EA614" s="4" t="e">
        <f t="shared" ref="EA614" ca="1" si="11375">MATCH(1,OFFSET(DZ611:DZ622,EB613,0,COUNT(DZ611:DZ622)-EB613),0)</f>
        <v>#REF!</v>
      </c>
      <c r="EB614" s="4" t="e">
        <f t="shared" ca="1" si="11344"/>
        <v>#REF!</v>
      </c>
      <c r="EC614" s="692" t="str">
        <f ca="1">IFERROR(VLOOKUP(INDEX(DY611:DY622,EB614),ELM,2,FALSE),"----")</f>
        <v>----</v>
      </c>
      <c r="ED614" s="691" t="e">
        <f t="shared" ca="1" si="11345"/>
        <v>#N/A</v>
      </c>
      <c r="EE614" s="4" t="e">
        <f ca="1">IF(LEFT($J611,7)="Clad Wo",IF(AND(INDEX(SPPWS,ED614,4)&gt;=$AB617,INDEX(SPPWS,ED614,5)&gt;=$S611,INDEX(SPPWS,ED614,6)&gt;=$R611),1,0),IF(AND(INDEX(SPM,ED614,4)&gt;=$AB617,INDEX(SPM,ED614,5)&gt;=$S611,INDEX(SPM,ED614,6)&gt;=$R611),1,0))</f>
        <v>#N/A</v>
      </c>
      <c r="EF614" s="4" t="e">
        <f t="shared" ref="EF614" ca="1" si="11376">MATCH(1,OFFSET(EE611:EE622,EG613,0,COUNT(EE611:EE622)-EG613),0)</f>
        <v>#REF!</v>
      </c>
      <c r="EG614" s="4" t="e">
        <f t="shared" ca="1" si="11347"/>
        <v>#REF!</v>
      </c>
      <c r="EH614" s="692" t="str">
        <f ca="1">IF(LEFT($J611,7)="Clad Wo",IFERROR(VLOOKUP(INDEX(ED611:ED622,EG614),SPPWS,2,FALSE),"----"),IFERROR(VLOOKUP(INDEX(ED611:ED622,EG614),SPM,2,FALSE),"----"))</f>
        <v>----</v>
      </c>
    </row>
    <row r="615" spans="1:138" ht="15" customHeight="1" x14ac:dyDescent="0.25">
      <c r="A615" s="1085"/>
      <c r="B615" s="925"/>
      <c r="C615" s="926"/>
      <c r="D615" s="927"/>
      <c r="E615" s="995"/>
      <c r="F615" s="996"/>
      <c r="G615" s="997"/>
      <c r="H615" s="1062"/>
      <c r="I615" s="990"/>
      <c r="J615" s="910"/>
      <c r="K615" s="911"/>
      <c r="L615" s="1002"/>
      <c r="M615" s="923"/>
      <c r="N615" s="1042"/>
      <c r="O615" s="1018"/>
      <c r="P615" s="987"/>
      <c r="Q615" s="1015"/>
      <c r="R615" s="1012"/>
      <c r="S615" s="1006"/>
      <c r="T615" s="1007"/>
      <c r="U615" s="878"/>
      <c r="V615" s="881"/>
      <c r="W615" s="884"/>
      <c r="X615" s="884"/>
      <c r="Y615" s="887"/>
      <c r="Z615" s="887"/>
      <c r="AA615" s="887"/>
      <c r="AB615" s="1081"/>
      <c r="AC615" s="1078"/>
      <c r="AD615" s="1070" t="s">
        <v>39</v>
      </c>
      <c r="AE615" s="1071"/>
      <c r="AF615" s="1052"/>
      <c r="AG615" s="1053"/>
      <c r="AH615" s="1053"/>
      <c r="AI615" s="1068"/>
      <c r="AJ615" s="1069"/>
      <c r="AK615" s="154" t="str">
        <f t="shared" ca="1" si="11298"/>
        <v/>
      </c>
      <c r="AL615" s="1039"/>
      <c r="AM615" s="344" t="str">
        <f ca="1">IFERROR(Q611/12*ROUND(VLOOKUP(AF615,OFFSET(ELM,0,1),6,FALSE),2),"")</f>
        <v/>
      </c>
      <c r="AN615" t="str">
        <f t="shared" ca="1" si="11348"/>
        <v/>
      </c>
      <c r="AP615" s="122" t="str">
        <f t="shared" ref="AP615" si="11377">_xlfn.CONCAT(AR615,AS616)</f>
        <v/>
      </c>
      <c r="AQ615" s="683" t="str">
        <f t="shared" si="10249"/>
        <v/>
      </c>
      <c r="AR615" s="4" t="str">
        <f t="shared" si="11273"/>
        <v/>
      </c>
      <c r="AS615" s="4"/>
      <c r="AT615" s="697" t="str">
        <f>AL611</f>
        <v/>
      </c>
      <c r="AU615" s="694" t="e">
        <f t="shared" ca="1" si="10265"/>
        <v>#REF!</v>
      </c>
      <c r="AV615" s="698" t="str">
        <f ca="1">IFERROR(VLOOKUP(AU615,INDIRECT(AQ611),2,FALSE),"----")</f>
        <v>----</v>
      </c>
      <c r="AW615" s="694" t="e">
        <f t="shared" ca="1" si="10266"/>
        <v>#REF!</v>
      </c>
      <c r="AX615" s="698" t="str">
        <f ca="1">IFERROR(VLOOKUP(AW615,INDIRECT(AQ612),2,FALSE),"----")</f>
        <v>----</v>
      </c>
      <c r="AY615" s="694" t="e">
        <f t="shared" ref="AY615" ca="1" si="11378">AY614-1</f>
        <v>#REF!</v>
      </c>
      <c r="AZ615" s="698" t="str">
        <f ca="1">IFERROR(VLOOKUP(AY615,INDIRECT(AQ613),2,FALSE),"----")</f>
        <v>----</v>
      </c>
      <c r="BA615" s="694" t="e">
        <f t="shared" ref="BA615" ca="1" si="11379">BA614-1</f>
        <v>#REF!</v>
      </c>
      <c r="BB615" s="698" t="str">
        <f ca="1">IFERROR(VLOOKUP(BA615,INDIRECT(AQ614),2,FALSE),"----")</f>
        <v>----</v>
      </c>
      <c r="BC615" s="694" t="e">
        <f t="shared" ca="1" si="10267"/>
        <v>#REF!</v>
      </c>
      <c r="BD615" s="698" t="str">
        <f ca="1">IFERROR(VLOOKUP(BC615,INDIRECT(AQ615),2,FALSE),"----")</f>
        <v>----</v>
      </c>
      <c r="BE615" s="694" t="e">
        <f t="shared" ca="1" si="10268"/>
        <v>#REF!</v>
      </c>
      <c r="BF615" s="698" t="str">
        <f ca="1">IFERROR(VLOOKUP(BE615,INDIRECT(AQ616),2,FALSE),"----")</f>
        <v>----</v>
      </c>
      <c r="BG615" s="694" t="e">
        <f t="shared" ca="1" si="10269"/>
        <v>#REF!</v>
      </c>
      <c r="BH615" s="686" t="str">
        <f ca="1">IFERROR(VLOOKUP(BG615,INDIRECT(AQ617),2,FALSE),"----")</f>
        <v>----</v>
      </c>
      <c r="BI615" s="694" t="e">
        <f t="shared" ca="1" si="10270"/>
        <v>#REF!</v>
      </c>
      <c r="BJ615" s="686" t="str">
        <f ca="1">IFERROR(VLOOKUP(BI615,INDIRECT(AQ618),2,FALSE),"----")</f>
        <v>----</v>
      </c>
      <c r="BK615" s="694" t="e">
        <f t="shared" ca="1" si="10271"/>
        <v>#REF!</v>
      </c>
      <c r="BL615" s="686" t="str">
        <f ca="1">IFERROR(VLOOKUP(BK615,INDIRECT(AQ619),2,FALSE),"----")</f>
        <v>----</v>
      </c>
      <c r="BM615" s="694" t="e">
        <f t="shared" ca="1" si="10272"/>
        <v>#REF!</v>
      </c>
      <c r="BN615" s="686" t="str">
        <f ca="1">IFERROR(VLOOKUP(BM615,INDIRECT(AQ620),2,FALSE),"----")</f>
        <v>----</v>
      </c>
      <c r="BO615" s="694" t="e">
        <f t="shared" ca="1" si="10273"/>
        <v>#REF!</v>
      </c>
      <c r="BP615" s="686" t="str">
        <f ca="1">IFERROR(VLOOKUP(BO615,INDIRECT(AQ621),2,FALSE),"----")</f>
        <v>----</v>
      </c>
      <c r="BQ615" s="694" t="e">
        <f t="shared" ca="1" si="10274"/>
        <v>#REF!</v>
      </c>
      <c r="BR615" s="686" t="str">
        <f ca="1">IFERROR(VLOOKUP(BQ615,INDIRECT(AQ622),2,FALSE),"----")</f>
        <v>----</v>
      </c>
      <c r="BS615" s="695">
        <f>IF(AI615="",1,IF(COUNTIF(BD611:BD622,AI615)=0,2,1))</f>
        <v>1</v>
      </c>
      <c r="BT615" s="696">
        <f>IF(AF615="",1,IF(BD611=".",2,1))</f>
        <v>1</v>
      </c>
      <c r="BU615" s="706"/>
      <c r="BV615" s="155">
        <f ca="1">IF(COUNTIF(CY611:CY622,AF615)=0,IF(AF615&lt;&gt;"",0,1),1)</f>
        <v>1</v>
      </c>
      <c r="BW615" s="157">
        <f ca="1">IFERROR(MATCH(AF615,CY611:CY622,0),1)</f>
        <v>1</v>
      </c>
      <c r="BX615" s="769"/>
      <c r="BY615" s="769"/>
      <c r="BZ615" s="1110"/>
      <c r="CA615" s="691" t="e">
        <f t="shared" ca="1" si="11312"/>
        <v>#REF!</v>
      </c>
      <c r="CB615" s="4" t="e" cm="1">
        <f t="array" aca="1" ref="CB615" ca="1">IF(AND(INDEX(INDIRECT(BY611),CA615,4)&gt;=$AB611,INDEX(INDIRECT(BY611),CA615,5)&gt;=$S611,INDEX(INDIRECT(BY611),CA615,6)&gt;=$R611),1,0)</f>
        <v>#REF!</v>
      </c>
      <c r="CC615" s="4" t="e">
        <f t="shared" ref="CC615" ca="1" si="11380">MATCH(1,OFFSET(CB611:CB622,CD614,0,COUNT(CB611:CB622)-CD614),0)</f>
        <v>#REF!</v>
      </c>
      <c r="CD615" s="4" t="e">
        <f t="shared" ca="1" si="11314"/>
        <v>#REF!</v>
      </c>
      <c r="CE615" s="692" t="str" cm="1">
        <f t="array" aca="1" ref="CE615" ca="1">IFERROR(VLOOKUP(INDEX(CA611:CA622,CD615),INDIRECT(BY611),2,FALSE),"----")</f>
        <v>----</v>
      </c>
      <c r="CF615" s="691" t="e">
        <f t="shared" ca="1" si="11315"/>
        <v>#N/A</v>
      </c>
      <c r="CG615" s="4" t="e">
        <f ca="1">IF(AND(INDEX(SSM,CF615,4)&gt;=$AB611,INDEX(SSM,CF615,5)&gt;=$S611,INDEX(SSM,CF615,6)&gt;=$R611),1,0)</f>
        <v>#N/A</v>
      </c>
      <c r="CH615" s="4" t="e">
        <f t="shared" ref="CH615" ca="1" si="11381">MATCH(1,OFFSET(CG611:CG622,CI614,0,COUNT(CG611:CG622)-CI614),0)</f>
        <v>#REF!</v>
      </c>
      <c r="CI615" s="4" t="e">
        <f t="shared" ca="1" si="11317"/>
        <v>#REF!</v>
      </c>
      <c r="CJ615" s="692" t="str">
        <f ca="1">IFERROR(IF(AD612="Nested Steel Stud (wood infill)",VLOOKUP(INDEX(CF611:CF622,CI615),SSW,2,FALSE),VLOOKUP(INDEX(CF611:CF622,CI615),SSM,2,FALSE)),"----")</f>
        <v>----</v>
      </c>
      <c r="CK615" s="691" t="e">
        <f t="shared" ca="1" si="11318"/>
        <v>#N/A</v>
      </c>
      <c r="CL615" s="4" t="e">
        <f ca="1">IF(AND(INDEX(WSM,CK615,4)&gt;=$AB611,INDEX(WSM,CK615,5)&gt;=$S611,INDEX(WSM,CK615,6)&gt;=$R611),1,0)</f>
        <v>#N/A</v>
      </c>
      <c r="CM615" s="4" t="e">
        <f t="shared" ref="CM615" ca="1" si="11382">MATCH(1,OFFSET(CL611:CL622,CN614,0,COUNT(CL611:CL622)-CN614),0)</f>
        <v>#REF!</v>
      </c>
      <c r="CN615" s="4" t="e">
        <f t="shared" ca="1" si="11320"/>
        <v>#REF!</v>
      </c>
      <c r="CO615" s="692" t="str">
        <f ca="1">IFERROR(VLOOKUP(INDEX(CK611:CK622,CN615),WSM,2,FALSE),"----")</f>
        <v>----</v>
      </c>
      <c r="CP615" s="691" t="e">
        <f t="shared" ca="1" si="11321"/>
        <v>#N/A</v>
      </c>
      <c r="CQ615" s="4" t="e">
        <f ca="1">IF(AND(INDEX(STM,CP615,4)&gt;=$AB611,INDEX(STM,CP615,5)&gt;=$S611,INDEX(STM,CP615,6)&gt;=$R611),1,0)</f>
        <v>#N/A</v>
      </c>
      <c r="CR615" s="4" t="e">
        <f t="shared" ref="CR615" ca="1" si="11383">MATCH(1,OFFSET(CQ611:CQ622,CS614,0,COUNT(CQ611:CQ622)-CS614),0)</f>
        <v>#REF!</v>
      </c>
      <c r="CS615" s="4" t="e">
        <f t="shared" ca="1" si="11323"/>
        <v>#REF!</v>
      </c>
      <c r="CT615" s="692" t="str">
        <f ca="1">IFERROR(VLOOKUP(INDEX(CP611:CP622,CS615),STM,2,FALSE),"----")</f>
        <v>----</v>
      </c>
      <c r="CU615" s="691" t="e">
        <f t="shared" ca="1" si="11324"/>
        <v>#N/A</v>
      </c>
      <c r="CV615" s="4" t="e">
        <f ca="1">IF(AND(INDEX(ELM,CU615,4)&gt;=$AB611,INDEX(ELM,CU615,5)&gt;=$S611,INDEX(ELM,CU615,6)&gt;=$R611),1,0)</f>
        <v>#N/A</v>
      </c>
      <c r="CW615" s="4" t="e">
        <f t="shared" ref="CW615" ca="1" si="11384">MATCH(1,OFFSET(CV611:CV622,CX614,0,COUNT(CV611:CV622)-CX614),0)</f>
        <v>#REF!</v>
      </c>
      <c r="CX615" s="4" t="e">
        <f t="shared" ca="1" si="11326"/>
        <v>#REF!</v>
      </c>
      <c r="CY615" s="692" t="str">
        <f ca="1">IFERROR(VLOOKUP(INDEX(CU611:CU622,CX615),ELM,2,FALSE),"----")</f>
        <v>----</v>
      </c>
      <c r="CZ615" s="691" t="e">
        <f t="shared" ca="1" si="11327"/>
        <v>#N/A</v>
      </c>
      <c r="DA615" s="4" t="e">
        <f ca="1">IF(LEFT($J611,7)="Clad Wo",IF(AND(INDEX(SPPWS,CZ615,4)&gt;=$AB611,INDEX(SPPWS,CZ615,5)&gt;=$S611,INDEX(SPPWS,CZ615,6)&gt;=$R611),1,0),IF(AND(INDEX(SPM,CZ615,4)&gt;=$AB611,INDEX(SPM,CZ615,5)&gt;=$S611,INDEX(SPM,CZ615,6)&gt;=$R611),1,0))</f>
        <v>#N/A</v>
      </c>
      <c r="DB615" s="4" t="e">
        <f t="shared" ref="DB615" ca="1" si="11385">MATCH(1,OFFSET(DA611:DA622,DC614,0,COUNT(DA611:DA622)-DC614),0)</f>
        <v>#REF!</v>
      </c>
      <c r="DC615" s="4" t="e">
        <f t="shared" ca="1" si="11329"/>
        <v>#REF!</v>
      </c>
      <c r="DD615" s="693" t="str">
        <f ca="1">IF(LEFT($J611,7)="Clad Wo",IFERROR(VLOOKUP(INDEX(CZ611:CZ622,DC615),SPPWS,2,FALSE),"----"),IFERROR(VLOOKUP(INDEX(CZ611:CZ622,DC615),SPM,2,FALSE),"----"))</f>
        <v>----</v>
      </c>
      <c r="DE615" s="691" t="e">
        <f t="shared" ca="1" si="11330"/>
        <v>#REF!</v>
      </c>
      <c r="DF615" s="4" t="e" cm="1">
        <f t="array" aca="1" ref="DF615" ca="1">IF(AND(INDEX(INDIRECT(BY611),DE615,4)&gt;=$AB617,INDEX(INDIRECT(BY611),DE615,5)&gt;=$S611,INDEX(INDIRECT(BY611),DE615,6)&gt;=$R611),1,0)</f>
        <v>#REF!</v>
      </c>
      <c r="DG615" s="4" t="e">
        <f t="shared" ref="DG615" ca="1" si="11386">MATCH(1,OFFSET(DF611:DF622,DH614,0,COUNT(DF611:DF622)-DH614),0)</f>
        <v>#REF!</v>
      </c>
      <c r="DH615" s="4" t="e">
        <f t="shared" ca="1" si="11332"/>
        <v>#REF!</v>
      </c>
      <c r="DI615" s="692" t="str" cm="1">
        <f t="array" aca="1" ref="DI615" ca="1">IFERROR(VLOOKUP(INDEX(DE611:DE622,DH615),INDIRECT(BY611),2,FALSE),"----")</f>
        <v>----</v>
      </c>
      <c r="DJ615" s="691" t="e">
        <f t="shared" ca="1" si="11333"/>
        <v>#N/A</v>
      </c>
      <c r="DK615" s="4" t="e">
        <f ca="1">IF(AND(INDEX(SSM,DJ615,4)&gt;=$AB617,INDEX(SSM,DJ615,5)&gt;=$S611,INDEX(SSM,DJ615,6)&gt;=$R611),1,0)</f>
        <v>#N/A</v>
      </c>
      <c r="DL615" s="4" t="e">
        <f t="shared" ref="DL615" ca="1" si="11387">MATCH(1,OFFSET(DK611:DK622,DM614,0,COUNT(DK611:DK622)-DM614),0)</f>
        <v>#REF!</v>
      </c>
      <c r="DM615" s="4" t="e">
        <f t="shared" ca="1" si="11335"/>
        <v>#REF!</v>
      </c>
      <c r="DN615" s="692" t="str">
        <f ca="1">IFERROR(IF(AD618="Nested Steel Stud (wood infill)",VLOOKUP(INDEX(DJ611:DJ622,DM615),SSW,2,FALSE),VLOOKUP(INDEX(DJ611:DJ622,DM615),SSM,2,FALSE)),"----")</f>
        <v>----</v>
      </c>
      <c r="DO615" s="691" t="e">
        <f t="shared" ca="1" si="11336"/>
        <v>#N/A</v>
      </c>
      <c r="DP615" s="4" t="e">
        <f ca="1">IF(AND(INDEX(WSM,DO615,4)&gt;=$AB617,INDEX(WSM,DO615,5)&gt;=$S611,INDEX(WSM,DO615,6)&gt;=$R611),1,0)</f>
        <v>#N/A</v>
      </c>
      <c r="DQ615" s="4" t="e">
        <f t="shared" ref="DQ615" ca="1" si="11388">MATCH(1,OFFSET(DP611:DP622,DR614,0,COUNT(DP611:DP622)-DR614),0)</f>
        <v>#REF!</v>
      </c>
      <c r="DR615" s="4" t="e">
        <f t="shared" ca="1" si="11338"/>
        <v>#REF!</v>
      </c>
      <c r="DS615" s="692" t="str">
        <f ca="1">IFERROR(VLOOKUP(INDEX(DO611:DO622,DR615),WSM,2,FALSE),"----")</f>
        <v>----</v>
      </c>
      <c r="DT615" s="691" t="e">
        <f t="shared" ca="1" si="11339"/>
        <v>#N/A</v>
      </c>
      <c r="DU615" s="4" t="e">
        <f ca="1">IF(AND(INDEX(STM,DT615,4)&gt;=$AB617,INDEX(STM,DT615,5)&gt;=$S611,INDEX(STM,DT615,6)&gt;=$R611),1,0)</f>
        <v>#N/A</v>
      </c>
      <c r="DV615" s="4" t="e">
        <f t="shared" ref="DV615" ca="1" si="11389">MATCH(1,OFFSET(DU611:DU622,DW614,0,COUNT(DU611:DU622)-DW614),0)</f>
        <v>#REF!</v>
      </c>
      <c r="DW615" s="4" t="e">
        <f t="shared" ca="1" si="11341"/>
        <v>#REF!</v>
      </c>
      <c r="DX615" s="692" t="str">
        <f ca="1">IFERROR(VLOOKUP(INDEX(DT611:DT622,DW615),STM,2,FALSE),"----")</f>
        <v>----</v>
      </c>
      <c r="DY615" s="691" t="e">
        <f t="shared" ca="1" si="11342"/>
        <v>#N/A</v>
      </c>
      <c r="DZ615" s="4" t="e">
        <f ca="1">IF(AND(INDEX(ELM,DY615,4)&gt;=$AB617,INDEX(ELM,DY615,5)&gt;=$S611,INDEX(ELM,DY615,6)&gt;=$R611),1,0)</f>
        <v>#N/A</v>
      </c>
      <c r="EA615" s="4" t="e">
        <f t="shared" ref="EA615" ca="1" si="11390">MATCH(1,OFFSET(DZ611:DZ622,EB614,0,COUNT(DZ611:DZ622)-EB614),0)</f>
        <v>#REF!</v>
      </c>
      <c r="EB615" s="4" t="e">
        <f t="shared" ca="1" si="11344"/>
        <v>#REF!</v>
      </c>
      <c r="EC615" s="692" t="str">
        <f ca="1">IFERROR(VLOOKUP(INDEX(DY611:DY622,EB615),ELM,2,FALSE),"----")</f>
        <v>----</v>
      </c>
      <c r="ED615" s="691" t="e">
        <f t="shared" ca="1" si="11345"/>
        <v>#N/A</v>
      </c>
      <c r="EE615" s="4" t="e">
        <f ca="1">IF(LEFT($J611,7)="Clad Wo",IF(AND(INDEX(SPPWS,ED615,4)&gt;=$AB617,INDEX(SPPWS,ED615,5)&gt;=$S611,INDEX(SPPWS,ED615,6)&gt;=$R611),1,0),IF(AND(INDEX(SPM,ED615,4)&gt;=$AB617,INDEX(SPM,ED615,5)&gt;=$S611,INDEX(SPM,ED615,6)&gt;=$R611),1,0))</f>
        <v>#N/A</v>
      </c>
      <c r="EF615" s="4" t="e">
        <f t="shared" ref="EF615" ca="1" si="11391">MATCH(1,OFFSET(EE611:EE622,EG614,0,COUNT(EE611:EE622)-EG614),0)</f>
        <v>#REF!</v>
      </c>
      <c r="EG615" s="4" t="e">
        <f t="shared" ca="1" si="11347"/>
        <v>#REF!</v>
      </c>
      <c r="EH615" s="692" t="str">
        <f ca="1">IF(LEFT($J611,7)="Clad Wo",IFERROR(VLOOKUP(INDEX(ED611:ED622,EG615),SPPWS,2,FALSE),"----"),IFERROR(VLOOKUP(INDEX(ED611:ED622,EG615),SPM,2,FALSE),"----"))</f>
        <v>----</v>
      </c>
    </row>
    <row r="616" spans="1:138" ht="15" customHeight="1" thickBot="1" x14ac:dyDescent="0.3">
      <c r="A616" s="1085"/>
      <c r="B616" s="934"/>
      <c r="C616" s="935"/>
      <c r="D616" s="936"/>
      <c r="E616" s="995"/>
      <c r="F616" s="996"/>
      <c r="G616" s="997"/>
      <c r="H616" s="1062"/>
      <c r="I616" s="990"/>
      <c r="J616" s="908"/>
      <c r="K616" s="909"/>
      <c r="L616" s="1010"/>
      <c r="M616" s="924"/>
      <c r="N616" s="1044"/>
      <c r="O616" s="1018"/>
      <c r="P616" s="987"/>
      <c r="Q616" s="1015"/>
      <c r="R616" s="1012"/>
      <c r="S616" s="1006"/>
      <c r="T616" s="1007"/>
      <c r="U616" s="878"/>
      <c r="V616" s="881"/>
      <c r="W616" s="889"/>
      <c r="X616" s="884"/>
      <c r="Y616" s="890"/>
      <c r="Z616" s="890"/>
      <c r="AA616" s="887"/>
      <c r="AB616" s="1084"/>
      <c r="AC616" s="1079"/>
      <c r="AD616" s="1072" t="str">
        <f t="shared" ref="AD616" si="11392">IF(LEFT(J611,7)="Clad Wo","Pella Wood Spr / Steel Pte","Steel Plate")</f>
        <v>Steel Plate</v>
      </c>
      <c r="AE616" s="1073"/>
      <c r="AF616" s="1054"/>
      <c r="AG616" s="1055"/>
      <c r="AH616" s="1055"/>
      <c r="AI616" s="1092"/>
      <c r="AJ616" s="1093"/>
      <c r="AK616" s="159" t="str">
        <f t="shared" ca="1" si="11298"/>
        <v/>
      </c>
      <c r="AL616" s="1040"/>
      <c r="AM616" s="345" t="str">
        <f ca="1">IFERROR(Q611/12*ROUND(VLOOKUP(AF616,OFFSET(SPM,0,1),6,FALSE),2),"")</f>
        <v/>
      </c>
      <c r="AN616" t="str">
        <f t="shared" ca="1" si="11348"/>
        <v/>
      </c>
      <c r="AP616" s="699" t="str">
        <f t="shared" ref="AP616" si="11393">_xlfn.CONCAT(AR616,AS616)</f>
        <v/>
      </c>
      <c r="AQ616" s="700" t="str">
        <f t="shared" si="10249"/>
        <v/>
      </c>
      <c r="AR616" s="160" t="str">
        <f t="shared" si="11273"/>
        <v/>
      </c>
      <c r="AS616" s="160" t="str">
        <f>IFERROR(VLOOKUP(J619, WallType,2,FALSE),"")</f>
        <v/>
      </c>
      <c r="AT616" s="701" t="str">
        <f>AL611</f>
        <v/>
      </c>
      <c r="AU616" s="694" t="e">
        <f t="shared" ca="1" si="10265"/>
        <v>#REF!</v>
      </c>
      <c r="AV616" s="698" t="str">
        <f ca="1">IFERROR(VLOOKUP(AU616,INDIRECT(AQ611),2,FALSE),"----")</f>
        <v>----</v>
      </c>
      <c r="AW616" s="702" t="e">
        <f t="shared" ca="1" si="10266"/>
        <v>#REF!</v>
      </c>
      <c r="AX616" s="698" t="str">
        <f ca="1">IFERROR(VLOOKUP(AW616,INDIRECT(AQ612),2,FALSE),"----")</f>
        <v>----</v>
      </c>
      <c r="AY616" s="702" t="e">
        <f t="shared" ref="AY616" ca="1" si="11394">AY615-1</f>
        <v>#REF!</v>
      </c>
      <c r="AZ616" s="698" t="str">
        <f ca="1">IFERROR(VLOOKUP(AY616,INDIRECT(AQ613),2,FALSE),"----")</f>
        <v>----</v>
      </c>
      <c r="BA616" s="702" t="e">
        <f t="shared" ref="BA616" ca="1" si="11395">BA615-1</f>
        <v>#REF!</v>
      </c>
      <c r="BB616" s="698" t="str">
        <f ca="1">IFERROR(VLOOKUP(BA616,INDIRECT(AQ614),2,FALSE),"----")</f>
        <v>----</v>
      </c>
      <c r="BC616" s="702" t="e">
        <f t="shared" ca="1" si="10267"/>
        <v>#REF!</v>
      </c>
      <c r="BD616" s="698" t="str">
        <f ca="1">IFERROR(VLOOKUP(BC616,INDIRECT(AQ615),2,FALSE),"----")</f>
        <v>----</v>
      </c>
      <c r="BE616" s="702" t="e">
        <f t="shared" ca="1" si="10268"/>
        <v>#REF!</v>
      </c>
      <c r="BF616" s="698" t="str">
        <f ca="1">IFERROR(VLOOKUP(BE616,INDIRECT(AQ616),2,FALSE),"----")</f>
        <v>----</v>
      </c>
      <c r="BG616" s="702" t="e">
        <f t="shared" ca="1" si="10269"/>
        <v>#REF!</v>
      </c>
      <c r="BH616" s="686" t="str">
        <f ca="1">IFERROR(VLOOKUP(BG616,INDIRECT(AQ617),2,FALSE),"----")</f>
        <v>----</v>
      </c>
      <c r="BI616" s="702" t="e">
        <f t="shared" ca="1" si="10270"/>
        <v>#REF!</v>
      </c>
      <c r="BJ616" s="686" t="str">
        <f ca="1">IFERROR(VLOOKUP(BI616,INDIRECT(AQ618),2,FALSE),"----")</f>
        <v>----</v>
      </c>
      <c r="BK616" s="702" t="e">
        <f t="shared" ca="1" si="10271"/>
        <v>#REF!</v>
      </c>
      <c r="BL616" s="686" t="str">
        <f ca="1">IFERROR(VLOOKUP(BK616,INDIRECT(AQ619),2,FALSE),"----")</f>
        <v>----</v>
      </c>
      <c r="BM616" s="702" t="e">
        <f t="shared" ca="1" si="10272"/>
        <v>#REF!</v>
      </c>
      <c r="BN616" s="686" t="str">
        <f ca="1">IFERROR(VLOOKUP(BM616,INDIRECT(AQ620),2,FALSE),"----")</f>
        <v>----</v>
      </c>
      <c r="BO616" s="702" t="e">
        <f t="shared" ca="1" si="10273"/>
        <v>#REF!</v>
      </c>
      <c r="BP616" s="686" t="str">
        <f ca="1">IFERROR(VLOOKUP(BO616,INDIRECT(AQ621),2,FALSE),"----")</f>
        <v>----</v>
      </c>
      <c r="BQ616" s="702" t="e">
        <f t="shared" ca="1" si="10274"/>
        <v>#REF!</v>
      </c>
      <c r="BR616" s="686" t="str">
        <f ca="1">IFERROR(VLOOKUP(BQ616,INDIRECT(AQ622),2,FALSE),"----")</f>
        <v>----</v>
      </c>
      <c r="BS616" s="703">
        <f>IF(AI616="",1,IF(COUNTIF(BF611:BF622,AI616)=0,2,1))</f>
        <v>1</v>
      </c>
      <c r="BT616" s="704">
        <f>IF(AF616="",1,IF(BF611=".",2,1))</f>
        <v>1</v>
      </c>
      <c r="BV616" s="155">
        <f ca="1">IF(COUNTIF(DD611:DD622,AF616)=0,IF(AF616&lt;&gt;"",0,1),1)</f>
        <v>1</v>
      </c>
      <c r="BW616" s="157">
        <f ca="1">IFERROR(MATCH(AF616,DD611:DD622,0),1)</f>
        <v>1</v>
      </c>
      <c r="BX616" s="875" t="s">
        <v>1594</v>
      </c>
      <c r="BY616" s="876"/>
      <c r="BZ616" s="1110"/>
      <c r="CA616" s="691" t="e">
        <f t="shared" ca="1" si="11312"/>
        <v>#REF!</v>
      </c>
      <c r="CB616" s="4" t="e" cm="1">
        <f t="array" aca="1" ref="CB616" ca="1">IF(AND(INDEX(INDIRECT(BY611),CA616,4)&gt;=$AB611,INDEX(INDIRECT(BY611),CA616,5)&gt;=$S611,INDEX(INDIRECT(BY611),CA616,6)&gt;=$R611),1,0)</f>
        <v>#REF!</v>
      </c>
      <c r="CC616" s="4" t="e">
        <f t="shared" ref="CC616" ca="1" si="11396">MATCH(1,OFFSET(CB611:CB622,CD615,0,COUNT(CB611:CB622)-CD615),0)</f>
        <v>#REF!</v>
      </c>
      <c r="CD616" s="4" t="e">
        <f t="shared" ca="1" si="11314"/>
        <v>#REF!</v>
      </c>
      <c r="CE616" s="692" t="str" cm="1">
        <f t="array" aca="1" ref="CE616" ca="1">IFERROR(VLOOKUP(INDEX(CA611:CA622,CD616),INDIRECT(BY611),2,FALSE),"----")</f>
        <v>----</v>
      </c>
      <c r="CF616" s="691" t="e">
        <f t="shared" ca="1" si="11315"/>
        <v>#N/A</v>
      </c>
      <c r="CG616" s="4" t="e">
        <f ca="1">IF(AND(INDEX(SSM,CF616,4)&gt;=$AB611,INDEX(SSM,CF616,5)&gt;=$S611,INDEX(SSM,CF616,6)&gt;=$R611),1,0)</f>
        <v>#N/A</v>
      </c>
      <c r="CH616" s="4" t="e">
        <f t="shared" ref="CH616" ca="1" si="11397">MATCH(1,OFFSET(CG611:CG622,CI615,0,COUNT(CG611:CG622)-CI615),0)</f>
        <v>#REF!</v>
      </c>
      <c r="CI616" s="4" t="e">
        <f t="shared" ca="1" si="11317"/>
        <v>#REF!</v>
      </c>
      <c r="CJ616" s="692" t="str">
        <f ca="1">IFERROR(IF(AD612="Nested Steel Stud (wood infill)",VLOOKUP(INDEX(CF611:CF622,CI616),SSW,2,FALSE),VLOOKUP(INDEX(CF611:CF622,CI616),SSM,2,FALSE)),"----")</f>
        <v>----</v>
      </c>
      <c r="CK616" s="691" t="e">
        <f t="shared" ca="1" si="11318"/>
        <v>#N/A</v>
      </c>
      <c r="CL616" s="4" t="e">
        <f ca="1">IF(AND(INDEX(WSM,CK616,4)&gt;=$AB611,INDEX(WSM,CK616,5)&gt;=$S611,INDEX(WSM,CK616,6)&gt;=$R611),1,0)</f>
        <v>#N/A</v>
      </c>
      <c r="CM616" s="4" t="e">
        <f t="shared" ref="CM616" ca="1" si="11398">MATCH(1,OFFSET(CL611:CL622,CN615,0,COUNT(CL611:CL622)-CN615),0)</f>
        <v>#REF!</v>
      </c>
      <c r="CN616" s="4" t="e">
        <f t="shared" ca="1" si="11320"/>
        <v>#REF!</v>
      </c>
      <c r="CO616" s="692" t="str">
        <f ca="1">IFERROR(VLOOKUP(INDEX(CK611:CK622,CN616),WSM,2,FALSE),"----")</f>
        <v>----</v>
      </c>
      <c r="CP616" s="691" t="e">
        <f t="shared" ca="1" si="11321"/>
        <v>#N/A</v>
      </c>
      <c r="CQ616" s="4" t="e">
        <f ca="1">IF(AND(INDEX(STM,CP616,4)&gt;=$AB611,INDEX(STM,CP616,5)&gt;=$S611,INDEX(STM,CP616,6)&gt;=$R611),1,0)</f>
        <v>#N/A</v>
      </c>
      <c r="CR616" s="4" t="e">
        <f t="shared" ref="CR616" ca="1" si="11399">MATCH(1,OFFSET(CQ611:CQ622,CS615,0,COUNT(CQ611:CQ622)-CS615),0)</f>
        <v>#REF!</v>
      </c>
      <c r="CS616" s="4" t="e">
        <f t="shared" ca="1" si="11323"/>
        <v>#REF!</v>
      </c>
      <c r="CT616" s="692" t="str">
        <f ca="1">IFERROR(VLOOKUP(INDEX(CP611:CP622,CS616),STM,2,FALSE),"----")</f>
        <v>----</v>
      </c>
      <c r="CU616" s="691" t="e">
        <f t="shared" ca="1" si="11324"/>
        <v>#N/A</v>
      </c>
      <c r="CV616" s="4" t="e">
        <f ca="1">IF(AND(INDEX(ELM,CU616,4)&gt;=$AB611,INDEX(ELM,CU616,5)&gt;=$S611,INDEX(ELM,CU616,6)&gt;=$R611),1,0)</f>
        <v>#N/A</v>
      </c>
      <c r="CW616" s="4" t="e">
        <f t="shared" ref="CW616" ca="1" si="11400">MATCH(1,OFFSET(CV611:CV622,CX615,0,COUNT(CV611:CV622)-CX615),0)</f>
        <v>#REF!</v>
      </c>
      <c r="CX616" s="4" t="e">
        <f t="shared" ca="1" si="11326"/>
        <v>#REF!</v>
      </c>
      <c r="CY616" s="692" t="str">
        <f ca="1">IFERROR(VLOOKUP(INDEX(CU611:CU622,CX616),ELM,2,FALSE),"----")</f>
        <v>----</v>
      </c>
      <c r="CZ616" s="691" t="e">
        <f t="shared" ca="1" si="11327"/>
        <v>#N/A</v>
      </c>
      <c r="DA616" s="4" t="e">
        <f ca="1">IF(LEFT($J611,7)="Clad Wo",IF(AND(INDEX(SPPWS,CZ616,4)&gt;=$AB611,INDEX(SPPWS,CZ616,5)&gt;=$S611,INDEX(SPPWS,CZ616,6)&gt;=$R611),1,0),IF(AND(INDEX(SPM,CZ616,4)&gt;=$AB611,INDEX(SPM,CZ616,5)&gt;=$S611,INDEX(SPM,CZ616,6)&gt;=$R611),1,0))</f>
        <v>#N/A</v>
      </c>
      <c r="DB616" s="4" t="e">
        <f t="shared" ref="DB616" ca="1" si="11401">MATCH(1,OFFSET(DA611:DA622,DC615,0,COUNT(DA611:DA622)-DC615),0)</f>
        <v>#REF!</v>
      </c>
      <c r="DC616" s="4" t="e">
        <f t="shared" ca="1" si="11329"/>
        <v>#REF!</v>
      </c>
      <c r="DD616" s="693" t="str">
        <f ca="1">IF(LEFT($J611,7)="Clad Wo",IFERROR(VLOOKUP(INDEX(CZ611:CZ622,DC616),SPPWS,2,FALSE),"----"),IFERROR(VLOOKUP(INDEX(CZ611:CZ622,DC616),SPM,2,FALSE),"----"))</f>
        <v>----</v>
      </c>
      <c r="DE616" s="691" t="e">
        <f t="shared" ca="1" si="11330"/>
        <v>#REF!</v>
      </c>
      <c r="DF616" s="4" t="e" cm="1">
        <f t="array" aca="1" ref="DF616" ca="1">IF(AND(INDEX(INDIRECT(BY611),DE616,4)&gt;=$AB617,INDEX(INDIRECT(BY611),DE616,5)&gt;=$S611,INDEX(INDIRECT(BY611),DE616,6)&gt;=$R611),1,0)</f>
        <v>#REF!</v>
      </c>
      <c r="DG616" s="4" t="e">
        <f t="shared" ref="DG616" ca="1" si="11402">MATCH(1,OFFSET(DF611:DF622,DH615,0,COUNT(DF611:DF622)-DH615),0)</f>
        <v>#REF!</v>
      </c>
      <c r="DH616" s="4" t="e">
        <f t="shared" ca="1" si="11332"/>
        <v>#REF!</v>
      </c>
      <c r="DI616" s="692" t="str" cm="1">
        <f t="array" aca="1" ref="DI616" ca="1">IFERROR(VLOOKUP(INDEX(DE611:DE622,DH616),INDIRECT(BY611),2,FALSE),"----")</f>
        <v>----</v>
      </c>
      <c r="DJ616" s="691" t="e">
        <f t="shared" ca="1" si="11333"/>
        <v>#N/A</v>
      </c>
      <c r="DK616" s="4" t="e">
        <f ca="1">IF(AND(INDEX(SSM,DJ616,4)&gt;=$AB617,INDEX(SSM,DJ616,5)&gt;=$S611,INDEX(SSM,DJ616,6)&gt;=$R611),1,0)</f>
        <v>#N/A</v>
      </c>
      <c r="DL616" s="4" t="e">
        <f t="shared" ref="DL616" ca="1" si="11403">MATCH(1,OFFSET(DK611:DK622,DM615,0,COUNT(DK611:DK622)-DM615),0)</f>
        <v>#REF!</v>
      </c>
      <c r="DM616" s="4" t="e">
        <f t="shared" ca="1" si="11335"/>
        <v>#REF!</v>
      </c>
      <c r="DN616" s="692" t="str">
        <f ca="1">IFERROR(IF(AD618="Nested Steel Stud (wood infill)",VLOOKUP(INDEX(DJ611:DJ622,DM616),SSW,2,FALSE),VLOOKUP(INDEX(DJ611:DJ622,DM616),SSM,2,FALSE)),"----")</f>
        <v>----</v>
      </c>
      <c r="DO616" s="691" t="e">
        <f t="shared" ca="1" si="11336"/>
        <v>#N/A</v>
      </c>
      <c r="DP616" s="4" t="e">
        <f ca="1">IF(AND(INDEX(WSM,DO616,4)&gt;=$AB617,INDEX(WSM,DO616,5)&gt;=$S611,INDEX(WSM,DO616,6)&gt;=$R611),1,0)</f>
        <v>#N/A</v>
      </c>
      <c r="DQ616" s="4" t="e">
        <f t="shared" ref="DQ616" ca="1" si="11404">MATCH(1,OFFSET(DP611:DP622,DR615,0,COUNT(DP611:DP622)-DR615),0)</f>
        <v>#REF!</v>
      </c>
      <c r="DR616" s="4" t="e">
        <f t="shared" ca="1" si="11338"/>
        <v>#REF!</v>
      </c>
      <c r="DS616" s="692" t="str">
        <f ca="1">IFERROR(VLOOKUP(INDEX(DO611:DO622,DR616),WSM,2,FALSE),"----")</f>
        <v>----</v>
      </c>
      <c r="DT616" s="691" t="e">
        <f t="shared" ca="1" si="11339"/>
        <v>#N/A</v>
      </c>
      <c r="DU616" s="4" t="e">
        <f ca="1">IF(AND(INDEX(STM,DT616,4)&gt;=$AB617,INDEX(STM,DT616,5)&gt;=$S611,INDEX(STM,DT616,6)&gt;=$R611),1,0)</f>
        <v>#N/A</v>
      </c>
      <c r="DV616" s="4" t="e">
        <f t="shared" ref="DV616" ca="1" si="11405">MATCH(1,OFFSET(DU611:DU622,DW615,0,COUNT(DU611:DU622)-DW615),0)</f>
        <v>#REF!</v>
      </c>
      <c r="DW616" s="4" t="e">
        <f t="shared" ca="1" si="11341"/>
        <v>#REF!</v>
      </c>
      <c r="DX616" s="692" t="str">
        <f ca="1">IFERROR(VLOOKUP(INDEX(DT611:DT622,DW616),STM,2,FALSE),"----")</f>
        <v>----</v>
      </c>
      <c r="DY616" s="691" t="e">
        <f t="shared" ca="1" si="11342"/>
        <v>#N/A</v>
      </c>
      <c r="DZ616" s="4" t="e">
        <f ca="1">IF(AND(INDEX(ELM,DY616,4)&gt;=$AB617,INDEX(ELM,DY616,5)&gt;=$S611,INDEX(ELM,DY616,6)&gt;=$R611),1,0)</f>
        <v>#N/A</v>
      </c>
      <c r="EA616" s="4" t="e">
        <f t="shared" ref="EA616" ca="1" si="11406">MATCH(1,OFFSET(DZ611:DZ622,EB615,0,COUNT(DZ611:DZ622)-EB615),0)</f>
        <v>#REF!</v>
      </c>
      <c r="EB616" s="4" t="e">
        <f t="shared" ca="1" si="11344"/>
        <v>#REF!</v>
      </c>
      <c r="EC616" s="692" t="str">
        <f ca="1">IFERROR(VLOOKUP(INDEX(DY611:DY622,EB616),ELM,2,FALSE),"----")</f>
        <v>----</v>
      </c>
      <c r="ED616" s="691" t="e">
        <f t="shared" ca="1" si="11345"/>
        <v>#N/A</v>
      </c>
      <c r="EE616" s="4" t="e">
        <f ca="1">IF(LEFT($J611,7)="Clad Wo",IF(AND(INDEX(SPPWS,ED616,4)&gt;=$AB617,INDEX(SPPWS,ED616,5)&gt;=$S611,INDEX(SPPWS,ED616,6)&gt;=$R611),1,0),IF(AND(INDEX(SPM,ED616,4)&gt;=$AB617,INDEX(SPM,ED616,5)&gt;=$S611,INDEX(SPM,ED616,6)&gt;=$R611),1,0))</f>
        <v>#N/A</v>
      </c>
      <c r="EF616" s="4" t="e">
        <f t="shared" ref="EF616" ca="1" si="11407">MATCH(1,OFFSET(EE611:EE622,EG615,0,COUNT(EE611:EE622)-EG615),0)</f>
        <v>#REF!</v>
      </c>
      <c r="EG616" s="4" t="e">
        <f t="shared" ca="1" si="11347"/>
        <v>#REF!</v>
      </c>
      <c r="EH616" s="692" t="str">
        <f ca="1">IF(LEFT($J611,7)="Clad Wo",IFERROR(VLOOKUP(INDEX(ED611:ED622,EG616),SPPWS,2,FALSE),"----"),IFERROR(VLOOKUP(INDEX(ED611:ED622,EG616),SPM,2,FALSE),"----"))</f>
        <v>----</v>
      </c>
    </row>
    <row r="617" spans="1:138" ht="15" customHeight="1" x14ac:dyDescent="0.25">
      <c r="A617" s="1085"/>
      <c r="B617" s="925" t="s">
        <v>409</v>
      </c>
      <c r="C617" s="926"/>
      <c r="D617" s="927"/>
      <c r="E617" s="995"/>
      <c r="F617" s="996"/>
      <c r="G617" s="997"/>
      <c r="H617" s="1062"/>
      <c r="I617" s="990"/>
      <c r="J617" s="908"/>
      <c r="K617" s="909"/>
      <c r="L617" s="1001">
        <f>L611+1</f>
        <v>5</v>
      </c>
      <c r="M617" s="1064" t="str">
        <f t="shared" ref="M617" si="11408">IFERROR(IF($AE$17="",IF($AG$19="Wind Loading",MIN($V$31,IF(E$11="ASCE 7-05",$U$26,$V$7)*$V$9*(IF($E$12&lt;60,0.156*LN(MAX(MIN(500,O611),10)) -1.7618,IF($E$11="ASCE 7-22", 0.2026*LN(MAX(MIN(500,O611),20))-2.2638,0.2503*LN(MAX(MIN(500,O611),20)) -2.5526))-$V$8)),$V$7*IF(E$12&lt;60,$V$13*($V$15*(0.156*LN(MAX(MIN(500,O611),10)) -1.7618)-$V$16),$V$13*$V$15*((0.2026*LN(MAX(MIN(500,O611),20))-2.2638)-$V$16))),-ABS($AE$17)),"")</f>
        <v/>
      </c>
      <c r="N617" s="1041" t="str">
        <f t="shared" ref="N617" si="11409">IFERROR(IF($AE$19="",IF($AG$19="Wind Loading",MAX($U$31,IF(E$11="ASCE 7-05",$U$26,$V$7)*$V$9*((IF($E$12&lt;60,-0.077*LN(MAX(MIN(500,O611),10))+1.1737,IF($E$11="ASCE 7-22",-0.077*LN(MAX(MIN(500,O611),20))+1.0798,-0.093*LN(MAX(MIN(500,O611),20))+1.1776)))+$V$8)),$V$7*IF(E$12&lt;60,$V$13*($V$15*(-0.077*LN(MAX(MIN(500,O611),10))+1.1737)-$V$17),$V$13*$V$15*((-0.077*LN(MAX(MIN(500,O611),20))+1.0798)-$V$17))),ABS($AE$19)),"")</f>
        <v/>
      </c>
      <c r="O617" s="1018"/>
      <c r="P617" s="987"/>
      <c r="Q617" s="1015"/>
      <c r="R617" s="1012">
        <f>P617*Q617/8</f>
        <v>0</v>
      </c>
      <c r="S617" s="1006"/>
      <c r="T617" s="1007"/>
      <c r="U617" s="878"/>
      <c r="V617" s="881"/>
      <c r="W617" s="883" t="e">
        <f t="shared" ref="W617" si="11410">MAX(-M617,N617)*O611</f>
        <v>#VALUE!</v>
      </c>
      <c r="X617" s="884"/>
      <c r="Y617" s="886">
        <f>IFERROR(IF(AG$14="Trapezoidal",BY620,BX620)+IF($E$17="4",(400*E611^3)/(48*X611),0),0)</f>
        <v>0</v>
      </c>
      <c r="Z617" s="886" t="e">
        <f t="shared" ref="Z617" si="11411">+($V611*MAX(-$M617,$N617)*$E611^2)/(144*8)+IF($E$17=4,(400*$E611)/4,0)</f>
        <v>#VALUE!</v>
      </c>
      <c r="AA617" s="887"/>
      <c r="AB617" s="1080" t="str">
        <f t="shared" ref="AB617" ca="1" si="11412">IFERROR(Z617-AA611,"")</f>
        <v/>
      </c>
      <c r="AC617" s="1086" t="str">
        <f t="shared" ref="AC617" ca="1" si="11413">IFERROR(Y617-U611,"")</f>
        <v/>
      </c>
      <c r="AD617" s="1074" t="str">
        <f t="shared" ref="AD617" si="11414">AD611</f>
        <v/>
      </c>
      <c r="AE617" s="1075"/>
      <c r="AF617" s="1056"/>
      <c r="AG617" s="1057"/>
      <c r="AH617" s="1057"/>
      <c r="AI617" s="1088"/>
      <c r="AJ617" s="1089"/>
      <c r="AK617" s="162" t="str">
        <f t="shared" ca="1" si="11298"/>
        <v/>
      </c>
      <c r="AL617" s="1058" t="str">
        <f t="shared" ref="AL617" si="11415">IFERROR(ROUND(SQRT(P611^2+(W617/2+IF($E$17=4,200,0))^2),0),"")</f>
        <v/>
      </c>
      <c r="AM617" s="342" t="s">
        <v>669</v>
      </c>
      <c r="AN617" t="str">
        <f t="shared" ca="1" si="11348"/>
        <v/>
      </c>
      <c r="AP617" s="122" t="str">
        <f t="shared" ref="AP617" si="11416">_xlfn.CONCAT(AR617,AS622)</f>
        <v/>
      </c>
      <c r="AQ617" s="683" t="str">
        <f t="shared" si="10249"/>
        <v/>
      </c>
      <c r="AR617" s="96" t="str">
        <f t="shared" si="11273"/>
        <v/>
      </c>
      <c r="AS617" s="96" t="str">
        <f>IF(COUNTIF(imp_1,AF617)=1,"imp_1",IF(COUNTIF(imp_2,AF617)=1,"imp_2",IF(COUNTIF(imp_3,AF617)=1,"imp_3",IF(COUNTIF(impdoor,AF617)=1,"impdoor",""))))</f>
        <v/>
      </c>
      <c r="AT617" s="684" t="str">
        <f>AL617</f>
        <v/>
      </c>
      <c r="AU617" s="685" t="e">
        <f t="shared" ca="1" si="10265"/>
        <v>#REF!</v>
      </c>
      <c r="AV617" s="686" t="str">
        <f ca="1">IFERROR(VLOOKUP(AU617,INDIRECT(AQ611),2,FALSE),"----")</f>
        <v>----</v>
      </c>
      <c r="AW617" s="685" t="e">
        <f t="shared" ca="1" si="10266"/>
        <v>#REF!</v>
      </c>
      <c r="AX617" s="686" t="str">
        <f ca="1">IFERROR(VLOOKUP(AW617,INDIRECT(AQ612),2,FALSE),"----")</f>
        <v>----</v>
      </c>
      <c r="AY617" s="685" t="e">
        <f t="shared" ca="1" si="11155"/>
        <v>#REF!</v>
      </c>
      <c r="AZ617" s="686" t="str">
        <f ca="1">IFERROR(VLOOKUP(AY617,INDIRECT(AQ613),2,FALSE),"----")</f>
        <v>----</v>
      </c>
      <c r="BA617" s="685" t="e">
        <f t="shared" ca="1" si="11156"/>
        <v>#REF!</v>
      </c>
      <c r="BB617" s="686" t="str">
        <f ca="1">IFERROR(VLOOKUP(BA617,INDIRECT(AQ614),2,FALSE),"----")</f>
        <v>----</v>
      </c>
      <c r="BC617" s="685" t="e">
        <f t="shared" ca="1" si="10267"/>
        <v>#REF!</v>
      </c>
      <c r="BD617" s="686" t="str">
        <f ca="1">IFERROR(VLOOKUP(BC617,INDIRECT(AQ615),2,FALSE),"----")</f>
        <v>----</v>
      </c>
      <c r="BE617" s="685" t="e">
        <f t="shared" ca="1" si="10268"/>
        <v>#REF!</v>
      </c>
      <c r="BF617" s="686" t="str">
        <f ca="1">IFERROR(VLOOKUP(BE617,INDIRECT(AQ616),2,FALSE),"----")</f>
        <v>----</v>
      </c>
      <c r="BG617" s="702" t="e">
        <f t="shared" ca="1" si="10269"/>
        <v>#REF!</v>
      </c>
      <c r="BH617" s="686" t="str">
        <f ca="1">IFERROR(VLOOKUP(BG617,INDIRECT(AQ617),2,FALSE),"----")</f>
        <v>----</v>
      </c>
      <c r="BI617" s="702" t="e">
        <f t="shared" ca="1" si="10270"/>
        <v>#REF!</v>
      </c>
      <c r="BJ617" s="686" t="str">
        <f ca="1">IFERROR(VLOOKUP(BI617,INDIRECT(AQ618),2,FALSE),"----")</f>
        <v>----</v>
      </c>
      <c r="BK617" s="702" t="e">
        <f t="shared" ca="1" si="10271"/>
        <v>#REF!</v>
      </c>
      <c r="BL617" s="686" t="str">
        <f ca="1">IFERROR(VLOOKUP(BK617,INDIRECT(AQ619),2,FALSE),"----")</f>
        <v>----</v>
      </c>
      <c r="BM617" s="702" t="e">
        <f t="shared" ca="1" si="10272"/>
        <v>#REF!</v>
      </c>
      <c r="BN617" s="686" t="str">
        <f ca="1">IFERROR(VLOOKUP(BM617,INDIRECT(AQ620),2,FALSE),"----")</f>
        <v>----</v>
      </c>
      <c r="BO617" s="702" t="e">
        <f t="shared" ca="1" si="10273"/>
        <v>#REF!</v>
      </c>
      <c r="BP617" s="686" t="str">
        <f ca="1">IFERROR(VLOOKUP(BO617,INDIRECT(AQ621),2,FALSE),"----")</f>
        <v>----</v>
      </c>
      <c r="BQ617" s="702" t="e">
        <f t="shared" ca="1" si="10274"/>
        <v>#REF!</v>
      </c>
      <c r="BR617" s="686" t="str">
        <f ca="1">IFERROR(VLOOKUP(BQ617,INDIRECT(AQ622),2,FALSE),"----")</f>
        <v>----</v>
      </c>
      <c r="BS617" s="695">
        <f>IF(AI617="",1,IF(COUNTIF(BH611:BH622,AI617)=0,2,1))</f>
        <v>1</v>
      </c>
      <c r="BT617" s="696">
        <f>IF(AP617="1",1,IF(AF617="",1,IF(BH611=".",2,1)))</f>
        <v>1</v>
      </c>
      <c r="BU617" s="706"/>
      <c r="BV617" s="155">
        <f ca="1">IF(COUNTIF(DI611:DI622,AF617)=0,IF(AF617&lt;&gt;"",0,1),1)</f>
        <v>1</v>
      </c>
      <c r="BW617" s="157">
        <f ca="1">IFERROR(MATCH(AF617,DI611:DI622,0),1)</f>
        <v>1</v>
      </c>
      <c r="BX617" s="769" t="s">
        <v>1593</v>
      </c>
      <c r="BY617" s="769" t="s">
        <v>1629</v>
      </c>
      <c r="BZ617" s="1110"/>
      <c r="CA617" s="691" t="e">
        <f t="shared" ca="1" si="11312"/>
        <v>#REF!</v>
      </c>
      <c r="CB617" s="4" t="e" cm="1">
        <f t="array" aca="1" ref="CB617" ca="1">IF(AND(INDEX(INDIRECT(BY611),CA617,4)&gt;=$AB611,INDEX(INDIRECT(BY611),CA617,5)&gt;=$S611,INDEX(INDIRECT(BY611),CA617,6)&gt;=$R611),1,0)</f>
        <v>#REF!</v>
      </c>
      <c r="CC617" s="4" t="e">
        <f t="shared" ref="CC617" ca="1" si="11417">MATCH(1,OFFSET(CB611:CB622,CD616,0,COUNT(CB611:CB622)-CD616),0)</f>
        <v>#REF!</v>
      </c>
      <c r="CD617" s="4" t="e">
        <f t="shared" ca="1" si="11314"/>
        <v>#REF!</v>
      </c>
      <c r="CE617" s="692" t="str" cm="1">
        <f t="array" aca="1" ref="CE617" ca="1">IFERROR(VLOOKUP(INDEX(CA611:CA622,CD617),INDIRECT(BY611),2,FALSE),"----")</f>
        <v>----</v>
      </c>
      <c r="CF617" s="691" t="e">
        <f t="shared" ca="1" si="11315"/>
        <v>#N/A</v>
      </c>
      <c r="CG617" s="4" t="e">
        <f ca="1">IF(AND(INDEX(SSM,CF617,4)&gt;=$AB611,INDEX(SSM,CF617,5)&gt;=$S611,INDEX(SSM,CF617,6)&gt;=$R611),1,0)</f>
        <v>#N/A</v>
      </c>
      <c r="CH617" s="4" t="e">
        <f t="shared" ref="CH617" ca="1" si="11418">MATCH(1,OFFSET(CG611:CG622,CI616,0,COUNT(CG611:CG622)-CI616),0)</f>
        <v>#REF!</v>
      </c>
      <c r="CI617" s="4" t="e">
        <f t="shared" ca="1" si="11317"/>
        <v>#REF!</v>
      </c>
      <c r="CJ617" s="692" t="str">
        <f ca="1">IFERROR(IF(AD612="Nested Steel Stud (wood infill)",VLOOKUP(INDEX(CF611:CF622,CI617),SSW,2,FALSE),VLOOKUP(INDEX(CF611:CF622,CI617),SSM,2,FALSE)),"----")</f>
        <v>----</v>
      </c>
      <c r="CK617" s="691" t="e">
        <f t="shared" ca="1" si="11318"/>
        <v>#N/A</v>
      </c>
      <c r="CL617" s="4" t="e">
        <f ca="1">IF(AND(INDEX(WSM,CK617,4)&gt;=$AB611,INDEX(WSM,CK617,5)&gt;=$S611,INDEX(WSM,CK617,6)&gt;=$R611),1,0)</f>
        <v>#N/A</v>
      </c>
      <c r="CM617" s="4" t="e">
        <f t="shared" ref="CM617" ca="1" si="11419">MATCH(1,OFFSET(CL611:CL622,CN616,0,COUNT(CL611:CL622)-CN616),0)</f>
        <v>#REF!</v>
      </c>
      <c r="CN617" s="4" t="e">
        <f t="shared" ca="1" si="11320"/>
        <v>#REF!</v>
      </c>
      <c r="CO617" s="692" t="str">
        <f ca="1">IFERROR(VLOOKUP(INDEX(CK611:CK622,CN617),WSM,2,FALSE),"----")</f>
        <v>----</v>
      </c>
      <c r="CP617" s="691" t="e">
        <f t="shared" ca="1" si="11321"/>
        <v>#N/A</v>
      </c>
      <c r="CQ617" s="4" t="e">
        <f ca="1">IF(AND(INDEX(STM,CP617,4)&gt;=$AB611,INDEX(STM,CP617,5)&gt;=$S611,INDEX(STM,CP617,6)&gt;=$R611),1,0)</f>
        <v>#N/A</v>
      </c>
      <c r="CR617" s="4" t="e">
        <f t="shared" ref="CR617" ca="1" si="11420">MATCH(1,OFFSET(CQ611:CQ622,CS616,0,COUNT(CQ611:CQ622)-CS616),0)</f>
        <v>#REF!</v>
      </c>
      <c r="CS617" s="4" t="e">
        <f t="shared" ca="1" si="11323"/>
        <v>#REF!</v>
      </c>
      <c r="CT617" s="692" t="str">
        <f ca="1">IFERROR(VLOOKUP(INDEX(CP611:CP622,CS617),STM,2,FALSE),"----")</f>
        <v>----</v>
      </c>
      <c r="CU617" s="691" t="e">
        <f t="shared" ca="1" si="11324"/>
        <v>#N/A</v>
      </c>
      <c r="CV617" s="4" t="e">
        <f ca="1">IF(AND(INDEX(ELM,CU617,4)&gt;=$AB611,INDEX(ELM,CU617,5)&gt;=$S611,INDEX(ELM,CU617,6)&gt;=$R611),1,0)</f>
        <v>#N/A</v>
      </c>
      <c r="CW617" s="4" t="e">
        <f t="shared" ref="CW617" ca="1" si="11421">MATCH(1,OFFSET(CV611:CV622,CX616,0,COUNT(CV611:CV622)-CX616),0)</f>
        <v>#REF!</v>
      </c>
      <c r="CX617" s="4" t="e">
        <f t="shared" ca="1" si="11326"/>
        <v>#REF!</v>
      </c>
      <c r="CY617" s="692" t="str">
        <f ca="1">IFERROR(VLOOKUP(INDEX(CU611:CU622,CX617),ELM,2,FALSE),"----")</f>
        <v>----</v>
      </c>
      <c r="CZ617" s="691" t="e">
        <f t="shared" ca="1" si="11327"/>
        <v>#N/A</v>
      </c>
      <c r="DA617" s="4" t="e">
        <f ca="1">IF(LEFT($J611,7)="Clad Wo",IF(AND(INDEX(SPPWS,CZ617,4)&gt;=$AB611,INDEX(SPPWS,CZ617,5)&gt;=$S611,INDEX(SPPWS,CZ617,6)&gt;=$R611),1,0),IF(AND(INDEX(SPM,CZ617,4)&gt;=$AB611,INDEX(SPM,CZ617,5)&gt;=$S611,INDEX(SPM,CZ617,6)&gt;=$R611),1,0))</f>
        <v>#N/A</v>
      </c>
      <c r="DB617" s="4" t="e">
        <f t="shared" ref="DB617" ca="1" si="11422">MATCH(1,OFFSET(DA611:DA622,DC616,0,COUNT(DA611:DA622)-DC616),0)</f>
        <v>#REF!</v>
      </c>
      <c r="DC617" s="4" t="e">
        <f t="shared" ca="1" si="11329"/>
        <v>#REF!</v>
      </c>
      <c r="DD617" s="693" t="str">
        <f ca="1">IF(LEFT($J611,7)="Clad Wo",IFERROR(VLOOKUP(INDEX(CZ611:CZ622,DC617),SPPWS,2,FALSE),"----"),IFERROR(VLOOKUP(INDEX(CZ611:CZ622,DC617),SPM,2,FALSE),"----"))</f>
        <v>----</v>
      </c>
      <c r="DE617" s="691" t="e">
        <f t="shared" ca="1" si="11330"/>
        <v>#REF!</v>
      </c>
      <c r="DF617" s="4" t="e" cm="1">
        <f t="array" aca="1" ref="DF617" ca="1">IF(AND(INDEX(INDIRECT(BY611),DE617,4)&gt;=$AB617,INDEX(INDIRECT(BY611),DE617,5)&gt;=$S611,INDEX(INDIRECT(BY611),DE617,6)&gt;=$R611),1,0)</f>
        <v>#REF!</v>
      </c>
      <c r="DG617" s="4" t="e">
        <f t="shared" ref="DG617" ca="1" si="11423">MATCH(1,OFFSET(DF611:DF622,DH616,0,COUNT(DF611:DF622)-DH616),0)</f>
        <v>#REF!</v>
      </c>
      <c r="DH617" s="4" t="e">
        <f t="shared" ca="1" si="11332"/>
        <v>#REF!</v>
      </c>
      <c r="DI617" s="692" t="str" cm="1">
        <f t="array" aca="1" ref="DI617" ca="1">IFERROR(VLOOKUP(INDEX(DE611:DE622,DH617),INDIRECT(BY611),2,FALSE),"----")</f>
        <v>----</v>
      </c>
      <c r="DJ617" s="691" t="e">
        <f t="shared" ca="1" si="11333"/>
        <v>#N/A</v>
      </c>
      <c r="DK617" s="4" t="e">
        <f ca="1">IF(AND(INDEX(SSM,DJ617,4)&gt;=$AB617,INDEX(SSM,DJ617,5)&gt;=$S611,INDEX(SSM,DJ617,6)&gt;=$R611),1,0)</f>
        <v>#N/A</v>
      </c>
      <c r="DL617" s="4" t="e">
        <f t="shared" ref="DL617" ca="1" si="11424">MATCH(1,OFFSET(DK611:DK622,DM616,0,COUNT(DK611:DK622)-DM616),0)</f>
        <v>#REF!</v>
      </c>
      <c r="DM617" s="4" t="e">
        <f t="shared" ca="1" si="11335"/>
        <v>#REF!</v>
      </c>
      <c r="DN617" s="692" t="str">
        <f ca="1">IFERROR(IF(AD618="Nested Steel Stud (wood infill)",VLOOKUP(INDEX(DJ611:DJ622,DM617),SSW,2,FALSE),VLOOKUP(INDEX(DJ611:DJ622,DM617),SSM,2,FALSE)),"----")</f>
        <v>----</v>
      </c>
      <c r="DO617" s="691" t="e">
        <f t="shared" ca="1" si="11336"/>
        <v>#N/A</v>
      </c>
      <c r="DP617" s="4" t="e">
        <f ca="1">IF(AND(INDEX(WSM,DO617,4)&gt;=$AB617,INDEX(WSM,DO617,5)&gt;=$S611,INDEX(WSM,DO617,6)&gt;=$R611),1,0)</f>
        <v>#N/A</v>
      </c>
      <c r="DQ617" s="4" t="e">
        <f t="shared" ref="DQ617" ca="1" si="11425">MATCH(1,OFFSET(DP611:DP622,DR616,0,COUNT(DP611:DP622)-DR616),0)</f>
        <v>#REF!</v>
      </c>
      <c r="DR617" s="4" t="e">
        <f t="shared" ca="1" si="11338"/>
        <v>#REF!</v>
      </c>
      <c r="DS617" s="692" t="str">
        <f ca="1">IFERROR(VLOOKUP(INDEX(DO611:DO622,DR617),WSM,2,FALSE),"----")</f>
        <v>----</v>
      </c>
      <c r="DT617" s="691" t="e">
        <f t="shared" ca="1" si="11339"/>
        <v>#N/A</v>
      </c>
      <c r="DU617" s="4" t="e">
        <f ca="1">IF(AND(INDEX(STM,DT617,4)&gt;=$AB617,INDEX(STM,DT617,5)&gt;=$S611,INDEX(STM,DT617,6)&gt;=$R611),1,0)</f>
        <v>#N/A</v>
      </c>
      <c r="DV617" s="4" t="e">
        <f t="shared" ref="DV617" ca="1" si="11426">MATCH(1,OFFSET(DU611:DU622,DW616,0,COUNT(DU611:DU622)-DW616),0)</f>
        <v>#REF!</v>
      </c>
      <c r="DW617" s="4" t="e">
        <f t="shared" ca="1" si="11341"/>
        <v>#REF!</v>
      </c>
      <c r="DX617" s="692" t="str">
        <f ca="1">IFERROR(VLOOKUP(INDEX(DT611:DT622,DW617),STM,2,FALSE),"----")</f>
        <v>----</v>
      </c>
      <c r="DY617" s="691" t="e">
        <f t="shared" ca="1" si="11342"/>
        <v>#N/A</v>
      </c>
      <c r="DZ617" s="4" t="e">
        <f ca="1">IF(AND(INDEX(ELM,DY617,4)&gt;=$AB617,INDEX(ELM,DY617,5)&gt;=$S611,INDEX(ELM,DY617,6)&gt;=$R611),1,0)</f>
        <v>#N/A</v>
      </c>
      <c r="EA617" s="4" t="e">
        <f t="shared" ref="EA617" ca="1" si="11427">MATCH(1,OFFSET(DZ611:DZ622,EB616,0,COUNT(DZ611:DZ622)-EB616),0)</f>
        <v>#REF!</v>
      </c>
      <c r="EB617" s="4" t="e">
        <f t="shared" ca="1" si="11344"/>
        <v>#REF!</v>
      </c>
      <c r="EC617" s="692" t="str">
        <f ca="1">IFERROR(VLOOKUP(INDEX(DY611:DY622,EB617),ELM,2,FALSE),"----")</f>
        <v>----</v>
      </c>
      <c r="ED617" s="691" t="e">
        <f t="shared" ca="1" si="11345"/>
        <v>#N/A</v>
      </c>
      <c r="EE617" s="4" t="e">
        <f ca="1">IF(LEFT($J611,7)="Clad Wo",IF(AND(INDEX(SPPWS,ED617,4)&gt;=$AB617,INDEX(SPPWS,ED617,5)&gt;=$S611,INDEX(SPPWS,ED617,6)&gt;=$R611),1,0),IF(AND(INDEX(SPM,ED617,4)&gt;=$AB617,INDEX(SPM,ED617,5)&gt;=$S611,INDEX(SPM,ED617,6)&gt;=$R611),1,0))</f>
        <v>#N/A</v>
      </c>
      <c r="EF617" s="4" t="e">
        <f t="shared" ref="EF617" ca="1" si="11428">MATCH(1,OFFSET(EE611:EE622,EG616,0,COUNT(EE611:EE622)-EG616),0)</f>
        <v>#REF!</v>
      </c>
      <c r="EG617" s="4" t="e">
        <f t="shared" ca="1" si="11347"/>
        <v>#REF!</v>
      </c>
      <c r="EH617" s="692" t="str">
        <f ca="1">IF(LEFT($J611,7)="Clad Wo",IFERROR(VLOOKUP(INDEX(ED611:ED622,EG617),SPPWS,2,FALSE),"----"),IFERROR(VLOOKUP(INDEX(ED611:ED622,EG617),SPM,2,FALSE),"----"))</f>
        <v>----</v>
      </c>
    </row>
    <row r="618" spans="1:138" ht="15" customHeight="1" x14ac:dyDescent="0.25">
      <c r="A618" s="1085"/>
      <c r="B618" s="925"/>
      <c r="C618" s="926"/>
      <c r="D618" s="927"/>
      <c r="E618" s="995"/>
      <c r="F618" s="996"/>
      <c r="G618" s="997"/>
      <c r="H618" s="1062"/>
      <c r="I618" s="990"/>
      <c r="J618" s="912"/>
      <c r="K618" s="913"/>
      <c r="L618" s="1002"/>
      <c r="M618" s="923"/>
      <c r="N618" s="1042"/>
      <c r="O618" s="1018"/>
      <c r="P618" s="987"/>
      <c r="Q618" s="1015"/>
      <c r="R618" s="1012"/>
      <c r="S618" s="1006"/>
      <c r="T618" s="1007"/>
      <c r="U618" s="878"/>
      <c r="V618" s="881"/>
      <c r="W618" s="884"/>
      <c r="X618" s="884"/>
      <c r="Y618" s="887"/>
      <c r="Z618" s="887"/>
      <c r="AA618" s="887"/>
      <c r="AB618" s="1081"/>
      <c r="AC618" s="1078"/>
      <c r="AD618" s="1070" t="str">
        <f t="shared" ref="AD618" si="11429">IF(ISBLANK(AD612)=TRUE,"",AD612)</f>
        <v>Nested Steel Stud</v>
      </c>
      <c r="AE618" s="1071"/>
      <c r="AF618" s="1052"/>
      <c r="AG618" s="1053"/>
      <c r="AH618" s="1053"/>
      <c r="AI618" s="1066"/>
      <c r="AJ618" s="1067"/>
      <c r="AK618" s="156" t="str">
        <f t="shared" ca="1" si="11298"/>
        <v/>
      </c>
      <c r="AL618" s="1059"/>
      <c r="AM618" s="343" t="str">
        <f ca="1">IFERROR(Q611/12*ROUND(VLOOKUP(AF618,OFFSET(SSM,0,1),6,FALSE),2),"")</f>
        <v/>
      </c>
      <c r="AN618" t="str">
        <f t="shared" ca="1" si="11348"/>
        <v/>
      </c>
      <c r="AP618" s="122" t="str">
        <f t="shared" ref="AP618" si="11430">_xlfn.CONCAT(AR618,AS622)</f>
        <v/>
      </c>
      <c r="AQ618" s="683" t="str">
        <f t="shared" si="10249"/>
        <v/>
      </c>
      <c r="AR618" s="96" t="str">
        <f t="shared" si="11273"/>
        <v/>
      </c>
      <c r="AS618" s="96" t="str">
        <f>IF(COUNTIF(Vista_1,AF617)=1,"Vista_1",IF(COUNTIF(Vista_2,AF617)=1,"Vista_2",""))</f>
        <v/>
      </c>
      <c r="AT618" s="684" t="str">
        <f>AL617</f>
        <v/>
      </c>
      <c r="AU618" s="694" t="e">
        <f t="shared" ca="1" si="10265"/>
        <v>#REF!</v>
      </c>
      <c r="AV618" s="686" t="str">
        <f ca="1">IFERROR(VLOOKUP(AU618,INDIRECT(AQ611),2,FALSE),"----")</f>
        <v>----</v>
      </c>
      <c r="AW618" s="694" t="e">
        <f t="shared" ca="1" si="10266"/>
        <v>#REF!</v>
      </c>
      <c r="AX618" s="686" t="str">
        <f ca="1">IFERROR(VLOOKUP(AW618,INDIRECT(AQ612),2,FALSE),"----")</f>
        <v>----</v>
      </c>
      <c r="AY618" s="694" t="e">
        <f t="shared" ca="1" si="11155"/>
        <v>#REF!</v>
      </c>
      <c r="AZ618" s="686" t="str">
        <f ca="1">IFERROR(VLOOKUP(AY618,INDIRECT(AQ613),2,FALSE),"----")</f>
        <v>----</v>
      </c>
      <c r="BA618" s="694" t="e">
        <f t="shared" ca="1" si="11156"/>
        <v>#REF!</v>
      </c>
      <c r="BB618" s="686" t="str">
        <f ca="1">IFERROR(VLOOKUP(BA618,INDIRECT(AQ614),2,FALSE),"----")</f>
        <v>----</v>
      </c>
      <c r="BC618" s="694" t="e">
        <f t="shared" ca="1" si="10267"/>
        <v>#REF!</v>
      </c>
      <c r="BD618" s="686" t="str">
        <f ca="1">IFERROR(VLOOKUP(BC618,INDIRECT(AQ615),2,FALSE),"----")</f>
        <v>----</v>
      </c>
      <c r="BE618" s="694" t="e">
        <f t="shared" ca="1" si="10268"/>
        <v>#REF!</v>
      </c>
      <c r="BF618" s="686" t="str">
        <f ca="1">IFERROR(VLOOKUP(BE618,INDIRECT(AQ616),2,FALSE),"----")</f>
        <v>----</v>
      </c>
      <c r="BG618" s="702" t="e">
        <f t="shared" ca="1" si="10269"/>
        <v>#REF!</v>
      </c>
      <c r="BH618" s="686" t="str">
        <f ca="1">IFERROR(VLOOKUP(BG618,INDIRECT(AQ617),2,FALSE),"----")</f>
        <v>----</v>
      </c>
      <c r="BI618" s="702" t="e">
        <f t="shared" ca="1" si="10270"/>
        <v>#REF!</v>
      </c>
      <c r="BJ618" s="686" t="str">
        <f ca="1">IFERROR(VLOOKUP(BI618,INDIRECT(AQ618),2,FALSE),"----")</f>
        <v>----</v>
      </c>
      <c r="BK618" s="702" t="e">
        <f t="shared" ca="1" si="10271"/>
        <v>#REF!</v>
      </c>
      <c r="BL618" s="686" t="str">
        <f ca="1">IFERROR(VLOOKUP(BK618,INDIRECT(AQ619),2,FALSE),"----")</f>
        <v>----</v>
      </c>
      <c r="BM618" s="702" t="e">
        <f t="shared" ca="1" si="10272"/>
        <v>#REF!</v>
      </c>
      <c r="BN618" s="686" t="str">
        <f ca="1">IFERROR(VLOOKUP(BM618,INDIRECT(AQ620),2,FALSE),"----")</f>
        <v>----</v>
      </c>
      <c r="BO618" s="702" t="e">
        <f t="shared" ca="1" si="10273"/>
        <v>#REF!</v>
      </c>
      <c r="BP618" s="686" t="str">
        <f ca="1">IFERROR(VLOOKUP(BO618,INDIRECT(AQ621),2,FALSE),"----")</f>
        <v>----</v>
      </c>
      <c r="BQ618" s="702" t="e">
        <f t="shared" ca="1" si="10274"/>
        <v>#REF!</v>
      </c>
      <c r="BR618" s="686" t="str">
        <f ca="1">IFERROR(VLOOKUP(BQ618,INDIRECT(AQ622),2,FALSE),"----")</f>
        <v>----</v>
      </c>
      <c r="BS618" s="695">
        <f>IF(AI618="",1,IF(COUNTIF(BJ611:BJ622,AI618)=0,2,1))</f>
        <v>1</v>
      </c>
      <c r="BT618" s="696">
        <f>IF(AF618="",1,IF(BJ611=".",2,1))</f>
        <v>1</v>
      </c>
      <c r="BU618" s="706"/>
      <c r="BV618" s="155">
        <f ca="1">IF(COUNTIF(DN611:DN622,AF618)=0,IF(AF618&lt;&gt;"",0,1),1)</f>
        <v>1</v>
      </c>
      <c r="BW618" s="157">
        <f ca="1">IFERROR(MATCH(AF618,DN611:DN622,0),1)</f>
        <v>1</v>
      </c>
      <c r="BX618" s="769">
        <f t="shared" ref="BX618" si="11431">E611*(H611+I611)/144/2</f>
        <v>0</v>
      </c>
      <c r="BY618" s="769">
        <f>SUM(IF(H611&gt;E611,E611^2/4,(H611*E611/2)-(H611^2/4))/144,IF(I611&gt;E611,E611^2/4,(I611*E611/2)-(I611^2/4))/144)</f>
        <v>0</v>
      </c>
      <c r="BZ618" s="1110"/>
      <c r="CA618" s="691" t="e">
        <f t="shared" ca="1" si="11312"/>
        <v>#REF!</v>
      </c>
      <c r="CB618" s="4" t="e" cm="1">
        <f t="array" aca="1" ref="CB618" ca="1">IF(AND(INDEX(INDIRECT(BY611),CA618,4)&gt;=$AB611,INDEX(INDIRECT(BY611),CA618,5)&gt;=$S611,INDEX(INDIRECT(BY611),CA618,6)&gt;=$R611),1,0)</f>
        <v>#REF!</v>
      </c>
      <c r="CC618" s="4" t="e">
        <f t="shared" ref="CC618" ca="1" si="11432">MATCH(1,OFFSET(CB611:CB622,CD617,0,COUNT(CB611:CB622)-CD617),0)</f>
        <v>#REF!</v>
      </c>
      <c r="CD618" s="4" t="e">
        <f t="shared" ca="1" si="11314"/>
        <v>#REF!</v>
      </c>
      <c r="CE618" s="692" t="str" cm="1">
        <f t="array" aca="1" ref="CE618" ca="1">IFERROR(VLOOKUP(INDEX(CA611:CA622,CD618),INDIRECT(BY611),2,FALSE),"----")</f>
        <v>----</v>
      </c>
      <c r="CF618" s="691" t="e">
        <f t="shared" ca="1" si="11315"/>
        <v>#N/A</v>
      </c>
      <c r="CG618" s="4" t="e">
        <f ca="1">IF(AND(INDEX(SSM,CF618,4)&gt;=$AB611,INDEX(SSM,CF618,5)&gt;=$S611,INDEX(SSM,CF618,6)&gt;=$R611),1,0)</f>
        <v>#N/A</v>
      </c>
      <c r="CH618" s="4" t="e">
        <f t="shared" ref="CH618" ca="1" si="11433">MATCH(1,OFFSET(CG611:CG622,CI617,0,COUNT(CG611:CG622)-CI617),0)</f>
        <v>#REF!</v>
      </c>
      <c r="CI618" s="4" t="e">
        <f t="shared" ca="1" si="11317"/>
        <v>#REF!</v>
      </c>
      <c r="CJ618" s="692" t="str">
        <f ca="1">IFERROR(IF(AD612="Nested Steel Stud (wood infill)",VLOOKUP(INDEX(CF611:CF622,CI618),SSW,2,FALSE),VLOOKUP(INDEX(CF611:CF622,CI618),SSM,2,FALSE)),"----")</f>
        <v>----</v>
      </c>
      <c r="CK618" s="691" t="e">
        <f t="shared" ca="1" si="11318"/>
        <v>#N/A</v>
      </c>
      <c r="CL618" s="4" t="e">
        <f ca="1">IF(AND(INDEX(WSM,CK618,4)&gt;=$AB611,INDEX(WSM,CK618,5)&gt;=$S611,INDEX(WSM,CK618,6)&gt;=$R611),1,0)</f>
        <v>#N/A</v>
      </c>
      <c r="CM618" s="4" t="e">
        <f t="shared" ref="CM618" ca="1" si="11434">MATCH(1,OFFSET(CL611:CL622,CN617,0,COUNT(CL611:CL622)-CN617),0)</f>
        <v>#REF!</v>
      </c>
      <c r="CN618" s="4" t="e">
        <f t="shared" ca="1" si="11320"/>
        <v>#REF!</v>
      </c>
      <c r="CO618" s="692" t="str">
        <f ca="1">IFERROR(VLOOKUP(INDEX(CK611:CK622,CN618),WSM,2,FALSE),"----")</f>
        <v>----</v>
      </c>
      <c r="CP618" s="691" t="e">
        <f t="shared" ca="1" si="11321"/>
        <v>#N/A</v>
      </c>
      <c r="CQ618" s="4" t="e">
        <f ca="1">IF(AND(INDEX(STM,CP618,4)&gt;=$AB611,INDEX(STM,CP618,5)&gt;=$S611,INDEX(STM,CP618,6)&gt;=$R611),1,0)</f>
        <v>#N/A</v>
      </c>
      <c r="CR618" s="4" t="e">
        <f t="shared" ref="CR618" ca="1" si="11435">MATCH(1,OFFSET(CQ611:CQ622,CS617,0,COUNT(CQ611:CQ622)-CS617),0)</f>
        <v>#REF!</v>
      </c>
      <c r="CS618" s="4" t="e">
        <f t="shared" ca="1" si="11323"/>
        <v>#REF!</v>
      </c>
      <c r="CT618" s="692" t="str">
        <f ca="1">IFERROR(VLOOKUP(INDEX(CP611:CP622,CS618),STM,2,FALSE),"----")</f>
        <v>----</v>
      </c>
      <c r="CU618" s="691" t="e">
        <f t="shared" ca="1" si="11324"/>
        <v>#N/A</v>
      </c>
      <c r="CV618" s="4" t="e">
        <f ca="1">IF(AND(INDEX(ELM,CU618,4)&gt;=$AB611,INDEX(ELM,CU618,5)&gt;=$S611,INDEX(ELM,CU618,6)&gt;=$R611),1,0)</f>
        <v>#N/A</v>
      </c>
      <c r="CW618" s="4" t="e">
        <f t="shared" ref="CW618" ca="1" si="11436">MATCH(1,OFFSET(CV611:CV622,CX617,0,COUNT(CV611:CV622)-CX617),0)</f>
        <v>#REF!</v>
      </c>
      <c r="CX618" s="4" t="e">
        <f t="shared" ca="1" si="11326"/>
        <v>#REF!</v>
      </c>
      <c r="CY618" s="692" t="str">
        <f ca="1">IFERROR(VLOOKUP(INDEX(CU611:CU622,CX618),ELM,2,FALSE),"----")</f>
        <v>----</v>
      </c>
      <c r="CZ618" s="691" t="e">
        <f t="shared" ca="1" si="11327"/>
        <v>#N/A</v>
      </c>
      <c r="DA618" s="4" t="e">
        <f ca="1">IF(LEFT($J611,7)="Clad Wo",IF(AND(INDEX(SPPWS,CZ618,4)&gt;=$AB611,INDEX(SPPWS,CZ618,5)&gt;=$S611,INDEX(SPPWS,CZ618,6)&gt;=$R611),1,0),IF(AND(INDEX(SPM,CZ618,4)&gt;=$AB611,INDEX(SPM,CZ618,5)&gt;=$S611,INDEX(SPM,CZ618,6)&gt;=$R611),1,0))</f>
        <v>#N/A</v>
      </c>
      <c r="DB618" s="4" t="e">
        <f t="shared" ref="DB618" ca="1" si="11437">MATCH(1,OFFSET(DA611:DA622,DC617,0,COUNT(DA611:DA622)-DC617),0)</f>
        <v>#REF!</v>
      </c>
      <c r="DC618" s="4" t="e">
        <f t="shared" ca="1" si="11329"/>
        <v>#REF!</v>
      </c>
      <c r="DD618" s="693" t="str">
        <f ca="1">IF(LEFT($J611,7)="Clad Wo",IFERROR(VLOOKUP(INDEX(CZ611:CZ622,DC618),SPPWS,2,FALSE),"----"),IFERROR(VLOOKUP(INDEX(CZ611:CZ622,DC618),SPM,2,FALSE),"----"))</f>
        <v>----</v>
      </c>
      <c r="DE618" s="691" t="e">
        <f t="shared" ca="1" si="11330"/>
        <v>#REF!</v>
      </c>
      <c r="DF618" s="4" t="e" cm="1">
        <f t="array" aca="1" ref="DF618" ca="1">IF(AND(INDEX(INDIRECT(BY611),DE618,4)&gt;=$AB617,INDEX(INDIRECT(BY611),DE618,5)&gt;=$S611,INDEX(INDIRECT(BY611),DE618,6)&gt;=$R611),1,0)</f>
        <v>#REF!</v>
      </c>
      <c r="DG618" s="4" t="e">
        <f t="shared" ref="DG618" ca="1" si="11438">MATCH(1,OFFSET(DF611:DF622,DH617,0,COUNT(DF611:DF622)-DH617),0)</f>
        <v>#REF!</v>
      </c>
      <c r="DH618" s="4" t="e">
        <f t="shared" ca="1" si="11332"/>
        <v>#REF!</v>
      </c>
      <c r="DI618" s="692" t="str" cm="1">
        <f t="array" aca="1" ref="DI618" ca="1">IFERROR(VLOOKUP(INDEX(DE611:DE622,DH618),INDIRECT(BY611),2,FALSE),"----")</f>
        <v>----</v>
      </c>
      <c r="DJ618" s="691" t="e">
        <f t="shared" ca="1" si="11333"/>
        <v>#N/A</v>
      </c>
      <c r="DK618" s="4" t="e">
        <f ca="1">IF(AND(INDEX(SSM,DJ618,4)&gt;=$AB617,INDEX(SSM,DJ618,5)&gt;=$S611,INDEX(SSM,DJ618,6)&gt;=$R611),1,0)</f>
        <v>#N/A</v>
      </c>
      <c r="DL618" s="4" t="e">
        <f t="shared" ref="DL618" ca="1" si="11439">MATCH(1,OFFSET(DK611:DK622,DM617,0,COUNT(DK611:DK622)-DM617),0)</f>
        <v>#REF!</v>
      </c>
      <c r="DM618" s="4" t="e">
        <f t="shared" ca="1" si="11335"/>
        <v>#REF!</v>
      </c>
      <c r="DN618" s="692" t="str">
        <f ca="1">IFERROR(IF(AD618="Nested Steel Stud (wood infill)",VLOOKUP(INDEX(DJ611:DJ622,DM618),SSW,2,FALSE),VLOOKUP(INDEX(DJ611:DJ622,DM618),SSM,2,FALSE)),"----")</f>
        <v>----</v>
      </c>
      <c r="DO618" s="691" t="e">
        <f t="shared" ca="1" si="11336"/>
        <v>#N/A</v>
      </c>
      <c r="DP618" s="4" t="e">
        <f ca="1">IF(AND(INDEX(WSM,DO618,4)&gt;=$AB617,INDEX(WSM,DO618,5)&gt;=$S611,INDEX(WSM,DO618,6)&gt;=$R611),1,0)</f>
        <v>#N/A</v>
      </c>
      <c r="DQ618" s="4" t="e">
        <f t="shared" ref="DQ618" ca="1" si="11440">MATCH(1,OFFSET(DP611:DP622,DR617,0,COUNT(DP611:DP622)-DR617),0)</f>
        <v>#REF!</v>
      </c>
      <c r="DR618" s="4" t="e">
        <f t="shared" ca="1" si="11338"/>
        <v>#REF!</v>
      </c>
      <c r="DS618" s="692" t="str">
        <f ca="1">IFERROR(VLOOKUP(INDEX(DO611:DO622,DR618),WSM,2,FALSE),"----")</f>
        <v>----</v>
      </c>
      <c r="DT618" s="691" t="e">
        <f t="shared" ca="1" si="11339"/>
        <v>#N/A</v>
      </c>
      <c r="DU618" s="4" t="e">
        <f ca="1">IF(AND(INDEX(STM,DT618,4)&gt;=$AB617,INDEX(STM,DT618,5)&gt;=$S611,INDEX(STM,DT618,6)&gt;=$R611),1,0)</f>
        <v>#N/A</v>
      </c>
      <c r="DV618" s="4" t="e">
        <f t="shared" ref="DV618" ca="1" si="11441">MATCH(1,OFFSET(DU611:DU622,DW617,0,COUNT(DU611:DU622)-DW617),0)</f>
        <v>#REF!</v>
      </c>
      <c r="DW618" s="4" t="e">
        <f t="shared" ca="1" si="11341"/>
        <v>#REF!</v>
      </c>
      <c r="DX618" s="692" t="str">
        <f ca="1">IFERROR(VLOOKUP(INDEX(DT611:DT622,DW618),STM,2,FALSE),"----")</f>
        <v>----</v>
      </c>
      <c r="DY618" s="691" t="e">
        <f t="shared" ca="1" si="11342"/>
        <v>#N/A</v>
      </c>
      <c r="DZ618" s="4" t="e">
        <f ca="1">IF(AND(INDEX(ELM,DY618,4)&gt;=$AB617,INDEX(ELM,DY618,5)&gt;=$S611,INDEX(ELM,DY618,6)&gt;=$R611),1,0)</f>
        <v>#N/A</v>
      </c>
      <c r="EA618" s="4" t="e">
        <f t="shared" ref="EA618" ca="1" si="11442">MATCH(1,OFFSET(DZ611:DZ622,EB617,0,COUNT(DZ611:DZ622)-EB617),0)</f>
        <v>#REF!</v>
      </c>
      <c r="EB618" s="4" t="e">
        <f t="shared" ca="1" si="11344"/>
        <v>#REF!</v>
      </c>
      <c r="EC618" s="692" t="str">
        <f ca="1">IFERROR(VLOOKUP(INDEX(DY611:DY622,EB618),ELM,2,FALSE),"----")</f>
        <v>----</v>
      </c>
      <c r="ED618" s="691" t="e">
        <f t="shared" ca="1" si="11345"/>
        <v>#N/A</v>
      </c>
      <c r="EE618" s="4" t="e">
        <f ca="1">IF(LEFT($J611,7)="Clad Wo",IF(AND(INDEX(SPPWS,ED618,4)&gt;=$AB617,INDEX(SPPWS,ED618,5)&gt;=$S611,INDEX(SPPWS,ED618,6)&gt;=$R611),1,0),IF(AND(INDEX(SPM,ED618,4)&gt;=$AB617,INDEX(SPM,ED618,5)&gt;=$S611,INDEX(SPM,ED618,6)&gt;=$R611),1,0))</f>
        <v>#N/A</v>
      </c>
      <c r="EF618" s="4" t="e">
        <f t="shared" ref="EF618" ca="1" si="11443">MATCH(1,OFFSET(EE611:EE622,EG617,0,COUNT(EE611:EE622)-EG617),0)</f>
        <v>#REF!</v>
      </c>
      <c r="EG618" s="4" t="e">
        <f t="shared" ca="1" si="11347"/>
        <v>#REF!</v>
      </c>
      <c r="EH618" s="692" t="str">
        <f ca="1">IF(LEFT($J611,7)="Clad Wo",IFERROR(VLOOKUP(INDEX(ED611:ED622,EG618),SPPWS,2,FALSE),"----"),IFERROR(VLOOKUP(INDEX(ED611:ED622,EG618),SPM,2,FALSE),"----"))</f>
        <v>----</v>
      </c>
    </row>
    <row r="619" spans="1:138" ht="15" customHeight="1" x14ac:dyDescent="0.25">
      <c r="A619" s="1085"/>
      <c r="B619" s="925"/>
      <c r="C619" s="926"/>
      <c r="D619" s="927"/>
      <c r="E619" s="995"/>
      <c r="F619" s="996"/>
      <c r="G619" s="997"/>
      <c r="H619" s="1062"/>
      <c r="I619" s="990"/>
      <c r="J619" s="902"/>
      <c r="K619" s="903"/>
      <c r="L619" s="1002"/>
      <c r="M619" s="923"/>
      <c r="N619" s="1042"/>
      <c r="O619" s="1018"/>
      <c r="P619" s="987"/>
      <c r="Q619" s="1015"/>
      <c r="R619" s="1012"/>
      <c r="S619" s="1006"/>
      <c r="T619" s="1007"/>
      <c r="U619" s="878"/>
      <c r="V619" s="881"/>
      <c r="W619" s="884"/>
      <c r="X619" s="884"/>
      <c r="Y619" s="887"/>
      <c r="Z619" s="887"/>
      <c r="AA619" s="887"/>
      <c r="AB619" s="1081"/>
      <c r="AC619" s="1078"/>
      <c r="AD619" s="1070" t="str">
        <f t="shared" si="10247"/>
        <v>Wood Stud Framing</v>
      </c>
      <c r="AE619" s="1071"/>
      <c r="AF619" s="1052"/>
      <c r="AG619" s="1053"/>
      <c r="AH619" s="1053"/>
      <c r="AI619" s="1066"/>
      <c r="AJ619" s="1067"/>
      <c r="AK619" s="156" t="str">
        <f t="shared" ca="1" si="11298"/>
        <v/>
      </c>
      <c r="AL619" s="1059"/>
      <c r="AM619" s="344" t="str">
        <f ca="1">IFERROR(Q611/12*ROUND(VLOOKUP(AF619,OFFSET(WSM,0,1),6,FALSE),2),"")</f>
        <v/>
      </c>
      <c r="AN619" t="str">
        <f t="shared" ca="1" si="11348"/>
        <v/>
      </c>
      <c r="AP619" s="122" t="str">
        <f t="shared" ref="AP619" si="11444">_xlfn.CONCAT(AR619,AS622)</f>
        <v/>
      </c>
      <c r="AQ619" s="683" t="str">
        <f t="shared" si="10249"/>
        <v/>
      </c>
      <c r="AR619" s="4" t="str">
        <f t="shared" si="11273"/>
        <v/>
      </c>
      <c r="AS619" s="4"/>
      <c r="AT619" s="697" t="str">
        <f>AL617</f>
        <v/>
      </c>
      <c r="AU619" s="694" t="e">
        <f t="shared" ca="1" si="10265"/>
        <v>#REF!</v>
      </c>
      <c r="AV619" s="686" t="str">
        <f ca="1">IFERROR(VLOOKUP(AU619,INDIRECT(AQ611),2,FALSE),"----")</f>
        <v>----</v>
      </c>
      <c r="AW619" s="694" t="e">
        <f t="shared" ca="1" si="10266"/>
        <v>#REF!</v>
      </c>
      <c r="AX619" s="686" t="str">
        <f ca="1">IFERROR(VLOOKUP(AW619,INDIRECT(AQ612),2,FALSE),"----")</f>
        <v>----</v>
      </c>
      <c r="AY619" s="694" t="e">
        <f t="shared" ca="1" si="11155"/>
        <v>#REF!</v>
      </c>
      <c r="AZ619" s="686" t="str">
        <f ca="1">IFERROR(VLOOKUP(AY619,INDIRECT(AQ613),2,FALSE),"----")</f>
        <v>----</v>
      </c>
      <c r="BA619" s="694" t="e">
        <f t="shared" ca="1" si="11156"/>
        <v>#REF!</v>
      </c>
      <c r="BB619" s="686" t="str">
        <f ca="1">IFERROR(VLOOKUP(BA619,INDIRECT(AQ614),2,FALSE),"----")</f>
        <v>----</v>
      </c>
      <c r="BC619" s="694" t="e">
        <f t="shared" ca="1" si="10267"/>
        <v>#REF!</v>
      </c>
      <c r="BD619" s="686" t="str">
        <f ca="1">IFERROR(VLOOKUP(BC619,INDIRECT(AQ615),2,FALSE),"----")</f>
        <v>----</v>
      </c>
      <c r="BE619" s="694" t="e">
        <f t="shared" ca="1" si="10268"/>
        <v>#REF!</v>
      </c>
      <c r="BF619" s="686" t="str">
        <f ca="1">IFERROR(VLOOKUP(BE619,INDIRECT(AQ616),2,FALSE),"----")</f>
        <v>----</v>
      </c>
      <c r="BG619" s="702" t="e">
        <f t="shared" ca="1" si="10269"/>
        <v>#REF!</v>
      </c>
      <c r="BH619" s="686" t="str">
        <f ca="1">IFERROR(VLOOKUP(BG619,INDIRECT(AQ617),2,FALSE),"----")</f>
        <v>----</v>
      </c>
      <c r="BI619" s="702" t="e">
        <f t="shared" ca="1" si="10270"/>
        <v>#REF!</v>
      </c>
      <c r="BJ619" s="686" t="str">
        <f ca="1">IFERROR(VLOOKUP(BI619,INDIRECT(AQ618),2,FALSE),"----")</f>
        <v>----</v>
      </c>
      <c r="BK619" s="702" t="e">
        <f t="shared" ca="1" si="10271"/>
        <v>#REF!</v>
      </c>
      <c r="BL619" s="686" t="str">
        <f ca="1">IFERROR(VLOOKUP(BK619,INDIRECT(AQ619),2,FALSE),"----")</f>
        <v>----</v>
      </c>
      <c r="BM619" s="702" t="e">
        <f t="shared" ca="1" si="10272"/>
        <v>#REF!</v>
      </c>
      <c r="BN619" s="686" t="str">
        <f ca="1">IFERROR(VLOOKUP(BM619,INDIRECT(AQ620),2,FALSE),"----")</f>
        <v>----</v>
      </c>
      <c r="BO619" s="702" t="e">
        <f t="shared" ca="1" si="10273"/>
        <v>#REF!</v>
      </c>
      <c r="BP619" s="686" t="str">
        <f ca="1">IFERROR(VLOOKUP(BO619,INDIRECT(AQ621),2,FALSE),"----")</f>
        <v>----</v>
      </c>
      <c r="BQ619" s="702" t="e">
        <f t="shared" ca="1" si="10274"/>
        <v>#REF!</v>
      </c>
      <c r="BR619" s="686" t="str">
        <f ca="1">IFERROR(VLOOKUP(BQ619,INDIRECT(AQ622),2,FALSE),"----")</f>
        <v>----</v>
      </c>
      <c r="BS619" s="695">
        <f>IF(AI619="",1,IF(COUNTIF(BL611:BL622,AI619)=0,2,1))</f>
        <v>1</v>
      </c>
      <c r="BT619" s="696">
        <f>IF(AF619="",1,IF(BL611=".",2,1))</f>
        <v>1</v>
      </c>
      <c r="BU619" s="706"/>
      <c r="BV619" s="155">
        <f ca="1">IF(COUNTIF(DS611:DS622,AF619)=0,IF(AF619&lt;&gt;"",0,1),1)</f>
        <v>1</v>
      </c>
      <c r="BW619" s="157">
        <f ca="1">IFERROR(MATCH(AF619,DS611:DS622,0),1)</f>
        <v>1</v>
      </c>
      <c r="BX619" s="769" t="e">
        <f t="shared" ref="BX619" si="11445">5*E611^3*W611/(384*X611)</f>
        <v>#VALUE!</v>
      </c>
      <c r="BY619" s="769" t="e">
        <f t="shared" ref="BY619" si="11446">W611*E611^3/(60*X611)</f>
        <v>#VALUE!</v>
      </c>
      <c r="BZ619" s="1110"/>
      <c r="CA619" s="691" t="e">
        <f t="shared" ca="1" si="11312"/>
        <v>#REF!</v>
      </c>
      <c r="CB619" s="4" t="e" cm="1">
        <f t="array" aca="1" ref="CB619" ca="1">IF(AND(INDEX(INDIRECT(BY611),CA619,4)&gt;=$AB611,INDEX(INDIRECT(BY611),CA619,5)&gt;=$S611,INDEX(INDIRECT(BY611),CA619,6)&gt;=$R611),1,0)</f>
        <v>#REF!</v>
      </c>
      <c r="CC619" s="4" t="e">
        <f t="shared" ref="CC619" ca="1" si="11447">MATCH(1,OFFSET(CB611:CB622,CD618,0,COUNT(CB611:CB622)-CD618),0)</f>
        <v>#REF!</v>
      </c>
      <c r="CD619" s="4" t="e">
        <f t="shared" ca="1" si="11314"/>
        <v>#REF!</v>
      </c>
      <c r="CE619" s="692" t="str" cm="1">
        <f t="array" aca="1" ref="CE619" ca="1">IFERROR(VLOOKUP(INDEX(CA611:CA622,CD619),INDIRECT(BY611),2,FALSE),"----")</f>
        <v>----</v>
      </c>
      <c r="CF619" s="691" t="e">
        <f t="shared" ca="1" si="11315"/>
        <v>#N/A</v>
      </c>
      <c r="CG619" s="4" t="e">
        <f ca="1">IF(AND(INDEX(SSM,CF619,4)&gt;=$AB611,INDEX(SSM,CF619,5)&gt;=$S611,INDEX(SSM,CF619,6)&gt;=$R611),1,0)</f>
        <v>#N/A</v>
      </c>
      <c r="CH619" s="4" t="e">
        <f t="shared" ref="CH619" ca="1" si="11448">MATCH(1,OFFSET(CG611:CG622,CI618,0,COUNT(CG611:CG622)-CI618),0)</f>
        <v>#REF!</v>
      </c>
      <c r="CI619" s="4" t="e">
        <f t="shared" ca="1" si="11317"/>
        <v>#REF!</v>
      </c>
      <c r="CJ619" s="692" t="str">
        <f ca="1">IFERROR(IF(AD612="Nested Steel Stud (wood infill)",VLOOKUP(INDEX(CF611:CF622,CI619),SSW,2,FALSE),VLOOKUP(INDEX(CF611:CF622,CI619),SSM,2,FALSE)),"----")</f>
        <v>----</v>
      </c>
      <c r="CK619" s="691" t="e">
        <f t="shared" ca="1" si="11318"/>
        <v>#N/A</v>
      </c>
      <c r="CL619" s="4" t="e">
        <f ca="1">IF(AND(INDEX(WSM,CK619,4)&gt;=$AB611,INDEX(WSM,CK619,5)&gt;=$S611,INDEX(WSM,CK619,6)&gt;=$R611),1,0)</f>
        <v>#N/A</v>
      </c>
      <c r="CM619" s="4" t="e">
        <f t="shared" ref="CM619" ca="1" si="11449">MATCH(1,OFFSET(CL611:CL622,CN618,0,COUNT(CL611:CL622)-CN618),0)</f>
        <v>#REF!</v>
      </c>
      <c r="CN619" s="4" t="e">
        <f t="shared" ca="1" si="11320"/>
        <v>#REF!</v>
      </c>
      <c r="CO619" s="692" t="str">
        <f ca="1">IFERROR(VLOOKUP(INDEX(CK611:CK622,CN619),WSM,2,FALSE),"----")</f>
        <v>----</v>
      </c>
      <c r="CP619" s="691" t="e">
        <f t="shared" ca="1" si="11321"/>
        <v>#N/A</v>
      </c>
      <c r="CQ619" s="4" t="e">
        <f ca="1">IF(AND(INDEX(STM,CP619,4)&gt;=$AB611,INDEX(STM,CP619,5)&gt;=$S611,INDEX(STM,CP619,6)&gt;=$R611),1,0)</f>
        <v>#N/A</v>
      </c>
      <c r="CR619" s="4" t="e">
        <f t="shared" ref="CR619" ca="1" si="11450">MATCH(1,OFFSET(CQ611:CQ622,CS618,0,COUNT(CQ611:CQ622)-CS618),0)</f>
        <v>#REF!</v>
      </c>
      <c r="CS619" s="4" t="e">
        <f t="shared" ca="1" si="11323"/>
        <v>#REF!</v>
      </c>
      <c r="CT619" s="692" t="str">
        <f ca="1">IFERROR(VLOOKUP(INDEX(CP611:CP622,CS619),STM,2,FALSE),"----")</f>
        <v>----</v>
      </c>
      <c r="CU619" s="691" t="e">
        <f t="shared" ca="1" si="11324"/>
        <v>#N/A</v>
      </c>
      <c r="CV619" s="4" t="e">
        <f ca="1">IF(AND(INDEX(ELM,CU619,4)&gt;=$AB611,INDEX(ELM,CU619,5)&gt;=$S611,INDEX(ELM,CU619,6)&gt;=$R611),1,0)</f>
        <v>#N/A</v>
      </c>
      <c r="CW619" s="4" t="e">
        <f t="shared" ref="CW619" ca="1" si="11451">MATCH(1,OFFSET(CV611:CV622,CX618,0,COUNT(CV611:CV622)-CX618),0)</f>
        <v>#REF!</v>
      </c>
      <c r="CX619" s="4" t="e">
        <f t="shared" ca="1" si="11326"/>
        <v>#REF!</v>
      </c>
      <c r="CY619" s="692" t="str">
        <f ca="1">IFERROR(VLOOKUP(INDEX(CU611:CU622,CX619),ELM,2,FALSE),"----")</f>
        <v>----</v>
      </c>
      <c r="CZ619" s="691" t="e">
        <f t="shared" ca="1" si="11327"/>
        <v>#N/A</v>
      </c>
      <c r="DA619" s="4" t="e">
        <f ca="1">IF(LEFT($J611,7)="Clad Wo",IF(AND(INDEX(SPPWS,CZ619,4)&gt;=$AB611,INDEX(SPPWS,CZ619,5)&gt;=$S611,INDEX(SPPWS,CZ619,6)&gt;=$R611),1,0),IF(AND(INDEX(SPM,CZ619,4)&gt;=$AB611,INDEX(SPM,CZ619,5)&gt;=$S611,INDEX(SPM,CZ619,6)&gt;=$R611),1,0))</f>
        <v>#N/A</v>
      </c>
      <c r="DB619" s="4" t="e">
        <f t="shared" ref="DB619" ca="1" si="11452">MATCH(1,OFFSET(DA611:DA622,DC618,0,COUNT(DA611:DA622)-DC618),0)</f>
        <v>#REF!</v>
      </c>
      <c r="DC619" s="4" t="e">
        <f t="shared" ca="1" si="11329"/>
        <v>#REF!</v>
      </c>
      <c r="DD619" s="693" t="str">
        <f ca="1">IF(LEFT($J611,7)="Clad Wo",IFERROR(VLOOKUP(INDEX(CZ611:CZ622,DC619),SPPWS,2,FALSE),"----"),IFERROR(VLOOKUP(INDEX(CZ611:CZ622,DC619),SPM,2,FALSE),"----"))</f>
        <v>----</v>
      </c>
      <c r="DE619" s="691" t="e">
        <f t="shared" ca="1" si="11330"/>
        <v>#REF!</v>
      </c>
      <c r="DF619" s="4" t="e" cm="1">
        <f t="array" aca="1" ref="DF619" ca="1">IF(AND(INDEX(INDIRECT(BY611),DE619,4)&gt;=$AB617,INDEX(INDIRECT(BY611),DE619,5)&gt;=$S611,INDEX(INDIRECT(BY611),DE619,6)&gt;=$R611),1,0)</f>
        <v>#REF!</v>
      </c>
      <c r="DG619" s="4" t="e">
        <f t="shared" ref="DG619" ca="1" si="11453">MATCH(1,OFFSET(DF611:DF622,DH618,0,COUNT(DF611:DF622)-DH618),0)</f>
        <v>#REF!</v>
      </c>
      <c r="DH619" s="4" t="e">
        <f t="shared" ca="1" si="11332"/>
        <v>#REF!</v>
      </c>
      <c r="DI619" s="692" t="str" cm="1">
        <f t="array" aca="1" ref="DI619" ca="1">IFERROR(VLOOKUP(INDEX(DE611:DE622,DH619),INDIRECT(BY611),2,FALSE),"----")</f>
        <v>----</v>
      </c>
      <c r="DJ619" s="691" t="e">
        <f t="shared" ca="1" si="11333"/>
        <v>#N/A</v>
      </c>
      <c r="DK619" s="4" t="e">
        <f ca="1">IF(AND(INDEX(SSM,DJ619,4)&gt;=$AB617,INDEX(SSM,DJ619,5)&gt;=$S611,INDEX(SSM,DJ619,6)&gt;=$R611),1,0)</f>
        <v>#N/A</v>
      </c>
      <c r="DL619" s="4" t="e">
        <f t="shared" ref="DL619" ca="1" si="11454">MATCH(1,OFFSET(DK611:DK622,DM618,0,COUNT(DK611:DK622)-DM618),0)</f>
        <v>#REF!</v>
      </c>
      <c r="DM619" s="4" t="e">
        <f t="shared" ca="1" si="11335"/>
        <v>#REF!</v>
      </c>
      <c r="DN619" s="692" t="str">
        <f ca="1">IFERROR(IF(AD618="Nested Steel Stud (wood infill)",VLOOKUP(INDEX(DJ611:DJ622,DM619),SSW,2,FALSE),VLOOKUP(INDEX(DJ611:DJ622,DM619),SSM,2,FALSE)),"----")</f>
        <v>----</v>
      </c>
      <c r="DO619" s="691" t="e">
        <f t="shared" ca="1" si="11336"/>
        <v>#N/A</v>
      </c>
      <c r="DP619" s="4" t="e">
        <f ca="1">IF(AND(INDEX(WSM,DO619,4)&gt;=$AB617,INDEX(WSM,DO619,5)&gt;=$S611,INDEX(WSM,DO619,6)&gt;=$R611),1,0)</f>
        <v>#N/A</v>
      </c>
      <c r="DQ619" s="4" t="e">
        <f t="shared" ref="DQ619" ca="1" si="11455">MATCH(1,OFFSET(DP611:DP622,DR618,0,COUNT(DP611:DP622)-DR618),0)</f>
        <v>#REF!</v>
      </c>
      <c r="DR619" s="4" t="e">
        <f t="shared" ca="1" si="11338"/>
        <v>#REF!</v>
      </c>
      <c r="DS619" s="692" t="str">
        <f ca="1">IFERROR(VLOOKUP(INDEX(DO611:DO622,DR619),WSM,2,FALSE),"----")</f>
        <v>----</v>
      </c>
      <c r="DT619" s="691" t="e">
        <f t="shared" ca="1" si="11339"/>
        <v>#N/A</v>
      </c>
      <c r="DU619" s="4" t="e">
        <f ca="1">IF(AND(INDEX(STM,DT619,4)&gt;=$AB617,INDEX(STM,DT619,5)&gt;=$S611,INDEX(STM,DT619,6)&gt;=$R611),1,0)</f>
        <v>#N/A</v>
      </c>
      <c r="DV619" s="4" t="e">
        <f t="shared" ref="DV619" ca="1" si="11456">MATCH(1,OFFSET(DU611:DU622,DW618,0,COUNT(DU611:DU622)-DW618),0)</f>
        <v>#REF!</v>
      </c>
      <c r="DW619" s="4" t="e">
        <f t="shared" ca="1" si="11341"/>
        <v>#REF!</v>
      </c>
      <c r="DX619" s="692" t="str">
        <f ca="1">IFERROR(VLOOKUP(INDEX(DT611:DT622,DW619),STM,2,FALSE),"----")</f>
        <v>----</v>
      </c>
      <c r="DY619" s="691" t="e">
        <f t="shared" ca="1" si="11342"/>
        <v>#N/A</v>
      </c>
      <c r="DZ619" s="4" t="e">
        <f ca="1">IF(AND(INDEX(ELM,DY619,4)&gt;=$AB617,INDEX(ELM,DY619,5)&gt;=$S611,INDEX(ELM,DY619,6)&gt;=$R611),1,0)</f>
        <v>#N/A</v>
      </c>
      <c r="EA619" s="4" t="e">
        <f t="shared" ref="EA619" ca="1" si="11457">MATCH(1,OFFSET(DZ611:DZ622,EB618,0,COUNT(DZ611:DZ622)-EB618),0)</f>
        <v>#REF!</v>
      </c>
      <c r="EB619" s="4" t="e">
        <f t="shared" ca="1" si="11344"/>
        <v>#REF!</v>
      </c>
      <c r="EC619" s="692" t="str">
        <f ca="1">IFERROR(VLOOKUP(INDEX(DY611:DY622,EB619),ELM,2,FALSE),"----")</f>
        <v>----</v>
      </c>
      <c r="ED619" s="691" t="e">
        <f t="shared" ca="1" si="11345"/>
        <v>#N/A</v>
      </c>
      <c r="EE619" s="4" t="e">
        <f ca="1">IF(LEFT($J611,7)="Clad Wo",IF(AND(INDEX(SPPWS,ED619,4)&gt;=$AB617,INDEX(SPPWS,ED619,5)&gt;=$S611,INDEX(SPPWS,ED619,6)&gt;=$R611),1,0),IF(AND(INDEX(SPM,ED619,4)&gt;=$AB617,INDEX(SPM,ED619,5)&gt;=$S611,INDEX(SPM,ED619,6)&gt;=$R611),1,0))</f>
        <v>#N/A</v>
      </c>
      <c r="EF619" s="4" t="e">
        <f t="shared" ref="EF619" ca="1" si="11458">MATCH(1,OFFSET(EE611:EE622,EG618,0,COUNT(EE611:EE622)-EG618),0)</f>
        <v>#REF!</v>
      </c>
      <c r="EG619" s="4" t="e">
        <f t="shared" ca="1" si="11347"/>
        <v>#REF!</v>
      </c>
      <c r="EH619" s="692" t="str">
        <f ca="1">IF(LEFT($J611,7)="Clad Wo",IFERROR(VLOOKUP(INDEX(ED611:ED622,EG619),SPPWS,2,FALSE),"----"),IFERROR(VLOOKUP(INDEX(ED611:ED622,EG619),SPM,2,FALSE),"----"))</f>
        <v>----</v>
      </c>
    </row>
    <row r="620" spans="1:138" ht="15" customHeight="1" x14ac:dyDescent="0.25">
      <c r="A620" s="1085"/>
      <c r="B620" s="925"/>
      <c r="C620" s="926"/>
      <c r="D620" s="927"/>
      <c r="E620" s="995"/>
      <c r="F620" s="996"/>
      <c r="G620" s="997"/>
      <c r="H620" s="1062"/>
      <c r="I620" s="990"/>
      <c r="J620" s="902"/>
      <c r="K620" s="903"/>
      <c r="L620" s="1002"/>
      <c r="M620" s="923"/>
      <c r="N620" s="1042"/>
      <c r="O620" s="1018"/>
      <c r="P620" s="987"/>
      <c r="Q620" s="1015"/>
      <c r="R620" s="1012"/>
      <c r="S620" s="1006"/>
      <c r="T620" s="1007"/>
      <c r="U620" s="878"/>
      <c r="V620" s="881"/>
      <c r="W620" s="884"/>
      <c r="X620" s="884"/>
      <c r="Y620" s="887"/>
      <c r="Z620" s="887"/>
      <c r="AA620" s="887"/>
      <c r="AB620" s="1081"/>
      <c r="AC620" s="1078"/>
      <c r="AD620" s="1070" t="str">
        <f t="shared" si="10247"/>
        <v>Steel Tube</v>
      </c>
      <c r="AE620" s="1071"/>
      <c r="AF620" s="1052"/>
      <c r="AG620" s="1053"/>
      <c r="AH620" s="1053"/>
      <c r="AI620" s="1066"/>
      <c r="AJ620" s="1067"/>
      <c r="AK620" s="156" t="str">
        <f t="shared" ca="1" si="11298"/>
        <v/>
      </c>
      <c r="AL620" s="1059"/>
      <c r="AM620" s="343" t="str">
        <f ca="1">IFERROR(Q611/12*ROUND(VLOOKUP(AF620,OFFSET(STM,0,1),6,FALSE),2),"")</f>
        <v/>
      </c>
      <c r="AN620" t="str">
        <f t="shared" ca="1" si="11348"/>
        <v/>
      </c>
      <c r="AP620" s="122" t="str">
        <f t="shared" ref="AP620" si="11459">_xlfn.CONCAT(AR620,AS622)</f>
        <v/>
      </c>
      <c r="AQ620" s="683" t="str">
        <f t="shared" si="10249"/>
        <v/>
      </c>
      <c r="AR620" s="4" t="str">
        <f t="shared" si="11273"/>
        <v/>
      </c>
      <c r="AS620" s="4"/>
      <c r="AT620" s="697" t="str">
        <f>AL617</f>
        <v/>
      </c>
      <c r="AU620" s="694" t="e">
        <f t="shared" ca="1" si="10265"/>
        <v>#REF!</v>
      </c>
      <c r="AV620" s="686" t="str">
        <f ca="1">IFERROR(VLOOKUP(AU620,INDIRECT(AQ611),2,FALSE),"----")</f>
        <v>----</v>
      </c>
      <c r="AW620" s="694" t="e">
        <f t="shared" ca="1" si="10266"/>
        <v>#REF!</v>
      </c>
      <c r="AX620" s="686" t="str">
        <f ca="1">IFERROR(VLOOKUP(AW620,INDIRECT(AQ612),2,FALSE),"----")</f>
        <v>----</v>
      </c>
      <c r="AY620" s="694" t="e">
        <f t="shared" ca="1" si="10511"/>
        <v>#REF!</v>
      </c>
      <c r="AZ620" s="686" t="str">
        <f ca="1">IFERROR(VLOOKUP(AY620,INDIRECT(AQ613),2,FALSE),"----")</f>
        <v>----</v>
      </c>
      <c r="BA620" s="694" t="e">
        <f t="shared" ca="1" si="10512"/>
        <v>#REF!</v>
      </c>
      <c r="BB620" s="686" t="str">
        <f ca="1">IFERROR(VLOOKUP(BA620,INDIRECT(AQ614),2,FALSE),"----")</f>
        <v>----</v>
      </c>
      <c r="BC620" s="694" t="e">
        <f t="shared" ca="1" si="10267"/>
        <v>#REF!</v>
      </c>
      <c r="BD620" s="686" t="str">
        <f ca="1">IFERROR(VLOOKUP(BC620,INDIRECT(AQ615),2,FALSE),"----")</f>
        <v>----</v>
      </c>
      <c r="BE620" s="694" t="e">
        <f t="shared" ca="1" si="10268"/>
        <v>#REF!</v>
      </c>
      <c r="BF620" s="686" t="str">
        <f ca="1">IFERROR(VLOOKUP(BE620,INDIRECT(AQ616),2,FALSE),"----")</f>
        <v>----</v>
      </c>
      <c r="BG620" s="702" t="e">
        <f t="shared" ca="1" si="10269"/>
        <v>#REF!</v>
      </c>
      <c r="BH620" s="686" t="str">
        <f ca="1">IFERROR(VLOOKUP(BG620,INDIRECT(AQ617),2,FALSE),"----")</f>
        <v>----</v>
      </c>
      <c r="BI620" s="702" t="e">
        <f t="shared" ca="1" si="10270"/>
        <v>#REF!</v>
      </c>
      <c r="BJ620" s="686" t="str">
        <f ca="1">IFERROR(VLOOKUP(BI620,INDIRECT(AQ618),2,FALSE),"----")</f>
        <v>----</v>
      </c>
      <c r="BK620" s="702" t="e">
        <f t="shared" ca="1" si="10271"/>
        <v>#REF!</v>
      </c>
      <c r="BL620" s="686" t="str">
        <f ca="1">IFERROR(VLOOKUP(BK620,INDIRECT(AQ619),2,FALSE),"----")</f>
        <v>----</v>
      </c>
      <c r="BM620" s="702" t="e">
        <f t="shared" ca="1" si="10272"/>
        <v>#REF!</v>
      </c>
      <c r="BN620" s="686" t="str">
        <f ca="1">IFERROR(VLOOKUP(BM620,INDIRECT(AQ620),2,FALSE),"----")</f>
        <v>----</v>
      </c>
      <c r="BO620" s="702" t="e">
        <f t="shared" ca="1" si="10273"/>
        <v>#REF!</v>
      </c>
      <c r="BP620" s="686" t="str">
        <f ca="1">IFERROR(VLOOKUP(BO620,INDIRECT(AQ621),2,FALSE),"----")</f>
        <v>----</v>
      </c>
      <c r="BQ620" s="702" t="e">
        <f t="shared" ca="1" si="10274"/>
        <v>#REF!</v>
      </c>
      <c r="BR620" s="686" t="str">
        <f ca="1">IFERROR(VLOOKUP(BQ620,INDIRECT(AQ622),2,FALSE),"----")</f>
        <v>----</v>
      </c>
      <c r="BS620" s="695">
        <f>IF(AI620="",1,IF(COUNTIF(BN611:BN622,AI620)=0,2,1))</f>
        <v>1</v>
      </c>
      <c r="BT620" s="696">
        <f>IF(AF620="",1,IF(BN611=".",2,1))</f>
        <v>1</v>
      </c>
      <c r="BU620" s="706"/>
      <c r="BV620" s="155">
        <f ca="1">IF(COUNTIF(DX611:DX622,AF620)=0,IF(AF620&lt;&gt;"",0,1),1)</f>
        <v>1</v>
      </c>
      <c r="BW620" s="157">
        <f ca="1">IFERROR(MATCH(AF620,DX611:DX622,0),1)</f>
        <v>1</v>
      </c>
      <c r="BX620" s="769" t="e">
        <f t="shared" ref="BX620" si="11460">5*E611^3*W617/(384*X611)</f>
        <v>#VALUE!</v>
      </c>
      <c r="BY620" s="769" t="e">
        <f t="shared" ref="BY620" si="11461">E611^3*W617/(60*X611)</f>
        <v>#VALUE!</v>
      </c>
      <c r="BZ620" s="1110"/>
      <c r="CA620" s="691" t="e">
        <f t="shared" ca="1" si="11312"/>
        <v>#REF!</v>
      </c>
      <c r="CB620" s="4" t="e" cm="1">
        <f t="array" aca="1" ref="CB620" ca="1">IF(AND(INDEX(INDIRECT(BY611),CA620,4)&gt;=$AB611,INDEX(INDIRECT(BY611),CA620,5)&gt;=$S611,INDEX(INDIRECT(BY611),CA620,6)&gt;=$R611),1,0)</f>
        <v>#REF!</v>
      </c>
      <c r="CC620" s="4" t="e">
        <f t="shared" ref="CC620" ca="1" si="11462">MATCH(1,OFFSET(CB611:CB622,CD619,0,COUNT(CB611:CB622)-CD619),0)</f>
        <v>#REF!</v>
      </c>
      <c r="CD620" s="4" t="e">
        <f t="shared" ca="1" si="11314"/>
        <v>#REF!</v>
      </c>
      <c r="CE620" s="692" t="str" cm="1">
        <f t="array" aca="1" ref="CE620" ca="1">IFERROR(VLOOKUP(INDEX(CA611:CA622,CD620),INDIRECT(BY611),2,FALSE),"----")</f>
        <v>----</v>
      </c>
      <c r="CF620" s="691" t="e">
        <f t="shared" ca="1" si="11315"/>
        <v>#N/A</v>
      </c>
      <c r="CG620" s="4" t="e">
        <f ca="1">IF(AND(INDEX(SSM,CF620,4)&gt;=$AB611,INDEX(SSM,CF620,5)&gt;=$S611,INDEX(SSM,CF620,6)&gt;=$R611),1,0)</f>
        <v>#N/A</v>
      </c>
      <c r="CH620" s="4" t="e">
        <f t="shared" ref="CH620" ca="1" si="11463">MATCH(1,OFFSET(CG611:CG622,CI619,0,COUNT(CG611:CG622)-CI619),0)</f>
        <v>#REF!</v>
      </c>
      <c r="CI620" s="4" t="e">
        <f t="shared" ca="1" si="11317"/>
        <v>#REF!</v>
      </c>
      <c r="CJ620" s="692" t="str">
        <f ca="1">IFERROR(IF(AD612="Nested Steel Stud (wood infill)",VLOOKUP(INDEX(CF611:CF622,CI620),SSW,2,FALSE),VLOOKUP(INDEX(CF611:CF622,CI620),SSM,2,FALSE)),"----")</f>
        <v>----</v>
      </c>
      <c r="CK620" s="691" t="e">
        <f t="shared" ca="1" si="11318"/>
        <v>#N/A</v>
      </c>
      <c r="CL620" s="4" t="e">
        <f ca="1">IF(AND(INDEX(WSM,CK620,4)&gt;=$AB611,INDEX(WSM,CK620,5)&gt;=$S611,INDEX(WSM,CK620,6)&gt;=$R611),1,0)</f>
        <v>#N/A</v>
      </c>
      <c r="CM620" s="4" t="e">
        <f t="shared" ref="CM620" ca="1" si="11464">MATCH(1,OFFSET(CL611:CL622,CN619,0,COUNT(CL611:CL622)-CN619),0)</f>
        <v>#REF!</v>
      </c>
      <c r="CN620" s="4" t="e">
        <f t="shared" ca="1" si="11320"/>
        <v>#REF!</v>
      </c>
      <c r="CO620" s="692" t="str">
        <f ca="1">IFERROR(VLOOKUP(INDEX(CK611:CK622,CN620),WSM,2,FALSE),"----")</f>
        <v>----</v>
      </c>
      <c r="CP620" s="691" t="e">
        <f t="shared" ca="1" si="11321"/>
        <v>#N/A</v>
      </c>
      <c r="CQ620" s="4" t="e">
        <f ca="1">IF(AND(INDEX(STM,CP620,4)&gt;=$AB611,INDEX(STM,CP620,5)&gt;=$S611,INDEX(STM,CP620,6)&gt;=$R611),1,0)</f>
        <v>#N/A</v>
      </c>
      <c r="CR620" s="4" t="e">
        <f t="shared" ref="CR620" ca="1" si="11465">MATCH(1,OFFSET(CQ611:CQ622,CS619,0,COUNT(CQ611:CQ622)-CS619),0)</f>
        <v>#REF!</v>
      </c>
      <c r="CS620" s="4" t="e">
        <f t="shared" ca="1" si="11323"/>
        <v>#REF!</v>
      </c>
      <c r="CT620" s="692" t="str">
        <f ca="1">IFERROR(VLOOKUP(INDEX(CP611:CP622,CS620),STM,2,FALSE),"----")</f>
        <v>----</v>
      </c>
      <c r="CU620" s="691" t="e">
        <f t="shared" ca="1" si="11324"/>
        <v>#N/A</v>
      </c>
      <c r="CV620" s="4" t="e">
        <f ca="1">IF(AND(INDEX(ELM,CU620,4)&gt;=$AB611,INDEX(ELM,CU620,5)&gt;=$S611,INDEX(ELM,CU620,6)&gt;=$R611),1,0)</f>
        <v>#N/A</v>
      </c>
      <c r="CW620" s="4" t="e">
        <f t="shared" ref="CW620" ca="1" si="11466">MATCH(1,OFFSET(CV611:CV622,CX619,0,COUNT(CV611:CV622)-CX619),0)</f>
        <v>#REF!</v>
      </c>
      <c r="CX620" s="4" t="e">
        <f t="shared" ca="1" si="11326"/>
        <v>#REF!</v>
      </c>
      <c r="CY620" s="692" t="str">
        <f ca="1">IFERROR(VLOOKUP(INDEX(CU611:CU622,CX620),ELM,2,FALSE),"----")</f>
        <v>----</v>
      </c>
      <c r="CZ620" s="691" t="e">
        <f t="shared" ca="1" si="11327"/>
        <v>#N/A</v>
      </c>
      <c r="DA620" s="4" t="e">
        <f ca="1">IF(LEFT($J611,7)="Clad Wo",IF(AND(INDEX(SPPWS,CZ620,4)&gt;=$AB611,INDEX(SPPWS,CZ620,5)&gt;=$S611,INDEX(SPPWS,CZ620,6)&gt;=$R611),1,0),IF(AND(INDEX(SPM,CZ620,4)&gt;=$AB611,INDEX(SPM,CZ620,5)&gt;=$S611,INDEX(SPM,CZ620,6)&gt;=$R611),1,0))</f>
        <v>#N/A</v>
      </c>
      <c r="DB620" s="4" t="e">
        <f t="shared" ref="DB620" ca="1" si="11467">MATCH(1,OFFSET(DA611:DA622,DC619,0,COUNT(DA611:DA622)-DC619),0)</f>
        <v>#REF!</v>
      </c>
      <c r="DC620" s="4" t="e">
        <f t="shared" ca="1" si="11329"/>
        <v>#REF!</v>
      </c>
      <c r="DD620" s="693" t="str">
        <f ca="1">IF(LEFT($J611,7)="Clad Wo",IFERROR(VLOOKUP(INDEX(CZ611:CZ622,DC620),SPPWS,2,FALSE),"----"),IFERROR(VLOOKUP(INDEX(CZ611:CZ622,DC620),SPM,2,FALSE),"----"))</f>
        <v>----</v>
      </c>
      <c r="DE620" s="691" t="e">
        <f t="shared" ca="1" si="11330"/>
        <v>#REF!</v>
      </c>
      <c r="DF620" s="4" t="e" cm="1">
        <f t="array" aca="1" ref="DF620" ca="1">IF(AND(INDEX(INDIRECT(BY611),DE620,4)&gt;=$AB617,INDEX(INDIRECT(BY611),DE620,5)&gt;=$S611,INDEX(INDIRECT(BY611),DE620,6)&gt;=$R611),1,0)</f>
        <v>#REF!</v>
      </c>
      <c r="DG620" s="4" t="e">
        <f t="shared" ref="DG620" ca="1" si="11468">MATCH(1,OFFSET(DF611:DF622,DH619,0,COUNT(DF611:DF622)-DH619),0)</f>
        <v>#REF!</v>
      </c>
      <c r="DH620" s="4" t="e">
        <f t="shared" ca="1" si="11332"/>
        <v>#REF!</v>
      </c>
      <c r="DI620" s="692" t="str" cm="1">
        <f t="array" aca="1" ref="DI620" ca="1">IFERROR(VLOOKUP(INDEX(DE611:DE622,DH620),INDIRECT(BY611),2,FALSE),"----")</f>
        <v>----</v>
      </c>
      <c r="DJ620" s="691" t="e">
        <f t="shared" ca="1" si="11333"/>
        <v>#N/A</v>
      </c>
      <c r="DK620" s="4" t="e">
        <f ca="1">IF(AND(INDEX(SSM,DJ620,4)&gt;=$AB617,INDEX(SSM,DJ620,5)&gt;=$S611,INDEX(SSM,DJ620,6)&gt;=$R611),1,0)</f>
        <v>#N/A</v>
      </c>
      <c r="DL620" s="4" t="e">
        <f t="shared" ref="DL620" ca="1" si="11469">MATCH(1,OFFSET(DK611:DK622,DM619,0,COUNT(DK611:DK622)-DM619),0)</f>
        <v>#REF!</v>
      </c>
      <c r="DM620" s="4" t="e">
        <f t="shared" ca="1" si="11335"/>
        <v>#REF!</v>
      </c>
      <c r="DN620" s="692" t="str">
        <f ca="1">IFERROR(IF(AD618="Nested Steel Stud (wood infill)",VLOOKUP(INDEX(DJ611:DJ622,DM620),SSW,2,FALSE),VLOOKUP(INDEX(DJ611:DJ622,DM620),SSM,2,FALSE)),"----")</f>
        <v>----</v>
      </c>
      <c r="DO620" s="691" t="e">
        <f t="shared" ca="1" si="11336"/>
        <v>#N/A</v>
      </c>
      <c r="DP620" s="4" t="e">
        <f ca="1">IF(AND(INDEX(WSM,DO620,4)&gt;=$AB617,INDEX(WSM,DO620,5)&gt;=$S611,INDEX(WSM,DO620,6)&gt;=$R611),1,0)</f>
        <v>#N/A</v>
      </c>
      <c r="DQ620" s="4" t="e">
        <f t="shared" ref="DQ620" ca="1" si="11470">MATCH(1,OFFSET(DP611:DP622,DR619,0,COUNT(DP611:DP622)-DR619),0)</f>
        <v>#REF!</v>
      </c>
      <c r="DR620" s="4" t="e">
        <f t="shared" ca="1" si="11338"/>
        <v>#REF!</v>
      </c>
      <c r="DS620" s="692" t="str">
        <f ca="1">IFERROR(VLOOKUP(INDEX(DO611:DO622,DR620),WSM,2,FALSE),"----")</f>
        <v>----</v>
      </c>
      <c r="DT620" s="691" t="e">
        <f t="shared" ca="1" si="11339"/>
        <v>#N/A</v>
      </c>
      <c r="DU620" s="4" t="e">
        <f ca="1">IF(AND(INDEX(STM,DT620,4)&gt;=$AB617,INDEX(STM,DT620,5)&gt;=$S611,INDEX(STM,DT620,6)&gt;=$R611),1,0)</f>
        <v>#N/A</v>
      </c>
      <c r="DV620" s="4" t="e">
        <f t="shared" ref="DV620" ca="1" si="11471">MATCH(1,OFFSET(DU611:DU622,DW619,0,COUNT(DU611:DU622)-DW619),0)</f>
        <v>#REF!</v>
      </c>
      <c r="DW620" s="4" t="e">
        <f t="shared" ca="1" si="11341"/>
        <v>#REF!</v>
      </c>
      <c r="DX620" s="692" t="str">
        <f ca="1">IFERROR(VLOOKUP(INDEX(DT611:DT622,DW620),STM,2,FALSE),"----")</f>
        <v>----</v>
      </c>
      <c r="DY620" s="691" t="e">
        <f t="shared" ca="1" si="11342"/>
        <v>#N/A</v>
      </c>
      <c r="DZ620" s="4" t="e">
        <f ca="1">IF(AND(INDEX(ELM,DY620,4)&gt;=$AB617,INDEX(ELM,DY620,5)&gt;=$S611,INDEX(ELM,DY620,6)&gt;=$R611),1,0)</f>
        <v>#N/A</v>
      </c>
      <c r="EA620" s="4" t="e">
        <f t="shared" ref="EA620" ca="1" si="11472">MATCH(1,OFFSET(DZ611:DZ622,EB619,0,COUNT(DZ611:DZ622)-EB619),0)</f>
        <v>#REF!</v>
      </c>
      <c r="EB620" s="4" t="e">
        <f t="shared" ca="1" si="11344"/>
        <v>#REF!</v>
      </c>
      <c r="EC620" s="692" t="str">
        <f ca="1">IFERROR(VLOOKUP(INDEX(DY611:DY622,EB620),ELM,2,FALSE),"----")</f>
        <v>----</v>
      </c>
      <c r="ED620" s="691" t="e">
        <f t="shared" ca="1" si="11345"/>
        <v>#N/A</v>
      </c>
      <c r="EE620" s="4" t="e">
        <f ca="1">IF(LEFT($J611,7)="Clad Wo",IF(AND(INDEX(SPPWS,ED620,4)&gt;=$AB617,INDEX(SPPWS,ED620,5)&gt;=$S611,INDEX(SPPWS,ED620,6)&gt;=$R611),1,0),IF(AND(INDEX(SPM,ED620,4)&gt;=$AB617,INDEX(SPM,ED620,5)&gt;=$S611,INDEX(SPM,ED620,6)&gt;=$R611),1,0))</f>
        <v>#N/A</v>
      </c>
      <c r="EF620" s="4" t="e">
        <f t="shared" ref="EF620" ca="1" si="11473">MATCH(1,OFFSET(EE611:EE622,EG619,0,COUNT(EE611:EE622)-EG619),0)</f>
        <v>#REF!</v>
      </c>
      <c r="EG620" s="4" t="e">
        <f t="shared" ca="1" si="11347"/>
        <v>#REF!</v>
      </c>
      <c r="EH620" s="692" t="str">
        <f ca="1">IF(LEFT($J611,7)="Clad Wo",IFERROR(VLOOKUP(INDEX(ED611:ED622,EG620),SPPWS,2,FALSE),"----"),IFERROR(VLOOKUP(INDEX(ED611:ED622,EG620),SPM,2,FALSE),"----"))</f>
        <v>----</v>
      </c>
    </row>
    <row r="621" spans="1:138" ht="15" customHeight="1" x14ac:dyDescent="0.25">
      <c r="A621" s="1085"/>
      <c r="B621" s="925"/>
      <c r="C621" s="926"/>
      <c r="D621" s="927"/>
      <c r="E621" s="995"/>
      <c r="F621" s="996"/>
      <c r="G621" s="997"/>
      <c r="H621" s="1062"/>
      <c r="I621" s="990"/>
      <c r="J621" s="902"/>
      <c r="K621" s="903"/>
      <c r="L621" s="1002"/>
      <c r="M621" s="923"/>
      <c r="N621" s="1042"/>
      <c r="O621" s="1018"/>
      <c r="P621" s="987"/>
      <c r="Q621" s="1015"/>
      <c r="R621" s="1012"/>
      <c r="S621" s="1006"/>
      <c r="T621" s="1007"/>
      <c r="U621" s="878"/>
      <c r="V621" s="881"/>
      <c r="W621" s="884"/>
      <c r="X621" s="884"/>
      <c r="Y621" s="887"/>
      <c r="Z621" s="887"/>
      <c r="AA621" s="887"/>
      <c r="AB621" s="1081"/>
      <c r="AC621" s="1078"/>
      <c r="AD621" s="1070" t="str">
        <f t="shared" si="10247"/>
        <v>Engineered Lumber</v>
      </c>
      <c r="AE621" s="1071"/>
      <c r="AF621" s="1052"/>
      <c r="AG621" s="1053"/>
      <c r="AH621" s="1053"/>
      <c r="AI621" s="1068"/>
      <c r="AJ621" s="1069"/>
      <c r="AK621" s="154" t="str">
        <f t="shared" ca="1" si="11298"/>
        <v/>
      </c>
      <c r="AL621" s="1059"/>
      <c r="AM621" s="344" t="str">
        <f ca="1">IFERROR(Q611/12*ROUND(VLOOKUP(AF621,OFFSET(ELM,0,1),6,FALSE),2),"")</f>
        <v/>
      </c>
      <c r="AN621" t="str">
        <f t="shared" ca="1" si="11348"/>
        <v/>
      </c>
      <c r="AP621" s="122" t="str">
        <f t="shared" ref="AP621" si="11474">_xlfn.CONCAT(AR621,AS622)</f>
        <v/>
      </c>
      <c r="AQ621" s="683" t="str">
        <f t="shared" si="10249"/>
        <v/>
      </c>
      <c r="AR621" s="4" t="str">
        <f t="shared" si="11273"/>
        <v/>
      </c>
      <c r="AS621" s="4"/>
      <c r="AT621" s="697" t="str">
        <f>AL617</f>
        <v/>
      </c>
      <c r="AU621" s="694" t="e">
        <f t="shared" ca="1" si="10265"/>
        <v>#REF!</v>
      </c>
      <c r="AV621" s="698" t="str">
        <f ca="1">IFERROR(VLOOKUP(AU621,INDIRECT(AQ611),2,FALSE),"----")</f>
        <v>----</v>
      </c>
      <c r="AW621" s="694" t="e">
        <f t="shared" ca="1" si="10266"/>
        <v>#REF!</v>
      </c>
      <c r="AX621" s="698" t="str">
        <f ca="1">IFERROR(VLOOKUP(AW621,INDIRECT(AQ612),2,FALSE),"----")</f>
        <v>----</v>
      </c>
      <c r="AY621" s="694" t="e">
        <f t="shared" ca="1" si="10511"/>
        <v>#REF!</v>
      </c>
      <c r="AZ621" s="698" t="str">
        <f ca="1">IFERROR(VLOOKUP(AY621,INDIRECT(AQ613),2,FALSE),"----")</f>
        <v>----</v>
      </c>
      <c r="BA621" s="694" t="e">
        <f t="shared" ca="1" si="10512"/>
        <v>#REF!</v>
      </c>
      <c r="BB621" s="698" t="str">
        <f ca="1">IFERROR(VLOOKUP(BA621,INDIRECT(AQ614),2,FALSE),"----")</f>
        <v>----</v>
      </c>
      <c r="BC621" s="694" t="e">
        <f t="shared" ca="1" si="10267"/>
        <v>#REF!</v>
      </c>
      <c r="BD621" s="698" t="str">
        <f ca="1">IFERROR(VLOOKUP(BC621,INDIRECT(AQ615),2,FALSE),"----")</f>
        <v>----</v>
      </c>
      <c r="BE621" s="694" t="e">
        <f t="shared" ca="1" si="10268"/>
        <v>#REF!</v>
      </c>
      <c r="BF621" s="698" t="str">
        <f ca="1">IFERROR(VLOOKUP(BE621,INDIRECT(AQ616),2,FALSE),"----")</f>
        <v>----</v>
      </c>
      <c r="BG621" s="702" t="e">
        <f t="shared" ca="1" si="10269"/>
        <v>#REF!</v>
      </c>
      <c r="BH621" s="686" t="str">
        <f ca="1">IFERROR(VLOOKUP(BG621,INDIRECT(AQ617),2,FALSE),"----")</f>
        <v>----</v>
      </c>
      <c r="BI621" s="702" t="e">
        <f t="shared" ca="1" si="10270"/>
        <v>#REF!</v>
      </c>
      <c r="BJ621" s="686" t="str">
        <f ca="1">IFERROR(VLOOKUP(BI621,INDIRECT(AQ618),2,FALSE),"----")</f>
        <v>----</v>
      </c>
      <c r="BK621" s="702" t="e">
        <f t="shared" ca="1" si="10271"/>
        <v>#REF!</v>
      </c>
      <c r="BL621" s="686" t="str">
        <f ca="1">IFERROR(VLOOKUP(BK621,INDIRECT(AQ619),2,FALSE),"----")</f>
        <v>----</v>
      </c>
      <c r="BM621" s="702" t="e">
        <f t="shared" ca="1" si="10272"/>
        <v>#REF!</v>
      </c>
      <c r="BN621" s="686" t="str">
        <f ca="1">IFERROR(VLOOKUP(BM621,INDIRECT(AQ620),2,FALSE),"----")</f>
        <v>----</v>
      </c>
      <c r="BO621" s="702" t="e">
        <f t="shared" ca="1" si="10273"/>
        <v>#REF!</v>
      </c>
      <c r="BP621" s="686" t="str">
        <f ca="1">IFERROR(VLOOKUP(BO621,INDIRECT(AQ621),2,FALSE),"----")</f>
        <v>----</v>
      </c>
      <c r="BQ621" s="702" t="e">
        <f t="shared" ca="1" si="10274"/>
        <v>#REF!</v>
      </c>
      <c r="BR621" s="686" t="str">
        <f ca="1">IFERROR(VLOOKUP(BQ621,INDIRECT(AQ622),2,FALSE),"----")</f>
        <v>----</v>
      </c>
      <c r="BS621" s="695">
        <f>IF(AI621="",1,IF(COUNTIF(BP611:BP622,AI621)=0,2,1))</f>
        <v>1</v>
      </c>
      <c r="BT621" s="696">
        <f>IF(AF621="",1,IF(BP611=".",2,1))</f>
        <v>1</v>
      </c>
      <c r="BU621" s="706"/>
      <c r="BV621" s="155">
        <f ca="1">IF(COUNTIF(EC611:EC622,AF621)=0,IF(AF621&lt;&gt;"",0,1),1)</f>
        <v>1</v>
      </c>
      <c r="BW621" s="157">
        <f ca="1">IFERROR(MATCH(AF621,EC611:EC622,0),1)</f>
        <v>1</v>
      </c>
      <c r="BX621" s="769"/>
      <c r="BY621" s="769"/>
      <c r="BZ621" s="1110"/>
      <c r="CA621" s="691" t="e">
        <f t="shared" ca="1" si="11312"/>
        <v>#REF!</v>
      </c>
      <c r="CB621" s="4" t="e" cm="1">
        <f t="array" aca="1" ref="CB621" ca="1">IF(AND(INDEX(INDIRECT(BY611),CA621,4)&gt;=$AB611,INDEX(INDIRECT(BY611),CA621,5)&gt;=$S611,INDEX(INDIRECT(BY611),CA621,6)&gt;=$R611),1,0)</f>
        <v>#REF!</v>
      </c>
      <c r="CC621" s="4" t="e">
        <f t="shared" ref="CC621" ca="1" si="11475">MATCH(1,OFFSET(CB611:CB622,CD620,0,COUNT(CB611:CB622)-CD620),0)</f>
        <v>#REF!</v>
      </c>
      <c r="CD621" s="4" t="e">
        <f t="shared" ca="1" si="11314"/>
        <v>#REF!</v>
      </c>
      <c r="CE621" s="692" t="str" cm="1">
        <f t="array" aca="1" ref="CE621" ca="1">IFERROR(VLOOKUP(INDEX(CA611:CA622,CD621),INDIRECT(BY611),2,FALSE),"----")</f>
        <v>----</v>
      </c>
      <c r="CF621" s="691" t="e">
        <f t="shared" ca="1" si="11315"/>
        <v>#N/A</v>
      </c>
      <c r="CG621" s="4" t="e">
        <f ca="1">IF(AND(INDEX(SSM,CF621,4)&gt;=$AB611,INDEX(SSM,CF621,5)&gt;=$S611,INDEX(SSM,CF621,6)&gt;=$R611),1,0)</f>
        <v>#N/A</v>
      </c>
      <c r="CH621" s="4" t="e">
        <f t="shared" ref="CH621" ca="1" si="11476">MATCH(1,OFFSET(CG611:CG622,CI620,0,COUNT(CG611:CG622)-CI620),0)</f>
        <v>#REF!</v>
      </c>
      <c r="CI621" s="4" t="e">
        <f t="shared" ca="1" si="11317"/>
        <v>#REF!</v>
      </c>
      <c r="CJ621" s="692" t="str">
        <f ca="1">IFERROR(IF(AD612="Nested Steel Stud (wood infill)",VLOOKUP(INDEX(CF611:CF622,CI621),SSW,2,FALSE),VLOOKUP(INDEX(CF611:CF622,CI621),SSM,2,FALSE)),"----")</f>
        <v>----</v>
      </c>
      <c r="CK621" s="691" t="e">
        <f t="shared" ca="1" si="11318"/>
        <v>#N/A</v>
      </c>
      <c r="CL621" s="4" t="e">
        <f ca="1">IF(AND(INDEX(WSM,CK621,4)&gt;=$AB611,INDEX(WSM,CK621,5)&gt;=$S611,INDEX(WSM,CK621,6)&gt;=$R611),1,0)</f>
        <v>#N/A</v>
      </c>
      <c r="CM621" s="4" t="e">
        <f t="shared" ref="CM621" ca="1" si="11477">MATCH(1,OFFSET(CL611:CL622,CN620,0,COUNT(CL611:CL622)-CN620),0)</f>
        <v>#REF!</v>
      </c>
      <c r="CN621" s="4" t="e">
        <f t="shared" ca="1" si="11320"/>
        <v>#REF!</v>
      </c>
      <c r="CO621" s="692" t="str">
        <f ca="1">IFERROR(VLOOKUP(INDEX(CK611:CK622,CN621),WSM,2,FALSE),"----")</f>
        <v>----</v>
      </c>
      <c r="CP621" s="691" t="e">
        <f t="shared" ca="1" si="11321"/>
        <v>#N/A</v>
      </c>
      <c r="CQ621" s="4" t="e">
        <f ca="1">IF(AND(INDEX(STM,CP621,4)&gt;=$AB611,INDEX(STM,CP621,5)&gt;=$S611,INDEX(STM,CP621,6)&gt;=$R611),1,0)</f>
        <v>#N/A</v>
      </c>
      <c r="CR621" s="4" t="e">
        <f t="shared" ref="CR621" ca="1" si="11478">MATCH(1,OFFSET(CQ611:CQ622,CS620,0,COUNT(CQ611:CQ622)-CS620),0)</f>
        <v>#REF!</v>
      </c>
      <c r="CS621" s="4" t="e">
        <f t="shared" ca="1" si="11323"/>
        <v>#REF!</v>
      </c>
      <c r="CT621" s="692" t="str">
        <f ca="1">IFERROR(VLOOKUP(INDEX(CP611:CP622,CS621),STM,2,FALSE),"----")</f>
        <v>----</v>
      </c>
      <c r="CU621" s="691" t="e">
        <f t="shared" ca="1" si="11324"/>
        <v>#N/A</v>
      </c>
      <c r="CV621" s="4" t="e">
        <f ca="1">IF(AND(INDEX(ELM,CU621,4)&gt;=$AB611,INDEX(ELM,CU621,5)&gt;=$S611,INDEX(ELM,CU621,6)&gt;=$R611),1,0)</f>
        <v>#N/A</v>
      </c>
      <c r="CW621" s="4" t="e">
        <f t="shared" ref="CW621" ca="1" si="11479">MATCH(1,OFFSET(CV611:CV622,CX620,0,COUNT(CV611:CV622)-CX620),0)</f>
        <v>#REF!</v>
      </c>
      <c r="CX621" s="4" t="e">
        <f t="shared" ca="1" si="11326"/>
        <v>#REF!</v>
      </c>
      <c r="CY621" s="692" t="str">
        <f ca="1">IFERROR(VLOOKUP(INDEX(CU611:CU622,CX621),ELM,2,FALSE),"----")</f>
        <v>----</v>
      </c>
      <c r="CZ621" s="691" t="e">
        <f t="shared" ca="1" si="11327"/>
        <v>#N/A</v>
      </c>
      <c r="DA621" s="4" t="e">
        <f ca="1">IF(LEFT($J611,7)="Clad Wo",IF(AND(INDEX(SPPWS,CZ621,4)&gt;=$AB611,INDEX(SPPWS,CZ621,5)&gt;=$S611,INDEX(SPPWS,CZ621,6)&gt;=$R611),1,0),IF(AND(INDEX(SPM,CZ621,4)&gt;=$AB611,INDEX(SPM,CZ621,5)&gt;=$S611,INDEX(SPM,CZ621,6)&gt;=$R611),1,0))</f>
        <v>#N/A</v>
      </c>
      <c r="DB621" s="4" t="e">
        <f t="shared" ref="DB621" ca="1" si="11480">MATCH(1,OFFSET(DA611:DA622,DC620,0,COUNT(DA611:DA622)-DC620),0)</f>
        <v>#REF!</v>
      </c>
      <c r="DC621" s="4" t="e">
        <f t="shared" ca="1" si="11329"/>
        <v>#REF!</v>
      </c>
      <c r="DD621" s="693" t="str">
        <f ca="1">IF(LEFT($J611,7)="Clad Wo",IFERROR(VLOOKUP(INDEX(CZ611:CZ622,DC621),SPPWS,2,FALSE),"----"),IFERROR(VLOOKUP(INDEX(CZ611:CZ622,DC621),SPM,2,FALSE),"----"))</f>
        <v>----</v>
      </c>
      <c r="DE621" s="691" t="e">
        <f t="shared" ca="1" si="11330"/>
        <v>#REF!</v>
      </c>
      <c r="DF621" s="4" t="e" cm="1">
        <f t="array" aca="1" ref="DF621" ca="1">IF(AND(INDEX(INDIRECT(BY611),DE621,4)&gt;=$AB617,INDEX(INDIRECT(BY611),DE621,5)&gt;=$S611,INDEX(INDIRECT(BY611),DE621,6)&gt;=$R611),1,0)</f>
        <v>#REF!</v>
      </c>
      <c r="DG621" s="4" t="e">
        <f t="shared" ref="DG621" ca="1" si="11481">MATCH(1,OFFSET(DF611:DF622,DH620,0,COUNT(DF611:DF622)-DH620),0)</f>
        <v>#REF!</v>
      </c>
      <c r="DH621" s="4" t="e">
        <f t="shared" ca="1" si="11332"/>
        <v>#REF!</v>
      </c>
      <c r="DI621" s="692" t="str" cm="1">
        <f t="array" aca="1" ref="DI621" ca="1">IFERROR(VLOOKUP(INDEX(DE611:DE622,DH621),INDIRECT(BY611),2,FALSE),"----")</f>
        <v>----</v>
      </c>
      <c r="DJ621" s="691" t="e">
        <f t="shared" ca="1" si="11333"/>
        <v>#N/A</v>
      </c>
      <c r="DK621" s="4" t="e">
        <f ca="1">IF(AND(INDEX(SSM,DJ621,4)&gt;=$AB617,INDEX(SSM,DJ621,5)&gt;=$S611,INDEX(SSM,DJ621,6)&gt;=$R611),1,0)</f>
        <v>#N/A</v>
      </c>
      <c r="DL621" s="4" t="e">
        <f t="shared" ref="DL621" ca="1" si="11482">MATCH(1,OFFSET(DK611:DK622,DM620,0,COUNT(DK611:DK622)-DM620),0)</f>
        <v>#REF!</v>
      </c>
      <c r="DM621" s="4" t="e">
        <f t="shared" ca="1" si="11335"/>
        <v>#REF!</v>
      </c>
      <c r="DN621" s="692" t="str">
        <f ca="1">IFERROR(IF(AD618="Nested Steel Stud (wood infill)",VLOOKUP(INDEX(DJ611:DJ622,DM621),SSW,2,FALSE),VLOOKUP(INDEX(DJ611:DJ622,DM621),SSM,2,FALSE)),"----")</f>
        <v>----</v>
      </c>
      <c r="DO621" s="691" t="e">
        <f t="shared" ca="1" si="11336"/>
        <v>#N/A</v>
      </c>
      <c r="DP621" s="4" t="e">
        <f ca="1">IF(AND(INDEX(WSM,DO621,4)&gt;=$AB617,INDEX(WSM,DO621,5)&gt;=$S611,INDEX(WSM,DO621,6)&gt;=$R611),1,0)</f>
        <v>#N/A</v>
      </c>
      <c r="DQ621" s="4" t="e">
        <f t="shared" ref="DQ621" ca="1" si="11483">MATCH(1,OFFSET(DP611:DP622,DR620,0,COUNT(DP611:DP622)-DR620),0)</f>
        <v>#REF!</v>
      </c>
      <c r="DR621" s="4" t="e">
        <f t="shared" ca="1" si="11338"/>
        <v>#REF!</v>
      </c>
      <c r="DS621" s="692" t="str">
        <f ca="1">IFERROR(VLOOKUP(INDEX(DO611:DO622,DR621),WSM,2,FALSE),"----")</f>
        <v>----</v>
      </c>
      <c r="DT621" s="691" t="e">
        <f t="shared" ca="1" si="11339"/>
        <v>#N/A</v>
      </c>
      <c r="DU621" s="4" t="e">
        <f ca="1">IF(AND(INDEX(STM,DT621,4)&gt;=$AB617,INDEX(STM,DT621,5)&gt;=$S611,INDEX(STM,DT621,6)&gt;=$R611),1,0)</f>
        <v>#N/A</v>
      </c>
      <c r="DV621" s="4" t="e">
        <f t="shared" ref="DV621" ca="1" si="11484">MATCH(1,OFFSET(DU611:DU622,DW620,0,COUNT(DU611:DU622)-DW620),0)</f>
        <v>#REF!</v>
      </c>
      <c r="DW621" s="4" t="e">
        <f t="shared" ca="1" si="11341"/>
        <v>#REF!</v>
      </c>
      <c r="DX621" s="692" t="str">
        <f ca="1">IFERROR(VLOOKUP(INDEX(DT611:DT622,DW621),STM,2,FALSE),"----")</f>
        <v>----</v>
      </c>
      <c r="DY621" s="691" t="e">
        <f t="shared" ca="1" si="11342"/>
        <v>#N/A</v>
      </c>
      <c r="DZ621" s="4" t="e">
        <f ca="1">IF(AND(INDEX(ELM,DY621,4)&gt;=$AB617,INDEX(ELM,DY621,5)&gt;=$S611,INDEX(ELM,DY621,6)&gt;=$R611),1,0)</f>
        <v>#N/A</v>
      </c>
      <c r="EA621" s="4" t="e">
        <f t="shared" ref="EA621" ca="1" si="11485">MATCH(1,OFFSET(DZ611:DZ622,EB620,0,COUNT(DZ611:DZ622)-EB620),0)</f>
        <v>#REF!</v>
      </c>
      <c r="EB621" s="4" t="e">
        <f t="shared" ca="1" si="11344"/>
        <v>#REF!</v>
      </c>
      <c r="EC621" s="692" t="str">
        <f ca="1">IFERROR(VLOOKUP(INDEX(DY611:DY622,EB621),ELM,2,FALSE),"----")</f>
        <v>----</v>
      </c>
      <c r="ED621" s="691" t="e">
        <f t="shared" ca="1" si="11345"/>
        <v>#N/A</v>
      </c>
      <c r="EE621" s="4" t="e">
        <f ca="1">IF(LEFT($J611,7)="Clad Wo",IF(AND(INDEX(SPPWS,ED621,4)&gt;=$AB617,INDEX(SPPWS,ED621,5)&gt;=$S611,INDEX(SPPWS,ED621,6)&gt;=$R611),1,0),IF(AND(INDEX(SPM,ED621,4)&gt;=$AB617,INDEX(SPM,ED621,5)&gt;=$S611,INDEX(SPM,ED621,6)&gt;=$R611),1,0))</f>
        <v>#N/A</v>
      </c>
      <c r="EF621" s="4" t="e">
        <f t="shared" ref="EF621" ca="1" si="11486">MATCH(1,OFFSET(EE611:EE622,EG620,0,COUNT(EE611:EE622)-EG620),0)</f>
        <v>#REF!</v>
      </c>
      <c r="EG621" s="4" t="e">
        <f t="shared" ca="1" si="11347"/>
        <v>#REF!</v>
      </c>
      <c r="EH621" s="692" t="str">
        <f ca="1">IF(LEFT($J611,7)="Clad Wo",IFERROR(VLOOKUP(INDEX(ED611:ED622,EG621),SPPWS,2,FALSE),"----"),IFERROR(VLOOKUP(INDEX(ED611:ED622,EG621),SPM,2,FALSE),"----"))</f>
        <v>----</v>
      </c>
    </row>
    <row r="622" spans="1:138" ht="15" customHeight="1" thickBot="1" x14ac:dyDescent="0.3">
      <c r="A622" s="1085"/>
      <c r="B622" s="928"/>
      <c r="C622" s="929"/>
      <c r="D622" s="930"/>
      <c r="E622" s="998"/>
      <c r="F622" s="999"/>
      <c r="G622" s="1000"/>
      <c r="H622" s="1063"/>
      <c r="I622" s="991"/>
      <c r="J622" s="904"/>
      <c r="K622" s="905"/>
      <c r="L622" s="1003"/>
      <c r="M622" s="1065"/>
      <c r="N622" s="1043"/>
      <c r="O622" s="1019"/>
      <c r="P622" s="988"/>
      <c r="Q622" s="1016"/>
      <c r="R622" s="1013"/>
      <c r="S622" s="1008"/>
      <c r="T622" s="1009"/>
      <c r="U622" s="879"/>
      <c r="V622" s="882"/>
      <c r="W622" s="885"/>
      <c r="X622" s="885"/>
      <c r="Y622" s="888"/>
      <c r="Z622" s="888"/>
      <c r="AA622" s="888"/>
      <c r="AB622" s="1082"/>
      <c r="AC622" s="1087"/>
      <c r="AD622" s="1098" t="str">
        <f t="shared" ref="AD622" si="11487">IF(LEFT(J611,7)="Clad Wo","Pella Wood Spr / Steel Pte","Steel Plate")</f>
        <v>Steel Plate</v>
      </c>
      <c r="AE622" s="1099"/>
      <c r="AF622" s="1096"/>
      <c r="AG622" s="1097"/>
      <c r="AH622" s="1097"/>
      <c r="AI622" s="1094"/>
      <c r="AJ622" s="1095"/>
      <c r="AK622" s="163" t="str">
        <f t="shared" ca="1" si="11298"/>
        <v/>
      </c>
      <c r="AL622" s="1060"/>
      <c r="AM622" s="345" t="str">
        <f ca="1">IFERROR(Q611/12*ROUND(VLOOKUP(AF622,OFFSET(SPM,0,1),6,FALSE),2),"")</f>
        <v/>
      </c>
      <c r="AN622" t="str">
        <f t="shared" ca="1" si="11348"/>
        <v/>
      </c>
      <c r="AP622" s="699" t="str">
        <f t="shared" ref="AP622" si="11488">_xlfn.CONCAT(AR622,AS622)</f>
        <v/>
      </c>
      <c r="AQ622" s="700" t="str">
        <f t="shared" si="10249"/>
        <v/>
      </c>
      <c r="AR622" s="160" t="str">
        <f t="shared" si="11273"/>
        <v/>
      </c>
      <c r="AS622" s="160" t="str">
        <f>IFERROR(VLOOKUP(J619, WallType,2,FALSE),"")</f>
        <v/>
      </c>
      <c r="AT622" s="707" t="str">
        <f>AL617</f>
        <v/>
      </c>
      <c r="AU622" s="708" t="e">
        <f t="shared" ca="1" si="10265"/>
        <v>#REF!</v>
      </c>
      <c r="AV622" s="709" t="str">
        <f ca="1">IFERROR(VLOOKUP(AU622,INDIRECT(AQ611),2,FALSE),"----")</f>
        <v>----</v>
      </c>
      <c r="AW622" s="710" t="e">
        <f t="shared" ca="1" si="10266"/>
        <v>#REF!</v>
      </c>
      <c r="AX622" s="709" t="str">
        <f ca="1">IFERROR(VLOOKUP(AW622,INDIRECT(AQ612),2,FALSE),"----")</f>
        <v>----</v>
      </c>
      <c r="AY622" s="710" t="e">
        <f t="shared" ca="1" si="10511"/>
        <v>#REF!</v>
      </c>
      <c r="AZ622" s="709" t="str">
        <f ca="1">IFERROR(VLOOKUP(AY622,INDIRECT(AQ613),2,FALSE),"----")</f>
        <v>----</v>
      </c>
      <c r="BA622" s="710" t="e">
        <f t="shared" ca="1" si="10512"/>
        <v>#REF!</v>
      </c>
      <c r="BB622" s="709" t="str">
        <f ca="1">IFERROR(VLOOKUP(BA622,INDIRECT(AQ614),2,FALSE),"----")</f>
        <v>----</v>
      </c>
      <c r="BC622" s="710" t="e">
        <f t="shared" ca="1" si="10267"/>
        <v>#REF!</v>
      </c>
      <c r="BD622" s="709" t="str">
        <f ca="1">IFERROR(VLOOKUP(BC622,INDIRECT(AQ615),2,FALSE),"----")</f>
        <v>----</v>
      </c>
      <c r="BE622" s="710" t="e">
        <f t="shared" ca="1" si="10268"/>
        <v>#REF!</v>
      </c>
      <c r="BF622" s="709" t="str">
        <f ca="1">IFERROR(VLOOKUP(BE622,INDIRECT(AQ616),2,FALSE),"----")</f>
        <v>----</v>
      </c>
      <c r="BG622" s="710" t="e">
        <f t="shared" ca="1" si="10269"/>
        <v>#REF!</v>
      </c>
      <c r="BH622" s="711" t="str">
        <f ca="1">IFERROR(VLOOKUP(BG622,INDIRECT(AQ617),2,FALSE),"----")</f>
        <v>----</v>
      </c>
      <c r="BI622" s="710" t="e">
        <f t="shared" ca="1" si="10270"/>
        <v>#REF!</v>
      </c>
      <c r="BJ622" s="711" t="str">
        <f ca="1">IFERROR(VLOOKUP(BI622,INDIRECT(AQ618),2,FALSE),"----")</f>
        <v>----</v>
      </c>
      <c r="BK622" s="710" t="e">
        <f t="shared" ca="1" si="10271"/>
        <v>#REF!</v>
      </c>
      <c r="BL622" s="711" t="str">
        <f ca="1">IFERROR(VLOOKUP(BK622,INDIRECT(AQ619),2,FALSE),"----")</f>
        <v>----</v>
      </c>
      <c r="BM622" s="710" t="e">
        <f t="shared" ca="1" si="10272"/>
        <v>#REF!</v>
      </c>
      <c r="BN622" s="711" t="str">
        <f ca="1">IFERROR(VLOOKUP(BM622,INDIRECT(AQ620),2,FALSE),"----")</f>
        <v>----</v>
      </c>
      <c r="BO622" s="710" t="e">
        <f t="shared" ca="1" si="10273"/>
        <v>#REF!</v>
      </c>
      <c r="BP622" s="711" t="str">
        <f ca="1">IFERROR(VLOOKUP(BO622,INDIRECT(AQ621),2,FALSE),"----")</f>
        <v>----</v>
      </c>
      <c r="BQ622" s="710" t="e">
        <f t="shared" ca="1" si="10274"/>
        <v>#REF!</v>
      </c>
      <c r="BR622" s="712" t="str">
        <f ca="1">IFERROR(VLOOKUP(BQ622,INDIRECT(AQ622),2,FALSE),"----")</f>
        <v>----</v>
      </c>
      <c r="BS622" s="695">
        <f>IF(AI622="",1,IF(COUNTIF(BR611:BR622,AI622)=0,2,1))</f>
        <v>1</v>
      </c>
      <c r="BT622" s="713">
        <f>IF(AF622="",1,IF(BR611=".",2,1))</f>
        <v>1</v>
      </c>
      <c r="BV622" s="155">
        <f ca="1">IF(COUNTIF(EH611:EH622,AF622)=0,IF(AF622&lt;&gt;"",0,1),1)</f>
        <v>1</v>
      </c>
      <c r="BW622" s="157">
        <f ca="1">IFERROR(MATCH(AF622,EH611:EH622,0),1)</f>
        <v>1</v>
      </c>
      <c r="BX622" s="718"/>
      <c r="BY622" s="777"/>
      <c r="BZ622" s="1110"/>
      <c r="CA622" s="714" t="e">
        <f t="shared" ca="1" si="11312"/>
        <v>#REF!</v>
      </c>
      <c r="CB622" s="715" t="e" cm="1">
        <f t="array" aca="1" ref="CB622" ca="1">IF(AND(INDEX(INDIRECT(BY611),CA622,4)&gt;=$AB611,INDEX(INDIRECT(BY611),CA622,5)&gt;=$S611,INDEX(INDIRECT(BY611),CA622,6)&gt;=$R611),1,0)</f>
        <v>#REF!</v>
      </c>
      <c r="CC622" s="715" t="e">
        <f t="shared" ref="CC622" ca="1" si="11489">MATCH(1,OFFSET(CB611:CB622,CD621,0,COUNT(CB611:CB622)-CD621),0)</f>
        <v>#REF!</v>
      </c>
      <c r="CD622" s="715" t="e">
        <f t="shared" ca="1" si="11314"/>
        <v>#REF!</v>
      </c>
      <c r="CE622" s="716" t="str" cm="1">
        <f t="array" aca="1" ref="CE622" ca="1">IFERROR(VLOOKUP(INDEX(CA611:CA622,CD622),INDIRECT(BY611),2,FALSE),"----")</f>
        <v>----</v>
      </c>
      <c r="CF622" s="714" t="e">
        <f t="shared" ca="1" si="11315"/>
        <v>#N/A</v>
      </c>
      <c r="CG622" s="715" t="e">
        <f ca="1">IF(AND(INDEX(SSM,CF622,4)&gt;=$AB611,INDEX(SSM,CF622,5)&gt;=$S611,INDEX(SSM,CF622,6)&gt;=$R611),1,0)</f>
        <v>#N/A</v>
      </c>
      <c r="CH622" s="715" t="e">
        <f t="shared" ref="CH622" ca="1" si="11490">MATCH(1,OFFSET(CG611:CG622,CI621,0,COUNT(CG611:CG622)-CI621),0)</f>
        <v>#REF!</v>
      </c>
      <c r="CI622" s="715" t="e">
        <f t="shared" ca="1" si="11317"/>
        <v>#REF!</v>
      </c>
      <c r="CJ622" s="716" t="str">
        <f ca="1">IFERROR(IF(AD612="Nested Steel Stud (wood infill)",VLOOKUP(INDEX(CF611:CF622,CI622),SSW,2,FALSE),VLOOKUP(INDEX(CF611:CF622,CI622),SSM,2,FALSE)),"----")</f>
        <v>----</v>
      </c>
      <c r="CK622" s="714" t="e">
        <f t="shared" ca="1" si="11318"/>
        <v>#N/A</v>
      </c>
      <c r="CL622" s="715" t="e">
        <f ca="1">IF(AND(INDEX(WSM,CK622,4)&gt;=$AB611,INDEX(WSM,CK622,5)&gt;=$S611,INDEX(WSM,CK622,6)&gt;=$R611),1,0)</f>
        <v>#N/A</v>
      </c>
      <c r="CM622" s="715" t="e">
        <f t="shared" ref="CM622" ca="1" si="11491">MATCH(1,OFFSET(CL611:CL622,CN621,0,COUNT(CL611:CL622)-CN621),0)</f>
        <v>#REF!</v>
      </c>
      <c r="CN622" s="715" t="e">
        <f t="shared" ca="1" si="11320"/>
        <v>#REF!</v>
      </c>
      <c r="CO622" s="716" t="str">
        <f ca="1">IFERROR(VLOOKUP(INDEX(CK611:CK622,CN622),WSM,2,FALSE),"----")</f>
        <v>----</v>
      </c>
      <c r="CP622" s="714" t="e">
        <f t="shared" ca="1" si="11321"/>
        <v>#N/A</v>
      </c>
      <c r="CQ622" s="715" t="e">
        <f ca="1">IF(AND(INDEX(STM,CP622,4)&gt;=$AB611,INDEX(STM,CP622,5)&gt;=$S611,INDEX(STM,CP622,6)&gt;=$R611),1,0)</f>
        <v>#N/A</v>
      </c>
      <c r="CR622" s="715" t="e">
        <f t="shared" ref="CR622" ca="1" si="11492">MATCH(1,OFFSET(CQ611:CQ622,CS621,0,COUNT(CQ611:CQ622)-CS621),0)</f>
        <v>#REF!</v>
      </c>
      <c r="CS622" s="715" t="e">
        <f t="shared" ca="1" si="11323"/>
        <v>#REF!</v>
      </c>
      <c r="CT622" s="716" t="str">
        <f ca="1">IFERROR(VLOOKUP(INDEX(CP611:CP622,CS622),STM,2,FALSE),"----")</f>
        <v>----</v>
      </c>
      <c r="CU622" s="714" t="e">
        <f t="shared" ca="1" si="11324"/>
        <v>#N/A</v>
      </c>
      <c r="CV622" s="715" t="e">
        <f ca="1">IF(AND(INDEX(ELM,CU622,4)&gt;=$AB611,INDEX(ELM,CU622,5)&gt;=$S611,INDEX(ELM,CU622,6)&gt;=$R611),1,0)</f>
        <v>#N/A</v>
      </c>
      <c r="CW622" s="715" t="e">
        <f t="shared" ref="CW622" ca="1" si="11493">MATCH(1,OFFSET(CV611:CV622,CX621,0,COUNT(CV611:CV622)-CX621),0)</f>
        <v>#REF!</v>
      </c>
      <c r="CX622" s="715" t="e">
        <f t="shared" ca="1" si="11326"/>
        <v>#REF!</v>
      </c>
      <c r="CY622" s="716" t="str">
        <f ca="1">IFERROR(VLOOKUP(INDEX(CU611:CU622,CX622),ELM,2,FALSE),"----")</f>
        <v>----</v>
      </c>
      <c r="CZ622" s="714" t="e">
        <f t="shared" ca="1" si="11327"/>
        <v>#N/A</v>
      </c>
      <c r="DA622" s="715" t="e">
        <f ca="1">IF(LEFT($J611,7)="Clad Wo",IF(AND(INDEX(SPPWS,CZ622,4)&gt;=$AB611,INDEX(SPPWS,CZ622,5)&gt;=$S611,INDEX(SPPWS,CZ622,6)&gt;=$R611),1,0),IF(AND(INDEX(SPM,CZ622,4)&gt;=$AB611,INDEX(SPM,CZ622,5)&gt;=$S611,INDEX(SPM,CZ622,6)&gt;=$R611),1,0))</f>
        <v>#N/A</v>
      </c>
      <c r="DB622" s="715" t="e">
        <f t="shared" ref="DB622" ca="1" si="11494">MATCH(1,OFFSET(DA611:DA622,DC621,0,COUNT(DA611:DA622)-DC621),0)</f>
        <v>#REF!</v>
      </c>
      <c r="DC622" s="715" t="e">
        <f t="shared" ca="1" si="11329"/>
        <v>#REF!</v>
      </c>
      <c r="DD622" s="717" t="str">
        <f ca="1">IF(LEFT($J611,7)="Clad Wo",IFERROR(VLOOKUP(INDEX(CZ611:CZ622,DC622),SPPWS,2,FALSE),"----"),IFERROR(VLOOKUP(INDEX(CZ611:CZ622,DC622),SPM,2,FALSE),"----"))</f>
        <v>----</v>
      </c>
      <c r="DE622" s="714" t="e">
        <f t="shared" ca="1" si="11330"/>
        <v>#REF!</v>
      </c>
      <c r="DF622" s="715" t="e" cm="1">
        <f t="array" aca="1" ref="DF622" ca="1">IF(AND(INDEX(INDIRECT(BY611),DE622,4)&gt;=$AB617,INDEX(INDIRECT(BY611),DE622,5)&gt;=$S611,INDEX(INDIRECT(BY611),DE622,6)&gt;=$R611),1,0)</f>
        <v>#REF!</v>
      </c>
      <c r="DG622" s="715" t="e">
        <f t="shared" ref="DG622" ca="1" si="11495">MATCH(1,OFFSET(DF611:DF622,DH621,0,COUNT(DF611:DF622)-DH621),0)</f>
        <v>#REF!</v>
      </c>
      <c r="DH622" s="715" t="e">
        <f t="shared" ca="1" si="11332"/>
        <v>#REF!</v>
      </c>
      <c r="DI622" s="716" t="str" cm="1">
        <f t="array" aca="1" ref="DI622" ca="1">IFERROR(VLOOKUP(INDEX(DE611:DE622,DH622),INDIRECT(BY611),2,FALSE),"----")</f>
        <v>----</v>
      </c>
      <c r="DJ622" s="714" t="e">
        <f t="shared" ca="1" si="11333"/>
        <v>#N/A</v>
      </c>
      <c r="DK622" s="715" t="e">
        <f ca="1">IF(AND(INDEX(SSM,DJ622,4)&gt;=$AB617,INDEX(SSM,DJ622,5)&gt;=$S611,INDEX(SSM,DJ622,6)&gt;=$R611),1,0)</f>
        <v>#N/A</v>
      </c>
      <c r="DL622" s="715" t="e">
        <f t="shared" ref="DL622" ca="1" si="11496">MATCH(1,OFFSET(DK611:DK622,DM621,0,COUNT(DK611:DK622)-DM621),0)</f>
        <v>#REF!</v>
      </c>
      <c r="DM622" s="715" t="e">
        <f t="shared" ca="1" si="11335"/>
        <v>#REF!</v>
      </c>
      <c r="DN622" s="716" t="str">
        <f ca="1">IFERROR(IF(AD618="Nested Steel Stud (wood infill)",VLOOKUP(INDEX(DJ611:DJ622,DM622),SSW,2,FALSE),VLOOKUP(INDEX(DJ611:DJ622,DM622),SSM,2,FALSE)),"----")</f>
        <v>----</v>
      </c>
      <c r="DO622" s="714" t="e">
        <f t="shared" ca="1" si="11336"/>
        <v>#N/A</v>
      </c>
      <c r="DP622" s="715" t="e">
        <f ca="1">IF(AND(INDEX(WSM,DO622,4)&gt;=$AB617,INDEX(WSM,DO622,5)&gt;=$S611,INDEX(WSM,DO622,6)&gt;=$R611),1,0)</f>
        <v>#N/A</v>
      </c>
      <c r="DQ622" s="715" t="e">
        <f t="shared" ref="DQ622" ca="1" si="11497">MATCH(1,OFFSET(DP611:DP622,DR621,0,COUNT(DP611:DP622)-DR621),0)</f>
        <v>#REF!</v>
      </c>
      <c r="DR622" s="715" t="e">
        <f t="shared" ca="1" si="11338"/>
        <v>#REF!</v>
      </c>
      <c r="DS622" s="716" t="str">
        <f ca="1">IFERROR(VLOOKUP(INDEX(DO611:DO622,DR622),WSM,2,FALSE),"----")</f>
        <v>----</v>
      </c>
      <c r="DT622" s="714" t="e">
        <f t="shared" ca="1" si="11339"/>
        <v>#N/A</v>
      </c>
      <c r="DU622" s="715" t="e">
        <f ca="1">IF(AND(INDEX(STM,DT622,4)&gt;=$AB617,INDEX(STM,DT622,5)&gt;=$S611,INDEX(STM,DT622,6)&gt;=$R611),1,0)</f>
        <v>#N/A</v>
      </c>
      <c r="DV622" s="715" t="e">
        <f t="shared" ref="DV622" ca="1" si="11498">MATCH(1,OFFSET(DU611:DU622,DW621,0,COUNT(DU611:DU622)-DW621),0)</f>
        <v>#REF!</v>
      </c>
      <c r="DW622" s="715" t="e">
        <f t="shared" ca="1" si="11341"/>
        <v>#REF!</v>
      </c>
      <c r="DX622" s="716" t="str">
        <f ca="1">IFERROR(VLOOKUP(INDEX(DT611:DT622,DW622),STM,2,FALSE),"----")</f>
        <v>----</v>
      </c>
      <c r="DY622" s="714" t="e">
        <f t="shared" ca="1" si="11342"/>
        <v>#N/A</v>
      </c>
      <c r="DZ622" s="715" t="e">
        <f ca="1">IF(AND(INDEX(ELM,DY622,4)&gt;=$AB617,INDEX(ELM,DY622,5)&gt;=$S611,INDEX(ELM,DY622,6)&gt;=$R611),1,0)</f>
        <v>#N/A</v>
      </c>
      <c r="EA622" s="715" t="e">
        <f t="shared" ref="EA622" ca="1" si="11499">MATCH(1,OFFSET(DZ611:DZ622,EB621,0,COUNT(DZ611:DZ622)-EB621),0)</f>
        <v>#REF!</v>
      </c>
      <c r="EB622" s="715" t="e">
        <f t="shared" ca="1" si="11344"/>
        <v>#REF!</v>
      </c>
      <c r="EC622" s="716" t="str">
        <f ca="1">IFERROR(VLOOKUP(INDEX(DY611:DY622,EB622),ELM,2,FALSE),"----")</f>
        <v>----</v>
      </c>
      <c r="ED622" s="714" t="e">
        <f t="shared" ca="1" si="11345"/>
        <v>#N/A</v>
      </c>
      <c r="EE622" s="715" t="e">
        <f ca="1">IF(LEFT($J611,7)="Clad Wo",IF(AND(INDEX(SPPWS,ED622,4)&gt;=$AB617,INDEX(SPPWS,ED622,5)&gt;=$S611,INDEX(SPPWS,ED622,6)&gt;=$R611),1,0),IF(AND(INDEX(SPM,ED622,4)&gt;=$AB617,INDEX(SPM,ED622,5)&gt;=$S611,INDEX(SPM,ED622,6)&gt;=$R611),1,0))</f>
        <v>#N/A</v>
      </c>
      <c r="EF622" s="715" t="e">
        <f t="shared" ref="EF622" ca="1" si="11500">MATCH(1,OFFSET(EE611:EE622,EG621,0,COUNT(EE611:EE622)-EG621),0)</f>
        <v>#REF!</v>
      </c>
      <c r="EG622" s="715" t="e">
        <f t="shared" ca="1" si="11347"/>
        <v>#REF!</v>
      </c>
      <c r="EH622" s="716" t="str">
        <f ca="1">IF(LEFT($J611,7)="Clad Wo",IFERROR(VLOOKUP(INDEX(ED611:ED622,EG622),SPPWS,2,FALSE),"----"),IFERROR(VLOOKUP(INDEX(ED611:ED622,EG622),SPM,2,FALSE),"----"))</f>
        <v>----</v>
      </c>
    </row>
    <row r="623" spans="1:138" ht="15" customHeight="1" thickTop="1" x14ac:dyDescent="0.25">
      <c r="A623" s="1085"/>
      <c r="B623" s="931" t="s">
        <v>92</v>
      </c>
      <c r="C623" s="932"/>
      <c r="D623" s="933"/>
      <c r="E623" s="992"/>
      <c r="F623" s="993"/>
      <c r="G623" s="994"/>
      <c r="H623" s="1061"/>
      <c r="I623" s="989"/>
      <c r="J623" s="906"/>
      <c r="K623" s="907"/>
      <c r="L623" s="1001">
        <f>$W$3</f>
        <v>4</v>
      </c>
      <c r="M623" s="923" t="str">
        <f t="shared" ref="M623" si="11501">IFERROR(IF($AE$13="",IF($AG$19="Wind Loading",MIN($V$31,IF(E$11="ASCE 7-05",$U$26,$V$7)*$V$9*(IF($E$12&lt;60,0.0771*LN(MAX(MIN(500,O623),10)) -1.2737,IF($E$11="ASCE 7-22",0.0524*LN(MAX(MIN(500,O623),50))-1.0278,0.0614*LN(MAX(MIN(500,O623),20)) -1.0829))-$V$8)),$V$7*IF(E$12&lt;60,$V$13*($V$15*0.0771*LN(MAX(MIN(500,O623),10))-1.2737-$V$16),$V$13*$V$15*((0.0524*LN(MAX(MIN(500,O623),20))-1.0278)-$V$16))),-ABS($AE$13)),"")</f>
        <v/>
      </c>
      <c r="N623" s="1042" t="str">
        <f t="shared" ref="N623" si="11502">IFERROR(IF($AE$15="",IF($AG$19="Wind Loading",MAX($U$31,IF(E$11="ASCE 7-05",$U$26,$V$7)*$V$9*((IF($E$12&lt;60,-0.077*LN(MAX(MIN(500,O623),10))+1.1737,IF($E$11="ASCE 7-22",-0.077*LN(MAX(MIN(500,O623),20))+1.0798,-0.093*LN(MAX(MIN(500,O623),20))+1.1776)))+$V$8)),$V$7*IF(E$12&lt;60,$V$13*($V$15*(-0.077*LN(MAX(MIN(500,O623),10))+1.1737)-$V$17),$V$13*$V$15*((-0.077*LN(MAX(MIN(500,O623),20))+1.0798)-$V$17))),ABS($AE$15)),"")</f>
        <v/>
      </c>
      <c r="O623" s="1017" t="str">
        <f>IF(BX630=0,"",IF(AG$14="Trapezoidal",BY630,BX630))</f>
        <v/>
      </c>
      <c r="P623" s="986"/>
      <c r="Q623" s="1014"/>
      <c r="R623" s="1011">
        <f>P623*Q623/8</f>
        <v>0</v>
      </c>
      <c r="S623" s="1004">
        <f t="shared" ref="S623" si="11503">IF(5*(P623*Q623^3/(384*0.125))=0,0,5*(P623*Q623^3/(384*0.125)))</f>
        <v>0</v>
      </c>
      <c r="T623" s="1005"/>
      <c r="U623" s="877" t="e">
        <f ca="1">VLOOKUP(J627,INDIRECT(VLOOKUP(J623,FrameStrength,2,FALSE)),3,FALSE)</f>
        <v>#N/A</v>
      </c>
      <c r="V623" s="880">
        <f t="shared" ref="V623" si="11504">(H623+I623)/2</f>
        <v>0</v>
      </c>
      <c r="W623" s="883" t="e">
        <f t="shared" ref="W623" si="11505">MAX(-M623,N623)*O623</f>
        <v>#VALUE!</v>
      </c>
      <c r="X623" s="883">
        <f t="shared" ref="X623" si="11506">IF(E623&gt;162,(E623/240+0.25),IF(AND(E623&lt;162,E623/175&lt;0.75),E623/175,0.75))</f>
        <v>0</v>
      </c>
      <c r="Y623" s="886">
        <f>IFERROR(IF(AG$14="Trapezoidal",BY631,BX631)+IF($E$17="4",(400*E623^3)/(48*X623),0),0)</f>
        <v>0</v>
      </c>
      <c r="Z623" s="886" t="e">
        <f t="shared" ref="Z623" si="11507">+($V623*MAX(-$M623,$N623)*$E623^2)/(144*8)+IF($E$17=4,(400*$E623)/4,0)</f>
        <v>#VALUE!</v>
      </c>
      <c r="AA623" s="886" t="e">
        <f ca="1">VLOOKUP(J627,INDIRECT(VLOOKUP(J623,FrameStrength,2,FALSE)),2,FALSE)</f>
        <v>#N/A</v>
      </c>
      <c r="AB623" s="1083" t="str">
        <f t="shared" ref="AB623" ca="1" si="11508">IFERROR(Z623-AA623,"")</f>
        <v/>
      </c>
      <c r="AC623" s="1077" t="str">
        <f t="shared" ref="AC623" ca="1" si="11509">IFERROR(Y623-U623,"")</f>
        <v/>
      </c>
      <c r="AD623" s="1100" t="str">
        <f>IFERROR(IF(LEFT(J627,2)="As",VLOOKUP(J627,EIMM,4,FALSE),VLOOKUP(J623,EIMM,4,FALSE)),IF(AND(ISNUMBER(SEARCH("Impervia",J623)),ISNUMBER(SEARCH("door",J627))),'New Lookup Cells'!AF$10,IF(ISNUMBER(SEARCH("Impervia",J623)),'New Lookup Cells'!AF$7,IF(AND(ISNUMBER(SEARCH("250",J623)),ISNUMBER(SEARCH("door",J627))),'New Lookup Cells'!AF$14,IF(ISNUMBER(SEARCH("250",J623)),'New Lookup Cells'!AF$13,"")))))</f>
        <v/>
      </c>
      <c r="AE623" s="1101"/>
      <c r="AF623" s="1050"/>
      <c r="AG623" s="1051"/>
      <c r="AH623" s="1051"/>
      <c r="AI623" s="1088"/>
      <c r="AJ623" s="1089"/>
      <c r="AK623" s="154" t="str">
        <f t="shared" ca="1" si="11298"/>
        <v/>
      </c>
      <c r="AL623" s="1038" t="str">
        <f t="shared" ref="AL623" si="11510">IFERROR(ROUND(SQRT(P623^2+(W623/2+IF($E$17=4,200,0))^2),0),"")</f>
        <v/>
      </c>
      <c r="AM623" s="342" t="s">
        <v>669</v>
      </c>
      <c r="AN623" t="str">
        <f t="shared" ca="1" si="11348"/>
        <v/>
      </c>
      <c r="AP623" s="122" t="str">
        <f t="shared" ref="AP623" si="11511">_xlfn.CONCAT(AR623,AS628)</f>
        <v/>
      </c>
      <c r="AQ623" s="683" t="str">
        <f t="shared" ref="AQ623:AQ682" si="11512">IFERROR(LEFT(AP623,LEN(AP623)-1),"")</f>
        <v/>
      </c>
      <c r="AR623" s="96" t="str">
        <f t="shared" si="11273"/>
        <v/>
      </c>
      <c r="AS623" s="96" t="str">
        <f>IF(COUNTIF(imp_1,AF623)=1,"imp_1",IF(COUNTIF(imp_2,AF623)=1,"imp_2",IF(COUNTIF(imp_3,AF623)=1,"imp_3",IF(COUNTIF(impdoor,AF623)=1,"impdoor",""))))</f>
        <v/>
      </c>
      <c r="AT623" s="684" t="str">
        <f>AL623</f>
        <v/>
      </c>
      <c r="AU623" s="685" t="e">
        <f ca="1">MATCH(AL623,INDIRECT(AP623),-1)</f>
        <v>#REF!</v>
      </c>
      <c r="AV623" s="686" t="str">
        <f ca="1">IFERROR(VLOOKUP(AU623,INDIRECT(AQ623),2,FALSE),"----")</f>
        <v>----</v>
      </c>
      <c r="AW623" s="685" t="e">
        <f ca="1">MATCH(AL623,INDIRECT(AP624),-1)</f>
        <v>#REF!</v>
      </c>
      <c r="AX623" s="686" t="str">
        <f ca="1">IFERROR(VLOOKUP(AW623,INDIRECT(AQ624),2,FALSE),"----")</f>
        <v>----</v>
      </c>
      <c r="AY623" s="685" t="e">
        <f ca="1">MATCH(AL623,INDIRECT(AP625),-1)</f>
        <v>#REF!</v>
      </c>
      <c r="AZ623" s="686" t="str">
        <f ca="1">IFERROR(VLOOKUP(AY623,INDIRECT(AQ625),2,FALSE),"----")</f>
        <v>----</v>
      </c>
      <c r="BA623" s="685" t="e">
        <f ca="1">MATCH(AL623,INDIRECT(AP626),-1)</f>
        <v>#REF!</v>
      </c>
      <c r="BB623" s="686" t="str">
        <f ca="1">IFERROR(VLOOKUP(BA623,INDIRECT(AQ626),2,FALSE),"----")</f>
        <v>----</v>
      </c>
      <c r="BC623" s="685" t="e">
        <f ca="1">MATCH(AL623,INDIRECT(AP627),-1)</f>
        <v>#REF!</v>
      </c>
      <c r="BD623" s="686" t="str">
        <f ca="1">IFERROR(VLOOKUP(BC623,INDIRECT(AQ627),2,FALSE),"----")</f>
        <v>----</v>
      </c>
      <c r="BE623" s="685" t="e">
        <f ca="1">MATCH(AL623,INDIRECT(AP628),-1)</f>
        <v>#REF!</v>
      </c>
      <c r="BF623" s="686" t="str">
        <f ca="1">IFERROR(VLOOKUP(BE623,INDIRECT(AQ628),2,FALSE),"----")</f>
        <v>----</v>
      </c>
      <c r="BG623" s="685" t="e">
        <f ca="1">MATCH(AL629,INDIRECT(AP629),-1)</f>
        <v>#REF!</v>
      </c>
      <c r="BH623" s="686" t="str">
        <f ca="1">IFERROR(VLOOKUP(BG623,INDIRECT(AQ629),2,FALSE),"----")</f>
        <v>----</v>
      </c>
      <c r="BI623" s="685" t="e">
        <f ca="1">MATCH(AL629,INDIRECT(AP630),-1)</f>
        <v>#REF!</v>
      </c>
      <c r="BJ623" s="686" t="str">
        <f ca="1">IFERROR(VLOOKUP(BI623,INDIRECT(AQ630),2,FALSE),"----")</f>
        <v>----</v>
      </c>
      <c r="BK623" s="685" t="e">
        <f ca="1">MATCH(AL629,INDIRECT(AP631),-1)</f>
        <v>#REF!</v>
      </c>
      <c r="BL623" s="686" t="str">
        <f ca="1">IFERROR(VLOOKUP(BK623,INDIRECT(AQ631),2,FALSE),"----")</f>
        <v>----</v>
      </c>
      <c r="BM623" s="685" t="e">
        <f ca="1">MATCH(AL629,INDIRECT(AP632),-1)</f>
        <v>#REF!</v>
      </c>
      <c r="BN623" s="686" t="str">
        <f ca="1">IFERROR(VLOOKUP(BM623,INDIRECT(AQ632),2,FALSE),"----")</f>
        <v>----</v>
      </c>
      <c r="BO623" s="685" t="e">
        <f ca="1">MATCH(AL629,INDIRECT(AP633),-1)</f>
        <v>#REF!</v>
      </c>
      <c r="BP623" s="686" t="str">
        <f ca="1">IFERROR(VLOOKUP(BO623,INDIRECT(AQ633),2,FALSE),"----")</f>
        <v>----</v>
      </c>
      <c r="BQ623" s="685" t="e">
        <f ca="1">MATCH(AL629,INDIRECT(AP634),-1)</f>
        <v>#REF!</v>
      </c>
      <c r="BR623" s="686" t="str">
        <f ca="1">IFERROR(VLOOKUP(BQ623,INDIRECT(AQ634),2,FALSE),"----")</f>
        <v>----</v>
      </c>
      <c r="BS623" s="687">
        <f>IF(AI623="",1,IF(COUNTIF(AV623:AV634,AI623)=0,2,1))</f>
        <v>1</v>
      </c>
      <c r="BT623" s="688">
        <f>IF(AP623="1",1,IF(AF623="",1,IF(AV623=".",2,1)))</f>
        <v>1</v>
      </c>
      <c r="BU623" s="706"/>
      <c r="BV623" s="155">
        <f ca="1">IF(COUNTIF(CE623:CE634,AF623)=0,IF(AF623&lt;&gt;"",0,1),1)</f>
        <v>1</v>
      </c>
      <c r="BW623" s="157">
        <f ca="1">IFERROR(MATCH(AF623,CE623:CE634,0),1)</f>
        <v>1</v>
      </c>
      <c r="BX623" s="769" t="str">
        <f>IFERROR(IF(LEFT(J627,2)="As",VLOOKUP(J627,EIMM,2,FALSE),IF(AND(ISNUMBER(SEARCH("Impervia",J623)),ISNUMBER(SEARCH("door",J627))),VLOOKUP("Impervia Door",EIMM,2,FALSE),IF(AND(ISNUMBER(SEARCH("250",J623)),ISNUMBER(SEARCH("door",J627))),VLOOKUP("250 Series Door",EIMM,2,FALSE),VLOOKUP(J623,EIMM,2,FALSE)))),"")</f>
        <v/>
      </c>
      <c r="BY623" s="769" t="str">
        <f ca="1">IFERROR(VLOOKUP(BX623,OFFSET(EIMM,0,1),2,FALSE),"")</f>
        <v/>
      </c>
      <c r="BZ623" s="1110" t="e">
        <f ca="1">IF((COUNTIF(INDIRECT(SUBSTITUTE(J623," ","_")),J627))=0,IF(J627="",1,0),1)</f>
        <v>#REF!</v>
      </c>
      <c r="CA623" s="691" t="e">
        <f ca="1">MATCH(AC623,INDIRECT(BX623),-1)</f>
        <v>#REF!</v>
      </c>
      <c r="CB623" s="4" t="e" cm="1">
        <f t="array" aca="1" ref="CB623" ca="1">IF(AND(INDEX(INDIRECT(BY623),CA623,4)&gt;=$AB623,INDEX(INDIRECT(BY623),CA623,5)&gt;=$S623,INDEX(INDIRECT(BY623),CA623,6)&gt;=$R623),1,0)</f>
        <v>#REF!</v>
      </c>
      <c r="CC623" s="4" t="e">
        <f t="shared" ref="CC623" ca="1" si="11513">MATCH(1,OFFSET(CB623:CB634,$W$2,0,COUNT(CB623:CB634)-$W$2),0)</f>
        <v>#REF!</v>
      </c>
      <c r="CD623" s="4" t="e">
        <f t="shared" ref="CD623" ca="1" si="11514">$W$2+CC623</f>
        <v>#REF!</v>
      </c>
      <c r="CE623" s="692" t="str" cm="1">
        <f t="array" aca="1" ref="CE623" ca="1">IFERROR(VLOOKUP(INDEX(CA623:CA634,CD623),INDIRECT(BY623),2,FALSE),"----")</f>
        <v>----</v>
      </c>
      <c r="CF623" s="691" t="e">
        <f ca="1">MATCH($AC623,SSEI,-1)</f>
        <v>#N/A</v>
      </c>
      <c r="CG623" s="4" t="e">
        <f ca="1">IF(AND(INDEX(SSM,CF623,4)&gt;=$AB623,INDEX(SSM,CF623,5)&gt;=$S623,INDEX(SSM,CF623,6)&gt;=$R623),1,0)</f>
        <v>#N/A</v>
      </c>
      <c r="CH623" s="4" t="e">
        <f t="shared" ref="CH623" ca="1" si="11515">MATCH(1,OFFSET(CG623:CG634,$W$2,0,COUNT(CG623:CG634)-$W$2),0)</f>
        <v>#REF!</v>
      </c>
      <c r="CI623" s="4" t="e">
        <f t="shared" ref="CI623" ca="1" si="11516">$W$2+CH623</f>
        <v>#REF!</v>
      </c>
      <c r="CJ623" s="692" t="str">
        <f ca="1">IFERROR(IF(AD624="Nested Steel Stud (wood infill)",VLOOKUP(INDEX(CF623:CF634,CI623),SSW,2,FALSE),VLOOKUP(INDEX(CF623:CF634,CI623),SSM,2,FALSE)),"----")</f>
        <v>----</v>
      </c>
      <c r="CK623" s="691" t="e">
        <f ca="1">MATCH($AC623,WSEI,-1)</f>
        <v>#N/A</v>
      </c>
      <c r="CL623" s="4" t="e">
        <f ca="1">IF(AND(INDEX(WSM,CK623,4)&gt;=$AB623,INDEX(WSM,CK623,5)&gt;=$S623,INDEX(WSM,CK623,6)&gt;=$R623),1,0)</f>
        <v>#N/A</v>
      </c>
      <c r="CM623" s="4" t="e">
        <f t="shared" ref="CM623" ca="1" si="11517">MATCH(1,OFFSET(CL623:CL634,$W$2,0,COUNT(CL623:CL634)-$W$2),0)</f>
        <v>#REF!</v>
      </c>
      <c r="CN623" s="4" t="e">
        <f t="shared" ref="CN623" ca="1" si="11518">$W$2+CM623</f>
        <v>#REF!</v>
      </c>
      <c r="CO623" s="692" t="str">
        <f ca="1">IFERROR(VLOOKUP(INDEX(CK623:CK634,CN623),WSM,2,FALSE),"----")</f>
        <v>----</v>
      </c>
      <c r="CP623" s="691" t="e">
        <f ca="1">MATCH($AC623,STEI,-1)</f>
        <v>#N/A</v>
      </c>
      <c r="CQ623" s="4" t="e">
        <f ca="1">IF(AND(INDEX(STM,CP623,4)&gt;=$AB623,INDEX(STM,CP623,5)&gt;=$S623,INDEX(STM,CP623,6)&gt;=$R623),1,0)</f>
        <v>#N/A</v>
      </c>
      <c r="CR623" s="4" t="e">
        <f t="shared" ref="CR623" ca="1" si="11519">MATCH(1,OFFSET(CQ623:CQ634,$W$2,0,COUNT(CQ623:CQ634)-$W$2),0)</f>
        <v>#REF!</v>
      </c>
      <c r="CS623" s="4" t="e">
        <f t="shared" ref="CS623" ca="1" si="11520">$W$2+CR623</f>
        <v>#REF!</v>
      </c>
      <c r="CT623" s="692" t="str">
        <f ca="1">IFERROR(VLOOKUP(INDEX(CP623:CP634,CS623),STM,2,FALSE),"----")</f>
        <v>----</v>
      </c>
      <c r="CU623" s="691" t="e">
        <f ca="1">MATCH($AC623,ELEI,-1)</f>
        <v>#N/A</v>
      </c>
      <c r="CV623" s="4" t="e">
        <f ca="1">IF(AND(INDEX(ELM,CU623,4)&gt;=$AB623,INDEX(ELM,CU623,5)&gt;=$S623,INDEX(ELM,CU623,6)&gt;=$R623),1,0)</f>
        <v>#N/A</v>
      </c>
      <c r="CW623" s="4" t="e">
        <f t="shared" ref="CW623" ca="1" si="11521">MATCH(1,OFFSET(CV623:CV634,$W$2,0,COUNT(CV623:CV634)-$W$2),0)</f>
        <v>#REF!</v>
      </c>
      <c r="CX623" s="4" t="e">
        <f t="shared" ref="CX623" ca="1" si="11522">$W$2+CW623</f>
        <v>#REF!</v>
      </c>
      <c r="CY623" s="692" t="str">
        <f ca="1">IFERROR(VLOOKUP(INDEX(CU623:CU634,CX623),ELM,2,FALSE),"----")</f>
        <v>----</v>
      </c>
      <c r="CZ623" s="691" t="e">
        <f ca="1">IF(LEFT($J623,7)="Clad Wo",MATCH($AC623,SPEIW,-1),MATCH($AC623,SPEI,-1))</f>
        <v>#N/A</v>
      </c>
      <c r="DA623" s="4" t="e">
        <f ca="1">IF(LEFT($J623,7)="Clad Wo",IF(AND(INDEX(SPPWS,CZ623,4)&gt;=$AB623,INDEX(SPPWS,CZ623,5)&gt;=$S623,INDEX(SPPWS,CZ623,6)&gt;=$R623),1,0),IF(AND(INDEX(SPM,CZ623,4)&gt;=$AB623,INDEX(SPM,CZ623,5)&gt;=$S623,INDEX(SPM,CZ623,6)&gt;=$R623),1,0))</f>
        <v>#N/A</v>
      </c>
      <c r="DB623" s="4" t="e">
        <f t="shared" ref="DB623" ca="1" si="11523">MATCH(1,OFFSET(DA623:DA634,$W$2,0,COUNT(DA623:DA634)-$W$2),0)</f>
        <v>#REF!</v>
      </c>
      <c r="DC623" s="4" t="e">
        <f t="shared" ref="DC623" ca="1" si="11524">$W$2+DB623</f>
        <v>#REF!</v>
      </c>
      <c r="DD623" s="693" t="str">
        <f ca="1">IF(LEFT($J623,7)="Clad Wo",IFERROR(VLOOKUP(INDEX(CZ623:CZ634,DC623),SPPWS,2,FALSE),"----"),IFERROR(VLOOKUP(INDEX(CZ623:CZ634,DC623),SPM,2,FALSE),"----"))</f>
        <v>----</v>
      </c>
      <c r="DE623" s="691" t="e">
        <f ca="1">MATCH(AC629,INDIRECT(BX623),-1)</f>
        <v>#REF!</v>
      </c>
      <c r="DF623" s="4" t="e" cm="1">
        <f t="array" aca="1" ref="DF623" ca="1">IF(AND(INDEX(INDIRECT(BY623),DE623,4)&gt;=$AB629,INDEX(INDIRECT(BY623),DE623,5)&gt;=$S623,INDEX(INDIRECT(BY623),DE623,6)&gt;=$R623),1,0)</f>
        <v>#REF!</v>
      </c>
      <c r="DG623" s="4" t="e">
        <f t="shared" ref="DG623" ca="1" si="11525">MATCH(1,OFFSET(DF623:DF634,$W$2,0,COUNT(DF623:DF634)-$W$2),0)</f>
        <v>#REF!</v>
      </c>
      <c r="DH623" s="4" t="e">
        <f t="shared" ref="DH623" ca="1" si="11526">$W$2+DG623</f>
        <v>#REF!</v>
      </c>
      <c r="DI623" s="692" t="str" cm="1">
        <f t="array" aca="1" ref="DI623" ca="1">IFERROR(VLOOKUP(INDEX(DE623:DE634,DH623),INDIRECT(BY623),2,FALSE),"----")</f>
        <v>----</v>
      </c>
      <c r="DJ623" s="691" t="e">
        <f ca="1">MATCH($AC629,SSEI,-1)</f>
        <v>#N/A</v>
      </c>
      <c r="DK623" s="4" t="e">
        <f ca="1">IF(AND(INDEX(SSM,DJ623,4)&gt;=$AB629,INDEX(SSM,DJ623,5)&gt;=$S623,INDEX(SSM,DJ623,6)&gt;=$R623),1,0)</f>
        <v>#N/A</v>
      </c>
      <c r="DL623" s="4" t="e">
        <f t="shared" ref="DL623" ca="1" si="11527">MATCH(1,OFFSET(DK623:DK634,$W$2,0,COUNT(DK623:DK634)-$W$2),0)</f>
        <v>#REF!</v>
      </c>
      <c r="DM623" s="4" t="e">
        <f t="shared" ref="DM623" ca="1" si="11528">$W$2+DL623</f>
        <v>#REF!</v>
      </c>
      <c r="DN623" s="692" t="str">
        <f ca="1">IFERROR(IF(AD630="Nested Steel Stud (wood infill)",VLOOKUP(INDEX(DJ623:DJ634,DM623),SSW,2,FALSE),VLOOKUP(INDEX(DJ623:DJ634,DM623),SSM,2,FALSE)),"----")</f>
        <v>----</v>
      </c>
      <c r="DO623" s="691" t="e">
        <f ca="1">MATCH($AC629,WSEI,-1)</f>
        <v>#N/A</v>
      </c>
      <c r="DP623" s="4" t="e">
        <f ca="1">IF(AND(INDEX(WSM,DO623,4)&gt;=$AB629,INDEX(WSM,DO623,5)&gt;=$S623,INDEX(WSM,DO623,6)&gt;=$R623),1,0)</f>
        <v>#N/A</v>
      </c>
      <c r="DQ623" s="4" t="e">
        <f t="shared" ref="DQ623" ca="1" si="11529">MATCH(1,OFFSET(DP623:DP634,$W$2,0,COUNT(DP623:DP634)-$W$2),0)</f>
        <v>#REF!</v>
      </c>
      <c r="DR623" s="4" t="e">
        <f t="shared" ref="DR623" ca="1" si="11530">$W$2+DQ623</f>
        <v>#REF!</v>
      </c>
      <c r="DS623" s="692" t="str">
        <f ca="1">IFERROR(VLOOKUP(INDEX(DO623:DO634,DR623),WSM,2,FALSE),"----")</f>
        <v>----</v>
      </c>
      <c r="DT623" s="691" t="e">
        <f ca="1">MATCH($AC629,STEI,-1)</f>
        <v>#N/A</v>
      </c>
      <c r="DU623" s="4" t="e">
        <f ca="1">IF(AND(INDEX(STM,DT623,4)&gt;=$AB629,INDEX(STM,DT623,5)&gt;=$S623,INDEX(STM,DT623,6)&gt;=$R623),1,0)</f>
        <v>#N/A</v>
      </c>
      <c r="DV623" s="4" t="e">
        <f t="shared" ref="DV623" ca="1" si="11531">MATCH(1,OFFSET(DU623:DU634,$W$2,0,COUNT(DU623:DU634)-$W$2),0)</f>
        <v>#REF!</v>
      </c>
      <c r="DW623" s="4" t="e">
        <f t="shared" ref="DW623" ca="1" si="11532">$W$2+DV623</f>
        <v>#REF!</v>
      </c>
      <c r="DX623" s="692" t="str">
        <f ca="1">IFERROR(VLOOKUP(INDEX(DT623:DT634,DW623),STM,2,FALSE),"----")</f>
        <v>----</v>
      </c>
      <c r="DY623" s="691" t="e">
        <f ca="1">MATCH($AC629,ELEI,-1)</f>
        <v>#N/A</v>
      </c>
      <c r="DZ623" s="4" t="e">
        <f ca="1">IF(AND(INDEX(ELM,DY623,4)&gt;=$AB629,INDEX(ELM,DY623,5)&gt;=$S623,INDEX(ELM,DY623,6)&gt;=$R623),1,0)</f>
        <v>#N/A</v>
      </c>
      <c r="EA623" s="4" t="e">
        <f t="shared" ref="EA623" ca="1" si="11533">MATCH(1,OFFSET(DZ623:DZ634,$W$2,0,COUNT(DZ623:DZ634)-$W$2),0)</f>
        <v>#REF!</v>
      </c>
      <c r="EB623" s="4" t="e">
        <f t="shared" ref="EB623" ca="1" si="11534">EA623+$W$2</f>
        <v>#REF!</v>
      </c>
      <c r="EC623" s="692" t="str">
        <f ca="1">IFERROR(VLOOKUP(INDEX(DY623:DY634,EB623),ELM,2,FALSE),"----")</f>
        <v>----</v>
      </c>
      <c r="ED623" s="691" t="e">
        <f ca="1">IF(LEFT($J623,7)="Clad Wo",MATCH($AC629,SPEIW,-1),MATCH($AC629,SPEI,-1))</f>
        <v>#N/A</v>
      </c>
      <c r="EE623" s="4" t="e">
        <f ca="1">IF(LEFT($J623,7)="Clad Wo",IF(AND(INDEX(SPPWS,ED623,4)&gt;=$AB629,INDEX(SPPWS,ED623,5)&gt;=$S623,INDEX(SPPWS,ED623,6)&gt;=$R623),1,0),IF(AND(INDEX(SPM,ED623,4)&gt;=$AB629,INDEX(SPM,ED623,5)&gt;=$S623,INDEX(SPM,ED623,6)&gt;=$R623),1,0))</f>
        <v>#N/A</v>
      </c>
      <c r="EF623" s="4" t="e">
        <f t="shared" ref="EF623" ca="1" si="11535">MATCH(1,OFFSET(EE623:EE634,$W$2,0,COUNT(EE623:EE634)-$W$2),0)</f>
        <v>#REF!</v>
      </c>
      <c r="EG623" s="4" t="e">
        <f t="shared" ref="EG623" ca="1" si="11536">$W$2+EF623</f>
        <v>#REF!</v>
      </c>
      <c r="EH623" s="692" t="str">
        <f ca="1">IF(LEFT($J623,7)="Clad Wo",IFERROR(VLOOKUP(INDEX(ED623:ED634,EG623),SPPWS,2,FALSE),"----"),IFERROR(VLOOKUP(INDEX(ED623:ED634,EG623),SPM,2,FALSE),"----"))</f>
        <v>----</v>
      </c>
    </row>
    <row r="624" spans="1:138" ht="15" customHeight="1" x14ac:dyDescent="0.25">
      <c r="A624" s="1085"/>
      <c r="B624" s="925"/>
      <c r="C624" s="926"/>
      <c r="D624" s="927"/>
      <c r="E624" s="995"/>
      <c r="F624" s="996"/>
      <c r="G624" s="997"/>
      <c r="H624" s="1062"/>
      <c r="I624" s="990"/>
      <c r="J624" s="908"/>
      <c r="K624" s="909"/>
      <c r="L624" s="1002"/>
      <c r="M624" s="923"/>
      <c r="N624" s="1042"/>
      <c r="O624" s="1018"/>
      <c r="P624" s="987"/>
      <c r="Q624" s="1015"/>
      <c r="R624" s="1012"/>
      <c r="S624" s="1006"/>
      <c r="T624" s="1007"/>
      <c r="U624" s="878"/>
      <c r="V624" s="881"/>
      <c r="W624" s="884"/>
      <c r="X624" s="884"/>
      <c r="Y624" s="887"/>
      <c r="Z624" s="887"/>
      <c r="AA624" s="887"/>
      <c r="AB624" s="1081"/>
      <c r="AC624" s="1078"/>
      <c r="AD624" s="1102" t="s">
        <v>38</v>
      </c>
      <c r="AE624" s="1103"/>
      <c r="AF624" s="1052"/>
      <c r="AG624" s="1053"/>
      <c r="AH624" s="1053"/>
      <c r="AI624" s="1066"/>
      <c r="AJ624" s="1067"/>
      <c r="AK624" s="156" t="str">
        <f t="shared" ca="1" si="11298"/>
        <v/>
      </c>
      <c r="AL624" s="1039"/>
      <c r="AM624" s="343" t="str">
        <f ca="1">IFERROR(Q623/12*ROUND(VLOOKUP(AF624,OFFSET(SSM,0,1),6,FALSE),2),"")</f>
        <v/>
      </c>
      <c r="AN624" t="str">
        <f t="shared" ca="1" si="11348"/>
        <v/>
      </c>
      <c r="AP624" s="122" t="str">
        <f t="shared" ref="AP624" si="11537">_xlfn.CONCAT(AR624,AS628)</f>
        <v/>
      </c>
      <c r="AQ624" s="683" t="str">
        <f t="shared" si="11512"/>
        <v/>
      </c>
      <c r="AR624" s="96" t="str">
        <f t="shared" si="11273"/>
        <v/>
      </c>
      <c r="AS624" s="96" t="str">
        <f>IF(COUNTIF(Vista_1,AF623)=1,"Vista_1",IF(COUNTIF(Vista_2,AF623)=1,"Vista_2",""))</f>
        <v/>
      </c>
      <c r="AT624" s="684" t="str">
        <f>AL623</f>
        <v/>
      </c>
      <c r="AU624" s="694" t="e">
        <f t="shared" ref="AU624:AU682" ca="1" si="11538">AU623-1</f>
        <v>#REF!</v>
      </c>
      <c r="AV624" s="686" t="str">
        <f ca="1">IFERROR(VLOOKUP(AU624,INDIRECT(AQ623),2,FALSE),"----")</f>
        <v>----</v>
      </c>
      <c r="AW624" s="694" t="e">
        <f t="shared" ref="AW624:AW682" ca="1" si="11539">AW623-1</f>
        <v>#REF!</v>
      </c>
      <c r="AX624" s="686" t="str">
        <f ca="1">IFERROR(VLOOKUP(AW624,INDIRECT(AQ624),2,FALSE),"----")</f>
        <v>----</v>
      </c>
      <c r="AY624" s="694" t="e">
        <f t="shared" ref="AY624:AY625" ca="1" si="11540">AY623-1</f>
        <v>#REF!</v>
      </c>
      <c r="AZ624" s="686" t="str">
        <f ca="1">IFERROR(VLOOKUP(AY624,INDIRECT(AQ625),2,FALSE),"----")</f>
        <v>----</v>
      </c>
      <c r="BA624" s="694" t="e">
        <f t="shared" ref="BA624:BA625" ca="1" si="11541">BA623-1</f>
        <v>#REF!</v>
      </c>
      <c r="BB624" s="686" t="str">
        <f ca="1">IFERROR(VLOOKUP(BA624,INDIRECT(AQ626),2,FALSE),"----")</f>
        <v>----</v>
      </c>
      <c r="BC624" s="694" t="e">
        <f t="shared" ref="BC624:BC682" ca="1" si="11542">BC623-1</f>
        <v>#REF!</v>
      </c>
      <c r="BD624" s="686" t="str">
        <f ca="1">IFERROR(VLOOKUP(BC624,INDIRECT(AQ627),2,FALSE),"----")</f>
        <v>----</v>
      </c>
      <c r="BE624" s="694" t="e">
        <f t="shared" ref="BE624:BE682" ca="1" si="11543">BE623-1</f>
        <v>#REF!</v>
      </c>
      <c r="BF624" s="686" t="str">
        <f ca="1">IFERROR(VLOOKUP(BE624,INDIRECT(AQ628),2,FALSE),"----")</f>
        <v>----</v>
      </c>
      <c r="BG624" s="694" t="e">
        <f t="shared" ref="BG624:BG682" ca="1" si="11544">BG623-1</f>
        <v>#REF!</v>
      </c>
      <c r="BH624" s="686" t="str">
        <f ca="1">IFERROR(VLOOKUP(BG624,INDIRECT(AQ629),2,FALSE),"----")</f>
        <v>----</v>
      </c>
      <c r="BI624" s="694" t="e">
        <f t="shared" ref="BI624:BI682" ca="1" si="11545">BI623-1</f>
        <v>#REF!</v>
      </c>
      <c r="BJ624" s="686" t="str">
        <f ca="1">IFERROR(VLOOKUP(BI624,INDIRECT(AQ630),2,FALSE),"----")</f>
        <v>----</v>
      </c>
      <c r="BK624" s="694" t="e">
        <f t="shared" ref="BK624:BK682" ca="1" si="11546">BK623-1</f>
        <v>#REF!</v>
      </c>
      <c r="BL624" s="686" t="str">
        <f ca="1">IFERROR(VLOOKUP(BK624,INDIRECT(AQ631),2,FALSE),"----")</f>
        <v>----</v>
      </c>
      <c r="BM624" s="694" t="e">
        <f t="shared" ref="BM624:BM682" ca="1" si="11547">BM623-1</f>
        <v>#REF!</v>
      </c>
      <c r="BN624" s="686" t="str">
        <f ca="1">IFERROR(VLOOKUP(BM624,INDIRECT(AQ632),2,FALSE),"----")</f>
        <v>----</v>
      </c>
      <c r="BO624" s="694" t="e">
        <f t="shared" ref="BO624:BO682" ca="1" si="11548">BO623-1</f>
        <v>#REF!</v>
      </c>
      <c r="BP624" s="686" t="str">
        <f ca="1">IFERROR(VLOOKUP(BO624,INDIRECT(AQ633),2,FALSE),"----")</f>
        <v>----</v>
      </c>
      <c r="BQ624" s="694" t="e">
        <f t="shared" ref="BQ624:BQ682" ca="1" si="11549">BQ623-1</f>
        <v>#REF!</v>
      </c>
      <c r="BR624" s="686" t="str">
        <f ca="1">IFERROR(VLOOKUP(BQ624,INDIRECT(AQ634),2,FALSE),"----")</f>
        <v>----</v>
      </c>
      <c r="BS624" s="695">
        <f>IF(AI624="",1,IF(COUNTIF(AX623:AX634,AI624)=0,2,1))</f>
        <v>1</v>
      </c>
      <c r="BT624" s="696">
        <f>IF(AF624="",1,IF(AX623=".",2,1))</f>
        <v>1</v>
      </c>
      <c r="BU624" s="706"/>
      <c r="BV624" s="155">
        <f ca="1">IF(COUNTIF(CJ623:CJ634,AF624)=0,IF(AF624&lt;&gt;"",0,1),1)</f>
        <v>1</v>
      </c>
      <c r="BW624" s="157">
        <f ca="1">IFERROR(MATCH(AF624,CJ623:CJ634,0),1)</f>
        <v>1</v>
      </c>
      <c r="BX624" s="769"/>
      <c r="BY624" s="769"/>
      <c r="BZ624" s="1110"/>
      <c r="CA624" s="691" t="e">
        <f t="shared" ref="CA624:CA634" ca="1" si="11550">CA623-1</f>
        <v>#REF!</v>
      </c>
      <c r="CB624" s="4" t="e" cm="1">
        <f t="array" aca="1" ref="CB624" ca="1">IF(AND(INDEX(INDIRECT(BY623),CA624,4)&gt;=$AB623,INDEX(INDIRECT(BY623),CA624,5)&gt;=$S623,INDEX(INDIRECT(BY623),CA624,6)&gt;=$R623),1,0)</f>
        <v>#REF!</v>
      </c>
      <c r="CC624" s="4" t="e">
        <f t="shared" ref="CC624" ca="1" si="11551">MATCH(1,OFFSET(CB623:CB634,CD623,0,COUNT(CB623:CB634)-CD623),0)</f>
        <v>#REF!</v>
      </c>
      <c r="CD624" s="4" t="e">
        <f t="shared" ref="CD624:CD634" ca="1" si="11552">CD623+CC624</f>
        <v>#REF!</v>
      </c>
      <c r="CE624" s="692" t="str" cm="1">
        <f t="array" aca="1" ref="CE624" ca="1">IFERROR(VLOOKUP(INDEX(CA623:CA634,CD624),INDIRECT(BY623),2,FALSE),"----")</f>
        <v>----</v>
      </c>
      <c r="CF624" s="691" t="e">
        <f t="shared" ref="CF624:CF634" ca="1" si="11553">CF623-1</f>
        <v>#N/A</v>
      </c>
      <c r="CG624" s="4" t="e">
        <f ca="1">IF(AND(INDEX(SSM,CF624,4)&gt;=$AB623,INDEX(SSM,CF624,5)&gt;=$S623,INDEX(SSM,CF624,6)&gt;=$R623),1,0)</f>
        <v>#N/A</v>
      </c>
      <c r="CH624" s="4" t="e">
        <f t="shared" ref="CH624" ca="1" si="11554">MATCH(1,OFFSET(CG623:CG634,CI623,0,COUNT(CG623:CG634)-CI623),0)</f>
        <v>#REF!</v>
      </c>
      <c r="CI624" s="4" t="e">
        <f t="shared" ref="CI624:CI634" ca="1" si="11555">CI623+CH624</f>
        <v>#REF!</v>
      </c>
      <c r="CJ624" s="692" t="str">
        <f ca="1">IFERROR(IF(AD624="Nested Steel Stud (wood infill)",VLOOKUP(INDEX(CF623:CF634,CI624),SSW,2,FALSE),VLOOKUP(INDEX(CF623:CF634,CI624),SSM,2,FALSE)),"----")</f>
        <v>----</v>
      </c>
      <c r="CK624" s="691" t="e">
        <f t="shared" ref="CK624:CK634" ca="1" si="11556">CK623-1</f>
        <v>#N/A</v>
      </c>
      <c r="CL624" s="4" t="e">
        <f ca="1">IF(AND(INDEX(WSM,CK624,4)&gt;=$AB623,INDEX(WSM,CK624,5)&gt;=$S623,INDEX(WSM,CK624,6)&gt;=$R623),1,0)</f>
        <v>#N/A</v>
      </c>
      <c r="CM624" s="4" t="e">
        <f t="shared" ref="CM624" ca="1" si="11557">MATCH(1,OFFSET(CL623:CL634,CN623,0,COUNT(CL623:CL634)-CN623),0)</f>
        <v>#REF!</v>
      </c>
      <c r="CN624" s="4" t="e">
        <f t="shared" ref="CN624:CN634" ca="1" si="11558">CM624+CN623</f>
        <v>#REF!</v>
      </c>
      <c r="CO624" s="692" t="str">
        <f ca="1">IFERROR(VLOOKUP(INDEX(CK623:CK634,CN624),WSM,2,FALSE),"----")</f>
        <v>----</v>
      </c>
      <c r="CP624" s="691" t="e">
        <f t="shared" ref="CP624:CP634" ca="1" si="11559">CP623-1</f>
        <v>#N/A</v>
      </c>
      <c r="CQ624" s="4" t="e">
        <f ca="1">IF(AND(INDEX(STM,CP624,4)&gt;=$AB623,INDEX(STM,CP624,5)&gt;=$S623,INDEX(STM,CP624,6)&gt;=$R623),1,0)</f>
        <v>#N/A</v>
      </c>
      <c r="CR624" s="4" t="e">
        <f t="shared" ref="CR624" ca="1" si="11560">MATCH(1,OFFSET(CQ623:CQ634,CS623,0,COUNT(CQ623:CQ634)-CS623),0)</f>
        <v>#REF!</v>
      </c>
      <c r="CS624" s="4" t="e">
        <f t="shared" ref="CS624:CS634" ca="1" si="11561">CR624+CS623</f>
        <v>#REF!</v>
      </c>
      <c r="CT624" s="692" t="str">
        <f ca="1">IFERROR(VLOOKUP(INDEX(CP623:CP634,CS624),STM,2,FALSE),"----")</f>
        <v>----</v>
      </c>
      <c r="CU624" s="691" t="e">
        <f t="shared" ref="CU624:CU634" ca="1" si="11562">CU623-1</f>
        <v>#N/A</v>
      </c>
      <c r="CV624" s="4" t="e">
        <f ca="1">IF(AND(INDEX(ELM,CU624,4)&gt;=$AB623,INDEX(ELM,CU624,5)&gt;=$S623,INDEX(ELM,CU624,6)&gt;=$R623),1,0)</f>
        <v>#N/A</v>
      </c>
      <c r="CW624" s="4" t="e">
        <f t="shared" ref="CW624" ca="1" si="11563">MATCH(1,OFFSET(CV623:CV634,CX623,0,COUNT(CV623:CV634)-CX623),0)</f>
        <v>#REF!</v>
      </c>
      <c r="CX624" s="4" t="e">
        <f t="shared" ref="CX624:CX634" ca="1" si="11564">CW624+CX623</f>
        <v>#REF!</v>
      </c>
      <c r="CY624" s="692" t="str">
        <f ca="1">IFERROR(VLOOKUP(INDEX(CU623:CU634,CX624),ELM,2,FALSE),"----")</f>
        <v>----</v>
      </c>
      <c r="CZ624" s="691" t="e">
        <f t="shared" ref="CZ624:CZ634" ca="1" si="11565">CZ623-1</f>
        <v>#N/A</v>
      </c>
      <c r="DA624" s="4" t="e">
        <f ca="1">IF(LEFT($J623,7)="Clad Wo",IF(AND(INDEX(SPPWS,CZ624,4)&gt;=$AB623,INDEX(SPPWS,CZ624,5)&gt;=$S623,INDEX(SPPWS,CZ624,6)&gt;=$R623),1,0),IF(AND(INDEX(SPM,CZ624,4)&gt;=$AB623,INDEX(SPM,CZ624,5)&gt;=$S623,INDEX(SPM,CZ624,6)&gt;=$R623),1,0))</f>
        <v>#N/A</v>
      </c>
      <c r="DB624" s="4" t="e">
        <f t="shared" ref="DB624" ca="1" si="11566">MATCH(1,OFFSET(DA623:DA634,DC623,0,COUNT(DA623:DA634)-DC623),0)</f>
        <v>#REF!</v>
      </c>
      <c r="DC624" s="4" t="e">
        <f t="shared" ref="DC624:DC634" ca="1" si="11567">DC623+DB624</f>
        <v>#REF!</v>
      </c>
      <c r="DD624" s="693" t="str">
        <f ca="1">IF(LEFT($J623,7)="Clad Wo",IFERROR(VLOOKUP(INDEX(CZ623:CZ634,DC624),SPPWS,2,FALSE),"----"),IFERROR(VLOOKUP(INDEX(CZ623:CZ634,DC624),SPM,2,FALSE),"----"))</f>
        <v>----</v>
      </c>
      <c r="DE624" s="691" t="e">
        <f t="shared" ref="DE624:DE634" ca="1" si="11568">DE623-1</f>
        <v>#REF!</v>
      </c>
      <c r="DF624" s="4" t="e" cm="1">
        <f t="array" aca="1" ref="DF624" ca="1">IF(AND(INDEX(INDIRECT(BY623),DE624,4)&gt;=$AB629,INDEX(INDIRECT(BY623),DE624,5)&gt;=$S623,INDEX(INDIRECT(BY623),DE624,6)&gt;=$R623),1,0)</f>
        <v>#REF!</v>
      </c>
      <c r="DG624" s="4" t="e">
        <f t="shared" ref="DG624" ca="1" si="11569">MATCH(1,OFFSET(DF623:DF634,DH623,0,COUNT(DF623:DF634)-DH623),0)</f>
        <v>#REF!</v>
      </c>
      <c r="DH624" s="4" t="e">
        <f t="shared" ref="DH624:DH634" ca="1" si="11570">DH623+DG624</f>
        <v>#REF!</v>
      </c>
      <c r="DI624" s="692" t="str" cm="1">
        <f t="array" aca="1" ref="DI624" ca="1">IFERROR(VLOOKUP(INDEX(DE623:DE634,DH624),INDIRECT(BY623),2,FALSE),"----")</f>
        <v>----</v>
      </c>
      <c r="DJ624" s="691" t="e">
        <f t="shared" ref="DJ624:DJ634" ca="1" si="11571">DJ623-1</f>
        <v>#N/A</v>
      </c>
      <c r="DK624" s="4" t="e">
        <f ca="1">IF(AND(INDEX(SSM,DJ624,4)&gt;=$AB629,INDEX(SSM,DJ624,5)&gt;=$S623,INDEX(SSM,DJ624,6)&gt;=$R623),1,0)</f>
        <v>#N/A</v>
      </c>
      <c r="DL624" s="4" t="e">
        <f t="shared" ref="DL624" ca="1" si="11572">MATCH(1,OFFSET(DK623:DK634,DM623,0,COUNT(DK623:DK634)-DM623),0)</f>
        <v>#REF!</v>
      </c>
      <c r="DM624" s="4" t="e">
        <f t="shared" ref="DM624:DM634" ca="1" si="11573">DL624+DM623</f>
        <v>#REF!</v>
      </c>
      <c r="DN624" s="692" t="str">
        <f ca="1">IFERROR(IF(AD630="Nested Steel Stud (wood infill)",VLOOKUP(INDEX(DJ623:DJ634,DM624),SSW,2,FALSE),VLOOKUP(INDEX(DJ623:DJ634,DM624),SSM,2,FALSE)),"----")</f>
        <v>----</v>
      </c>
      <c r="DO624" s="691" t="e">
        <f t="shared" ref="DO624:DO634" ca="1" si="11574">DO623-1</f>
        <v>#N/A</v>
      </c>
      <c r="DP624" s="4" t="e">
        <f ca="1">IF(AND(INDEX(WSM,DO624,4)&gt;=$AB629,INDEX(WSM,DO624,5)&gt;=$S623,INDEX(WSM,DO624,6)&gt;=$R623),1,0)</f>
        <v>#N/A</v>
      </c>
      <c r="DQ624" s="4" t="e">
        <f t="shared" ref="DQ624" ca="1" si="11575">MATCH(1,OFFSET(DP623:DP634,DR623,0,COUNT(DP623:DP634)-DR623),0)</f>
        <v>#REF!</v>
      </c>
      <c r="DR624" s="4" t="e">
        <f t="shared" ref="DR624:DR634" ca="1" si="11576">DQ624+DR623</f>
        <v>#REF!</v>
      </c>
      <c r="DS624" s="692" t="str">
        <f ca="1">IFERROR(VLOOKUP(INDEX(DO623:DO634,DR624),WSM,2,FALSE),"----")</f>
        <v>----</v>
      </c>
      <c r="DT624" s="691" t="e">
        <f t="shared" ref="DT624:DT634" ca="1" si="11577">DT623-1</f>
        <v>#N/A</v>
      </c>
      <c r="DU624" s="4" t="e">
        <f ca="1">IF(AND(INDEX(STM,DT624,4)&gt;=$AB629,INDEX(STM,DT624,5)&gt;=$S623,INDEX(STM,DT624,6)&gt;=$R623),1,0)</f>
        <v>#N/A</v>
      </c>
      <c r="DV624" s="4" t="e">
        <f t="shared" ref="DV624" ca="1" si="11578">MATCH(1,OFFSET(DU623:DU634,DW623,0,COUNT(DU623:DU634)-DW623),0)</f>
        <v>#REF!</v>
      </c>
      <c r="DW624" s="4" t="e">
        <f t="shared" ref="DW624:DW634" ca="1" si="11579">DV624+DW623</f>
        <v>#REF!</v>
      </c>
      <c r="DX624" s="692" t="str">
        <f ca="1">IFERROR(VLOOKUP(INDEX(DT623:DT634,DW624),STM,2,FALSE),"----")</f>
        <v>----</v>
      </c>
      <c r="DY624" s="691" t="e">
        <f t="shared" ref="DY624:DY634" ca="1" si="11580">DY623-1</f>
        <v>#N/A</v>
      </c>
      <c r="DZ624" s="4" t="e">
        <f ca="1">IF(AND(INDEX(ELM,DY624,4)&gt;=$AB629,INDEX(ELM,DY624,5)&gt;=$S623,INDEX(ELM,DY624,6)&gt;=$R623),1,0)</f>
        <v>#N/A</v>
      </c>
      <c r="EA624" s="4" t="e">
        <f t="shared" ref="EA624" ca="1" si="11581">MATCH(1,OFFSET(DZ623:DZ634,EB623,0,COUNT(DZ623:DZ634)-EB623),0)</f>
        <v>#REF!</v>
      </c>
      <c r="EB624" s="4" t="e">
        <f t="shared" ref="EB624:EB634" ca="1" si="11582">EA624+EB623</f>
        <v>#REF!</v>
      </c>
      <c r="EC624" s="692" t="str">
        <f ca="1">IFERROR(VLOOKUP(INDEX(DY623:DY634,EB624),ELM,2,FALSE),"----")</f>
        <v>----</v>
      </c>
      <c r="ED624" s="691" t="e">
        <f t="shared" ref="ED624:ED634" ca="1" si="11583">ED623-1</f>
        <v>#N/A</v>
      </c>
      <c r="EE624" s="4" t="e">
        <f ca="1">IF(LEFT($J623,7)="Clad Wo",IF(AND(INDEX(SPPWS,ED624,4)&gt;=$AB629,INDEX(SPPWS,ED624,5)&gt;=$S623,INDEX(SPPWS,ED624,6)&gt;=$R623),1,0),IF(AND(INDEX(SPM,ED624,4)&gt;=$AB629,INDEX(SPM,ED624,5)&gt;=$S623,INDEX(SPM,ED624,6)&gt;=$R623),1,0))</f>
        <v>#N/A</v>
      </c>
      <c r="EF624" s="4" t="e">
        <f t="shared" ref="EF624" ca="1" si="11584">MATCH(1,OFFSET(EE623:EE634,EG623,0,COUNT(EE623:EE634)-EG623),0)</f>
        <v>#REF!</v>
      </c>
      <c r="EG624" s="4" t="e">
        <f t="shared" ref="EG624:EG634" ca="1" si="11585">EG623+EF624</f>
        <v>#REF!</v>
      </c>
      <c r="EH624" s="692" t="str">
        <f ca="1">IF(LEFT($J623,7)="Clad Wo",IFERROR(VLOOKUP(INDEX(ED623:ED634,EG624),SPPWS,2,FALSE),"----"),IFERROR(VLOOKUP(INDEX(ED623:ED634,EG624),SPM,2,FALSE),"----"))</f>
        <v>----</v>
      </c>
    </row>
    <row r="625" spans="1:138" ht="15" customHeight="1" x14ac:dyDescent="0.25">
      <c r="A625" s="1085"/>
      <c r="B625" s="925"/>
      <c r="C625" s="926"/>
      <c r="D625" s="927"/>
      <c r="E625" s="995"/>
      <c r="F625" s="996"/>
      <c r="G625" s="997"/>
      <c r="H625" s="1062"/>
      <c r="I625" s="990"/>
      <c r="J625" s="908"/>
      <c r="K625" s="909"/>
      <c r="L625" s="1002"/>
      <c r="M625" s="923"/>
      <c r="N625" s="1042"/>
      <c r="O625" s="1018"/>
      <c r="P625" s="987"/>
      <c r="Q625" s="1015"/>
      <c r="R625" s="1012"/>
      <c r="S625" s="1006"/>
      <c r="T625" s="1007"/>
      <c r="U625" s="878"/>
      <c r="V625" s="881"/>
      <c r="W625" s="884"/>
      <c r="X625" s="884"/>
      <c r="Y625" s="887"/>
      <c r="Z625" s="887"/>
      <c r="AA625" s="887"/>
      <c r="AB625" s="1081"/>
      <c r="AC625" s="1078"/>
      <c r="AD625" s="1070" t="s">
        <v>333</v>
      </c>
      <c r="AE625" s="1071"/>
      <c r="AF625" s="1052"/>
      <c r="AG625" s="1053"/>
      <c r="AH625" s="1053"/>
      <c r="AI625" s="1066"/>
      <c r="AJ625" s="1067"/>
      <c r="AK625" s="154" t="str">
        <f t="shared" ca="1" si="11298"/>
        <v/>
      </c>
      <c r="AL625" s="1039"/>
      <c r="AM625" s="344" t="str">
        <f ca="1">IFERROR(Q623/12*ROUND(VLOOKUP(AF625,OFFSET(WSM,0,1),6,FALSE),2),"")</f>
        <v/>
      </c>
      <c r="AN625" t="str">
        <f t="shared" ca="1" si="11348"/>
        <v/>
      </c>
      <c r="AP625" s="122" t="str">
        <f t="shared" ref="AP625" si="11586">_xlfn.CONCAT(AR625,AS628)</f>
        <v/>
      </c>
      <c r="AQ625" s="683" t="str">
        <f t="shared" si="11512"/>
        <v/>
      </c>
      <c r="AR625" s="4" t="str">
        <f t="shared" si="11273"/>
        <v/>
      </c>
      <c r="AS625" s="4"/>
      <c r="AT625" s="697" t="str">
        <f>AL623</f>
        <v/>
      </c>
      <c r="AU625" s="694" t="e">
        <f t="shared" ca="1" si="11538"/>
        <v>#REF!</v>
      </c>
      <c r="AV625" s="686" t="str">
        <f ca="1">IFERROR(VLOOKUP(AU625,INDIRECT(AQ623),2,FALSE),"----")</f>
        <v>----</v>
      </c>
      <c r="AW625" s="694" t="e">
        <f t="shared" ca="1" si="11539"/>
        <v>#REF!</v>
      </c>
      <c r="AX625" s="686" t="str">
        <f ca="1">IFERROR(VLOOKUP(AW625,INDIRECT(AQ624),2,FALSE),"----")</f>
        <v>----</v>
      </c>
      <c r="AY625" s="694" t="e">
        <f t="shared" ca="1" si="11540"/>
        <v>#REF!</v>
      </c>
      <c r="AZ625" s="686" t="str">
        <f ca="1">IFERROR(VLOOKUP(AY625,INDIRECT(AQ625),2,FALSE),"----")</f>
        <v>----</v>
      </c>
      <c r="BA625" s="694" t="e">
        <f t="shared" ca="1" si="11541"/>
        <v>#REF!</v>
      </c>
      <c r="BB625" s="686" t="str">
        <f ca="1">IFERROR(VLOOKUP(BA625,INDIRECT(AQ626),2,FALSE),"----")</f>
        <v>----</v>
      </c>
      <c r="BC625" s="694" t="e">
        <f t="shared" ca="1" si="11542"/>
        <v>#REF!</v>
      </c>
      <c r="BD625" s="686" t="str">
        <f ca="1">IFERROR(VLOOKUP(BC625,INDIRECT(AQ627),2,FALSE),"----")</f>
        <v>----</v>
      </c>
      <c r="BE625" s="694" t="e">
        <f t="shared" ca="1" si="11543"/>
        <v>#REF!</v>
      </c>
      <c r="BF625" s="686" t="str">
        <f ca="1">IFERROR(VLOOKUP(BE625,INDIRECT(AQ628),2,FALSE),"----")</f>
        <v>----</v>
      </c>
      <c r="BG625" s="694" t="e">
        <f t="shared" ca="1" si="11544"/>
        <v>#REF!</v>
      </c>
      <c r="BH625" s="686" t="str">
        <f ca="1">IFERROR(VLOOKUP(BG625,INDIRECT(AQ629),2,FALSE),"----")</f>
        <v>----</v>
      </c>
      <c r="BI625" s="694" t="e">
        <f t="shared" ca="1" si="11545"/>
        <v>#REF!</v>
      </c>
      <c r="BJ625" s="686" t="str">
        <f ca="1">IFERROR(VLOOKUP(BI625,INDIRECT(AQ630),2,FALSE),"----")</f>
        <v>----</v>
      </c>
      <c r="BK625" s="694" t="e">
        <f t="shared" ca="1" si="11546"/>
        <v>#REF!</v>
      </c>
      <c r="BL625" s="686" t="str">
        <f ca="1">IFERROR(VLOOKUP(BK625,INDIRECT(AQ631),2,FALSE),"----")</f>
        <v>----</v>
      </c>
      <c r="BM625" s="694" t="e">
        <f t="shared" ca="1" si="11547"/>
        <v>#REF!</v>
      </c>
      <c r="BN625" s="686" t="str">
        <f ca="1">IFERROR(VLOOKUP(BM625,INDIRECT(AQ632),2,FALSE),"----")</f>
        <v>----</v>
      </c>
      <c r="BO625" s="694" t="e">
        <f t="shared" ca="1" si="11548"/>
        <v>#REF!</v>
      </c>
      <c r="BP625" s="686" t="str">
        <f ca="1">IFERROR(VLOOKUP(BO625,INDIRECT(AQ633),2,FALSE),"----")</f>
        <v>----</v>
      </c>
      <c r="BQ625" s="694" t="e">
        <f t="shared" ca="1" si="11549"/>
        <v>#REF!</v>
      </c>
      <c r="BR625" s="686" t="str">
        <f ca="1">IFERROR(VLOOKUP(BQ625,INDIRECT(AQ634),2,FALSE),"----")</f>
        <v>----</v>
      </c>
      <c r="BS625" s="695">
        <f>IF(AI625="",1,IF(COUNTIF(AZ623:AZ634,AI625)=0,2,1))</f>
        <v>1</v>
      </c>
      <c r="BT625" s="696">
        <f>IF(AF625="",1,IF(AZ623=".",2,1))</f>
        <v>1</v>
      </c>
      <c r="BU625" s="706"/>
      <c r="BV625" s="155">
        <f ca="1">IF(COUNTIF(CO623:CO634,AF625)=0,IF(AF625&lt;&gt;"",0,1),1)</f>
        <v>1</v>
      </c>
      <c r="BW625" s="157">
        <f ca="1">IFERROR(MATCH(AF625,CO623:CO634,0),1)</f>
        <v>1</v>
      </c>
      <c r="BX625" s="769"/>
      <c r="BY625" s="769"/>
      <c r="BZ625" s="1110"/>
      <c r="CA625" s="691" t="e">
        <f t="shared" ca="1" si="11550"/>
        <v>#REF!</v>
      </c>
      <c r="CB625" s="4" t="e" cm="1">
        <f t="array" aca="1" ref="CB625" ca="1">IF(AND(INDEX(INDIRECT(BY623),CA625,4)&gt;=$AB623,INDEX(INDIRECT(BY623),CA625,5)&gt;=$S623,INDEX(INDIRECT(BY623),CA625,6)&gt;=$R623),1,0)</f>
        <v>#REF!</v>
      </c>
      <c r="CC625" s="4" t="e">
        <f t="shared" ref="CC625" ca="1" si="11587">MATCH(1,OFFSET(CB623:CB634,CD624,0,COUNT(CB623:CB634)-CD624),0)</f>
        <v>#REF!</v>
      </c>
      <c r="CD625" s="4" t="e">
        <f t="shared" ca="1" si="11552"/>
        <v>#REF!</v>
      </c>
      <c r="CE625" s="692" t="str" cm="1">
        <f t="array" aca="1" ref="CE625" ca="1">IFERROR(VLOOKUP(INDEX(CA623:CA634,CD625),INDIRECT(BY623),2,FALSE),"----")</f>
        <v>----</v>
      </c>
      <c r="CF625" s="691" t="e">
        <f t="shared" ca="1" si="11553"/>
        <v>#N/A</v>
      </c>
      <c r="CG625" s="4" t="e">
        <f ca="1">IF(AND(INDEX(SSM,CF625,4)&gt;=$AB623,INDEX(SSM,CF625,5)&gt;=$S623,INDEX(SSM,CF625,6)&gt;=$R623),1,0)</f>
        <v>#N/A</v>
      </c>
      <c r="CH625" s="4" t="e">
        <f t="shared" ref="CH625" ca="1" si="11588">MATCH(1,OFFSET(CG623:CG634,CI624,0,COUNT(CG623:CG634)-CI624),0)</f>
        <v>#REF!</v>
      </c>
      <c r="CI625" s="4" t="e">
        <f t="shared" ca="1" si="11555"/>
        <v>#REF!</v>
      </c>
      <c r="CJ625" s="692" t="str">
        <f ca="1">IFERROR(IF(AD624="Nested Steel Stud (wood infill)",VLOOKUP(INDEX(CF623:CF634,CI625),SSW,2,FALSE),VLOOKUP(INDEX(CF623:CF634,CI625),SSM,2,FALSE)),"----")</f>
        <v>----</v>
      </c>
      <c r="CK625" s="691" t="e">
        <f t="shared" ca="1" si="11556"/>
        <v>#N/A</v>
      </c>
      <c r="CL625" s="4" t="e">
        <f ca="1">IF(AND(INDEX(WSM,CK625,4)&gt;=$AB623,INDEX(WSM,CK625,5)&gt;=$S623,INDEX(WSM,CK625,6)&gt;=$R623),1,0)</f>
        <v>#N/A</v>
      </c>
      <c r="CM625" s="4" t="e">
        <f t="shared" ref="CM625" ca="1" si="11589">MATCH(1,OFFSET(CL623:CL634,CN624,0,COUNT(CL623:CL634)-CN624),0)</f>
        <v>#REF!</v>
      </c>
      <c r="CN625" s="4" t="e">
        <f t="shared" ca="1" si="11558"/>
        <v>#REF!</v>
      </c>
      <c r="CO625" s="692" t="str">
        <f ca="1">IFERROR(VLOOKUP(INDEX(CK623:CK634,CN625),WSM,2,FALSE),"----")</f>
        <v>----</v>
      </c>
      <c r="CP625" s="691" t="e">
        <f t="shared" ca="1" si="11559"/>
        <v>#N/A</v>
      </c>
      <c r="CQ625" s="4" t="e">
        <f ca="1">IF(AND(INDEX(STM,CP625,4)&gt;=$AB623,INDEX(STM,CP625,5)&gt;=$S623,INDEX(STM,CP625,6)&gt;=$R623),1,0)</f>
        <v>#N/A</v>
      </c>
      <c r="CR625" s="4" t="e">
        <f t="shared" ref="CR625" ca="1" si="11590">MATCH(1,OFFSET(CQ623:CQ634,CS624,0,COUNT(CQ623:CQ634)-CS624),0)</f>
        <v>#REF!</v>
      </c>
      <c r="CS625" s="4" t="e">
        <f t="shared" ca="1" si="11561"/>
        <v>#REF!</v>
      </c>
      <c r="CT625" s="692" t="str">
        <f ca="1">IFERROR(VLOOKUP(INDEX(CP623:CP634,CS625),STM,2,FALSE),"----")</f>
        <v>----</v>
      </c>
      <c r="CU625" s="691" t="e">
        <f t="shared" ca="1" si="11562"/>
        <v>#N/A</v>
      </c>
      <c r="CV625" s="4" t="e">
        <f ca="1">IF(AND(INDEX(ELM,CU625,4)&gt;=$AB623,INDEX(ELM,CU625,5)&gt;=$S623,INDEX(ELM,CU625,6)&gt;=$R623),1,0)</f>
        <v>#N/A</v>
      </c>
      <c r="CW625" s="4" t="e">
        <f t="shared" ref="CW625" ca="1" si="11591">MATCH(1,OFFSET(CV623:CV634,CX624,0,COUNT(CV623:CV634)-CX624),0)</f>
        <v>#REF!</v>
      </c>
      <c r="CX625" s="4" t="e">
        <f t="shared" ca="1" si="11564"/>
        <v>#REF!</v>
      </c>
      <c r="CY625" s="692" t="str">
        <f ca="1">IFERROR(VLOOKUP(INDEX(CU623:CU634,CX625),ELM,2,FALSE),"----")</f>
        <v>----</v>
      </c>
      <c r="CZ625" s="691" t="e">
        <f t="shared" ca="1" si="11565"/>
        <v>#N/A</v>
      </c>
      <c r="DA625" s="4" t="e">
        <f ca="1">IF(LEFT($J623,7)="Clad Wo",IF(AND(INDEX(SPPWS,CZ625,4)&gt;=$AB623,INDEX(SPPWS,CZ625,5)&gt;=$S623,INDEX(SPPWS,CZ625,6)&gt;=$R623),1,0),IF(AND(INDEX(SPM,CZ625,4)&gt;=$AB623,INDEX(SPM,CZ625,5)&gt;=$S623,INDEX(SPM,CZ625,6)&gt;=$R623),1,0))</f>
        <v>#N/A</v>
      </c>
      <c r="DB625" s="4" t="e">
        <f t="shared" ref="DB625" ca="1" si="11592">MATCH(1,OFFSET(DA623:DA634,DC624,0,COUNT(DA623:DA634)-DC624),0)</f>
        <v>#REF!</v>
      </c>
      <c r="DC625" s="4" t="e">
        <f t="shared" ca="1" si="11567"/>
        <v>#REF!</v>
      </c>
      <c r="DD625" s="693" t="str">
        <f ca="1">IF(LEFT($J623,7)="Clad Wo",IFERROR(VLOOKUP(INDEX(CZ623:CZ634,DC625),SPPWS,2,FALSE),"----"),IFERROR(VLOOKUP(INDEX(CZ623:CZ634,DC625),SPM,2,FALSE),"----"))</f>
        <v>----</v>
      </c>
      <c r="DE625" s="691" t="e">
        <f t="shared" ca="1" si="11568"/>
        <v>#REF!</v>
      </c>
      <c r="DF625" s="4" t="e" cm="1">
        <f t="array" aca="1" ref="DF625" ca="1">IF(AND(INDEX(INDIRECT(BY623),DE625,4)&gt;=$AB629,INDEX(INDIRECT(BY623),DE625,5)&gt;=$S623,INDEX(INDIRECT(BY623),DE625,6)&gt;=$R623),1,0)</f>
        <v>#REF!</v>
      </c>
      <c r="DG625" s="4" t="e">
        <f t="shared" ref="DG625" ca="1" si="11593">MATCH(1,OFFSET(DF623:DF634,DH624,0,COUNT(DF623:DF634)-DH624),0)</f>
        <v>#REF!</v>
      </c>
      <c r="DH625" s="4" t="e">
        <f t="shared" ca="1" si="11570"/>
        <v>#REF!</v>
      </c>
      <c r="DI625" s="692" t="str" cm="1">
        <f t="array" aca="1" ref="DI625" ca="1">IFERROR(VLOOKUP(INDEX(DE623:DE634,DH625),INDIRECT(BY623),2,FALSE),"----")</f>
        <v>----</v>
      </c>
      <c r="DJ625" s="691" t="e">
        <f t="shared" ca="1" si="11571"/>
        <v>#N/A</v>
      </c>
      <c r="DK625" s="4" t="e">
        <f ca="1">IF(AND(INDEX(SSM,DJ625,4)&gt;=$AB629,INDEX(SSM,DJ625,5)&gt;=$S623,INDEX(SSM,DJ625,6)&gt;=$R623),1,0)</f>
        <v>#N/A</v>
      </c>
      <c r="DL625" s="4" t="e">
        <f t="shared" ref="DL625" ca="1" si="11594">MATCH(1,OFFSET(DK623:DK634,DM624,0,COUNT(DK623:DK634)-DM624),0)</f>
        <v>#REF!</v>
      </c>
      <c r="DM625" s="4" t="e">
        <f t="shared" ca="1" si="11573"/>
        <v>#REF!</v>
      </c>
      <c r="DN625" s="692" t="str">
        <f ca="1">IFERROR(IF(AD630="Nested Steel Stud (wood infill)",VLOOKUP(INDEX(DJ623:DJ634,DM625),SSW,2,FALSE),VLOOKUP(INDEX(DJ623:DJ634,DM625),SSM,2,FALSE)),"----")</f>
        <v>----</v>
      </c>
      <c r="DO625" s="691" t="e">
        <f t="shared" ca="1" si="11574"/>
        <v>#N/A</v>
      </c>
      <c r="DP625" s="4" t="e">
        <f ca="1">IF(AND(INDEX(WSM,DO625,4)&gt;=$AB629,INDEX(WSM,DO625,5)&gt;=$S623,INDEX(WSM,DO625,6)&gt;=$R623),1,0)</f>
        <v>#N/A</v>
      </c>
      <c r="DQ625" s="4" t="e">
        <f t="shared" ref="DQ625" ca="1" si="11595">MATCH(1,OFFSET(DP623:DP634,DR624,0,COUNT(DP623:DP634)-DR624),0)</f>
        <v>#REF!</v>
      </c>
      <c r="DR625" s="4" t="e">
        <f t="shared" ca="1" si="11576"/>
        <v>#REF!</v>
      </c>
      <c r="DS625" s="692" t="str">
        <f ca="1">IFERROR(VLOOKUP(INDEX(DO623:DO634,DR625),WSM,2,FALSE),"----")</f>
        <v>----</v>
      </c>
      <c r="DT625" s="691" t="e">
        <f t="shared" ca="1" si="11577"/>
        <v>#N/A</v>
      </c>
      <c r="DU625" s="4" t="e">
        <f ca="1">IF(AND(INDEX(STM,DT625,4)&gt;=$AB629,INDEX(STM,DT625,5)&gt;=$S623,INDEX(STM,DT625,6)&gt;=$R623),1,0)</f>
        <v>#N/A</v>
      </c>
      <c r="DV625" s="4" t="e">
        <f t="shared" ref="DV625" ca="1" si="11596">MATCH(1,OFFSET(DU623:DU634,DW624,0,COUNT(DU623:DU634)-DW624),0)</f>
        <v>#REF!</v>
      </c>
      <c r="DW625" s="4" t="e">
        <f t="shared" ca="1" si="11579"/>
        <v>#REF!</v>
      </c>
      <c r="DX625" s="692" t="str">
        <f ca="1">IFERROR(VLOOKUP(INDEX(DT623:DT634,DW625),STM,2,FALSE),"----")</f>
        <v>----</v>
      </c>
      <c r="DY625" s="691" t="e">
        <f t="shared" ca="1" si="11580"/>
        <v>#N/A</v>
      </c>
      <c r="DZ625" s="4" t="e">
        <f ca="1">IF(AND(INDEX(ELM,DY625,4)&gt;=$AB629,INDEX(ELM,DY625,5)&gt;=$S623,INDEX(ELM,DY625,6)&gt;=$R623),1,0)</f>
        <v>#N/A</v>
      </c>
      <c r="EA625" s="4" t="e">
        <f t="shared" ref="EA625" ca="1" si="11597">MATCH(1,OFFSET(DZ623:DZ634,EB624,0,COUNT(DZ623:DZ634)-EB624),0)</f>
        <v>#REF!</v>
      </c>
      <c r="EB625" s="4" t="e">
        <f t="shared" ca="1" si="11582"/>
        <v>#REF!</v>
      </c>
      <c r="EC625" s="692" t="str">
        <f ca="1">IFERROR(VLOOKUP(INDEX(DY623:DY634,EB625),ELM,2,FALSE),"----")</f>
        <v>----</v>
      </c>
      <c r="ED625" s="691" t="e">
        <f t="shared" ca="1" si="11583"/>
        <v>#N/A</v>
      </c>
      <c r="EE625" s="4" t="e">
        <f ca="1">IF(LEFT($J623,7)="Clad Wo",IF(AND(INDEX(SPPWS,ED625,4)&gt;=$AB629,INDEX(SPPWS,ED625,5)&gt;=$S623,INDEX(SPPWS,ED625,6)&gt;=$R623),1,0),IF(AND(INDEX(SPM,ED625,4)&gt;=$AB629,INDEX(SPM,ED625,5)&gt;=$S623,INDEX(SPM,ED625,6)&gt;=$R623),1,0))</f>
        <v>#N/A</v>
      </c>
      <c r="EF625" s="4" t="e">
        <f t="shared" ref="EF625" ca="1" si="11598">MATCH(1,OFFSET(EE623:EE634,EG624,0,COUNT(EE623:EE634)-EG624),0)</f>
        <v>#REF!</v>
      </c>
      <c r="EG625" s="4" t="e">
        <f t="shared" ca="1" si="11585"/>
        <v>#REF!</v>
      </c>
      <c r="EH625" s="692" t="str">
        <f ca="1">IF(LEFT($J623,7)="Clad Wo",IFERROR(VLOOKUP(INDEX(ED623:ED634,EG625),SPPWS,2,FALSE),"----"),IFERROR(VLOOKUP(INDEX(ED623:ED634,EG625),SPM,2,FALSE),"----"))</f>
        <v>----</v>
      </c>
    </row>
    <row r="626" spans="1:138" ht="15" customHeight="1" x14ac:dyDescent="0.25">
      <c r="A626" s="1085"/>
      <c r="B626" s="925"/>
      <c r="C626" s="926"/>
      <c r="D626" s="927"/>
      <c r="E626" s="995"/>
      <c r="F626" s="996"/>
      <c r="G626" s="997"/>
      <c r="H626" s="1062"/>
      <c r="I626" s="990"/>
      <c r="J626" s="908"/>
      <c r="K626" s="909"/>
      <c r="L626" s="1002"/>
      <c r="M626" s="923"/>
      <c r="N626" s="1042"/>
      <c r="O626" s="1018"/>
      <c r="P626" s="987"/>
      <c r="Q626" s="1015"/>
      <c r="R626" s="1012"/>
      <c r="S626" s="1006"/>
      <c r="T626" s="1007"/>
      <c r="U626" s="878"/>
      <c r="V626" s="881"/>
      <c r="W626" s="884"/>
      <c r="X626" s="884"/>
      <c r="Y626" s="887"/>
      <c r="Z626" s="887"/>
      <c r="AA626" s="887"/>
      <c r="AB626" s="1081"/>
      <c r="AC626" s="1078"/>
      <c r="AD626" s="1070" t="s">
        <v>37</v>
      </c>
      <c r="AE626" s="1071"/>
      <c r="AF626" s="1052"/>
      <c r="AG626" s="1053"/>
      <c r="AH626" s="1053"/>
      <c r="AI626" s="1066"/>
      <c r="AJ626" s="1067"/>
      <c r="AK626" s="156" t="str">
        <f t="shared" ca="1" si="11298"/>
        <v/>
      </c>
      <c r="AL626" s="1039"/>
      <c r="AM626" s="343" t="str">
        <f ca="1">IFERROR(Q623/12*ROUND(VLOOKUP(AF626,OFFSET(STM,0,1),6,FALSE),2),"")</f>
        <v/>
      </c>
      <c r="AN626" t="str">
        <f t="shared" ca="1" si="11348"/>
        <v/>
      </c>
      <c r="AP626" s="122" t="str">
        <f t="shared" ref="AP626" si="11599">_xlfn.CONCAT(AR626,AS628)</f>
        <v/>
      </c>
      <c r="AQ626" s="683" t="str">
        <f t="shared" si="11512"/>
        <v/>
      </c>
      <c r="AR626" s="4" t="str">
        <f t="shared" si="11273"/>
        <v/>
      </c>
      <c r="AS626" s="4"/>
      <c r="AT626" s="697" t="str">
        <f>AL623</f>
        <v/>
      </c>
      <c r="AU626" s="694" t="e">
        <f t="shared" ca="1" si="11538"/>
        <v>#REF!</v>
      </c>
      <c r="AV626" s="686" t="str">
        <f ca="1">IFERROR(VLOOKUP(AU626,INDIRECT(AQ623),2,FALSE),"----")</f>
        <v>----</v>
      </c>
      <c r="AW626" s="694" t="e">
        <f t="shared" ca="1" si="11539"/>
        <v>#REF!</v>
      </c>
      <c r="AX626" s="686" t="str">
        <f ca="1">IFERROR(VLOOKUP(AW626,INDIRECT(AQ624),2,FALSE),"----")</f>
        <v>----</v>
      </c>
      <c r="AY626" s="694" t="e">
        <f t="shared" ref="AY626" ca="1" si="11600">AY625-1</f>
        <v>#REF!</v>
      </c>
      <c r="AZ626" s="686" t="str">
        <f ca="1">IFERROR(VLOOKUP(AY626,INDIRECT(AQ625),2,FALSE),"----")</f>
        <v>----</v>
      </c>
      <c r="BA626" s="694" t="e">
        <f t="shared" ref="BA626" ca="1" si="11601">BA625-1</f>
        <v>#REF!</v>
      </c>
      <c r="BB626" s="686" t="str">
        <f ca="1">IFERROR(VLOOKUP(BA626,INDIRECT(AQ626),2,FALSE),"----")</f>
        <v>----</v>
      </c>
      <c r="BC626" s="694" t="e">
        <f t="shared" ca="1" si="11542"/>
        <v>#REF!</v>
      </c>
      <c r="BD626" s="686" t="str">
        <f ca="1">IFERROR(VLOOKUP(BC626,INDIRECT(AQ627),2,FALSE),"----")</f>
        <v>----</v>
      </c>
      <c r="BE626" s="694" t="e">
        <f t="shared" ca="1" si="11543"/>
        <v>#REF!</v>
      </c>
      <c r="BF626" s="686" t="str">
        <f ca="1">IFERROR(VLOOKUP(BE626,INDIRECT(AQ628),2,FALSE),"----")</f>
        <v>----</v>
      </c>
      <c r="BG626" s="694" t="e">
        <f t="shared" ca="1" si="11544"/>
        <v>#REF!</v>
      </c>
      <c r="BH626" s="686" t="str">
        <f ca="1">IFERROR(VLOOKUP(BG626,INDIRECT(AQ629),2,FALSE),"----")</f>
        <v>----</v>
      </c>
      <c r="BI626" s="694" t="e">
        <f t="shared" ca="1" si="11545"/>
        <v>#REF!</v>
      </c>
      <c r="BJ626" s="686" t="str">
        <f ca="1">IFERROR(VLOOKUP(BI626,INDIRECT(AQ630),2,FALSE),"----")</f>
        <v>----</v>
      </c>
      <c r="BK626" s="694" t="e">
        <f t="shared" ca="1" si="11546"/>
        <v>#REF!</v>
      </c>
      <c r="BL626" s="686" t="str">
        <f ca="1">IFERROR(VLOOKUP(BK626,INDIRECT(AQ631),2,FALSE),"----")</f>
        <v>----</v>
      </c>
      <c r="BM626" s="694" t="e">
        <f t="shared" ca="1" si="11547"/>
        <v>#REF!</v>
      </c>
      <c r="BN626" s="686" t="str">
        <f ca="1">IFERROR(VLOOKUP(BM626,INDIRECT(AQ632),2,FALSE),"----")</f>
        <v>----</v>
      </c>
      <c r="BO626" s="694" t="e">
        <f t="shared" ca="1" si="11548"/>
        <v>#REF!</v>
      </c>
      <c r="BP626" s="686" t="str">
        <f ca="1">IFERROR(VLOOKUP(BO626,INDIRECT(AQ633),2,FALSE),"----")</f>
        <v>----</v>
      </c>
      <c r="BQ626" s="694" t="e">
        <f t="shared" ca="1" si="11549"/>
        <v>#REF!</v>
      </c>
      <c r="BR626" s="686" t="str">
        <f ca="1">IFERROR(VLOOKUP(BQ626,INDIRECT(AQ634),2,FALSE),"----")</f>
        <v>----</v>
      </c>
      <c r="BS626" s="695">
        <f>IF(AI626="",1,IF(COUNTIF(BB623:BB634,AI626)=0,2,1))</f>
        <v>1</v>
      </c>
      <c r="BT626" s="696">
        <f>IF(AF626="",1,IF(BB623=".",2,1))</f>
        <v>1</v>
      </c>
      <c r="BU626" s="706"/>
      <c r="BV626" s="155">
        <f ca="1">IF(COUNTIF(CT623:CT634,AF626)=0,IF(AF626&lt;&gt;"",0,1),1)</f>
        <v>1</v>
      </c>
      <c r="BW626" s="157">
        <f ca="1">IFERROR(MATCH(AF626,CT623:CT634,0),1)</f>
        <v>1</v>
      </c>
      <c r="BX626" s="769"/>
      <c r="BY626" s="769"/>
      <c r="BZ626" s="1110"/>
      <c r="CA626" s="691" t="e">
        <f t="shared" ca="1" si="11550"/>
        <v>#REF!</v>
      </c>
      <c r="CB626" s="4" t="e" cm="1">
        <f t="array" aca="1" ref="CB626" ca="1">IF(AND(INDEX(INDIRECT(BY623),CA626,4)&gt;=$AB623,INDEX(INDIRECT(BY623),CA626,5)&gt;=$S623,INDEX(INDIRECT(BY623),CA626,6)&gt;=$R623),1,0)</f>
        <v>#REF!</v>
      </c>
      <c r="CC626" s="4" t="e">
        <f t="shared" ref="CC626" ca="1" si="11602">MATCH(1,OFFSET(CB623:CB634,CD625,0,COUNT(CB623:CB634)-CD625),0)</f>
        <v>#REF!</v>
      </c>
      <c r="CD626" s="4" t="e">
        <f t="shared" ca="1" si="11552"/>
        <v>#REF!</v>
      </c>
      <c r="CE626" s="692" t="str" cm="1">
        <f t="array" aca="1" ref="CE626" ca="1">IFERROR(VLOOKUP(INDEX(CA623:CA634,CD626),INDIRECT(BY623),2,FALSE),"----")</f>
        <v>----</v>
      </c>
      <c r="CF626" s="691" t="e">
        <f t="shared" ca="1" si="11553"/>
        <v>#N/A</v>
      </c>
      <c r="CG626" s="4" t="e">
        <f ca="1">IF(AND(INDEX(SSM,CF626,4)&gt;=$AB623,INDEX(SSM,CF626,5)&gt;=$S623,INDEX(SSM,CF626,6)&gt;=$R623),1,0)</f>
        <v>#N/A</v>
      </c>
      <c r="CH626" s="4" t="e">
        <f t="shared" ref="CH626" ca="1" si="11603">MATCH(1,OFFSET(CG623:CG634,CI625,0,COUNT(CG623:CG634)-CI625),0)</f>
        <v>#REF!</v>
      </c>
      <c r="CI626" s="4" t="e">
        <f t="shared" ca="1" si="11555"/>
        <v>#REF!</v>
      </c>
      <c r="CJ626" s="692" t="str">
        <f ca="1">IFERROR(IF(AD624="Nested Steel Stud (wood infill)",VLOOKUP(INDEX(CF623:CF634,CI626),SSW,2,FALSE),VLOOKUP(INDEX(CF623:CF634,CI626),SSM,2,FALSE)),"----")</f>
        <v>----</v>
      </c>
      <c r="CK626" s="691" t="e">
        <f t="shared" ca="1" si="11556"/>
        <v>#N/A</v>
      </c>
      <c r="CL626" s="4" t="e">
        <f ca="1">IF(AND(INDEX(WSM,CK626,4)&gt;=$AB623,INDEX(WSM,CK626,5)&gt;=$S623,INDEX(WSM,CK626,6)&gt;=$R623),1,0)</f>
        <v>#N/A</v>
      </c>
      <c r="CM626" s="4" t="e">
        <f t="shared" ref="CM626" ca="1" si="11604">MATCH(1,OFFSET(CL623:CL634,CN625,0,COUNT(CL623:CL634)-CN625),0)</f>
        <v>#REF!</v>
      </c>
      <c r="CN626" s="4" t="e">
        <f t="shared" ca="1" si="11558"/>
        <v>#REF!</v>
      </c>
      <c r="CO626" s="692" t="str">
        <f ca="1">IFERROR(VLOOKUP(INDEX(CK623:CK634,CN626),WSM,2,FALSE),"----")</f>
        <v>----</v>
      </c>
      <c r="CP626" s="691" t="e">
        <f t="shared" ca="1" si="11559"/>
        <v>#N/A</v>
      </c>
      <c r="CQ626" s="4" t="e">
        <f ca="1">IF(AND(INDEX(STM,CP626,4)&gt;=$AB623,INDEX(STM,CP626,5)&gt;=$S623,INDEX(STM,CP626,6)&gt;=$R623),1,0)</f>
        <v>#N/A</v>
      </c>
      <c r="CR626" s="4" t="e">
        <f t="shared" ref="CR626" ca="1" si="11605">MATCH(1,OFFSET(CQ623:CQ634,CS625,0,COUNT(CQ623:CQ634)-CS625),0)</f>
        <v>#REF!</v>
      </c>
      <c r="CS626" s="4" t="e">
        <f t="shared" ca="1" si="11561"/>
        <v>#REF!</v>
      </c>
      <c r="CT626" s="692" t="str">
        <f ca="1">IFERROR(VLOOKUP(INDEX(CP623:CP634,CS626),STM,2,FALSE),"----")</f>
        <v>----</v>
      </c>
      <c r="CU626" s="691" t="e">
        <f t="shared" ca="1" si="11562"/>
        <v>#N/A</v>
      </c>
      <c r="CV626" s="4" t="e">
        <f ca="1">IF(AND(INDEX(ELM,CU626,4)&gt;=$AB623,INDEX(ELM,CU626,5)&gt;=$S623,INDEX(ELM,CU626,6)&gt;=$R623),1,0)</f>
        <v>#N/A</v>
      </c>
      <c r="CW626" s="4" t="e">
        <f t="shared" ref="CW626" ca="1" si="11606">MATCH(1,OFFSET(CV623:CV634,CX625,0,COUNT(CV623:CV634)-CX625),0)</f>
        <v>#REF!</v>
      </c>
      <c r="CX626" s="4" t="e">
        <f t="shared" ca="1" si="11564"/>
        <v>#REF!</v>
      </c>
      <c r="CY626" s="692" t="str">
        <f ca="1">IFERROR(VLOOKUP(INDEX(CU623:CU634,CX626),ELM,2,FALSE),"----")</f>
        <v>----</v>
      </c>
      <c r="CZ626" s="691" t="e">
        <f t="shared" ca="1" si="11565"/>
        <v>#N/A</v>
      </c>
      <c r="DA626" s="4" t="e">
        <f ca="1">IF(LEFT($J623,7)="Clad Wo",IF(AND(INDEX(SPPWS,CZ626,4)&gt;=$AB623,INDEX(SPPWS,CZ626,5)&gt;=$S623,INDEX(SPPWS,CZ626,6)&gt;=$R623),1,0),IF(AND(INDEX(SPM,CZ626,4)&gt;=$AB623,INDEX(SPM,CZ626,5)&gt;=$S623,INDEX(SPM,CZ626,6)&gt;=$R623),1,0))</f>
        <v>#N/A</v>
      </c>
      <c r="DB626" s="4" t="e">
        <f t="shared" ref="DB626" ca="1" si="11607">MATCH(1,OFFSET(DA623:DA634,DC625,0,COUNT(DA623:DA634)-DC625),0)</f>
        <v>#REF!</v>
      </c>
      <c r="DC626" s="4" t="e">
        <f t="shared" ca="1" si="11567"/>
        <v>#REF!</v>
      </c>
      <c r="DD626" s="693" t="str">
        <f ca="1">IF(LEFT($J623,7)="Clad Wo",IFERROR(VLOOKUP(INDEX(CZ623:CZ634,DC626),SPPWS,2,FALSE),"----"),IFERROR(VLOOKUP(INDEX(CZ623:CZ634,DC626),SPM,2,FALSE),"----"))</f>
        <v>----</v>
      </c>
      <c r="DE626" s="691" t="e">
        <f t="shared" ca="1" si="11568"/>
        <v>#REF!</v>
      </c>
      <c r="DF626" s="4" t="e" cm="1">
        <f t="array" aca="1" ref="DF626" ca="1">IF(AND(INDEX(INDIRECT(BY623),DE626,4)&gt;=$AB629,INDEX(INDIRECT(BY623),DE626,5)&gt;=$S623,INDEX(INDIRECT(BY623),DE626,6)&gt;=$R623),1,0)</f>
        <v>#REF!</v>
      </c>
      <c r="DG626" s="4" t="e">
        <f t="shared" ref="DG626" ca="1" si="11608">MATCH(1,OFFSET(DF623:DF634,DH625,0,COUNT(DF623:DF634)-DH625),0)</f>
        <v>#REF!</v>
      </c>
      <c r="DH626" s="4" t="e">
        <f t="shared" ca="1" si="11570"/>
        <v>#REF!</v>
      </c>
      <c r="DI626" s="692" t="str" cm="1">
        <f t="array" aca="1" ref="DI626" ca="1">IFERROR(VLOOKUP(INDEX(DE623:DE634,DH626),INDIRECT(BY623),2,FALSE),"----")</f>
        <v>----</v>
      </c>
      <c r="DJ626" s="691" t="e">
        <f t="shared" ca="1" si="11571"/>
        <v>#N/A</v>
      </c>
      <c r="DK626" s="4" t="e">
        <f ca="1">IF(AND(INDEX(SSM,DJ626,4)&gt;=$AB629,INDEX(SSM,DJ626,5)&gt;=$S623,INDEX(SSM,DJ626,6)&gt;=$R623),1,0)</f>
        <v>#N/A</v>
      </c>
      <c r="DL626" s="4" t="e">
        <f t="shared" ref="DL626" ca="1" si="11609">MATCH(1,OFFSET(DK623:DK634,DM625,0,COUNT(DK623:DK634)-DM625),0)</f>
        <v>#REF!</v>
      </c>
      <c r="DM626" s="4" t="e">
        <f t="shared" ca="1" si="11573"/>
        <v>#REF!</v>
      </c>
      <c r="DN626" s="692" t="str">
        <f ca="1">IFERROR(IF(AD630="Nested Steel Stud (wood infill)",VLOOKUP(INDEX(DJ623:DJ634,DM626),SSW,2,FALSE),VLOOKUP(INDEX(DJ623:DJ634,DM626),SSM,2,FALSE)),"----")</f>
        <v>----</v>
      </c>
      <c r="DO626" s="691" t="e">
        <f t="shared" ca="1" si="11574"/>
        <v>#N/A</v>
      </c>
      <c r="DP626" s="4" t="e">
        <f ca="1">IF(AND(INDEX(WSM,DO626,4)&gt;=$AB629,INDEX(WSM,DO626,5)&gt;=$S623,INDEX(WSM,DO626,6)&gt;=$R623),1,0)</f>
        <v>#N/A</v>
      </c>
      <c r="DQ626" s="4" t="e">
        <f t="shared" ref="DQ626" ca="1" si="11610">MATCH(1,OFFSET(DP623:DP634,DR625,0,COUNT(DP623:DP634)-DR625),0)</f>
        <v>#REF!</v>
      </c>
      <c r="DR626" s="4" t="e">
        <f t="shared" ca="1" si="11576"/>
        <v>#REF!</v>
      </c>
      <c r="DS626" s="692" t="str">
        <f ca="1">IFERROR(VLOOKUP(INDEX(DO623:DO634,DR626),WSM,2,FALSE),"----")</f>
        <v>----</v>
      </c>
      <c r="DT626" s="691" t="e">
        <f t="shared" ca="1" si="11577"/>
        <v>#N/A</v>
      </c>
      <c r="DU626" s="4" t="e">
        <f ca="1">IF(AND(INDEX(STM,DT626,4)&gt;=$AB629,INDEX(STM,DT626,5)&gt;=$S623,INDEX(STM,DT626,6)&gt;=$R623),1,0)</f>
        <v>#N/A</v>
      </c>
      <c r="DV626" s="4" t="e">
        <f t="shared" ref="DV626" ca="1" si="11611">MATCH(1,OFFSET(DU623:DU634,DW625,0,COUNT(DU623:DU634)-DW625),0)</f>
        <v>#REF!</v>
      </c>
      <c r="DW626" s="4" t="e">
        <f t="shared" ca="1" si="11579"/>
        <v>#REF!</v>
      </c>
      <c r="DX626" s="692" t="str">
        <f ca="1">IFERROR(VLOOKUP(INDEX(DT623:DT634,DW626),STM,2,FALSE),"----")</f>
        <v>----</v>
      </c>
      <c r="DY626" s="691" t="e">
        <f t="shared" ca="1" si="11580"/>
        <v>#N/A</v>
      </c>
      <c r="DZ626" s="4" t="e">
        <f ca="1">IF(AND(INDEX(ELM,DY626,4)&gt;=$AB629,INDEX(ELM,DY626,5)&gt;=$S623,INDEX(ELM,DY626,6)&gt;=$R623),1,0)</f>
        <v>#N/A</v>
      </c>
      <c r="EA626" s="4" t="e">
        <f t="shared" ref="EA626" ca="1" si="11612">MATCH(1,OFFSET(DZ623:DZ634,EB625,0,COUNT(DZ623:DZ634)-EB625),0)</f>
        <v>#REF!</v>
      </c>
      <c r="EB626" s="4" t="e">
        <f t="shared" ca="1" si="11582"/>
        <v>#REF!</v>
      </c>
      <c r="EC626" s="692" t="str">
        <f ca="1">IFERROR(VLOOKUP(INDEX(DY623:DY634,EB626),ELM,2,FALSE),"----")</f>
        <v>----</v>
      </c>
      <c r="ED626" s="691" t="e">
        <f t="shared" ca="1" si="11583"/>
        <v>#N/A</v>
      </c>
      <c r="EE626" s="4" t="e">
        <f ca="1">IF(LEFT($J623,7)="Clad Wo",IF(AND(INDEX(SPPWS,ED626,4)&gt;=$AB629,INDEX(SPPWS,ED626,5)&gt;=$S623,INDEX(SPPWS,ED626,6)&gt;=$R623),1,0),IF(AND(INDEX(SPM,ED626,4)&gt;=$AB629,INDEX(SPM,ED626,5)&gt;=$S623,INDEX(SPM,ED626,6)&gt;=$R623),1,0))</f>
        <v>#N/A</v>
      </c>
      <c r="EF626" s="4" t="e">
        <f t="shared" ref="EF626" ca="1" si="11613">MATCH(1,OFFSET(EE623:EE634,EG625,0,COUNT(EE623:EE634)-EG625),0)</f>
        <v>#REF!</v>
      </c>
      <c r="EG626" s="4" t="e">
        <f t="shared" ca="1" si="11585"/>
        <v>#REF!</v>
      </c>
      <c r="EH626" s="692" t="str">
        <f ca="1">IF(LEFT($J623,7)="Clad Wo",IFERROR(VLOOKUP(INDEX(ED623:ED634,EG626),SPPWS,2,FALSE),"----"),IFERROR(VLOOKUP(INDEX(ED623:ED634,EG626),SPM,2,FALSE),"----"))</f>
        <v>----</v>
      </c>
    </row>
    <row r="627" spans="1:138" ht="15" customHeight="1" x14ac:dyDescent="0.25">
      <c r="A627" s="1085"/>
      <c r="B627" s="925"/>
      <c r="C627" s="926"/>
      <c r="D627" s="927"/>
      <c r="E627" s="995"/>
      <c r="F627" s="996"/>
      <c r="G627" s="997"/>
      <c r="H627" s="1062"/>
      <c r="I627" s="990"/>
      <c r="J627" s="910"/>
      <c r="K627" s="911"/>
      <c r="L627" s="1002"/>
      <c r="M627" s="923"/>
      <c r="N627" s="1042"/>
      <c r="O627" s="1018"/>
      <c r="P627" s="987"/>
      <c r="Q627" s="1015"/>
      <c r="R627" s="1012"/>
      <c r="S627" s="1006"/>
      <c r="T627" s="1007"/>
      <c r="U627" s="878"/>
      <c r="V627" s="881"/>
      <c r="W627" s="884"/>
      <c r="X627" s="884"/>
      <c r="Y627" s="887"/>
      <c r="Z627" s="887"/>
      <c r="AA627" s="887"/>
      <c r="AB627" s="1081"/>
      <c r="AC627" s="1078"/>
      <c r="AD627" s="1070" t="s">
        <v>39</v>
      </c>
      <c r="AE627" s="1071"/>
      <c r="AF627" s="1052"/>
      <c r="AG627" s="1053"/>
      <c r="AH627" s="1053"/>
      <c r="AI627" s="1068"/>
      <c r="AJ627" s="1069"/>
      <c r="AK627" s="154" t="str">
        <f t="shared" ca="1" si="11298"/>
        <v/>
      </c>
      <c r="AL627" s="1039"/>
      <c r="AM627" s="344" t="str">
        <f ca="1">IFERROR(Q623/12*ROUND(VLOOKUP(AF627,OFFSET(ELM,0,1),6,FALSE),2),"")</f>
        <v/>
      </c>
      <c r="AN627" t="str">
        <f t="shared" ca="1" si="11348"/>
        <v/>
      </c>
      <c r="AP627" s="122" t="str">
        <f t="shared" ref="AP627" si="11614">_xlfn.CONCAT(AR627,AS628)</f>
        <v/>
      </c>
      <c r="AQ627" s="683" t="str">
        <f t="shared" si="11512"/>
        <v/>
      </c>
      <c r="AR627" s="4" t="str">
        <f t="shared" si="11273"/>
        <v/>
      </c>
      <c r="AS627" s="4"/>
      <c r="AT627" s="697" t="str">
        <f>AL623</f>
        <v/>
      </c>
      <c r="AU627" s="694" t="e">
        <f t="shared" ca="1" si="11538"/>
        <v>#REF!</v>
      </c>
      <c r="AV627" s="698" t="str">
        <f ca="1">IFERROR(VLOOKUP(AU627,INDIRECT(AQ623),2,FALSE),"----")</f>
        <v>----</v>
      </c>
      <c r="AW627" s="694" t="e">
        <f t="shared" ca="1" si="11539"/>
        <v>#REF!</v>
      </c>
      <c r="AX627" s="698" t="str">
        <f ca="1">IFERROR(VLOOKUP(AW627,INDIRECT(AQ624),2,FALSE),"----")</f>
        <v>----</v>
      </c>
      <c r="AY627" s="694" t="e">
        <f t="shared" ref="AY627" ca="1" si="11615">AY626-1</f>
        <v>#REF!</v>
      </c>
      <c r="AZ627" s="698" t="str">
        <f ca="1">IFERROR(VLOOKUP(AY627,INDIRECT(AQ625),2,FALSE),"----")</f>
        <v>----</v>
      </c>
      <c r="BA627" s="694" t="e">
        <f t="shared" ref="BA627" ca="1" si="11616">BA626-1</f>
        <v>#REF!</v>
      </c>
      <c r="BB627" s="698" t="str">
        <f ca="1">IFERROR(VLOOKUP(BA627,INDIRECT(AQ626),2,FALSE),"----")</f>
        <v>----</v>
      </c>
      <c r="BC627" s="694" t="e">
        <f t="shared" ca="1" si="11542"/>
        <v>#REF!</v>
      </c>
      <c r="BD627" s="698" t="str">
        <f ca="1">IFERROR(VLOOKUP(BC627,INDIRECT(AQ627),2,FALSE),"----")</f>
        <v>----</v>
      </c>
      <c r="BE627" s="694" t="e">
        <f t="shared" ca="1" si="11543"/>
        <v>#REF!</v>
      </c>
      <c r="BF627" s="698" t="str">
        <f ca="1">IFERROR(VLOOKUP(BE627,INDIRECT(AQ628),2,FALSE),"----")</f>
        <v>----</v>
      </c>
      <c r="BG627" s="694" t="e">
        <f t="shared" ca="1" si="11544"/>
        <v>#REF!</v>
      </c>
      <c r="BH627" s="686" t="str">
        <f ca="1">IFERROR(VLOOKUP(BG627,INDIRECT(AQ629),2,FALSE),"----")</f>
        <v>----</v>
      </c>
      <c r="BI627" s="694" t="e">
        <f t="shared" ca="1" si="11545"/>
        <v>#REF!</v>
      </c>
      <c r="BJ627" s="686" t="str">
        <f ca="1">IFERROR(VLOOKUP(BI627,INDIRECT(AQ630),2,FALSE),"----")</f>
        <v>----</v>
      </c>
      <c r="BK627" s="694" t="e">
        <f t="shared" ca="1" si="11546"/>
        <v>#REF!</v>
      </c>
      <c r="BL627" s="686" t="str">
        <f ca="1">IFERROR(VLOOKUP(BK627,INDIRECT(AQ631),2,FALSE),"----")</f>
        <v>----</v>
      </c>
      <c r="BM627" s="694" t="e">
        <f t="shared" ca="1" si="11547"/>
        <v>#REF!</v>
      </c>
      <c r="BN627" s="686" t="str">
        <f ca="1">IFERROR(VLOOKUP(BM627,INDIRECT(AQ632),2,FALSE),"----")</f>
        <v>----</v>
      </c>
      <c r="BO627" s="694" t="e">
        <f t="shared" ca="1" si="11548"/>
        <v>#REF!</v>
      </c>
      <c r="BP627" s="686" t="str">
        <f ca="1">IFERROR(VLOOKUP(BO627,INDIRECT(AQ633),2,FALSE),"----")</f>
        <v>----</v>
      </c>
      <c r="BQ627" s="694" t="e">
        <f t="shared" ca="1" si="11549"/>
        <v>#REF!</v>
      </c>
      <c r="BR627" s="686" t="str">
        <f ca="1">IFERROR(VLOOKUP(BQ627,INDIRECT(AQ634),2,FALSE),"----")</f>
        <v>----</v>
      </c>
      <c r="BS627" s="695">
        <f>IF(AI627="",1,IF(COUNTIF(BD623:BD634,AI627)=0,2,1))</f>
        <v>1</v>
      </c>
      <c r="BT627" s="696">
        <f>IF(AF627="",1,IF(BD623=".",2,1))</f>
        <v>1</v>
      </c>
      <c r="BU627" s="706"/>
      <c r="BV627" s="155">
        <f ca="1">IF(COUNTIF(CY623:CY634,AF627)=0,IF(AF627&lt;&gt;"",0,1),1)</f>
        <v>1</v>
      </c>
      <c r="BW627" s="157">
        <f ca="1">IFERROR(MATCH(AF627,CY623:CY634,0),1)</f>
        <v>1</v>
      </c>
      <c r="BX627" s="769"/>
      <c r="BY627" s="769"/>
      <c r="BZ627" s="1110"/>
      <c r="CA627" s="691" t="e">
        <f t="shared" ca="1" si="11550"/>
        <v>#REF!</v>
      </c>
      <c r="CB627" s="4" t="e" cm="1">
        <f t="array" aca="1" ref="CB627" ca="1">IF(AND(INDEX(INDIRECT(BY623),CA627,4)&gt;=$AB623,INDEX(INDIRECT(BY623),CA627,5)&gt;=$S623,INDEX(INDIRECT(BY623),CA627,6)&gt;=$R623),1,0)</f>
        <v>#REF!</v>
      </c>
      <c r="CC627" s="4" t="e">
        <f t="shared" ref="CC627" ca="1" si="11617">MATCH(1,OFFSET(CB623:CB634,CD626,0,COUNT(CB623:CB634)-CD626),0)</f>
        <v>#REF!</v>
      </c>
      <c r="CD627" s="4" t="e">
        <f t="shared" ca="1" si="11552"/>
        <v>#REF!</v>
      </c>
      <c r="CE627" s="692" t="str" cm="1">
        <f t="array" aca="1" ref="CE627" ca="1">IFERROR(VLOOKUP(INDEX(CA623:CA634,CD627),INDIRECT(BY623),2,FALSE),"----")</f>
        <v>----</v>
      </c>
      <c r="CF627" s="691" t="e">
        <f t="shared" ca="1" si="11553"/>
        <v>#N/A</v>
      </c>
      <c r="CG627" s="4" t="e">
        <f ca="1">IF(AND(INDEX(SSM,CF627,4)&gt;=$AB623,INDEX(SSM,CF627,5)&gt;=$S623,INDEX(SSM,CF627,6)&gt;=$R623),1,0)</f>
        <v>#N/A</v>
      </c>
      <c r="CH627" s="4" t="e">
        <f t="shared" ref="CH627" ca="1" si="11618">MATCH(1,OFFSET(CG623:CG634,CI626,0,COUNT(CG623:CG634)-CI626),0)</f>
        <v>#REF!</v>
      </c>
      <c r="CI627" s="4" t="e">
        <f t="shared" ca="1" si="11555"/>
        <v>#REF!</v>
      </c>
      <c r="CJ627" s="692" t="str">
        <f ca="1">IFERROR(IF(AD624="Nested Steel Stud (wood infill)",VLOOKUP(INDEX(CF623:CF634,CI627),SSW,2,FALSE),VLOOKUP(INDEX(CF623:CF634,CI627),SSM,2,FALSE)),"----")</f>
        <v>----</v>
      </c>
      <c r="CK627" s="691" t="e">
        <f t="shared" ca="1" si="11556"/>
        <v>#N/A</v>
      </c>
      <c r="CL627" s="4" t="e">
        <f ca="1">IF(AND(INDEX(WSM,CK627,4)&gt;=$AB623,INDEX(WSM,CK627,5)&gt;=$S623,INDEX(WSM,CK627,6)&gt;=$R623),1,0)</f>
        <v>#N/A</v>
      </c>
      <c r="CM627" s="4" t="e">
        <f t="shared" ref="CM627" ca="1" si="11619">MATCH(1,OFFSET(CL623:CL634,CN626,0,COUNT(CL623:CL634)-CN626),0)</f>
        <v>#REF!</v>
      </c>
      <c r="CN627" s="4" t="e">
        <f t="shared" ca="1" si="11558"/>
        <v>#REF!</v>
      </c>
      <c r="CO627" s="692" t="str">
        <f ca="1">IFERROR(VLOOKUP(INDEX(CK623:CK634,CN627),WSM,2,FALSE),"----")</f>
        <v>----</v>
      </c>
      <c r="CP627" s="691" t="e">
        <f t="shared" ca="1" si="11559"/>
        <v>#N/A</v>
      </c>
      <c r="CQ627" s="4" t="e">
        <f ca="1">IF(AND(INDEX(STM,CP627,4)&gt;=$AB623,INDEX(STM,CP627,5)&gt;=$S623,INDEX(STM,CP627,6)&gt;=$R623),1,0)</f>
        <v>#N/A</v>
      </c>
      <c r="CR627" s="4" t="e">
        <f t="shared" ref="CR627" ca="1" si="11620">MATCH(1,OFFSET(CQ623:CQ634,CS626,0,COUNT(CQ623:CQ634)-CS626),0)</f>
        <v>#REF!</v>
      </c>
      <c r="CS627" s="4" t="e">
        <f t="shared" ca="1" si="11561"/>
        <v>#REF!</v>
      </c>
      <c r="CT627" s="692" t="str">
        <f ca="1">IFERROR(VLOOKUP(INDEX(CP623:CP634,CS627),STM,2,FALSE),"----")</f>
        <v>----</v>
      </c>
      <c r="CU627" s="691" t="e">
        <f t="shared" ca="1" si="11562"/>
        <v>#N/A</v>
      </c>
      <c r="CV627" s="4" t="e">
        <f ca="1">IF(AND(INDEX(ELM,CU627,4)&gt;=$AB623,INDEX(ELM,CU627,5)&gt;=$S623,INDEX(ELM,CU627,6)&gt;=$R623),1,0)</f>
        <v>#N/A</v>
      </c>
      <c r="CW627" s="4" t="e">
        <f t="shared" ref="CW627" ca="1" si="11621">MATCH(1,OFFSET(CV623:CV634,CX626,0,COUNT(CV623:CV634)-CX626),0)</f>
        <v>#REF!</v>
      </c>
      <c r="CX627" s="4" t="e">
        <f t="shared" ca="1" si="11564"/>
        <v>#REF!</v>
      </c>
      <c r="CY627" s="692" t="str">
        <f ca="1">IFERROR(VLOOKUP(INDEX(CU623:CU634,CX627),ELM,2,FALSE),"----")</f>
        <v>----</v>
      </c>
      <c r="CZ627" s="691" t="e">
        <f t="shared" ca="1" si="11565"/>
        <v>#N/A</v>
      </c>
      <c r="DA627" s="4" t="e">
        <f ca="1">IF(LEFT($J623,7)="Clad Wo",IF(AND(INDEX(SPPWS,CZ627,4)&gt;=$AB623,INDEX(SPPWS,CZ627,5)&gt;=$S623,INDEX(SPPWS,CZ627,6)&gt;=$R623),1,0),IF(AND(INDEX(SPM,CZ627,4)&gt;=$AB623,INDEX(SPM,CZ627,5)&gt;=$S623,INDEX(SPM,CZ627,6)&gt;=$R623),1,0))</f>
        <v>#N/A</v>
      </c>
      <c r="DB627" s="4" t="e">
        <f t="shared" ref="DB627" ca="1" si="11622">MATCH(1,OFFSET(DA623:DA634,DC626,0,COUNT(DA623:DA634)-DC626),0)</f>
        <v>#REF!</v>
      </c>
      <c r="DC627" s="4" t="e">
        <f t="shared" ca="1" si="11567"/>
        <v>#REF!</v>
      </c>
      <c r="DD627" s="693" t="str">
        <f ca="1">IF(LEFT($J623,7)="Clad Wo",IFERROR(VLOOKUP(INDEX(CZ623:CZ634,DC627),SPPWS,2,FALSE),"----"),IFERROR(VLOOKUP(INDEX(CZ623:CZ634,DC627),SPM,2,FALSE),"----"))</f>
        <v>----</v>
      </c>
      <c r="DE627" s="691" t="e">
        <f t="shared" ca="1" si="11568"/>
        <v>#REF!</v>
      </c>
      <c r="DF627" s="4" t="e" cm="1">
        <f t="array" aca="1" ref="DF627" ca="1">IF(AND(INDEX(INDIRECT(BY623),DE627,4)&gt;=$AB629,INDEX(INDIRECT(BY623),DE627,5)&gt;=$S623,INDEX(INDIRECT(BY623),DE627,6)&gt;=$R623),1,0)</f>
        <v>#REF!</v>
      </c>
      <c r="DG627" s="4" t="e">
        <f t="shared" ref="DG627" ca="1" si="11623">MATCH(1,OFFSET(DF623:DF634,DH626,0,COUNT(DF623:DF634)-DH626),0)</f>
        <v>#REF!</v>
      </c>
      <c r="DH627" s="4" t="e">
        <f t="shared" ca="1" si="11570"/>
        <v>#REF!</v>
      </c>
      <c r="DI627" s="692" t="str" cm="1">
        <f t="array" aca="1" ref="DI627" ca="1">IFERROR(VLOOKUP(INDEX(DE623:DE634,DH627),INDIRECT(BY623),2,FALSE),"----")</f>
        <v>----</v>
      </c>
      <c r="DJ627" s="691" t="e">
        <f t="shared" ca="1" si="11571"/>
        <v>#N/A</v>
      </c>
      <c r="DK627" s="4" t="e">
        <f ca="1">IF(AND(INDEX(SSM,DJ627,4)&gt;=$AB629,INDEX(SSM,DJ627,5)&gt;=$S623,INDEX(SSM,DJ627,6)&gt;=$R623),1,0)</f>
        <v>#N/A</v>
      </c>
      <c r="DL627" s="4" t="e">
        <f t="shared" ref="DL627" ca="1" si="11624">MATCH(1,OFFSET(DK623:DK634,DM626,0,COUNT(DK623:DK634)-DM626),0)</f>
        <v>#REF!</v>
      </c>
      <c r="DM627" s="4" t="e">
        <f t="shared" ca="1" si="11573"/>
        <v>#REF!</v>
      </c>
      <c r="DN627" s="692" t="str">
        <f ca="1">IFERROR(IF(AD630="Nested Steel Stud (wood infill)",VLOOKUP(INDEX(DJ623:DJ634,DM627),SSW,2,FALSE),VLOOKUP(INDEX(DJ623:DJ634,DM627),SSM,2,FALSE)),"----")</f>
        <v>----</v>
      </c>
      <c r="DO627" s="691" t="e">
        <f t="shared" ca="1" si="11574"/>
        <v>#N/A</v>
      </c>
      <c r="DP627" s="4" t="e">
        <f ca="1">IF(AND(INDEX(WSM,DO627,4)&gt;=$AB629,INDEX(WSM,DO627,5)&gt;=$S623,INDEX(WSM,DO627,6)&gt;=$R623),1,0)</f>
        <v>#N/A</v>
      </c>
      <c r="DQ627" s="4" t="e">
        <f t="shared" ref="DQ627" ca="1" si="11625">MATCH(1,OFFSET(DP623:DP634,DR626,0,COUNT(DP623:DP634)-DR626),0)</f>
        <v>#REF!</v>
      </c>
      <c r="DR627" s="4" t="e">
        <f t="shared" ca="1" si="11576"/>
        <v>#REF!</v>
      </c>
      <c r="DS627" s="692" t="str">
        <f ca="1">IFERROR(VLOOKUP(INDEX(DO623:DO634,DR627),WSM,2,FALSE),"----")</f>
        <v>----</v>
      </c>
      <c r="DT627" s="691" t="e">
        <f t="shared" ca="1" si="11577"/>
        <v>#N/A</v>
      </c>
      <c r="DU627" s="4" t="e">
        <f ca="1">IF(AND(INDEX(STM,DT627,4)&gt;=$AB629,INDEX(STM,DT627,5)&gt;=$S623,INDEX(STM,DT627,6)&gt;=$R623),1,0)</f>
        <v>#N/A</v>
      </c>
      <c r="DV627" s="4" t="e">
        <f t="shared" ref="DV627" ca="1" si="11626">MATCH(1,OFFSET(DU623:DU634,DW626,0,COUNT(DU623:DU634)-DW626),0)</f>
        <v>#REF!</v>
      </c>
      <c r="DW627" s="4" t="e">
        <f t="shared" ca="1" si="11579"/>
        <v>#REF!</v>
      </c>
      <c r="DX627" s="692" t="str">
        <f ca="1">IFERROR(VLOOKUP(INDEX(DT623:DT634,DW627),STM,2,FALSE),"----")</f>
        <v>----</v>
      </c>
      <c r="DY627" s="691" t="e">
        <f t="shared" ca="1" si="11580"/>
        <v>#N/A</v>
      </c>
      <c r="DZ627" s="4" t="e">
        <f ca="1">IF(AND(INDEX(ELM,DY627,4)&gt;=$AB629,INDEX(ELM,DY627,5)&gt;=$S623,INDEX(ELM,DY627,6)&gt;=$R623),1,0)</f>
        <v>#N/A</v>
      </c>
      <c r="EA627" s="4" t="e">
        <f t="shared" ref="EA627" ca="1" si="11627">MATCH(1,OFFSET(DZ623:DZ634,EB626,0,COUNT(DZ623:DZ634)-EB626),0)</f>
        <v>#REF!</v>
      </c>
      <c r="EB627" s="4" t="e">
        <f t="shared" ca="1" si="11582"/>
        <v>#REF!</v>
      </c>
      <c r="EC627" s="692" t="str">
        <f ca="1">IFERROR(VLOOKUP(INDEX(DY623:DY634,EB627),ELM,2,FALSE),"----")</f>
        <v>----</v>
      </c>
      <c r="ED627" s="691" t="e">
        <f t="shared" ca="1" si="11583"/>
        <v>#N/A</v>
      </c>
      <c r="EE627" s="4" t="e">
        <f ca="1">IF(LEFT($J623,7)="Clad Wo",IF(AND(INDEX(SPPWS,ED627,4)&gt;=$AB629,INDEX(SPPWS,ED627,5)&gt;=$S623,INDEX(SPPWS,ED627,6)&gt;=$R623),1,0),IF(AND(INDEX(SPM,ED627,4)&gt;=$AB629,INDEX(SPM,ED627,5)&gt;=$S623,INDEX(SPM,ED627,6)&gt;=$R623),1,0))</f>
        <v>#N/A</v>
      </c>
      <c r="EF627" s="4" t="e">
        <f t="shared" ref="EF627" ca="1" si="11628">MATCH(1,OFFSET(EE623:EE634,EG626,0,COUNT(EE623:EE634)-EG626),0)</f>
        <v>#REF!</v>
      </c>
      <c r="EG627" s="4" t="e">
        <f t="shared" ca="1" si="11585"/>
        <v>#REF!</v>
      </c>
      <c r="EH627" s="692" t="str">
        <f ca="1">IF(LEFT($J623,7)="Clad Wo",IFERROR(VLOOKUP(INDEX(ED623:ED634,EG627),SPPWS,2,FALSE),"----"),IFERROR(VLOOKUP(INDEX(ED623:ED634,EG627),SPM,2,FALSE),"----"))</f>
        <v>----</v>
      </c>
    </row>
    <row r="628" spans="1:138" ht="15" customHeight="1" thickBot="1" x14ac:dyDescent="0.3">
      <c r="A628" s="1085"/>
      <c r="B628" s="934"/>
      <c r="C628" s="935"/>
      <c r="D628" s="936"/>
      <c r="E628" s="995"/>
      <c r="F628" s="996"/>
      <c r="G628" s="997"/>
      <c r="H628" s="1062"/>
      <c r="I628" s="990"/>
      <c r="J628" s="908"/>
      <c r="K628" s="909"/>
      <c r="L628" s="1010"/>
      <c r="M628" s="924"/>
      <c r="N628" s="1044"/>
      <c r="O628" s="1018"/>
      <c r="P628" s="987"/>
      <c r="Q628" s="1015"/>
      <c r="R628" s="1012"/>
      <c r="S628" s="1006"/>
      <c r="T628" s="1007"/>
      <c r="U628" s="878"/>
      <c r="V628" s="881"/>
      <c r="W628" s="889"/>
      <c r="X628" s="884"/>
      <c r="Y628" s="890"/>
      <c r="Z628" s="890"/>
      <c r="AA628" s="887"/>
      <c r="AB628" s="1084"/>
      <c r="AC628" s="1079"/>
      <c r="AD628" s="1072" t="str">
        <f t="shared" ref="AD628" si="11629">IF(LEFT(J623,7)="Clad Wo","Pella Wood Spr / Steel Pte","Steel Plate")</f>
        <v>Steel Plate</v>
      </c>
      <c r="AE628" s="1073"/>
      <c r="AF628" s="1054"/>
      <c r="AG628" s="1055"/>
      <c r="AH628" s="1055"/>
      <c r="AI628" s="1092"/>
      <c r="AJ628" s="1093"/>
      <c r="AK628" s="159" t="str">
        <f t="shared" ca="1" si="11298"/>
        <v/>
      </c>
      <c r="AL628" s="1040"/>
      <c r="AM628" s="345" t="str">
        <f ca="1">IFERROR(Q623/12*ROUND(VLOOKUP(AF628,OFFSET(SPM,0,1),6,FALSE),2),"")</f>
        <v/>
      </c>
      <c r="AN628" t="str">
        <f t="shared" ca="1" si="11348"/>
        <v/>
      </c>
      <c r="AP628" s="699" t="str">
        <f t="shared" ref="AP628" si="11630">_xlfn.CONCAT(AR628,AS628)</f>
        <v/>
      </c>
      <c r="AQ628" s="700" t="str">
        <f t="shared" si="11512"/>
        <v/>
      </c>
      <c r="AR628" s="160" t="str">
        <f t="shared" si="11273"/>
        <v/>
      </c>
      <c r="AS628" s="160" t="str">
        <f>IFERROR(VLOOKUP(J631, WallType,2,FALSE),"")</f>
        <v/>
      </c>
      <c r="AT628" s="701" t="str">
        <f>AL623</f>
        <v/>
      </c>
      <c r="AU628" s="694" t="e">
        <f t="shared" ca="1" si="11538"/>
        <v>#REF!</v>
      </c>
      <c r="AV628" s="698" t="str">
        <f ca="1">IFERROR(VLOOKUP(AU628,INDIRECT(AQ623),2,FALSE),"----")</f>
        <v>----</v>
      </c>
      <c r="AW628" s="702" t="e">
        <f t="shared" ca="1" si="11539"/>
        <v>#REF!</v>
      </c>
      <c r="AX628" s="698" t="str">
        <f ca="1">IFERROR(VLOOKUP(AW628,INDIRECT(AQ624),2,FALSE),"----")</f>
        <v>----</v>
      </c>
      <c r="AY628" s="702" t="e">
        <f t="shared" ref="AY628:AY643" ca="1" si="11631">AY627-1</f>
        <v>#REF!</v>
      </c>
      <c r="AZ628" s="698" t="str">
        <f ca="1">IFERROR(VLOOKUP(AY628,INDIRECT(AQ625),2,FALSE),"----")</f>
        <v>----</v>
      </c>
      <c r="BA628" s="702" t="e">
        <f t="shared" ref="BA628:BA643" ca="1" si="11632">BA627-1</f>
        <v>#REF!</v>
      </c>
      <c r="BB628" s="698" t="str">
        <f ca="1">IFERROR(VLOOKUP(BA628,INDIRECT(AQ626),2,FALSE),"----")</f>
        <v>----</v>
      </c>
      <c r="BC628" s="702" t="e">
        <f t="shared" ca="1" si="11542"/>
        <v>#REF!</v>
      </c>
      <c r="BD628" s="698" t="str">
        <f ca="1">IFERROR(VLOOKUP(BC628,INDIRECT(AQ627),2,FALSE),"----")</f>
        <v>----</v>
      </c>
      <c r="BE628" s="702" t="e">
        <f t="shared" ca="1" si="11543"/>
        <v>#REF!</v>
      </c>
      <c r="BF628" s="698" t="str">
        <f ca="1">IFERROR(VLOOKUP(BE628,INDIRECT(AQ628),2,FALSE),"----")</f>
        <v>----</v>
      </c>
      <c r="BG628" s="702" t="e">
        <f t="shared" ca="1" si="11544"/>
        <v>#REF!</v>
      </c>
      <c r="BH628" s="686" t="str">
        <f ca="1">IFERROR(VLOOKUP(BG628,INDIRECT(AQ629),2,FALSE),"----")</f>
        <v>----</v>
      </c>
      <c r="BI628" s="702" t="e">
        <f t="shared" ca="1" si="11545"/>
        <v>#REF!</v>
      </c>
      <c r="BJ628" s="686" t="str">
        <f ca="1">IFERROR(VLOOKUP(BI628,INDIRECT(AQ630),2,FALSE),"----")</f>
        <v>----</v>
      </c>
      <c r="BK628" s="702" t="e">
        <f t="shared" ca="1" si="11546"/>
        <v>#REF!</v>
      </c>
      <c r="BL628" s="686" t="str">
        <f ca="1">IFERROR(VLOOKUP(BK628,INDIRECT(AQ631),2,FALSE),"----")</f>
        <v>----</v>
      </c>
      <c r="BM628" s="702" t="e">
        <f t="shared" ca="1" si="11547"/>
        <v>#REF!</v>
      </c>
      <c r="BN628" s="686" t="str">
        <f ca="1">IFERROR(VLOOKUP(BM628,INDIRECT(AQ632),2,FALSE),"----")</f>
        <v>----</v>
      </c>
      <c r="BO628" s="702" t="e">
        <f t="shared" ca="1" si="11548"/>
        <v>#REF!</v>
      </c>
      <c r="BP628" s="686" t="str">
        <f ca="1">IFERROR(VLOOKUP(BO628,INDIRECT(AQ633),2,FALSE),"----")</f>
        <v>----</v>
      </c>
      <c r="BQ628" s="702" t="e">
        <f t="shared" ca="1" si="11549"/>
        <v>#REF!</v>
      </c>
      <c r="BR628" s="686" t="str">
        <f ca="1">IFERROR(VLOOKUP(BQ628,INDIRECT(AQ634),2,FALSE),"----")</f>
        <v>----</v>
      </c>
      <c r="BS628" s="703">
        <f>IF(AI628="",1,IF(COUNTIF(BF623:BF634,AI628)=0,2,1))</f>
        <v>1</v>
      </c>
      <c r="BT628" s="704">
        <f>IF(AF628="",1,IF(BF623=".",2,1))</f>
        <v>1</v>
      </c>
      <c r="BV628" s="155">
        <f ca="1">IF(COUNTIF(DD623:DD634,AF628)=0,IF(AF628&lt;&gt;"",0,1),1)</f>
        <v>1</v>
      </c>
      <c r="BW628" s="157">
        <f ca="1">IFERROR(MATCH(AF628,DD623:DD634,0),1)</f>
        <v>1</v>
      </c>
      <c r="BX628" s="875" t="s">
        <v>1594</v>
      </c>
      <c r="BY628" s="876"/>
      <c r="BZ628" s="1110"/>
      <c r="CA628" s="691" t="e">
        <f t="shared" ca="1" si="11550"/>
        <v>#REF!</v>
      </c>
      <c r="CB628" s="4" t="e" cm="1">
        <f t="array" aca="1" ref="CB628" ca="1">IF(AND(INDEX(INDIRECT(BY623),CA628,4)&gt;=$AB623,INDEX(INDIRECT(BY623),CA628,5)&gt;=$S623,INDEX(INDIRECT(BY623),CA628,6)&gt;=$R623),1,0)</f>
        <v>#REF!</v>
      </c>
      <c r="CC628" s="4" t="e">
        <f t="shared" ref="CC628" ca="1" si="11633">MATCH(1,OFFSET(CB623:CB634,CD627,0,COUNT(CB623:CB634)-CD627),0)</f>
        <v>#REF!</v>
      </c>
      <c r="CD628" s="4" t="e">
        <f t="shared" ca="1" si="11552"/>
        <v>#REF!</v>
      </c>
      <c r="CE628" s="692" t="str" cm="1">
        <f t="array" aca="1" ref="CE628" ca="1">IFERROR(VLOOKUP(INDEX(CA623:CA634,CD628),INDIRECT(BY623),2,FALSE),"----")</f>
        <v>----</v>
      </c>
      <c r="CF628" s="691" t="e">
        <f t="shared" ca="1" si="11553"/>
        <v>#N/A</v>
      </c>
      <c r="CG628" s="4" t="e">
        <f ca="1">IF(AND(INDEX(SSM,CF628,4)&gt;=$AB623,INDEX(SSM,CF628,5)&gt;=$S623,INDEX(SSM,CF628,6)&gt;=$R623),1,0)</f>
        <v>#N/A</v>
      </c>
      <c r="CH628" s="4" t="e">
        <f t="shared" ref="CH628" ca="1" si="11634">MATCH(1,OFFSET(CG623:CG634,CI627,0,COUNT(CG623:CG634)-CI627),0)</f>
        <v>#REF!</v>
      </c>
      <c r="CI628" s="4" t="e">
        <f t="shared" ca="1" si="11555"/>
        <v>#REF!</v>
      </c>
      <c r="CJ628" s="692" t="str">
        <f ca="1">IFERROR(IF(AD624="Nested Steel Stud (wood infill)",VLOOKUP(INDEX(CF623:CF634,CI628),SSW,2,FALSE),VLOOKUP(INDEX(CF623:CF634,CI628),SSM,2,FALSE)),"----")</f>
        <v>----</v>
      </c>
      <c r="CK628" s="691" t="e">
        <f t="shared" ca="1" si="11556"/>
        <v>#N/A</v>
      </c>
      <c r="CL628" s="4" t="e">
        <f ca="1">IF(AND(INDEX(WSM,CK628,4)&gt;=$AB623,INDEX(WSM,CK628,5)&gt;=$S623,INDEX(WSM,CK628,6)&gt;=$R623),1,0)</f>
        <v>#N/A</v>
      </c>
      <c r="CM628" s="4" t="e">
        <f t="shared" ref="CM628" ca="1" si="11635">MATCH(1,OFFSET(CL623:CL634,CN627,0,COUNT(CL623:CL634)-CN627),0)</f>
        <v>#REF!</v>
      </c>
      <c r="CN628" s="4" t="e">
        <f t="shared" ca="1" si="11558"/>
        <v>#REF!</v>
      </c>
      <c r="CO628" s="692" t="str">
        <f ca="1">IFERROR(VLOOKUP(INDEX(CK623:CK634,CN628),WSM,2,FALSE),"----")</f>
        <v>----</v>
      </c>
      <c r="CP628" s="691" t="e">
        <f t="shared" ca="1" si="11559"/>
        <v>#N/A</v>
      </c>
      <c r="CQ628" s="4" t="e">
        <f ca="1">IF(AND(INDEX(STM,CP628,4)&gt;=$AB623,INDEX(STM,CP628,5)&gt;=$S623,INDEX(STM,CP628,6)&gt;=$R623),1,0)</f>
        <v>#N/A</v>
      </c>
      <c r="CR628" s="4" t="e">
        <f t="shared" ref="CR628" ca="1" si="11636">MATCH(1,OFFSET(CQ623:CQ634,CS627,0,COUNT(CQ623:CQ634)-CS627),0)</f>
        <v>#REF!</v>
      </c>
      <c r="CS628" s="4" t="e">
        <f t="shared" ca="1" si="11561"/>
        <v>#REF!</v>
      </c>
      <c r="CT628" s="692" t="str">
        <f ca="1">IFERROR(VLOOKUP(INDEX(CP623:CP634,CS628),STM,2,FALSE),"----")</f>
        <v>----</v>
      </c>
      <c r="CU628" s="691" t="e">
        <f t="shared" ca="1" si="11562"/>
        <v>#N/A</v>
      </c>
      <c r="CV628" s="4" t="e">
        <f ca="1">IF(AND(INDEX(ELM,CU628,4)&gt;=$AB623,INDEX(ELM,CU628,5)&gt;=$S623,INDEX(ELM,CU628,6)&gt;=$R623),1,0)</f>
        <v>#N/A</v>
      </c>
      <c r="CW628" s="4" t="e">
        <f t="shared" ref="CW628" ca="1" si="11637">MATCH(1,OFFSET(CV623:CV634,CX627,0,COUNT(CV623:CV634)-CX627),0)</f>
        <v>#REF!</v>
      </c>
      <c r="CX628" s="4" t="e">
        <f t="shared" ca="1" si="11564"/>
        <v>#REF!</v>
      </c>
      <c r="CY628" s="692" t="str">
        <f ca="1">IFERROR(VLOOKUP(INDEX(CU623:CU634,CX628),ELM,2,FALSE),"----")</f>
        <v>----</v>
      </c>
      <c r="CZ628" s="691" t="e">
        <f t="shared" ca="1" si="11565"/>
        <v>#N/A</v>
      </c>
      <c r="DA628" s="4" t="e">
        <f ca="1">IF(LEFT($J623,7)="Clad Wo",IF(AND(INDEX(SPPWS,CZ628,4)&gt;=$AB623,INDEX(SPPWS,CZ628,5)&gt;=$S623,INDEX(SPPWS,CZ628,6)&gt;=$R623),1,0),IF(AND(INDEX(SPM,CZ628,4)&gt;=$AB623,INDEX(SPM,CZ628,5)&gt;=$S623,INDEX(SPM,CZ628,6)&gt;=$R623),1,0))</f>
        <v>#N/A</v>
      </c>
      <c r="DB628" s="4" t="e">
        <f t="shared" ref="DB628" ca="1" si="11638">MATCH(1,OFFSET(DA623:DA634,DC627,0,COUNT(DA623:DA634)-DC627),0)</f>
        <v>#REF!</v>
      </c>
      <c r="DC628" s="4" t="e">
        <f t="shared" ca="1" si="11567"/>
        <v>#REF!</v>
      </c>
      <c r="DD628" s="693" t="str">
        <f ca="1">IF(LEFT($J623,7)="Clad Wo",IFERROR(VLOOKUP(INDEX(CZ623:CZ634,DC628),SPPWS,2,FALSE),"----"),IFERROR(VLOOKUP(INDEX(CZ623:CZ634,DC628),SPM,2,FALSE),"----"))</f>
        <v>----</v>
      </c>
      <c r="DE628" s="691" t="e">
        <f t="shared" ca="1" si="11568"/>
        <v>#REF!</v>
      </c>
      <c r="DF628" s="4" t="e" cm="1">
        <f t="array" aca="1" ref="DF628" ca="1">IF(AND(INDEX(INDIRECT(BY623),DE628,4)&gt;=$AB629,INDEX(INDIRECT(BY623),DE628,5)&gt;=$S623,INDEX(INDIRECT(BY623),DE628,6)&gt;=$R623),1,0)</f>
        <v>#REF!</v>
      </c>
      <c r="DG628" s="4" t="e">
        <f t="shared" ref="DG628" ca="1" si="11639">MATCH(1,OFFSET(DF623:DF634,DH627,0,COUNT(DF623:DF634)-DH627),0)</f>
        <v>#REF!</v>
      </c>
      <c r="DH628" s="4" t="e">
        <f t="shared" ca="1" si="11570"/>
        <v>#REF!</v>
      </c>
      <c r="DI628" s="692" t="str" cm="1">
        <f t="array" aca="1" ref="DI628" ca="1">IFERROR(VLOOKUP(INDEX(DE623:DE634,DH628),INDIRECT(BY623),2,FALSE),"----")</f>
        <v>----</v>
      </c>
      <c r="DJ628" s="691" t="e">
        <f t="shared" ca="1" si="11571"/>
        <v>#N/A</v>
      </c>
      <c r="DK628" s="4" t="e">
        <f ca="1">IF(AND(INDEX(SSM,DJ628,4)&gt;=$AB629,INDEX(SSM,DJ628,5)&gt;=$S623,INDEX(SSM,DJ628,6)&gt;=$R623),1,0)</f>
        <v>#N/A</v>
      </c>
      <c r="DL628" s="4" t="e">
        <f t="shared" ref="DL628" ca="1" si="11640">MATCH(1,OFFSET(DK623:DK634,DM627,0,COUNT(DK623:DK634)-DM627),0)</f>
        <v>#REF!</v>
      </c>
      <c r="DM628" s="4" t="e">
        <f t="shared" ca="1" si="11573"/>
        <v>#REF!</v>
      </c>
      <c r="DN628" s="692" t="str">
        <f ca="1">IFERROR(IF(AD630="Nested Steel Stud (wood infill)",VLOOKUP(INDEX(DJ623:DJ634,DM628),SSW,2,FALSE),VLOOKUP(INDEX(DJ623:DJ634,DM628),SSM,2,FALSE)),"----")</f>
        <v>----</v>
      </c>
      <c r="DO628" s="691" t="e">
        <f t="shared" ca="1" si="11574"/>
        <v>#N/A</v>
      </c>
      <c r="DP628" s="4" t="e">
        <f ca="1">IF(AND(INDEX(WSM,DO628,4)&gt;=$AB629,INDEX(WSM,DO628,5)&gt;=$S623,INDEX(WSM,DO628,6)&gt;=$R623),1,0)</f>
        <v>#N/A</v>
      </c>
      <c r="DQ628" s="4" t="e">
        <f t="shared" ref="DQ628" ca="1" si="11641">MATCH(1,OFFSET(DP623:DP634,DR627,0,COUNT(DP623:DP634)-DR627),0)</f>
        <v>#REF!</v>
      </c>
      <c r="DR628" s="4" t="e">
        <f t="shared" ca="1" si="11576"/>
        <v>#REF!</v>
      </c>
      <c r="DS628" s="692" t="str">
        <f ca="1">IFERROR(VLOOKUP(INDEX(DO623:DO634,DR628),WSM,2,FALSE),"----")</f>
        <v>----</v>
      </c>
      <c r="DT628" s="691" t="e">
        <f t="shared" ca="1" si="11577"/>
        <v>#N/A</v>
      </c>
      <c r="DU628" s="4" t="e">
        <f ca="1">IF(AND(INDEX(STM,DT628,4)&gt;=$AB629,INDEX(STM,DT628,5)&gt;=$S623,INDEX(STM,DT628,6)&gt;=$R623),1,0)</f>
        <v>#N/A</v>
      </c>
      <c r="DV628" s="4" t="e">
        <f t="shared" ref="DV628" ca="1" si="11642">MATCH(1,OFFSET(DU623:DU634,DW627,0,COUNT(DU623:DU634)-DW627),0)</f>
        <v>#REF!</v>
      </c>
      <c r="DW628" s="4" t="e">
        <f t="shared" ca="1" si="11579"/>
        <v>#REF!</v>
      </c>
      <c r="DX628" s="692" t="str">
        <f ca="1">IFERROR(VLOOKUP(INDEX(DT623:DT634,DW628),STM,2,FALSE),"----")</f>
        <v>----</v>
      </c>
      <c r="DY628" s="691" t="e">
        <f t="shared" ca="1" si="11580"/>
        <v>#N/A</v>
      </c>
      <c r="DZ628" s="4" t="e">
        <f ca="1">IF(AND(INDEX(ELM,DY628,4)&gt;=$AB629,INDEX(ELM,DY628,5)&gt;=$S623,INDEX(ELM,DY628,6)&gt;=$R623),1,0)</f>
        <v>#N/A</v>
      </c>
      <c r="EA628" s="4" t="e">
        <f t="shared" ref="EA628" ca="1" si="11643">MATCH(1,OFFSET(DZ623:DZ634,EB627,0,COUNT(DZ623:DZ634)-EB627),0)</f>
        <v>#REF!</v>
      </c>
      <c r="EB628" s="4" t="e">
        <f t="shared" ca="1" si="11582"/>
        <v>#REF!</v>
      </c>
      <c r="EC628" s="692" t="str">
        <f ca="1">IFERROR(VLOOKUP(INDEX(DY623:DY634,EB628),ELM,2,FALSE),"----")</f>
        <v>----</v>
      </c>
      <c r="ED628" s="691" t="e">
        <f t="shared" ca="1" si="11583"/>
        <v>#N/A</v>
      </c>
      <c r="EE628" s="4" t="e">
        <f ca="1">IF(LEFT($J623,7)="Clad Wo",IF(AND(INDEX(SPPWS,ED628,4)&gt;=$AB629,INDEX(SPPWS,ED628,5)&gt;=$S623,INDEX(SPPWS,ED628,6)&gt;=$R623),1,0),IF(AND(INDEX(SPM,ED628,4)&gt;=$AB629,INDEX(SPM,ED628,5)&gt;=$S623,INDEX(SPM,ED628,6)&gt;=$R623),1,0))</f>
        <v>#N/A</v>
      </c>
      <c r="EF628" s="4" t="e">
        <f t="shared" ref="EF628" ca="1" si="11644">MATCH(1,OFFSET(EE623:EE634,EG627,0,COUNT(EE623:EE634)-EG627),0)</f>
        <v>#REF!</v>
      </c>
      <c r="EG628" s="4" t="e">
        <f t="shared" ca="1" si="11585"/>
        <v>#REF!</v>
      </c>
      <c r="EH628" s="692" t="str">
        <f ca="1">IF(LEFT($J623,7)="Clad Wo",IFERROR(VLOOKUP(INDEX(ED623:ED634,EG628),SPPWS,2,FALSE),"----"),IFERROR(VLOOKUP(INDEX(ED623:ED634,EG628),SPM,2,FALSE),"----"))</f>
        <v>----</v>
      </c>
    </row>
    <row r="629" spans="1:138" ht="15" customHeight="1" x14ac:dyDescent="0.25">
      <c r="A629" s="1085"/>
      <c r="B629" s="925" t="s">
        <v>409</v>
      </c>
      <c r="C629" s="926"/>
      <c r="D629" s="927"/>
      <c r="E629" s="995"/>
      <c r="F629" s="996"/>
      <c r="G629" s="997"/>
      <c r="H629" s="1062"/>
      <c r="I629" s="990"/>
      <c r="J629" s="908"/>
      <c r="K629" s="909"/>
      <c r="L629" s="1001">
        <f>L623+1</f>
        <v>5</v>
      </c>
      <c r="M629" s="1064" t="str">
        <f t="shared" ref="M629" si="11645">IFERROR(IF($AE$17="",IF($AG$19="Wind Loading",MIN($V$31,IF(E$11="ASCE 7-05",$U$26,$V$7)*$V$9*(IF($E$12&lt;60,0.156*LN(MAX(MIN(500,O623),10)) -1.7618,IF($E$11="ASCE 7-22", 0.2026*LN(MAX(MIN(500,O623),20))-2.2638,0.2503*LN(MAX(MIN(500,O623),20)) -2.5526))-$V$8)),$V$7*IF(E$12&lt;60,$V$13*($V$15*(0.156*LN(MAX(MIN(500,O623),10)) -1.7618)-$V$16),$V$13*$V$15*((0.2026*LN(MAX(MIN(500,O623),20))-2.2638)-$V$16))),-ABS($AE$17)),"")</f>
        <v/>
      </c>
      <c r="N629" s="1041" t="str">
        <f t="shared" ref="N629" si="11646">IFERROR(IF($AE$19="",IF($AG$19="Wind Loading",MAX($U$31,IF(E$11="ASCE 7-05",$U$26,$V$7)*$V$9*((IF($E$12&lt;60,-0.077*LN(MAX(MIN(500,O623),10))+1.1737,IF($E$11="ASCE 7-22",-0.077*LN(MAX(MIN(500,O623),20))+1.0798,-0.093*LN(MAX(MIN(500,O623),20))+1.1776)))+$V$8)),$V$7*IF(E$12&lt;60,$V$13*($V$15*(-0.077*LN(MAX(MIN(500,O623),10))+1.1737)-$V$17),$V$13*$V$15*((-0.077*LN(MAX(MIN(500,O623),20))+1.0798)-$V$17))),ABS($AE$19)),"")</f>
        <v/>
      </c>
      <c r="O629" s="1018"/>
      <c r="P629" s="987"/>
      <c r="Q629" s="1015"/>
      <c r="R629" s="1012">
        <f>P629*Q629/8</f>
        <v>0</v>
      </c>
      <c r="S629" s="1006"/>
      <c r="T629" s="1007"/>
      <c r="U629" s="878"/>
      <c r="V629" s="881"/>
      <c r="W629" s="883" t="e">
        <f t="shared" ref="W629" si="11647">MAX(-M629,N629)*O623</f>
        <v>#VALUE!</v>
      </c>
      <c r="X629" s="884"/>
      <c r="Y629" s="886">
        <f>IFERROR(IF(AG$14="Trapezoidal",BY632,BX632)+IF($E$17="4",(400*E623^3)/(48*X623),0),0)</f>
        <v>0</v>
      </c>
      <c r="Z629" s="886" t="e">
        <f t="shared" ref="Z629" si="11648">+($V623*MAX(-$M629,$N629)*$E623^2)/(144*8)+IF($E$17=4,(400*$E623)/4,0)</f>
        <v>#VALUE!</v>
      </c>
      <c r="AA629" s="887"/>
      <c r="AB629" s="1080" t="str">
        <f t="shared" ref="AB629" ca="1" si="11649">IFERROR(Z629-AA623,"")</f>
        <v/>
      </c>
      <c r="AC629" s="1086" t="str">
        <f t="shared" ref="AC629" ca="1" si="11650">IFERROR(Y629-U623,"")</f>
        <v/>
      </c>
      <c r="AD629" s="1074" t="str">
        <f t="shared" ref="AD629" si="11651">AD623</f>
        <v/>
      </c>
      <c r="AE629" s="1075"/>
      <c r="AF629" s="1056"/>
      <c r="AG629" s="1057"/>
      <c r="AH629" s="1057"/>
      <c r="AI629" s="1088"/>
      <c r="AJ629" s="1089"/>
      <c r="AK629" s="162" t="str">
        <f t="shared" ca="1" si="11298"/>
        <v/>
      </c>
      <c r="AL629" s="1058" t="str">
        <f t="shared" ref="AL629" si="11652">IFERROR(ROUND(SQRT(P623^2+(W629/2+IF($E$17=4,200,0))^2),0),"")</f>
        <v/>
      </c>
      <c r="AM629" s="342" t="s">
        <v>669</v>
      </c>
      <c r="AN629" t="str">
        <f t="shared" ca="1" si="11348"/>
        <v/>
      </c>
      <c r="AP629" s="122" t="str">
        <f t="shared" ref="AP629" si="11653">_xlfn.CONCAT(AR629,AS634)</f>
        <v/>
      </c>
      <c r="AQ629" s="683" t="str">
        <f t="shared" si="11512"/>
        <v/>
      </c>
      <c r="AR629" s="96" t="str">
        <f t="shared" si="11273"/>
        <v/>
      </c>
      <c r="AS629" s="96" t="str">
        <f>IF(COUNTIF(imp_1,AF629)=1,"imp_1",IF(COUNTIF(imp_2,AF629)=1,"imp_2",IF(COUNTIF(imp_3,AF629)=1,"imp_3",IF(COUNTIF(impdoor,AF629)=1,"impdoor",""))))</f>
        <v/>
      </c>
      <c r="AT629" s="684" t="str">
        <f>AL629</f>
        <v/>
      </c>
      <c r="AU629" s="685" t="e">
        <f t="shared" ca="1" si="11538"/>
        <v>#REF!</v>
      </c>
      <c r="AV629" s="686" t="str">
        <f ca="1">IFERROR(VLOOKUP(AU629,INDIRECT(AQ623),2,FALSE),"----")</f>
        <v>----</v>
      </c>
      <c r="AW629" s="685" t="e">
        <f t="shared" ca="1" si="11539"/>
        <v>#REF!</v>
      </c>
      <c r="AX629" s="686" t="str">
        <f ca="1">IFERROR(VLOOKUP(AW629,INDIRECT(AQ624),2,FALSE),"----")</f>
        <v>----</v>
      </c>
      <c r="AY629" s="685" t="e">
        <f t="shared" ca="1" si="11631"/>
        <v>#REF!</v>
      </c>
      <c r="AZ629" s="686" t="str">
        <f ca="1">IFERROR(VLOOKUP(AY629,INDIRECT(AQ625),2,FALSE),"----")</f>
        <v>----</v>
      </c>
      <c r="BA629" s="685" t="e">
        <f t="shared" ca="1" si="11632"/>
        <v>#REF!</v>
      </c>
      <c r="BB629" s="686" t="str">
        <f ca="1">IFERROR(VLOOKUP(BA629,INDIRECT(AQ626),2,FALSE),"----")</f>
        <v>----</v>
      </c>
      <c r="BC629" s="685" t="e">
        <f t="shared" ca="1" si="11542"/>
        <v>#REF!</v>
      </c>
      <c r="BD629" s="686" t="str">
        <f ca="1">IFERROR(VLOOKUP(BC629,INDIRECT(AQ627),2,FALSE),"----")</f>
        <v>----</v>
      </c>
      <c r="BE629" s="685" t="e">
        <f t="shared" ca="1" si="11543"/>
        <v>#REF!</v>
      </c>
      <c r="BF629" s="686" t="str">
        <f ca="1">IFERROR(VLOOKUP(BE629,INDIRECT(AQ628),2,FALSE),"----")</f>
        <v>----</v>
      </c>
      <c r="BG629" s="702" t="e">
        <f t="shared" ca="1" si="11544"/>
        <v>#REF!</v>
      </c>
      <c r="BH629" s="686" t="str">
        <f ca="1">IFERROR(VLOOKUP(BG629,INDIRECT(AQ629),2,FALSE),"----")</f>
        <v>----</v>
      </c>
      <c r="BI629" s="702" t="e">
        <f t="shared" ca="1" si="11545"/>
        <v>#REF!</v>
      </c>
      <c r="BJ629" s="686" t="str">
        <f ca="1">IFERROR(VLOOKUP(BI629,INDIRECT(AQ630),2,FALSE),"----")</f>
        <v>----</v>
      </c>
      <c r="BK629" s="702" t="e">
        <f t="shared" ca="1" si="11546"/>
        <v>#REF!</v>
      </c>
      <c r="BL629" s="686" t="str">
        <f ca="1">IFERROR(VLOOKUP(BK629,INDIRECT(AQ631),2,FALSE),"----")</f>
        <v>----</v>
      </c>
      <c r="BM629" s="702" t="e">
        <f t="shared" ca="1" si="11547"/>
        <v>#REF!</v>
      </c>
      <c r="BN629" s="686" t="str">
        <f ca="1">IFERROR(VLOOKUP(BM629,INDIRECT(AQ632),2,FALSE),"----")</f>
        <v>----</v>
      </c>
      <c r="BO629" s="702" t="e">
        <f t="shared" ca="1" si="11548"/>
        <v>#REF!</v>
      </c>
      <c r="BP629" s="686" t="str">
        <f ca="1">IFERROR(VLOOKUP(BO629,INDIRECT(AQ633),2,FALSE),"----")</f>
        <v>----</v>
      </c>
      <c r="BQ629" s="702" t="e">
        <f t="shared" ca="1" si="11549"/>
        <v>#REF!</v>
      </c>
      <c r="BR629" s="686" t="str">
        <f ca="1">IFERROR(VLOOKUP(BQ629,INDIRECT(AQ634),2,FALSE),"----")</f>
        <v>----</v>
      </c>
      <c r="BS629" s="695">
        <f>IF(AI629="",1,IF(COUNTIF(BH623:BH634,AI629)=0,2,1))</f>
        <v>1</v>
      </c>
      <c r="BT629" s="696">
        <f>IF(AP629="1",1,IF(AF629="",1,IF(BH623=".",2,1)))</f>
        <v>1</v>
      </c>
      <c r="BU629" s="706"/>
      <c r="BV629" s="155">
        <f ca="1">IF(COUNTIF(DI623:DI634,AF629)=0,IF(AF629&lt;&gt;"",0,1),1)</f>
        <v>1</v>
      </c>
      <c r="BW629" s="157">
        <f ca="1">IFERROR(MATCH(AF629,DI623:DI634,0),1)</f>
        <v>1</v>
      </c>
      <c r="BX629" s="769" t="s">
        <v>1593</v>
      </c>
      <c r="BY629" s="769" t="s">
        <v>1629</v>
      </c>
      <c r="BZ629" s="1110"/>
      <c r="CA629" s="691" t="e">
        <f t="shared" ca="1" si="11550"/>
        <v>#REF!</v>
      </c>
      <c r="CB629" s="4" t="e" cm="1">
        <f t="array" aca="1" ref="CB629" ca="1">IF(AND(INDEX(INDIRECT(BY623),CA629,4)&gt;=$AB623,INDEX(INDIRECT(BY623),CA629,5)&gt;=$S623,INDEX(INDIRECT(BY623),CA629,6)&gt;=$R623),1,0)</f>
        <v>#REF!</v>
      </c>
      <c r="CC629" s="4" t="e">
        <f t="shared" ref="CC629" ca="1" si="11654">MATCH(1,OFFSET(CB623:CB634,CD628,0,COUNT(CB623:CB634)-CD628),0)</f>
        <v>#REF!</v>
      </c>
      <c r="CD629" s="4" t="e">
        <f t="shared" ca="1" si="11552"/>
        <v>#REF!</v>
      </c>
      <c r="CE629" s="692" t="str" cm="1">
        <f t="array" aca="1" ref="CE629" ca="1">IFERROR(VLOOKUP(INDEX(CA623:CA634,CD629),INDIRECT(BY623),2,FALSE),"----")</f>
        <v>----</v>
      </c>
      <c r="CF629" s="691" t="e">
        <f t="shared" ca="1" si="11553"/>
        <v>#N/A</v>
      </c>
      <c r="CG629" s="4" t="e">
        <f ca="1">IF(AND(INDEX(SSM,CF629,4)&gt;=$AB623,INDEX(SSM,CF629,5)&gt;=$S623,INDEX(SSM,CF629,6)&gt;=$R623),1,0)</f>
        <v>#N/A</v>
      </c>
      <c r="CH629" s="4" t="e">
        <f t="shared" ref="CH629" ca="1" si="11655">MATCH(1,OFFSET(CG623:CG634,CI628,0,COUNT(CG623:CG634)-CI628),0)</f>
        <v>#REF!</v>
      </c>
      <c r="CI629" s="4" t="e">
        <f t="shared" ca="1" si="11555"/>
        <v>#REF!</v>
      </c>
      <c r="CJ629" s="692" t="str">
        <f ca="1">IFERROR(IF(AD624="Nested Steel Stud (wood infill)",VLOOKUP(INDEX(CF623:CF634,CI629),SSW,2,FALSE),VLOOKUP(INDEX(CF623:CF634,CI629),SSM,2,FALSE)),"----")</f>
        <v>----</v>
      </c>
      <c r="CK629" s="691" t="e">
        <f t="shared" ca="1" si="11556"/>
        <v>#N/A</v>
      </c>
      <c r="CL629" s="4" t="e">
        <f ca="1">IF(AND(INDEX(WSM,CK629,4)&gt;=$AB623,INDEX(WSM,CK629,5)&gt;=$S623,INDEX(WSM,CK629,6)&gt;=$R623),1,0)</f>
        <v>#N/A</v>
      </c>
      <c r="CM629" s="4" t="e">
        <f t="shared" ref="CM629" ca="1" si="11656">MATCH(1,OFFSET(CL623:CL634,CN628,0,COUNT(CL623:CL634)-CN628),0)</f>
        <v>#REF!</v>
      </c>
      <c r="CN629" s="4" t="e">
        <f t="shared" ca="1" si="11558"/>
        <v>#REF!</v>
      </c>
      <c r="CO629" s="692" t="str">
        <f ca="1">IFERROR(VLOOKUP(INDEX(CK623:CK634,CN629),WSM,2,FALSE),"----")</f>
        <v>----</v>
      </c>
      <c r="CP629" s="691" t="e">
        <f t="shared" ca="1" si="11559"/>
        <v>#N/A</v>
      </c>
      <c r="CQ629" s="4" t="e">
        <f ca="1">IF(AND(INDEX(STM,CP629,4)&gt;=$AB623,INDEX(STM,CP629,5)&gt;=$S623,INDEX(STM,CP629,6)&gt;=$R623),1,0)</f>
        <v>#N/A</v>
      </c>
      <c r="CR629" s="4" t="e">
        <f t="shared" ref="CR629" ca="1" si="11657">MATCH(1,OFFSET(CQ623:CQ634,CS628,0,COUNT(CQ623:CQ634)-CS628),0)</f>
        <v>#REF!</v>
      </c>
      <c r="CS629" s="4" t="e">
        <f t="shared" ca="1" si="11561"/>
        <v>#REF!</v>
      </c>
      <c r="CT629" s="692" t="str">
        <f ca="1">IFERROR(VLOOKUP(INDEX(CP623:CP634,CS629),STM,2,FALSE),"----")</f>
        <v>----</v>
      </c>
      <c r="CU629" s="691" t="e">
        <f t="shared" ca="1" si="11562"/>
        <v>#N/A</v>
      </c>
      <c r="CV629" s="4" t="e">
        <f ca="1">IF(AND(INDEX(ELM,CU629,4)&gt;=$AB623,INDEX(ELM,CU629,5)&gt;=$S623,INDEX(ELM,CU629,6)&gt;=$R623),1,0)</f>
        <v>#N/A</v>
      </c>
      <c r="CW629" s="4" t="e">
        <f t="shared" ref="CW629" ca="1" si="11658">MATCH(1,OFFSET(CV623:CV634,CX628,0,COUNT(CV623:CV634)-CX628),0)</f>
        <v>#REF!</v>
      </c>
      <c r="CX629" s="4" t="e">
        <f t="shared" ca="1" si="11564"/>
        <v>#REF!</v>
      </c>
      <c r="CY629" s="692" t="str">
        <f ca="1">IFERROR(VLOOKUP(INDEX(CU623:CU634,CX629),ELM,2,FALSE),"----")</f>
        <v>----</v>
      </c>
      <c r="CZ629" s="691" t="e">
        <f t="shared" ca="1" si="11565"/>
        <v>#N/A</v>
      </c>
      <c r="DA629" s="4" t="e">
        <f ca="1">IF(LEFT($J623,7)="Clad Wo",IF(AND(INDEX(SPPWS,CZ629,4)&gt;=$AB623,INDEX(SPPWS,CZ629,5)&gt;=$S623,INDEX(SPPWS,CZ629,6)&gt;=$R623),1,0),IF(AND(INDEX(SPM,CZ629,4)&gt;=$AB623,INDEX(SPM,CZ629,5)&gt;=$S623,INDEX(SPM,CZ629,6)&gt;=$R623),1,0))</f>
        <v>#N/A</v>
      </c>
      <c r="DB629" s="4" t="e">
        <f t="shared" ref="DB629" ca="1" si="11659">MATCH(1,OFFSET(DA623:DA634,DC628,0,COUNT(DA623:DA634)-DC628),0)</f>
        <v>#REF!</v>
      </c>
      <c r="DC629" s="4" t="e">
        <f t="shared" ca="1" si="11567"/>
        <v>#REF!</v>
      </c>
      <c r="DD629" s="693" t="str">
        <f ca="1">IF(LEFT($J623,7)="Clad Wo",IFERROR(VLOOKUP(INDEX(CZ623:CZ634,DC629),SPPWS,2,FALSE),"----"),IFERROR(VLOOKUP(INDEX(CZ623:CZ634,DC629),SPM,2,FALSE),"----"))</f>
        <v>----</v>
      </c>
      <c r="DE629" s="691" t="e">
        <f t="shared" ca="1" si="11568"/>
        <v>#REF!</v>
      </c>
      <c r="DF629" s="4" t="e" cm="1">
        <f t="array" aca="1" ref="DF629" ca="1">IF(AND(INDEX(INDIRECT(BY623),DE629,4)&gt;=$AB629,INDEX(INDIRECT(BY623),DE629,5)&gt;=$S623,INDEX(INDIRECT(BY623),DE629,6)&gt;=$R623),1,0)</f>
        <v>#REF!</v>
      </c>
      <c r="DG629" s="4" t="e">
        <f t="shared" ref="DG629" ca="1" si="11660">MATCH(1,OFFSET(DF623:DF634,DH628,0,COUNT(DF623:DF634)-DH628),0)</f>
        <v>#REF!</v>
      </c>
      <c r="DH629" s="4" t="e">
        <f t="shared" ca="1" si="11570"/>
        <v>#REF!</v>
      </c>
      <c r="DI629" s="692" t="str" cm="1">
        <f t="array" aca="1" ref="DI629" ca="1">IFERROR(VLOOKUP(INDEX(DE623:DE634,DH629),INDIRECT(BY623),2,FALSE),"----")</f>
        <v>----</v>
      </c>
      <c r="DJ629" s="691" t="e">
        <f t="shared" ca="1" si="11571"/>
        <v>#N/A</v>
      </c>
      <c r="DK629" s="4" t="e">
        <f ca="1">IF(AND(INDEX(SSM,DJ629,4)&gt;=$AB629,INDEX(SSM,DJ629,5)&gt;=$S623,INDEX(SSM,DJ629,6)&gt;=$R623),1,0)</f>
        <v>#N/A</v>
      </c>
      <c r="DL629" s="4" t="e">
        <f t="shared" ref="DL629" ca="1" si="11661">MATCH(1,OFFSET(DK623:DK634,DM628,0,COUNT(DK623:DK634)-DM628),0)</f>
        <v>#REF!</v>
      </c>
      <c r="DM629" s="4" t="e">
        <f t="shared" ca="1" si="11573"/>
        <v>#REF!</v>
      </c>
      <c r="DN629" s="692" t="str">
        <f ca="1">IFERROR(IF(AD630="Nested Steel Stud (wood infill)",VLOOKUP(INDEX(DJ623:DJ634,DM629),SSW,2,FALSE),VLOOKUP(INDEX(DJ623:DJ634,DM629),SSM,2,FALSE)),"----")</f>
        <v>----</v>
      </c>
      <c r="DO629" s="691" t="e">
        <f t="shared" ca="1" si="11574"/>
        <v>#N/A</v>
      </c>
      <c r="DP629" s="4" t="e">
        <f ca="1">IF(AND(INDEX(WSM,DO629,4)&gt;=$AB629,INDEX(WSM,DO629,5)&gt;=$S623,INDEX(WSM,DO629,6)&gt;=$R623),1,0)</f>
        <v>#N/A</v>
      </c>
      <c r="DQ629" s="4" t="e">
        <f t="shared" ref="DQ629" ca="1" si="11662">MATCH(1,OFFSET(DP623:DP634,DR628,0,COUNT(DP623:DP634)-DR628),0)</f>
        <v>#REF!</v>
      </c>
      <c r="DR629" s="4" t="e">
        <f t="shared" ca="1" si="11576"/>
        <v>#REF!</v>
      </c>
      <c r="DS629" s="692" t="str">
        <f ca="1">IFERROR(VLOOKUP(INDEX(DO623:DO634,DR629),WSM,2,FALSE),"----")</f>
        <v>----</v>
      </c>
      <c r="DT629" s="691" t="e">
        <f t="shared" ca="1" si="11577"/>
        <v>#N/A</v>
      </c>
      <c r="DU629" s="4" t="e">
        <f ca="1">IF(AND(INDEX(STM,DT629,4)&gt;=$AB629,INDEX(STM,DT629,5)&gt;=$S623,INDEX(STM,DT629,6)&gt;=$R623),1,0)</f>
        <v>#N/A</v>
      </c>
      <c r="DV629" s="4" t="e">
        <f t="shared" ref="DV629" ca="1" si="11663">MATCH(1,OFFSET(DU623:DU634,DW628,0,COUNT(DU623:DU634)-DW628),0)</f>
        <v>#REF!</v>
      </c>
      <c r="DW629" s="4" t="e">
        <f t="shared" ca="1" si="11579"/>
        <v>#REF!</v>
      </c>
      <c r="DX629" s="692" t="str">
        <f ca="1">IFERROR(VLOOKUP(INDEX(DT623:DT634,DW629),STM,2,FALSE),"----")</f>
        <v>----</v>
      </c>
      <c r="DY629" s="691" t="e">
        <f t="shared" ca="1" si="11580"/>
        <v>#N/A</v>
      </c>
      <c r="DZ629" s="4" t="e">
        <f ca="1">IF(AND(INDEX(ELM,DY629,4)&gt;=$AB629,INDEX(ELM,DY629,5)&gt;=$S623,INDEX(ELM,DY629,6)&gt;=$R623),1,0)</f>
        <v>#N/A</v>
      </c>
      <c r="EA629" s="4" t="e">
        <f t="shared" ref="EA629" ca="1" si="11664">MATCH(1,OFFSET(DZ623:DZ634,EB628,0,COUNT(DZ623:DZ634)-EB628),0)</f>
        <v>#REF!</v>
      </c>
      <c r="EB629" s="4" t="e">
        <f t="shared" ca="1" si="11582"/>
        <v>#REF!</v>
      </c>
      <c r="EC629" s="692" t="str">
        <f ca="1">IFERROR(VLOOKUP(INDEX(DY623:DY634,EB629),ELM,2,FALSE),"----")</f>
        <v>----</v>
      </c>
      <c r="ED629" s="691" t="e">
        <f t="shared" ca="1" si="11583"/>
        <v>#N/A</v>
      </c>
      <c r="EE629" s="4" t="e">
        <f ca="1">IF(LEFT($J623,7)="Clad Wo",IF(AND(INDEX(SPPWS,ED629,4)&gt;=$AB629,INDEX(SPPWS,ED629,5)&gt;=$S623,INDEX(SPPWS,ED629,6)&gt;=$R623),1,0),IF(AND(INDEX(SPM,ED629,4)&gt;=$AB629,INDEX(SPM,ED629,5)&gt;=$S623,INDEX(SPM,ED629,6)&gt;=$R623),1,0))</f>
        <v>#N/A</v>
      </c>
      <c r="EF629" s="4" t="e">
        <f t="shared" ref="EF629" ca="1" si="11665">MATCH(1,OFFSET(EE623:EE634,EG628,0,COUNT(EE623:EE634)-EG628),0)</f>
        <v>#REF!</v>
      </c>
      <c r="EG629" s="4" t="e">
        <f t="shared" ca="1" si="11585"/>
        <v>#REF!</v>
      </c>
      <c r="EH629" s="692" t="str">
        <f ca="1">IF(LEFT($J623,7)="Clad Wo",IFERROR(VLOOKUP(INDEX(ED623:ED634,EG629),SPPWS,2,FALSE),"----"),IFERROR(VLOOKUP(INDEX(ED623:ED634,EG629),SPM,2,FALSE),"----"))</f>
        <v>----</v>
      </c>
    </row>
    <row r="630" spans="1:138" ht="15" customHeight="1" x14ac:dyDescent="0.25">
      <c r="A630" s="1085"/>
      <c r="B630" s="925"/>
      <c r="C630" s="926"/>
      <c r="D630" s="927"/>
      <c r="E630" s="995"/>
      <c r="F630" s="996"/>
      <c r="G630" s="997"/>
      <c r="H630" s="1062"/>
      <c r="I630" s="990"/>
      <c r="J630" s="912"/>
      <c r="K630" s="913"/>
      <c r="L630" s="1002"/>
      <c r="M630" s="923"/>
      <c r="N630" s="1042"/>
      <c r="O630" s="1018"/>
      <c r="P630" s="987"/>
      <c r="Q630" s="1015"/>
      <c r="R630" s="1012"/>
      <c r="S630" s="1006"/>
      <c r="T630" s="1007"/>
      <c r="U630" s="878"/>
      <c r="V630" s="881"/>
      <c r="W630" s="884"/>
      <c r="X630" s="884"/>
      <c r="Y630" s="887"/>
      <c r="Z630" s="887"/>
      <c r="AA630" s="887"/>
      <c r="AB630" s="1081"/>
      <c r="AC630" s="1078"/>
      <c r="AD630" s="1070" t="str">
        <f t="shared" ref="AD630" si="11666">IF(ISBLANK(AD624)=TRUE,"",AD624)</f>
        <v>Nested Steel Stud</v>
      </c>
      <c r="AE630" s="1071"/>
      <c r="AF630" s="1052"/>
      <c r="AG630" s="1053"/>
      <c r="AH630" s="1053"/>
      <c r="AI630" s="1066"/>
      <c r="AJ630" s="1067"/>
      <c r="AK630" s="156" t="str">
        <f t="shared" ca="1" si="11298"/>
        <v/>
      </c>
      <c r="AL630" s="1059"/>
      <c r="AM630" s="343" t="str">
        <f ca="1">IFERROR(Q623/12*ROUND(VLOOKUP(AF630,OFFSET(SSM,0,1),6,FALSE),2),"")</f>
        <v/>
      </c>
      <c r="AN630" t="str">
        <f t="shared" ca="1" si="11348"/>
        <v/>
      </c>
      <c r="AP630" s="122" t="str">
        <f t="shared" ref="AP630" si="11667">_xlfn.CONCAT(AR630,AS634)</f>
        <v/>
      </c>
      <c r="AQ630" s="683" t="str">
        <f t="shared" si="11512"/>
        <v/>
      </c>
      <c r="AR630" s="96" t="str">
        <f t="shared" si="11273"/>
        <v/>
      </c>
      <c r="AS630" s="96" t="str">
        <f>IF(COUNTIF(Vista_1,AF629)=1,"Vista_1",IF(COUNTIF(Vista_2,AF629)=1,"Vista_2",""))</f>
        <v/>
      </c>
      <c r="AT630" s="684" t="str">
        <f>AL629</f>
        <v/>
      </c>
      <c r="AU630" s="694" t="e">
        <f t="shared" ca="1" si="11538"/>
        <v>#REF!</v>
      </c>
      <c r="AV630" s="686" t="str">
        <f ca="1">IFERROR(VLOOKUP(AU630,INDIRECT(AQ623),2,FALSE),"----")</f>
        <v>----</v>
      </c>
      <c r="AW630" s="694" t="e">
        <f t="shared" ca="1" si="11539"/>
        <v>#REF!</v>
      </c>
      <c r="AX630" s="686" t="str">
        <f ca="1">IFERROR(VLOOKUP(AW630,INDIRECT(AQ624),2,FALSE),"----")</f>
        <v>----</v>
      </c>
      <c r="AY630" s="694" t="e">
        <f t="shared" ca="1" si="11631"/>
        <v>#REF!</v>
      </c>
      <c r="AZ630" s="686" t="str">
        <f ca="1">IFERROR(VLOOKUP(AY630,INDIRECT(AQ625),2,FALSE),"----")</f>
        <v>----</v>
      </c>
      <c r="BA630" s="694" t="e">
        <f t="shared" ca="1" si="11632"/>
        <v>#REF!</v>
      </c>
      <c r="BB630" s="686" t="str">
        <f ca="1">IFERROR(VLOOKUP(BA630,INDIRECT(AQ626),2,FALSE),"----")</f>
        <v>----</v>
      </c>
      <c r="BC630" s="694" t="e">
        <f t="shared" ca="1" si="11542"/>
        <v>#REF!</v>
      </c>
      <c r="BD630" s="686" t="str">
        <f ca="1">IFERROR(VLOOKUP(BC630,INDIRECT(AQ627),2,FALSE),"----")</f>
        <v>----</v>
      </c>
      <c r="BE630" s="694" t="e">
        <f t="shared" ca="1" si="11543"/>
        <v>#REF!</v>
      </c>
      <c r="BF630" s="686" t="str">
        <f ca="1">IFERROR(VLOOKUP(BE630,INDIRECT(AQ628),2,FALSE),"----")</f>
        <v>----</v>
      </c>
      <c r="BG630" s="702" t="e">
        <f t="shared" ca="1" si="11544"/>
        <v>#REF!</v>
      </c>
      <c r="BH630" s="686" t="str">
        <f ca="1">IFERROR(VLOOKUP(BG630,INDIRECT(AQ629),2,FALSE),"----")</f>
        <v>----</v>
      </c>
      <c r="BI630" s="702" t="e">
        <f t="shared" ca="1" si="11545"/>
        <v>#REF!</v>
      </c>
      <c r="BJ630" s="686" t="str">
        <f ca="1">IFERROR(VLOOKUP(BI630,INDIRECT(AQ630),2,FALSE),"----")</f>
        <v>----</v>
      </c>
      <c r="BK630" s="702" t="e">
        <f t="shared" ca="1" si="11546"/>
        <v>#REF!</v>
      </c>
      <c r="BL630" s="686" t="str">
        <f ca="1">IFERROR(VLOOKUP(BK630,INDIRECT(AQ631),2,FALSE),"----")</f>
        <v>----</v>
      </c>
      <c r="BM630" s="702" t="e">
        <f t="shared" ca="1" si="11547"/>
        <v>#REF!</v>
      </c>
      <c r="BN630" s="686" t="str">
        <f ca="1">IFERROR(VLOOKUP(BM630,INDIRECT(AQ632),2,FALSE),"----")</f>
        <v>----</v>
      </c>
      <c r="BO630" s="702" t="e">
        <f t="shared" ca="1" si="11548"/>
        <v>#REF!</v>
      </c>
      <c r="BP630" s="686" t="str">
        <f ca="1">IFERROR(VLOOKUP(BO630,INDIRECT(AQ633),2,FALSE),"----")</f>
        <v>----</v>
      </c>
      <c r="BQ630" s="702" t="e">
        <f t="shared" ca="1" si="11549"/>
        <v>#REF!</v>
      </c>
      <c r="BR630" s="686" t="str">
        <f ca="1">IFERROR(VLOOKUP(BQ630,INDIRECT(AQ634),2,FALSE),"----")</f>
        <v>----</v>
      </c>
      <c r="BS630" s="695">
        <f>IF(AI630="",1,IF(COUNTIF(BJ623:BJ634,AI630)=0,2,1))</f>
        <v>1</v>
      </c>
      <c r="BT630" s="696">
        <f>IF(AF630="",1,IF(BJ623=".",2,1))</f>
        <v>1</v>
      </c>
      <c r="BU630" s="706"/>
      <c r="BV630" s="155">
        <f ca="1">IF(COUNTIF(DN623:DN634,AF630)=0,IF(AF630&lt;&gt;"",0,1),1)</f>
        <v>1</v>
      </c>
      <c r="BW630" s="157">
        <f ca="1">IFERROR(MATCH(AF630,DN623:DN634,0),1)</f>
        <v>1</v>
      </c>
      <c r="BX630" s="769">
        <f t="shared" ref="BX630" si="11668">E623*(H623+I623)/144/2</f>
        <v>0</v>
      </c>
      <c r="BY630" s="769">
        <f>SUM(IF(H623&gt;E623,E623^2/4,(H623*E623/2)-(H623^2/4))/144,IF(I623&gt;E623,E623^2/4,(I623*E623/2)-(I623^2/4))/144)</f>
        <v>0</v>
      </c>
      <c r="BZ630" s="1110"/>
      <c r="CA630" s="691" t="e">
        <f t="shared" ca="1" si="11550"/>
        <v>#REF!</v>
      </c>
      <c r="CB630" s="4" t="e" cm="1">
        <f t="array" aca="1" ref="CB630" ca="1">IF(AND(INDEX(INDIRECT(BY623),CA630,4)&gt;=$AB623,INDEX(INDIRECT(BY623),CA630,5)&gt;=$S623,INDEX(INDIRECT(BY623),CA630,6)&gt;=$R623),1,0)</f>
        <v>#REF!</v>
      </c>
      <c r="CC630" s="4" t="e">
        <f t="shared" ref="CC630" ca="1" si="11669">MATCH(1,OFFSET(CB623:CB634,CD629,0,COUNT(CB623:CB634)-CD629),0)</f>
        <v>#REF!</v>
      </c>
      <c r="CD630" s="4" t="e">
        <f t="shared" ca="1" si="11552"/>
        <v>#REF!</v>
      </c>
      <c r="CE630" s="692" t="str" cm="1">
        <f t="array" aca="1" ref="CE630" ca="1">IFERROR(VLOOKUP(INDEX(CA623:CA634,CD630),INDIRECT(BY623),2,FALSE),"----")</f>
        <v>----</v>
      </c>
      <c r="CF630" s="691" t="e">
        <f t="shared" ca="1" si="11553"/>
        <v>#N/A</v>
      </c>
      <c r="CG630" s="4" t="e">
        <f ca="1">IF(AND(INDEX(SSM,CF630,4)&gt;=$AB623,INDEX(SSM,CF630,5)&gt;=$S623,INDEX(SSM,CF630,6)&gt;=$R623),1,0)</f>
        <v>#N/A</v>
      </c>
      <c r="CH630" s="4" t="e">
        <f t="shared" ref="CH630" ca="1" si="11670">MATCH(1,OFFSET(CG623:CG634,CI629,0,COUNT(CG623:CG634)-CI629),0)</f>
        <v>#REF!</v>
      </c>
      <c r="CI630" s="4" t="e">
        <f t="shared" ca="1" si="11555"/>
        <v>#REF!</v>
      </c>
      <c r="CJ630" s="692" t="str">
        <f ca="1">IFERROR(IF(AD624="Nested Steel Stud (wood infill)",VLOOKUP(INDEX(CF623:CF634,CI630),SSW,2,FALSE),VLOOKUP(INDEX(CF623:CF634,CI630),SSM,2,FALSE)),"----")</f>
        <v>----</v>
      </c>
      <c r="CK630" s="691" t="e">
        <f t="shared" ca="1" si="11556"/>
        <v>#N/A</v>
      </c>
      <c r="CL630" s="4" t="e">
        <f ca="1">IF(AND(INDEX(WSM,CK630,4)&gt;=$AB623,INDEX(WSM,CK630,5)&gt;=$S623,INDEX(WSM,CK630,6)&gt;=$R623),1,0)</f>
        <v>#N/A</v>
      </c>
      <c r="CM630" s="4" t="e">
        <f t="shared" ref="CM630" ca="1" si="11671">MATCH(1,OFFSET(CL623:CL634,CN629,0,COUNT(CL623:CL634)-CN629),0)</f>
        <v>#REF!</v>
      </c>
      <c r="CN630" s="4" t="e">
        <f t="shared" ca="1" si="11558"/>
        <v>#REF!</v>
      </c>
      <c r="CO630" s="692" t="str">
        <f ca="1">IFERROR(VLOOKUP(INDEX(CK623:CK634,CN630),WSM,2,FALSE),"----")</f>
        <v>----</v>
      </c>
      <c r="CP630" s="691" t="e">
        <f t="shared" ca="1" si="11559"/>
        <v>#N/A</v>
      </c>
      <c r="CQ630" s="4" t="e">
        <f ca="1">IF(AND(INDEX(STM,CP630,4)&gt;=$AB623,INDEX(STM,CP630,5)&gt;=$S623,INDEX(STM,CP630,6)&gt;=$R623),1,0)</f>
        <v>#N/A</v>
      </c>
      <c r="CR630" s="4" t="e">
        <f t="shared" ref="CR630" ca="1" si="11672">MATCH(1,OFFSET(CQ623:CQ634,CS629,0,COUNT(CQ623:CQ634)-CS629),0)</f>
        <v>#REF!</v>
      </c>
      <c r="CS630" s="4" t="e">
        <f t="shared" ca="1" si="11561"/>
        <v>#REF!</v>
      </c>
      <c r="CT630" s="692" t="str">
        <f ca="1">IFERROR(VLOOKUP(INDEX(CP623:CP634,CS630),STM,2,FALSE),"----")</f>
        <v>----</v>
      </c>
      <c r="CU630" s="691" t="e">
        <f t="shared" ca="1" si="11562"/>
        <v>#N/A</v>
      </c>
      <c r="CV630" s="4" t="e">
        <f ca="1">IF(AND(INDEX(ELM,CU630,4)&gt;=$AB623,INDEX(ELM,CU630,5)&gt;=$S623,INDEX(ELM,CU630,6)&gt;=$R623),1,0)</f>
        <v>#N/A</v>
      </c>
      <c r="CW630" s="4" t="e">
        <f t="shared" ref="CW630" ca="1" si="11673">MATCH(1,OFFSET(CV623:CV634,CX629,0,COUNT(CV623:CV634)-CX629),0)</f>
        <v>#REF!</v>
      </c>
      <c r="CX630" s="4" t="e">
        <f t="shared" ca="1" si="11564"/>
        <v>#REF!</v>
      </c>
      <c r="CY630" s="692" t="str">
        <f ca="1">IFERROR(VLOOKUP(INDEX(CU623:CU634,CX630),ELM,2,FALSE),"----")</f>
        <v>----</v>
      </c>
      <c r="CZ630" s="691" t="e">
        <f t="shared" ca="1" si="11565"/>
        <v>#N/A</v>
      </c>
      <c r="DA630" s="4" t="e">
        <f ca="1">IF(LEFT($J623,7)="Clad Wo",IF(AND(INDEX(SPPWS,CZ630,4)&gt;=$AB623,INDEX(SPPWS,CZ630,5)&gt;=$S623,INDEX(SPPWS,CZ630,6)&gt;=$R623),1,0),IF(AND(INDEX(SPM,CZ630,4)&gt;=$AB623,INDEX(SPM,CZ630,5)&gt;=$S623,INDEX(SPM,CZ630,6)&gt;=$R623),1,0))</f>
        <v>#N/A</v>
      </c>
      <c r="DB630" s="4" t="e">
        <f t="shared" ref="DB630" ca="1" si="11674">MATCH(1,OFFSET(DA623:DA634,DC629,0,COUNT(DA623:DA634)-DC629),0)</f>
        <v>#REF!</v>
      </c>
      <c r="DC630" s="4" t="e">
        <f t="shared" ca="1" si="11567"/>
        <v>#REF!</v>
      </c>
      <c r="DD630" s="693" t="str">
        <f ca="1">IF(LEFT($J623,7)="Clad Wo",IFERROR(VLOOKUP(INDEX(CZ623:CZ634,DC630),SPPWS,2,FALSE),"----"),IFERROR(VLOOKUP(INDEX(CZ623:CZ634,DC630),SPM,2,FALSE),"----"))</f>
        <v>----</v>
      </c>
      <c r="DE630" s="691" t="e">
        <f t="shared" ca="1" si="11568"/>
        <v>#REF!</v>
      </c>
      <c r="DF630" s="4" t="e" cm="1">
        <f t="array" aca="1" ref="DF630" ca="1">IF(AND(INDEX(INDIRECT(BY623),DE630,4)&gt;=$AB629,INDEX(INDIRECT(BY623),DE630,5)&gt;=$S623,INDEX(INDIRECT(BY623),DE630,6)&gt;=$R623),1,0)</f>
        <v>#REF!</v>
      </c>
      <c r="DG630" s="4" t="e">
        <f t="shared" ref="DG630" ca="1" si="11675">MATCH(1,OFFSET(DF623:DF634,DH629,0,COUNT(DF623:DF634)-DH629),0)</f>
        <v>#REF!</v>
      </c>
      <c r="DH630" s="4" t="e">
        <f t="shared" ca="1" si="11570"/>
        <v>#REF!</v>
      </c>
      <c r="DI630" s="692" t="str" cm="1">
        <f t="array" aca="1" ref="DI630" ca="1">IFERROR(VLOOKUP(INDEX(DE623:DE634,DH630),INDIRECT(BY623),2,FALSE),"----")</f>
        <v>----</v>
      </c>
      <c r="DJ630" s="691" t="e">
        <f t="shared" ca="1" si="11571"/>
        <v>#N/A</v>
      </c>
      <c r="DK630" s="4" t="e">
        <f ca="1">IF(AND(INDEX(SSM,DJ630,4)&gt;=$AB629,INDEX(SSM,DJ630,5)&gt;=$S623,INDEX(SSM,DJ630,6)&gt;=$R623),1,0)</f>
        <v>#N/A</v>
      </c>
      <c r="DL630" s="4" t="e">
        <f t="shared" ref="DL630" ca="1" si="11676">MATCH(1,OFFSET(DK623:DK634,DM629,0,COUNT(DK623:DK634)-DM629),0)</f>
        <v>#REF!</v>
      </c>
      <c r="DM630" s="4" t="e">
        <f t="shared" ca="1" si="11573"/>
        <v>#REF!</v>
      </c>
      <c r="DN630" s="692" t="str">
        <f ca="1">IFERROR(IF(AD630="Nested Steel Stud (wood infill)",VLOOKUP(INDEX(DJ623:DJ634,DM630),SSW,2,FALSE),VLOOKUP(INDEX(DJ623:DJ634,DM630),SSM,2,FALSE)),"----")</f>
        <v>----</v>
      </c>
      <c r="DO630" s="691" t="e">
        <f t="shared" ca="1" si="11574"/>
        <v>#N/A</v>
      </c>
      <c r="DP630" s="4" t="e">
        <f ca="1">IF(AND(INDEX(WSM,DO630,4)&gt;=$AB629,INDEX(WSM,DO630,5)&gt;=$S623,INDEX(WSM,DO630,6)&gt;=$R623),1,0)</f>
        <v>#N/A</v>
      </c>
      <c r="DQ630" s="4" t="e">
        <f t="shared" ref="DQ630" ca="1" si="11677">MATCH(1,OFFSET(DP623:DP634,DR629,0,COUNT(DP623:DP634)-DR629),0)</f>
        <v>#REF!</v>
      </c>
      <c r="DR630" s="4" t="e">
        <f t="shared" ca="1" si="11576"/>
        <v>#REF!</v>
      </c>
      <c r="DS630" s="692" t="str">
        <f ca="1">IFERROR(VLOOKUP(INDEX(DO623:DO634,DR630),WSM,2,FALSE),"----")</f>
        <v>----</v>
      </c>
      <c r="DT630" s="691" t="e">
        <f t="shared" ca="1" si="11577"/>
        <v>#N/A</v>
      </c>
      <c r="DU630" s="4" t="e">
        <f ca="1">IF(AND(INDEX(STM,DT630,4)&gt;=$AB629,INDEX(STM,DT630,5)&gt;=$S623,INDEX(STM,DT630,6)&gt;=$R623),1,0)</f>
        <v>#N/A</v>
      </c>
      <c r="DV630" s="4" t="e">
        <f t="shared" ref="DV630" ca="1" si="11678">MATCH(1,OFFSET(DU623:DU634,DW629,0,COUNT(DU623:DU634)-DW629),0)</f>
        <v>#REF!</v>
      </c>
      <c r="DW630" s="4" t="e">
        <f t="shared" ca="1" si="11579"/>
        <v>#REF!</v>
      </c>
      <c r="DX630" s="692" t="str">
        <f ca="1">IFERROR(VLOOKUP(INDEX(DT623:DT634,DW630),STM,2,FALSE),"----")</f>
        <v>----</v>
      </c>
      <c r="DY630" s="691" t="e">
        <f t="shared" ca="1" si="11580"/>
        <v>#N/A</v>
      </c>
      <c r="DZ630" s="4" t="e">
        <f ca="1">IF(AND(INDEX(ELM,DY630,4)&gt;=$AB629,INDEX(ELM,DY630,5)&gt;=$S623,INDEX(ELM,DY630,6)&gt;=$R623),1,0)</f>
        <v>#N/A</v>
      </c>
      <c r="EA630" s="4" t="e">
        <f t="shared" ref="EA630" ca="1" si="11679">MATCH(1,OFFSET(DZ623:DZ634,EB629,0,COUNT(DZ623:DZ634)-EB629),0)</f>
        <v>#REF!</v>
      </c>
      <c r="EB630" s="4" t="e">
        <f t="shared" ca="1" si="11582"/>
        <v>#REF!</v>
      </c>
      <c r="EC630" s="692" t="str">
        <f ca="1">IFERROR(VLOOKUP(INDEX(DY623:DY634,EB630),ELM,2,FALSE),"----")</f>
        <v>----</v>
      </c>
      <c r="ED630" s="691" t="e">
        <f t="shared" ca="1" si="11583"/>
        <v>#N/A</v>
      </c>
      <c r="EE630" s="4" t="e">
        <f ca="1">IF(LEFT($J623,7)="Clad Wo",IF(AND(INDEX(SPPWS,ED630,4)&gt;=$AB629,INDEX(SPPWS,ED630,5)&gt;=$S623,INDEX(SPPWS,ED630,6)&gt;=$R623),1,0),IF(AND(INDEX(SPM,ED630,4)&gt;=$AB629,INDEX(SPM,ED630,5)&gt;=$S623,INDEX(SPM,ED630,6)&gt;=$R623),1,0))</f>
        <v>#N/A</v>
      </c>
      <c r="EF630" s="4" t="e">
        <f t="shared" ref="EF630" ca="1" si="11680">MATCH(1,OFFSET(EE623:EE634,EG629,0,COUNT(EE623:EE634)-EG629),0)</f>
        <v>#REF!</v>
      </c>
      <c r="EG630" s="4" t="e">
        <f t="shared" ca="1" si="11585"/>
        <v>#REF!</v>
      </c>
      <c r="EH630" s="692" t="str">
        <f ca="1">IF(LEFT($J623,7)="Clad Wo",IFERROR(VLOOKUP(INDEX(ED623:ED634,EG630),SPPWS,2,FALSE),"----"),IFERROR(VLOOKUP(INDEX(ED623:ED634,EG630),SPM,2,FALSE),"----"))</f>
        <v>----</v>
      </c>
    </row>
    <row r="631" spans="1:138" ht="15" customHeight="1" x14ac:dyDescent="0.25">
      <c r="A631" s="1085"/>
      <c r="B631" s="925"/>
      <c r="C631" s="926"/>
      <c r="D631" s="927"/>
      <c r="E631" s="995"/>
      <c r="F631" s="996"/>
      <c r="G631" s="997"/>
      <c r="H631" s="1062"/>
      <c r="I631" s="990"/>
      <c r="J631" s="902"/>
      <c r="K631" s="903"/>
      <c r="L631" s="1002"/>
      <c r="M631" s="923"/>
      <c r="N631" s="1042"/>
      <c r="O631" s="1018"/>
      <c r="P631" s="987"/>
      <c r="Q631" s="1015"/>
      <c r="R631" s="1012"/>
      <c r="S631" s="1006"/>
      <c r="T631" s="1007"/>
      <c r="U631" s="878"/>
      <c r="V631" s="881"/>
      <c r="W631" s="884"/>
      <c r="X631" s="884"/>
      <c r="Y631" s="887"/>
      <c r="Z631" s="887"/>
      <c r="AA631" s="887"/>
      <c r="AB631" s="1081"/>
      <c r="AC631" s="1078"/>
      <c r="AD631" s="1070" t="str">
        <f t="shared" ref="AD631:AD681" si="11681">AD625</f>
        <v>Wood Stud Framing</v>
      </c>
      <c r="AE631" s="1071"/>
      <c r="AF631" s="1052"/>
      <c r="AG631" s="1053"/>
      <c r="AH631" s="1053"/>
      <c r="AI631" s="1066"/>
      <c r="AJ631" s="1067"/>
      <c r="AK631" s="156" t="str">
        <f t="shared" ca="1" si="11298"/>
        <v/>
      </c>
      <c r="AL631" s="1059"/>
      <c r="AM631" s="344" t="str">
        <f ca="1">IFERROR(Q623/12*ROUND(VLOOKUP(AF631,OFFSET(WSM,0,1),6,FALSE),2),"")</f>
        <v/>
      </c>
      <c r="AN631" t="str">
        <f t="shared" ca="1" si="11348"/>
        <v/>
      </c>
      <c r="AP631" s="122" t="str">
        <f t="shared" ref="AP631" si="11682">_xlfn.CONCAT(AR631,AS634)</f>
        <v/>
      </c>
      <c r="AQ631" s="683" t="str">
        <f t="shared" si="11512"/>
        <v/>
      </c>
      <c r="AR631" s="4" t="str">
        <f t="shared" si="11273"/>
        <v/>
      </c>
      <c r="AS631" s="4"/>
      <c r="AT631" s="697" t="str">
        <f>AL629</f>
        <v/>
      </c>
      <c r="AU631" s="694" t="e">
        <f t="shared" ca="1" si="11538"/>
        <v>#REF!</v>
      </c>
      <c r="AV631" s="686" t="str">
        <f ca="1">IFERROR(VLOOKUP(AU631,INDIRECT(AQ623),2,FALSE),"----")</f>
        <v>----</v>
      </c>
      <c r="AW631" s="694" t="e">
        <f t="shared" ca="1" si="11539"/>
        <v>#REF!</v>
      </c>
      <c r="AX631" s="686" t="str">
        <f ca="1">IFERROR(VLOOKUP(AW631,INDIRECT(AQ624),2,FALSE),"----")</f>
        <v>----</v>
      </c>
      <c r="AY631" s="694" t="e">
        <f t="shared" ca="1" si="11631"/>
        <v>#REF!</v>
      </c>
      <c r="AZ631" s="686" t="str">
        <f ca="1">IFERROR(VLOOKUP(AY631,INDIRECT(AQ625),2,FALSE),"----")</f>
        <v>----</v>
      </c>
      <c r="BA631" s="694" t="e">
        <f t="shared" ca="1" si="11632"/>
        <v>#REF!</v>
      </c>
      <c r="BB631" s="686" t="str">
        <f ca="1">IFERROR(VLOOKUP(BA631,INDIRECT(AQ626),2,FALSE),"----")</f>
        <v>----</v>
      </c>
      <c r="BC631" s="694" t="e">
        <f t="shared" ca="1" si="11542"/>
        <v>#REF!</v>
      </c>
      <c r="BD631" s="686" t="str">
        <f ca="1">IFERROR(VLOOKUP(BC631,INDIRECT(AQ627),2,FALSE),"----")</f>
        <v>----</v>
      </c>
      <c r="BE631" s="694" t="e">
        <f t="shared" ca="1" si="11543"/>
        <v>#REF!</v>
      </c>
      <c r="BF631" s="686" t="str">
        <f ca="1">IFERROR(VLOOKUP(BE631,INDIRECT(AQ628),2,FALSE),"----")</f>
        <v>----</v>
      </c>
      <c r="BG631" s="702" t="e">
        <f t="shared" ca="1" si="11544"/>
        <v>#REF!</v>
      </c>
      <c r="BH631" s="686" t="str">
        <f ca="1">IFERROR(VLOOKUP(BG631,INDIRECT(AQ629),2,FALSE),"----")</f>
        <v>----</v>
      </c>
      <c r="BI631" s="702" t="e">
        <f t="shared" ca="1" si="11545"/>
        <v>#REF!</v>
      </c>
      <c r="BJ631" s="686" t="str">
        <f ca="1">IFERROR(VLOOKUP(BI631,INDIRECT(AQ630),2,FALSE),"----")</f>
        <v>----</v>
      </c>
      <c r="BK631" s="702" t="e">
        <f t="shared" ca="1" si="11546"/>
        <v>#REF!</v>
      </c>
      <c r="BL631" s="686" t="str">
        <f ca="1">IFERROR(VLOOKUP(BK631,INDIRECT(AQ631),2,FALSE),"----")</f>
        <v>----</v>
      </c>
      <c r="BM631" s="702" t="e">
        <f t="shared" ca="1" si="11547"/>
        <v>#REF!</v>
      </c>
      <c r="BN631" s="686" t="str">
        <f ca="1">IFERROR(VLOOKUP(BM631,INDIRECT(AQ632),2,FALSE),"----")</f>
        <v>----</v>
      </c>
      <c r="BO631" s="702" t="e">
        <f t="shared" ca="1" si="11548"/>
        <v>#REF!</v>
      </c>
      <c r="BP631" s="686" t="str">
        <f ca="1">IFERROR(VLOOKUP(BO631,INDIRECT(AQ633),2,FALSE),"----")</f>
        <v>----</v>
      </c>
      <c r="BQ631" s="702" t="e">
        <f t="shared" ca="1" si="11549"/>
        <v>#REF!</v>
      </c>
      <c r="BR631" s="686" t="str">
        <f ca="1">IFERROR(VLOOKUP(BQ631,INDIRECT(AQ634),2,FALSE),"----")</f>
        <v>----</v>
      </c>
      <c r="BS631" s="695">
        <f>IF(AI631="",1,IF(COUNTIF(BL623:BL634,AI631)=0,2,1))</f>
        <v>1</v>
      </c>
      <c r="BT631" s="696">
        <f>IF(AF631="",1,IF(BL623=".",2,1))</f>
        <v>1</v>
      </c>
      <c r="BU631" s="706"/>
      <c r="BV631" s="155">
        <f ca="1">IF(COUNTIF(DS623:DS634,AF631)=0,IF(AF631&lt;&gt;"",0,1),1)</f>
        <v>1</v>
      </c>
      <c r="BW631" s="157">
        <f ca="1">IFERROR(MATCH(AF631,DS623:DS634,0),1)</f>
        <v>1</v>
      </c>
      <c r="BX631" s="769" t="e">
        <f t="shared" ref="BX631" si="11683">5*E623^3*W623/(384*X623)</f>
        <v>#VALUE!</v>
      </c>
      <c r="BY631" s="769" t="e">
        <f t="shared" ref="BY631" si="11684">W623*E623^3/(60*X623)</f>
        <v>#VALUE!</v>
      </c>
      <c r="BZ631" s="1110"/>
      <c r="CA631" s="691" t="e">
        <f t="shared" ca="1" si="11550"/>
        <v>#REF!</v>
      </c>
      <c r="CB631" s="4" t="e" cm="1">
        <f t="array" aca="1" ref="CB631" ca="1">IF(AND(INDEX(INDIRECT(BY623),CA631,4)&gt;=$AB623,INDEX(INDIRECT(BY623),CA631,5)&gt;=$S623,INDEX(INDIRECT(BY623),CA631,6)&gt;=$R623),1,0)</f>
        <v>#REF!</v>
      </c>
      <c r="CC631" s="4" t="e">
        <f t="shared" ref="CC631" ca="1" si="11685">MATCH(1,OFFSET(CB623:CB634,CD630,0,COUNT(CB623:CB634)-CD630),0)</f>
        <v>#REF!</v>
      </c>
      <c r="CD631" s="4" t="e">
        <f t="shared" ca="1" si="11552"/>
        <v>#REF!</v>
      </c>
      <c r="CE631" s="692" t="str" cm="1">
        <f t="array" aca="1" ref="CE631" ca="1">IFERROR(VLOOKUP(INDEX(CA623:CA634,CD631),INDIRECT(BY623),2,FALSE),"----")</f>
        <v>----</v>
      </c>
      <c r="CF631" s="691" t="e">
        <f t="shared" ca="1" si="11553"/>
        <v>#N/A</v>
      </c>
      <c r="CG631" s="4" t="e">
        <f ca="1">IF(AND(INDEX(SSM,CF631,4)&gt;=$AB623,INDEX(SSM,CF631,5)&gt;=$S623,INDEX(SSM,CF631,6)&gt;=$R623),1,0)</f>
        <v>#N/A</v>
      </c>
      <c r="CH631" s="4" t="e">
        <f t="shared" ref="CH631" ca="1" si="11686">MATCH(1,OFFSET(CG623:CG634,CI630,0,COUNT(CG623:CG634)-CI630),0)</f>
        <v>#REF!</v>
      </c>
      <c r="CI631" s="4" t="e">
        <f t="shared" ca="1" si="11555"/>
        <v>#REF!</v>
      </c>
      <c r="CJ631" s="692" t="str">
        <f ca="1">IFERROR(IF(AD624="Nested Steel Stud (wood infill)",VLOOKUP(INDEX(CF623:CF634,CI631),SSW,2,FALSE),VLOOKUP(INDEX(CF623:CF634,CI631),SSM,2,FALSE)),"----")</f>
        <v>----</v>
      </c>
      <c r="CK631" s="691" t="e">
        <f t="shared" ca="1" si="11556"/>
        <v>#N/A</v>
      </c>
      <c r="CL631" s="4" t="e">
        <f ca="1">IF(AND(INDEX(WSM,CK631,4)&gt;=$AB623,INDEX(WSM,CK631,5)&gt;=$S623,INDEX(WSM,CK631,6)&gt;=$R623),1,0)</f>
        <v>#N/A</v>
      </c>
      <c r="CM631" s="4" t="e">
        <f t="shared" ref="CM631" ca="1" si="11687">MATCH(1,OFFSET(CL623:CL634,CN630,0,COUNT(CL623:CL634)-CN630),0)</f>
        <v>#REF!</v>
      </c>
      <c r="CN631" s="4" t="e">
        <f t="shared" ca="1" si="11558"/>
        <v>#REF!</v>
      </c>
      <c r="CO631" s="692" t="str">
        <f ca="1">IFERROR(VLOOKUP(INDEX(CK623:CK634,CN631),WSM,2,FALSE),"----")</f>
        <v>----</v>
      </c>
      <c r="CP631" s="691" t="e">
        <f t="shared" ca="1" si="11559"/>
        <v>#N/A</v>
      </c>
      <c r="CQ631" s="4" t="e">
        <f ca="1">IF(AND(INDEX(STM,CP631,4)&gt;=$AB623,INDEX(STM,CP631,5)&gt;=$S623,INDEX(STM,CP631,6)&gt;=$R623),1,0)</f>
        <v>#N/A</v>
      </c>
      <c r="CR631" s="4" t="e">
        <f t="shared" ref="CR631" ca="1" si="11688">MATCH(1,OFFSET(CQ623:CQ634,CS630,0,COUNT(CQ623:CQ634)-CS630),0)</f>
        <v>#REF!</v>
      </c>
      <c r="CS631" s="4" t="e">
        <f t="shared" ca="1" si="11561"/>
        <v>#REF!</v>
      </c>
      <c r="CT631" s="692" t="str">
        <f ca="1">IFERROR(VLOOKUP(INDEX(CP623:CP634,CS631),STM,2,FALSE),"----")</f>
        <v>----</v>
      </c>
      <c r="CU631" s="691" t="e">
        <f t="shared" ca="1" si="11562"/>
        <v>#N/A</v>
      </c>
      <c r="CV631" s="4" t="e">
        <f ca="1">IF(AND(INDEX(ELM,CU631,4)&gt;=$AB623,INDEX(ELM,CU631,5)&gt;=$S623,INDEX(ELM,CU631,6)&gt;=$R623),1,0)</f>
        <v>#N/A</v>
      </c>
      <c r="CW631" s="4" t="e">
        <f t="shared" ref="CW631" ca="1" si="11689">MATCH(1,OFFSET(CV623:CV634,CX630,0,COUNT(CV623:CV634)-CX630),0)</f>
        <v>#REF!</v>
      </c>
      <c r="CX631" s="4" t="e">
        <f t="shared" ca="1" si="11564"/>
        <v>#REF!</v>
      </c>
      <c r="CY631" s="692" t="str">
        <f ca="1">IFERROR(VLOOKUP(INDEX(CU623:CU634,CX631),ELM,2,FALSE),"----")</f>
        <v>----</v>
      </c>
      <c r="CZ631" s="691" t="e">
        <f t="shared" ca="1" si="11565"/>
        <v>#N/A</v>
      </c>
      <c r="DA631" s="4" t="e">
        <f ca="1">IF(LEFT($J623,7)="Clad Wo",IF(AND(INDEX(SPPWS,CZ631,4)&gt;=$AB623,INDEX(SPPWS,CZ631,5)&gt;=$S623,INDEX(SPPWS,CZ631,6)&gt;=$R623),1,0),IF(AND(INDEX(SPM,CZ631,4)&gt;=$AB623,INDEX(SPM,CZ631,5)&gt;=$S623,INDEX(SPM,CZ631,6)&gt;=$R623),1,0))</f>
        <v>#N/A</v>
      </c>
      <c r="DB631" s="4" t="e">
        <f t="shared" ref="DB631" ca="1" si="11690">MATCH(1,OFFSET(DA623:DA634,DC630,0,COUNT(DA623:DA634)-DC630),0)</f>
        <v>#REF!</v>
      </c>
      <c r="DC631" s="4" t="e">
        <f t="shared" ca="1" si="11567"/>
        <v>#REF!</v>
      </c>
      <c r="DD631" s="693" t="str">
        <f ca="1">IF(LEFT($J623,7)="Clad Wo",IFERROR(VLOOKUP(INDEX(CZ623:CZ634,DC631),SPPWS,2,FALSE),"----"),IFERROR(VLOOKUP(INDEX(CZ623:CZ634,DC631),SPM,2,FALSE),"----"))</f>
        <v>----</v>
      </c>
      <c r="DE631" s="691" t="e">
        <f t="shared" ca="1" si="11568"/>
        <v>#REF!</v>
      </c>
      <c r="DF631" s="4" t="e" cm="1">
        <f t="array" aca="1" ref="DF631" ca="1">IF(AND(INDEX(INDIRECT(BY623),DE631,4)&gt;=$AB629,INDEX(INDIRECT(BY623),DE631,5)&gt;=$S623,INDEX(INDIRECT(BY623),DE631,6)&gt;=$R623),1,0)</f>
        <v>#REF!</v>
      </c>
      <c r="DG631" s="4" t="e">
        <f t="shared" ref="DG631" ca="1" si="11691">MATCH(1,OFFSET(DF623:DF634,DH630,0,COUNT(DF623:DF634)-DH630),0)</f>
        <v>#REF!</v>
      </c>
      <c r="DH631" s="4" t="e">
        <f t="shared" ca="1" si="11570"/>
        <v>#REF!</v>
      </c>
      <c r="DI631" s="692" t="str" cm="1">
        <f t="array" aca="1" ref="DI631" ca="1">IFERROR(VLOOKUP(INDEX(DE623:DE634,DH631),INDIRECT(BY623),2,FALSE),"----")</f>
        <v>----</v>
      </c>
      <c r="DJ631" s="691" t="e">
        <f t="shared" ca="1" si="11571"/>
        <v>#N/A</v>
      </c>
      <c r="DK631" s="4" t="e">
        <f ca="1">IF(AND(INDEX(SSM,DJ631,4)&gt;=$AB629,INDEX(SSM,DJ631,5)&gt;=$S623,INDEX(SSM,DJ631,6)&gt;=$R623),1,0)</f>
        <v>#N/A</v>
      </c>
      <c r="DL631" s="4" t="e">
        <f t="shared" ref="DL631" ca="1" si="11692">MATCH(1,OFFSET(DK623:DK634,DM630,0,COUNT(DK623:DK634)-DM630),0)</f>
        <v>#REF!</v>
      </c>
      <c r="DM631" s="4" t="e">
        <f t="shared" ca="1" si="11573"/>
        <v>#REF!</v>
      </c>
      <c r="DN631" s="692" t="str">
        <f ca="1">IFERROR(IF(AD630="Nested Steel Stud (wood infill)",VLOOKUP(INDEX(DJ623:DJ634,DM631),SSW,2,FALSE),VLOOKUP(INDEX(DJ623:DJ634,DM631),SSM,2,FALSE)),"----")</f>
        <v>----</v>
      </c>
      <c r="DO631" s="691" t="e">
        <f t="shared" ca="1" si="11574"/>
        <v>#N/A</v>
      </c>
      <c r="DP631" s="4" t="e">
        <f ca="1">IF(AND(INDEX(WSM,DO631,4)&gt;=$AB629,INDEX(WSM,DO631,5)&gt;=$S623,INDEX(WSM,DO631,6)&gt;=$R623),1,0)</f>
        <v>#N/A</v>
      </c>
      <c r="DQ631" s="4" t="e">
        <f t="shared" ref="DQ631" ca="1" si="11693">MATCH(1,OFFSET(DP623:DP634,DR630,0,COUNT(DP623:DP634)-DR630),0)</f>
        <v>#REF!</v>
      </c>
      <c r="DR631" s="4" t="e">
        <f t="shared" ca="1" si="11576"/>
        <v>#REF!</v>
      </c>
      <c r="DS631" s="692" t="str">
        <f ca="1">IFERROR(VLOOKUP(INDEX(DO623:DO634,DR631),WSM,2,FALSE),"----")</f>
        <v>----</v>
      </c>
      <c r="DT631" s="691" t="e">
        <f t="shared" ca="1" si="11577"/>
        <v>#N/A</v>
      </c>
      <c r="DU631" s="4" t="e">
        <f ca="1">IF(AND(INDEX(STM,DT631,4)&gt;=$AB629,INDEX(STM,DT631,5)&gt;=$S623,INDEX(STM,DT631,6)&gt;=$R623),1,0)</f>
        <v>#N/A</v>
      </c>
      <c r="DV631" s="4" t="e">
        <f t="shared" ref="DV631" ca="1" si="11694">MATCH(1,OFFSET(DU623:DU634,DW630,0,COUNT(DU623:DU634)-DW630),0)</f>
        <v>#REF!</v>
      </c>
      <c r="DW631" s="4" t="e">
        <f t="shared" ca="1" si="11579"/>
        <v>#REF!</v>
      </c>
      <c r="DX631" s="692" t="str">
        <f ca="1">IFERROR(VLOOKUP(INDEX(DT623:DT634,DW631),STM,2,FALSE),"----")</f>
        <v>----</v>
      </c>
      <c r="DY631" s="691" t="e">
        <f t="shared" ca="1" si="11580"/>
        <v>#N/A</v>
      </c>
      <c r="DZ631" s="4" t="e">
        <f ca="1">IF(AND(INDEX(ELM,DY631,4)&gt;=$AB629,INDEX(ELM,DY631,5)&gt;=$S623,INDEX(ELM,DY631,6)&gt;=$R623),1,0)</f>
        <v>#N/A</v>
      </c>
      <c r="EA631" s="4" t="e">
        <f t="shared" ref="EA631" ca="1" si="11695">MATCH(1,OFFSET(DZ623:DZ634,EB630,0,COUNT(DZ623:DZ634)-EB630),0)</f>
        <v>#REF!</v>
      </c>
      <c r="EB631" s="4" t="e">
        <f t="shared" ca="1" si="11582"/>
        <v>#REF!</v>
      </c>
      <c r="EC631" s="692" t="str">
        <f ca="1">IFERROR(VLOOKUP(INDEX(DY623:DY634,EB631),ELM,2,FALSE),"----")</f>
        <v>----</v>
      </c>
      <c r="ED631" s="691" t="e">
        <f t="shared" ca="1" si="11583"/>
        <v>#N/A</v>
      </c>
      <c r="EE631" s="4" t="e">
        <f ca="1">IF(LEFT($J623,7)="Clad Wo",IF(AND(INDEX(SPPWS,ED631,4)&gt;=$AB629,INDEX(SPPWS,ED631,5)&gt;=$S623,INDEX(SPPWS,ED631,6)&gt;=$R623),1,0),IF(AND(INDEX(SPM,ED631,4)&gt;=$AB629,INDEX(SPM,ED631,5)&gt;=$S623,INDEX(SPM,ED631,6)&gt;=$R623),1,0))</f>
        <v>#N/A</v>
      </c>
      <c r="EF631" s="4" t="e">
        <f t="shared" ref="EF631" ca="1" si="11696">MATCH(1,OFFSET(EE623:EE634,EG630,0,COUNT(EE623:EE634)-EG630),0)</f>
        <v>#REF!</v>
      </c>
      <c r="EG631" s="4" t="e">
        <f t="shared" ca="1" si="11585"/>
        <v>#REF!</v>
      </c>
      <c r="EH631" s="692" t="str">
        <f ca="1">IF(LEFT($J623,7)="Clad Wo",IFERROR(VLOOKUP(INDEX(ED623:ED634,EG631),SPPWS,2,FALSE),"----"),IFERROR(VLOOKUP(INDEX(ED623:ED634,EG631),SPM,2,FALSE),"----"))</f>
        <v>----</v>
      </c>
    </row>
    <row r="632" spans="1:138" ht="15" customHeight="1" x14ac:dyDescent="0.25">
      <c r="A632" s="1085"/>
      <c r="B632" s="925"/>
      <c r="C632" s="926"/>
      <c r="D632" s="927"/>
      <c r="E632" s="995"/>
      <c r="F632" s="996"/>
      <c r="G632" s="997"/>
      <c r="H632" s="1062"/>
      <c r="I632" s="990"/>
      <c r="J632" s="902"/>
      <c r="K632" s="903"/>
      <c r="L632" s="1002"/>
      <c r="M632" s="923"/>
      <c r="N632" s="1042"/>
      <c r="O632" s="1018"/>
      <c r="P632" s="987"/>
      <c r="Q632" s="1015"/>
      <c r="R632" s="1012"/>
      <c r="S632" s="1006"/>
      <c r="T632" s="1007"/>
      <c r="U632" s="878"/>
      <c r="V632" s="881"/>
      <c r="W632" s="884"/>
      <c r="X632" s="884"/>
      <c r="Y632" s="887"/>
      <c r="Z632" s="887"/>
      <c r="AA632" s="887"/>
      <c r="AB632" s="1081"/>
      <c r="AC632" s="1078"/>
      <c r="AD632" s="1070" t="str">
        <f t="shared" si="11681"/>
        <v>Steel Tube</v>
      </c>
      <c r="AE632" s="1071"/>
      <c r="AF632" s="1052"/>
      <c r="AG632" s="1053"/>
      <c r="AH632" s="1053"/>
      <c r="AI632" s="1066"/>
      <c r="AJ632" s="1067"/>
      <c r="AK632" s="156" t="str">
        <f t="shared" ca="1" si="11298"/>
        <v/>
      </c>
      <c r="AL632" s="1059"/>
      <c r="AM632" s="343" t="str">
        <f ca="1">IFERROR(Q623/12*ROUND(VLOOKUP(AF632,OFFSET(STM,0,1),6,FALSE),2),"")</f>
        <v/>
      </c>
      <c r="AN632" t="str">
        <f t="shared" ca="1" si="11348"/>
        <v/>
      </c>
      <c r="AP632" s="122" t="str">
        <f t="shared" ref="AP632" si="11697">_xlfn.CONCAT(AR632,AS634)</f>
        <v/>
      </c>
      <c r="AQ632" s="683" t="str">
        <f t="shared" si="11512"/>
        <v/>
      </c>
      <c r="AR632" s="4" t="str">
        <f t="shared" si="11273"/>
        <v/>
      </c>
      <c r="AS632" s="4"/>
      <c r="AT632" s="697" t="str">
        <f>AL629</f>
        <v/>
      </c>
      <c r="AU632" s="694" t="e">
        <f t="shared" ca="1" si="11538"/>
        <v>#REF!</v>
      </c>
      <c r="AV632" s="686" t="str">
        <f ca="1">IFERROR(VLOOKUP(AU632,INDIRECT(AQ623),2,FALSE),"----")</f>
        <v>----</v>
      </c>
      <c r="AW632" s="694" t="e">
        <f t="shared" ca="1" si="11539"/>
        <v>#REF!</v>
      </c>
      <c r="AX632" s="686" t="str">
        <f ca="1">IFERROR(VLOOKUP(AW632,INDIRECT(AQ624),2,FALSE),"----")</f>
        <v>----</v>
      </c>
      <c r="AY632" s="694" t="e">
        <f t="shared" ca="1" si="10511"/>
        <v>#REF!</v>
      </c>
      <c r="AZ632" s="686" t="str">
        <f ca="1">IFERROR(VLOOKUP(AY632,INDIRECT(AQ625),2,FALSE),"----")</f>
        <v>----</v>
      </c>
      <c r="BA632" s="694" t="e">
        <f t="shared" ca="1" si="10512"/>
        <v>#REF!</v>
      </c>
      <c r="BB632" s="686" t="str">
        <f ca="1">IFERROR(VLOOKUP(BA632,INDIRECT(AQ626),2,FALSE),"----")</f>
        <v>----</v>
      </c>
      <c r="BC632" s="694" t="e">
        <f t="shared" ca="1" si="11542"/>
        <v>#REF!</v>
      </c>
      <c r="BD632" s="686" t="str">
        <f ca="1">IFERROR(VLOOKUP(BC632,INDIRECT(AQ627),2,FALSE),"----")</f>
        <v>----</v>
      </c>
      <c r="BE632" s="694" t="e">
        <f t="shared" ca="1" si="11543"/>
        <v>#REF!</v>
      </c>
      <c r="BF632" s="686" t="str">
        <f ca="1">IFERROR(VLOOKUP(BE632,INDIRECT(AQ628),2,FALSE),"----")</f>
        <v>----</v>
      </c>
      <c r="BG632" s="702" t="e">
        <f t="shared" ca="1" si="11544"/>
        <v>#REF!</v>
      </c>
      <c r="BH632" s="686" t="str">
        <f ca="1">IFERROR(VLOOKUP(BG632,INDIRECT(AQ629),2,FALSE),"----")</f>
        <v>----</v>
      </c>
      <c r="BI632" s="702" t="e">
        <f t="shared" ca="1" si="11545"/>
        <v>#REF!</v>
      </c>
      <c r="BJ632" s="686" t="str">
        <f ca="1">IFERROR(VLOOKUP(BI632,INDIRECT(AQ630),2,FALSE),"----")</f>
        <v>----</v>
      </c>
      <c r="BK632" s="702" t="e">
        <f t="shared" ca="1" si="11546"/>
        <v>#REF!</v>
      </c>
      <c r="BL632" s="686" t="str">
        <f ca="1">IFERROR(VLOOKUP(BK632,INDIRECT(AQ631),2,FALSE),"----")</f>
        <v>----</v>
      </c>
      <c r="BM632" s="702" t="e">
        <f t="shared" ca="1" si="11547"/>
        <v>#REF!</v>
      </c>
      <c r="BN632" s="686" t="str">
        <f ca="1">IFERROR(VLOOKUP(BM632,INDIRECT(AQ632),2,FALSE),"----")</f>
        <v>----</v>
      </c>
      <c r="BO632" s="702" t="e">
        <f t="shared" ca="1" si="11548"/>
        <v>#REF!</v>
      </c>
      <c r="BP632" s="686" t="str">
        <f ca="1">IFERROR(VLOOKUP(BO632,INDIRECT(AQ633),2,FALSE),"----")</f>
        <v>----</v>
      </c>
      <c r="BQ632" s="702" t="e">
        <f t="shared" ca="1" si="11549"/>
        <v>#REF!</v>
      </c>
      <c r="BR632" s="686" t="str">
        <f ca="1">IFERROR(VLOOKUP(BQ632,INDIRECT(AQ634),2,FALSE),"----")</f>
        <v>----</v>
      </c>
      <c r="BS632" s="695">
        <f>IF(AI632="",1,IF(COUNTIF(BN623:BN634,AI632)=0,2,1))</f>
        <v>1</v>
      </c>
      <c r="BT632" s="696">
        <f>IF(AF632="",1,IF(BN623=".",2,1))</f>
        <v>1</v>
      </c>
      <c r="BU632" s="706"/>
      <c r="BV632" s="155">
        <f ca="1">IF(COUNTIF(DX623:DX634,AF632)=0,IF(AF632&lt;&gt;"",0,1),1)</f>
        <v>1</v>
      </c>
      <c r="BW632" s="157">
        <f ca="1">IFERROR(MATCH(AF632,DX623:DX634,0),1)</f>
        <v>1</v>
      </c>
      <c r="BX632" s="769" t="e">
        <f t="shared" ref="BX632" si="11698">5*E623^3*W629/(384*X623)</f>
        <v>#VALUE!</v>
      </c>
      <c r="BY632" s="769" t="e">
        <f t="shared" ref="BY632" si="11699">E623^3*W629/(60*X623)</f>
        <v>#VALUE!</v>
      </c>
      <c r="BZ632" s="1110"/>
      <c r="CA632" s="691" t="e">
        <f t="shared" ca="1" si="11550"/>
        <v>#REF!</v>
      </c>
      <c r="CB632" s="4" t="e" cm="1">
        <f t="array" aca="1" ref="CB632" ca="1">IF(AND(INDEX(INDIRECT(BY623),CA632,4)&gt;=$AB623,INDEX(INDIRECT(BY623),CA632,5)&gt;=$S623,INDEX(INDIRECT(BY623),CA632,6)&gt;=$R623),1,0)</f>
        <v>#REF!</v>
      </c>
      <c r="CC632" s="4" t="e">
        <f t="shared" ref="CC632" ca="1" si="11700">MATCH(1,OFFSET(CB623:CB634,CD631,0,COUNT(CB623:CB634)-CD631),0)</f>
        <v>#REF!</v>
      </c>
      <c r="CD632" s="4" t="e">
        <f t="shared" ca="1" si="11552"/>
        <v>#REF!</v>
      </c>
      <c r="CE632" s="692" t="str" cm="1">
        <f t="array" aca="1" ref="CE632" ca="1">IFERROR(VLOOKUP(INDEX(CA623:CA634,CD632),INDIRECT(BY623),2,FALSE),"----")</f>
        <v>----</v>
      </c>
      <c r="CF632" s="691" t="e">
        <f t="shared" ca="1" si="11553"/>
        <v>#N/A</v>
      </c>
      <c r="CG632" s="4" t="e">
        <f ca="1">IF(AND(INDEX(SSM,CF632,4)&gt;=$AB623,INDEX(SSM,CF632,5)&gt;=$S623,INDEX(SSM,CF632,6)&gt;=$R623),1,0)</f>
        <v>#N/A</v>
      </c>
      <c r="CH632" s="4" t="e">
        <f t="shared" ref="CH632" ca="1" si="11701">MATCH(1,OFFSET(CG623:CG634,CI631,0,COUNT(CG623:CG634)-CI631),0)</f>
        <v>#REF!</v>
      </c>
      <c r="CI632" s="4" t="e">
        <f t="shared" ca="1" si="11555"/>
        <v>#REF!</v>
      </c>
      <c r="CJ632" s="692" t="str">
        <f ca="1">IFERROR(IF(AD624="Nested Steel Stud (wood infill)",VLOOKUP(INDEX(CF623:CF634,CI632),SSW,2,FALSE),VLOOKUP(INDEX(CF623:CF634,CI632),SSM,2,FALSE)),"----")</f>
        <v>----</v>
      </c>
      <c r="CK632" s="691" t="e">
        <f t="shared" ca="1" si="11556"/>
        <v>#N/A</v>
      </c>
      <c r="CL632" s="4" t="e">
        <f ca="1">IF(AND(INDEX(WSM,CK632,4)&gt;=$AB623,INDEX(WSM,CK632,5)&gt;=$S623,INDEX(WSM,CK632,6)&gt;=$R623),1,0)</f>
        <v>#N/A</v>
      </c>
      <c r="CM632" s="4" t="e">
        <f t="shared" ref="CM632" ca="1" si="11702">MATCH(1,OFFSET(CL623:CL634,CN631,0,COUNT(CL623:CL634)-CN631),0)</f>
        <v>#REF!</v>
      </c>
      <c r="CN632" s="4" t="e">
        <f t="shared" ca="1" si="11558"/>
        <v>#REF!</v>
      </c>
      <c r="CO632" s="692" t="str">
        <f ca="1">IFERROR(VLOOKUP(INDEX(CK623:CK634,CN632),WSM,2,FALSE),"----")</f>
        <v>----</v>
      </c>
      <c r="CP632" s="691" t="e">
        <f t="shared" ca="1" si="11559"/>
        <v>#N/A</v>
      </c>
      <c r="CQ632" s="4" t="e">
        <f ca="1">IF(AND(INDEX(STM,CP632,4)&gt;=$AB623,INDEX(STM,CP632,5)&gt;=$S623,INDEX(STM,CP632,6)&gt;=$R623),1,0)</f>
        <v>#N/A</v>
      </c>
      <c r="CR632" s="4" t="e">
        <f t="shared" ref="CR632" ca="1" si="11703">MATCH(1,OFFSET(CQ623:CQ634,CS631,0,COUNT(CQ623:CQ634)-CS631),0)</f>
        <v>#REF!</v>
      </c>
      <c r="CS632" s="4" t="e">
        <f t="shared" ca="1" si="11561"/>
        <v>#REF!</v>
      </c>
      <c r="CT632" s="692" t="str">
        <f ca="1">IFERROR(VLOOKUP(INDEX(CP623:CP634,CS632),STM,2,FALSE),"----")</f>
        <v>----</v>
      </c>
      <c r="CU632" s="691" t="e">
        <f t="shared" ca="1" si="11562"/>
        <v>#N/A</v>
      </c>
      <c r="CV632" s="4" t="e">
        <f ca="1">IF(AND(INDEX(ELM,CU632,4)&gt;=$AB623,INDEX(ELM,CU632,5)&gt;=$S623,INDEX(ELM,CU632,6)&gt;=$R623),1,0)</f>
        <v>#N/A</v>
      </c>
      <c r="CW632" s="4" t="e">
        <f t="shared" ref="CW632" ca="1" si="11704">MATCH(1,OFFSET(CV623:CV634,CX631,0,COUNT(CV623:CV634)-CX631),0)</f>
        <v>#REF!</v>
      </c>
      <c r="CX632" s="4" t="e">
        <f t="shared" ca="1" si="11564"/>
        <v>#REF!</v>
      </c>
      <c r="CY632" s="692" t="str">
        <f ca="1">IFERROR(VLOOKUP(INDEX(CU623:CU634,CX632),ELM,2,FALSE),"----")</f>
        <v>----</v>
      </c>
      <c r="CZ632" s="691" t="e">
        <f t="shared" ca="1" si="11565"/>
        <v>#N/A</v>
      </c>
      <c r="DA632" s="4" t="e">
        <f ca="1">IF(LEFT($J623,7)="Clad Wo",IF(AND(INDEX(SPPWS,CZ632,4)&gt;=$AB623,INDEX(SPPWS,CZ632,5)&gt;=$S623,INDEX(SPPWS,CZ632,6)&gt;=$R623),1,0),IF(AND(INDEX(SPM,CZ632,4)&gt;=$AB623,INDEX(SPM,CZ632,5)&gt;=$S623,INDEX(SPM,CZ632,6)&gt;=$R623),1,0))</f>
        <v>#N/A</v>
      </c>
      <c r="DB632" s="4" t="e">
        <f t="shared" ref="DB632" ca="1" si="11705">MATCH(1,OFFSET(DA623:DA634,DC631,0,COUNT(DA623:DA634)-DC631),0)</f>
        <v>#REF!</v>
      </c>
      <c r="DC632" s="4" t="e">
        <f t="shared" ca="1" si="11567"/>
        <v>#REF!</v>
      </c>
      <c r="DD632" s="693" t="str">
        <f ca="1">IF(LEFT($J623,7)="Clad Wo",IFERROR(VLOOKUP(INDEX(CZ623:CZ634,DC632),SPPWS,2,FALSE),"----"),IFERROR(VLOOKUP(INDEX(CZ623:CZ634,DC632),SPM,2,FALSE),"----"))</f>
        <v>----</v>
      </c>
      <c r="DE632" s="691" t="e">
        <f t="shared" ca="1" si="11568"/>
        <v>#REF!</v>
      </c>
      <c r="DF632" s="4" t="e" cm="1">
        <f t="array" aca="1" ref="DF632" ca="1">IF(AND(INDEX(INDIRECT(BY623),DE632,4)&gt;=$AB629,INDEX(INDIRECT(BY623),DE632,5)&gt;=$S623,INDEX(INDIRECT(BY623),DE632,6)&gt;=$R623),1,0)</f>
        <v>#REF!</v>
      </c>
      <c r="DG632" s="4" t="e">
        <f t="shared" ref="DG632" ca="1" si="11706">MATCH(1,OFFSET(DF623:DF634,DH631,0,COUNT(DF623:DF634)-DH631),0)</f>
        <v>#REF!</v>
      </c>
      <c r="DH632" s="4" t="e">
        <f t="shared" ca="1" si="11570"/>
        <v>#REF!</v>
      </c>
      <c r="DI632" s="692" t="str" cm="1">
        <f t="array" aca="1" ref="DI632" ca="1">IFERROR(VLOOKUP(INDEX(DE623:DE634,DH632),INDIRECT(BY623),2,FALSE),"----")</f>
        <v>----</v>
      </c>
      <c r="DJ632" s="691" t="e">
        <f t="shared" ca="1" si="11571"/>
        <v>#N/A</v>
      </c>
      <c r="DK632" s="4" t="e">
        <f ca="1">IF(AND(INDEX(SSM,DJ632,4)&gt;=$AB629,INDEX(SSM,DJ632,5)&gt;=$S623,INDEX(SSM,DJ632,6)&gt;=$R623),1,0)</f>
        <v>#N/A</v>
      </c>
      <c r="DL632" s="4" t="e">
        <f t="shared" ref="DL632" ca="1" si="11707">MATCH(1,OFFSET(DK623:DK634,DM631,0,COUNT(DK623:DK634)-DM631),0)</f>
        <v>#REF!</v>
      </c>
      <c r="DM632" s="4" t="e">
        <f t="shared" ca="1" si="11573"/>
        <v>#REF!</v>
      </c>
      <c r="DN632" s="692" t="str">
        <f ca="1">IFERROR(IF(AD630="Nested Steel Stud (wood infill)",VLOOKUP(INDEX(DJ623:DJ634,DM632),SSW,2,FALSE),VLOOKUP(INDEX(DJ623:DJ634,DM632),SSM,2,FALSE)),"----")</f>
        <v>----</v>
      </c>
      <c r="DO632" s="691" t="e">
        <f t="shared" ca="1" si="11574"/>
        <v>#N/A</v>
      </c>
      <c r="DP632" s="4" t="e">
        <f ca="1">IF(AND(INDEX(WSM,DO632,4)&gt;=$AB629,INDEX(WSM,DO632,5)&gt;=$S623,INDEX(WSM,DO632,6)&gt;=$R623),1,0)</f>
        <v>#N/A</v>
      </c>
      <c r="DQ632" s="4" t="e">
        <f t="shared" ref="DQ632" ca="1" si="11708">MATCH(1,OFFSET(DP623:DP634,DR631,0,COUNT(DP623:DP634)-DR631),0)</f>
        <v>#REF!</v>
      </c>
      <c r="DR632" s="4" t="e">
        <f t="shared" ca="1" si="11576"/>
        <v>#REF!</v>
      </c>
      <c r="DS632" s="692" t="str">
        <f ca="1">IFERROR(VLOOKUP(INDEX(DO623:DO634,DR632),WSM,2,FALSE),"----")</f>
        <v>----</v>
      </c>
      <c r="DT632" s="691" t="e">
        <f t="shared" ca="1" si="11577"/>
        <v>#N/A</v>
      </c>
      <c r="DU632" s="4" t="e">
        <f ca="1">IF(AND(INDEX(STM,DT632,4)&gt;=$AB629,INDEX(STM,DT632,5)&gt;=$S623,INDEX(STM,DT632,6)&gt;=$R623),1,0)</f>
        <v>#N/A</v>
      </c>
      <c r="DV632" s="4" t="e">
        <f t="shared" ref="DV632" ca="1" si="11709">MATCH(1,OFFSET(DU623:DU634,DW631,0,COUNT(DU623:DU634)-DW631),0)</f>
        <v>#REF!</v>
      </c>
      <c r="DW632" s="4" t="e">
        <f t="shared" ca="1" si="11579"/>
        <v>#REF!</v>
      </c>
      <c r="DX632" s="692" t="str">
        <f ca="1">IFERROR(VLOOKUP(INDEX(DT623:DT634,DW632),STM,2,FALSE),"----")</f>
        <v>----</v>
      </c>
      <c r="DY632" s="691" t="e">
        <f t="shared" ca="1" si="11580"/>
        <v>#N/A</v>
      </c>
      <c r="DZ632" s="4" t="e">
        <f ca="1">IF(AND(INDEX(ELM,DY632,4)&gt;=$AB629,INDEX(ELM,DY632,5)&gt;=$S623,INDEX(ELM,DY632,6)&gt;=$R623),1,0)</f>
        <v>#N/A</v>
      </c>
      <c r="EA632" s="4" t="e">
        <f t="shared" ref="EA632" ca="1" si="11710">MATCH(1,OFFSET(DZ623:DZ634,EB631,0,COUNT(DZ623:DZ634)-EB631),0)</f>
        <v>#REF!</v>
      </c>
      <c r="EB632" s="4" t="e">
        <f t="shared" ca="1" si="11582"/>
        <v>#REF!</v>
      </c>
      <c r="EC632" s="692" t="str">
        <f ca="1">IFERROR(VLOOKUP(INDEX(DY623:DY634,EB632),ELM,2,FALSE),"----")</f>
        <v>----</v>
      </c>
      <c r="ED632" s="691" t="e">
        <f t="shared" ca="1" si="11583"/>
        <v>#N/A</v>
      </c>
      <c r="EE632" s="4" t="e">
        <f ca="1">IF(LEFT($J623,7)="Clad Wo",IF(AND(INDEX(SPPWS,ED632,4)&gt;=$AB629,INDEX(SPPWS,ED632,5)&gt;=$S623,INDEX(SPPWS,ED632,6)&gt;=$R623),1,0),IF(AND(INDEX(SPM,ED632,4)&gt;=$AB629,INDEX(SPM,ED632,5)&gt;=$S623,INDEX(SPM,ED632,6)&gt;=$R623),1,0))</f>
        <v>#N/A</v>
      </c>
      <c r="EF632" s="4" t="e">
        <f t="shared" ref="EF632" ca="1" si="11711">MATCH(1,OFFSET(EE623:EE634,EG631,0,COUNT(EE623:EE634)-EG631),0)</f>
        <v>#REF!</v>
      </c>
      <c r="EG632" s="4" t="e">
        <f t="shared" ca="1" si="11585"/>
        <v>#REF!</v>
      </c>
      <c r="EH632" s="692" t="str">
        <f ca="1">IF(LEFT($J623,7)="Clad Wo",IFERROR(VLOOKUP(INDEX(ED623:ED634,EG632),SPPWS,2,FALSE),"----"),IFERROR(VLOOKUP(INDEX(ED623:ED634,EG632),SPM,2,FALSE),"----"))</f>
        <v>----</v>
      </c>
    </row>
    <row r="633" spans="1:138" ht="15" customHeight="1" x14ac:dyDescent="0.25">
      <c r="A633" s="1085"/>
      <c r="B633" s="925"/>
      <c r="C633" s="926"/>
      <c r="D633" s="927"/>
      <c r="E633" s="995"/>
      <c r="F633" s="996"/>
      <c r="G633" s="997"/>
      <c r="H633" s="1062"/>
      <c r="I633" s="990"/>
      <c r="J633" s="902"/>
      <c r="K633" s="903"/>
      <c r="L633" s="1002"/>
      <c r="M633" s="923"/>
      <c r="N633" s="1042"/>
      <c r="O633" s="1018"/>
      <c r="P633" s="987"/>
      <c r="Q633" s="1015"/>
      <c r="R633" s="1012"/>
      <c r="S633" s="1006"/>
      <c r="T633" s="1007"/>
      <c r="U633" s="878"/>
      <c r="V633" s="881"/>
      <c r="W633" s="884"/>
      <c r="X633" s="884"/>
      <c r="Y633" s="887"/>
      <c r="Z633" s="887"/>
      <c r="AA633" s="887"/>
      <c r="AB633" s="1081"/>
      <c r="AC633" s="1078"/>
      <c r="AD633" s="1070" t="str">
        <f t="shared" si="11681"/>
        <v>Engineered Lumber</v>
      </c>
      <c r="AE633" s="1071"/>
      <c r="AF633" s="1052"/>
      <c r="AG633" s="1053"/>
      <c r="AH633" s="1053"/>
      <c r="AI633" s="1068"/>
      <c r="AJ633" s="1069"/>
      <c r="AK633" s="154" t="str">
        <f t="shared" ca="1" si="11298"/>
        <v/>
      </c>
      <c r="AL633" s="1059"/>
      <c r="AM633" s="344" t="str">
        <f ca="1">IFERROR(Q623/12*ROUND(VLOOKUP(AF633,OFFSET(ELM,0,1),6,FALSE),2),"")</f>
        <v/>
      </c>
      <c r="AN633" t="str">
        <f t="shared" ca="1" si="11348"/>
        <v/>
      </c>
      <c r="AP633" s="122" t="str">
        <f t="shared" ref="AP633" si="11712">_xlfn.CONCAT(AR633,AS634)</f>
        <v/>
      </c>
      <c r="AQ633" s="683" t="str">
        <f t="shared" si="11512"/>
        <v/>
      </c>
      <c r="AR633" s="4" t="str">
        <f t="shared" si="11273"/>
        <v/>
      </c>
      <c r="AS633" s="4"/>
      <c r="AT633" s="697" t="str">
        <f>AL629</f>
        <v/>
      </c>
      <c r="AU633" s="694" t="e">
        <f t="shared" ca="1" si="11538"/>
        <v>#REF!</v>
      </c>
      <c r="AV633" s="698" t="str">
        <f ca="1">IFERROR(VLOOKUP(AU633,INDIRECT(AQ623),2,FALSE),"----")</f>
        <v>----</v>
      </c>
      <c r="AW633" s="694" t="e">
        <f t="shared" ca="1" si="11539"/>
        <v>#REF!</v>
      </c>
      <c r="AX633" s="698" t="str">
        <f ca="1">IFERROR(VLOOKUP(AW633,INDIRECT(AQ624),2,FALSE),"----")</f>
        <v>----</v>
      </c>
      <c r="AY633" s="694" t="e">
        <f t="shared" ca="1" si="10511"/>
        <v>#REF!</v>
      </c>
      <c r="AZ633" s="698" t="str">
        <f ca="1">IFERROR(VLOOKUP(AY633,INDIRECT(AQ625),2,FALSE),"----")</f>
        <v>----</v>
      </c>
      <c r="BA633" s="694" t="e">
        <f t="shared" ca="1" si="10512"/>
        <v>#REF!</v>
      </c>
      <c r="BB633" s="698" t="str">
        <f ca="1">IFERROR(VLOOKUP(BA633,INDIRECT(AQ626),2,FALSE),"----")</f>
        <v>----</v>
      </c>
      <c r="BC633" s="694" t="e">
        <f t="shared" ca="1" si="11542"/>
        <v>#REF!</v>
      </c>
      <c r="BD633" s="698" t="str">
        <f ca="1">IFERROR(VLOOKUP(BC633,INDIRECT(AQ627),2,FALSE),"----")</f>
        <v>----</v>
      </c>
      <c r="BE633" s="694" t="e">
        <f t="shared" ca="1" si="11543"/>
        <v>#REF!</v>
      </c>
      <c r="BF633" s="698" t="str">
        <f ca="1">IFERROR(VLOOKUP(BE633,INDIRECT(AQ628),2,FALSE),"----")</f>
        <v>----</v>
      </c>
      <c r="BG633" s="702" t="e">
        <f t="shared" ca="1" si="11544"/>
        <v>#REF!</v>
      </c>
      <c r="BH633" s="686" t="str">
        <f ca="1">IFERROR(VLOOKUP(BG633,INDIRECT(AQ629),2,FALSE),"----")</f>
        <v>----</v>
      </c>
      <c r="BI633" s="702" t="e">
        <f t="shared" ca="1" si="11545"/>
        <v>#REF!</v>
      </c>
      <c r="BJ633" s="686" t="str">
        <f ca="1">IFERROR(VLOOKUP(BI633,INDIRECT(AQ630),2,FALSE),"----")</f>
        <v>----</v>
      </c>
      <c r="BK633" s="702" t="e">
        <f t="shared" ca="1" si="11546"/>
        <v>#REF!</v>
      </c>
      <c r="BL633" s="686" t="str">
        <f ca="1">IFERROR(VLOOKUP(BK633,INDIRECT(AQ631),2,FALSE),"----")</f>
        <v>----</v>
      </c>
      <c r="BM633" s="702" t="e">
        <f t="shared" ca="1" si="11547"/>
        <v>#REF!</v>
      </c>
      <c r="BN633" s="686" t="str">
        <f ca="1">IFERROR(VLOOKUP(BM633,INDIRECT(AQ632),2,FALSE),"----")</f>
        <v>----</v>
      </c>
      <c r="BO633" s="702" t="e">
        <f t="shared" ca="1" si="11548"/>
        <v>#REF!</v>
      </c>
      <c r="BP633" s="686" t="str">
        <f ca="1">IFERROR(VLOOKUP(BO633,INDIRECT(AQ633),2,FALSE),"----")</f>
        <v>----</v>
      </c>
      <c r="BQ633" s="702" t="e">
        <f t="shared" ca="1" si="11549"/>
        <v>#REF!</v>
      </c>
      <c r="BR633" s="686" t="str">
        <f ca="1">IFERROR(VLOOKUP(BQ633,INDIRECT(AQ634),2,FALSE),"----")</f>
        <v>----</v>
      </c>
      <c r="BS633" s="695">
        <f>IF(AI633="",1,IF(COUNTIF(BP623:BP634,AI633)=0,2,1))</f>
        <v>1</v>
      </c>
      <c r="BT633" s="696">
        <f>IF(AF633="",1,IF(BP623=".",2,1))</f>
        <v>1</v>
      </c>
      <c r="BU633" s="706"/>
      <c r="BV633" s="155">
        <f ca="1">IF(COUNTIF(EC623:EC634,AF633)=0,IF(AF633&lt;&gt;"",0,1),1)</f>
        <v>1</v>
      </c>
      <c r="BW633" s="157">
        <f ca="1">IFERROR(MATCH(AF633,EC623:EC634,0),1)</f>
        <v>1</v>
      </c>
      <c r="BX633" s="769"/>
      <c r="BY633" s="769"/>
      <c r="BZ633" s="1110"/>
      <c r="CA633" s="691" t="e">
        <f t="shared" ca="1" si="11550"/>
        <v>#REF!</v>
      </c>
      <c r="CB633" s="4" t="e" cm="1">
        <f t="array" aca="1" ref="CB633" ca="1">IF(AND(INDEX(INDIRECT(BY623),CA633,4)&gt;=$AB623,INDEX(INDIRECT(BY623),CA633,5)&gt;=$S623,INDEX(INDIRECT(BY623),CA633,6)&gt;=$R623),1,0)</f>
        <v>#REF!</v>
      </c>
      <c r="CC633" s="4" t="e">
        <f t="shared" ref="CC633" ca="1" si="11713">MATCH(1,OFFSET(CB623:CB634,CD632,0,COUNT(CB623:CB634)-CD632),0)</f>
        <v>#REF!</v>
      </c>
      <c r="CD633" s="4" t="e">
        <f t="shared" ca="1" si="11552"/>
        <v>#REF!</v>
      </c>
      <c r="CE633" s="692" t="str" cm="1">
        <f t="array" aca="1" ref="CE633" ca="1">IFERROR(VLOOKUP(INDEX(CA623:CA634,CD633),INDIRECT(BY623),2,FALSE),"----")</f>
        <v>----</v>
      </c>
      <c r="CF633" s="691" t="e">
        <f t="shared" ca="1" si="11553"/>
        <v>#N/A</v>
      </c>
      <c r="CG633" s="4" t="e">
        <f ca="1">IF(AND(INDEX(SSM,CF633,4)&gt;=$AB623,INDEX(SSM,CF633,5)&gt;=$S623,INDEX(SSM,CF633,6)&gt;=$R623),1,0)</f>
        <v>#N/A</v>
      </c>
      <c r="CH633" s="4" t="e">
        <f t="shared" ref="CH633" ca="1" si="11714">MATCH(1,OFFSET(CG623:CG634,CI632,0,COUNT(CG623:CG634)-CI632),0)</f>
        <v>#REF!</v>
      </c>
      <c r="CI633" s="4" t="e">
        <f t="shared" ca="1" si="11555"/>
        <v>#REF!</v>
      </c>
      <c r="CJ633" s="692" t="str">
        <f ca="1">IFERROR(IF(AD624="Nested Steel Stud (wood infill)",VLOOKUP(INDEX(CF623:CF634,CI633),SSW,2,FALSE),VLOOKUP(INDEX(CF623:CF634,CI633),SSM,2,FALSE)),"----")</f>
        <v>----</v>
      </c>
      <c r="CK633" s="691" t="e">
        <f t="shared" ca="1" si="11556"/>
        <v>#N/A</v>
      </c>
      <c r="CL633" s="4" t="e">
        <f ca="1">IF(AND(INDEX(WSM,CK633,4)&gt;=$AB623,INDEX(WSM,CK633,5)&gt;=$S623,INDEX(WSM,CK633,6)&gt;=$R623),1,0)</f>
        <v>#N/A</v>
      </c>
      <c r="CM633" s="4" t="e">
        <f t="shared" ref="CM633" ca="1" si="11715">MATCH(1,OFFSET(CL623:CL634,CN632,0,COUNT(CL623:CL634)-CN632),0)</f>
        <v>#REF!</v>
      </c>
      <c r="CN633" s="4" t="e">
        <f t="shared" ca="1" si="11558"/>
        <v>#REF!</v>
      </c>
      <c r="CO633" s="692" t="str">
        <f ca="1">IFERROR(VLOOKUP(INDEX(CK623:CK634,CN633),WSM,2,FALSE),"----")</f>
        <v>----</v>
      </c>
      <c r="CP633" s="691" t="e">
        <f t="shared" ca="1" si="11559"/>
        <v>#N/A</v>
      </c>
      <c r="CQ633" s="4" t="e">
        <f ca="1">IF(AND(INDEX(STM,CP633,4)&gt;=$AB623,INDEX(STM,CP633,5)&gt;=$S623,INDEX(STM,CP633,6)&gt;=$R623),1,0)</f>
        <v>#N/A</v>
      </c>
      <c r="CR633" s="4" t="e">
        <f t="shared" ref="CR633" ca="1" si="11716">MATCH(1,OFFSET(CQ623:CQ634,CS632,0,COUNT(CQ623:CQ634)-CS632),0)</f>
        <v>#REF!</v>
      </c>
      <c r="CS633" s="4" t="e">
        <f t="shared" ca="1" si="11561"/>
        <v>#REF!</v>
      </c>
      <c r="CT633" s="692" t="str">
        <f ca="1">IFERROR(VLOOKUP(INDEX(CP623:CP634,CS633),STM,2,FALSE),"----")</f>
        <v>----</v>
      </c>
      <c r="CU633" s="691" t="e">
        <f t="shared" ca="1" si="11562"/>
        <v>#N/A</v>
      </c>
      <c r="CV633" s="4" t="e">
        <f ca="1">IF(AND(INDEX(ELM,CU633,4)&gt;=$AB623,INDEX(ELM,CU633,5)&gt;=$S623,INDEX(ELM,CU633,6)&gt;=$R623),1,0)</f>
        <v>#N/A</v>
      </c>
      <c r="CW633" s="4" t="e">
        <f t="shared" ref="CW633" ca="1" si="11717">MATCH(1,OFFSET(CV623:CV634,CX632,0,COUNT(CV623:CV634)-CX632),0)</f>
        <v>#REF!</v>
      </c>
      <c r="CX633" s="4" t="e">
        <f t="shared" ca="1" si="11564"/>
        <v>#REF!</v>
      </c>
      <c r="CY633" s="692" t="str">
        <f ca="1">IFERROR(VLOOKUP(INDEX(CU623:CU634,CX633),ELM,2,FALSE),"----")</f>
        <v>----</v>
      </c>
      <c r="CZ633" s="691" t="e">
        <f t="shared" ca="1" si="11565"/>
        <v>#N/A</v>
      </c>
      <c r="DA633" s="4" t="e">
        <f ca="1">IF(LEFT($J623,7)="Clad Wo",IF(AND(INDEX(SPPWS,CZ633,4)&gt;=$AB623,INDEX(SPPWS,CZ633,5)&gt;=$S623,INDEX(SPPWS,CZ633,6)&gt;=$R623),1,0),IF(AND(INDEX(SPM,CZ633,4)&gt;=$AB623,INDEX(SPM,CZ633,5)&gt;=$S623,INDEX(SPM,CZ633,6)&gt;=$R623),1,0))</f>
        <v>#N/A</v>
      </c>
      <c r="DB633" s="4" t="e">
        <f t="shared" ref="DB633" ca="1" si="11718">MATCH(1,OFFSET(DA623:DA634,DC632,0,COUNT(DA623:DA634)-DC632),0)</f>
        <v>#REF!</v>
      </c>
      <c r="DC633" s="4" t="e">
        <f t="shared" ca="1" si="11567"/>
        <v>#REF!</v>
      </c>
      <c r="DD633" s="693" t="str">
        <f ca="1">IF(LEFT($J623,7)="Clad Wo",IFERROR(VLOOKUP(INDEX(CZ623:CZ634,DC633),SPPWS,2,FALSE),"----"),IFERROR(VLOOKUP(INDEX(CZ623:CZ634,DC633),SPM,2,FALSE),"----"))</f>
        <v>----</v>
      </c>
      <c r="DE633" s="691" t="e">
        <f t="shared" ca="1" si="11568"/>
        <v>#REF!</v>
      </c>
      <c r="DF633" s="4" t="e" cm="1">
        <f t="array" aca="1" ref="DF633" ca="1">IF(AND(INDEX(INDIRECT(BY623),DE633,4)&gt;=$AB629,INDEX(INDIRECT(BY623),DE633,5)&gt;=$S623,INDEX(INDIRECT(BY623),DE633,6)&gt;=$R623),1,0)</f>
        <v>#REF!</v>
      </c>
      <c r="DG633" s="4" t="e">
        <f t="shared" ref="DG633" ca="1" si="11719">MATCH(1,OFFSET(DF623:DF634,DH632,0,COUNT(DF623:DF634)-DH632),0)</f>
        <v>#REF!</v>
      </c>
      <c r="DH633" s="4" t="e">
        <f t="shared" ca="1" si="11570"/>
        <v>#REF!</v>
      </c>
      <c r="DI633" s="692" t="str" cm="1">
        <f t="array" aca="1" ref="DI633" ca="1">IFERROR(VLOOKUP(INDEX(DE623:DE634,DH633),INDIRECT(BY623),2,FALSE),"----")</f>
        <v>----</v>
      </c>
      <c r="DJ633" s="691" t="e">
        <f t="shared" ca="1" si="11571"/>
        <v>#N/A</v>
      </c>
      <c r="DK633" s="4" t="e">
        <f ca="1">IF(AND(INDEX(SSM,DJ633,4)&gt;=$AB629,INDEX(SSM,DJ633,5)&gt;=$S623,INDEX(SSM,DJ633,6)&gt;=$R623),1,0)</f>
        <v>#N/A</v>
      </c>
      <c r="DL633" s="4" t="e">
        <f t="shared" ref="DL633" ca="1" si="11720">MATCH(1,OFFSET(DK623:DK634,DM632,0,COUNT(DK623:DK634)-DM632),0)</f>
        <v>#REF!</v>
      </c>
      <c r="DM633" s="4" t="e">
        <f t="shared" ca="1" si="11573"/>
        <v>#REF!</v>
      </c>
      <c r="DN633" s="692" t="str">
        <f ca="1">IFERROR(IF(AD630="Nested Steel Stud (wood infill)",VLOOKUP(INDEX(DJ623:DJ634,DM633),SSW,2,FALSE),VLOOKUP(INDEX(DJ623:DJ634,DM633),SSM,2,FALSE)),"----")</f>
        <v>----</v>
      </c>
      <c r="DO633" s="691" t="e">
        <f t="shared" ca="1" si="11574"/>
        <v>#N/A</v>
      </c>
      <c r="DP633" s="4" t="e">
        <f ca="1">IF(AND(INDEX(WSM,DO633,4)&gt;=$AB629,INDEX(WSM,DO633,5)&gt;=$S623,INDEX(WSM,DO633,6)&gt;=$R623),1,0)</f>
        <v>#N/A</v>
      </c>
      <c r="DQ633" s="4" t="e">
        <f t="shared" ref="DQ633" ca="1" si="11721">MATCH(1,OFFSET(DP623:DP634,DR632,0,COUNT(DP623:DP634)-DR632),0)</f>
        <v>#REF!</v>
      </c>
      <c r="DR633" s="4" t="e">
        <f t="shared" ca="1" si="11576"/>
        <v>#REF!</v>
      </c>
      <c r="DS633" s="692" t="str">
        <f ca="1">IFERROR(VLOOKUP(INDEX(DO623:DO634,DR633),WSM,2,FALSE),"----")</f>
        <v>----</v>
      </c>
      <c r="DT633" s="691" t="e">
        <f t="shared" ca="1" si="11577"/>
        <v>#N/A</v>
      </c>
      <c r="DU633" s="4" t="e">
        <f ca="1">IF(AND(INDEX(STM,DT633,4)&gt;=$AB629,INDEX(STM,DT633,5)&gt;=$S623,INDEX(STM,DT633,6)&gt;=$R623),1,0)</f>
        <v>#N/A</v>
      </c>
      <c r="DV633" s="4" t="e">
        <f t="shared" ref="DV633" ca="1" si="11722">MATCH(1,OFFSET(DU623:DU634,DW632,0,COUNT(DU623:DU634)-DW632),0)</f>
        <v>#REF!</v>
      </c>
      <c r="DW633" s="4" t="e">
        <f t="shared" ca="1" si="11579"/>
        <v>#REF!</v>
      </c>
      <c r="DX633" s="692" t="str">
        <f ca="1">IFERROR(VLOOKUP(INDEX(DT623:DT634,DW633),STM,2,FALSE),"----")</f>
        <v>----</v>
      </c>
      <c r="DY633" s="691" t="e">
        <f t="shared" ca="1" si="11580"/>
        <v>#N/A</v>
      </c>
      <c r="DZ633" s="4" t="e">
        <f ca="1">IF(AND(INDEX(ELM,DY633,4)&gt;=$AB629,INDEX(ELM,DY633,5)&gt;=$S623,INDEX(ELM,DY633,6)&gt;=$R623),1,0)</f>
        <v>#N/A</v>
      </c>
      <c r="EA633" s="4" t="e">
        <f t="shared" ref="EA633" ca="1" si="11723">MATCH(1,OFFSET(DZ623:DZ634,EB632,0,COUNT(DZ623:DZ634)-EB632),0)</f>
        <v>#REF!</v>
      </c>
      <c r="EB633" s="4" t="e">
        <f t="shared" ca="1" si="11582"/>
        <v>#REF!</v>
      </c>
      <c r="EC633" s="692" t="str">
        <f ca="1">IFERROR(VLOOKUP(INDEX(DY623:DY634,EB633),ELM,2,FALSE),"----")</f>
        <v>----</v>
      </c>
      <c r="ED633" s="691" t="e">
        <f t="shared" ca="1" si="11583"/>
        <v>#N/A</v>
      </c>
      <c r="EE633" s="4" t="e">
        <f ca="1">IF(LEFT($J623,7)="Clad Wo",IF(AND(INDEX(SPPWS,ED633,4)&gt;=$AB629,INDEX(SPPWS,ED633,5)&gt;=$S623,INDEX(SPPWS,ED633,6)&gt;=$R623),1,0),IF(AND(INDEX(SPM,ED633,4)&gt;=$AB629,INDEX(SPM,ED633,5)&gt;=$S623,INDEX(SPM,ED633,6)&gt;=$R623),1,0))</f>
        <v>#N/A</v>
      </c>
      <c r="EF633" s="4" t="e">
        <f t="shared" ref="EF633" ca="1" si="11724">MATCH(1,OFFSET(EE623:EE634,EG632,0,COUNT(EE623:EE634)-EG632),0)</f>
        <v>#REF!</v>
      </c>
      <c r="EG633" s="4" t="e">
        <f t="shared" ca="1" si="11585"/>
        <v>#REF!</v>
      </c>
      <c r="EH633" s="692" t="str">
        <f ca="1">IF(LEFT($J623,7)="Clad Wo",IFERROR(VLOOKUP(INDEX(ED623:ED634,EG633),SPPWS,2,FALSE),"----"),IFERROR(VLOOKUP(INDEX(ED623:ED634,EG633),SPM,2,FALSE),"----"))</f>
        <v>----</v>
      </c>
    </row>
    <row r="634" spans="1:138" ht="15" customHeight="1" thickBot="1" x14ac:dyDescent="0.3">
      <c r="A634" s="1085"/>
      <c r="B634" s="928"/>
      <c r="C634" s="929"/>
      <c r="D634" s="930"/>
      <c r="E634" s="998"/>
      <c r="F634" s="999"/>
      <c r="G634" s="1000"/>
      <c r="H634" s="1063"/>
      <c r="I634" s="991"/>
      <c r="J634" s="904"/>
      <c r="K634" s="905"/>
      <c r="L634" s="1003"/>
      <c r="M634" s="1065"/>
      <c r="N634" s="1043"/>
      <c r="O634" s="1019"/>
      <c r="P634" s="988"/>
      <c r="Q634" s="1016"/>
      <c r="R634" s="1013"/>
      <c r="S634" s="1008"/>
      <c r="T634" s="1009"/>
      <c r="U634" s="879"/>
      <c r="V634" s="882"/>
      <c r="W634" s="885"/>
      <c r="X634" s="885"/>
      <c r="Y634" s="888"/>
      <c r="Z634" s="888"/>
      <c r="AA634" s="888"/>
      <c r="AB634" s="1082"/>
      <c r="AC634" s="1087"/>
      <c r="AD634" s="1098" t="str">
        <f t="shared" ref="AD634" si="11725">IF(LEFT(J623,7)="Clad Wo","Pella Wood Spr / Steel Pte","Steel Plate")</f>
        <v>Steel Plate</v>
      </c>
      <c r="AE634" s="1099"/>
      <c r="AF634" s="1096"/>
      <c r="AG634" s="1097"/>
      <c r="AH634" s="1097"/>
      <c r="AI634" s="1094"/>
      <c r="AJ634" s="1095"/>
      <c r="AK634" s="163" t="str">
        <f t="shared" ca="1" si="11298"/>
        <v/>
      </c>
      <c r="AL634" s="1060"/>
      <c r="AM634" s="345" t="str">
        <f ca="1">IFERROR(Q623/12*ROUND(VLOOKUP(AF634,OFFSET(SPM,0,1),6,FALSE),2),"")</f>
        <v/>
      </c>
      <c r="AN634" t="str">
        <f t="shared" ca="1" si="11348"/>
        <v/>
      </c>
      <c r="AP634" s="699" t="str">
        <f t="shared" ref="AP634" si="11726">_xlfn.CONCAT(AR634,AS634)</f>
        <v/>
      </c>
      <c r="AQ634" s="700" t="str">
        <f t="shared" si="11512"/>
        <v/>
      </c>
      <c r="AR634" s="160" t="str">
        <f t="shared" si="11273"/>
        <v/>
      </c>
      <c r="AS634" s="160" t="str">
        <f>IFERROR(VLOOKUP(J631, WallType,2,FALSE),"")</f>
        <v/>
      </c>
      <c r="AT634" s="707" t="str">
        <f>AL629</f>
        <v/>
      </c>
      <c r="AU634" s="708" t="e">
        <f t="shared" ca="1" si="11538"/>
        <v>#REF!</v>
      </c>
      <c r="AV634" s="709" t="str">
        <f ca="1">IFERROR(VLOOKUP(AU634,INDIRECT(AQ623),2,FALSE),"----")</f>
        <v>----</v>
      </c>
      <c r="AW634" s="710" t="e">
        <f t="shared" ca="1" si="11539"/>
        <v>#REF!</v>
      </c>
      <c r="AX634" s="709" t="str">
        <f ca="1">IFERROR(VLOOKUP(AW634,INDIRECT(AQ624),2,FALSE),"----")</f>
        <v>----</v>
      </c>
      <c r="AY634" s="710" t="e">
        <f t="shared" ca="1" si="10511"/>
        <v>#REF!</v>
      </c>
      <c r="AZ634" s="709" t="str">
        <f ca="1">IFERROR(VLOOKUP(AY634,INDIRECT(AQ625),2,FALSE),"----")</f>
        <v>----</v>
      </c>
      <c r="BA634" s="710" t="e">
        <f t="shared" ca="1" si="10512"/>
        <v>#REF!</v>
      </c>
      <c r="BB634" s="709" t="str">
        <f ca="1">IFERROR(VLOOKUP(BA634,INDIRECT(AQ626),2,FALSE),"----")</f>
        <v>----</v>
      </c>
      <c r="BC634" s="710" t="e">
        <f t="shared" ca="1" si="11542"/>
        <v>#REF!</v>
      </c>
      <c r="BD634" s="709" t="str">
        <f ca="1">IFERROR(VLOOKUP(BC634,INDIRECT(AQ627),2,FALSE),"----")</f>
        <v>----</v>
      </c>
      <c r="BE634" s="710" t="e">
        <f t="shared" ca="1" si="11543"/>
        <v>#REF!</v>
      </c>
      <c r="BF634" s="709" t="str">
        <f ca="1">IFERROR(VLOOKUP(BE634,INDIRECT(AQ628),2,FALSE),"----")</f>
        <v>----</v>
      </c>
      <c r="BG634" s="710" t="e">
        <f t="shared" ca="1" si="11544"/>
        <v>#REF!</v>
      </c>
      <c r="BH634" s="711" t="str">
        <f ca="1">IFERROR(VLOOKUP(BG634,INDIRECT(AQ629),2,FALSE),"----")</f>
        <v>----</v>
      </c>
      <c r="BI634" s="710" t="e">
        <f t="shared" ca="1" si="11545"/>
        <v>#REF!</v>
      </c>
      <c r="BJ634" s="711" t="str">
        <f ca="1">IFERROR(VLOOKUP(BI634,INDIRECT(AQ630),2,FALSE),"----")</f>
        <v>----</v>
      </c>
      <c r="BK634" s="710" t="e">
        <f t="shared" ca="1" si="11546"/>
        <v>#REF!</v>
      </c>
      <c r="BL634" s="711" t="str">
        <f ca="1">IFERROR(VLOOKUP(BK634,INDIRECT(AQ631),2,FALSE),"----")</f>
        <v>----</v>
      </c>
      <c r="BM634" s="710" t="e">
        <f t="shared" ca="1" si="11547"/>
        <v>#REF!</v>
      </c>
      <c r="BN634" s="711" t="str">
        <f ca="1">IFERROR(VLOOKUP(BM634,INDIRECT(AQ632),2,FALSE),"----")</f>
        <v>----</v>
      </c>
      <c r="BO634" s="710" t="e">
        <f t="shared" ca="1" si="11548"/>
        <v>#REF!</v>
      </c>
      <c r="BP634" s="711" t="str">
        <f ca="1">IFERROR(VLOOKUP(BO634,INDIRECT(AQ633),2,FALSE),"----")</f>
        <v>----</v>
      </c>
      <c r="BQ634" s="710" t="e">
        <f t="shared" ca="1" si="11549"/>
        <v>#REF!</v>
      </c>
      <c r="BR634" s="712" t="str">
        <f ca="1">IFERROR(VLOOKUP(BQ634,INDIRECT(AQ634),2,FALSE),"----")</f>
        <v>----</v>
      </c>
      <c r="BS634" s="695">
        <f>IF(AI634="",1,IF(COUNTIF(BR623:BR634,AI634)=0,2,1))</f>
        <v>1</v>
      </c>
      <c r="BT634" s="713">
        <f>IF(AF634="",1,IF(BR623=".",2,1))</f>
        <v>1</v>
      </c>
      <c r="BV634" s="155">
        <f ca="1">IF(COUNTIF(EH623:EH634,AF634)=0,IF(AF634&lt;&gt;"",0,1),1)</f>
        <v>1</v>
      </c>
      <c r="BW634" s="157">
        <f ca="1">IFERROR(MATCH(AF634,EH623:EH634,0),1)</f>
        <v>1</v>
      </c>
      <c r="BX634" s="718"/>
      <c r="BY634" s="777"/>
      <c r="BZ634" s="1110"/>
      <c r="CA634" s="714" t="e">
        <f t="shared" ca="1" si="11550"/>
        <v>#REF!</v>
      </c>
      <c r="CB634" s="715" t="e" cm="1">
        <f t="array" aca="1" ref="CB634" ca="1">IF(AND(INDEX(INDIRECT(BY623),CA634,4)&gt;=$AB623,INDEX(INDIRECT(BY623),CA634,5)&gt;=$S623,INDEX(INDIRECT(BY623),CA634,6)&gt;=$R623),1,0)</f>
        <v>#REF!</v>
      </c>
      <c r="CC634" s="715" t="e">
        <f t="shared" ref="CC634" ca="1" si="11727">MATCH(1,OFFSET(CB623:CB634,CD633,0,COUNT(CB623:CB634)-CD633),0)</f>
        <v>#REF!</v>
      </c>
      <c r="CD634" s="715" t="e">
        <f t="shared" ca="1" si="11552"/>
        <v>#REF!</v>
      </c>
      <c r="CE634" s="716" t="str" cm="1">
        <f t="array" aca="1" ref="CE634" ca="1">IFERROR(VLOOKUP(INDEX(CA623:CA634,CD634),INDIRECT(BY623),2,FALSE),"----")</f>
        <v>----</v>
      </c>
      <c r="CF634" s="714" t="e">
        <f t="shared" ca="1" si="11553"/>
        <v>#N/A</v>
      </c>
      <c r="CG634" s="715" t="e">
        <f ca="1">IF(AND(INDEX(SSM,CF634,4)&gt;=$AB623,INDEX(SSM,CF634,5)&gt;=$S623,INDEX(SSM,CF634,6)&gt;=$R623),1,0)</f>
        <v>#N/A</v>
      </c>
      <c r="CH634" s="715" t="e">
        <f t="shared" ref="CH634" ca="1" si="11728">MATCH(1,OFFSET(CG623:CG634,CI633,0,COUNT(CG623:CG634)-CI633),0)</f>
        <v>#REF!</v>
      </c>
      <c r="CI634" s="715" t="e">
        <f t="shared" ca="1" si="11555"/>
        <v>#REF!</v>
      </c>
      <c r="CJ634" s="716" t="str">
        <f ca="1">IFERROR(IF(AD624="Nested Steel Stud (wood infill)",VLOOKUP(INDEX(CF623:CF634,CI634),SSW,2,FALSE),VLOOKUP(INDEX(CF623:CF634,CI634),SSM,2,FALSE)),"----")</f>
        <v>----</v>
      </c>
      <c r="CK634" s="714" t="e">
        <f t="shared" ca="1" si="11556"/>
        <v>#N/A</v>
      </c>
      <c r="CL634" s="715" t="e">
        <f ca="1">IF(AND(INDEX(WSM,CK634,4)&gt;=$AB623,INDEX(WSM,CK634,5)&gt;=$S623,INDEX(WSM,CK634,6)&gt;=$R623),1,0)</f>
        <v>#N/A</v>
      </c>
      <c r="CM634" s="715" t="e">
        <f t="shared" ref="CM634" ca="1" si="11729">MATCH(1,OFFSET(CL623:CL634,CN633,0,COUNT(CL623:CL634)-CN633),0)</f>
        <v>#REF!</v>
      </c>
      <c r="CN634" s="715" t="e">
        <f t="shared" ca="1" si="11558"/>
        <v>#REF!</v>
      </c>
      <c r="CO634" s="716" t="str">
        <f ca="1">IFERROR(VLOOKUP(INDEX(CK623:CK634,CN634),WSM,2,FALSE),"----")</f>
        <v>----</v>
      </c>
      <c r="CP634" s="714" t="e">
        <f t="shared" ca="1" si="11559"/>
        <v>#N/A</v>
      </c>
      <c r="CQ634" s="715" t="e">
        <f ca="1">IF(AND(INDEX(STM,CP634,4)&gt;=$AB623,INDEX(STM,CP634,5)&gt;=$S623,INDEX(STM,CP634,6)&gt;=$R623),1,0)</f>
        <v>#N/A</v>
      </c>
      <c r="CR634" s="715" t="e">
        <f t="shared" ref="CR634" ca="1" si="11730">MATCH(1,OFFSET(CQ623:CQ634,CS633,0,COUNT(CQ623:CQ634)-CS633),0)</f>
        <v>#REF!</v>
      </c>
      <c r="CS634" s="715" t="e">
        <f t="shared" ca="1" si="11561"/>
        <v>#REF!</v>
      </c>
      <c r="CT634" s="716" t="str">
        <f ca="1">IFERROR(VLOOKUP(INDEX(CP623:CP634,CS634),STM,2,FALSE),"----")</f>
        <v>----</v>
      </c>
      <c r="CU634" s="714" t="e">
        <f t="shared" ca="1" si="11562"/>
        <v>#N/A</v>
      </c>
      <c r="CV634" s="715" t="e">
        <f ca="1">IF(AND(INDEX(ELM,CU634,4)&gt;=$AB623,INDEX(ELM,CU634,5)&gt;=$S623,INDEX(ELM,CU634,6)&gt;=$R623),1,0)</f>
        <v>#N/A</v>
      </c>
      <c r="CW634" s="715" t="e">
        <f t="shared" ref="CW634" ca="1" si="11731">MATCH(1,OFFSET(CV623:CV634,CX633,0,COUNT(CV623:CV634)-CX633),0)</f>
        <v>#REF!</v>
      </c>
      <c r="CX634" s="715" t="e">
        <f t="shared" ca="1" si="11564"/>
        <v>#REF!</v>
      </c>
      <c r="CY634" s="716" t="str">
        <f ca="1">IFERROR(VLOOKUP(INDEX(CU623:CU634,CX634),ELM,2,FALSE),"----")</f>
        <v>----</v>
      </c>
      <c r="CZ634" s="714" t="e">
        <f t="shared" ca="1" si="11565"/>
        <v>#N/A</v>
      </c>
      <c r="DA634" s="715" t="e">
        <f ca="1">IF(LEFT($J623,7)="Clad Wo",IF(AND(INDEX(SPPWS,CZ634,4)&gt;=$AB623,INDEX(SPPWS,CZ634,5)&gt;=$S623,INDEX(SPPWS,CZ634,6)&gt;=$R623),1,0),IF(AND(INDEX(SPM,CZ634,4)&gt;=$AB623,INDEX(SPM,CZ634,5)&gt;=$S623,INDEX(SPM,CZ634,6)&gt;=$R623),1,0))</f>
        <v>#N/A</v>
      </c>
      <c r="DB634" s="715" t="e">
        <f t="shared" ref="DB634" ca="1" si="11732">MATCH(1,OFFSET(DA623:DA634,DC633,0,COUNT(DA623:DA634)-DC633),0)</f>
        <v>#REF!</v>
      </c>
      <c r="DC634" s="715" t="e">
        <f t="shared" ca="1" si="11567"/>
        <v>#REF!</v>
      </c>
      <c r="DD634" s="717" t="str">
        <f ca="1">IF(LEFT($J623,7)="Clad Wo",IFERROR(VLOOKUP(INDEX(CZ623:CZ634,DC634),SPPWS,2,FALSE),"----"),IFERROR(VLOOKUP(INDEX(CZ623:CZ634,DC634),SPM,2,FALSE),"----"))</f>
        <v>----</v>
      </c>
      <c r="DE634" s="714" t="e">
        <f t="shared" ca="1" si="11568"/>
        <v>#REF!</v>
      </c>
      <c r="DF634" s="715" t="e" cm="1">
        <f t="array" aca="1" ref="DF634" ca="1">IF(AND(INDEX(INDIRECT(BY623),DE634,4)&gt;=$AB629,INDEX(INDIRECT(BY623),DE634,5)&gt;=$S623,INDEX(INDIRECT(BY623),DE634,6)&gt;=$R623),1,0)</f>
        <v>#REF!</v>
      </c>
      <c r="DG634" s="715" t="e">
        <f t="shared" ref="DG634" ca="1" si="11733">MATCH(1,OFFSET(DF623:DF634,DH633,0,COUNT(DF623:DF634)-DH633),0)</f>
        <v>#REF!</v>
      </c>
      <c r="DH634" s="715" t="e">
        <f t="shared" ca="1" si="11570"/>
        <v>#REF!</v>
      </c>
      <c r="DI634" s="716" t="str" cm="1">
        <f t="array" aca="1" ref="DI634" ca="1">IFERROR(VLOOKUP(INDEX(DE623:DE634,DH634),INDIRECT(BY623),2,FALSE),"----")</f>
        <v>----</v>
      </c>
      <c r="DJ634" s="714" t="e">
        <f t="shared" ca="1" si="11571"/>
        <v>#N/A</v>
      </c>
      <c r="DK634" s="715" t="e">
        <f ca="1">IF(AND(INDEX(SSM,DJ634,4)&gt;=$AB629,INDEX(SSM,DJ634,5)&gt;=$S623,INDEX(SSM,DJ634,6)&gt;=$R623),1,0)</f>
        <v>#N/A</v>
      </c>
      <c r="DL634" s="715" t="e">
        <f t="shared" ref="DL634" ca="1" si="11734">MATCH(1,OFFSET(DK623:DK634,DM633,0,COUNT(DK623:DK634)-DM633),0)</f>
        <v>#REF!</v>
      </c>
      <c r="DM634" s="715" t="e">
        <f t="shared" ca="1" si="11573"/>
        <v>#REF!</v>
      </c>
      <c r="DN634" s="716" t="str">
        <f ca="1">IFERROR(IF(AD630="Nested Steel Stud (wood infill)",VLOOKUP(INDEX(DJ623:DJ634,DM634),SSW,2,FALSE),VLOOKUP(INDEX(DJ623:DJ634,DM634),SSM,2,FALSE)),"----")</f>
        <v>----</v>
      </c>
      <c r="DO634" s="714" t="e">
        <f t="shared" ca="1" si="11574"/>
        <v>#N/A</v>
      </c>
      <c r="DP634" s="715" t="e">
        <f ca="1">IF(AND(INDEX(WSM,DO634,4)&gt;=$AB629,INDEX(WSM,DO634,5)&gt;=$S623,INDEX(WSM,DO634,6)&gt;=$R623),1,0)</f>
        <v>#N/A</v>
      </c>
      <c r="DQ634" s="715" t="e">
        <f t="shared" ref="DQ634" ca="1" si="11735">MATCH(1,OFFSET(DP623:DP634,DR633,0,COUNT(DP623:DP634)-DR633),0)</f>
        <v>#REF!</v>
      </c>
      <c r="DR634" s="715" t="e">
        <f t="shared" ca="1" si="11576"/>
        <v>#REF!</v>
      </c>
      <c r="DS634" s="716" t="str">
        <f ca="1">IFERROR(VLOOKUP(INDEX(DO623:DO634,DR634),WSM,2,FALSE),"----")</f>
        <v>----</v>
      </c>
      <c r="DT634" s="714" t="e">
        <f t="shared" ca="1" si="11577"/>
        <v>#N/A</v>
      </c>
      <c r="DU634" s="715" t="e">
        <f ca="1">IF(AND(INDEX(STM,DT634,4)&gt;=$AB629,INDEX(STM,DT634,5)&gt;=$S623,INDEX(STM,DT634,6)&gt;=$R623),1,0)</f>
        <v>#N/A</v>
      </c>
      <c r="DV634" s="715" t="e">
        <f t="shared" ref="DV634" ca="1" si="11736">MATCH(1,OFFSET(DU623:DU634,DW633,0,COUNT(DU623:DU634)-DW633),0)</f>
        <v>#REF!</v>
      </c>
      <c r="DW634" s="715" t="e">
        <f t="shared" ca="1" si="11579"/>
        <v>#REF!</v>
      </c>
      <c r="DX634" s="716" t="str">
        <f ca="1">IFERROR(VLOOKUP(INDEX(DT623:DT634,DW634),STM,2,FALSE),"----")</f>
        <v>----</v>
      </c>
      <c r="DY634" s="714" t="e">
        <f t="shared" ca="1" si="11580"/>
        <v>#N/A</v>
      </c>
      <c r="DZ634" s="715" t="e">
        <f ca="1">IF(AND(INDEX(ELM,DY634,4)&gt;=$AB629,INDEX(ELM,DY634,5)&gt;=$S623,INDEX(ELM,DY634,6)&gt;=$R623),1,0)</f>
        <v>#N/A</v>
      </c>
      <c r="EA634" s="715" t="e">
        <f t="shared" ref="EA634" ca="1" si="11737">MATCH(1,OFFSET(DZ623:DZ634,EB633,0,COUNT(DZ623:DZ634)-EB633),0)</f>
        <v>#REF!</v>
      </c>
      <c r="EB634" s="715" t="e">
        <f t="shared" ca="1" si="11582"/>
        <v>#REF!</v>
      </c>
      <c r="EC634" s="716" t="str">
        <f ca="1">IFERROR(VLOOKUP(INDEX(DY623:DY634,EB634),ELM,2,FALSE),"----")</f>
        <v>----</v>
      </c>
      <c r="ED634" s="714" t="e">
        <f t="shared" ca="1" si="11583"/>
        <v>#N/A</v>
      </c>
      <c r="EE634" s="715" t="e">
        <f ca="1">IF(LEFT($J623,7)="Clad Wo",IF(AND(INDEX(SPPWS,ED634,4)&gt;=$AB629,INDEX(SPPWS,ED634,5)&gt;=$S623,INDEX(SPPWS,ED634,6)&gt;=$R623),1,0),IF(AND(INDEX(SPM,ED634,4)&gt;=$AB629,INDEX(SPM,ED634,5)&gt;=$S623,INDEX(SPM,ED634,6)&gt;=$R623),1,0))</f>
        <v>#N/A</v>
      </c>
      <c r="EF634" s="715" t="e">
        <f t="shared" ref="EF634" ca="1" si="11738">MATCH(1,OFFSET(EE623:EE634,EG633,0,COUNT(EE623:EE634)-EG633),0)</f>
        <v>#REF!</v>
      </c>
      <c r="EG634" s="715" t="e">
        <f t="shared" ca="1" si="11585"/>
        <v>#REF!</v>
      </c>
      <c r="EH634" s="716" t="str">
        <f ca="1">IF(LEFT($J623,7)="Clad Wo",IFERROR(VLOOKUP(INDEX(ED623:ED634,EG634),SPPWS,2,FALSE),"----"),IFERROR(VLOOKUP(INDEX(ED623:ED634,EG634),SPM,2,FALSE),"----"))</f>
        <v>----</v>
      </c>
    </row>
    <row r="635" spans="1:138" ht="15" customHeight="1" thickTop="1" x14ac:dyDescent="0.25">
      <c r="A635" s="1085"/>
      <c r="B635" s="931" t="s">
        <v>92</v>
      </c>
      <c r="C635" s="932"/>
      <c r="D635" s="933"/>
      <c r="E635" s="992"/>
      <c r="F635" s="993"/>
      <c r="G635" s="994"/>
      <c r="H635" s="1061"/>
      <c r="I635" s="989"/>
      <c r="J635" s="906"/>
      <c r="K635" s="907"/>
      <c r="L635" s="1001">
        <f>$W$3</f>
        <v>4</v>
      </c>
      <c r="M635" s="923" t="str">
        <f t="shared" ref="M635" si="11739">IFERROR(IF($AE$13="",IF($AG$19="Wind Loading",MIN($V$31,IF(E$11="ASCE 7-05",$U$26,$V$7)*$V$9*(IF($E$12&lt;60,0.0771*LN(MAX(MIN(500,O635),10)) -1.2737,IF($E$11="ASCE 7-22",0.0524*LN(MAX(MIN(500,O635),50))-1.0278,0.0614*LN(MAX(MIN(500,O635),20)) -1.0829))-$V$8)),$V$7*IF(E$12&lt;60,$V$13*($V$15*0.0771*LN(MAX(MIN(500,O635),10))-1.2737-$V$16),$V$13*$V$15*((0.0524*LN(MAX(MIN(500,O635),20))-1.0278)-$V$16))),-ABS($AE$13)),"")</f>
        <v/>
      </c>
      <c r="N635" s="1042" t="str">
        <f t="shared" ref="N635" si="11740">IFERROR(IF($AE$15="",IF($AG$19="Wind Loading",MAX($U$31,IF(E$11="ASCE 7-05",$U$26,$V$7)*$V$9*((IF($E$12&lt;60,-0.077*LN(MAX(MIN(500,O635),10))+1.1737,IF($E$11="ASCE 7-22",-0.077*LN(MAX(MIN(500,O635),20))+1.0798,-0.093*LN(MAX(MIN(500,O635),20))+1.1776)))+$V$8)),$V$7*IF(E$12&lt;60,$V$13*($V$15*(-0.077*LN(MAX(MIN(500,O635),10))+1.1737)-$V$17),$V$13*$V$15*((-0.077*LN(MAX(MIN(500,O635),20))+1.0798)-$V$17))),ABS($AE$15)),"")</f>
        <v/>
      </c>
      <c r="O635" s="1017" t="str">
        <f>IF(BX642=0,"",IF(AG$14="Trapezoidal",BY642,BX642))</f>
        <v/>
      </c>
      <c r="P635" s="986"/>
      <c r="Q635" s="1014"/>
      <c r="R635" s="1011">
        <f>P635*Q635/8</f>
        <v>0</v>
      </c>
      <c r="S635" s="1004">
        <f t="shared" ref="S635" si="11741">IF(5*(P635*Q635^3/(384*0.125))=0,0,5*(P635*Q635^3/(384*0.125)))</f>
        <v>0</v>
      </c>
      <c r="T635" s="1005"/>
      <c r="U635" s="877" t="e">
        <f ca="1">VLOOKUP(J639,INDIRECT(VLOOKUP(J635,FrameStrength,2,FALSE)),3,FALSE)</f>
        <v>#N/A</v>
      </c>
      <c r="V635" s="880">
        <f t="shared" ref="V635" si="11742">(H635+I635)/2</f>
        <v>0</v>
      </c>
      <c r="W635" s="883" t="e">
        <f t="shared" ref="W635" si="11743">MAX(-M635,N635)*O635</f>
        <v>#VALUE!</v>
      </c>
      <c r="X635" s="883">
        <f t="shared" ref="X635" si="11744">IF(E635&gt;162,(E635/240+0.25),IF(AND(E635&lt;162,E635/175&lt;0.75),E635/175,0.75))</f>
        <v>0</v>
      </c>
      <c r="Y635" s="886">
        <f>IFERROR(IF(AG$14="Trapezoidal",BY643,BX643)+IF($E$17="4",(400*E635^3)/(48*X635),0),0)</f>
        <v>0</v>
      </c>
      <c r="Z635" s="886" t="e">
        <f t="shared" ref="Z635" si="11745">+($V635*MAX(-$M635,$N635)*$E635^2)/(144*8)+IF($E$17=4,(400*$E635)/4,0)</f>
        <v>#VALUE!</v>
      </c>
      <c r="AA635" s="886" t="e">
        <f ca="1">VLOOKUP(J639,INDIRECT(VLOOKUP(J635,FrameStrength,2,FALSE)),2,FALSE)</f>
        <v>#N/A</v>
      </c>
      <c r="AB635" s="1083" t="str">
        <f t="shared" ref="AB635" ca="1" si="11746">IFERROR(Z635-AA635,"")</f>
        <v/>
      </c>
      <c r="AC635" s="1077" t="str">
        <f t="shared" ref="AC635" ca="1" si="11747">IFERROR(Y635-U635,"")</f>
        <v/>
      </c>
      <c r="AD635" s="1100" t="str">
        <f>IFERROR(IF(LEFT(J639,2)="As",VLOOKUP(J639,EIMM,4,FALSE),VLOOKUP(J635,EIMM,4,FALSE)),IF(AND(ISNUMBER(SEARCH("Impervia",J635)),ISNUMBER(SEARCH("door",J639))),'New Lookup Cells'!AF$10,IF(ISNUMBER(SEARCH("Impervia",J635)),'New Lookup Cells'!AF$7,IF(AND(ISNUMBER(SEARCH("250",J635)),ISNUMBER(SEARCH("door",J639))),'New Lookup Cells'!AF$14,IF(ISNUMBER(SEARCH("250",J635)),'New Lookup Cells'!AF$13,"")))))</f>
        <v/>
      </c>
      <c r="AE635" s="1101"/>
      <c r="AF635" s="1050"/>
      <c r="AG635" s="1051"/>
      <c r="AH635" s="1051"/>
      <c r="AI635" s="1088"/>
      <c r="AJ635" s="1089"/>
      <c r="AK635" s="154" t="str">
        <f t="shared" ca="1" si="11298"/>
        <v/>
      </c>
      <c r="AL635" s="1038" t="str">
        <f t="shared" ref="AL635" si="11748">IFERROR(ROUND(SQRT(P635^2+(W635/2+IF($E$17=4,200,0))^2),0),"")</f>
        <v/>
      </c>
      <c r="AM635" s="342" t="s">
        <v>669</v>
      </c>
      <c r="AN635" t="str">
        <f t="shared" ca="1" si="11348"/>
        <v/>
      </c>
      <c r="AP635" s="122" t="str">
        <f t="shared" ref="AP635" si="11749">_xlfn.CONCAT(AR635,AS640)</f>
        <v/>
      </c>
      <c r="AQ635" s="683" t="str">
        <f t="shared" si="11512"/>
        <v/>
      </c>
      <c r="AR635" s="96" t="str">
        <f t="shared" si="11273"/>
        <v/>
      </c>
      <c r="AS635" s="96" t="str">
        <f>IF(COUNTIF(imp_1,AF635)=1,"imp_1",IF(COUNTIF(imp_2,AF635)=1,"imp_2",IF(COUNTIF(imp_3,AF635)=1,"imp_3",IF(COUNTIF(impdoor,AF635)=1,"impdoor",""))))</f>
        <v/>
      </c>
      <c r="AT635" s="684" t="str">
        <f>AL635</f>
        <v/>
      </c>
      <c r="AU635" s="685" t="e">
        <f ca="1">MATCH(AL635,INDIRECT(AP635),-1)</f>
        <v>#REF!</v>
      </c>
      <c r="AV635" s="686" t="str">
        <f ca="1">IFERROR(VLOOKUP(AU635,INDIRECT(AQ635),2,FALSE),"----")</f>
        <v>----</v>
      </c>
      <c r="AW635" s="685" t="e">
        <f ca="1">MATCH(AL635,INDIRECT(AP636),-1)</f>
        <v>#REF!</v>
      </c>
      <c r="AX635" s="686" t="str">
        <f ca="1">IFERROR(VLOOKUP(AW635,INDIRECT(AQ636),2,FALSE),"----")</f>
        <v>----</v>
      </c>
      <c r="AY635" s="685" t="e">
        <f ca="1">MATCH(AL635,INDIRECT(AP637),-1)</f>
        <v>#REF!</v>
      </c>
      <c r="AZ635" s="686" t="str">
        <f ca="1">IFERROR(VLOOKUP(AY635,INDIRECT(AQ637),2,FALSE),"----")</f>
        <v>----</v>
      </c>
      <c r="BA635" s="685" t="e">
        <f ca="1">MATCH(AL635,INDIRECT(AP638),-1)</f>
        <v>#REF!</v>
      </c>
      <c r="BB635" s="686" t="str">
        <f ca="1">IFERROR(VLOOKUP(BA635,INDIRECT(AQ638),2,FALSE),"----")</f>
        <v>----</v>
      </c>
      <c r="BC635" s="685" t="e">
        <f ca="1">MATCH(AL635,INDIRECT(AP639),-1)</f>
        <v>#REF!</v>
      </c>
      <c r="BD635" s="686" t="str">
        <f ca="1">IFERROR(VLOOKUP(BC635,INDIRECT(AQ639),2,FALSE),"----")</f>
        <v>----</v>
      </c>
      <c r="BE635" s="685" t="e">
        <f ca="1">MATCH(AL635,INDIRECT(AP640),-1)</f>
        <v>#REF!</v>
      </c>
      <c r="BF635" s="686" t="str">
        <f ca="1">IFERROR(VLOOKUP(BE635,INDIRECT(AQ640),2,FALSE),"----")</f>
        <v>----</v>
      </c>
      <c r="BG635" s="685" t="e">
        <f ca="1">MATCH(AL641,INDIRECT(AP641),-1)</f>
        <v>#REF!</v>
      </c>
      <c r="BH635" s="686" t="str">
        <f ca="1">IFERROR(VLOOKUP(BG635,INDIRECT(AQ641),2,FALSE),"----")</f>
        <v>----</v>
      </c>
      <c r="BI635" s="685" t="e">
        <f ca="1">MATCH(AL641,INDIRECT(AP642),-1)</f>
        <v>#REF!</v>
      </c>
      <c r="BJ635" s="686" t="str">
        <f ca="1">IFERROR(VLOOKUP(BI635,INDIRECT(AQ642),2,FALSE),"----")</f>
        <v>----</v>
      </c>
      <c r="BK635" s="685" t="e">
        <f ca="1">MATCH(AL641,INDIRECT(AP643),-1)</f>
        <v>#REF!</v>
      </c>
      <c r="BL635" s="686" t="str">
        <f ca="1">IFERROR(VLOOKUP(BK635,INDIRECT(AQ643),2,FALSE),"----")</f>
        <v>----</v>
      </c>
      <c r="BM635" s="685" t="e">
        <f ca="1">MATCH(AL641,INDIRECT(AP644),-1)</f>
        <v>#REF!</v>
      </c>
      <c r="BN635" s="686" t="str">
        <f ca="1">IFERROR(VLOOKUP(BM635,INDIRECT(AQ644),2,FALSE),"----")</f>
        <v>----</v>
      </c>
      <c r="BO635" s="685" t="e">
        <f ca="1">MATCH(AL641,INDIRECT(AP645),-1)</f>
        <v>#REF!</v>
      </c>
      <c r="BP635" s="686" t="str">
        <f ca="1">IFERROR(VLOOKUP(BO635,INDIRECT(AQ645),2,FALSE),"----")</f>
        <v>----</v>
      </c>
      <c r="BQ635" s="685" t="e">
        <f ca="1">MATCH(AL641,INDIRECT(AP646),-1)</f>
        <v>#REF!</v>
      </c>
      <c r="BR635" s="686" t="str">
        <f ca="1">IFERROR(VLOOKUP(BQ635,INDIRECT(AQ646),2,FALSE),"----")</f>
        <v>----</v>
      </c>
      <c r="BS635" s="687">
        <f>IF(AI635="",1,IF(COUNTIF(AV635:AV646,AI635)=0,2,1))</f>
        <v>1</v>
      </c>
      <c r="BT635" s="688">
        <f>IF(AP635="1",1,IF(AF635="",1,IF(AV635=".",2,1)))</f>
        <v>1</v>
      </c>
      <c r="BU635" s="706"/>
      <c r="BV635" s="155">
        <f ca="1">IF(COUNTIF(CE635:CE646,AF635)=0,IF(AF635&lt;&gt;"",0,1),1)</f>
        <v>1</v>
      </c>
      <c r="BW635" s="157">
        <f ca="1">IFERROR(MATCH(AF635,CE635:CE646,0),1)</f>
        <v>1</v>
      </c>
      <c r="BX635" s="769" t="str">
        <f>IFERROR(IF(LEFT(J639,2)="As",VLOOKUP(J639,EIMM,2,FALSE),IF(AND(ISNUMBER(SEARCH("Impervia",J635)),ISNUMBER(SEARCH("door",J639))),VLOOKUP("Impervia Door",EIMM,2,FALSE),IF(AND(ISNUMBER(SEARCH("250",J635)),ISNUMBER(SEARCH("door",J639))),VLOOKUP("250 Series Door",EIMM,2,FALSE),VLOOKUP(J635,EIMM,2,FALSE)))),"")</f>
        <v/>
      </c>
      <c r="BY635" s="769" t="str">
        <f ca="1">IFERROR(VLOOKUP(BX635,OFFSET(EIMM,0,1),2,FALSE),"")</f>
        <v/>
      </c>
      <c r="BZ635" s="1110" t="e">
        <f ca="1">IF((COUNTIF(INDIRECT(SUBSTITUTE(J635," ","_")),J639))=0,IF(J639="",1,0),1)</f>
        <v>#REF!</v>
      </c>
      <c r="CA635" s="691" t="e">
        <f ca="1">MATCH(AC635,INDIRECT(BX635),-1)</f>
        <v>#REF!</v>
      </c>
      <c r="CB635" s="4" t="e" cm="1">
        <f t="array" aca="1" ref="CB635" ca="1">IF(AND(INDEX(INDIRECT(BY635),CA635,4)&gt;=$AB635,INDEX(INDIRECT(BY635),CA635,5)&gt;=$S635,INDEX(INDIRECT(BY635),CA635,6)&gt;=$R635),1,0)</f>
        <v>#REF!</v>
      </c>
      <c r="CC635" s="4" t="e">
        <f t="shared" ref="CC635" ca="1" si="11750">MATCH(1,OFFSET(CB635:CB646,$W$2,0,COUNT(CB635:CB646)-$W$2),0)</f>
        <v>#REF!</v>
      </c>
      <c r="CD635" s="4" t="e">
        <f t="shared" ref="CD635" ca="1" si="11751">$W$2+CC635</f>
        <v>#REF!</v>
      </c>
      <c r="CE635" s="692" t="str" cm="1">
        <f t="array" aca="1" ref="CE635" ca="1">IFERROR(VLOOKUP(INDEX(CA635:CA646,CD635),INDIRECT(BY635),2,FALSE),"----")</f>
        <v>----</v>
      </c>
      <c r="CF635" s="691" t="e">
        <f ca="1">MATCH($AC635,SSEI,-1)</f>
        <v>#N/A</v>
      </c>
      <c r="CG635" s="4" t="e">
        <f ca="1">IF(AND(INDEX(SSM,CF635,4)&gt;=$AB635,INDEX(SSM,CF635,5)&gt;=$S635,INDEX(SSM,CF635,6)&gt;=$R635),1,0)</f>
        <v>#N/A</v>
      </c>
      <c r="CH635" s="4" t="e">
        <f t="shared" ref="CH635" ca="1" si="11752">MATCH(1,OFFSET(CG635:CG646,$W$2,0,COUNT(CG635:CG646)-$W$2),0)</f>
        <v>#REF!</v>
      </c>
      <c r="CI635" s="4" t="e">
        <f t="shared" ref="CI635" ca="1" si="11753">$W$2+CH635</f>
        <v>#REF!</v>
      </c>
      <c r="CJ635" s="692" t="str">
        <f ca="1">IFERROR(IF(AD636="Nested Steel Stud (wood infill)",VLOOKUP(INDEX(CF635:CF646,CI635),SSW,2,FALSE),VLOOKUP(INDEX(CF635:CF646,CI635),SSM,2,FALSE)),"----")</f>
        <v>----</v>
      </c>
      <c r="CK635" s="691" t="e">
        <f ca="1">MATCH($AC635,WSEI,-1)</f>
        <v>#N/A</v>
      </c>
      <c r="CL635" s="4" t="e">
        <f ca="1">IF(AND(INDEX(WSM,CK635,4)&gt;=$AB635,INDEX(WSM,CK635,5)&gt;=$S635,INDEX(WSM,CK635,6)&gt;=$R635),1,0)</f>
        <v>#N/A</v>
      </c>
      <c r="CM635" s="4" t="e">
        <f t="shared" ref="CM635" ca="1" si="11754">MATCH(1,OFFSET(CL635:CL646,$W$2,0,COUNT(CL635:CL646)-$W$2),0)</f>
        <v>#REF!</v>
      </c>
      <c r="CN635" s="4" t="e">
        <f t="shared" ref="CN635" ca="1" si="11755">$W$2+CM635</f>
        <v>#REF!</v>
      </c>
      <c r="CO635" s="692" t="str">
        <f ca="1">IFERROR(VLOOKUP(INDEX(CK635:CK646,CN635),WSM,2,FALSE),"----")</f>
        <v>----</v>
      </c>
      <c r="CP635" s="691" t="e">
        <f ca="1">MATCH($AC635,STEI,-1)</f>
        <v>#N/A</v>
      </c>
      <c r="CQ635" s="4" t="e">
        <f ca="1">IF(AND(INDEX(STM,CP635,4)&gt;=$AB635,INDEX(STM,CP635,5)&gt;=$S635,INDEX(STM,CP635,6)&gt;=$R635),1,0)</f>
        <v>#N/A</v>
      </c>
      <c r="CR635" s="4" t="e">
        <f t="shared" ref="CR635" ca="1" si="11756">MATCH(1,OFFSET(CQ635:CQ646,$W$2,0,COUNT(CQ635:CQ646)-$W$2),0)</f>
        <v>#REF!</v>
      </c>
      <c r="CS635" s="4" t="e">
        <f t="shared" ref="CS635" ca="1" si="11757">$W$2+CR635</f>
        <v>#REF!</v>
      </c>
      <c r="CT635" s="692" t="str">
        <f ca="1">IFERROR(VLOOKUP(INDEX(CP635:CP646,CS635),STM,2,FALSE),"----")</f>
        <v>----</v>
      </c>
      <c r="CU635" s="691" t="e">
        <f ca="1">MATCH($AC635,ELEI,-1)</f>
        <v>#N/A</v>
      </c>
      <c r="CV635" s="4" t="e">
        <f ca="1">IF(AND(INDEX(ELM,CU635,4)&gt;=$AB635,INDEX(ELM,CU635,5)&gt;=$S635,INDEX(ELM,CU635,6)&gt;=$R635),1,0)</f>
        <v>#N/A</v>
      </c>
      <c r="CW635" s="4" t="e">
        <f t="shared" ref="CW635" ca="1" si="11758">MATCH(1,OFFSET(CV635:CV646,$W$2,0,COUNT(CV635:CV646)-$W$2),0)</f>
        <v>#REF!</v>
      </c>
      <c r="CX635" s="4" t="e">
        <f t="shared" ref="CX635" ca="1" si="11759">$W$2+CW635</f>
        <v>#REF!</v>
      </c>
      <c r="CY635" s="692" t="str">
        <f ca="1">IFERROR(VLOOKUP(INDEX(CU635:CU646,CX635),ELM,2,FALSE),"----")</f>
        <v>----</v>
      </c>
      <c r="CZ635" s="691" t="e">
        <f ca="1">IF(LEFT($J635,7)="Clad Wo",MATCH($AC635,SPEIW,-1),MATCH($AC635,SPEI,-1))</f>
        <v>#N/A</v>
      </c>
      <c r="DA635" s="4" t="e">
        <f ca="1">IF(LEFT($J635,7)="Clad Wo",IF(AND(INDEX(SPPWS,CZ635,4)&gt;=$AB635,INDEX(SPPWS,CZ635,5)&gt;=$S635,INDEX(SPPWS,CZ635,6)&gt;=$R635),1,0),IF(AND(INDEX(SPM,CZ635,4)&gt;=$AB635,INDEX(SPM,CZ635,5)&gt;=$S635,INDEX(SPM,CZ635,6)&gt;=$R635),1,0))</f>
        <v>#N/A</v>
      </c>
      <c r="DB635" s="4" t="e">
        <f t="shared" ref="DB635" ca="1" si="11760">MATCH(1,OFFSET(DA635:DA646,$W$2,0,COUNT(DA635:DA646)-$W$2),0)</f>
        <v>#REF!</v>
      </c>
      <c r="DC635" s="4" t="e">
        <f t="shared" ref="DC635" ca="1" si="11761">$W$2+DB635</f>
        <v>#REF!</v>
      </c>
      <c r="DD635" s="693" t="str">
        <f ca="1">IF(LEFT($J635,7)="Clad Wo",IFERROR(VLOOKUP(INDEX(CZ635:CZ646,DC635),SPPWS,2,FALSE),"----"),IFERROR(VLOOKUP(INDEX(CZ635:CZ646,DC635),SPM,2,FALSE),"----"))</f>
        <v>----</v>
      </c>
      <c r="DE635" s="691" t="e">
        <f ca="1">MATCH(AC641,INDIRECT(BX635),-1)</f>
        <v>#REF!</v>
      </c>
      <c r="DF635" s="4" t="e" cm="1">
        <f t="array" aca="1" ref="DF635" ca="1">IF(AND(INDEX(INDIRECT(BY635),DE635,4)&gt;=$AB641,INDEX(INDIRECT(BY635),DE635,5)&gt;=$S635,INDEX(INDIRECT(BY635),DE635,6)&gt;=$R635),1,0)</f>
        <v>#REF!</v>
      </c>
      <c r="DG635" s="4" t="e">
        <f t="shared" ref="DG635" ca="1" si="11762">MATCH(1,OFFSET(DF635:DF646,$W$2,0,COUNT(DF635:DF646)-$W$2),0)</f>
        <v>#REF!</v>
      </c>
      <c r="DH635" s="4" t="e">
        <f t="shared" ref="DH635" ca="1" si="11763">$W$2+DG635</f>
        <v>#REF!</v>
      </c>
      <c r="DI635" s="692" t="str" cm="1">
        <f t="array" aca="1" ref="DI635" ca="1">IFERROR(VLOOKUP(INDEX(DE635:DE646,DH635),INDIRECT(BY635),2,FALSE),"----")</f>
        <v>----</v>
      </c>
      <c r="DJ635" s="691" t="e">
        <f ca="1">MATCH($AC641,SSEI,-1)</f>
        <v>#N/A</v>
      </c>
      <c r="DK635" s="4" t="e">
        <f ca="1">IF(AND(INDEX(SSM,DJ635,4)&gt;=$AB641,INDEX(SSM,DJ635,5)&gt;=$S635,INDEX(SSM,DJ635,6)&gt;=$R635),1,0)</f>
        <v>#N/A</v>
      </c>
      <c r="DL635" s="4" t="e">
        <f t="shared" ref="DL635" ca="1" si="11764">MATCH(1,OFFSET(DK635:DK646,$W$2,0,COUNT(DK635:DK646)-$W$2),0)</f>
        <v>#REF!</v>
      </c>
      <c r="DM635" s="4" t="e">
        <f t="shared" ref="DM635" ca="1" si="11765">$W$2+DL635</f>
        <v>#REF!</v>
      </c>
      <c r="DN635" s="692" t="str">
        <f ca="1">IFERROR(IF(AD642="Nested Steel Stud (wood infill)",VLOOKUP(INDEX(DJ635:DJ646,DM635),SSW,2,FALSE),VLOOKUP(INDEX(DJ635:DJ646,DM635),SSM,2,FALSE)),"----")</f>
        <v>----</v>
      </c>
      <c r="DO635" s="691" t="e">
        <f ca="1">MATCH($AC641,WSEI,-1)</f>
        <v>#N/A</v>
      </c>
      <c r="DP635" s="4" t="e">
        <f ca="1">IF(AND(INDEX(WSM,DO635,4)&gt;=$AB641,INDEX(WSM,DO635,5)&gt;=$S635,INDEX(WSM,DO635,6)&gt;=$R635),1,0)</f>
        <v>#N/A</v>
      </c>
      <c r="DQ635" s="4" t="e">
        <f t="shared" ref="DQ635" ca="1" si="11766">MATCH(1,OFFSET(DP635:DP646,$W$2,0,COUNT(DP635:DP646)-$W$2),0)</f>
        <v>#REF!</v>
      </c>
      <c r="DR635" s="4" t="e">
        <f t="shared" ref="DR635" ca="1" si="11767">$W$2+DQ635</f>
        <v>#REF!</v>
      </c>
      <c r="DS635" s="692" t="str">
        <f ca="1">IFERROR(VLOOKUP(INDEX(DO635:DO646,DR635),WSM,2,FALSE),"----")</f>
        <v>----</v>
      </c>
      <c r="DT635" s="691" t="e">
        <f ca="1">MATCH($AC641,STEI,-1)</f>
        <v>#N/A</v>
      </c>
      <c r="DU635" s="4" t="e">
        <f ca="1">IF(AND(INDEX(STM,DT635,4)&gt;=$AB641,INDEX(STM,DT635,5)&gt;=$S635,INDEX(STM,DT635,6)&gt;=$R635),1,0)</f>
        <v>#N/A</v>
      </c>
      <c r="DV635" s="4" t="e">
        <f t="shared" ref="DV635" ca="1" si="11768">MATCH(1,OFFSET(DU635:DU646,$W$2,0,COUNT(DU635:DU646)-$W$2),0)</f>
        <v>#REF!</v>
      </c>
      <c r="DW635" s="4" t="e">
        <f t="shared" ref="DW635" ca="1" si="11769">$W$2+DV635</f>
        <v>#REF!</v>
      </c>
      <c r="DX635" s="692" t="str">
        <f ca="1">IFERROR(VLOOKUP(INDEX(DT635:DT646,DW635),STM,2,FALSE),"----")</f>
        <v>----</v>
      </c>
      <c r="DY635" s="691" t="e">
        <f ca="1">MATCH($AC641,ELEI,-1)</f>
        <v>#N/A</v>
      </c>
      <c r="DZ635" s="4" t="e">
        <f ca="1">IF(AND(INDEX(ELM,DY635,4)&gt;=$AB641,INDEX(ELM,DY635,5)&gt;=$S635,INDEX(ELM,DY635,6)&gt;=$R635),1,0)</f>
        <v>#N/A</v>
      </c>
      <c r="EA635" s="4" t="e">
        <f t="shared" ref="EA635" ca="1" si="11770">MATCH(1,OFFSET(DZ635:DZ646,$W$2,0,COUNT(DZ635:DZ646)-$W$2),0)</f>
        <v>#REF!</v>
      </c>
      <c r="EB635" s="4" t="e">
        <f t="shared" ref="EB635" ca="1" si="11771">EA635+$W$2</f>
        <v>#REF!</v>
      </c>
      <c r="EC635" s="692" t="str">
        <f ca="1">IFERROR(VLOOKUP(INDEX(DY635:DY646,EB635),ELM,2,FALSE),"----")</f>
        <v>----</v>
      </c>
      <c r="ED635" s="691" t="e">
        <f ca="1">IF(LEFT($J635,7)="Clad Wo",MATCH($AC641,SPEIW,-1),MATCH($AC641,SPEI,-1))</f>
        <v>#N/A</v>
      </c>
      <c r="EE635" s="4" t="e">
        <f ca="1">IF(LEFT($J635,7)="Clad Wo",IF(AND(INDEX(SPPWS,ED635,4)&gt;=$AB641,INDEX(SPPWS,ED635,5)&gt;=$S635,INDEX(SPPWS,ED635,6)&gt;=$R635),1,0),IF(AND(INDEX(SPM,ED635,4)&gt;=$AB641,INDEX(SPM,ED635,5)&gt;=$S635,INDEX(SPM,ED635,6)&gt;=$R635),1,0))</f>
        <v>#N/A</v>
      </c>
      <c r="EF635" s="4" t="e">
        <f t="shared" ref="EF635" ca="1" si="11772">MATCH(1,OFFSET(EE635:EE646,$W$2,0,COUNT(EE635:EE646)-$W$2),0)</f>
        <v>#REF!</v>
      </c>
      <c r="EG635" s="4" t="e">
        <f t="shared" ref="EG635" ca="1" si="11773">$W$2+EF635</f>
        <v>#REF!</v>
      </c>
      <c r="EH635" s="692" t="str">
        <f ca="1">IF(LEFT($J635,7)="Clad Wo",IFERROR(VLOOKUP(INDEX(ED635:ED646,EG635),SPPWS,2,FALSE),"----"),IFERROR(VLOOKUP(INDEX(ED635:ED646,EG635),SPM,2,FALSE),"----"))</f>
        <v>----</v>
      </c>
    </row>
    <row r="636" spans="1:138" ht="15" customHeight="1" x14ac:dyDescent="0.25">
      <c r="A636" s="1085"/>
      <c r="B636" s="925"/>
      <c r="C636" s="926"/>
      <c r="D636" s="927"/>
      <c r="E636" s="995"/>
      <c r="F636" s="996"/>
      <c r="G636" s="997"/>
      <c r="H636" s="1062"/>
      <c r="I636" s="990"/>
      <c r="J636" s="908"/>
      <c r="K636" s="909"/>
      <c r="L636" s="1002"/>
      <c r="M636" s="923"/>
      <c r="N636" s="1042"/>
      <c r="O636" s="1018"/>
      <c r="P636" s="987"/>
      <c r="Q636" s="1015"/>
      <c r="R636" s="1012"/>
      <c r="S636" s="1006"/>
      <c r="T636" s="1007"/>
      <c r="U636" s="878"/>
      <c r="V636" s="881"/>
      <c r="W636" s="884"/>
      <c r="X636" s="884"/>
      <c r="Y636" s="887"/>
      <c r="Z636" s="887"/>
      <c r="AA636" s="887"/>
      <c r="AB636" s="1081"/>
      <c r="AC636" s="1078"/>
      <c r="AD636" s="1102" t="s">
        <v>38</v>
      </c>
      <c r="AE636" s="1103"/>
      <c r="AF636" s="1052"/>
      <c r="AG636" s="1053"/>
      <c r="AH636" s="1053"/>
      <c r="AI636" s="1066"/>
      <c r="AJ636" s="1067"/>
      <c r="AK636" s="156" t="str">
        <f t="shared" ca="1" si="11298"/>
        <v/>
      </c>
      <c r="AL636" s="1039"/>
      <c r="AM636" s="343" t="str">
        <f ca="1">IFERROR(Q635/12*ROUND(VLOOKUP(AF636,OFFSET(SSM,0,1),6,FALSE),2),"")</f>
        <v/>
      </c>
      <c r="AN636" t="str">
        <f t="shared" ca="1" si="11348"/>
        <v/>
      </c>
      <c r="AP636" s="122" t="str">
        <f t="shared" ref="AP636" si="11774">_xlfn.CONCAT(AR636,AS640)</f>
        <v/>
      </c>
      <c r="AQ636" s="683" t="str">
        <f t="shared" si="11512"/>
        <v/>
      </c>
      <c r="AR636" s="96" t="str">
        <f t="shared" si="11273"/>
        <v/>
      </c>
      <c r="AS636" s="96" t="str">
        <f>IF(COUNTIF(Vista_1,AF635)=1,"Vista_1",IF(COUNTIF(Vista_2,AF635)=1,"Vista_2",""))</f>
        <v/>
      </c>
      <c r="AT636" s="684" t="str">
        <f>AL635</f>
        <v/>
      </c>
      <c r="AU636" s="694" t="e">
        <f t="shared" ref="AU636" ca="1" si="11775">AU635-1</f>
        <v>#REF!</v>
      </c>
      <c r="AV636" s="686" t="str">
        <f ca="1">IFERROR(VLOOKUP(AU636,INDIRECT(AQ635),2,FALSE),"----")</f>
        <v>----</v>
      </c>
      <c r="AW636" s="694" t="e">
        <f t="shared" ref="AW636:AW637" ca="1" si="11776">AW635-1</f>
        <v>#REF!</v>
      </c>
      <c r="AX636" s="686" t="str">
        <f ca="1">IFERROR(VLOOKUP(AW636,INDIRECT(AQ636),2,FALSE),"----")</f>
        <v>----</v>
      </c>
      <c r="AY636" s="694" t="e">
        <f t="shared" ref="AY636:AY637" ca="1" si="11777">AY635-1</f>
        <v>#REF!</v>
      </c>
      <c r="AZ636" s="686" t="str">
        <f ca="1">IFERROR(VLOOKUP(AY636,INDIRECT(AQ637),2,FALSE),"----")</f>
        <v>----</v>
      </c>
      <c r="BA636" s="694" t="e">
        <f t="shared" ref="BA636:BA637" ca="1" si="11778">BA635-1</f>
        <v>#REF!</v>
      </c>
      <c r="BB636" s="686" t="str">
        <f ca="1">IFERROR(VLOOKUP(BA636,INDIRECT(AQ638),2,FALSE),"----")</f>
        <v>----</v>
      </c>
      <c r="BC636" s="694" t="e">
        <f t="shared" ref="BC636:BC637" ca="1" si="11779">BC635-1</f>
        <v>#REF!</v>
      </c>
      <c r="BD636" s="686" t="str">
        <f ca="1">IFERROR(VLOOKUP(BC636,INDIRECT(AQ639),2,FALSE),"----")</f>
        <v>----</v>
      </c>
      <c r="BE636" s="694" t="e">
        <f t="shared" ref="BE636" ca="1" si="11780">BE635-1</f>
        <v>#REF!</v>
      </c>
      <c r="BF636" s="686" t="str">
        <f ca="1">IFERROR(VLOOKUP(BE636,INDIRECT(AQ640),2,FALSE),"----")</f>
        <v>----</v>
      </c>
      <c r="BG636" s="694" t="e">
        <f t="shared" ref="BG636" ca="1" si="11781">BG635-1</f>
        <v>#REF!</v>
      </c>
      <c r="BH636" s="686" t="str">
        <f ca="1">IFERROR(VLOOKUP(BG636,INDIRECT(AQ641),2,FALSE),"----")</f>
        <v>----</v>
      </c>
      <c r="BI636" s="694" t="e">
        <f t="shared" ref="BI636:BI637" ca="1" si="11782">BI635-1</f>
        <v>#REF!</v>
      </c>
      <c r="BJ636" s="686" t="str">
        <f ca="1">IFERROR(VLOOKUP(BI636,INDIRECT(AQ642),2,FALSE),"----")</f>
        <v>----</v>
      </c>
      <c r="BK636" s="694" t="e">
        <f t="shared" ref="BK636:BK637" ca="1" si="11783">BK635-1</f>
        <v>#REF!</v>
      </c>
      <c r="BL636" s="686" t="str">
        <f ca="1">IFERROR(VLOOKUP(BK636,INDIRECT(AQ643),2,FALSE),"----")</f>
        <v>----</v>
      </c>
      <c r="BM636" s="694" t="e">
        <f t="shared" ref="BM636:BM637" ca="1" si="11784">BM635-1</f>
        <v>#REF!</v>
      </c>
      <c r="BN636" s="686" t="str">
        <f ca="1">IFERROR(VLOOKUP(BM636,INDIRECT(AQ644),2,FALSE),"----")</f>
        <v>----</v>
      </c>
      <c r="BO636" s="694" t="e">
        <f t="shared" ref="BO636:BO637" ca="1" si="11785">BO635-1</f>
        <v>#REF!</v>
      </c>
      <c r="BP636" s="686" t="str">
        <f ca="1">IFERROR(VLOOKUP(BO636,INDIRECT(AQ645),2,FALSE),"----")</f>
        <v>----</v>
      </c>
      <c r="BQ636" s="694" t="e">
        <f t="shared" ref="BQ636" ca="1" si="11786">BQ635-1</f>
        <v>#REF!</v>
      </c>
      <c r="BR636" s="686" t="str">
        <f ca="1">IFERROR(VLOOKUP(BQ636,INDIRECT(AQ646),2,FALSE),"----")</f>
        <v>----</v>
      </c>
      <c r="BS636" s="695">
        <f>IF(AI636="",1,IF(COUNTIF(AX635:AX646,AI636)=0,2,1))</f>
        <v>1</v>
      </c>
      <c r="BT636" s="696">
        <f>IF(AF636="",1,IF(AX635=".",2,1))</f>
        <v>1</v>
      </c>
      <c r="BU636" s="706"/>
      <c r="BV636" s="155">
        <f ca="1">IF(COUNTIF(CJ635:CJ646,AF636)=0,IF(AF636&lt;&gt;"",0,1),1)</f>
        <v>1</v>
      </c>
      <c r="BW636" s="157">
        <f ca="1">IFERROR(MATCH(AF636,CJ635:CJ646,0),1)</f>
        <v>1</v>
      </c>
      <c r="BX636" s="769"/>
      <c r="BY636" s="769"/>
      <c r="BZ636" s="1110"/>
      <c r="CA636" s="691" t="e">
        <f t="shared" ref="CA636:CA646" ca="1" si="11787">CA635-1</f>
        <v>#REF!</v>
      </c>
      <c r="CB636" s="4" t="e" cm="1">
        <f t="array" aca="1" ref="CB636" ca="1">IF(AND(INDEX(INDIRECT(BY635),CA636,4)&gt;=$AB635,INDEX(INDIRECT(BY635),CA636,5)&gt;=$S635,INDEX(INDIRECT(BY635),CA636,6)&gt;=$R635),1,0)</f>
        <v>#REF!</v>
      </c>
      <c r="CC636" s="4" t="e">
        <f t="shared" ref="CC636" ca="1" si="11788">MATCH(1,OFFSET(CB635:CB646,CD635,0,COUNT(CB635:CB646)-CD635),0)</f>
        <v>#REF!</v>
      </c>
      <c r="CD636" s="4" t="e">
        <f t="shared" ref="CD636:CD646" ca="1" si="11789">CD635+CC636</f>
        <v>#REF!</v>
      </c>
      <c r="CE636" s="692" t="str" cm="1">
        <f t="array" aca="1" ref="CE636" ca="1">IFERROR(VLOOKUP(INDEX(CA635:CA646,CD636),INDIRECT(BY635),2,FALSE),"----")</f>
        <v>----</v>
      </c>
      <c r="CF636" s="691" t="e">
        <f t="shared" ref="CF636:CF646" ca="1" si="11790">CF635-1</f>
        <v>#N/A</v>
      </c>
      <c r="CG636" s="4" t="e">
        <f ca="1">IF(AND(INDEX(SSM,CF636,4)&gt;=$AB635,INDEX(SSM,CF636,5)&gt;=$S635,INDEX(SSM,CF636,6)&gt;=$R635),1,0)</f>
        <v>#N/A</v>
      </c>
      <c r="CH636" s="4" t="e">
        <f t="shared" ref="CH636" ca="1" si="11791">MATCH(1,OFFSET(CG635:CG646,CI635,0,COUNT(CG635:CG646)-CI635),0)</f>
        <v>#REF!</v>
      </c>
      <c r="CI636" s="4" t="e">
        <f t="shared" ref="CI636:CI646" ca="1" si="11792">CI635+CH636</f>
        <v>#REF!</v>
      </c>
      <c r="CJ636" s="692" t="str">
        <f ca="1">IFERROR(IF(AD636="Nested Steel Stud (wood infill)",VLOOKUP(INDEX(CF635:CF646,CI636),SSW,2,FALSE),VLOOKUP(INDEX(CF635:CF646,CI636),SSM,2,FALSE)),"----")</f>
        <v>----</v>
      </c>
      <c r="CK636" s="691" t="e">
        <f t="shared" ref="CK636:CK646" ca="1" si="11793">CK635-1</f>
        <v>#N/A</v>
      </c>
      <c r="CL636" s="4" t="e">
        <f ca="1">IF(AND(INDEX(WSM,CK636,4)&gt;=$AB635,INDEX(WSM,CK636,5)&gt;=$S635,INDEX(WSM,CK636,6)&gt;=$R635),1,0)</f>
        <v>#N/A</v>
      </c>
      <c r="CM636" s="4" t="e">
        <f t="shared" ref="CM636" ca="1" si="11794">MATCH(1,OFFSET(CL635:CL646,CN635,0,COUNT(CL635:CL646)-CN635),0)</f>
        <v>#REF!</v>
      </c>
      <c r="CN636" s="4" t="e">
        <f t="shared" ref="CN636:CN646" ca="1" si="11795">CM636+CN635</f>
        <v>#REF!</v>
      </c>
      <c r="CO636" s="692" t="str">
        <f ca="1">IFERROR(VLOOKUP(INDEX(CK635:CK646,CN636),WSM,2,FALSE),"----")</f>
        <v>----</v>
      </c>
      <c r="CP636" s="691" t="e">
        <f t="shared" ref="CP636:CP646" ca="1" si="11796">CP635-1</f>
        <v>#N/A</v>
      </c>
      <c r="CQ636" s="4" t="e">
        <f ca="1">IF(AND(INDEX(STM,CP636,4)&gt;=$AB635,INDEX(STM,CP636,5)&gt;=$S635,INDEX(STM,CP636,6)&gt;=$R635),1,0)</f>
        <v>#N/A</v>
      </c>
      <c r="CR636" s="4" t="e">
        <f t="shared" ref="CR636" ca="1" si="11797">MATCH(1,OFFSET(CQ635:CQ646,CS635,0,COUNT(CQ635:CQ646)-CS635),0)</f>
        <v>#REF!</v>
      </c>
      <c r="CS636" s="4" t="e">
        <f t="shared" ref="CS636:CS646" ca="1" si="11798">CR636+CS635</f>
        <v>#REF!</v>
      </c>
      <c r="CT636" s="692" t="str">
        <f ca="1">IFERROR(VLOOKUP(INDEX(CP635:CP646,CS636),STM,2,FALSE),"----")</f>
        <v>----</v>
      </c>
      <c r="CU636" s="691" t="e">
        <f t="shared" ref="CU636:CU646" ca="1" si="11799">CU635-1</f>
        <v>#N/A</v>
      </c>
      <c r="CV636" s="4" t="e">
        <f ca="1">IF(AND(INDEX(ELM,CU636,4)&gt;=$AB635,INDEX(ELM,CU636,5)&gt;=$S635,INDEX(ELM,CU636,6)&gt;=$R635),1,0)</f>
        <v>#N/A</v>
      </c>
      <c r="CW636" s="4" t="e">
        <f t="shared" ref="CW636" ca="1" si="11800">MATCH(1,OFFSET(CV635:CV646,CX635,0,COUNT(CV635:CV646)-CX635),0)</f>
        <v>#REF!</v>
      </c>
      <c r="CX636" s="4" t="e">
        <f t="shared" ref="CX636:CX646" ca="1" si="11801">CW636+CX635</f>
        <v>#REF!</v>
      </c>
      <c r="CY636" s="692" t="str">
        <f ca="1">IFERROR(VLOOKUP(INDEX(CU635:CU646,CX636),ELM,2,FALSE),"----")</f>
        <v>----</v>
      </c>
      <c r="CZ636" s="691" t="e">
        <f t="shared" ref="CZ636:CZ646" ca="1" si="11802">CZ635-1</f>
        <v>#N/A</v>
      </c>
      <c r="DA636" s="4" t="e">
        <f ca="1">IF(LEFT($J635,7)="Clad Wo",IF(AND(INDEX(SPPWS,CZ636,4)&gt;=$AB635,INDEX(SPPWS,CZ636,5)&gt;=$S635,INDEX(SPPWS,CZ636,6)&gt;=$R635),1,0),IF(AND(INDEX(SPM,CZ636,4)&gt;=$AB635,INDEX(SPM,CZ636,5)&gt;=$S635,INDEX(SPM,CZ636,6)&gt;=$R635),1,0))</f>
        <v>#N/A</v>
      </c>
      <c r="DB636" s="4" t="e">
        <f t="shared" ref="DB636" ca="1" si="11803">MATCH(1,OFFSET(DA635:DA646,DC635,0,COUNT(DA635:DA646)-DC635),0)</f>
        <v>#REF!</v>
      </c>
      <c r="DC636" s="4" t="e">
        <f t="shared" ref="DC636:DC646" ca="1" si="11804">DC635+DB636</f>
        <v>#REF!</v>
      </c>
      <c r="DD636" s="693" t="str">
        <f ca="1">IF(LEFT($J635,7)="Clad Wo",IFERROR(VLOOKUP(INDEX(CZ635:CZ646,DC636),SPPWS,2,FALSE),"----"),IFERROR(VLOOKUP(INDEX(CZ635:CZ646,DC636),SPM,2,FALSE),"----"))</f>
        <v>----</v>
      </c>
      <c r="DE636" s="691" t="e">
        <f t="shared" ref="DE636:DE646" ca="1" si="11805">DE635-1</f>
        <v>#REF!</v>
      </c>
      <c r="DF636" s="4" t="e" cm="1">
        <f t="array" aca="1" ref="DF636" ca="1">IF(AND(INDEX(INDIRECT(BY635),DE636,4)&gt;=$AB641,INDEX(INDIRECT(BY635),DE636,5)&gt;=$S635,INDEX(INDIRECT(BY635),DE636,6)&gt;=$R635),1,0)</f>
        <v>#REF!</v>
      </c>
      <c r="DG636" s="4" t="e">
        <f t="shared" ref="DG636" ca="1" si="11806">MATCH(1,OFFSET(DF635:DF646,DH635,0,COUNT(DF635:DF646)-DH635),0)</f>
        <v>#REF!</v>
      </c>
      <c r="DH636" s="4" t="e">
        <f t="shared" ref="DH636:DH646" ca="1" si="11807">DH635+DG636</f>
        <v>#REF!</v>
      </c>
      <c r="DI636" s="692" t="str" cm="1">
        <f t="array" aca="1" ref="DI636" ca="1">IFERROR(VLOOKUP(INDEX(DE635:DE646,DH636),INDIRECT(BY635),2,FALSE),"----")</f>
        <v>----</v>
      </c>
      <c r="DJ636" s="691" t="e">
        <f t="shared" ref="DJ636:DJ646" ca="1" si="11808">DJ635-1</f>
        <v>#N/A</v>
      </c>
      <c r="DK636" s="4" t="e">
        <f ca="1">IF(AND(INDEX(SSM,DJ636,4)&gt;=$AB641,INDEX(SSM,DJ636,5)&gt;=$S635,INDEX(SSM,DJ636,6)&gt;=$R635),1,0)</f>
        <v>#N/A</v>
      </c>
      <c r="DL636" s="4" t="e">
        <f t="shared" ref="DL636" ca="1" si="11809">MATCH(1,OFFSET(DK635:DK646,DM635,0,COUNT(DK635:DK646)-DM635),0)</f>
        <v>#REF!</v>
      </c>
      <c r="DM636" s="4" t="e">
        <f t="shared" ref="DM636:DM646" ca="1" si="11810">DL636+DM635</f>
        <v>#REF!</v>
      </c>
      <c r="DN636" s="692" t="str">
        <f ca="1">IFERROR(IF(AD642="Nested Steel Stud (wood infill)",VLOOKUP(INDEX(DJ635:DJ646,DM636),SSW,2,FALSE),VLOOKUP(INDEX(DJ635:DJ646,DM636),SSM,2,FALSE)),"----")</f>
        <v>----</v>
      </c>
      <c r="DO636" s="691" t="e">
        <f t="shared" ref="DO636:DO646" ca="1" si="11811">DO635-1</f>
        <v>#N/A</v>
      </c>
      <c r="DP636" s="4" t="e">
        <f ca="1">IF(AND(INDEX(WSM,DO636,4)&gt;=$AB641,INDEX(WSM,DO636,5)&gt;=$S635,INDEX(WSM,DO636,6)&gt;=$R635),1,0)</f>
        <v>#N/A</v>
      </c>
      <c r="DQ636" s="4" t="e">
        <f t="shared" ref="DQ636" ca="1" si="11812">MATCH(1,OFFSET(DP635:DP646,DR635,0,COUNT(DP635:DP646)-DR635),0)</f>
        <v>#REF!</v>
      </c>
      <c r="DR636" s="4" t="e">
        <f t="shared" ref="DR636:DR646" ca="1" si="11813">DQ636+DR635</f>
        <v>#REF!</v>
      </c>
      <c r="DS636" s="692" t="str">
        <f ca="1">IFERROR(VLOOKUP(INDEX(DO635:DO646,DR636),WSM,2,FALSE),"----")</f>
        <v>----</v>
      </c>
      <c r="DT636" s="691" t="e">
        <f t="shared" ref="DT636:DT646" ca="1" si="11814">DT635-1</f>
        <v>#N/A</v>
      </c>
      <c r="DU636" s="4" t="e">
        <f ca="1">IF(AND(INDEX(STM,DT636,4)&gt;=$AB641,INDEX(STM,DT636,5)&gt;=$S635,INDEX(STM,DT636,6)&gt;=$R635),1,0)</f>
        <v>#N/A</v>
      </c>
      <c r="DV636" s="4" t="e">
        <f t="shared" ref="DV636" ca="1" si="11815">MATCH(1,OFFSET(DU635:DU646,DW635,0,COUNT(DU635:DU646)-DW635),0)</f>
        <v>#REF!</v>
      </c>
      <c r="DW636" s="4" t="e">
        <f t="shared" ref="DW636:DW646" ca="1" si="11816">DV636+DW635</f>
        <v>#REF!</v>
      </c>
      <c r="DX636" s="692" t="str">
        <f ca="1">IFERROR(VLOOKUP(INDEX(DT635:DT646,DW636),STM,2,FALSE),"----")</f>
        <v>----</v>
      </c>
      <c r="DY636" s="691" t="e">
        <f t="shared" ref="DY636:DY646" ca="1" si="11817">DY635-1</f>
        <v>#N/A</v>
      </c>
      <c r="DZ636" s="4" t="e">
        <f ca="1">IF(AND(INDEX(ELM,DY636,4)&gt;=$AB641,INDEX(ELM,DY636,5)&gt;=$S635,INDEX(ELM,DY636,6)&gt;=$R635),1,0)</f>
        <v>#N/A</v>
      </c>
      <c r="EA636" s="4" t="e">
        <f t="shared" ref="EA636" ca="1" si="11818">MATCH(1,OFFSET(DZ635:DZ646,EB635,0,COUNT(DZ635:DZ646)-EB635),0)</f>
        <v>#REF!</v>
      </c>
      <c r="EB636" s="4" t="e">
        <f t="shared" ref="EB636:EB646" ca="1" si="11819">EA636+EB635</f>
        <v>#REF!</v>
      </c>
      <c r="EC636" s="692" t="str">
        <f ca="1">IFERROR(VLOOKUP(INDEX(DY635:DY646,EB636),ELM,2,FALSE),"----")</f>
        <v>----</v>
      </c>
      <c r="ED636" s="691" t="e">
        <f t="shared" ref="ED636:ED646" ca="1" si="11820">ED635-1</f>
        <v>#N/A</v>
      </c>
      <c r="EE636" s="4" t="e">
        <f ca="1">IF(LEFT($J635,7)="Clad Wo",IF(AND(INDEX(SPPWS,ED636,4)&gt;=$AB641,INDEX(SPPWS,ED636,5)&gt;=$S635,INDEX(SPPWS,ED636,6)&gt;=$R635),1,0),IF(AND(INDEX(SPM,ED636,4)&gt;=$AB641,INDEX(SPM,ED636,5)&gt;=$S635,INDEX(SPM,ED636,6)&gt;=$R635),1,0))</f>
        <v>#N/A</v>
      </c>
      <c r="EF636" s="4" t="e">
        <f t="shared" ref="EF636" ca="1" si="11821">MATCH(1,OFFSET(EE635:EE646,EG635,0,COUNT(EE635:EE646)-EG635),0)</f>
        <v>#REF!</v>
      </c>
      <c r="EG636" s="4" t="e">
        <f t="shared" ref="EG636:EG646" ca="1" si="11822">EG635+EF636</f>
        <v>#REF!</v>
      </c>
      <c r="EH636" s="692" t="str">
        <f ca="1">IF(LEFT($J635,7)="Clad Wo",IFERROR(VLOOKUP(INDEX(ED635:ED646,EG636),SPPWS,2,FALSE),"----"),IFERROR(VLOOKUP(INDEX(ED635:ED646,EG636),SPM,2,FALSE),"----"))</f>
        <v>----</v>
      </c>
    </row>
    <row r="637" spans="1:138" ht="15" customHeight="1" x14ac:dyDescent="0.25">
      <c r="A637" s="1085"/>
      <c r="B637" s="925"/>
      <c r="C637" s="926"/>
      <c r="D637" s="927"/>
      <c r="E637" s="995"/>
      <c r="F637" s="996"/>
      <c r="G637" s="997"/>
      <c r="H637" s="1062"/>
      <c r="I637" s="990"/>
      <c r="J637" s="908"/>
      <c r="K637" s="909"/>
      <c r="L637" s="1002"/>
      <c r="M637" s="923"/>
      <c r="N637" s="1042"/>
      <c r="O637" s="1018"/>
      <c r="P637" s="987"/>
      <c r="Q637" s="1015"/>
      <c r="R637" s="1012"/>
      <c r="S637" s="1006"/>
      <c r="T637" s="1007"/>
      <c r="U637" s="878"/>
      <c r="V637" s="881"/>
      <c r="W637" s="884"/>
      <c r="X637" s="884"/>
      <c r="Y637" s="887"/>
      <c r="Z637" s="887"/>
      <c r="AA637" s="887"/>
      <c r="AB637" s="1081"/>
      <c r="AC637" s="1078"/>
      <c r="AD637" s="1070" t="s">
        <v>333</v>
      </c>
      <c r="AE637" s="1071"/>
      <c r="AF637" s="1052"/>
      <c r="AG637" s="1053"/>
      <c r="AH637" s="1053"/>
      <c r="AI637" s="1066"/>
      <c r="AJ637" s="1067"/>
      <c r="AK637" s="154" t="str">
        <f t="shared" ca="1" si="11298"/>
        <v/>
      </c>
      <c r="AL637" s="1039"/>
      <c r="AM637" s="344" t="str">
        <f ca="1">IFERROR(Q635/12*ROUND(VLOOKUP(AF637,OFFSET(WSM,0,1),6,FALSE),2),"")</f>
        <v/>
      </c>
      <c r="AN637" t="str">
        <f t="shared" ca="1" si="11348"/>
        <v/>
      </c>
      <c r="AP637" s="122" t="str">
        <f t="shared" ref="AP637" si="11823">_xlfn.CONCAT(AR637,AS640)</f>
        <v/>
      </c>
      <c r="AQ637" s="683" t="str">
        <f t="shared" si="11512"/>
        <v/>
      </c>
      <c r="AR637" s="4" t="str">
        <f t="shared" si="11273"/>
        <v/>
      </c>
      <c r="AS637" s="4"/>
      <c r="AT637" s="697" t="str">
        <f>AL635</f>
        <v/>
      </c>
      <c r="AU637" s="694" t="e">
        <f t="shared" ca="1" si="11538"/>
        <v>#REF!</v>
      </c>
      <c r="AV637" s="686" t="str">
        <f ca="1">IFERROR(VLOOKUP(AU637,INDIRECT(AQ635),2,FALSE),"----")</f>
        <v>----</v>
      </c>
      <c r="AW637" s="694" t="e">
        <f t="shared" ca="1" si="11776"/>
        <v>#REF!</v>
      </c>
      <c r="AX637" s="686" t="str">
        <f ca="1">IFERROR(VLOOKUP(AW637,INDIRECT(AQ636),2,FALSE),"----")</f>
        <v>----</v>
      </c>
      <c r="AY637" s="694" t="e">
        <f t="shared" ca="1" si="11777"/>
        <v>#REF!</v>
      </c>
      <c r="AZ637" s="686" t="str">
        <f ca="1">IFERROR(VLOOKUP(AY637,INDIRECT(AQ637),2,FALSE),"----")</f>
        <v>----</v>
      </c>
      <c r="BA637" s="694" t="e">
        <f t="shared" ca="1" si="11778"/>
        <v>#REF!</v>
      </c>
      <c r="BB637" s="686" t="str">
        <f ca="1">IFERROR(VLOOKUP(BA637,INDIRECT(AQ638),2,FALSE),"----")</f>
        <v>----</v>
      </c>
      <c r="BC637" s="694" t="e">
        <f t="shared" ca="1" si="11779"/>
        <v>#REF!</v>
      </c>
      <c r="BD637" s="686" t="str">
        <f ca="1">IFERROR(VLOOKUP(BC637,INDIRECT(AQ639),2,FALSE),"----")</f>
        <v>----</v>
      </c>
      <c r="BE637" s="694" t="e">
        <f t="shared" ca="1" si="11543"/>
        <v>#REF!</v>
      </c>
      <c r="BF637" s="686" t="str">
        <f ca="1">IFERROR(VLOOKUP(BE637,INDIRECT(AQ640),2,FALSE),"----")</f>
        <v>----</v>
      </c>
      <c r="BG637" s="694" t="e">
        <f t="shared" ca="1" si="11544"/>
        <v>#REF!</v>
      </c>
      <c r="BH637" s="686" t="str">
        <f ca="1">IFERROR(VLOOKUP(BG637,INDIRECT(AQ641),2,FALSE),"----")</f>
        <v>----</v>
      </c>
      <c r="BI637" s="694" t="e">
        <f t="shared" ca="1" si="11782"/>
        <v>#REF!</v>
      </c>
      <c r="BJ637" s="686" t="str">
        <f ca="1">IFERROR(VLOOKUP(BI637,INDIRECT(AQ642),2,FALSE),"----")</f>
        <v>----</v>
      </c>
      <c r="BK637" s="694" t="e">
        <f t="shared" ca="1" si="11783"/>
        <v>#REF!</v>
      </c>
      <c r="BL637" s="686" t="str">
        <f ca="1">IFERROR(VLOOKUP(BK637,INDIRECT(AQ643),2,FALSE),"----")</f>
        <v>----</v>
      </c>
      <c r="BM637" s="694" t="e">
        <f t="shared" ca="1" si="11784"/>
        <v>#REF!</v>
      </c>
      <c r="BN637" s="686" t="str">
        <f ca="1">IFERROR(VLOOKUP(BM637,INDIRECT(AQ644),2,FALSE),"----")</f>
        <v>----</v>
      </c>
      <c r="BO637" s="694" t="e">
        <f t="shared" ca="1" si="11785"/>
        <v>#REF!</v>
      </c>
      <c r="BP637" s="686" t="str">
        <f ca="1">IFERROR(VLOOKUP(BO637,INDIRECT(AQ645),2,FALSE),"----")</f>
        <v>----</v>
      </c>
      <c r="BQ637" s="694" t="e">
        <f t="shared" ca="1" si="11549"/>
        <v>#REF!</v>
      </c>
      <c r="BR637" s="686" t="str">
        <f ca="1">IFERROR(VLOOKUP(BQ637,INDIRECT(AQ646),2,FALSE),"----")</f>
        <v>----</v>
      </c>
      <c r="BS637" s="695">
        <f>IF(AI637="",1,IF(COUNTIF(AZ635:AZ646,AI637)=0,2,1))</f>
        <v>1</v>
      </c>
      <c r="BT637" s="696">
        <f>IF(AF637="",1,IF(AZ635=".",2,1))</f>
        <v>1</v>
      </c>
      <c r="BU637" s="706"/>
      <c r="BV637" s="155">
        <f ca="1">IF(COUNTIF(CO635:CO646,AF637)=0,IF(AF637&lt;&gt;"",0,1),1)</f>
        <v>1</v>
      </c>
      <c r="BW637" s="157">
        <f ca="1">IFERROR(MATCH(AF637,CO635:CO646,0),1)</f>
        <v>1</v>
      </c>
      <c r="BX637" s="769"/>
      <c r="BY637" s="769"/>
      <c r="BZ637" s="1110"/>
      <c r="CA637" s="691" t="e">
        <f t="shared" ca="1" si="11787"/>
        <v>#REF!</v>
      </c>
      <c r="CB637" s="4" t="e" cm="1">
        <f t="array" aca="1" ref="CB637" ca="1">IF(AND(INDEX(INDIRECT(BY635),CA637,4)&gt;=$AB635,INDEX(INDIRECT(BY635),CA637,5)&gt;=$S635,INDEX(INDIRECT(BY635),CA637,6)&gt;=$R635),1,0)</f>
        <v>#REF!</v>
      </c>
      <c r="CC637" s="4" t="e">
        <f t="shared" ref="CC637" ca="1" si="11824">MATCH(1,OFFSET(CB635:CB646,CD636,0,COUNT(CB635:CB646)-CD636),0)</f>
        <v>#REF!</v>
      </c>
      <c r="CD637" s="4" t="e">
        <f t="shared" ca="1" si="11789"/>
        <v>#REF!</v>
      </c>
      <c r="CE637" s="692" t="str" cm="1">
        <f t="array" aca="1" ref="CE637" ca="1">IFERROR(VLOOKUP(INDEX(CA635:CA646,CD637),INDIRECT(BY635),2,FALSE),"----")</f>
        <v>----</v>
      </c>
      <c r="CF637" s="691" t="e">
        <f t="shared" ca="1" si="11790"/>
        <v>#N/A</v>
      </c>
      <c r="CG637" s="4" t="e">
        <f ca="1">IF(AND(INDEX(SSM,CF637,4)&gt;=$AB635,INDEX(SSM,CF637,5)&gt;=$S635,INDEX(SSM,CF637,6)&gt;=$R635),1,0)</f>
        <v>#N/A</v>
      </c>
      <c r="CH637" s="4" t="e">
        <f t="shared" ref="CH637" ca="1" si="11825">MATCH(1,OFFSET(CG635:CG646,CI636,0,COUNT(CG635:CG646)-CI636),0)</f>
        <v>#REF!</v>
      </c>
      <c r="CI637" s="4" t="e">
        <f t="shared" ca="1" si="11792"/>
        <v>#REF!</v>
      </c>
      <c r="CJ637" s="692" t="str">
        <f ca="1">IFERROR(IF(AD636="Nested Steel Stud (wood infill)",VLOOKUP(INDEX(CF635:CF646,CI637),SSW,2,FALSE),VLOOKUP(INDEX(CF635:CF646,CI637),SSM,2,FALSE)),"----")</f>
        <v>----</v>
      </c>
      <c r="CK637" s="691" t="e">
        <f t="shared" ca="1" si="11793"/>
        <v>#N/A</v>
      </c>
      <c r="CL637" s="4" t="e">
        <f ca="1">IF(AND(INDEX(WSM,CK637,4)&gt;=$AB635,INDEX(WSM,CK637,5)&gt;=$S635,INDEX(WSM,CK637,6)&gt;=$R635),1,0)</f>
        <v>#N/A</v>
      </c>
      <c r="CM637" s="4" t="e">
        <f t="shared" ref="CM637" ca="1" si="11826">MATCH(1,OFFSET(CL635:CL646,CN636,0,COUNT(CL635:CL646)-CN636),0)</f>
        <v>#REF!</v>
      </c>
      <c r="CN637" s="4" t="e">
        <f t="shared" ca="1" si="11795"/>
        <v>#REF!</v>
      </c>
      <c r="CO637" s="692" t="str">
        <f ca="1">IFERROR(VLOOKUP(INDEX(CK635:CK646,CN637),WSM,2,FALSE),"----")</f>
        <v>----</v>
      </c>
      <c r="CP637" s="691" t="e">
        <f t="shared" ca="1" si="11796"/>
        <v>#N/A</v>
      </c>
      <c r="CQ637" s="4" t="e">
        <f ca="1">IF(AND(INDEX(STM,CP637,4)&gt;=$AB635,INDEX(STM,CP637,5)&gt;=$S635,INDEX(STM,CP637,6)&gt;=$R635),1,0)</f>
        <v>#N/A</v>
      </c>
      <c r="CR637" s="4" t="e">
        <f t="shared" ref="CR637" ca="1" si="11827">MATCH(1,OFFSET(CQ635:CQ646,CS636,0,COUNT(CQ635:CQ646)-CS636),0)</f>
        <v>#REF!</v>
      </c>
      <c r="CS637" s="4" t="e">
        <f t="shared" ca="1" si="11798"/>
        <v>#REF!</v>
      </c>
      <c r="CT637" s="692" t="str">
        <f ca="1">IFERROR(VLOOKUP(INDEX(CP635:CP646,CS637),STM,2,FALSE),"----")</f>
        <v>----</v>
      </c>
      <c r="CU637" s="691" t="e">
        <f t="shared" ca="1" si="11799"/>
        <v>#N/A</v>
      </c>
      <c r="CV637" s="4" t="e">
        <f ca="1">IF(AND(INDEX(ELM,CU637,4)&gt;=$AB635,INDEX(ELM,CU637,5)&gt;=$S635,INDEX(ELM,CU637,6)&gt;=$R635),1,0)</f>
        <v>#N/A</v>
      </c>
      <c r="CW637" s="4" t="e">
        <f t="shared" ref="CW637" ca="1" si="11828">MATCH(1,OFFSET(CV635:CV646,CX636,0,COUNT(CV635:CV646)-CX636),0)</f>
        <v>#REF!</v>
      </c>
      <c r="CX637" s="4" t="e">
        <f t="shared" ca="1" si="11801"/>
        <v>#REF!</v>
      </c>
      <c r="CY637" s="692" t="str">
        <f ca="1">IFERROR(VLOOKUP(INDEX(CU635:CU646,CX637),ELM,2,FALSE),"----")</f>
        <v>----</v>
      </c>
      <c r="CZ637" s="691" t="e">
        <f t="shared" ca="1" si="11802"/>
        <v>#N/A</v>
      </c>
      <c r="DA637" s="4" t="e">
        <f ca="1">IF(LEFT($J635,7)="Clad Wo",IF(AND(INDEX(SPPWS,CZ637,4)&gt;=$AB635,INDEX(SPPWS,CZ637,5)&gt;=$S635,INDEX(SPPWS,CZ637,6)&gt;=$R635),1,0),IF(AND(INDEX(SPM,CZ637,4)&gt;=$AB635,INDEX(SPM,CZ637,5)&gt;=$S635,INDEX(SPM,CZ637,6)&gt;=$R635),1,0))</f>
        <v>#N/A</v>
      </c>
      <c r="DB637" s="4" t="e">
        <f t="shared" ref="DB637" ca="1" si="11829">MATCH(1,OFFSET(DA635:DA646,DC636,0,COUNT(DA635:DA646)-DC636),0)</f>
        <v>#REF!</v>
      </c>
      <c r="DC637" s="4" t="e">
        <f t="shared" ca="1" si="11804"/>
        <v>#REF!</v>
      </c>
      <c r="DD637" s="693" t="str">
        <f ca="1">IF(LEFT($J635,7)="Clad Wo",IFERROR(VLOOKUP(INDEX(CZ635:CZ646,DC637),SPPWS,2,FALSE),"----"),IFERROR(VLOOKUP(INDEX(CZ635:CZ646,DC637),SPM,2,FALSE),"----"))</f>
        <v>----</v>
      </c>
      <c r="DE637" s="691" t="e">
        <f t="shared" ca="1" si="11805"/>
        <v>#REF!</v>
      </c>
      <c r="DF637" s="4" t="e" cm="1">
        <f t="array" aca="1" ref="DF637" ca="1">IF(AND(INDEX(INDIRECT(BY635),DE637,4)&gt;=$AB641,INDEX(INDIRECT(BY635),DE637,5)&gt;=$S635,INDEX(INDIRECT(BY635),DE637,6)&gt;=$R635),1,0)</f>
        <v>#REF!</v>
      </c>
      <c r="DG637" s="4" t="e">
        <f t="shared" ref="DG637" ca="1" si="11830">MATCH(1,OFFSET(DF635:DF646,DH636,0,COUNT(DF635:DF646)-DH636),0)</f>
        <v>#REF!</v>
      </c>
      <c r="DH637" s="4" t="e">
        <f t="shared" ca="1" si="11807"/>
        <v>#REF!</v>
      </c>
      <c r="DI637" s="692" t="str" cm="1">
        <f t="array" aca="1" ref="DI637" ca="1">IFERROR(VLOOKUP(INDEX(DE635:DE646,DH637),INDIRECT(BY635),2,FALSE),"----")</f>
        <v>----</v>
      </c>
      <c r="DJ637" s="691" t="e">
        <f t="shared" ca="1" si="11808"/>
        <v>#N/A</v>
      </c>
      <c r="DK637" s="4" t="e">
        <f ca="1">IF(AND(INDEX(SSM,DJ637,4)&gt;=$AB641,INDEX(SSM,DJ637,5)&gt;=$S635,INDEX(SSM,DJ637,6)&gt;=$R635),1,0)</f>
        <v>#N/A</v>
      </c>
      <c r="DL637" s="4" t="e">
        <f t="shared" ref="DL637" ca="1" si="11831">MATCH(1,OFFSET(DK635:DK646,DM636,0,COUNT(DK635:DK646)-DM636),0)</f>
        <v>#REF!</v>
      </c>
      <c r="DM637" s="4" t="e">
        <f t="shared" ca="1" si="11810"/>
        <v>#REF!</v>
      </c>
      <c r="DN637" s="692" t="str">
        <f ca="1">IFERROR(IF(AD642="Nested Steel Stud (wood infill)",VLOOKUP(INDEX(DJ635:DJ646,DM637),SSW,2,FALSE),VLOOKUP(INDEX(DJ635:DJ646,DM637),SSM,2,FALSE)),"----")</f>
        <v>----</v>
      </c>
      <c r="DO637" s="691" t="e">
        <f t="shared" ca="1" si="11811"/>
        <v>#N/A</v>
      </c>
      <c r="DP637" s="4" t="e">
        <f ca="1">IF(AND(INDEX(WSM,DO637,4)&gt;=$AB641,INDEX(WSM,DO637,5)&gt;=$S635,INDEX(WSM,DO637,6)&gt;=$R635),1,0)</f>
        <v>#N/A</v>
      </c>
      <c r="DQ637" s="4" t="e">
        <f t="shared" ref="DQ637" ca="1" si="11832">MATCH(1,OFFSET(DP635:DP646,DR636,0,COUNT(DP635:DP646)-DR636),0)</f>
        <v>#REF!</v>
      </c>
      <c r="DR637" s="4" t="e">
        <f t="shared" ca="1" si="11813"/>
        <v>#REF!</v>
      </c>
      <c r="DS637" s="692" t="str">
        <f ca="1">IFERROR(VLOOKUP(INDEX(DO635:DO646,DR637),WSM,2,FALSE),"----")</f>
        <v>----</v>
      </c>
      <c r="DT637" s="691" t="e">
        <f t="shared" ca="1" si="11814"/>
        <v>#N/A</v>
      </c>
      <c r="DU637" s="4" t="e">
        <f ca="1">IF(AND(INDEX(STM,DT637,4)&gt;=$AB641,INDEX(STM,DT637,5)&gt;=$S635,INDEX(STM,DT637,6)&gt;=$R635),1,0)</f>
        <v>#N/A</v>
      </c>
      <c r="DV637" s="4" t="e">
        <f t="shared" ref="DV637" ca="1" si="11833">MATCH(1,OFFSET(DU635:DU646,DW636,0,COUNT(DU635:DU646)-DW636),0)</f>
        <v>#REF!</v>
      </c>
      <c r="DW637" s="4" t="e">
        <f t="shared" ca="1" si="11816"/>
        <v>#REF!</v>
      </c>
      <c r="DX637" s="692" t="str">
        <f ca="1">IFERROR(VLOOKUP(INDEX(DT635:DT646,DW637),STM,2,FALSE),"----")</f>
        <v>----</v>
      </c>
      <c r="DY637" s="691" t="e">
        <f t="shared" ca="1" si="11817"/>
        <v>#N/A</v>
      </c>
      <c r="DZ637" s="4" t="e">
        <f ca="1">IF(AND(INDEX(ELM,DY637,4)&gt;=$AB641,INDEX(ELM,DY637,5)&gt;=$S635,INDEX(ELM,DY637,6)&gt;=$R635),1,0)</f>
        <v>#N/A</v>
      </c>
      <c r="EA637" s="4" t="e">
        <f t="shared" ref="EA637" ca="1" si="11834">MATCH(1,OFFSET(DZ635:DZ646,EB636,0,COUNT(DZ635:DZ646)-EB636),0)</f>
        <v>#REF!</v>
      </c>
      <c r="EB637" s="4" t="e">
        <f t="shared" ca="1" si="11819"/>
        <v>#REF!</v>
      </c>
      <c r="EC637" s="692" t="str">
        <f ca="1">IFERROR(VLOOKUP(INDEX(DY635:DY646,EB637),ELM,2,FALSE),"----")</f>
        <v>----</v>
      </c>
      <c r="ED637" s="691" t="e">
        <f t="shared" ca="1" si="11820"/>
        <v>#N/A</v>
      </c>
      <c r="EE637" s="4" t="e">
        <f ca="1">IF(LEFT($J635,7)="Clad Wo",IF(AND(INDEX(SPPWS,ED637,4)&gt;=$AB641,INDEX(SPPWS,ED637,5)&gt;=$S635,INDEX(SPPWS,ED637,6)&gt;=$R635),1,0),IF(AND(INDEX(SPM,ED637,4)&gt;=$AB641,INDEX(SPM,ED637,5)&gt;=$S635,INDEX(SPM,ED637,6)&gt;=$R635),1,0))</f>
        <v>#N/A</v>
      </c>
      <c r="EF637" s="4" t="e">
        <f t="shared" ref="EF637" ca="1" si="11835">MATCH(1,OFFSET(EE635:EE646,EG636,0,COUNT(EE635:EE646)-EG636),0)</f>
        <v>#REF!</v>
      </c>
      <c r="EG637" s="4" t="e">
        <f t="shared" ca="1" si="11822"/>
        <v>#REF!</v>
      </c>
      <c r="EH637" s="692" t="str">
        <f ca="1">IF(LEFT($J635,7)="Clad Wo",IFERROR(VLOOKUP(INDEX(ED635:ED646,EG637),SPPWS,2,FALSE),"----"),IFERROR(VLOOKUP(INDEX(ED635:ED646,EG637),SPM,2,FALSE),"----"))</f>
        <v>----</v>
      </c>
    </row>
    <row r="638" spans="1:138" ht="15" customHeight="1" x14ac:dyDescent="0.25">
      <c r="A638" s="1085"/>
      <c r="B638" s="925"/>
      <c r="C638" s="926"/>
      <c r="D638" s="927"/>
      <c r="E638" s="995"/>
      <c r="F638" s="996"/>
      <c r="G638" s="997"/>
      <c r="H638" s="1062"/>
      <c r="I638" s="990"/>
      <c r="J638" s="908"/>
      <c r="K638" s="909"/>
      <c r="L638" s="1002"/>
      <c r="M638" s="923"/>
      <c r="N638" s="1042"/>
      <c r="O638" s="1018"/>
      <c r="P638" s="987"/>
      <c r="Q638" s="1015"/>
      <c r="R638" s="1012"/>
      <c r="S638" s="1006"/>
      <c r="T638" s="1007"/>
      <c r="U638" s="878"/>
      <c r="V638" s="881"/>
      <c r="W638" s="884"/>
      <c r="X638" s="884"/>
      <c r="Y638" s="887"/>
      <c r="Z638" s="887"/>
      <c r="AA638" s="887"/>
      <c r="AB638" s="1081"/>
      <c r="AC638" s="1078"/>
      <c r="AD638" s="1070" t="s">
        <v>37</v>
      </c>
      <c r="AE638" s="1071"/>
      <c r="AF638" s="1052"/>
      <c r="AG638" s="1053"/>
      <c r="AH638" s="1053"/>
      <c r="AI638" s="1066"/>
      <c r="AJ638" s="1067"/>
      <c r="AK638" s="156" t="str">
        <f t="shared" ca="1" si="11298"/>
        <v/>
      </c>
      <c r="AL638" s="1039"/>
      <c r="AM638" s="343" t="str">
        <f ca="1">IFERROR(Q635/12*ROUND(VLOOKUP(AF638,OFFSET(STM,0,1),6,FALSE),2),"")</f>
        <v/>
      </c>
      <c r="AN638" t="str">
        <f t="shared" ca="1" si="11348"/>
        <v/>
      </c>
      <c r="AP638" s="122" t="str">
        <f t="shared" ref="AP638" si="11836">_xlfn.CONCAT(AR638,AS640)</f>
        <v/>
      </c>
      <c r="AQ638" s="683" t="str">
        <f t="shared" si="11512"/>
        <v/>
      </c>
      <c r="AR638" s="4" t="str">
        <f t="shared" si="11273"/>
        <v/>
      </c>
      <c r="AS638" s="4"/>
      <c r="AT638" s="697" t="str">
        <f>AL635</f>
        <v/>
      </c>
      <c r="AU638" s="694" t="e">
        <f t="shared" ca="1" si="11538"/>
        <v>#REF!</v>
      </c>
      <c r="AV638" s="686" t="str">
        <f ca="1">IFERROR(VLOOKUP(AU638,INDIRECT(AQ635),2,FALSE),"----")</f>
        <v>----</v>
      </c>
      <c r="AW638" s="694" t="e">
        <f t="shared" ca="1" si="11539"/>
        <v>#REF!</v>
      </c>
      <c r="AX638" s="686" t="str">
        <f ca="1">IFERROR(VLOOKUP(AW638,INDIRECT(AQ636),2,FALSE),"----")</f>
        <v>----</v>
      </c>
      <c r="AY638" s="694" t="e">
        <f t="shared" ref="AY638" ca="1" si="11837">AY637-1</f>
        <v>#REF!</v>
      </c>
      <c r="AZ638" s="686" t="str">
        <f ca="1">IFERROR(VLOOKUP(AY638,INDIRECT(AQ637),2,FALSE),"----")</f>
        <v>----</v>
      </c>
      <c r="BA638" s="694" t="e">
        <f t="shared" ref="BA638" ca="1" si="11838">BA637-1</f>
        <v>#REF!</v>
      </c>
      <c r="BB638" s="686" t="str">
        <f ca="1">IFERROR(VLOOKUP(BA638,INDIRECT(AQ638),2,FALSE),"----")</f>
        <v>----</v>
      </c>
      <c r="BC638" s="694" t="e">
        <f t="shared" ca="1" si="11542"/>
        <v>#REF!</v>
      </c>
      <c r="BD638" s="686" t="str">
        <f ca="1">IFERROR(VLOOKUP(BC638,INDIRECT(AQ639),2,FALSE),"----")</f>
        <v>----</v>
      </c>
      <c r="BE638" s="694" t="e">
        <f t="shared" ca="1" si="11543"/>
        <v>#REF!</v>
      </c>
      <c r="BF638" s="686" t="str">
        <f ca="1">IFERROR(VLOOKUP(BE638,INDIRECT(AQ640),2,FALSE),"----")</f>
        <v>----</v>
      </c>
      <c r="BG638" s="694" t="e">
        <f t="shared" ca="1" si="11544"/>
        <v>#REF!</v>
      </c>
      <c r="BH638" s="686" t="str">
        <f ca="1">IFERROR(VLOOKUP(BG638,INDIRECT(AQ641),2,FALSE),"----")</f>
        <v>----</v>
      </c>
      <c r="BI638" s="694" t="e">
        <f t="shared" ca="1" si="11545"/>
        <v>#REF!</v>
      </c>
      <c r="BJ638" s="686" t="str">
        <f ca="1">IFERROR(VLOOKUP(BI638,INDIRECT(AQ642),2,FALSE),"----")</f>
        <v>----</v>
      </c>
      <c r="BK638" s="694" t="e">
        <f t="shared" ca="1" si="11546"/>
        <v>#REF!</v>
      </c>
      <c r="BL638" s="686" t="str">
        <f ca="1">IFERROR(VLOOKUP(BK638,INDIRECT(AQ643),2,FALSE),"----")</f>
        <v>----</v>
      </c>
      <c r="BM638" s="694" t="e">
        <f t="shared" ca="1" si="11547"/>
        <v>#REF!</v>
      </c>
      <c r="BN638" s="686" t="str">
        <f ca="1">IFERROR(VLOOKUP(BM638,INDIRECT(AQ644),2,FALSE),"----")</f>
        <v>----</v>
      </c>
      <c r="BO638" s="694" t="e">
        <f t="shared" ca="1" si="11548"/>
        <v>#REF!</v>
      </c>
      <c r="BP638" s="686" t="str">
        <f ca="1">IFERROR(VLOOKUP(BO638,INDIRECT(AQ645),2,FALSE),"----")</f>
        <v>----</v>
      </c>
      <c r="BQ638" s="694" t="e">
        <f t="shared" ca="1" si="11549"/>
        <v>#REF!</v>
      </c>
      <c r="BR638" s="686" t="str">
        <f ca="1">IFERROR(VLOOKUP(BQ638,INDIRECT(AQ646),2,FALSE),"----")</f>
        <v>----</v>
      </c>
      <c r="BS638" s="695">
        <f>IF(AI638="",1,IF(COUNTIF(BB635:BB646,AI638)=0,2,1))</f>
        <v>1</v>
      </c>
      <c r="BT638" s="696">
        <f>IF(AF638="",1,IF(BB635=".",2,1))</f>
        <v>1</v>
      </c>
      <c r="BU638" s="706"/>
      <c r="BV638" s="155">
        <f ca="1">IF(COUNTIF(CT635:CT646,AF638)=0,IF(AF638&lt;&gt;"",0,1),1)</f>
        <v>1</v>
      </c>
      <c r="BW638" s="157">
        <f ca="1">IFERROR(MATCH(AF638,CT635:CT646,0),1)</f>
        <v>1</v>
      </c>
      <c r="BX638" s="769"/>
      <c r="BY638" s="769"/>
      <c r="BZ638" s="1110"/>
      <c r="CA638" s="691" t="e">
        <f t="shared" ca="1" si="11787"/>
        <v>#REF!</v>
      </c>
      <c r="CB638" s="4" t="e" cm="1">
        <f t="array" aca="1" ref="CB638" ca="1">IF(AND(INDEX(INDIRECT(BY635),CA638,4)&gt;=$AB635,INDEX(INDIRECT(BY635),CA638,5)&gt;=$S635,INDEX(INDIRECT(BY635),CA638,6)&gt;=$R635),1,0)</f>
        <v>#REF!</v>
      </c>
      <c r="CC638" s="4" t="e">
        <f t="shared" ref="CC638" ca="1" si="11839">MATCH(1,OFFSET(CB635:CB646,CD637,0,COUNT(CB635:CB646)-CD637),0)</f>
        <v>#REF!</v>
      </c>
      <c r="CD638" s="4" t="e">
        <f t="shared" ca="1" si="11789"/>
        <v>#REF!</v>
      </c>
      <c r="CE638" s="692" t="str" cm="1">
        <f t="array" aca="1" ref="CE638" ca="1">IFERROR(VLOOKUP(INDEX(CA635:CA646,CD638),INDIRECT(BY635),2,FALSE),"----")</f>
        <v>----</v>
      </c>
      <c r="CF638" s="691" t="e">
        <f t="shared" ca="1" si="11790"/>
        <v>#N/A</v>
      </c>
      <c r="CG638" s="4" t="e">
        <f ca="1">IF(AND(INDEX(SSM,CF638,4)&gt;=$AB635,INDEX(SSM,CF638,5)&gt;=$S635,INDEX(SSM,CF638,6)&gt;=$R635),1,0)</f>
        <v>#N/A</v>
      </c>
      <c r="CH638" s="4" t="e">
        <f t="shared" ref="CH638" ca="1" si="11840">MATCH(1,OFFSET(CG635:CG646,CI637,0,COUNT(CG635:CG646)-CI637),0)</f>
        <v>#REF!</v>
      </c>
      <c r="CI638" s="4" t="e">
        <f t="shared" ca="1" si="11792"/>
        <v>#REF!</v>
      </c>
      <c r="CJ638" s="692" t="str">
        <f ca="1">IFERROR(IF(AD636="Nested Steel Stud (wood infill)",VLOOKUP(INDEX(CF635:CF646,CI638),SSW,2,FALSE),VLOOKUP(INDEX(CF635:CF646,CI638),SSM,2,FALSE)),"----")</f>
        <v>----</v>
      </c>
      <c r="CK638" s="691" t="e">
        <f t="shared" ca="1" si="11793"/>
        <v>#N/A</v>
      </c>
      <c r="CL638" s="4" t="e">
        <f ca="1">IF(AND(INDEX(WSM,CK638,4)&gt;=$AB635,INDEX(WSM,CK638,5)&gt;=$S635,INDEX(WSM,CK638,6)&gt;=$R635),1,0)</f>
        <v>#N/A</v>
      </c>
      <c r="CM638" s="4" t="e">
        <f t="shared" ref="CM638" ca="1" si="11841">MATCH(1,OFFSET(CL635:CL646,CN637,0,COUNT(CL635:CL646)-CN637),0)</f>
        <v>#REF!</v>
      </c>
      <c r="CN638" s="4" t="e">
        <f t="shared" ca="1" si="11795"/>
        <v>#REF!</v>
      </c>
      <c r="CO638" s="692" t="str">
        <f ca="1">IFERROR(VLOOKUP(INDEX(CK635:CK646,CN638),WSM,2,FALSE),"----")</f>
        <v>----</v>
      </c>
      <c r="CP638" s="691" t="e">
        <f t="shared" ca="1" si="11796"/>
        <v>#N/A</v>
      </c>
      <c r="CQ638" s="4" t="e">
        <f ca="1">IF(AND(INDEX(STM,CP638,4)&gt;=$AB635,INDEX(STM,CP638,5)&gt;=$S635,INDEX(STM,CP638,6)&gt;=$R635),1,0)</f>
        <v>#N/A</v>
      </c>
      <c r="CR638" s="4" t="e">
        <f t="shared" ref="CR638" ca="1" si="11842">MATCH(1,OFFSET(CQ635:CQ646,CS637,0,COUNT(CQ635:CQ646)-CS637),0)</f>
        <v>#REF!</v>
      </c>
      <c r="CS638" s="4" t="e">
        <f t="shared" ca="1" si="11798"/>
        <v>#REF!</v>
      </c>
      <c r="CT638" s="692" t="str">
        <f ca="1">IFERROR(VLOOKUP(INDEX(CP635:CP646,CS638),STM,2,FALSE),"----")</f>
        <v>----</v>
      </c>
      <c r="CU638" s="691" t="e">
        <f t="shared" ca="1" si="11799"/>
        <v>#N/A</v>
      </c>
      <c r="CV638" s="4" t="e">
        <f ca="1">IF(AND(INDEX(ELM,CU638,4)&gt;=$AB635,INDEX(ELM,CU638,5)&gt;=$S635,INDEX(ELM,CU638,6)&gt;=$R635),1,0)</f>
        <v>#N/A</v>
      </c>
      <c r="CW638" s="4" t="e">
        <f t="shared" ref="CW638" ca="1" si="11843">MATCH(1,OFFSET(CV635:CV646,CX637,0,COUNT(CV635:CV646)-CX637),0)</f>
        <v>#REF!</v>
      </c>
      <c r="CX638" s="4" t="e">
        <f t="shared" ca="1" si="11801"/>
        <v>#REF!</v>
      </c>
      <c r="CY638" s="692" t="str">
        <f ca="1">IFERROR(VLOOKUP(INDEX(CU635:CU646,CX638),ELM,2,FALSE),"----")</f>
        <v>----</v>
      </c>
      <c r="CZ638" s="691" t="e">
        <f t="shared" ca="1" si="11802"/>
        <v>#N/A</v>
      </c>
      <c r="DA638" s="4" t="e">
        <f ca="1">IF(LEFT($J635,7)="Clad Wo",IF(AND(INDEX(SPPWS,CZ638,4)&gt;=$AB635,INDEX(SPPWS,CZ638,5)&gt;=$S635,INDEX(SPPWS,CZ638,6)&gt;=$R635),1,0),IF(AND(INDEX(SPM,CZ638,4)&gt;=$AB635,INDEX(SPM,CZ638,5)&gt;=$S635,INDEX(SPM,CZ638,6)&gt;=$R635),1,0))</f>
        <v>#N/A</v>
      </c>
      <c r="DB638" s="4" t="e">
        <f t="shared" ref="DB638" ca="1" si="11844">MATCH(1,OFFSET(DA635:DA646,DC637,0,COUNT(DA635:DA646)-DC637),0)</f>
        <v>#REF!</v>
      </c>
      <c r="DC638" s="4" t="e">
        <f t="shared" ca="1" si="11804"/>
        <v>#REF!</v>
      </c>
      <c r="DD638" s="693" t="str">
        <f ca="1">IF(LEFT($J635,7)="Clad Wo",IFERROR(VLOOKUP(INDEX(CZ635:CZ646,DC638),SPPWS,2,FALSE),"----"),IFERROR(VLOOKUP(INDEX(CZ635:CZ646,DC638),SPM,2,FALSE),"----"))</f>
        <v>----</v>
      </c>
      <c r="DE638" s="691" t="e">
        <f t="shared" ca="1" si="11805"/>
        <v>#REF!</v>
      </c>
      <c r="DF638" s="4" t="e" cm="1">
        <f t="array" aca="1" ref="DF638" ca="1">IF(AND(INDEX(INDIRECT(BY635),DE638,4)&gt;=$AB641,INDEX(INDIRECT(BY635),DE638,5)&gt;=$S635,INDEX(INDIRECT(BY635),DE638,6)&gt;=$R635),1,0)</f>
        <v>#REF!</v>
      </c>
      <c r="DG638" s="4" t="e">
        <f t="shared" ref="DG638" ca="1" si="11845">MATCH(1,OFFSET(DF635:DF646,DH637,0,COUNT(DF635:DF646)-DH637),0)</f>
        <v>#REF!</v>
      </c>
      <c r="DH638" s="4" t="e">
        <f t="shared" ca="1" si="11807"/>
        <v>#REF!</v>
      </c>
      <c r="DI638" s="692" t="str" cm="1">
        <f t="array" aca="1" ref="DI638" ca="1">IFERROR(VLOOKUP(INDEX(DE635:DE646,DH638),INDIRECT(BY635),2,FALSE),"----")</f>
        <v>----</v>
      </c>
      <c r="DJ638" s="691" t="e">
        <f t="shared" ca="1" si="11808"/>
        <v>#N/A</v>
      </c>
      <c r="DK638" s="4" t="e">
        <f ca="1">IF(AND(INDEX(SSM,DJ638,4)&gt;=$AB641,INDEX(SSM,DJ638,5)&gt;=$S635,INDEX(SSM,DJ638,6)&gt;=$R635),1,0)</f>
        <v>#N/A</v>
      </c>
      <c r="DL638" s="4" t="e">
        <f t="shared" ref="DL638" ca="1" si="11846">MATCH(1,OFFSET(DK635:DK646,DM637,0,COUNT(DK635:DK646)-DM637),0)</f>
        <v>#REF!</v>
      </c>
      <c r="DM638" s="4" t="e">
        <f t="shared" ca="1" si="11810"/>
        <v>#REF!</v>
      </c>
      <c r="DN638" s="692" t="str">
        <f ca="1">IFERROR(IF(AD642="Nested Steel Stud (wood infill)",VLOOKUP(INDEX(DJ635:DJ646,DM638),SSW,2,FALSE),VLOOKUP(INDEX(DJ635:DJ646,DM638),SSM,2,FALSE)),"----")</f>
        <v>----</v>
      </c>
      <c r="DO638" s="691" t="e">
        <f t="shared" ca="1" si="11811"/>
        <v>#N/A</v>
      </c>
      <c r="DP638" s="4" t="e">
        <f ca="1">IF(AND(INDEX(WSM,DO638,4)&gt;=$AB641,INDEX(WSM,DO638,5)&gt;=$S635,INDEX(WSM,DO638,6)&gt;=$R635),1,0)</f>
        <v>#N/A</v>
      </c>
      <c r="DQ638" s="4" t="e">
        <f t="shared" ref="DQ638" ca="1" si="11847">MATCH(1,OFFSET(DP635:DP646,DR637,0,COUNT(DP635:DP646)-DR637),0)</f>
        <v>#REF!</v>
      </c>
      <c r="DR638" s="4" t="e">
        <f t="shared" ca="1" si="11813"/>
        <v>#REF!</v>
      </c>
      <c r="DS638" s="692" t="str">
        <f ca="1">IFERROR(VLOOKUP(INDEX(DO635:DO646,DR638),WSM,2,FALSE),"----")</f>
        <v>----</v>
      </c>
      <c r="DT638" s="691" t="e">
        <f t="shared" ca="1" si="11814"/>
        <v>#N/A</v>
      </c>
      <c r="DU638" s="4" t="e">
        <f ca="1">IF(AND(INDEX(STM,DT638,4)&gt;=$AB641,INDEX(STM,DT638,5)&gt;=$S635,INDEX(STM,DT638,6)&gt;=$R635),1,0)</f>
        <v>#N/A</v>
      </c>
      <c r="DV638" s="4" t="e">
        <f t="shared" ref="DV638" ca="1" si="11848">MATCH(1,OFFSET(DU635:DU646,DW637,0,COUNT(DU635:DU646)-DW637),0)</f>
        <v>#REF!</v>
      </c>
      <c r="DW638" s="4" t="e">
        <f t="shared" ca="1" si="11816"/>
        <v>#REF!</v>
      </c>
      <c r="DX638" s="692" t="str">
        <f ca="1">IFERROR(VLOOKUP(INDEX(DT635:DT646,DW638),STM,2,FALSE),"----")</f>
        <v>----</v>
      </c>
      <c r="DY638" s="691" t="e">
        <f t="shared" ca="1" si="11817"/>
        <v>#N/A</v>
      </c>
      <c r="DZ638" s="4" t="e">
        <f ca="1">IF(AND(INDEX(ELM,DY638,4)&gt;=$AB641,INDEX(ELM,DY638,5)&gt;=$S635,INDEX(ELM,DY638,6)&gt;=$R635),1,0)</f>
        <v>#N/A</v>
      </c>
      <c r="EA638" s="4" t="e">
        <f t="shared" ref="EA638" ca="1" si="11849">MATCH(1,OFFSET(DZ635:DZ646,EB637,0,COUNT(DZ635:DZ646)-EB637),0)</f>
        <v>#REF!</v>
      </c>
      <c r="EB638" s="4" t="e">
        <f t="shared" ca="1" si="11819"/>
        <v>#REF!</v>
      </c>
      <c r="EC638" s="692" t="str">
        <f ca="1">IFERROR(VLOOKUP(INDEX(DY635:DY646,EB638),ELM,2,FALSE),"----")</f>
        <v>----</v>
      </c>
      <c r="ED638" s="691" t="e">
        <f t="shared" ca="1" si="11820"/>
        <v>#N/A</v>
      </c>
      <c r="EE638" s="4" t="e">
        <f ca="1">IF(LEFT($J635,7)="Clad Wo",IF(AND(INDEX(SPPWS,ED638,4)&gt;=$AB641,INDEX(SPPWS,ED638,5)&gt;=$S635,INDEX(SPPWS,ED638,6)&gt;=$R635),1,0),IF(AND(INDEX(SPM,ED638,4)&gt;=$AB641,INDEX(SPM,ED638,5)&gt;=$S635,INDEX(SPM,ED638,6)&gt;=$R635),1,0))</f>
        <v>#N/A</v>
      </c>
      <c r="EF638" s="4" t="e">
        <f t="shared" ref="EF638" ca="1" si="11850">MATCH(1,OFFSET(EE635:EE646,EG637,0,COUNT(EE635:EE646)-EG637),0)</f>
        <v>#REF!</v>
      </c>
      <c r="EG638" s="4" t="e">
        <f t="shared" ca="1" si="11822"/>
        <v>#REF!</v>
      </c>
      <c r="EH638" s="692" t="str">
        <f ca="1">IF(LEFT($J635,7)="Clad Wo",IFERROR(VLOOKUP(INDEX(ED635:ED646,EG638),SPPWS,2,FALSE),"----"),IFERROR(VLOOKUP(INDEX(ED635:ED646,EG638),SPM,2,FALSE),"----"))</f>
        <v>----</v>
      </c>
    </row>
    <row r="639" spans="1:138" ht="15" customHeight="1" x14ac:dyDescent="0.25">
      <c r="A639" s="1085"/>
      <c r="B639" s="925"/>
      <c r="C639" s="926"/>
      <c r="D639" s="927"/>
      <c r="E639" s="995"/>
      <c r="F639" s="996"/>
      <c r="G639" s="997"/>
      <c r="H639" s="1062"/>
      <c r="I639" s="990"/>
      <c r="J639" s="910"/>
      <c r="K639" s="911"/>
      <c r="L639" s="1002"/>
      <c r="M639" s="923"/>
      <c r="N639" s="1042"/>
      <c r="O639" s="1018"/>
      <c r="P639" s="987"/>
      <c r="Q639" s="1015"/>
      <c r="R639" s="1012"/>
      <c r="S639" s="1006"/>
      <c r="T639" s="1007"/>
      <c r="U639" s="878"/>
      <c r="V639" s="881"/>
      <c r="W639" s="884"/>
      <c r="X639" s="884"/>
      <c r="Y639" s="887"/>
      <c r="Z639" s="887"/>
      <c r="AA639" s="887"/>
      <c r="AB639" s="1081"/>
      <c r="AC639" s="1078"/>
      <c r="AD639" s="1070" t="s">
        <v>39</v>
      </c>
      <c r="AE639" s="1071"/>
      <c r="AF639" s="1052"/>
      <c r="AG639" s="1053"/>
      <c r="AH639" s="1053"/>
      <c r="AI639" s="1068"/>
      <c r="AJ639" s="1069"/>
      <c r="AK639" s="154" t="str">
        <f t="shared" ca="1" si="11298"/>
        <v/>
      </c>
      <c r="AL639" s="1039"/>
      <c r="AM639" s="344" t="str">
        <f ca="1">IFERROR(Q635/12*ROUND(VLOOKUP(AF639,OFFSET(ELM,0,1),6,FALSE),2),"")</f>
        <v/>
      </c>
      <c r="AN639" t="str">
        <f t="shared" ca="1" si="11348"/>
        <v/>
      </c>
      <c r="AP639" s="122" t="str">
        <f t="shared" ref="AP639" si="11851">_xlfn.CONCAT(AR639,AS640)</f>
        <v/>
      </c>
      <c r="AQ639" s="683" t="str">
        <f t="shared" si="11512"/>
        <v/>
      </c>
      <c r="AR639" s="4" t="str">
        <f t="shared" si="11273"/>
        <v/>
      </c>
      <c r="AS639" s="4"/>
      <c r="AT639" s="697" t="str">
        <f>AL635</f>
        <v/>
      </c>
      <c r="AU639" s="694" t="e">
        <f t="shared" ca="1" si="11538"/>
        <v>#REF!</v>
      </c>
      <c r="AV639" s="698" t="str">
        <f ca="1">IFERROR(VLOOKUP(AU639,INDIRECT(AQ635),2,FALSE),"----")</f>
        <v>----</v>
      </c>
      <c r="AW639" s="694" t="e">
        <f t="shared" ca="1" si="11539"/>
        <v>#REF!</v>
      </c>
      <c r="AX639" s="698" t="str">
        <f ca="1">IFERROR(VLOOKUP(AW639,INDIRECT(AQ636),2,FALSE),"----")</f>
        <v>----</v>
      </c>
      <c r="AY639" s="694" t="e">
        <f t="shared" ref="AY639" ca="1" si="11852">AY638-1</f>
        <v>#REF!</v>
      </c>
      <c r="AZ639" s="698" t="str">
        <f ca="1">IFERROR(VLOOKUP(AY639,INDIRECT(AQ637),2,FALSE),"----")</f>
        <v>----</v>
      </c>
      <c r="BA639" s="694" t="e">
        <f t="shared" ref="BA639" ca="1" si="11853">BA638-1</f>
        <v>#REF!</v>
      </c>
      <c r="BB639" s="698" t="str">
        <f ca="1">IFERROR(VLOOKUP(BA639,INDIRECT(AQ638),2,FALSE),"----")</f>
        <v>----</v>
      </c>
      <c r="BC639" s="694" t="e">
        <f t="shared" ca="1" si="11542"/>
        <v>#REF!</v>
      </c>
      <c r="BD639" s="698" t="str">
        <f ca="1">IFERROR(VLOOKUP(BC639,INDIRECT(AQ639),2,FALSE),"----")</f>
        <v>----</v>
      </c>
      <c r="BE639" s="694" t="e">
        <f t="shared" ca="1" si="11543"/>
        <v>#REF!</v>
      </c>
      <c r="BF639" s="698" t="str">
        <f ca="1">IFERROR(VLOOKUP(BE639,INDIRECT(AQ640),2,FALSE),"----")</f>
        <v>----</v>
      </c>
      <c r="BG639" s="694" t="e">
        <f t="shared" ca="1" si="11544"/>
        <v>#REF!</v>
      </c>
      <c r="BH639" s="686" t="str">
        <f ca="1">IFERROR(VLOOKUP(BG639,INDIRECT(AQ641),2,FALSE),"----")</f>
        <v>----</v>
      </c>
      <c r="BI639" s="694" t="e">
        <f t="shared" ca="1" si="11545"/>
        <v>#REF!</v>
      </c>
      <c r="BJ639" s="686" t="str">
        <f ca="1">IFERROR(VLOOKUP(BI639,INDIRECT(AQ642),2,FALSE),"----")</f>
        <v>----</v>
      </c>
      <c r="BK639" s="694" t="e">
        <f t="shared" ca="1" si="11546"/>
        <v>#REF!</v>
      </c>
      <c r="BL639" s="686" t="str">
        <f ca="1">IFERROR(VLOOKUP(BK639,INDIRECT(AQ643),2,FALSE),"----")</f>
        <v>----</v>
      </c>
      <c r="BM639" s="694" t="e">
        <f t="shared" ca="1" si="11547"/>
        <v>#REF!</v>
      </c>
      <c r="BN639" s="686" t="str">
        <f ca="1">IFERROR(VLOOKUP(BM639,INDIRECT(AQ644),2,FALSE),"----")</f>
        <v>----</v>
      </c>
      <c r="BO639" s="694" t="e">
        <f t="shared" ca="1" si="11548"/>
        <v>#REF!</v>
      </c>
      <c r="BP639" s="686" t="str">
        <f ca="1">IFERROR(VLOOKUP(BO639,INDIRECT(AQ645),2,FALSE),"----")</f>
        <v>----</v>
      </c>
      <c r="BQ639" s="694" t="e">
        <f t="shared" ca="1" si="11549"/>
        <v>#REF!</v>
      </c>
      <c r="BR639" s="686" t="str">
        <f ca="1">IFERROR(VLOOKUP(BQ639,INDIRECT(AQ646),2,FALSE),"----")</f>
        <v>----</v>
      </c>
      <c r="BS639" s="695">
        <f>IF(AI639="",1,IF(COUNTIF(BD635:BD646,AI639)=0,2,1))</f>
        <v>1</v>
      </c>
      <c r="BT639" s="696">
        <f>IF(AF639="",1,IF(BD635=".",2,1))</f>
        <v>1</v>
      </c>
      <c r="BU639" s="706"/>
      <c r="BV639" s="155">
        <f ca="1">IF(COUNTIF(CY635:CY646,AF639)=0,IF(AF639&lt;&gt;"",0,1),1)</f>
        <v>1</v>
      </c>
      <c r="BW639" s="157">
        <f ca="1">IFERROR(MATCH(AF639,CY635:CY646,0),1)</f>
        <v>1</v>
      </c>
      <c r="BX639" s="769"/>
      <c r="BY639" s="769"/>
      <c r="BZ639" s="1110"/>
      <c r="CA639" s="691" t="e">
        <f t="shared" ca="1" si="11787"/>
        <v>#REF!</v>
      </c>
      <c r="CB639" s="4" t="e" cm="1">
        <f t="array" aca="1" ref="CB639" ca="1">IF(AND(INDEX(INDIRECT(BY635),CA639,4)&gt;=$AB635,INDEX(INDIRECT(BY635),CA639,5)&gt;=$S635,INDEX(INDIRECT(BY635),CA639,6)&gt;=$R635),1,0)</f>
        <v>#REF!</v>
      </c>
      <c r="CC639" s="4" t="e">
        <f t="shared" ref="CC639" ca="1" si="11854">MATCH(1,OFFSET(CB635:CB646,CD638,0,COUNT(CB635:CB646)-CD638),0)</f>
        <v>#REF!</v>
      </c>
      <c r="CD639" s="4" t="e">
        <f t="shared" ca="1" si="11789"/>
        <v>#REF!</v>
      </c>
      <c r="CE639" s="692" t="str" cm="1">
        <f t="array" aca="1" ref="CE639" ca="1">IFERROR(VLOOKUP(INDEX(CA635:CA646,CD639),INDIRECT(BY635),2,FALSE),"----")</f>
        <v>----</v>
      </c>
      <c r="CF639" s="691" t="e">
        <f t="shared" ca="1" si="11790"/>
        <v>#N/A</v>
      </c>
      <c r="CG639" s="4" t="e">
        <f ca="1">IF(AND(INDEX(SSM,CF639,4)&gt;=$AB635,INDEX(SSM,CF639,5)&gt;=$S635,INDEX(SSM,CF639,6)&gt;=$R635),1,0)</f>
        <v>#N/A</v>
      </c>
      <c r="CH639" s="4" t="e">
        <f t="shared" ref="CH639" ca="1" si="11855">MATCH(1,OFFSET(CG635:CG646,CI638,0,COUNT(CG635:CG646)-CI638),0)</f>
        <v>#REF!</v>
      </c>
      <c r="CI639" s="4" t="e">
        <f t="shared" ca="1" si="11792"/>
        <v>#REF!</v>
      </c>
      <c r="CJ639" s="692" t="str">
        <f ca="1">IFERROR(IF(AD636="Nested Steel Stud (wood infill)",VLOOKUP(INDEX(CF635:CF646,CI639),SSW,2,FALSE),VLOOKUP(INDEX(CF635:CF646,CI639),SSM,2,FALSE)),"----")</f>
        <v>----</v>
      </c>
      <c r="CK639" s="691" t="e">
        <f t="shared" ca="1" si="11793"/>
        <v>#N/A</v>
      </c>
      <c r="CL639" s="4" t="e">
        <f ca="1">IF(AND(INDEX(WSM,CK639,4)&gt;=$AB635,INDEX(WSM,CK639,5)&gt;=$S635,INDEX(WSM,CK639,6)&gt;=$R635),1,0)</f>
        <v>#N/A</v>
      </c>
      <c r="CM639" s="4" t="e">
        <f t="shared" ref="CM639" ca="1" si="11856">MATCH(1,OFFSET(CL635:CL646,CN638,0,COUNT(CL635:CL646)-CN638),0)</f>
        <v>#REF!</v>
      </c>
      <c r="CN639" s="4" t="e">
        <f t="shared" ca="1" si="11795"/>
        <v>#REF!</v>
      </c>
      <c r="CO639" s="692" t="str">
        <f ca="1">IFERROR(VLOOKUP(INDEX(CK635:CK646,CN639),WSM,2,FALSE),"----")</f>
        <v>----</v>
      </c>
      <c r="CP639" s="691" t="e">
        <f t="shared" ca="1" si="11796"/>
        <v>#N/A</v>
      </c>
      <c r="CQ639" s="4" t="e">
        <f ca="1">IF(AND(INDEX(STM,CP639,4)&gt;=$AB635,INDEX(STM,CP639,5)&gt;=$S635,INDEX(STM,CP639,6)&gt;=$R635),1,0)</f>
        <v>#N/A</v>
      </c>
      <c r="CR639" s="4" t="e">
        <f t="shared" ref="CR639" ca="1" si="11857">MATCH(1,OFFSET(CQ635:CQ646,CS638,0,COUNT(CQ635:CQ646)-CS638),0)</f>
        <v>#REF!</v>
      </c>
      <c r="CS639" s="4" t="e">
        <f t="shared" ca="1" si="11798"/>
        <v>#REF!</v>
      </c>
      <c r="CT639" s="692" t="str">
        <f ca="1">IFERROR(VLOOKUP(INDEX(CP635:CP646,CS639),STM,2,FALSE),"----")</f>
        <v>----</v>
      </c>
      <c r="CU639" s="691" t="e">
        <f t="shared" ca="1" si="11799"/>
        <v>#N/A</v>
      </c>
      <c r="CV639" s="4" t="e">
        <f ca="1">IF(AND(INDEX(ELM,CU639,4)&gt;=$AB635,INDEX(ELM,CU639,5)&gt;=$S635,INDEX(ELM,CU639,6)&gt;=$R635),1,0)</f>
        <v>#N/A</v>
      </c>
      <c r="CW639" s="4" t="e">
        <f t="shared" ref="CW639" ca="1" si="11858">MATCH(1,OFFSET(CV635:CV646,CX638,0,COUNT(CV635:CV646)-CX638),0)</f>
        <v>#REF!</v>
      </c>
      <c r="CX639" s="4" t="e">
        <f t="shared" ca="1" si="11801"/>
        <v>#REF!</v>
      </c>
      <c r="CY639" s="692" t="str">
        <f ca="1">IFERROR(VLOOKUP(INDEX(CU635:CU646,CX639),ELM,2,FALSE),"----")</f>
        <v>----</v>
      </c>
      <c r="CZ639" s="691" t="e">
        <f t="shared" ca="1" si="11802"/>
        <v>#N/A</v>
      </c>
      <c r="DA639" s="4" t="e">
        <f ca="1">IF(LEFT($J635,7)="Clad Wo",IF(AND(INDEX(SPPWS,CZ639,4)&gt;=$AB635,INDEX(SPPWS,CZ639,5)&gt;=$S635,INDEX(SPPWS,CZ639,6)&gt;=$R635),1,0),IF(AND(INDEX(SPM,CZ639,4)&gt;=$AB635,INDEX(SPM,CZ639,5)&gt;=$S635,INDEX(SPM,CZ639,6)&gt;=$R635),1,0))</f>
        <v>#N/A</v>
      </c>
      <c r="DB639" s="4" t="e">
        <f t="shared" ref="DB639" ca="1" si="11859">MATCH(1,OFFSET(DA635:DA646,DC638,0,COUNT(DA635:DA646)-DC638),0)</f>
        <v>#REF!</v>
      </c>
      <c r="DC639" s="4" t="e">
        <f t="shared" ca="1" si="11804"/>
        <v>#REF!</v>
      </c>
      <c r="DD639" s="693" t="str">
        <f ca="1">IF(LEFT($J635,7)="Clad Wo",IFERROR(VLOOKUP(INDEX(CZ635:CZ646,DC639),SPPWS,2,FALSE),"----"),IFERROR(VLOOKUP(INDEX(CZ635:CZ646,DC639),SPM,2,FALSE),"----"))</f>
        <v>----</v>
      </c>
      <c r="DE639" s="691" t="e">
        <f t="shared" ca="1" si="11805"/>
        <v>#REF!</v>
      </c>
      <c r="DF639" s="4" t="e" cm="1">
        <f t="array" aca="1" ref="DF639" ca="1">IF(AND(INDEX(INDIRECT(BY635),DE639,4)&gt;=$AB641,INDEX(INDIRECT(BY635),DE639,5)&gt;=$S635,INDEX(INDIRECT(BY635),DE639,6)&gt;=$R635),1,0)</f>
        <v>#REF!</v>
      </c>
      <c r="DG639" s="4" t="e">
        <f t="shared" ref="DG639" ca="1" si="11860">MATCH(1,OFFSET(DF635:DF646,DH638,0,COUNT(DF635:DF646)-DH638),0)</f>
        <v>#REF!</v>
      </c>
      <c r="DH639" s="4" t="e">
        <f t="shared" ca="1" si="11807"/>
        <v>#REF!</v>
      </c>
      <c r="DI639" s="692" t="str" cm="1">
        <f t="array" aca="1" ref="DI639" ca="1">IFERROR(VLOOKUP(INDEX(DE635:DE646,DH639),INDIRECT(BY635),2,FALSE),"----")</f>
        <v>----</v>
      </c>
      <c r="DJ639" s="691" t="e">
        <f t="shared" ca="1" si="11808"/>
        <v>#N/A</v>
      </c>
      <c r="DK639" s="4" t="e">
        <f ca="1">IF(AND(INDEX(SSM,DJ639,4)&gt;=$AB641,INDEX(SSM,DJ639,5)&gt;=$S635,INDEX(SSM,DJ639,6)&gt;=$R635),1,0)</f>
        <v>#N/A</v>
      </c>
      <c r="DL639" s="4" t="e">
        <f t="shared" ref="DL639" ca="1" si="11861">MATCH(1,OFFSET(DK635:DK646,DM638,0,COUNT(DK635:DK646)-DM638),0)</f>
        <v>#REF!</v>
      </c>
      <c r="DM639" s="4" t="e">
        <f t="shared" ca="1" si="11810"/>
        <v>#REF!</v>
      </c>
      <c r="DN639" s="692" t="str">
        <f ca="1">IFERROR(IF(AD642="Nested Steel Stud (wood infill)",VLOOKUP(INDEX(DJ635:DJ646,DM639),SSW,2,FALSE),VLOOKUP(INDEX(DJ635:DJ646,DM639),SSM,2,FALSE)),"----")</f>
        <v>----</v>
      </c>
      <c r="DO639" s="691" t="e">
        <f t="shared" ca="1" si="11811"/>
        <v>#N/A</v>
      </c>
      <c r="DP639" s="4" t="e">
        <f ca="1">IF(AND(INDEX(WSM,DO639,4)&gt;=$AB641,INDEX(WSM,DO639,5)&gt;=$S635,INDEX(WSM,DO639,6)&gt;=$R635),1,0)</f>
        <v>#N/A</v>
      </c>
      <c r="DQ639" s="4" t="e">
        <f t="shared" ref="DQ639" ca="1" si="11862">MATCH(1,OFFSET(DP635:DP646,DR638,0,COUNT(DP635:DP646)-DR638),0)</f>
        <v>#REF!</v>
      </c>
      <c r="DR639" s="4" t="e">
        <f t="shared" ca="1" si="11813"/>
        <v>#REF!</v>
      </c>
      <c r="DS639" s="692" t="str">
        <f ca="1">IFERROR(VLOOKUP(INDEX(DO635:DO646,DR639),WSM,2,FALSE),"----")</f>
        <v>----</v>
      </c>
      <c r="DT639" s="691" t="e">
        <f t="shared" ca="1" si="11814"/>
        <v>#N/A</v>
      </c>
      <c r="DU639" s="4" t="e">
        <f ca="1">IF(AND(INDEX(STM,DT639,4)&gt;=$AB641,INDEX(STM,DT639,5)&gt;=$S635,INDEX(STM,DT639,6)&gt;=$R635),1,0)</f>
        <v>#N/A</v>
      </c>
      <c r="DV639" s="4" t="e">
        <f t="shared" ref="DV639" ca="1" si="11863">MATCH(1,OFFSET(DU635:DU646,DW638,0,COUNT(DU635:DU646)-DW638),0)</f>
        <v>#REF!</v>
      </c>
      <c r="DW639" s="4" t="e">
        <f t="shared" ca="1" si="11816"/>
        <v>#REF!</v>
      </c>
      <c r="DX639" s="692" t="str">
        <f ca="1">IFERROR(VLOOKUP(INDEX(DT635:DT646,DW639),STM,2,FALSE),"----")</f>
        <v>----</v>
      </c>
      <c r="DY639" s="691" t="e">
        <f t="shared" ca="1" si="11817"/>
        <v>#N/A</v>
      </c>
      <c r="DZ639" s="4" t="e">
        <f ca="1">IF(AND(INDEX(ELM,DY639,4)&gt;=$AB641,INDEX(ELM,DY639,5)&gt;=$S635,INDEX(ELM,DY639,6)&gt;=$R635),1,0)</f>
        <v>#N/A</v>
      </c>
      <c r="EA639" s="4" t="e">
        <f t="shared" ref="EA639" ca="1" si="11864">MATCH(1,OFFSET(DZ635:DZ646,EB638,0,COUNT(DZ635:DZ646)-EB638),0)</f>
        <v>#REF!</v>
      </c>
      <c r="EB639" s="4" t="e">
        <f t="shared" ca="1" si="11819"/>
        <v>#REF!</v>
      </c>
      <c r="EC639" s="692" t="str">
        <f ca="1">IFERROR(VLOOKUP(INDEX(DY635:DY646,EB639),ELM,2,FALSE),"----")</f>
        <v>----</v>
      </c>
      <c r="ED639" s="691" t="e">
        <f t="shared" ca="1" si="11820"/>
        <v>#N/A</v>
      </c>
      <c r="EE639" s="4" t="e">
        <f ca="1">IF(LEFT($J635,7)="Clad Wo",IF(AND(INDEX(SPPWS,ED639,4)&gt;=$AB641,INDEX(SPPWS,ED639,5)&gt;=$S635,INDEX(SPPWS,ED639,6)&gt;=$R635),1,0),IF(AND(INDEX(SPM,ED639,4)&gt;=$AB641,INDEX(SPM,ED639,5)&gt;=$S635,INDEX(SPM,ED639,6)&gt;=$R635),1,0))</f>
        <v>#N/A</v>
      </c>
      <c r="EF639" s="4" t="e">
        <f t="shared" ref="EF639" ca="1" si="11865">MATCH(1,OFFSET(EE635:EE646,EG638,0,COUNT(EE635:EE646)-EG638),0)</f>
        <v>#REF!</v>
      </c>
      <c r="EG639" s="4" t="e">
        <f t="shared" ca="1" si="11822"/>
        <v>#REF!</v>
      </c>
      <c r="EH639" s="692" t="str">
        <f ca="1">IF(LEFT($J635,7)="Clad Wo",IFERROR(VLOOKUP(INDEX(ED635:ED646,EG639),SPPWS,2,FALSE),"----"),IFERROR(VLOOKUP(INDEX(ED635:ED646,EG639),SPM,2,FALSE),"----"))</f>
        <v>----</v>
      </c>
    </row>
    <row r="640" spans="1:138" ht="15" customHeight="1" thickBot="1" x14ac:dyDescent="0.3">
      <c r="A640" s="1085"/>
      <c r="B640" s="934"/>
      <c r="C640" s="935"/>
      <c r="D640" s="936"/>
      <c r="E640" s="995"/>
      <c r="F640" s="996"/>
      <c r="G640" s="997"/>
      <c r="H640" s="1062"/>
      <c r="I640" s="990"/>
      <c r="J640" s="908"/>
      <c r="K640" s="909"/>
      <c r="L640" s="1010"/>
      <c r="M640" s="924"/>
      <c r="N640" s="1044"/>
      <c r="O640" s="1018"/>
      <c r="P640" s="987"/>
      <c r="Q640" s="1015"/>
      <c r="R640" s="1012"/>
      <c r="S640" s="1006"/>
      <c r="T640" s="1007"/>
      <c r="U640" s="878"/>
      <c r="V640" s="881"/>
      <c r="W640" s="889"/>
      <c r="X640" s="884"/>
      <c r="Y640" s="890"/>
      <c r="Z640" s="890"/>
      <c r="AA640" s="887"/>
      <c r="AB640" s="1084"/>
      <c r="AC640" s="1079"/>
      <c r="AD640" s="1072" t="str">
        <f t="shared" ref="AD640" si="11866">IF(LEFT(J635,7)="Clad Wo","Pella Wood Spr / Steel Pte","Steel Plate")</f>
        <v>Steel Plate</v>
      </c>
      <c r="AE640" s="1073"/>
      <c r="AF640" s="1054"/>
      <c r="AG640" s="1055"/>
      <c r="AH640" s="1055"/>
      <c r="AI640" s="1092"/>
      <c r="AJ640" s="1093"/>
      <c r="AK640" s="159" t="str">
        <f t="shared" ca="1" si="11298"/>
        <v/>
      </c>
      <c r="AL640" s="1040"/>
      <c r="AM640" s="345" t="str">
        <f ca="1">IFERROR(Q635/12*ROUND(VLOOKUP(AF640,OFFSET(SPM,0,1),6,FALSE),2),"")</f>
        <v/>
      </c>
      <c r="AN640" t="str">
        <f t="shared" ca="1" si="11348"/>
        <v/>
      </c>
      <c r="AP640" s="699" t="str">
        <f t="shared" ref="AP640" si="11867">_xlfn.CONCAT(AR640,AS640)</f>
        <v/>
      </c>
      <c r="AQ640" s="700" t="str">
        <f t="shared" si="11512"/>
        <v/>
      </c>
      <c r="AR640" s="160" t="str">
        <f t="shared" si="11273"/>
        <v/>
      </c>
      <c r="AS640" s="160" t="str">
        <f>IFERROR(VLOOKUP(J643, WallType,2,FALSE),"")</f>
        <v/>
      </c>
      <c r="AT640" s="701" t="str">
        <f>AL635</f>
        <v/>
      </c>
      <c r="AU640" s="694" t="e">
        <f t="shared" ca="1" si="11538"/>
        <v>#REF!</v>
      </c>
      <c r="AV640" s="698" t="str">
        <f ca="1">IFERROR(VLOOKUP(AU640,INDIRECT(AQ635),2,FALSE),"----")</f>
        <v>----</v>
      </c>
      <c r="AW640" s="702" t="e">
        <f t="shared" ca="1" si="11539"/>
        <v>#REF!</v>
      </c>
      <c r="AX640" s="698" t="str">
        <f ca="1">IFERROR(VLOOKUP(AW640,INDIRECT(AQ636),2,FALSE),"----")</f>
        <v>----</v>
      </c>
      <c r="AY640" s="702" t="e">
        <f t="shared" ref="AY640" ca="1" si="11868">AY639-1</f>
        <v>#REF!</v>
      </c>
      <c r="AZ640" s="698" t="str">
        <f ca="1">IFERROR(VLOOKUP(AY640,INDIRECT(AQ637),2,FALSE),"----")</f>
        <v>----</v>
      </c>
      <c r="BA640" s="702" t="e">
        <f t="shared" ref="BA640" ca="1" si="11869">BA639-1</f>
        <v>#REF!</v>
      </c>
      <c r="BB640" s="698" t="str">
        <f ca="1">IFERROR(VLOOKUP(BA640,INDIRECT(AQ638),2,FALSE),"----")</f>
        <v>----</v>
      </c>
      <c r="BC640" s="702" t="e">
        <f t="shared" ca="1" si="11542"/>
        <v>#REF!</v>
      </c>
      <c r="BD640" s="698" t="str">
        <f ca="1">IFERROR(VLOOKUP(BC640,INDIRECT(AQ639),2,FALSE),"----")</f>
        <v>----</v>
      </c>
      <c r="BE640" s="702" t="e">
        <f t="shared" ca="1" si="11543"/>
        <v>#REF!</v>
      </c>
      <c r="BF640" s="698" t="str">
        <f ca="1">IFERROR(VLOOKUP(BE640,INDIRECT(AQ640),2,FALSE),"----")</f>
        <v>----</v>
      </c>
      <c r="BG640" s="702" t="e">
        <f t="shared" ca="1" si="11544"/>
        <v>#REF!</v>
      </c>
      <c r="BH640" s="686" t="str">
        <f ca="1">IFERROR(VLOOKUP(BG640,INDIRECT(AQ641),2,FALSE),"----")</f>
        <v>----</v>
      </c>
      <c r="BI640" s="702" t="e">
        <f t="shared" ca="1" si="11545"/>
        <v>#REF!</v>
      </c>
      <c r="BJ640" s="686" t="str">
        <f ca="1">IFERROR(VLOOKUP(BI640,INDIRECT(AQ642),2,FALSE),"----")</f>
        <v>----</v>
      </c>
      <c r="BK640" s="702" t="e">
        <f t="shared" ca="1" si="11546"/>
        <v>#REF!</v>
      </c>
      <c r="BL640" s="686" t="str">
        <f ca="1">IFERROR(VLOOKUP(BK640,INDIRECT(AQ643),2,FALSE),"----")</f>
        <v>----</v>
      </c>
      <c r="BM640" s="702" t="e">
        <f t="shared" ca="1" si="11547"/>
        <v>#REF!</v>
      </c>
      <c r="BN640" s="686" t="str">
        <f ca="1">IFERROR(VLOOKUP(BM640,INDIRECT(AQ644),2,FALSE),"----")</f>
        <v>----</v>
      </c>
      <c r="BO640" s="702" t="e">
        <f t="shared" ca="1" si="11548"/>
        <v>#REF!</v>
      </c>
      <c r="BP640" s="686" t="str">
        <f ca="1">IFERROR(VLOOKUP(BO640,INDIRECT(AQ645),2,FALSE),"----")</f>
        <v>----</v>
      </c>
      <c r="BQ640" s="702" t="e">
        <f t="shared" ca="1" si="11549"/>
        <v>#REF!</v>
      </c>
      <c r="BR640" s="686" t="str">
        <f ca="1">IFERROR(VLOOKUP(BQ640,INDIRECT(AQ646),2,FALSE),"----")</f>
        <v>----</v>
      </c>
      <c r="BS640" s="703">
        <f>IF(AI640="",1,IF(COUNTIF(BF635:BF646,AI640)=0,2,1))</f>
        <v>1</v>
      </c>
      <c r="BT640" s="704">
        <f>IF(AF640="",1,IF(BF635=".",2,1))</f>
        <v>1</v>
      </c>
      <c r="BV640" s="155">
        <f ca="1">IF(COUNTIF(DD635:DD646,AF640)=0,IF(AF640&lt;&gt;"",0,1),1)</f>
        <v>1</v>
      </c>
      <c r="BW640" s="157">
        <f ca="1">IFERROR(MATCH(AF640,DD635:DD646,0),1)</f>
        <v>1</v>
      </c>
      <c r="BX640" s="875" t="s">
        <v>1594</v>
      </c>
      <c r="BY640" s="876"/>
      <c r="BZ640" s="1110"/>
      <c r="CA640" s="691" t="e">
        <f t="shared" ca="1" si="11787"/>
        <v>#REF!</v>
      </c>
      <c r="CB640" s="4" t="e" cm="1">
        <f t="array" aca="1" ref="CB640" ca="1">IF(AND(INDEX(INDIRECT(BY635),CA640,4)&gt;=$AB635,INDEX(INDIRECT(BY635),CA640,5)&gt;=$S635,INDEX(INDIRECT(BY635),CA640,6)&gt;=$R635),1,0)</f>
        <v>#REF!</v>
      </c>
      <c r="CC640" s="4" t="e">
        <f t="shared" ref="CC640" ca="1" si="11870">MATCH(1,OFFSET(CB635:CB646,CD639,0,COUNT(CB635:CB646)-CD639),0)</f>
        <v>#REF!</v>
      </c>
      <c r="CD640" s="4" t="e">
        <f t="shared" ca="1" si="11789"/>
        <v>#REF!</v>
      </c>
      <c r="CE640" s="692" t="str" cm="1">
        <f t="array" aca="1" ref="CE640" ca="1">IFERROR(VLOOKUP(INDEX(CA635:CA646,CD640),INDIRECT(BY635),2,FALSE),"----")</f>
        <v>----</v>
      </c>
      <c r="CF640" s="691" t="e">
        <f t="shared" ca="1" si="11790"/>
        <v>#N/A</v>
      </c>
      <c r="CG640" s="4" t="e">
        <f ca="1">IF(AND(INDEX(SSM,CF640,4)&gt;=$AB635,INDEX(SSM,CF640,5)&gt;=$S635,INDEX(SSM,CF640,6)&gt;=$R635),1,0)</f>
        <v>#N/A</v>
      </c>
      <c r="CH640" s="4" t="e">
        <f t="shared" ref="CH640" ca="1" si="11871">MATCH(1,OFFSET(CG635:CG646,CI639,0,COUNT(CG635:CG646)-CI639),0)</f>
        <v>#REF!</v>
      </c>
      <c r="CI640" s="4" t="e">
        <f t="shared" ca="1" si="11792"/>
        <v>#REF!</v>
      </c>
      <c r="CJ640" s="692" t="str">
        <f ca="1">IFERROR(IF(AD636="Nested Steel Stud (wood infill)",VLOOKUP(INDEX(CF635:CF646,CI640),SSW,2,FALSE),VLOOKUP(INDEX(CF635:CF646,CI640),SSM,2,FALSE)),"----")</f>
        <v>----</v>
      </c>
      <c r="CK640" s="691" t="e">
        <f t="shared" ca="1" si="11793"/>
        <v>#N/A</v>
      </c>
      <c r="CL640" s="4" t="e">
        <f ca="1">IF(AND(INDEX(WSM,CK640,4)&gt;=$AB635,INDEX(WSM,CK640,5)&gt;=$S635,INDEX(WSM,CK640,6)&gt;=$R635),1,0)</f>
        <v>#N/A</v>
      </c>
      <c r="CM640" s="4" t="e">
        <f t="shared" ref="CM640" ca="1" si="11872">MATCH(1,OFFSET(CL635:CL646,CN639,0,COUNT(CL635:CL646)-CN639),0)</f>
        <v>#REF!</v>
      </c>
      <c r="CN640" s="4" t="e">
        <f t="shared" ca="1" si="11795"/>
        <v>#REF!</v>
      </c>
      <c r="CO640" s="692" t="str">
        <f ca="1">IFERROR(VLOOKUP(INDEX(CK635:CK646,CN640),WSM,2,FALSE),"----")</f>
        <v>----</v>
      </c>
      <c r="CP640" s="691" t="e">
        <f t="shared" ca="1" si="11796"/>
        <v>#N/A</v>
      </c>
      <c r="CQ640" s="4" t="e">
        <f ca="1">IF(AND(INDEX(STM,CP640,4)&gt;=$AB635,INDEX(STM,CP640,5)&gt;=$S635,INDEX(STM,CP640,6)&gt;=$R635),1,0)</f>
        <v>#N/A</v>
      </c>
      <c r="CR640" s="4" t="e">
        <f t="shared" ref="CR640" ca="1" si="11873">MATCH(1,OFFSET(CQ635:CQ646,CS639,0,COUNT(CQ635:CQ646)-CS639),0)</f>
        <v>#REF!</v>
      </c>
      <c r="CS640" s="4" t="e">
        <f t="shared" ca="1" si="11798"/>
        <v>#REF!</v>
      </c>
      <c r="CT640" s="692" t="str">
        <f ca="1">IFERROR(VLOOKUP(INDEX(CP635:CP646,CS640),STM,2,FALSE),"----")</f>
        <v>----</v>
      </c>
      <c r="CU640" s="691" t="e">
        <f t="shared" ca="1" si="11799"/>
        <v>#N/A</v>
      </c>
      <c r="CV640" s="4" t="e">
        <f ca="1">IF(AND(INDEX(ELM,CU640,4)&gt;=$AB635,INDEX(ELM,CU640,5)&gt;=$S635,INDEX(ELM,CU640,6)&gt;=$R635),1,0)</f>
        <v>#N/A</v>
      </c>
      <c r="CW640" s="4" t="e">
        <f t="shared" ref="CW640" ca="1" si="11874">MATCH(1,OFFSET(CV635:CV646,CX639,0,COUNT(CV635:CV646)-CX639),0)</f>
        <v>#REF!</v>
      </c>
      <c r="CX640" s="4" t="e">
        <f t="shared" ca="1" si="11801"/>
        <v>#REF!</v>
      </c>
      <c r="CY640" s="692" t="str">
        <f ca="1">IFERROR(VLOOKUP(INDEX(CU635:CU646,CX640),ELM,2,FALSE),"----")</f>
        <v>----</v>
      </c>
      <c r="CZ640" s="691" t="e">
        <f t="shared" ca="1" si="11802"/>
        <v>#N/A</v>
      </c>
      <c r="DA640" s="4" t="e">
        <f ca="1">IF(LEFT($J635,7)="Clad Wo",IF(AND(INDEX(SPPWS,CZ640,4)&gt;=$AB635,INDEX(SPPWS,CZ640,5)&gt;=$S635,INDEX(SPPWS,CZ640,6)&gt;=$R635),1,0),IF(AND(INDEX(SPM,CZ640,4)&gt;=$AB635,INDEX(SPM,CZ640,5)&gt;=$S635,INDEX(SPM,CZ640,6)&gt;=$R635),1,0))</f>
        <v>#N/A</v>
      </c>
      <c r="DB640" s="4" t="e">
        <f t="shared" ref="DB640" ca="1" si="11875">MATCH(1,OFFSET(DA635:DA646,DC639,0,COUNT(DA635:DA646)-DC639),0)</f>
        <v>#REF!</v>
      </c>
      <c r="DC640" s="4" t="e">
        <f t="shared" ca="1" si="11804"/>
        <v>#REF!</v>
      </c>
      <c r="DD640" s="693" t="str">
        <f ca="1">IF(LEFT($J635,7)="Clad Wo",IFERROR(VLOOKUP(INDEX(CZ635:CZ646,DC640),SPPWS,2,FALSE),"----"),IFERROR(VLOOKUP(INDEX(CZ635:CZ646,DC640),SPM,2,FALSE),"----"))</f>
        <v>----</v>
      </c>
      <c r="DE640" s="691" t="e">
        <f t="shared" ca="1" si="11805"/>
        <v>#REF!</v>
      </c>
      <c r="DF640" s="4" t="e" cm="1">
        <f t="array" aca="1" ref="DF640" ca="1">IF(AND(INDEX(INDIRECT(BY635),DE640,4)&gt;=$AB641,INDEX(INDIRECT(BY635),DE640,5)&gt;=$S635,INDEX(INDIRECT(BY635),DE640,6)&gt;=$R635),1,0)</f>
        <v>#REF!</v>
      </c>
      <c r="DG640" s="4" t="e">
        <f t="shared" ref="DG640" ca="1" si="11876">MATCH(1,OFFSET(DF635:DF646,DH639,0,COUNT(DF635:DF646)-DH639),0)</f>
        <v>#REF!</v>
      </c>
      <c r="DH640" s="4" t="e">
        <f t="shared" ca="1" si="11807"/>
        <v>#REF!</v>
      </c>
      <c r="DI640" s="692" t="str" cm="1">
        <f t="array" aca="1" ref="DI640" ca="1">IFERROR(VLOOKUP(INDEX(DE635:DE646,DH640),INDIRECT(BY635),2,FALSE),"----")</f>
        <v>----</v>
      </c>
      <c r="DJ640" s="691" t="e">
        <f t="shared" ca="1" si="11808"/>
        <v>#N/A</v>
      </c>
      <c r="DK640" s="4" t="e">
        <f ca="1">IF(AND(INDEX(SSM,DJ640,4)&gt;=$AB641,INDEX(SSM,DJ640,5)&gt;=$S635,INDEX(SSM,DJ640,6)&gt;=$R635),1,0)</f>
        <v>#N/A</v>
      </c>
      <c r="DL640" s="4" t="e">
        <f t="shared" ref="DL640" ca="1" si="11877">MATCH(1,OFFSET(DK635:DK646,DM639,0,COUNT(DK635:DK646)-DM639),0)</f>
        <v>#REF!</v>
      </c>
      <c r="DM640" s="4" t="e">
        <f t="shared" ca="1" si="11810"/>
        <v>#REF!</v>
      </c>
      <c r="DN640" s="692" t="str">
        <f ca="1">IFERROR(IF(AD642="Nested Steel Stud (wood infill)",VLOOKUP(INDEX(DJ635:DJ646,DM640),SSW,2,FALSE),VLOOKUP(INDEX(DJ635:DJ646,DM640),SSM,2,FALSE)),"----")</f>
        <v>----</v>
      </c>
      <c r="DO640" s="691" t="e">
        <f t="shared" ca="1" si="11811"/>
        <v>#N/A</v>
      </c>
      <c r="DP640" s="4" t="e">
        <f ca="1">IF(AND(INDEX(WSM,DO640,4)&gt;=$AB641,INDEX(WSM,DO640,5)&gt;=$S635,INDEX(WSM,DO640,6)&gt;=$R635),1,0)</f>
        <v>#N/A</v>
      </c>
      <c r="DQ640" s="4" t="e">
        <f t="shared" ref="DQ640" ca="1" si="11878">MATCH(1,OFFSET(DP635:DP646,DR639,0,COUNT(DP635:DP646)-DR639),0)</f>
        <v>#REF!</v>
      </c>
      <c r="DR640" s="4" t="e">
        <f t="shared" ca="1" si="11813"/>
        <v>#REF!</v>
      </c>
      <c r="DS640" s="692" t="str">
        <f ca="1">IFERROR(VLOOKUP(INDEX(DO635:DO646,DR640),WSM,2,FALSE),"----")</f>
        <v>----</v>
      </c>
      <c r="DT640" s="691" t="e">
        <f t="shared" ca="1" si="11814"/>
        <v>#N/A</v>
      </c>
      <c r="DU640" s="4" t="e">
        <f ca="1">IF(AND(INDEX(STM,DT640,4)&gt;=$AB641,INDEX(STM,DT640,5)&gt;=$S635,INDEX(STM,DT640,6)&gt;=$R635),1,0)</f>
        <v>#N/A</v>
      </c>
      <c r="DV640" s="4" t="e">
        <f t="shared" ref="DV640" ca="1" si="11879">MATCH(1,OFFSET(DU635:DU646,DW639,0,COUNT(DU635:DU646)-DW639),0)</f>
        <v>#REF!</v>
      </c>
      <c r="DW640" s="4" t="e">
        <f t="shared" ca="1" si="11816"/>
        <v>#REF!</v>
      </c>
      <c r="DX640" s="692" t="str">
        <f ca="1">IFERROR(VLOOKUP(INDEX(DT635:DT646,DW640),STM,2,FALSE),"----")</f>
        <v>----</v>
      </c>
      <c r="DY640" s="691" t="e">
        <f t="shared" ca="1" si="11817"/>
        <v>#N/A</v>
      </c>
      <c r="DZ640" s="4" t="e">
        <f ca="1">IF(AND(INDEX(ELM,DY640,4)&gt;=$AB641,INDEX(ELM,DY640,5)&gt;=$S635,INDEX(ELM,DY640,6)&gt;=$R635),1,0)</f>
        <v>#N/A</v>
      </c>
      <c r="EA640" s="4" t="e">
        <f t="shared" ref="EA640" ca="1" si="11880">MATCH(1,OFFSET(DZ635:DZ646,EB639,0,COUNT(DZ635:DZ646)-EB639),0)</f>
        <v>#REF!</v>
      </c>
      <c r="EB640" s="4" t="e">
        <f t="shared" ca="1" si="11819"/>
        <v>#REF!</v>
      </c>
      <c r="EC640" s="692" t="str">
        <f ca="1">IFERROR(VLOOKUP(INDEX(DY635:DY646,EB640),ELM,2,FALSE),"----")</f>
        <v>----</v>
      </c>
      <c r="ED640" s="691" t="e">
        <f t="shared" ca="1" si="11820"/>
        <v>#N/A</v>
      </c>
      <c r="EE640" s="4" t="e">
        <f ca="1">IF(LEFT($J635,7)="Clad Wo",IF(AND(INDEX(SPPWS,ED640,4)&gt;=$AB641,INDEX(SPPWS,ED640,5)&gt;=$S635,INDEX(SPPWS,ED640,6)&gt;=$R635),1,0),IF(AND(INDEX(SPM,ED640,4)&gt;=$AB641,INDEX(SPM,ED640,5)&gt;=$S635,INDEX(SPM,ED640,6)&gt;=$R635),1,0))</f>
        <v>#N/A</v>
      </c>
      <c r="EF640" s="4" t="e">
        <f t="shared" ref="EF640" ca="1" si="11881">MATCH(1,OFFSET(EE635:EE646,EG639,0,COUNT(EE635:EE646)-EG639),0)</f>
        <v>#REF!</v>
      </c>
      <c r="EG640" s="4" t="e">
        <f t="shared" ca="1" si="11822"/>
        <v>#REF!</v>
      </c>
      <c r="EH640" s="692" t="str">
        <f ca="1">IF(LEFT($J635,7)="Clad Wo",IFERROR(VLOOKUP(INDEX(ED635:ED646,EG640),SPPWS,2,FALSE),"----"),IFERROR(VLOOKUP(INDEX(ED635:ED646,EG640),SPM,2,FALSE),"----"))</f>
        <v>----</v>
      </c>
    </row>
    <row r="641" spans="1:138" ht="15" customHeight="1" x14ac:dyDescent="0.25">
      <c r="A641" s="1085"/>
      <c r="B641" s="925" t="s">
        <v>409</v>
      </c>
      <c r="C641" s="926"/>
      <c r="D641" s="927"/>
      <c r="E641" s="995"/>
      <c r="F641" s="996"/>
      <c r="G641" s="997"/>
      <c r="H641" s="1062"/>
      <c r="I641" s="990"/>
      <c r="J641" s="908"/>
      <c r="K641" s="909"/>
      <c r="L641" s="1001">
        <f>L635+1</f>
        <v>5</v>
      </c>
      <c r="M641" s="1064" t="str">
        <f t="shared" ref="M641" si="11882">IFERROR(IF($AE$17="",IF($AG$19="Wind Loading",MIN($V$31,IF(E$11="ASCE 7-05",$U$26,$V$7)*$V$9*(IF($E$12&lt;60,0.156*LN(MAX(MIN(500,O635),10)) -1.7618,IF($E$11="ASCE 7-22", 0.2026*LN(MAX(MIN(500,O635),20))-2.2638,0.2503*LN(MAX(MIN(500,O635),20)) -2.5526))-$V$8)),$V$7*IF(E$12&lt;60,$V$13*($V$15*(0.156*LN(MAX(MIN(500,O635),10)) -1.7618)-$V$16),$V$13*$V$15*((0.2026*LN(MAX(MIN(500,O635),20))-2.2638)-$V$16))),-ABS($AE$17)),"")</f>
        <v/>
      </c>
      <c r="N641" s="1041" t="str">
        <f t="shared" ref="N641" si="11883">IFERROR(IF($AE$19="",IF($AG$19="Wind Loading",MAX($U$31,IF(E$11="ASCE 7-05",$U$26,$V$7)*$V$9*((IF($E$12&lt;60,-0.077*LN(MAX(MIN(500,O635),10))+1.1737,IF($E$11="ASCE 7-22",-0.077*LN(MAX(MIN(500,O635),20))+1.0798,-0.093*LN(MAX(MIN(500,O635),20))+1.1776)))+$V$8)),$V$7*IF(E$12&lt;60,$V$13*($V$15*(-0.077*LN(MAX(MIN(500,O635),10))+1.1737)-$V$17),$V$13*$V$15*((-0.077*LN(MAX(MIN(500,O635),20))+1.0798)-$V$17))),ABS($AE$19)),"")</f>
        <v/>
      </c>
      <c r="O641" s="1018"/>
      <c r="P641" s="987"/>
      <c r="Q641" s="1015"/>
      <c r="R641" s="1012">
        <f>P641*Q641/8</f>
        <v>0</v>
      </c>
      <c r="S641" s="1006"/>
      <c r="T641" s="1007"/>
      <c r="U641" s="878"/>
      <c r="V641" s="881"/>
      <c r="W641" s="883" t="e">
        <f t="shared" ref="W641" si="11884">MAX(-M641,N641)*O635</f>
        <v>#VALUE!</v>
      </c>
      <c r="X641" s="884"/>
      <c r="Y641" s="886">
        <f>IFERROR(IF(AG$14="Trapezoidal",BY644,BX644)+IF($E$17="4",(400*E635^3)/(48*X635),0),0)</f>
        <v>0</v>
      </c>
      <c r="Z641" s="886" t="e">
        <f t="shared" ref="Z641" si="11885">+($V635*MAX(-$M641,$N641)*$E635^2)/(144*8)+IF($E$17=4,(400*$E635)/4,0)</f>
        <v>#VALUE!</v>
      </c>
      <c r="AA641" s="887"/>
      <c r="AB641" s="1080" t="str">
        <f t="shared" ref="AB641" ca="1" si="11886">IFERROR(Z641-AA635,"")</f>
        <v/>
      </c>
      <c r="AC641" s="1086" t="str">
        <f t="shared" ref="AC641" ca="1" si="11887">IFERROR(Y641-U635,"")</f>
        <v/>
      </c>
      <c r="AD641" s="1074" t="str">
        <f t="shared" ref="AD641" si="11888">AD635</f>
        <v/>
      </c>
      <c r="AE641" s="1075"/>
      <c r="AF641" s="1056"/>
      <c r="AG641" s="1057"/>
      <c r="AH641" s="1057"/>
      <c r="AI641" s="1088"/>
      <c r="AJ641" s="1089"/>
      <c r="AK641" s="162" t="str">
        <f t="shared" ca="1" si="11298"/>
        <v/>
      </c>
      <c r="AL641" s="1058" t="str">
        <f t="shared" ref="AL641" si="11889">IFERROR(ROUND(SQRT(P635^2+(W641/2+IF($E$17=4,200,0))^2),0),"")</f>
        <v/>
      </c>
      <c r="AM641" s="342" t="s">
        <v>669</v>
      </c>
      <c r="AN641" t="str">
        <f t="shared" ca="1" si="11348"/>
        <v/>
      </c>
      <c r="AP641" s="122" t="str">
        <f t="shared" ref="AP641" si="11890">_xlfn.CONCAT(AR641,AS646)</f>
        <v/>
      </c>
      <c r="AQ641" s="683" t="str">
        <f t="shared" si="11512"/>
        <v/>
      </c>
      <c r="AR641" s="96" t="str">
        <f t="shared" si="11273"/>
        <v/>
      </c>
      <c r="AS641" s="96" t="str">
        <f>IF(COUNTIF(imp_1,AF641)=1,"imp_1",IF(COUNTIF(imp_2,AF641)=1,"imp_2",IF(COUNTIF(imp_3,AF641)=1,"imp_3",IF(COUNTIF(impdoor,AF641)=1,"impdoor",""))))</f>
        <v/>
      </c>
      <c r="AT641" s="684" t="str">
        <f>AL641</f>
        <v/>
      </c>
      <c r="AU641" s="685" t="e">
        <f t="shared" ca="1" si="11538"/>
        <v>#REF!</v>
      </c>
      <c r="AV641" s="686" t="str">
        <f ca="1">IFERROR(VLOOKUP(AU641,INDIRECT(AQ635),2,FALSE),"----")</f>
        <v>----</v>
      </c>
      <c r="AW641" s="685" t="e">
        <f t="shared" ca="1" si="11539"/>
        <v>#REF!</v>
      </c>
      <c r="AX641" s="686" t="str">
        <f ca="1">IFERROR(VLOOKUP(AW641,INDIRECT(AQ636),2,FALSE),"----")</f>
        <v>----</v>
      </c>
      <c r="AY641" s="685" t="e">
        <f t="shared" ca="1" si="11631"/>
        <v>#REF!</v>
      </c>
      <c r="AZ641" s="686" t="str">
        <f ca="1">IFERROR(VLOOKUP(AY641,INDIRECT(AQ637),2,FALSE),"----")</f>
        <v>----</v>
      </c>
      <c r="BA641" s="685" t="e">
        <f t="shared" ca="1" si="11632"/>
        <v>#REF!</v>
      </c>
      <c r="BB641" s="686" t="str">
        <f ca="1">IFERROR(VLOOKUP(BA641,INDIRECT(AQ638),2,FALSE),"----")</f>
        <v>----</v>
      </c>
      <c r="BC641" s="685" t="e">
        <f t="shared" ca="1" si="11542"/>
        <v>#REF!</v>
      </c>
      <c r="BD641" s="686" t="str">
        <f ca="1">IFERROR(VLOOKUP(BC641,INDIRECT(AQ639),2,FALSE),"----")</f>
        <v>----</v>
      </c>
      <c r="BE641" s="685" t="e">
        <f t="shared" ca="1" si="11543"/>
        <v>#REF!</v>
      </c>
      <c r="BF641" s="686" t="str">
        <f ca="1">IFERROR(VLOOKUP(BE641,INDIRECT(AQ640),2,FALSE),"----")</f>
        <v>----</v>
      </c>
      <c r="BG641" s="702" t="e">
        <f t="shared" ca="1" si="11544"/>
        <v>#REF!</v>
      </c>
      <c r="BH641" s="686" t="str">
        <f ca="1">IFERROR(VLOOKUP(BG641,INDIRECT(AQ641),2,FALSE),"----")</f>
        <v>----</v>
      </c>
      <c r="BI641" s="702" t="e">
        <f t="shared" ca="1" si="11545"/>
        <v>#REF!</v>
      </c>
      <c r="BJ641" s="686" t="str">
        <f ca="1">IFERROR(VLOOKUP(BI641,INDIRECT(AQ642),2,FALSE),"----")</f>
        <v>----</v>
      </c>
      <c r="BK641" s="702" t="e">
        <f t="shared" ca="1" si="11546"/>
        <v>#REF!</v>
      </c>
      <c r="BL641" s="686" t="str">
        <f ca="1">IFERROR(VLOOKUP(BK641,INDIRECT(AQ643),2,FALSE),"----")</f>
        <v>----</v>
      </c>
      <c r="BM641" s="702" t="e">
        <f t="shared" ca="1" si="11547"/>
        <v>#REF!</v>
      </c>
      <c r="BN641" s="686" t="str">
        <f ca="1">IFERROR(VLOOKUP(BM641,INDIRECT(AQ644),2,FALSE),"----")</f>
        <v>----</v>
      </c>
      <c r="BO641" s="702" t="e">
        <f t="shared" ca="1" si="11548"/>
        <v>#REF!</v>
      </c>
      <c r="BP641" s="686" t="str">
        <f ca="1">IFERROR(VLOOKUP(BO641,INDIRECT(AQ645),2,FALSE),"----")</f>
        <v>----</v>
      </c>
      <c r="BQ641" s="702" t="e">
        <f t="shared" ca="1" si="11549"/>
        <v>#REF!</v>
      </c>
      <c r="BR641" s="686" t="str">
        <f ca="1">IFERROR(VLOOKUP(BQ641,INDIRECT(AQ646),2,FALSE),"----")</f>
        <v>----</v>
      </c>
      <c r="BS641" s="695">
        <f>IF(AI641="",1,IF(COUNTIF(BH635:BH646,AI641)=0,2,1))</f>
        <v>1</v>
      </c>
      <c r="BT641" s="696">
        <f>IF(AP641="1",1,IF(AF641="",1,IF(BH635=".",2,1)))</f>
        <v>1</v>
      </c>
      <c r="BU641" s="706"/>
      <c r="BV641" s="155">
        <f ca="1">IF(COUNTIF(DI635:DI646,AF641)=0,IF(AF641&lt;&gt;"",0,1),1)</f>
        <v>1</v>
      </c>
      <c r="BW641" s="157">
        <f ca="1">IFERROR(MATCH(AF641,DI635:DI646,0),1)</f>
        <v>1</v>
      </c>
      <c r="BX641" s="769" t="s">
        <v>1593</v>
      </c>
      <c r="BY641" s="769" t="s">
        <v>1629</v>
      </c>
      <c r="BZ641" s="1110"/>
      <c r="CA641" s="691" t="e">
        <f t="shared" ca="1" si="11787"/>
        <v>#REF!</v>
      </c>
      <c r="CB641" s="4" t="e" cm="1">
        <f t="array" aca="1" ref="CB641" ca="1">IF(AND(INDEX(INDIRECT(BY635),CA641,4)&gt;=$AB635,INDEX(INDIRECT(BY635),CA641,5)&gt;=$S635,INDEX(INDIRECT(BY635),CA641,6)&gt;=$R635),1,0)</f>
        <v>#REF!</v>
      </c>
      <c r="CC641" s="4" t="e">
        <f t="shared" ref="CC641" ca="1" si="11891">MATCH(1,OFFSET(CB635:CB646,CD640,0,COUNT(CB635:CB646)-CD640),0)</f>
        <v>#REF!</v>
      </c>
      <c r="CD641" s="4" t="e">
        <f t="shared" ca="1" si="11789"/>
        <v>#REF!</v>
      </c>
      <c r="CE641" s="692" t="str" cm="1">
        <f t="array" aca="1" ref="CE641" ca="1">IFERROR(VLOOKUP(INDEX(CA635:CA646,CD641),INDIRECT(BY635),2,FALSE),"----")</f>
        <v>----</v>
      </c>
      <c r="CF641" s="691" t="e">
        <f t="shared" ca="1" si="11790"/>
        <v>#N/A</v>
      </c>
      <c r="CG641" s="4" t="e">
        <f ca="1">IF(AND(INDEX(SSM,CF641,4)&gt;=$AB635,INDEX(SSM,CF641,5)&gt;=$S635,INDEX(SSM,CF641,6)&gt;=$R635),1,0)</f>
        <v>#N/A</v>
      </c>
      <c r="CH641" s="4" t="e">
        <f t="shared" ref="CH641" ca="1" si="11892">MATCH(1,OFFSET(CG635:CG646,CI640,0,COUNT(CG635:CG646)-CI640),0)</f>
        <v>#REF!</v>
      </c>
      <c r="CI641" s="4" t="e">
        <f t="shared" ca="1" si="11792"/>
        <v>#REF!</v>
      </c>
      <c r="CJ641" s="692" t="str">
        <f ca="1">IFERROR(IF(AD636="Nested Steel Stud (wood infill)",VLOOKUP(INDEX(CF635:CF646,CI641),SSW,2,FALSE),VLOOKUP(INDEX(CF635:CF646,CI641),SSM,2,FALSE)),"----")</f>
        <v>----</v>
      </c>
      <c r="CK641" s="691" t="e">
        <f t="shared" ca="1" si="11793"/>
        <v>#N/A</v>
      </c>
      <c r="CL641" s="4" t="e">
        <f ca="1">IF(AND(INDEX(WSM,CK641,4)&gt;=$AB635,INDEX(WSM,CK641,5)&gt;=$S635,INDEX(WSM,CK641,6)&gt;=$R635),1,0)</f>
        <v>#N/A</v>
      </c>
      <c r="CM641" s="4" t="e">
        <f t="shared" ref="CM641" ca="1" si="11893">MATCH(1,OFFSET(CL635:CL646,CN640,0,COUNT(CL635:CL646)-CN640),0)</f>
        <v>#REF!</v>
      </c>
      <c r="CN641" s="4" t="e">
        <f t="shared" ca="1" si="11795"/>
        <v>#REF!</v>
      </c>
      <c r="CO641" s="692" t="str">
        <f ca="1">IFERROR(VLOOKUP(INDEX(CK635:CK646,CN641),WSM,2,FALSE),"----")</f>
        <v>----</v>
      </c>
      <c r="CP641" s="691" t="e">
        <f t="shared" ca="1" si="11796"/>
        <v>#N/A</v>
      </c>
      <c r="CQ641" s="4" t="e">
        <f ca="1">IF(AND(INDEX(STM,CP641,4)&gt;=$AB635,INDEX(STM,CP641,5)&gt;=$S635,INDEX(STM,CP641,6)&gt;=$R635),1,0)</f>
        <v>#N/A</v>
      </c>
      <c r="CR641" s="4" t="e">
        <f t="shared" ref="CR641" ca="1" si="11894">MATCH(1,OFFSET(CQ635:CQ646,CS640,0,COUNT(CQ635:CQ646)-CS640),0)</f>
        <v>#REF!</v>
      </c>
      <c r="CS641" s="4" t="e">
        <f t="shared" ca="1" si="11798"/>
        <v>#REF!</v>
      </c>
      <c r="CT641" s="692" t="str">
        <f ca="1">IFERROR(VLOOKUP(INDEX(CP635:CP646,CS641),STM,2,FALSE),"----")</f>
        <v>----</v>
      </c>
      <c r="CU641" s="691" t="e">
        <f t="shared" ca="1" si="11799"/>
        <v>#N/A</v>
      </c>
      <c r="CV641" s="4" t="e">
        <f ca="1">IF(AND(INDEX(ELM,CU641,4)&gt;=$AB635,INDEX(ELM,CU641,5)&gt;=$S635,INDEX(ELM,CU641,6)&gt;=$R635),1,0)</f>
        <v>#N/A</v>
      </c>
      <c r="CW641" s="4" t="e">
        <f t="shared" ref="CW641" ca="1" si="11895">MATCH(1,OFFSET(CV635:CV646,CX640,0,COUNT(CV635:CV646)-CX640),0)</f>
        <v>#REF!</v>
      </c>
      <c r="CX641" s="4" t="e">
        <f t="shared" ca="1" si="11801"/>
        <v>#REF!</v>
      </c>
      <c r="CY641" s="692" t="str">
        <f ca="1">IFERROR(VLOOKUP(INDEX(CU635:CU646,CX641),ELM,2,FALSE),"----")</f>
        <v>----</v>
      </c>
      <c r="CZ641" s="691" t="e">
        <f t="shared" ca="1" si="11802"/>
        <v>#N/A</v>
      </c>
      <c r="DA641" s="4" t="e">
        <f ca="1">IF(LEFT($J635,7)="Clad Wo",IF(AND(INDEX(SPPWS,CZ641,4)&gt;=$AB635,INDEX(SPPWS,CZ641,5)&gt;=$S635,INDEX(SPPWS,CZ641,6)&gt;=$R635),1,0),IF(AND(INDEX(SPM,CZ641,4)&gt;=$AB635,INDEX(SPM,CZ641,5)&gt;=$S635,INDEX(SPM,CZ641,6)&gt;=$R635),1,0))</f>
        <v>#N/A</v>
      </c>
      <c r="DB641" s="4" t="e">
        <f t="shared" ref="DB641" ca="1" si="11896">MATCH(1,OFFSET(DA635:DA646,DC640,0,COUNT(DA635:DA646)-DC640),0)</f>
        <v>#REF!</v>
      </c>
      <c r="DC641" s="4" t="e">
        <f t="shared" ca="1" si="11804"/>
        <v>#REF!</v>
      </c>
      <c r="DD641" s="693" t="str">
        <f ca="1">IF(LEFT($J635,7)="Clad Wo",IFERROR(VLOOKUP(INDEX(CZ635:CZ646,DC641),SPPWS,2,FALSE),"----"),IFERROR(VLOOKUP(INDEX(CZ635:CZ646,DC641),SPM,2,FALSE),"----"))</f>
        <v>----</v>
      </c>
      <c r="DE641" s="691" t="e">
        <f t="shared" ca="1" si="11805"/>
        <v>#REF!</v>
      </c>
      <c r="DF641" s="4" t="e" cm="1">
        <f t="array" aca="1" ref="DF641" ca="1">IF(AND(INDEX(INDIRECT(BY635),DE641,4)&gt;=$AB641,INDEX(INDIRECT(BY635),DE641,5)&gt;=$S635,INDEX(INDIRECT(BY635),DE641,6)&gt;=$R635),1,0)</f>
        <v>#REF!</v>
      </c>
      <c r="DG641" s="4" t="e">
        <f t="shared" ref="DG641" ca="1" si="11897">MATCH(1,OFFSET(DF635:DF646,DH640,0,COUNT(DF635:DF646)-DH640),0)</f>
        <v>#REF!</v>
      </c>
      <c r="DH641" s="4" t="e">
        <f t="shared" ca="1" si="11807"/>
        <v>#REF!</v>
      </c>
      <c r="DI641" s="692" t="str" cm="1">
        <f t="array" aca="1" ref="DI641" ca="1">IFERROR(VLOOKUP(INDEX(DE635:DE646,DH641),INDIRECT(BY635),2,FALSE),"----")</f>
        <v>----</v>
      </c>
      <c r="DJ641" s="691" t="e">
        <f t="shared" ca="1" si="11808"/>
        <v>#N/A</v>
      </c>
      <c r="DK641" s="4" t="e">
        <f ca="1">IF(AND(INDEX(SSM,DJ641,4)&gt;=$AB641,INDEX(SSM,DJ641,5)&gt;=$S635,INDEX(SSM,DJ641,6)&gt;=$R635),1,0)</f>
        <v>#N/A</v>
      </c>
      <c r="DL641" s="4" t="e">
        <f t="shared" ref="DL641" ca="1" si="11898">MATCH(1,OFFSET(DK635:DK646,DM640,0,COUNT(DK635:DK646)-DM640),0)</f>
        <v>#REF!</v>
      </c>
      <c r="DM641" s="4" t="e">
        <f t="shared" ca="1" si="11810"/>
        <v>#REF!</v>
      </c>
      <c r="DN641" s="692" t="str">
        <f ca="1">IFERROR(IF(AD642="Nested Steel Stud (wood infill)",VLOOKUP(INDEX(DJ635:DJ646,DM641),SSW,2,FALSE),VLOOKUP(INDEX(DJ635:DJ646,DM641),SSM,2,FALSE)),"----")</f>
        <v>----</v>
      </c>
      <c r="DO641" s="691" t="e">
        <f t="shared" ca="1" si="11811"/>
        <v>#N/A</v>
      </c>
      <c r="DP641" s="4" t="e">
        <f ca="1">IF(AND(INDEX(WSM,DO641,4)&gt;=$AB641,INDEX(WSM,DO641,5)&gt;=$S635,INDEX(WSM,DO641,6)&gt;=$R635),1,0)</f>
        <v>#N/A</v>
      </c>
      <c r="DQ641" s="4" t="e">
        <f t="shared" ref="DQ641" ca="1" si="11899">MATCH(1,OFFSET(DP635:DP646,DR640,0,COUNT(DP635:DP646)-DR640),0)</f>
        <v>#REF!</v>
      </c>
      <c r="DR641" s="4" t="e">
        <f t="shared" ca="1" si="11813"/>
        <v>#REF!</v>
      </c>
      <c r="DS641" s="692" t="str">
        <f ca="1">IFERROR(VLOOKUP(INDEX(DO635:DO646,DR641),WSM,2,FALSE),"----")</f>
        <v>----</v>
      </c>
      <c r="DT641" s="691" t="e">
        <f t="shared" ca="1" si="11814"/>
        <v>#N/A</v>
      </c>
      <c r="DU641" s="4" t="e">
        <f ca="1">IF(AND(INDEX(STM,DT641,4)&gt;=$AB641,INDEX(STM,DT641,5)&gt;=$S635,INDEX(STM,DT641,6)&gt;=$R635),1,0)</f>
        <v>#N/A</v>
      </c>
      <c r="DV641" s="4" t="e">
        <f t="shared" ref="DV641" ca="1" si="11900">MATCH(1,OFFSET(DU635:DU646,DW640,0,COUNT(DU635:DU646)-DW640),0)</f>
        <v>#REF!</v>
      </c>
      <c r="DW641" s="4" t="e">
        <f t="shared" ca="1" si="11816"/>
        <v>#REF!</v>
      </c>
      <c r="DX641" s="692" t="str">
        <f ca="1">IFERROR(VLOOKUP(INDEX(DT635:DT646,DW641),STM,2,FALSE),"----")</f>
        <v>----</v>
      </c>
      <c r="DY641" s="691" t="e">
        <f t="shared" ca="1" si="11817"/>
        <v>#N/A</v>
      </c>
      <c r="DZ641" s="4" t="e">
        <f ca="1">IF(AND(INDEX(ELM,DY641,4)&gt;=$AB641,INDEX(ELM,DY641,5)&gt;=$S635,INDEX(ELM,DY641,6)&gt;=$R635),1,0)</f>
        <v>#N/A</v>
      </c>
      <c r="EA641" s="4" t="e">
        <f t="shared" ref="EA641" ca="1" si="11901">MATCH(1,OFFSET(DZ635:DZ646,EB640,0,COUNT(DZ635:DZ646)-EB640),0)</f>
        <v>#REF!</v>
      </c>
      <c r="EB641" s="4" t="e">
        <f t="shared" ca="1" si="11819"/>
        <v>#REF!</v>
      </c>
      <c r="EC641" s="692" t="str">
        <f ca="1">IFERROR(VLOOKUP(INDEX(DY635:DY646,EB641),ELM,2,FALSE),"----")</f>
        <v>----</v>
      </c>
      <c r="ED641" s="691" t="e">
        <f t="shared" ca="1" si="11820"/>
        <v>#N/A</v>
      </c>
      <c r="EE641" s="4" t="e">
        <f ca="1">IF(LEFT($J635,7)="Clad Wo",IF(AND(INDEX(SPPWS,ED641,4)&gt;=$AB641,INDEX(SPPWS,ED641,5)&gt;=$S635,INDEX(SPPWS,ED641,6)&gt;=$R635),1,0),IF(AND(INDEX(SPM,ED641,4)&gt;=$AB641,INDEX(SPM,ED641,5)&gt;=$S635,INDEX(SPM,ED641,6)&gt;=$R635),1,0))</f>
        <v>#N/A</v>
      </c>
      <c r="EF641" s="4" t="e">
        <f t="shared" ref="EF641" ca="1" si="11902">MATCH(1,OFFSET(EE635:EE646,EG640,0,COUNT(EE635:EE646)-EG640),0)</f>
        <v>#REF!</v>
      </c>
      <c r="EG641" s="4" t="e">
        <f t="shared" ca="1" si="11822"/>
        <v>#REF!</v>
      </c>
      <c r="EH641" s="692" t="str">
        <f ca="1">IF(LEFT($J635,7)="Clad Wo",IFERROR(VLOOKUP(INDEX(ED635:ED646,EG641),SPPWS,2,FALSE),"----"),IFERROR(VLOOKUP(INDEX(ED635:ED646,EG641),SPM,2,FALSE),"----"))</f>
        <v>----</v>
      </c>
    </row>
    <row r="642" spans="1:138" ht="15" customHeight="1" x14ac:dyDescent="0.25">
      <c r="A642" s="1085"/>
      <c r="B642" s="925"/>
      <c r="C642" s="926"/>
      <c r="D642" s="927"/>
      <c r="E642" s="995"/>
      <c r="F642" s="996"/>
      <c r="G642" s="997"/>
      <c r="H642" s="1062"/>
      <c r="I642" s="990"/>
      <c r="J642" s="912"/>
      <c r="K642" s="913"/>
      <c r="L642" s="1002"/>
      <c r="M642" s="923"/>
      <c r="N642" s="1042"/>
      <c r="O642" s="1018"/>
      <c r="P642" s="987"/>
      <c r="Q642" s="1015"/>
      <c r="R642" s="1012"/>
      <c r="S642" s="1006"/>
      <c r="T642" s="1007"/>
      <c r="U642" s="878"/>
      <c r="V642" s="881"/>
      <c r="W642" s="884"/>
      <c r="X642" s="884"/>
      <c r="Y642" s="887"/>
      <c r="Z642" s="887"/>
      <c r="AA642" s="887"/>
      <c r="AB642" s="1081"/>
      <c r="AC642" s="1078"/>
      <c r="AD642" s="1070" t="str">
        <f t="shared" ref="AD642" si="11903">IF(ISBLANK(AD636)=TRUE,"",AD636)</f>
        <v>Nested Steel Stud</v>
      </c>
      <c r="AE642" s="1071"/>
      <c r="AF642" s="1052"/>
      <c r="AG642" s="1053"/>
      <c r="AH642" s="1053"/>
      <c r="AI642" s="1066"/>
      <c r="AJ642" s="1067"/>
      <c r="AK642" s="156" t="str">
        <f t="shared" ca="1" si="11298"/>
        <v/>
      </c>
      <c r="AL642" s="1059"/>
      <c r="AM642" s="343" t="str">
        <f ca="1">IFERROR(Q635/12*ROUND(VLOOKUP(AF642,OFFSET(SSM,0,1),6,FALSE),2),"")</f>
        <v/>
      </c>
      <c r="AN642" t="str">
        <f t="shared" ca="1" si="11348"/>
        <v/>
      </c>
      <c r="AP642" s="122" t="str">
        <f t="shared" ref="AP642" si="11904">_xlfn.CONCAT(AR642,AS646)</f>
        <v/>
      </c>
      <c r="AQ642" s="683" t="str">
        <f t="shared" si="11512"/>
        <v/>
      </c>
      <c r="AR642" s="96" t="str">
        <f t="shared" si="11273"/>
        <v/>
      </c>
      <c r="AS642" s="96" t="str">
        <f>IF(COUNTIF(Vista_1,AF641)=1,"Vista_1",IF(COUNTIF(Vista_2,AF641)=1,"Vista_2",""))</f>
        <v/>
      </c>
      <c r="AT642" s="684" t="str">
        <f>AL641</f>
        <v/>
      </c>
      <c r="AU642" s="694" t="e">
        <f t="shared" ca="1" si="11538"/>
        <v>#REF!</v>
      </c>
      <c r="AV642" s="686" t="str">
        <f ca="1">IFERROR(VLOOKUP(AU642,INDIRECT(AQ635),2,FALSE),"----")</f>
        <v>----</v>
      </c>
      <c r="AW642" s="694" t="e">
        <f t="shared" ca="1" si="11539"/>
        <v>#REF!</v>
      </c>
      <c r="AX642" s="686" t="str">
        <f ca="1">IFERROR(VLOOKUP(AW642,INDIRECT(AQ636),2,FALSE),"----")</f>
        <v>----</v>
      </c>
      <c r="AY642" s="694" t="e">
        <f t="shared" ca="1" si="11631"/>
        <v>#REF!</v>
      </c>
      <c r="AZ642" s="686" t="str">
        <f ca="1">IFERROR(VLOOKUP(AY642,INDIRECT(AQ637),2,FALSE),"----")</f>
        <v>----</v>
      </c>
      <c r="BA642" s="694" t="e">
        <f t="shared" ca="1" si="11632"/>
        <v>#REF!</v>
      </c>
      <c r="BB642" s="686" t="str">
        <f ca="1">IFERROR(VLOOKUP(BA642,INDIRECT(AQ638),2,FALSE),"----")</f>
        <v>----</v>
      </c>
      <c r="BC642" s="694" t="e">
        <f t="shared" ca="1" si="11542"/>
        <v>#REF!</v>
      </c>
      <c r="BD642" s="686" t="str">
        <f ca="1">IFERROR(VLOOKUP(BC642,INDIRECT(AQ639),2,FALSE),"----")</f>
        <v>----</v>
      </c>
      <c r="BE642" s="694" t="e">
        <f t="shared" ca="1" si="11543"/>
        <v>#REF!</v>
      </c>
      <c r="BF642" s="686" t="str">
        <f ca="1">IFERROR(VLOOKUP(BE642,INDIRECT(AQ640),2,FALSE),"----")</f>
        <v>----</v>
      </c>
      <c r="BG642" s="702" t="e">
        <f t="shared" ca="1" si="11544"/>
        <v>#REF!</v>
      </c>
      <c r="BH642" s="686" t="str">
        <f ca="1">IFERROR(VLOOKUP(BG642,INDIRECT(AQ641),2,FALSE),"----")</f>
        <v>----</v>
      </c>
      <c r="BI642" s="702" t="e">
        <f t="shared" ca="1" si="11545"/>
        <v>#REF!</v>
      </c>
      <c r="BJ642" s="686" t="str">
        <f ca="1">IFERROR(VLOOKUP(BI642,INDIRECT(AQ642),2,FALSE),"----")</f>
        <v>----</v>
      </c>
      <c r="BK642" s="702" t="e">
        <f t="shared" ca="1" si="11546"/>
        <v>#REF!</v>
      </c>
      <c r="BL642" s="686" t="str">
        <f ca="1">IFERROR(VLOOKUP(BK642,INDIRECT(AQ643),2,FALSE),"----")</f>
        <v>----</v>
      </c>
      <c r="BM642" s="702" t="e">
        <f t="shared" ca="1" si="11547"/>
        <v>#REF!</v>
      </c>
      <c r="BN642" s="686" t="str">
        <f ca="1">IFERROR(VLOOKUP(BM642,INDIRECT(AQ644),2,FALSE),"----")</f>
        <v>----</v>
      </c>
      <c r="BO642" s="702" t="e">
        <f t="shared" ca="1" si="11548"/>
        <v>#REF!</v>
      </c>
      <c r="BP642" s="686" t="str">
        <f ca="1">IFERROR(VLOOKUP(BO642,INDIRECT(AQ645),2,FALSE),"----")</f>
        <v>----</v>
      </c>
      <c r="BQ642" s="702" t="e">
        <f t="shared" ca="1" si="11549"/>
        <v>#REF!</v>
      </c>
      <c r="BR642" s="686" t="str">
        <f ca="1">IFERROR(VLOOKUP(BQ642,INDIRECT(AQ646),2,FALSE),"----")</f>
        <v>----</v>
      </c>
      <c r="BS642" s="695">
        <f>IF(AI642="",1,IF(COUNTIF(BJ635:BJ646,AI642)=0,2,1))</f>
        <v>1</v>
      </c>
      <c r="BT642" s="696">
        <f>IF(AF642="",1,IF(BJ635=".",2,1))</f>
        <v>1</v>
      </c>
      <c r="BU642" s="706"/>
      <c r="BV642" s="155">
        <f ca="1">IF(COUNTIF(DN635:DN646,AF642)=0,IF(AF642&lt;&gt;"",0,1),1)</f>
        <v>1</v>
      </c>
      <c r="BW642" s="157">
        <f ca="1">IFERROR(MATCH(AF642,DN635:DN646,0),1)</f>
        <v>1</v>
      </c>
      <c r="BX642" s="769">
        <f t="shared" ref="BX642" si="11905">E635*(H635+I635)/144/2</f>
        <v>0</v>
      </c>
      <c r="BY642" s="769">
        <f>SUM(IF(H635&gt;E635,E635^2/4,(H635*E635/2)-(H635^2/4))/144,IF(I635&gt;E635,E635^2/4,(I635*E635/2)-(I635^2/4))/144)</f>
        <v>0</v>
      </c>
      <c r="BZ642" s="1110"/>
      <c r="CA642" s="691" t="e">
        <f t="shared" ca="1" si="11787"/>
        <v>#REF!</v>
      </c>
      <c r="CB642" s="4" t="e" cm="1">
        <f t="array" aca="1" ref="CB642" ca="1">IF(AND(INDEX(INDIRECT(BY635),CA642,4)&gt;=$AB635,INDEX(INDIRECT(BY635),CA642,5)&gt;=$S635,INDEX(INDIRECT(BY635),CA642,6)&gt;=$R635),1,0)</f>
        <v>#REF!</v>
      </c>
      <c r="CC642" s="4" t="e">
        <f t="shared" ref="CC642" ca="1" si="11906">MATCH(1,OFFSET(CB635:CB646,CD641,0,COUNT(CB635:CB646)-CD641),0)</f>
        <v>#REF!</v>
      </c>
      <c r="CD642" s="4" t="e">
        <f t="shared" ca="1" si="11789"/>
        <v>#REF!</v>
      </c>
      <c r="CE642" s="692" t="str" cm="1">
        <f t="array" aca="1" ref="CE642" ca="1">IFERROR(VLOOKUP(INDEX(CA635:CA646,CD642),INDIRECT(BY635),2,FALSE),"----")</f>
        <v>----</v>
      </c>
      <c r="CF642" s="691" t="e">
        <f t="shared" ca="1" si="11790"/>
        <v>#N/A</v>
      </c>
      <c r="CG642" s="4" t="e">
        <f ca="1">IF(AND(INDEX(SSM,CF642,4)&gt;=$AB635,INDEX(SSM,CF642,5)&gt;=$S635,INDEX(SSM,CF642,6)&gt;=$R635),1,0)</f>
        <v>#N/A</v>
      </c>
      <c r="CH642" s="4" t="e">
        <f t="shared" ref="CH642" ca="1" si="11907">MATCH(1,OFFSET(CG635:CG646,CI641,0,COUNT(CG635:CG646)-CI641),0)</f>
        <v>#REF!</v>
      </c>
      <c r="CI642" s="4" t="e">
        <f t="shared" ca="1" si="11792"/>
        <v>#REF!</v>
      </c>
      <c r="CJ642" s="692" t="str">
        <f ca="1">IFERROR(IF(AD636="Nested Steel Stud (wood infill)",VLOOKUP(INDEX(CF635:CF646,CI642),SSW,2,FALSE),VLOOKUP(INDEX(CF635:CF646,CI642),SSM,2,FALSE)),"----")</f>
        <v>----</v>
      </c>
      <c r="CK642" s="691" t="e">
        <f t="shared" ca="1" si="11793"/>
        <v>#N/A</v>
      </c>
      <c r="CL642" s="4" t="e">
        <f ca="1">IF(AND(INDEX(WSM,CK642,4)&gt;=$AB635,INDEX(WSM,CK642,5)&gt;=$S635,INDEX(WSM,CK642,6)&gt;=$R635),1,0)</f>
        <v>#N/A</v>
      </c>
      <c r="CM642" s="4" t="e">
        <f t="shared" ref="CM642" ca="1" si="11908">MATCH(1,OFFSET(CL635:CL646,CN641,0,COUNT(CL635:CL646)-CN641),0)</f>
        <v>#REF!</v>
      </c>
      <c r="CN642" s="4" t="e">
        <f t="shared" ca="1" si="11795"/>
        <v>#REF!</v>
      </c>
      <c r="CO642" s="692" t="str">
        <f ca="1">IFERROR(VLOOKUP(INDEX(CK635:CK646,CN642),WSM,2,FALSE),"----")</f>
        <v>----</v>
      </c>
      <c r="CP642" s="691" t="e">
        <f t="shared" ca="1" si="11796"/>
        <v>#N/A</v>
      </c>
      <c r="CQ642" s="4" t="e">
        <f ca="1">IF(AND(INDEX(STM,CP642,4)&gt;=$AB635,INDEX(STM,CP642,5)&gt;=$S635,INDEX(STM,CP642,6)&gt;=$R635),1,0)</f>
        <v>#N/A</v>
      </c>
      <c r="CR642" s="4" t="e">
        <f t="shared" ref="CR642" ca="1" si="11909">MATCH(1,OFFSET(CQ635:CQ646,CS641,0,COUNT(CQ635:CQ646)-CS641),0)</f>
        <v>#REF!</v>
      </c>
      <c r="CS642" s="4" t="e">
        <f t="shared" ca="1" si="11798"/>
        <v>#REF!</v>
      </c>
      <c r="CT642" s="692" t="str">
        <f ca="1">IFERROR(VLOOKUP(INDEX(CP635:CP646,CS642),STM,2,FALSE),"----")</f>
        <v>----</v>
      </c>
      <c r="CU642" s="691" t="e">
        <f t="shared" ca="1" si="11799"/>
        <v>#N/A</v>
      </c>
      <c r="CV642" s="4" t="e">
        <f ca="1">IF(AND(INDEX(ELM,CU642,4)&gt;=$AB635,INDEX(ELM,CU642,5)&gt;=$S635,INDEX(ELM,CU642,6)&gt;=$R635),1,0)</f>
        <v>#N/A</v>
      </c>
      <c r="CW642" s="4" t="e">
        <f t="shared" ref="CW642" ca="1" si="11910">MATCH(1,OFFSET(CV635:CV646,CX641,0,COUNT(CV635:CV646)-CX641),0)</f>
        <v>#REF!</v>
      </c>
      <c r="CX642" s="4" t="e">
        <f t="shared" ca="1" si="11801"/>
        <v>#REF!</v>
      </c>
      <c r="CY642" s="692" t="str">
        <f ca="1">IFERROR(VLOOKUP(INDEX(CU635:CU646,CX642),ELM,2,FALSE),"----")</f>
        <v>----</v>
      </c>
      <c r="CZ642" s="691" t="e">
        <f t="shared" ca="1" si="11802"/>
        <v>#N/A</v>
      </c>
      <c r="DA642" s="4" t="e">
        <f ca="1">IF(LEFT($J635,7)="Clad Wo",IF(AND(INDEX(SPPWS,CZ642,4)&gt;=$AB635,INDEX(SPPWS,CZ642,5)&gt;=$S635,INDEX(SPPWS,CZ642,6)&gt;=$R635),1,0),IF(AND(INDEX(SPM,CZ642,4)&gt;=$AB635,INDEX(SPM,CZ642,5)&gt;=$S635,INDEX(SPM,CZ642,6)&gt;=$R635),1,0))</f>
        <v>#N/A</v>
      </c>
      <c r="DB642" s="4" t="e">
        <f t="shared" ref="DB642" ca="1" si="11911">MATCH(1,OFFSET(DA635:DA646,DC641,0,COUNT(DA635:DA646)-DC641),0)</f>
        <v>#REF!</v>
      </c>
      <c r="DC642" s="4" t="e">
        <f t="shared" ca="1" si="11804"/>
        <v>#REF!</v>
      </c>
      <c r="DD642" s="693" t="str">
        <f ca="1">IF(LEFT($J635,7)="Clad Wo",IFERROR(VLOOKUP(INDEX(CZ635:CZ646,DC642),SPPWS,2,FALSE),"----"),IFERROR(VLOOKUP(INDEX(CZ635:CZ646,DC642),SPM,2,FALSE),"----"))</f>
        <v>----</v>
      </c>
      <c r="DE642" s="691" t="e">
        <f t="shared" ca="1" si="11805"/>
        <v>#REF!</v>
      </c>
      <c r="DF642" s="4" t="e" cm="1">
        <f t="array" aca="1" ref="DF642" ca="1">IF(AND(INDEX(INDIRECT(BY635),DE642,4)&gt;=$AB641,INDEX(INDIRECT(BY635),DE642,5)&gt;=$S635,INDEX(INDIRECT(BY635),DE642,6)&gt;=$R635),1,0)</f>
        <v>#REF!</v>
      </c>
      <c r="DG642" s="4" t="e">
        <f t="shared" ref="DG642" ca="1" si="11912">MATCH(1,OFFSET(DF635:DF646,DH641,0,COUNT(DF635:DF646)-DH641),0)</f>
        <v>#REF!</v>
      </c>
      <c r="DH642" s="4" t="e">
        <f t="shared" ca="1" si="11807"/>
        <v>#REF!</v>
      </c>
      <c r="DI642" s="692" t="str" cm="1">
        <f t="array" aca="1" ref="DI642" ca="1">IFERROR(VLOOKUP(INDEX(DE635:DE646,DH642),INDIRECT(BY635),2,FALSE),"----")</f>
        <v>----</v>
      </c>
      <c r="DJ642" s="691" t="e">
        <f t="shared" ca="1" si="11808"/>
        <v>#N/A</v>
      </c>
      <c r="DK642" s="4" t="e">
        <f ca="1">IF(AND(INDEX(SSM,DJ642,4)&gt;=$AB641,INDEX(SSM,DJ642,5)&gt;=$S635,INDEX(SSM,DJ642,6)&gt;=$R635),1,0)</f>
        <v>#N/A</v>
      </c>
      <c r="DL642" s="4" t="e">
        <f t="shared" ref="DL642" ca="1" si="11913">MATCH(1,OFFSET(DK635:DK646,DM641,0,COUNT(DK635:DK646)-DM641),0)</f>
        <v>#REF!</v>
      </c>
      <c r="DM642" s="4" t="e">
        <f t="shared" ca="1" si="11810"/>
        <v>#REF!</v>
      </c>
      <c r="DN642" s="692" t="str">
        <f ca="1">IFERROR(IF(AD642="Nested Steel Stud (wood infill)",VLOOKUP(INDEX(DJ635:DJ646,DM642),SSW,2,FALSE),VLOOKUP(INDEX(DJ635:DJ646,DM642),SSM,2,FALSE)),"----")</f>
        <v>----</v>
      </c>
      <c r="DO642" s="691" t="e">
        <f t="shared" ca="1" si="11811"/>
        <v>#N/A</v>
      </c>
      <c r="DP642" s="4" t="e">
        <f ca="1">IF(AND(INDEX(WSM,DO642,4)&gt;=$AB641,INDEX(WSM,DO642,5)&gt;=$S635,INDEX(WSM,DO642,6)&gt;=$R635),1,0)</f>
        <v>#N/A</v>
      </c>
      <c r="DQ642" s="4" t="e">
        <f t="shared" ref="DQ642" ca="1" si="11914">MATCH(1,OFFSET(DP635:DP646,DR641,0,COUNT(DP635:DP646)-DR641),0)</f>
        <v>#REF!</v>
      </c>
      <c r="DR642" s="4" t="e">
        <f t="shared" ca="1" si="11813"/>
        <v>#REF!</v>
      </c>
      <c r="DS642" s="692" t="str">
        <f ca="1">IFERROR(VLOOKUP(INDEX(DO635:DO646,DR642),WSM,2,FALSE),"----")</f>
        <v>----</v>
      </c>
      <c r="DT642" s="691" t="e">
        <f t="shared" ca="1" si="11814"/>
        <v>#N/A</v>
      </c>
      <c r="DU642" s="4" t="e">
        <f ca="1">IF(AND(INDEX(STM,DT642,4)&gt;=$AB641,INDEX(STM,DT642,5)&gt;=$S635,INDEX(STM,DT642,6)&gt;=$R635),1,0)</f>
        <v>#N/A</v>
      </c>
      <c r="DV642" s="4" t="e">
        <f t="shared" ref="DV642" ca="1" si="11915">MATCH(1,OFFSET(DU635:DU646,DW641,0,COUNT(DU635:DU646)-DW641),0)</f>
        <v>#REF!</v>
      </c>
      <c r="DW642" s="4" t="e">
        <f t="shared" ca="1" si="11816"/>
        <v>#REF!</v>
      </c>
      <c r="DX642" s="692" t="str">
        <f ca="1">IFERROR(VLOOKUP(INDEX(DT635:DT646,DW642),STM,2,FALSE),"----")</f>
        <v>----</v>
      </c>
      <c r="DY642" s="691" t="e">
        <f t="shared" ca="1" si="11817"/>
        <v>#N/A</v>
      </c>
      <c r="DZ642" s="4" t="e">
        <f ca="1">IF(AND(INDEX(ELM,DY642,4)&gt;=$AB641,INDEX(ELM,DY642,5)&gt;=$S635,INDEX(ELM,DY642,6)&gt;=$R635),1,0)</f>
        <v>#N/A</v>
      </c>
      <c r="EA642" s="4" t="e">
        <f t="shared" ref="EA642" ca="1" si="11916">MATCH(1,OFFSET(DZ635:DZ646,EB641,0,COUNT(DZ635:DZ646)-EB641),0)</f>
        <v>#REF!</v>
      </c>
      <c r="EB642" s="4" t="e">
        <f t="shared" ca="1" si="11819"/>
        <v>#REF!</v>
      </c>
      <c r="EC642" s="692" t="str">
        <f ca="1">IFERROR(VLOOKUP(INDEX(DY635:DY646,EB642),ELM,2,FALSE),"----")</f>
        <v>----</v>
      </c>
      <c r="ED642" s="691" t="e">
        <f t="shared" ca="1" si="11820"/>
        <v>#N/A</v>
      </c>
      <c r="EE642" s="4" t="e">
        <f ca="1">IF(LEFT($J635,7)="Clad Wo",IF(AND(INDEX(SPPWS,ED642,4)&gt;=$AB641,INDEX(SPPWS,ED642,5)&gt;=$S635,INDEX(SPPWS,ED642,6)&gt;=$R635),1,0),IF(AND(INDEX(SPM,ED642,4)&gt;=$AB641,INDEX(SPM,ED642,5)&gt;=$S635,INDEX(SPM,ED642,6)&gt;=$R635),1,0))</f>
        <v>#N/A</v>
      </c>
      <c r="EF642" s="4" t="e">
        <f t="shared" ref="EF642" ca="1" si="11917">MATCH(1,OFFSET(EE635:EE646,EG641,0,COUNT(EE635:EE646)-EG641),0)</f>
        <v>#REF!</v>
      </c>
      <c r="EG642" s="4" t="e">
        <f t="shared" ca="1" si="11822"/>
        <v>#REF!</v>
      </c>
      <c r="EH642" s="692" t="str">
        <f ca="1">IF(LEFT($J635,7)="Clad Wo",IFERROR(VLOOKUP(INDEX(ED635:ED646,EG642),SPPWS,2,FALSE),"----"),IFERROR(VLOOKUP(INDEX(ED635:ED646,EG642),SPM,2,FALSE),"----"))</f>
        <v>----</v>
      </c>
    </row>
    <row r="643" spans="1:138" ht="15" customHeight="1" x14ac:dyDescent="0.25">
      <c r="A643" s="1085"/>
      <c r="B643" s="925"/>
      <c r="C643" s="926"/>
      <c r="D643" s="927"/>
      <c r="E643" s="995"/>
      <c r="F643" s="996"/>
      <c r="G643" s="997"/>
      <c r="H643" s="1062"/>
      <c r="I643" s="990"/>
      <c r="J643" s="902"/>
      <c r="K643" s="903"/>
      <c r="L643" s="1002"/>
      <c r="M643" s="923"/>
      <c r="N643" s="1042"/>
      <c r="O643" s="1018"/>
      <c r="P643" s="987"/>
      <c r="Q643" s="1015"/>
      <c r="R643" s="1012"/>
      <c r="S643" s="1006"/>
      <c r="T643" s="1007"/>
      <c r="U643" s="878"/>
      <c r="V643" s="881"/>
      <c r="W643" s="884"/>
      <c r="X643" s="884"/>
      <c r="Y643" s="887"/>
      <c r="Z643" s="887"/>
      <c r="AA643" s="887"/>
      <c r="AB643" s="1081"/>
      <c r="AC643" s="1078"/>
      <c r="AD643" s="1070" t="str">
        <f t="shared" si="11681"/>
        <v>Wood Stud Framing</v>
      </c>
      <c r="AE643" s="1071"/>
      <c r="AF643" s="1052"/>
      <c r="AG643" s="1053"/>
      <c r="AH643" s="1053"/>
      <c r="AI643" s="1066"/>
      <c r="AJ643" s="1067"/>
      <c r="AK643" s="156" t="str">
        <f t="shared" ca="1" si="11298"/>
        <v/>
      </c>
      <c r="AL643" s="1059"/>
      <c r="AM643" s="344" t="str">
        <f ca="1">IFERROR(Q635/12*ROUND(VLOOKUP(AF643,OFFSET(WSM,0,1),6,FALSE),2),"")</f>
        <v/>
      </c>
      <c r="AN643" t="str">
        <f t="shared" ca="1" si="11348"/>
        <v/>
      </c>
      <c r="AP643" s="122" t="str">
        <f t="shared" ref="AP643" si="11918">_xlfn.CONCAT(AR643,AS646)</f>
        <v/>
      </c>
      <c r="AQ643" s="683" t="str">
        <f t="shared" si="11512"/>
        <v/>
      </c>
      <c r="AR643" s="4" t="str">
        <f t="shared" si="11273"/>
        <v/>
      </c>
      <c r="AS643" s="4"/>
      <c r="AT643" s="697" t="str">
        <f>AL641</f>
        <v/>
      </c>
      <c r="AU643" s="694" t="e">
        <f t="shared" ca="1" si="11538"/>
        <v>#REF!</v>
      </c>
      <c r="AV643" s="686" t="str">
        <f ca="1">IFERROR(VLOOKUP(AU643,INDIRECT(AQ635),2,FALSE),"----")</f>
        <v>----</v>
      </c>
      <c r="AW643" s="694" t="e">
        <f t="shared" ca="1" si="11539"/>
        <v>#REF!</v>
      </c>
      <c r="AX643" s="686" t="str">
        <f ca="1">IFERROR(VLOOKUP(AW643,INDIRECT(AQ636),2,FALSE),"----")</f>
        <v>----</v>
      </c>
      <c r="AY643" s="694" t="e">
        <f t="shared" ca="1" si="11631"/>
        <v>#REF!</v>
      </c>
      <c r="AZ643" s="686" t="str">
        <f ca="1">IFERROR(VLOOKUP(AY643,INDIRECT(AQ637),2,FALSE),"----")</f>
        <v>----</v>
      </c>
      <c r="BA643" s="694" t="e">
        <f t="shared" ca="1" si="11632"/>
        <v>#REF!</v>
      </c>
      <c r="BB643" s="686" t="str">
        <f ca="1">IFERROR(VLOOKUP(BA643,INDIRECT(AQ638),2,FALSE),"----")</f>
        <v>----</v>
      </c>
      <c r="BC643" s="694" t="e">
        <f t="shared" ca="1" si="11542"/>
        <v>#REF!</v>
      </c>
      <c r="BD643" s="686" t="str">
        <f ca="1">IFERROR(VLOOKUP(BC643,INDIRECT(AQ639),2,FALSE),"----")</f>
        <v>----</v>
      </c>
      <c r="BE643" s="694" t="e">
        <f t="shared" ca="1" si="11543"/>
        <v>#REF!</v>
      </c>
      <c r="BF643" s="686" t="str">
        <f ca="1">IFERROR(VLOOKUP(BE643,INDIRECT(AQ640),2,FALSE),"----")</f>
        <v>----</v>
      </c>
      <c r="BG643" s="702" t="e">
        <f t="shared" ca="1" si="11544"/>
        <v>#REF!</v>
      </c>
      <c r="BH643" s="686" t="str">
        <f ca="1">IFERROR(VLOOKUP(BG643,INDIRECT(AQ641),2,FALSE),"----")</f>
        <v>----</v>
      </c>
      <c r="BI643" s="702" t="e">
        <f t="shared" ca="1" si="11545"/>
        <v>#REF!</v>
      </c>
      <c r="BJ643" s="686" t="str">
        <f ca="1">IFERROR(VLOOKUP(BI643,INDIRECT(AQ642),2,FALSE),"----")</f>
        <v>----</v>
      </c>
      <c r="BK643" s="702" t="e">
        <f t="shared" ca="1" si="11546"/>
        <v>#REF!</v>
      </c>
      <c r="BL643" s="686" t="str">
        <f ca="1">IFERROR(VLOOKUP(BK643,INDIRECT(AQ643),2,FALSE),"----")</f>
        <v>----</v>
      </c>
      <c r="BM643" s="702" t="e">
        <f t="shared" ca="1" si="11547"/>
        <v>#REF!</v>
      </c>
      <c r="BN643" s="686" t="str">
        <f ca="1">IFERROR(VLOOKUP(BM643,INDIRECT(AQ644),2,FALSE),"----")</f>
        <v>----</v>
      </c>
      <c r="BO643" s="702" t="e">
        <f t="shared" ca="1" si="11548"/>
        <v>#REF!</v>
      </c>
      <c r="BP643" s="686" t="str">
        <f ca="1">IFERROR(VLOOKUP(BO643,INDIRECT(AQ645),2,FALSE),"----")</f>
        <v>----</v>
      </c>
      <c r="BQ643" s="702" t="e">
        <f t="shared" ca="1" si="11549"/>
        <v>#REF!</v>
      </c>
      <c r="BR643" s="686" t="str">
        <f ca="1">IFERROR(VLOOKUP(BQ643,INDIRECT(AQ646),2,FALSE),"----")</f>
        <v>----</v>
      </c>
      <c r="BS643" s="695">
        <f>IF(AI643="",1,IF(COUNTIF(BL635:BL646,AI643)=0,2,1))</f>
        <v>1</v>
      </c>
      <c r="BT643" s="696">
        <f>IF(AF643="",1,IF(BL635=".",2,1))</f>
        <v>1</v>
      </c>
      <c r="BU643" s="706"/>
      <c r="BV643" s="155">
        <f ca="1">IF(COUNTIF(DS635:DS646,AF643)=0,IF(AF643&lt;&gt;"",0,1),1)</f>
        <v>1</v>
      </c>
      <c r="BW643" s="157">
        <f ca="1">IFERROR(MATCH(AF643,DS635:DS646,0),1)</f>
        <v>1</v>
      </c>
      <c r="BX643" s="769" t="e">
        <f t="shared" ref="BX643" si="11919">5*E635^3*W635/(384*X635)</f>
        <v>#VALUE!</v>
      </c>
      <c r="BY643" s="769" t="e">
        <f t="shared" ref="BY643" si="11920">W635*E635^3/(60*X635)</f>
        <v>#VALUE!</v>
      </c>
      <c r="BZ643" s="1110"/>
      <c r="CA643" s="691" t="e">
        <f t="shared" ca="1" si="11787"/>
        <v>#REF!</v>
      </c>
      <c r="CB643" s="4" t="e" cm="1">
        <f t="array" aca="1" ref="CB643" ca="1">IF(AND(INDEX(INDIRECT(BY635),CA643,4)&gt;=$AB635,INDEX(INDIRECT(BY635),CA643,5)&gt;=$S635,INDEX(INDIRECT(BY635),CA643,6)&gt;=$R635),1,0)</f>
        <v>#REF!</v>
      </c>
      <c r="CC643" s="4" t="e">
        <f t="shared" ref="CC643" ca="1" si="11921">MATCH(1,OFFSET(CB635:CB646,CD642,0,COUNT(CB635:CB646)-CD642),0)</f>
        <v>#REF!</v>
      </c>
      <c r="CD643" s="4" t="e">
        <f t="shared" ca="1" si="11789"/>
        <v>#REF!</v>
      </c>
      <c r="CE643" s="692" t="str" cm="1">
        <f t="array" aca="1" ref="CE643" ca="1">IFERROR(VLOOKUP(INDEX(CA635:CA646,CD643),INDIRECT(BY635),2,FALSE),"----")</f>
        <v>----</v>
      </c>
      <c r="CF643" s="691" t="e">
        <f t="shared" ca="1" si="11790"/>
        <v>#N/A</v>
      </c>
      <c r="CG643" s="4" t="e">
        <f ca="1">IF(AND(INDEX(SSM,CF643,4)&gt;=$AB635,INDEX(SSM,CF643,5)&gt;=$S635,INDEX(SSM,CF643,6)&gt;=$R635),1,0)</f>
        <v>#N/A</v>
      </c>
      <c r="CH643" s="4" t="e">
        <f t="shared" ref="CH643" ca="1" si="11922">MATCH(1,OFFSET(CG635:CG646,CI642,0,COUNT(CG635:CG646)-CI642),0)</f>
        <v>#REF!</v>
      </c>
      <c r="CI643" s="4" t="e">
        <f t="shared" ca="1" si="11792"/>
        <v>#REF!</v>
      </c>
      <c r="CJ643" s="692" t="str">
        <f ca="1">IFERROR(IF(AD636="Nested Steel Stud (wood infill)",VLOOKUP(INDEX(CF635:CF646,CI643),SSW,2,FALSE),VLOOKUP(INDEX(CF635:CF646,CI643),SSM,2,FALSE)),"----")</f>
        <v>----</v>
      </c>
      <c r="CK643" s="691" t="e">
        <f t="shared" ca="1" si="11793"/>
        <v>#N/A</v>
      </c>
      <c r="CL643" s="4" t="e">
        <f ca="1">IF(AND(INDEX(WSM,CK643,4)&gt;=$AB635,INDEX(WSM,CK643,5)&gt;=$S635,INDEX(WSM,CK643,6)&gt;=$R635),1,0)</f>
        <v>#N/A</v>
      </c>
      <c r="CM643" s="4" t="e">
        <f t="shared" ref="CM643" ca="1" si="11923">MATCH(1,OFFSET(CL635:CL646,CN642,0,COUNT(CL635:CL646)-CN642),0)</f>
        <v>#REF!</v>
      </c>
      <c r="CN643" s="4" t="e">
        <f t="shared" ca="1" si="11795"/>
        <v>#REF!</v>
      </c>
      <c r="CO643" s="692" t="str">
        <f ca="1">IFERROR(VLOOKUP(INDEX(CK635:CK646,CN643),WSM,2,FALSE),"----")</f>
        <v>----</v>
      </c>
      <c r="CP643" s="691" t="e">
        <f t="shared" ca="1" si="11796"/>
        <v>#N/A</v>
      </c>
      <c r="CQ643" s="4" t="e">
        <f ca="1">IF(AND(INDEX(STM,CP643,4)&gt;=$AB635,INDEX(STM,CP643,5)&gt;=$S635,INDEX(STM,CP643,6)&gt;=$R635),1,0)</f>
        <v>#N/A</v>
      </c>
      <c r="CR643" s="4" t="e">
        <f t="shared" ref="CR643" ca="1" si="11924">MATCH(1,OFFSET(CQ635:CQ646,CS642,0,COUNT(CQ635:CQ646)-CS642),0)</f>
        <v>#REF!</v>
      </c>
      <c r="CS643" s="4" t="e">
        <f t="shared" ca="1" si="11798"/>
        <v>#REF!</v>
      </c>
      <c r="CT643" s="692" t="str">
        <f ca="1">IFERROR(VLOOKUP(INDEX(CP635:CP646,CS643),STM,2,FALSE),"----")</f>
        <v>----</v>
      </c>
      <c r="CU643" s="691" t="e">
        <f t="shared" ca="1" si="11799"/>
        <v>#N/A</v>
      </c>
      <c r="CV643" s="4" t="e">
        <f ca="1">IF(AND(INDEX(ELM,CU643,4)&gt;=$AB635,INDEX(ELM,CU643,5)&gt;=$S635,INDEX(ELM,CU643,6)&gt;=$R635),1,0)</f>
        <v>#N/A</v>
      </c>
      <c r="CW643" s="4" t="e">
        <f t="shared" ref="CW643" ca="1" si="11925">MATCH(1,OFFSET(CV635:CV646,CX642,0,COUNT(CV635:CV646)-CX642),0)</f>
        <v>#REF!</v>
      </c>
      <c r="CX643" s="4" t="e">
        <f t="shared" ca="1" si="11801"/>
        <v>#REF!</v>
      </c>
      <c r="CY643" s="692" t="str">
        <f ca="1">IFERROR(VLOOKUP(INDEX(CU635:CU646,CX643),ELM,2,FALSE),"----")</f>
        <v>----</v>
      </c>
      <c r="CZ643" s="691" t="e">
        <f t="shared" ca="1" si="11802"/>
        <v>#N/A</v>
      </c>
      <c r="DA643" s="4" t="e">
        <f ca="1">IF(LEFT($J635,7)="Clad Wo",IF(AND(INDEX(SPPWS,CZ643,4)&gt;=$AB635,INDEX(SPPWS,CZ643,5)&gt;=$S635,INDEX(SPPWS,CZ643,6)&gt;=$R635),1,0),IF(AND(INDEX(SPM,CZ643,4)&gt;=$AB635,INDEX(SPM,CZ643,5)&gt;=$S635,INDEX(SPM,CZ643,6)&gt;=$R635),1,0))</f>
        <v>#N/A</v>
      </c>
      <c r="DB643" s="4" t="e">
        <f t="shared" ref="DB643" ca="1" si="11926">MATCH(1,OFFSET(DA635:DA646,DC642,0,COUNT(DA635:DA646)-DC642),0)</f>
        <v>#REF!</v>
      </c>
      <c r="DC643" s="4" t="e">
        <f t="shared" ca="1" si="11804"/>
        <v>#REF!</v>
      </c>
      <c r="DD643" s="693" t="str">
        <f ca="1">IF(LEFT($J635,7)="Clad Wo",IFERROR(VLOOKUP(INDEX(CZ635:CZ646,DC643),SPPWS,2,FALSE),"----"),IFERROR(VLOOKUP(INDEX(CZ635:CZ646,DC643),SPM,2,FALSE),"----"))</f>
        <v>----</v>
      </c>
      <c r="DE643" s="691" t="e">
        <f t="shared" ca="1" si="11805"/>
        <v>#REF!</v>
      </c>
      <c r="DF643" s="4" t="e" cm="1">
        <f t="array" aca="1" ref="DF643" ca="1">IF(AND(INDEX(INDIRECT(BY635),DE643,4)&gt;=$AB641,INDEX(INDIRECT(BY635),DE643,5)&gt;=$S635,INDEX(INDIRECT(BY635),DE643,6)&gt;=$R635),1,0)</f>
        <v>#REF!</v>
      </c>
      <c r="DG643" s="4" t="e">
        <f t="shared" ref="DG643" ca="1" si="11927">MATCH(1,OFFSET(DF635:DF646,DH642,0,COUNT(DF635:DF646)-DH642),0)</f>
        <v>#REF!</v>
      </c>
      <c r="DH643" s="4" t="e">
        <f t="shared" ca="1" si="11807"/>
        <v>#REF!</v>
      </c>
      <c r="DI643" s="692" t="str" cm="1">
        <f t="array" aca="1" ref="DI643" ca="1">IFERROR(VLOOKUP(INDEX(DE635:DE646,DH643),INDIRECT(BY635),2,FALSE),"----")</f>
        <v>----</v>
      </c>
      <c r="DJ643" s="691" t="e">
        <f t="shared" ca="1" si="11808"/>
        <v>#N/A</v>
      </c>
      <c r="DK643" s="4" t="e">
        <f ca="1">IF(AND(INDEX(SSM,DJ643,4)&gt;=$AB641,INDEX(SSM,DJ643,5)&gt;=$S635,INDEX(SSM,DJ643,6)&gt;=$R635),1,0)</f>
        <v>#N/A</v>
      </c>
      <c r="DL643" s="4" t="e">
        <f t="shared" ref="DL643" ca="1" si="11928">MATCH(1,OFFSET(DK635:DK646,DM642,0,COUNT(DK635:DK646)-DM642),0)</f>
        <v>#REF!</v>
      </c>
      <c r="DM643" s="4" t="e">
        <f t="shared" ca="1" si="11810"/>
        <v>#REF!</v>
      </c>
      <c r="DN643" s="692" t="str">
        <f ca="1">IFERROR(IF(AD642="Nested Steel Stud (wood infill)",VLOOKUP(INDEX(DJ635:DJ646,DM643),SSW,2,FALSE),VLOOKUP(INDEX(DJ635:DJ646,DM643),SSM,2,FALSE)),"----")</f>
        <v>----</v>
      </c>
      <c r="DO643" s="691" t="e">
        <f t="shared" ca="1" si="11811"/>
        <v>#N/A</v>
      </c>
      <c r="DP643" s="4" t="e">
        <f ca="1">IF(AND(INDEX(WSM,DO643,4)&gt;=$AB641,INDEX(WSM,DO643,5)&gt;=$S635,INDEX(WSM,DO643,6)&gt;=$R635),1,0)</f>
        <v>#N/A</v>
      </c>
      <c r="DQ643" s="4" t="e">
        <f t="shared" ref="DQ643" ca="1" si="11929">MATCH(1,OFFSET(DP635:DP646,DR642,0,COUNT(DP635:DP646)-DR642),0)</f>
        <v>#REF!</v>
      </c>
      <c r="DR643" s="4" t="e">
        <f t="shared" ca="1" si="11813"/>
        <v>#REF!</v>
      </c>
      <c r="DS643" s="692" t="str">
        <f ca="1">IFERROR(VLOOKUP(INDEX(DO635:DO646,DR643),WSM,2,FALSE),"----")</f>
        <v>----</v>
      </c>
      <c r="DT643" s="691" t="e">
        <f t="shared" ca="1" si="11814"/>
        <v>#N/A</v>
      </c>
      <c r="DU643" s="4" t="e">
        <f ca="1">IF(AND(INDEX(STM,DT643,4)&gt;=$AB641,INDEX(STM,DT643,5)&gt;=$S635,INDEX(STM,DT643,6)&gt;=$R635),1,0)</f>
        <v>#N/A</v>
      </c>
      <c r="DV643" s="4" t="e">
        <f t="shared" ref="DV643" ca="1" si="11930">MATCH(1,OFFSET(DU635:DU646,DW642,0,COUNT(DU635:DU646)-DW642),0)</f>
        <v>#REF!</v>
      </c>
      <c r="DW643" s="4" t="e">
        <f t="shared" ca="1" si="11816"/>
        <v>#REF!</v>
      </c>
      <c r="DX643" s="692" t="str">
        <f ca="1">IFERROR(VLOOKUP(INDEX(DT635:DT646,DW643),STM,2,FALSE),"----")</f>
        <v>----</v>
      </c>
      <c r="DY643" s="691" t="e">
        <f t="shared" ca="1" si="11817"/>
        <v>#N/A</v>
      </c>
      <c r="DZ643" s="4" t="e">
        <f ca="1">IF(AND(INDEX(ELM,DY643,4)&gt;=$AB641,INDEX(ELM,DY643,5)&gt;=$S635,INDEX(ELM,DY643,6)&gt;=$R635),1,0)</f>
        <v>#N/A</v>
      </c>
      <c r="EA643" s="4" t="e">
        <f t="shared" ref="EA643" ca="1" si="11931">MATCH(1,OFFSET(DZ635:DZ646,EB642,0,COUNT(DZ635:DZ646)-EB642),0)</f>
        <v>#REF!</v>
      </c>
      <c r="EB643" s="4" t="e">
        <f t="shared" ca="1" si="11819"/>
        <v>#REF!</v>
      </c>
      <c r="EC643" s="692" t="str">
        <f ca="1">IFERROR(VLOOKUP(INDEX(DY635:DY646,EB643),ELM,2,FALSE),"----")</f>
        <v>----</v>
      </c>
      <c r="ED643" s="691" t="e">
        <f t="shared" ca="1" si="11820"/>
        <v>#N/A</v>
      </c>
      <c r="EE643" s="4" t="e">
        <f ca="1">IF(LEFT($J635,7)="Clad Wo",IF(AND(INDEX(SPPWS,ED643,4)&gt;=$AB641,INDEX(SPPWS,ED643,5)&gt;=$S635,INDEX(SPPWS,ED643,6)&gt;=$R635),1,0),IF(AND(INDEX(SPM,ED643,4)&gt;=$AB641,INDEX(SPM,ED643,5)&gt;=$S635,INDEX(SPM,ED643,6)&gt;=$R635),1,0))</f>
        <v>#N/A</v>
      </c>
      <c r="EF643" s="4" t="e">
        <f t="shared" ref="EF643" ca="1" si="11932">MATCH(1,OFFSET(EE635:EE646,EG642,0,COUNT(EE635:EE646)-EG642),0)</f>
        <v>#REF!</v>
      </c>
      <c r="EG643" s="4" t="e">
        <f t="shared" ca="1" si="11822"/>
        <v>#REF!</v>
      </c>
      <c r="EH643" s="692" t="str">
        <f ca="1">IF(LEFT($J635,7)="Clad Wo",IFERROR(VLOOKUP(INDEX(ED635:ED646,EG643),SPPWS,2,FALSE),"----"),IFERROR(VLOOKUP(INDEX(ED635:ED646,EG643),SPM,2,FALSE),"----"))</f>
        <v>----</v>
      </c>
    </row>
    <row r="644" spans="1:138" ht="15" customHeight="1" x14ac:dyDescent="0.25">
      <c r="A644" s="1085"/>
      <c r="B644" s="925"/>
      <c r="C644" s="926"/>
      <c r="D644" s="927"/>
      <c r="E644" s="995"/>
      <c r="F644" s="996"/>
      <c r="G644" s="997"/>
      <c r="H644" s="1062"/>
      <c r="I644" s="990"/>
      <c r="J644" s="902"/>
      <c r="K644" s="903"/>
      <c r="L644" s="1002"/>
      <c r="M644" s="923"/>
      <c r="N644" s="1042"/>
      <c r="O644" s="1018"/>
      <c r="P644" s="987"/>
      <c r="Q644" s="1015"/>
      <c r="R644" s="1012"/>
      <c r="S644" s="1006"/>
      <c r="T644" s="1007"/>
      <c r="U644" s="878"/>
      <c r="V644" s="881"/>
      <c r="W644" s="884"/>
      <c r="X644" s="884"/>
      <c r="Y644" s="887"/>
      <c r="Z644" s="887"/>
      <c r="AA644" s="887"/>
      <c r="AB644" s="1081"/>
      <c r="AC644" s="1078"/>
      <c r="AD644" s="1070" t="str">
        <f t="shared" si="11681"/>
        <v>Steel Tube</v>
      </c>
      <c r="AE644" s="1071"/>
      <c r="AF644" s="1052"/>
      <c r="AG644" s="1053"/>
      <c r="AH644" s="1053"/>
      <c r="AI644" s="1066"/>
      <c r="AJ644" s="1067"/>
      <c r="AK644" s="156" t="str">
        <f t="shared" ca="1" si="11298"/>
        <v/>
      </c>
      <c r="AL644" s="1059"/>
      <c r="AM644" s="343" t="str">
        <f ca="1">IFERROR(Q635/12*ROUND(VLOOKUP(AF644,OFFSET(STM,0,1),6,FALSE),2),"")</f>
        <v/>
      </c>
      <c r="AN644" t="str">
        <f t="shared" ca="1" si="11348"/>
        <v/>
      </c>
      <c r="AP644" s="122" t="str">
        <f t="shared" ref="AP644" si="11933">_xlfn.CONCAT(AR644,AS646)</f>
        <v/>
      </c>
      <c r="AQ644" s="683" t="str">
        <f t="shared" si="11512"/>
        <v/>
      </c>
      <c r="AR644" s="4" t="str">
        <f t="shared" si="11273"/>
        <v/>
      </c>
      <c r="AS644" s="4"/>
      <c r="AT644" s="697" t="str">
        <f>AL641</f>
        <v/>
      </c>
      <c r="AU644" s="694" t="e">
        <f t="shared" ca="1" si="11538"/>
        <v>#REF!</v>
      </c>
      <c r="AV644" s="686" t="str">
        <f ca="1">IFERROR(VLOOKUP(AU644,INDIRECT(AQ635),2,FALSE),"----")</f>
        <v>----</v>
      </c>
      <c r="AW644" s="694" t="e">
        <f t="shared" ca="1" si="11539"/>
        <v>#REF!</v>
      </c>
      <c r="AX644" s="686" t="str">
        <f ca="1">IFERROR(VLOOKUP(AW644,INDIRECT(AQ636),2,FALSE),"----")</f>
        <v>----</v>
      </c>
      <c r="AY644" s="694" t="e">
        <f t="shared" ref="AY644:AY682" ca="1" si="11934">AY643-1</f>
        <v>#REF!</v>
      </c>
      <c r="AZ644" s="686" t="str">
        <f ca="1">IFERROR(VLOOKUP(AY644,INDIRECT(AQ637),2,FALSE),"----")</f>
        <v>----</v>
      </c>
      <c r="BA644" s="694" t="e">
        <f t="shared" ref="BA644:BA682" ca="1" si="11935">BA643-1</f>
        <v>#REF!</v>
      </c>
      <c r="BB644" s="686" t="str">
        <f ca="1">IFERROR(VLOOKUP(BA644,INDIRECT(AQ638),2,FALSE),"----")</f>
        <v>----</v>
      </c>
      <c r="BC644" s="694" t="e">
        <f t="shared" ca="1" si="11542"/>
        <v>#REF!</v>
      </c>
      <c r="BD644" s="686" t="str">
        <f ca="1">IFERROR(VLOOKUP(BC644,INDIRECT(AQ639),2,FALSE),"----")</f>
        <v>----</v>
      </c>
      <c r="BE644" s="694" t="e">
        <f t="shared" ca="1" si="11543"/>
        <v>#REF!</v>
      </c>
      <c r="BF644" s="686" t="str">
        <f ca="1">IFERROR(VLOOKUP(BE644,INDIRECT(AQ640),2,FALSE),"----")</f>
        <v>----</v>
      </c>
      <c r="BG644" s="702" t="e">
        <f t="shared" ca="1" si="11544"/>
        <v>#REF!</v>
      </c>
      <c r="BH644" s="686" t="str">
        <f ca="1">IFERROR(VLOOKUP(BG644,INDIRECT(AQ641),2,FALSE),"----")</f>
        <v>----</v>
      </c>
      <c r="BI644" s="702" t="e">
        <f t="shared" ca="1" si="11545"/>
        <v>#REF!</v>
      </c>
      <c r="BJ644" s="686" t="str">
        <f ca="1">IFERROR(VLOOKUP(BI644,INDIRECT(AQ642),2,FALSE),"----")</f>
        <v>----</v>
      </c>
      <c r="BK644" s="702" t="e">
        <f t="shared" ca="1" si="11546"/>
        <v>#REF!</v>
      </c>
      <c r="BL644" s="686" t="str">
        <f ca="1">IFERROR(VLOOKUP(BK644,INDIRECT(AQ643),2,FALSE),"----")</f>
        <v>----</v>
      </c>
      <c r="BM644" s="702" t="e">
        <f t="shared" ca="1" si="11547"/>
        <v>#REF!</v>
      </c>
      <c r="BN644" s="686" t="str">
        <f ca="1">IFERROR(VLOOKUP(BM644,INDIRECT(AQ644),2,FALSE),"----")</f>
        <v>----</v>
      </c>
      <c r="BO644" s="702" t="e">
        <f t="shared" ca="1" si="11548"/>
        <v>#REF!</v>
      </c>
      <c r="BP644" s="686" t="str">
        <f ca="1">IFERROR(VLOOKUP(BO644,INDIRECT(AQ645),2,FALSE),"----")</f>
        <v>----</v>
      </c>
      <c r="BQ644" s="702" t="e">
        <f t="shared" ca="1" si="11549"/>
        <v>#REF!</v>
      </c>
      <c r="BR644" s="686" t="str">
        <f ca="1">IFERROR(VLOOKUP(BQ644,INDIRECT(AQ646),2,FALSE),"----")</f>
        <v>----</v>
      </c>
      <c r="BS644" s="695">
        <f>IF(AI644="",1,IF(COUNTIF(BN635:BN646,AI644)=0,2,1))</f>
        <v>1</v>
      </c>
      <c r="BT644" s="696">
        <f>IF(AF644="",1,IF(BN635=".",2,1))</f>
        <v>1</v>
      </c>
      <c r="BU644" s="706"/>
      <c r="BV644" s="155">
        <f ca="1">IF(COUNTIF(DX635:DX646,AF644)=0,IF(AF644&lt;&gt;"",0,1),1)</f>
        <v>1</v>
      </c>
      <c r="BW644" s="157">
        <f ca="1">IFERROR(MATCH(AF644,DX635:DX646,0),1)</f>
        <v>1</v>
      </c>
      <c r="BX644" s="769" t="e">
        <f t="shared" ref="BX644" si="11936">5*E635^3*W641/(384*X635)</f>
        <v>#VALUE!</v>
      </c>
      <c r="BY644" s="769" t="e">
        <f t="shared" ref="BY644" si="11937">E635^3*W641/(60*X635)</f>
        <v>#VALUE!</v>
      </c>
      <c r="BZ644" s="1110"/>
      <c r="CA644" s="691" t="e">
        <f t="shared" ca="1" si="11787"/>
        <v>#REF!</v>
      </c>
      <c r="CB644" s="4" t="e" cm="1">
        <f t="array" aca="1" ref="CB644" ca="1">IF(AND(INDEX(INDIRECT(BY635),CA644,4)&gt;=$AB635,INDEX(INDIRECT(BY635),CA644,5)&gt;=$S635,INDEX(INDIRECT(BY635),CA644,6)&gt;=$R635),1,0)</f>
        <v>#REF!</v>
      </c>
      <c r="CC644" s="4" t="e">
        <f t="shared" ref="CC644" ca="1" si="11938">MATCH(1,OFFSET(CB635:CB646,CD643,0,COUNT(CB635:CB646)-CD643),0)</f>
        <v>#REF!</v>
      </c>
      <c r="CD644" s="4" t="e">
        <f t="shared" ca="1" si="11789"/>
        <v>#REF!</v>
      </c>
      <c r="CE644" s="692" t="str" cm="1">
        <f t="array" aca="1" ref="CE644" ca="1">IFERROR(VLOOKUP(INDEX(CA635:CA646,CD644),INDIRECT(BY635),2,FALSE),"----")</f>
        <v>----</v>
      </c>
      <c r="CF644" s="691" t="e">
        <f t="shared" ca="1" si="11790"/>
        <v>#N/A</v>
      </c>
      <c r="CG644" s="4" t="e">
        <f ca="1">IF(AND(INDEX(SSM,CF644,4)&gt;=$AB635,INDEX(SSM,CF644,5)&gt;=$S635,INDEX(SSM,CF644,6)&gt;=$R635),1,0)</f>
        <v>#N/A</v>
      </c>
      <c r="CH644" s="4" t="e">
        <f t="shared" ref="CH644" ca="1" si="11939">MATCH(1,OFFSET(CG635:CG646,CI643,0,COUNT(CG635:CG646)-CI643),0)</f>
        <v>#REF!</v>
      </c>
      <c r="CI644" s="4" t="e">
        <f t="shared" ca="1" si="11792"/>
        <v>#REF!</v>
      </c>
      <c r="CJ644" s="692" t="str">
        <f ca="1">IFERROR(IF(AD636="Nested Steel Stud (wood infill)",VLOOKUP(INDEX(CF635:CF646,CI644),SSW,2,FALSE),VLOOKUP(INDEX(CF635:CF646,CI644),SSM,2,FALSE)),"----")</f>
        <v>----</v>
      </c>
      <c r="CK644" s="691" t="e">
        <f t="shared" ca="1" si="11793"/>
        <v>#N/A</v>
      </c>
      <c r="CL644" s="4" t="e">
        <f ca="1">IF(AND(INDEX(WSM,CK644,4)&gt;=$AB635,INDEX(WSM,CK644,5)&gt;=$S635,INDEX(WSM,CK644,6)&gt;=$R635),1,0)</f>
        <v>#N/A</v>
      </c>
      <c r="CM644" s="4" t="e">
        <f t="shared" ref="CM644" ca="1" si="11940">MATCH(1,OFFSET(CL635:CL646,CN643,0,COUNT(CL635:CL646)-CN643),0)</f>
        <v>#REF!</v>
      </c>
      <c r="CN644" s="4" t="e">
        <f t="shared" ca="1" si="11795"/>
        <v>#REF!</v>
      </c>
      <c r="CO644" s="692" t="str">
        <f ca="1">IFERROR(VLOOKUP(INDEX(CK635:CK646,CN644),WSM,2,FALSE),"----")</f>
        <v>----</v>
      </c>
      <c r="CP644" s="691" t="e">
        <f t="shared" ca="1" si="11796"/>
        <v>#N/A</v>
      </c>
      <c r="CQ644" s="4" t="e">
        <f ca="1">IF(AND(INDEX(STM,CP644,4)&gt;=$AB635,INDEX(STM,CP644,5)&gt;=$S635,INDEX(STM,CP644,6)&gt;=$R635),1,0)</f>
        <v>#N/A</v>
      </c>
      <c r="CR644" s="4" t="e">
        <f t="shared" ref="CR644" ca="1" si="11941">MATCH(1,OFFSET(CQ635:CQ646,CS643,0,COUNT(CQ635:CQ646)-CS643),0)</f>
        <v>#REF!</v>
      </c>
      <c r="CS644" s="4" t="e">
        <f t="shared" ca="1" si="11798"/>
        <v>#REF!</v>
      </c>
      <c r="CT644" s="692" t="str">
        <f ca="1">IFERROR(VLOOKUP(INDEX(CP635:CP646,CS644),STM,2,FALSE),"----")</f>
        <v>----</v>
      </c>
      <c r="CU644" s="691" t="e">
        <f t="shared" ca="1" si="11799"/>
        <v>#N/A</v>
      </c>
      <c r="CV644" s="4" t="e">
        <f ca="1">IF(AND(INDEX(ELM,CU644,4)&gt;=$AB635,INDEX(ELM,CU644,5)&gt;=$S635,INDEX(ELM,CU644,6)&gt;=$R635),1,0)</f>
        <v>#N/A</v>
      </c>
      <c r="CW644" s="4" t="e">
        <f t="shared" ref="CW644" ca="1" si="11942">MATCH(1,OFFSET(CV635:CV646,CX643,0,COUNT(CV635:CV646)-CX643),0)</f>
        <v>#REF!</v>
      </c>
      <c r="CX644" s="4" t="e">
        <f t="shared" ca="1" si="11801"/>
        <v>#REF!</v>
      </c>
      <c r="CY644" s="692" t="str">
        <f ca="1">IFERROR(VLOOKUP(INDEX(CU635:CU646,CX644),ELM,2,FALSE),"----")</f>
        <v>----</v>
      </c>
      <c r="CZ644" s="691" t="e">
        <f t="shared" ca="1" si="11802"/>
        <v>#N/A</v>
      </c>
      <c r="DA644" s="4" t="e">
        <f ca="1">IF(LEFT($J635,7)="Clad Wo",IF(AND(INDEX(SPPWS,CZ644,4)&gt;=$AB635,INDEX(SPPWS,CZ644,5)&gt;=$S635,INDEX(SPPWS,CZ644,6)&gt;=$R635),1,0),IF(AND(INDEX(SPM,CZ644,4)&gt;=$AB635,INDEX(SPM,CZ644,5)&gt;=$S635,INDEX(SPM,CZ644,6)&gt;=$R635),1,0))</f>
        <v>#N/A</v>
      </c>
      <c r="DB644" s="4" t="e">
        <f t="shared" ref="DB644" ca="1" si="11943">MATCH(1,OFFSET(DA635:DA646,DC643,0,COUNT(DA635:DA646)-DC643),0)</f>
        <v>#REF!</v>
      </c>
      <c r="DC644" s="4" t="e">
        <f t="shared" ca="1" si="11804"/>
        <v>#REF!</v>
      </c>
      <c r="DD644" s="693" t="str">
        <f ca="1">IF(LEFT($J635,7)="Clad Wo",IFERROR(VLOOKUP(INDEX(CZ635:CZ646,DC644),SPPWS,2,FALSE),"----"),IFERROR(VLOOKUP(INDEX(CZ635:CZ646,DC644),SPM,2,FALSE),"----"))</f>
        <v>----</v>
      </c>
      <c r="DE644" s="691" t="e">
        <f t="shared" ca="1" si="11805"/>
        <v>#REF!</v>
      </c>
      <c r="DF644" s="4" t="e" cm="1">
        <f t="array" aca="1" ref="DF644" ca="1">IF(AND(INDEX(INDIRECT(BY635),DE644,4)&gt;=$AB641,INDEX(INDIRECT(BY635),DE644,5)&gt;=$S635,INDEX(INDIRECT(BY635),DE644,6)&gt;=$R635),1,0)</f>
        <v>#REF!</v>
      </c>
      <c r="DG644" s="4" t="e">
        <f t="shared" ref="DG644" ca="1" si="11944">MATCH(1,OFFSET(DF635:DF646,DH643,0,COUNT(DF635:DF646)-DH643),0)</f>
        <v>#REF!</v>
      </c>
      <c r="DH644" s="4" t="e">
        <f t="shared" ca="1" si="11807"/>
        <v>#REF!</v>
      </c>
      <c r="DI644" s="692" t="str" cm="1">
        <f t="array" aca="1" ref="DI644" ca="1">IFERROR(VLOOKUP(INDEX(DE635:DE646,DH644),INDIRECT(BY635),2,FALSE),"----")</f>
        <v>----</v>
      </c>
      <c r="DJ644" s="691" t="e">
        <f t="shared" ca="1" si="11808"/>
        <v>#N/A</v>
      </c>
      <c r="DK644" s="4" t="e">
        <f ca="1">IF(AND(INDEX(SSM,DJ644,4)&gt;=$AB641,INDEX(SSM,DJ644,5)&gt;=$S635,INDEX(SSM,DJ644,6)&gt;=$R635),1,0)</f>
        <v>#N/A</v>
      </c>
      <c r="DL644" s="4" t="e">
        <f t="shared" ref="DL644" ca="1" si="11945">MATCH(1,OFFSET(DK635:DK646,DM643,0,COUNT(DK635:DK646)-DM643),0)</f>
        <v>#REF!</v>
      </c>
      <c r="DM644" s="4" t="e">
        <f t="shared" ca="1" si="11810"/>
        <v>#REF!</v>
      </c>
      <c r="DN644" s="692" t="str">
        <f ca="1">IFERROR(IF(AD642="Nested Steel Stud (wood infill)",VLOOKUP(INDEX(DJ635:DJ646,DM644),SSW,2,FALSE),VLOOKUP(INDEX(DJ635:DJ646,DM644),SSM,2,FALSE)),"----")</f>
        <v>----</v>
      </c>
      <c r="DO644" s="691" t="e">
        <f t="shared" ca="1" si="11811"/>
        <v>#N/A</v>
      </c>
      <c r="DP644" s="4" t="e">
        <f ca="1">IF(AND(INDEX(WSM,DO644,4)&gt;=$AB641,INDEX(WSM,DO644,5)&gt;=$S635,INDEX(WSM,DO644,6)&gt;=$R635),1,0)</f>
        <v>#N/A</v>
      </c>
      <c r="DQ644" s="4" t="e">
        <f t="shared" ref="DQ644" ca="1" si="11946">MATCH(1,OFFSET(DP635:DP646,DR643,0,COUNT(DP635:DP646)-DR643),0)</f>
        <v>#REF!</v>
      </c>
      <c r="DR644" s="4" t="e">
        <f t="shared" ca="1" si="11813"/>
        <v>#REF!</v>
      </c>
      <c r="DS644" s="692" t="str">
        <f ca="1">IFERROR(VLOOKUP(INDEX(DO635:DO646,DR644),WSM,2,FALSE),"----")</f>
        <v>----</v>
      </c>
      <c r="DT644" s="691" t="e">
        <f t="shared" ca="1" si="11814"/>
        <v>#N/A</v>
      </c>
      <c r="DU644" s="4" t="e">
        <f ca="1">IF(AND(INDEX(STM,DT644,4)&gt;=$AB641,INDEX(STM,DT644,5)&gt;=$S635,INDEX(STM,DT644,6)&gt;=$R635),1,0)</f>
        <v>#N/A</v>
      </c>
      <c r="DV644" s="4" t="e">
        <f t="shared" ref="DV644" ca="1" si="11947">MATCH(1,OFFSET(DU635:DU646,DW643,0,COUNT(DU635:DU646)-DW643),0)</f>
        <v>#REF!</v>
      </c>
      <c r="DW644" s="4" t="e">
        <f t="shared" ca="1" si="11816"/>
        <v>#REF!</v>
      </c>
      <c r="DX644" s="692" t="str">
        <f ca="1">IFERROR(VLOOKUP(INDEX(DT635:DT646,DW644),STM,2,FALSE),"----")</f>
        <v>----</v>
      </c>
      <c r="DY644" s="691" t="e">
        <f t="shared" ca="1" si="11817"/>
        <v>#N/A</v>
      </c>
      <c r="DZ644" s="4" t="e">
        <f ca="1">IF(AND(INDEX(ELM,DY644,4)&gt;=$AB641,INDEX(ELM,DY644,5)&gt;=$S635,INDEX(ELM,DY644,6)&gt;=$R635),1,0)</f>
        <v>#N/A</v>
      </c>
      <c r="EA644" s="4" t="e">
        <f t="shared" ref="EA644" ca="1" si="11948">MATCH(1,OFFSET(DZ635:DZ646,EB643,0,COUNT(DZ635:DZ646)-EB643),0)</f>
        <v>#REF!</v>
      </c>
      <c r="EB644" s="4" t="e">
        <f t="shared" ca="1" si="11819"/>
        <v>#REF!</v>
      </c>
      <c r="EC644" s="692" t="str">
        <f ca="1">IFERROR(VLOOKUP(INDEX(DY635:DY646,EB644),ELM,2,FALSE),"----")</f>
        <v>----</v>
      </c>
      <c r="ED644" s="691" t="e">
        <f t="shared" ca="1" si="11820"/>
        <v>#N/A</v>
      </c>
      <c r="EE644" s="4" t="e">
        <f ca="1">IF(LEFT($J635,7)="Clad Wo",IF(AND(INDEX(SPPWS,ED644,4)&gt;=$AB641,INDEX(SPPWS,ED644,5)&gt;=$S635,INDEX(SPPWS,ED644,6)&gt;=$R635),1,0),IF(AND(INDEX(SPM,ED644,4)&gt;=$AB641,INDEX(SPM,ED644,5)&gt;=$S635,INDEX(SPM,ED644,6)&gt;=$R635),1,0))</f>
        <v>#N/A</v>
      </c>
      <c r="EF644" s="4" t="e">
        <f t="shared" ref="EF644" ca="1" si="11949">MATCH(1,OFFSET(EE635:EE646,EG643,0,COUNT(EE635:EE646)-EG643),0)</f>
        <v>#REF!</v>
      </c>
      <c r="EG644" s="4" t="e">
        <f t="shared" ca="1" si="11822"/>
        <v>#REF!</v>
      </c>
      <c r="EH644" s="692" t="str">
        <f ca="1">IF(LEFT($J635,7)="Clad Wo",IFERROR(VLOOKUP(INDEX(ED635:ED646,EG644),SPPWS,2,FALSE),"----"),IFERROR(VLOOKUP(INDEX(ED635:ED646,EG644),SPM,2,FALSE),"----"))</f>
        <v>----</v>
      </c>
    </row>
    <row r="645" spans="1:138" ht="15" customHeight="1" x14ac:dyDescent="0.25">
      <c r="A645" s="1085"/>
      <c r="B645" s="925"/>
      <c r="C645" s="926"/>
      <c r="D645" s="927"/>
      <c r="E645" s="995"/>
      <c r="F645" s="996"/>
      <c r="G645" s="997"/>
      <c r="H645" s="1062"/>
      <c r="I645" s="990"/>
      <c r="J645" s="902"/>
      <c r="K645" s="903"/>
      <c r="L645" s="1002"/>
      <c r="M645" s="923"/>
      <c r="N645" s="1042"/>
      <c r="O645" s="1018"/>
      <c r="P645" s="987"/>
      <c r="Q645" s="1015"/>
      <c r="R645" s="1012"/>
      <c r="S645" s="1006"/>
      <c r="T645" s="1007"/>
      <c r="U645" s="878"/>
      <c r="V645" s="881"/>
      <c r="W645" s="884"/>
      <c r="X645" s="884"/>
      <c r="Y645" s="887"/>
      <c r="Z645" s="887"/>
      <c r="AA645" s="887"/>
      <c r="AB645" s="1081"/>
      <c r="AC645" s="1078"/>
      <c r="AD645" s="1070" t="str">
        <f t="shared" si="11681"/>
        <v>Engineered Lumber</v>
      </c>
      <c r="AE645" s="1071"/>
      <c r="AF645" s="1052"/>
      <c r="AG645" s="1053"/>
      <c r="AH645" s="1053"/>
      <c r="AI645" s="1068"/>
      <c r="AJ645" s="1069"/>
      <c r="AK645" s="154" t="str">
        <f t="shared" ca="1" si="11298"/>
        <v/>
      </c>
      <c r="AL645" s="1059"/>
      <c r="AM645" s="344" t="str">
        <f ca="1">IFERROR(Q635/12*ROUND(VLOOKUP(AF645,OFFSET(ELM,0,1),6,FALSE),2),"")</f>
        <v/>
      </c>
      <c r="AN645" t="str">
        <f t="shared" ca="1" si="11348"/>
        <v/>
      </c>
      <c r="AP645" s="122" t="str">
        <f t="shared" ref="AP645" si="11950">_xlfn.CONCAT(AR645,AS646)</f>
        <v/>
      </c>
      <c r="AQ645" s="683" t="str">
        <f t="shared" si="11512"/>
        <v/>
      </c>
      <c r="AR645" s="4" t="str">
        <f t="shared" si="11273"/>
        <v/>
      </c>
      <c r="AS645" s="4"/>
      <c r="AT645" s="697" t="str">
        <f>AL641</f>
        <v/>
      </c>
      <c r="AU645" s="694" t="e">
        <f t="shared" ca="1" si="11538"/>
        <v>#REF!</v>
      </c>
      <c r="AV645" s="698" t="str">
        <f ca="1">IFERROR(VLOOKUP(AU645,INDIRECT(AQ635),2,FALSE),"----")</f>
        <v>----</v>
      </c>
      <c r="AW645" s="694" t="e">
        <f t="shared" ca="1" si="11539"/>
        <v>#REF!</v>
      </c>
      <c r="AX645" s="698" t="str">
        <f ca="1">IFERROR(VLOOKUP(AW645,INDIRECT(AQ636),2,FALSE),"----")</f>
        <v>----</v>
      </c>
      <c r="AY645" s="694" t="e">
        <f t="shared" ca="1" si="11934"/>
        <v>#REF!</v>
      </c>
      <c r="AZ645" s="698" t="str">
        <f ca="1">IFERROR(VLOOKUP(AY645,INDIRECT(AQ637),2,FALSE),"----")</f>
        <v>----</v>
      </c>
      <c r="BA645" s="694" t="e">
        <f t="shared" ca="1" si="11935"/>
        <v>#REF!</v>
      </c>
      <c r="BB645" s="698" t="str">
        <f ca="1">IFERROR(VLOOKUP(BA645,INDIRECT(AQ638),2,FALSE),"----")</f>
        <v>----</v>
      </c>
      <c r="BC645" s="694" t="e">
        <f t="shared" ca="1" si="11542"/>
        <v>#REF!</v>
      </c>
      <c r="BD645" s="698" t="str">
        <f ca="1">IFERROR(VLOOKUP(BC645,INDIRECT(AQ639),2,FALSE),"----")</f>
        <v>----</v>
      </c>
      <c r="BE645" s="694" t="e">
        <f t="shared" ca="1" si="11543"/>
        <v>#REF!</v>
      </c>
      <c r="BF645" s="698" t="str">
        <f ca="1">IFERROR(VLOOKUP(BE645,INDIRECT(AQ640),2,FALSE),"----")</f>
        <v>----</v>
      </c>
      <c r="BG645" s="702" t="e">
        <f t="shared" ca="1" si="11544"/>
        <v>#REF!</v>
      </c>
      <c r="BH645" s="686" t="str">
        <f ca="1">IFERROR(VLOOKUP(BG645,INDIRECT(AQ641),2,FALSE),"----")</f>
        <v>----</v>
      </c>
      <c r="BI645" s="702" t="e">
        <f t="shared" ca="1" si="11545"/>
        <v>#REF!</v>
      </c>
      <c r="BJ645" s="686" t="str">
        <f ca="1">IFERROR(VLOOKUP(BI645,INDIRECT(AQ642),2,FALSE),"----")</f>
        <v>----</v>
      </c>
      <c r="BK645" s="702" t="e">
        <f t="shared" ca="1" si="11546"/>
        <v>#REF!</v>
      </c>
      <c r="BL645" s="686" t="str">
        <f ca="1">IFERROR(VLOOKUP(BK645,INDIRECT(AQ643),2,FALSE),"----")</f>
        <v>----</v>
      </c>
      <c r="BM645" s="702" t="e">
        <f t="shared" ca="1" si="11547"/>
        <v>#REF!</v>
      </c>
      <c r="BN645" s="686" t="str">
        <f ca="1">IFERROR(VLOOKUP(BM645,INDIRECT(AQ644),2,FALSE),"----")</f>
        <v>----</v>
      </c>
      <c r="BO645" s="702" t="e">
        <f t="shared" ca="1" si="11548"/>
        <v>#REF!</v>
      </c>
      <c r="BP645" s="686" t="str">
        <f ca="1">IFERROR(VLOOKUP(BO645,INDIRECT(AQ645),2,FALSE),"----")</f>
        <v>----</v>
      </c>
      <c r="BQ645" s="702" t="e">
        <f t="shared" ca="1" si="11549"/>
        <v>#REF!</v>
      </c>
      <c r="BR645" s="686" t="str">
        <f ca="1">IFERROR(VLOOKUP(BQ645,INDIRECT(AQ646),2,FALSE),"----")</f>
        <v>----</v>
      </c>
      <c r="BS645" s="695">
        <f>IF(AI645="",1,IF(COUNTIF(BP635:BP646,AI645)=0,2,1))</f>
        <v>1</v>
      </c>
      <c r="BT645" s="696">
        <f>IF(AF645="",1,IF(BP635=".",2,1))</f>
        <v>1</v>
      </c>
      <c r="BU645" s="706"/>
      <c r="BV645" s="155">
        <f ca="1">IF(COUNTIF(EC635:EC646,AF645)=0,IF(AF645&lt;&gt;"",0,1),1)</f>
        <v>1</v>
      </c>
      <c r="BW645" s="157">
        <f ca="1">IFERROR(MATCH(AF645,EC635:EC646,0),1)</f>
        <v>1</v>
      </c>
      <c r="BX645" s="769"/>
      <c r="BY645" s="769"/>
      <c r="BZ645" s="1110"/>
      <c r="CA645" s="691" t="e">
        <f t="shared" ca="1" si="11787"/>
        <v>#REF!</v>
      </c>
      <c r="CB645" s="4" t="e" cm="1">
        <f t="array" aca="1" ref="CB645" ca="1">IF(AND(INDEX(INDIRECT(BY635),CA645,4)&gt;=$AB635,INDEX(INDIRECT(BY635),CA645,5)&gt;=$S635,INDEX(INDIRECT(BY635),CA645,6)&gt;=$R635),1,0)</f>
        <v>#REF!</v>
      </c>
      <c r="CC645" s="4" t="e">
        <f t="shared" ref="CC645" ca="1" si="11951">MATCH(1,OFFSET(CB635:CB646,CD644,0,COUNT(CB635:CB646)-CD644),0)</f>
        <v>#REF!</v>
      </c>
      <c r="CD645" s="4" t="e">
        <f t="shared" ca="1" si="11789"/>
        <v>#REF!</v>
      </c>
      <c r="CE645" s="692" t="str" cm="1">
        <f t="array" aca="1" ref="CE645" ca="1">IFERROR(VLOOKUP(INDEX(CA635:CA646,CD645),INDIRECT(BY635),2,FALSE),"----")</f>
        <v>----</v>
      </c>
      <c r="CF645" s="691" t="e">
        <f t="shared" ca="1" si="11790"/>
        <v>#N/A</v>
      </c>
      <c r="CG645" s="4" t="e">
        <f ca="1">IF(AND(INDEX(SSM,CF645,4)&gt;=$AB635,INDEX(SSM,CF645,5)&gt;=$S635,INDEX(SSM,CF645,6)&gt;=$R635),1,0)</f>
        <v>#N/A</v>
      </c>
      <c r="CH645" s="4" t="e">
        <f t="shared" ref="CH645" ca="1" si="11952">MATCH(1,OFFSET(CG635:CG646,CI644,0,COUNT(CG635:CG646)-CI644),0)</f>
        <v>#REF!</v>
      </c>
      <c r="CI645" s="4" t="e">
        <f t="shared" ca="1" si="11792"/>
        <v>#REF!</v>
      </c>
      <c r="CJ645" s="692" t="str">
        <f ca="1">IFERROR(IF(AD636="Nested Steel Stud (wood infill)",VLOOKUP(INDEX(CF635:CF646,CI645),SSW,2,FALSE),VLOOKUP(INDEX(CF635:CF646,CI645),SSM,2,FALSE)),"----")</f>
        <v>----</v>
      </c>
      <c r="CK645" s="691" t="e">
        <f t="shared" ca="1" si="11793"/>
        <v>#N/A</v>
      </c>
      <c r="CL645" s="4" t="e">
        <f ca="1">IF(AND(INDEX(WSM,CK645,4)&gt;=$AB635,INDEX(WSM,CK645,5)&gt;=$S635,INDEX(WSM,CK645,6)&gt;=$R635),1,0)</f>
        <v>#N/A</v>
      </c>
      <c r="CM645" s="4" t="e">
        <f t="shared" ref="CM645" ca="1" si="11953">MATCH(1,OFFSET(CL635:CL646,CN644,0,COUNT(CL635:CL646)-CN644),0)</f>
        <v>#REF!</v>
      </c>
      <c r="CN645" s="4" t="e">
        <f t="shared" ca="1" si="11795"/>
        <v>#REF!</v>
      </c>
      <c r="CO645" s="692" t="str">
        <f ca="1">IFERROR(VLOOKUP(INDEX(CK635:CK646,CN645),WSM,2,FALSE),"----")</f>
        <v>----</v>
      </c>
      <c r="CP645" s="691" t="e">
        <f t="shared" ca="1" si="11796"/>
        <v>#N/A</v>
      </c>
      <c r="CQ645" s="4" t="e">
        <f ca="1">IF(AND(INDEX(STM,CP645,4)&gt;=$AB635,INDEX(STM,CP645,5)&gt;=$S635,INDEX(STM,CP645,6)&gt;=$R635),1,0)</f>
        <v>#N/A</v>
      </c>
      <c r="CR645" s="4" t="e">
        <f t="shared" ref="CR645" ca="1" si="11954">MATCH(1,OFFSET(CQ635:CQ646,CS644,0,COUNT(CQ635:CQ646)-CS644),0)</f>
        <v>#REF!</v>
      </c>
      <c r="CS645" s="4" t="e">
        <f t="shared" ca="1" si="11798"/>
        <v>#REF!</v>
      </c>
      <c r="CT645" s="692" t="str">
        <f ca="1">IFERROR(VLOOKUP(INDEX(CP635:CP646,CS645),STM,2,FALSE),"----")</f>
        <v>----</v>
      </c>
      <c r="CU645" s="691" t="e">
        <f t="shared" ca="1" si="11799"/>
        <v>#N/A</v>
      </c>
      <c r="CV645" s="4" t="e">
        <f ca="1">IF(AND(INDEX(ELM,CU645,4)&gt;=$AB635,INDEX(ELM,CU645,5)&gt;=$S635,INDEX(ELM,CU645,6)&gt;=$R635),1,0)</f>
        <v>#N/A</v>
      </c>
      <c r="CW645" s="4" t="e">
        <f t="shared" ref="CW645" ca="1" si="11955">MATCH(1,OFFSET(CV635:CV646,CX644,0,COUNT(CV635:CV646)-CX644),0)</f>
        <v>#REF!</v>
      </c>
      <c r="CX645" s="4" t="e">
        <f t="shared" ca="1" si="11801"/>
        <v>#REF!</v>
      </c>
      <c r="CY645" s="692" t="str">
        <f ca="1">IFERROR(VLOOKUP(INDEX(CU635:CU646,CX645),ELM,2,FALSE),"----")</f>
        <v>----</v>
      </c>
      <c r="CZ645" s="691" t="e">
        <f t="shared" ca="1" si="11802"/>
        <v>#N/A</v>
      </c>
      <c r="DA645" s="4" t="e">
        <f ca="1">IF(LEFT($J635,7)="Clad Wo",IF(AND(INDEX(SPPWS,CZ645,4)&gt;=$AB635,INDEX(SPPWS,CZ645,5)&gt;=$S635,INDEX(SPPWS,CZ645,6)&gt;=$R635),1,0),IF(AND(INDEX(SPM,CZ645,4)&gt;=$AB635,INDEX(SPM,CZ645,5)&gt;=$S635,INDEX(SPM,CZ645,6)&gt;=$R635),1,0))</f>
        <v>#N/A</v>
      </c>
      <c r="DB645" s="4" t="e">
        <f t="shared" ref="DB645" ca="1" si="11956">MATCH(1,OFFSET(DA635:DA646,DC644,0,COUNT(DA635:DA646)-DC644),0)</f>
        <v>#REF!</v>
      </c>
      <c r="DC645" s="4" t="e">
        <f t="shared" ca="1" si="11804"/>
        <v>#REF!</v>
      </c>
      <c r="DD645" s="693" t="str">
        <f ca="1">IF(LEFT($J635,7)="Clad Wo",IFERROR(VLOOKUP(INDEX(CZ635:CZ646,DC645),SPPWS,2,FALSE),"----"),IFERROR(VLOOKUP(INDEX(CZ635:CZ646,DC645),SPM,2,FALSE),"----"))</f>
        <v>----</v>
      </c>
      <c r="DE645" s="691" t="e">
        <f t="shared" ca="1" si="11805"/>
        <v>#REF!</v>
      </c>
      <c r="DF645" s="4" t="e" cm="1">
        <f t="array" aca="1" ref="DF645" ca="1">IF(AND(INDEX(INDIRECT(BY635),DE645,4)&gt;=$AB641,INDEX(INDIRECT(BY635),DE645,5)&gt;=$S635,INDEX(INDIRECT(BY635),DE645,6)&gt;=$R635),1,0)</f>
        <v>#REF!</v>
      </c>
      <c r="DG645" s="4" t="e">
        <f t="shared" ref="DG645" ca="1" si="11957">MATCH(1,OFFSET(DF635:DF646,DH644,0,COUNT(DF635:DF646)-DH644),0)</f>
        <v>#REF!</v>
      </c>
      <c r="DH645" s="4" t="e">
        <f t="shared" ca="1" si="11807"/>
        <v>#REF!</v>
      </c>
      <c r="DI645" s="692" t="str" cm="1">
        <f t="array" aca="1" ref="DI645" ca="1">IFERROR(VLOOKUP(INDEX(DE635:DE646,DH645),INDIRECT(BY635),2,FALSE),"----")</f>
        <v>----</v>
      </c>
      <c r="DJ645" s="691" t="e">
        <f t="shared" ca="1" si="11808"/>
        <v>#N/A</v>
      </c>
      <c r="DK645" s="4" t="e">
        <f ca="1">IF(AND(INDEX(SSM,DJ645,4)&gt;=$AB641,INDEX(SSM,DJ645,5)&gt;=$S635,INDEX(SSM,DJ645,6)&gt;=$R635),1,0)</f>
        <v>#N/A</v>
      </c>
      <c r="DL645" s="4" t="e">
        <f t="shared" ref="DL645" ca="1" si="11958">MATCH(1,OFFSET(DK635:DK646,DM644,0,COUNT(DK635:DK646)-DM644),0)</f>
        <v>#REF!</v>
      </c>
      <c r="DM645" s="4" t="e">
        <f t="shared" ca="1" si="11810"/>
        <v>#REF!</v>
      </c>
      <c r="DN645" s="692" t="str">
        <f ca="1">IFERROR(IF(AD642="Nested Steel Stud (wood infill)",VLOOKUP(INDEX(DJ635:DJ646,DM645),SSW,2,FALSE),VLOOKUP(INDEX(DJ635:DJ646,DM645),SSM,2,FALSE)),"----")</f>
        <v>----</v>
      </c>
      <c r="DO645" s="691" t="e">
        <f t="shared" ca="1" si="11811"/>
        <v>#N/A</v>
      </c>
      <c r="DP645" s="4" t="e">
        <f ca="1">IF(AND(INDEX(WSM,DO645,4)&gt;=$AB641,INDEX(WSM,DO645,5)&gt;=$S635,INDEX(WSM,DO645,6)&gt;=$R635),1,0)</f>
        <v>#N/A</v>
      </c>
      <c r="DQ645" s="4" t="e">
        <f t="shared" ref="DQ645" ca="1" si="11959">MATCH(1,OFFSET(DP635:DP646,DR644,0,COUNT(DP635:DP646)-DR644),0)</f>
        <v>#REF!</v>
      </c>
      <c r="DR645" s="4" t="e">
        <f t="shared" ca="1" si="11813"/>
        <v>#REF!</v>
      </c>
      <c r="DS645" s="692" t="str">
        <f ca="1">IFERROR(VLOOKUP(INDEX(DO635:DO646,DR645),WSM,2,FALSE),"----")</f>
        <v>----</v>
      </c>
      <c r="DT645" s="691" t="e">
        <f t="shared" ca="1" si="11814"/>
        <v>#N/A</v>
      </c>
      <c r="DU645" s="4" t="e">
        <f ca="1">IF(AND(INDEX(STM,DT645,4)&gt;=$AB641,INDEX(STM,DT645,5)&gt;=$S635,INDEX(STM,DT645,6)&gt;=$R635),1,0)</f>
        <v>#N/A</v>
      </c>
      <c r="DV645" s="4" t="e">
        <f t="shared" ref="DV645" ca="1" si="11960">MATCH(1,OFFSET(DU635:DU646,DW644,0,COUNT(DU635:DU646)-DW644),0)</f>
        <v>#REF!</v>
      </c>
      <c r="DW645" s="4" t="e">
        <f t="shared" ca="1" si="11816"/>
        <v>#REF!</v>
      </c>
      <c r="DX645" s="692" t="str">
        <f ca="1">IFERROR(VLOOKUP(INDEX(DT635:DT646,DW645),STM,2,FALSE),"----")</f>
        <v>----</v>
      </c>
      <c r="DY645" s="691" t="e">
        <f t="shared" ca="1" si="11817"/>
        <v>#N/A</v>
      </c>
      <c r="DZ645" s="4" t="e">
        <f ca="1">IF(AND(INDEX(ELM,DY645,4)&gt;=$AB641,INDEX(ELM,DY645,5)&gt;=$S635,INDEX(ELM,DY645,6)&gt;=$R635),1,0)</f>
        <v>#N/A</v>
      </c>
      <c r="EA645" s="4" t="e">
        <f t="shared" ref="EA645" ca="1" si="11961">MATCH(1,OFFSET(DZ635:DZ646,EB644,0,COUNT(DZ635:DZ646)-EB644),0)</f>
        <v>#REF!</v>
      </c>
      <c r="EB645" s="4" t="e">
        <f t="shared" ca="1" si="11819"/>
        <v>#REF!</v>
      </c>
      <c r="EC645" s="692" t="str">
        <f ca="1">IFERROR(VLOOKUP(INDEX(DY635:DY646,EB645),ELM,2,FALSE),"----")</f>
        <v>----</v>
      </c>
      <c r="ED645" s="691" t="e">
        <f t="shared" ca="1" si="11820"/>
        <v>#N/A</v>
      </c>
      <c r="EE645" s="4" t="e">
        <f ca="1">IF(LEFT($J635,7)="Clad Wo",IF(AND(INDEX(SPPWS,ED645,4)&gt;=$AB641,INDEX(SPPWS,ED645,5)&gt;=$S635,INDEX(SPPWS,ED645,6)&gt;=$R635),1,0),IF(AND(INDEX(SPM,ED645,4)&gt;=$AB641,INDEX(SPM,ED645,5)&gt;=$S635,INDEX(SPM,ED645,6)&gt;=$R635),1,0))</f>
        <v>#N/A</v>
      </c>
      <c r="EF645" s="4" t="e">
        <f t="shared" ref="EF645" ca="1" si="11962">MATCH(1,OFFSET(EE635:EE646,EG644,0,COUNT(EE635:EE646)-EG644),0)</f>
        <v>#REF!</v>
      </c>
      <c r="EG645" s="4" t="e">
        <f t="shared" ca="1" si="11822"/>
        <v>#REF!</v>
      </c>
      <c r="EH645" s="692" t="str">
        <f ca="1">IF(LEFT($J635,7)="Clad Wo",IFERROR(VLOOKUP(INDEX(ED635:ED646,EG645),SPPWS,2,FALSE),"----"),IFERROR(VLOOKUP(INDEX(ED635:ED646,EG645),SPM,2,FALSE),"----"))</f>
        <v>----</v>
      </c>
    </row>
    <row r="646" spans="1:138" ht="15" customHeight="1" thickBot="1" x14ac:dyDescent="0.3">
      <c r="A646" s="1085"/>
      <c r="B646" s="928"/>
      <c r="C646" s="929"/>
      <c r="D646" s="930"/>
      <c r="E646" s="998"/>
      <c r="F646" s="999"/>
      <c r="G646" s="1000"/>
      <c r="H646" s="1063"/>
      <c r="I646" s="991"/>
      <c r="J646" s="904"/>
      <c r="K646" s="905"/>
      <c r="L646" s="1003"/>
      <c r="M646" s="1065"/>
      <c r="N646" s="1043"/>
      <c r="O646" s="1019"/>
      <c r="P646" s="988"/>
      <c r="Q646" s="1016"/>
      <c r="R646" s="1013"/>
      <c r="S646" s="1008"/>
      <c r="T646" s="1009"/>
      <c r="U646" s="879"/>
      <c r="V646" s="882"/>
      <c r="W646" s="885"/>
      <c r="X646" s="885"/>
      <c r="Y646" s="888"/>
      <c r="Z646" s="888"/>
      <c r="AA646" s="888"/>
      <c r="AB646" s="1082"/>
      <c r="AC646" s="1087"/>
      <c r="AD646" s="1098" t="str">
        <f t="shared" ref="AD646" si="11963">IF(LEFT(J635,7)="Clad Wo","Pella Wood Spr / Steel Pte","Steel Plate")</f>
        <v>Steel Plate</v>
      </c>
      <c r="AE646" s="1099"/>
      <c r="AF646" s="1096"/>
      <c r="AG646" s="1097"/>
      <c r="AH646" s="1097"/>
      <c r="AI646" s="1094"/>
      <c r="AJ646" s="1095"/>
      <c r="AK646" s="163" t="str">
        <f t="shared" ca="1" si="11298"/>
        <v/>
      </c>
      <c r="AL646" s="1060"/>
      <c r="AM646" s="345" t="str">
        <f ca="1">IFERROR(Q635/12*ROUND(VLOOKUP(AF646,OFFSET(SPM,0,1),6,FALSE),2),"")</f>
        <v/>
      </c>
      <c r="AN646" t="str">
        <f t="shared" ca="1" si="11348"/>
        <v/>
      </c>
      <c r="AP646" s="699" t="str">
        <f t="shared" ref="AP646" si="11964">_xlfn.CONCAT(AR646,AS646)</f>
        <v/>
      </c>
      <c r="AQ646" s="700" t="str">
        <f t="shared" si="11512"/>
        <v/>
      </c>
      <c r="AR646" s="160" t="str">
        <f t="shared" si="11273"/>
        <v/>
      </c>
      <c r="AS646" s="160" t="str">
        <f>IFERROR(VLOOKUP(J643, WallType,2,FALSE),"")</f>
        <v/>
      </c>
      <c r="AT646" s="707" t="str">
        <f>AL641</f>
        <v/>
      </c>
      <c r="AU646" s="708" t="e">
        <f t="shared" ca="1" si="11538"/>
        <v>#REF!</v>
      </c>
      <c r="AV646" s="709" t="str">
        <f ca="1">IFERROR(VLOOKUP(AU646,INDIRECT(AQ635),2,FALSE),"----")</f>
        <v>----</v>
      </c>
      <c r="AW646" s="710" t="e">
        <f t="shared" ca="1" si="11539"/>
        <v>#REF!</v>
      </c>
      <c r="AX646" s="709" t="str">
        <f ca="1">IFERROR(VLOOKUP(AW646,INDIRECT(AQ636),2,FALSE),"----")</f>
        <v>----</v>
      </c>
      <c r="AY646" s="710" t="e">
        <f t="shared" ca="1" si="11934"/>
        <v>#REF!</v>
      </c>
      <c r="AZ646" s="709" t="str">
        <f ca="1">IFERROR(VLOOKUP(AY646,INDIRECT(AQ637),2,FALSE),"----")</f>
        <v>----</v>
      </c>
      <c r="BA646" s="710" t="e">
        <f t="shared" ca="1" si="11935"/>
        <v>#REF!</v>
      </c>
      <c r="BB646" s="709" t="str">
        <f ca="1">IFERROR(VLOOKUP(BA646,INDIRECT(AQ638),2,FALSE),"----")</f>
        <v>----</v>
      </c>
      <c r="BC646" s="710" t="e">
        <f t="shared" ca="1" si="11542"/>
        <v>#REF!</v>
      </c>
      <c r="BD646" s="709" t="str">
        <f ca="1">IFERROR(VLOOKUP(BC646,INDIRECT(AQ639),2,FALSE),"----")</f>
        <v>----</v>
      </c>
      <c r="BE646" s="710" t="e">
        <f t="shared" ca="1" si="11543"/>
        <v>#REF!</v>
      </c>
      <c r="BF646" s="709" t="str">
        <f ca="1">IFERROR(VLOOKUP(BE646,INDIRECT(AQ640),2,FALSE),"----")</f>
        <v>----</v>
      </c>
      <c r="BG646" s="710" t="e">
        <f t="shared" ca="1" si="11544"/>
        <v>#REF!</v>
      </c>
      <c r="BH646" s="711" t="str">
        <f ca="1">IFERROR(VLOOKUP(BG646,INDIRECT(AQ641),2,FALSE),"----")</f>
        <v>----</v>
      </c>
      <c r="BI646" s="710" t="e">
        <f t="shared" ca="1" si="11545"/>
        <v>#REF!</v>
      </c>
      <c r="BJ646" s="711" t="str">
        <f ca="1">IFERROR(VLOOKUP(BI646,INDIRECT(AQ642),2,FALSE),"----")</f>
        <v>----</v>
      </c>
      <c r="BK646" s="710" t="e">
        <f t="shared" ca="1" si="11546"/>
        <v>#REF!</v>
      </c>
      <c r="BL646" s="711" t="str">
        <f ca="1">IFERROR(VLOOKUP(BK646,INDIRECT(AQ643),2,FALSE),"----")</f>
        <v>----</v>
      </c>
      <c r="BM646" s="710" t="e">
        <f t="shared" ca="1" si="11547"/>
        <v>#REF!</v>
      </c>
      <c r="BN646" s="711" t="str">
        <f ca="1">IFERROR(VLOOKUP(BM646,INDIRECT(AQ644),2,FALSE),"----")</f>
        <v>----</v>
      </c>
      <c r="BO646" s="710" t="e">
        <f t="shared" ca="1" si="11548"/>
        <v>#REF!</v>
      </c>
      <c r="BP646" s="711" t="str">
        <f ca="1">IFERROR(VLOOKUP(BO646,INDIRECT(AQ645),2,FALSE),"----")</f>
        <v>----</v>
      </c>
      <c r="BQ646" s="710" t="e">
        <f t="shared" ca="1" si="11549"/>
        <v>#REF!</v>
      </c>
      <c r="BR646" s="712" t="str">
        <f ca="1">IFERROR(VLOOKUP(BQ646,INDIRECT(AQ646),2,FALSE),"----")</f>
        <v>----</v>
      </c>
      <c r="BS646" s="695">
        <f>IF(AI646="",1,IF(COUNTIF(BR635:BR646,AI646)=0,2,1))</f>
        <v>1</v>
      </c>
      <c r="BT646" s="713">
        <f>IF(AF646="",1,IF(BR635=".",2,1))</f>
        <v>1</v>
      </c>
      <c r="BV646" s="155">
        <f ca="1">IF(COUNTIF(EH635:EH646,AF646)=0,IF(AF646&lt;&gt;"",0,1),1)</f>
        <v>1</v>
      </c>
      <c r="BW646" s="157">
        <f ca="1">IFERROR(MATCH(AF646,EH635:EH646,0),1)</f>
        <v>1</v>
      </c>
      <c r="BX646" s="718"/>
      <c r="BY646" s="777"/>
      <c r="BZ646" s="1110"/>
      <c r="CA646" s="714" t="e">
        <f t="shared" ca="1" si="11787"/>
        <v>#REF!</v>
      </c>
      <c r="CB646" s="715" t="e" cm="1">
        <f t="array" aca="1" ref="CB646" ca="1">IF(AND(INDEX(INDIRECT(BY635),CA646,4)&gt;=$AB635,INDEX(INDIRECT(BY635),CA646,5)&gt;=$S635,INDEX(INDIRECT(BY635),CA646,6)&gt;=$R635),1,0)</f>
        <v>#REF!</v>
      </c>
      <c r="CC646" s="715" t="e">
        <f t="shared" ref="CC646" ca="1" si="11965">MATCH(1,OFFSET(CB635:CB646,CD645,0,COUNT(CB635:CB646)-CD645),0)</f>
        <v>#REF!</v>
      </c>
      <c r="CD646" s="715" t="e">
        <f t="shared" ca="1" si="11789"/>
        <v>#REF!</v>
      </c>
      <c r="CE646" s="716" t="str" cm="1">
        <f t="array" aca="1" ref="CE646" ca="1">IFERROR(VLOOKUP(INDEX(CA635:CA646,CD646),INDIRECT(BY635),2,FALSE),"----")</f>
        <v>----</v>
      </c>
      <c r="CF646" s="714" t="e">
        <f t="shared" ca="1" si="11790"/>
        <v>#N/A</v>
      </c>
      <c r="CG646" s="715" t="e">
        <f ca="1">IF(AND(INDEX(SSM,CF646,4)&gt;=$AB635,INDEX(SSM,CF646,5)&gt;=$S635,INDEX(SSM,CF646,6)&gt;=$R635),1,0)</f>
        <v>#N/A</v>
      </c>
      <c r="CH646" s="715" t="e">
        <f t="shared" ref="CH646" ca="1" si="11966">MATCH(1,OFFSET(CG635:CG646,CI645,0,COUNT(CG635:CG646)-CI645),0)</f>
        <v>#REF!</v>
      </c>
      <c r="CI646" s="715" t="e">
        <f t="shared" ca="1" si="11792"/>
        <v>#REF!</v>
      </c>
      <c r="CJ646" s="716" t="str">
        <f ca="1">IFERROR(IF(AD636="Nested Steel Stud (wood infill)",VLOOKUP(INDEX(CF635:CF646,CI646),SSW,2,FALSE),VLOOKUP(INDEX(CF635:CF646,CI646),SSM,2,FALSE)),"----")</f>
        <v>----</v>
      </c>
      <c r="CK646" s="714" t="e">
        <f t="shared" ca="1" si="11793"/>
        <v>#N/A</v>
      </c>
      <c r="CL646" s="715" t="e">
        <f ca="1">IF(AND(INDEX(WSM,CK646,4)&gt;=$AB635,INDEX(WSM,CK646,5)&gt;=$S635,INDEX(WSM,CK646,6)&gt;=$R635),1,0)</f>
        <v>#N/A</v>
      </c>
      <c r="CM646" s="715" t="e">
        <f t="shared" ref="CM646" ca="1" si="11967">MATCH(1,OFFSET(CL635:CL646,CN645,0,COUNT(CL635:CL646)-CN645),0)</f>
        <v>#REF!</v>
      </c>
      <c r="CN646" s="715" t="e">
        <f t="shared" ca="1" si="11795"/>
        <v>#REF!</v>
      </c>
      <c r="CO646" s="716" t="str">
        <f ca="1">IFERROR(VLOOKUP(INDEX(CK635:CK646,CN646),WSM,2,FALSE),"----")</f>
        <v>----</v>
      </c>
      <c r="CP646" s="714" t="e">
        <f t="shared" ca="1" si="11796"/>
        <v>#N/A</v>
      </c>
      <c r="CQ646" s="715" t="e">
        <f ca="1">IF(AND(INDEX(STM,CP646,4)&gt;=$AB635,INDEX(STM,CP646,5)&gt;=$S635,INDEX(STM,CP646,6)&gt;=$R635),1,0)</f>
        <v>#N/A</v>
      </c>
      <c r="CR646" s="715" t="e">
        <f t="shared" ref="CR646" ca="1" si="11968">MATCH(1,OFFSET(CQ635:CQ646,CS645,0,COUNT(CQ635:CQ646)-CS645),0)</f>
        <v>#REF!</v>
      </c>
      <c r="CS646" s="715" t="e">
        <f t="shared" ca="1" si="11798"/>
        <v>#REF!</v>
      </c>
      <c r="CT646" s="716" t="str">
        <f ca="1">IFERROR(VLOOKUP(INDEX(CP635:CP646,CS646),STM,2,FALSE),"----")</f>
        <v>----</v>
      </c>
      <c r="CU646" s="714" t="e">
        <f t="shared" ca="1" si="11799"/>
        <v>#N/A</v>
      </c>
      <c r="CV646" s="715" t="e">
        <f ca="1">IF(AND(INDEX(ELM,CU646,4)&gt;=$AB635,INDEX(ELM,CU646,5)&gt;=$S635,INDEX(ELM,CU646,6)&gt;=$R635),1,0)</f>
        <v>#N/A</v>
      </c>
      <c r="CW646" s="715" t="e">
        <f t="shared" ref="CW646" ca="1" si="11969">MATCH(1,OFFSET(CV635:CV646,CX645,0,COUNT(CV635:CV646)-CX645),0)</f>
        <v>#REF!</v>
      </c>
      <c r="CX646" s="715" t="e">
        <f t="shared" ca="1" si="11801"/>
        <v>#REF!</v>
      </c>
      <c r="CY646" s="716" t="str">
        <f ca="1">IFERROR(VLOOKUP(INDEX(CU635:CU646,CX646),ELM,2,FALSE),"----")</f>
        <v>----</v>
      </c>
      <c r="CZ646" s="714" t="e">
        <f t="shared" ca="1" si="11802"/>
        <v>#N/A</v>
      </c>
      <c r="DA646" s="715" t="e">
        <f ca="1">IF(LEFT($J635,7)="Clad Wo",IF(AND(INDEX(SPPWS,CZ646,4)&gt;=$AB635,INDEX(SPPWS,CZ646,5)&gt;=$S635,INDEX(SPPWS,CZ646,6)&gt;=$R635),1,0),IF(AND(INDEX(SPM,CZ646,4)&gt;=$AB635,INDEX(SPM,CZ646,5)&gt;=$S635,INDEX(SPM,CZ646,6)&gt;=$R635),1,0))</f>
        <v>#N/A</v>
      </c>
      <c r="DB646" s="715" t="e">
        <f t="shared" ref="DB646" ca="1" si="11970">MATCH(1,OFFSET(DA635:DA646,DC645,0,COUNT(DA635:DA646)-DC645),0)</f>
        <v>#REF!</v>
      </c>
      <c r="DC646" s="715" t="e">
        <f t="shared" ca="1" si="11804"/>
        <v>#REF!</v>
      </c>
      <c r="DD646" s="717" t="str">
        <f ca="1">IF(LEFT($J635,7)="Clad Wo",IFERROR(VLOOKUP(INDEX(CZ635:CZ646,DC646),SPPWS,2,FALSE),"----"),IFERROR(VLOOKUP(INDEX(CZ635:CZ646,DC646),SPM,2,FALSE),"----"))</f>
        <v>----</v>
      </c>
      <c r="DE646" s="714" t="e">
        <f t="shared" ca="1" si="11805"/>
        <v>#REF!</v>
      </c>
      <c r="DF646" s="715" t="e" cm="1">
        <f t="array" aca="1" ref="DF646" ca="1">IF(AND(INDEX(INDIRECT(BY635),DE646,4)&gt;=$AB641,INDEX(INDIRECT(BY635),DE646,5)&gt;=$S635,INDEX(INDIRECT(BY635),DE646,6)&gt;=$R635),1,0)</f>
        <v>#REF!</v>
      </c>
      <c r="DG646" s="715" t="e">
        <f t="shared" ref="DG646" ca="1" si="11971">MATCH(1,OFFSET(DF635:DF646,DH645,0,COUNT(DF635:DF646)-DH645),0)</f>
        <v>#REF!</v>
      </c>
      <c r="DH646" s="715" t="e">
        <f t="shared" ca="1" si="11807"/>
        <v>#REF!</v>
      </c>
      <c r="DI646" s="716" t="str" cm="1">
        <f t="array" aca="1" ref="DI646" ca="1">IFERROR(VLOOKUP(INDEX(DE635:DE646,DH646),INDIRECT(BY635),2,FALSE),"----")</f>
        <v>----</v>
      </c>
      <c r="DJ646" s="714" t="e">
        <f t="shared" ca="1" si="11808"/>
        <v>#N/A</v>
      </c>
      <c r="DK646" s="715" t="e">
        <f ca="1">IF(AND(INDEX(SSM,DJ646,4)&gt;=$AB641,INDEX(SSM,DJ646,5)&gt;=$S635,INDEX(SSM,DJ646,6)&gt;=$R635),1,0)</f>
        <v>#N/A</v>
      </c>
      <c r="DL646" s="715" t="e">
        <f t="shared" ref="DL646" ca="1" si="11972">MATCH(1,OFFSET(DK635:DK646,DM645,0,COUNT(DK635:DK646)-DM645),0)</f>
        <v>#REF!</v>
      </c>
      <c r="DM646" s="715" t="e">
        <f t="shared" ca="1" si="11810"/>
        <v>#REF!</v>
      </c>
      <c r="DN646" s="716" t="str">
        <f ca="1">IFERROR(IF(AD642="Nested Steel Stud (wood infill)",VLOOKUP(INDEX(DJ635:DJ646,DM646),SSW,2,FALSE),VLOOKUP(INDEX(DJ635:DJ646,DM646),SSM,2,FALSE)),"----")</f>
        <v>----</v>
      </c>
      <c r="DO646" s="714" t="e">
        <f t="shared" ca="1" si="11811"/>
        <v>#N/A</v>
      </c>
      <c r="DP646" s="715" t="e">
        <f ca="1">IF(AND(INDEX(WSM,DO646,4)&gt;=$AB641,INDEX(WSM,DO646,5)&gt;=$S635,INDEX(WSM,DO646,6)&gt;=$R635),1,0)</f>
        <v>#N/A</v>
      </c>
      <c r="DQ646" s="715" t="e">
        <f t="shared" ref="DQ646" ca="1" si="11973">MATCH(1,OFFSET(DP635:DP646,DR645,0,COUNT(DP635:DP646)-DR645),0)</f>
        <v>#REF!</v>
      </c>
      <c r="DR646" s="715" t="e">
        <f t="shared" ca="1" si="11813"/>
        <v>#REF!</v>
      </c>
      <c r="DS646" s="716" t="str">
        <f ca="1">IFERROR(VLOOKUP(INDEX(DO635:DO646,DR646),WSM,2,FALSE),"----")</f>
        <v>----</v>
      </c>
      <c r="DT646" s="714" t="e">
        <f t="shared" ca="1" si="11814"/>
        <v>#N/A</v>
      </c>
      <c r="DU646" s="715" t="e">
        <f ca="1">IF(AND(INDEX(STM,DT646,4)&gt;=$AB641,INDEX(STM,DT646,5)&gt;=$S635,INDEX(STM,DT646,6)&gt;=$R635),1,0)</f>
        <v>#N/A</v>
      </c>
      <c r="DV646" s="715" t="e">
        <f t="shared" ref="DV646" ca="1" si="11974">MATCH(1,OFFSET(DU635:DU646,DW645,0,COUNT(DU635:DU646)-DW645),0)</f>
        <v>#REF!</v>
      </c>
      <c r="DW646" s="715" t="e">
        <f t="shared" ca="1" si="11816"/>
        <v>#REF!</v>
      </c>
      <c r="DX646" s="716" t="str">
        <f ca="1">IFERROR(VLOOKUP(INDEX(DT635:DT646,DW646),STM,2,FALSE),"----")</f>
        <v>----</v>
      </c>
      <c r="DY646" s="714" t="e">
        <f t="shared" ca="1" si="11817"/>
        <v>#N/A</v>
      </c>
      <c r="DZ646" s="715" t="e">
        <f ca="1">IF(AND(INDEX(ELM,DY646,4)&gt;=$AB641,INDEX(ELM,DY646,5)&gt;=$S635,INDEX(ELM,DY646,6)&gt;=$R635),1,0)</f>
        <v>#N/A</v>
      </c>
      <c r="EA646" s="715" t="e">
        <f t="shared" ref="EA646" ca="1" si="11975">MATCH(1,OFFSET(DZ635:DZ646,EB645,0,COUNT(DZ635:DZ646)-EB645),0)</f>
        <v>#REF!</v>
      </c>
      <c r="EB646" s="715" t="e">
        <f t="shared" ca="1" si="11819"/>
        <v>#REF!</v>
      </c>
      <c r="EC646" s="716" t="str">
        <f ca="1">IFERROR(VLOOKUP(INDEX(DY635:DY646,EB646),ELM,2,FALSE),"----")</f>
        <v>----</v>
      </c>
      <c r="ED646" s="714" t="e">
        <f t="shared" ca="1" si="11820"/>
        <v>#N/A</v>
      </c>
      <c r="EE646" s="715" t="e">
        <f ca="1">IF(LEFT($J635,7)="Clad Wo",IF(AND(INDEX(SPPWS,ED646,4)&gt;=$AB641,INDEX(SPPWS,ED646,5)&gt;=$S635,INDEX(SPPWS,ED646,6)&gt;=$R635),1,0),IF(AND(INDEX(SPM,ED646,4)&gt;=$AB641,INDEX(SPM,ED646,5)&gt;=$S635,INDEX(SPM,ED646,6)&gt;=$R635),1,0))</f>
        <v>#N/A</v>
      </c>
      <c r="EF646" s="715" t="e">
        <f t="shared" ref="EF646" ca="1" si="11976">MATCH(1,OFFSET(EE635:EE646,EG645,0,COUNT(EE635:EE646)-EG645),0)</f>
        <v>#REF!</v>
      </c>
      <c r="EG646" s="715" t="e">
        <f t="shared" ca="1" si="11822"/>
        <v>#REF!</v>
      </c>
      <c r="EH646" s="716" t="str">
        <f ca="1">IF(LEFT($J635,7)="Clad Wo",IFERROR(VLOOKUP(INDEX(ED635:ED646,EG646),SPPWS,2,FALSE),"----"),IFERROR(VLOOKUP(INDEX(ED635:ED646,EG646),SPM,2,FALSE),"----"))</f>
        <v>----</v>
      </c>
    </row>
    <row r="647" spans="1:138" ht="15" customHeight="1" thickTop="1" x14ac:dyDescent="0.25">
      <c r="A647" s="1085"/>
      <c r="B647" s="931" t="s">
        <v>92</v>
      </c>
      <c r="C647" s="932"/>
      <c r="D647" s="933"/>
      <c r="E647" s="992"/>
      <c r="F647" s="993"/>
      <c r="G647" s="994"/>
      <c r="H647" s="1061"/>
      <c r="I647" s="989"/>
      <c r="J647" s="906"/>
      <c r="K647" s="907"/>
      <c r="L647" s="1001">
        <f>$W$3</f>
        <v>4</v>
      </c>
      <c r="M647" s="923" t="str">
        <f t="shared" ref="M647" si="11977">IFERROR(IF($AE$13="",IF($AG$19="Wind Loading",MIN($V$31,IF(E$11="ASCE 7-05",$U$26,$V$7)*$V$9*(IF($E$12&lt;60,0.0771*LN(MAX(MIN(500,O647),10)) -1.2737,IF($E$11="ASCE 7-22",0.0524*LN(MAX(MIN(500,O647),50))-1.0278,0.0614*LN(MAX(MIN(500,O647),20)) -1.0829))-$V$8)),$V$7*IF(E$12&lt;60,$V$13*($V$15*0.0771*LN(MAX(MIN(500,O647),10))-1.2737-$V$16),$V$13*$V$15*((0.0524*LN(MAX(MIN(500,O647),20))-1.0278)-$V$16))),-ABS($AE$13)),"")</f>
        <v/>
      </c>
      <c r="N647" s="1042" t="str">
        <f t="shared" ref="N647" si="11978">IFERROR(IF($AE$15="",IF($AG$19="Wind Loading",MAX($U$31,IF(E$11="ASCE 7-05",$U$26,$V$7)*$V$9*((IF($E$12&lt;60,-0.077*LN(MAX(MIN(500,O647),10))+1.1737,IF($E$11="ASCE 7-22",-0.077*LN(MAX(MIN(500,O647),20))+1.0798,-0.093*LN(MAX(MIN(500,O647),20))+1.1776)))+$V$8)),$V$7*IF(E$12&lt;60,$V$13*($V$15*(-0.077*LN(MAX(MIN(500,O647),10))+1.1737)-$V$17),$V$13*$V$15*((-0.077*LN(MAX(MIN(500,O647),20))+1.0798)-$V$17))),ABS($AE$15)),"")</f>
        <v/>
      </c>
      <c r="O647" s="1017" t="str">
        <f>IF(BX654=0,"",IF(AG$14="Trapezoidal",BY654,BX654))</f>
        <v/>
      </c>
      <c r="P647" s="986"/>
      <c r="Q647" s="1014"/>
      <c r="R647" s="1011">
        <f>P647*Q647/8</f>
        <v>0</v>
      </c>
      <c r="S647" s="1004">
        <f t="shared" ref="S647" si="11979">IF(5*(P647*Q647^3/(384*0.125))=0,0,5*(P647*Q647^3/(384*0.125)))</f>
        <v>0</v>
      </c>
      <c r="T647" s="1005"/>
      <c r="U647" s="877" t="e">
        <f ca="1">VLOOKUP(J651,INDIRECT(VLOOKUP(J647,FrameStrength,2,FALSE)),3,FALSE)</f>
        <v>#N/A</v>
      </c>
      <c r="V647" s="880">
        <f t="shared" ref="V647" si="11980">(H647+I647)/2</f>
        <v>0</v>
      </c>
      <c r="W647" s="883" t="e">
        <f t="shared" ref="W647" si="11981">MAX(-M647,N647)*O647</f>
        <v>#VALUE!</v>
      </c>
      <c r="X647" s="883">
        <f t="shared" ref="X647" si="11982">IF(E647&gt;162,(E647/240+0.25),IF(AND(E647&lt;162,E647/175&lt;0.75),E647/175,0.75))</f>
        <v>0</v>
      </c>
      <c r="Y647" s="886">
        <f>IFERROR(IF(AG$14="Trapezoidal",BY655,BX655)+IF($E$17="4",(400*E647^3)/(48*X647),0),0)</f>
        <v>0</v>
      </c>
      <c r="Z647" s="886" t="e">
        <f t="shared" ref="Z647" si="11983">+($V647*MAX(-$M647,$N647)*$E647^2)/(144*8)+IF($E$17=4,(400*$E647)/4,0)</f>
        <v>#VALUE!</v>
      </c>
      <c r="AA647" s="886" t="e">
        <f ca="1">VLOOKUP(J651,INDIRECT(VLOOKUP(J647,FrameStrength,2,FALSE)),2,FALSE)</f>
        <v>#N/A</v>
      </c>
      <c r="AB647" s="1083" t="str">
        <f t="shared" ref="AB647" ca="1" si="11984">IFERROR(Z647-AA647,"")</f>
        <v/>
      </c>
      <c r="AC647" s="1077" t="str">
        <f t="shared" ref="AC647" ca="1" si="11985">IFERROR(Y647-U647,"")</f>
        <v/>
      </c>
      <c r="AD647" s="1100" t="str">
        <f>IFERROR(IF(LEFT(J651,2)="As",VLOOKUP(J651,EIMM,4,FALSE),VLOOKUP(J647,EIMM,4,FALSE)),IF(AND(ISNUMBER(SEARCH("Impervia",J647)),ISNUMBER(SEARCH("door",J651))),'New Lookup Cells'!AF$10,IF(ISNUMBER(SEARCH("Impervia",J647)),'New Lookup Cells'!AF$7,IF(AND(ISNUMBER(SEARCH("250",J647)),ISNUMBER(SEARCH("door",J651))),'New Lookup Cells'!AF$14,IF(ISNUMBER(SEARCH("250",J647)),'New Lookup Cells'!AF$13,"")))))</f>
        <v/>
      </c>
      <c r="AE647" s="1101"/>
      <c r="AF647" s="1050"/>
      <c r="AG647" s="1051"/>
      <c r="AH647" s="1051"/>
      <c r="AI647" s="1088"/>
      <c r="AJ647" s="1089"/>
      <c r="AK647" s="154" t="str">
        <f t="shared" ca="1" si="11298"/>
        <v/>
      </c>
      <c r="AL647" s="1038" t="str">
        <f t="shared" ref="AL647" si="11986">IFERROR(ROUND(SQRT(P647^2+(W647/2+IF($E$17=4,200,0))^2),0),"")</f>
        <v/>
      </c>
      <c r="AM647" s="342" t="s">
        <v>669</v>
      </c>
      <c r="AN647" t="str">
        <f t="shared" ca="1" si="11348"/>
        <v/>
      </c>
      <c r="AP647" s="122" t="str">
        <f t="shared" ref="AP647" si="11987">_xlfn.CONCAT(AR647,AS652)</f>
        <v/>
      </c>
      <c r="AQ647" s="683" t="str">
        <f t="shared" si="11512"/>
        <v/>
      </c>
      <c r="AR647" s="96" t="str">
        <f t="shared" si="11273"/>
        <v/>
      </c>
      <c r="AS647" s="96" t="str">
        <f>IF(COUNTIF(imp_1,AF647)=1,"imp_1",IF(COUNTIF(imp_2,AF647)=1,"imp_2",IF(COUNTIF(imp_3,AF647)=1,"imp_3",IF(COUNTIF(impdoor,AF647)=1,"impdoor",""))))</f>
        <v/>
      </c>
      <c r="AT647" s="684" t="str">
        <f>AL647</f>
        <v/>
      </c>
      <c r="AU647" s="685" t="e">
        <f ca="1">MATCH(AL647,INDIRECT(AP647),-1)</f>
        <v>#REF!</v>
      </c>
      <c r="AV647" s="686" t="str">
        <f ca="1">IFERROR(VLOOKUP(AU647,INDIRECT(AQ647),2,FALSE),"----")</f>
        <v>----</v>
      </c>
      <c r="AW647" s="685" t="e">
        <f ca="1">MATCH(AL647,INDIRECT(AP648),-1)</f>
        <v>#REF!</v>
      </c>
      <c r="AX647" s="686" t="str">
        <f ca="1">IFERROR(VLOOKUP(AW647,INDIRECT(AQ648),2,FALSE),"----")</f>
        <v>----</v>
      </c>
      <c r="AY647" s="685" t="e">
        <f ca="1">MATCH(AL647,INDIRECT(AP649),-1)</f>
        <v>#REF!</v>
      </c>
      <c r="AZ647" s="686" t="str">
        <f ca="1">IFERROR(VLOOKUP(AY647,INDIRECT(AQ649),2,FALSE),"----")</f>
        <v>----</v>
      </c>
      <c r="BA647" s="685" t="e">
        <f ca="1">MATCH(AL647,INDIRECT(AP650),-1)</f>
        <v>#REF!</v>
      </c>
      <c r="BB647" s="686" t="str">
        <f ca="1">IFERROR(VLOOKUP(BA647,INDIRECT(AQ650),2,FALSE),"----")</f>
        <v>----</v>
      </c>
      <c r="BC647" s="685" t="e">
        <f ca="1">MATCH(AL647,INDIRECT(AP651),-1)</f>
        <v>#REF!</v>
      </c>
      <c r="BD647" s="686" t="str">
        <f ca="1">IFERROR(VLOOKUP(BC647,INDIRECT(AQ651),2,FALSE),"----")</f>
        <v>----</v>
      </c>
      <c r="BE647" s="685" t="e">
        <f ca="1">MATCH(AL647,INDIRECT(AP652),-1)</f>
        <v>#REF!</v>
      </c>
      <c r="BF647" s="686" t="str">
        <f ca="1">IFERROR(VLOOKUP(BE647,INDIRECT(AQ652),2,FALSE),"----")</f>
        <v>----</v>
      </c>
      <c r="BG647" s="685" t="e">
        <f ca="1">MATCH(AL653,INDIRECT(AP653),-1)</f>
        <v>#REF!</v>
      </c>
      <c r="BH647" s="686" t="str">
        <f ca="1">IFERROR(VLOOKUP(BG647,INDIRECT(AQ653),2,FALSE),"----")</f>
        <v>----</v>
      </c>
      <c r="BI647" s="685" t="e">
        <f ca="1">MATCH(AL653,INDIRECT(AP654),-1)</f>
        <v>#REF!</v>
      </c>
      <c r="BJ647" s="686" t="str">
        <f ca="1">IFERROR(VLOOKUP(BI647,INDIRECT(AQ654),2,FALSE),"----")</f>
        <v>----</v>
      </c>
      <c r="BK647" s="685" t="e">
        <f ca="1">MATCH(AL653,INDIRECT(AP655),-1)</f>
        <v>#REF!</v>
      </c>
      <c r="BL647" s="686" t="str">
        <f ca="1">IFERROR(VLOOKUP(BK647,INDIRECT(AQ655),2,FALSE),"----")</f>
        <v>----</v>
      </c>
      <c r="BM647" s="685" t="e">
        <f ca="1">MATCH(AL653,INDIRECT(AP656),-1)</f>
        <v>#REF!</v>
      </c>
      <c r="BN647" s="686" t="str">
        <f ca="1">IFERROR(VLOOKUP(BM647,INDIRECT(AQ656),2,FALSE),"----")</f>
        <v>----</v>
      </c>
      <c r="BO647" s="685" t="e">
        <f ca="1">MATCH(AL653,INDIRECT(AP657),-1)</f>
        <v>#REF!</v>
      </c>
      <c r="BP647" s="686" t="str">
        <f ca="1">IFERROR(VLOOKUP(BO647,INDIRECT(AQ657),2,FALSE),"----")</f>
        <v>----</v>
      </c>
      <c r="BQ647" s="685" t="e">
        <f ca="1">MATCH(AL653,INDIRECT(AP658),-1)</f>
        <v>#REF!</v>
      </c>
      <c r="BR647" s="686" t="str">
        <f ca="1">IFERROR(VLOOKUP(BQ647,INDIRECT(AQ658),2,FALSE),"----")</f>
        <v>----</v>
      </c>
      <c r="BS647" s="687">
        <f>IF(AI647="",1,IF(COUNTIF(AV647:AV658,AI647)=0,2,1))</f>
        <v>1</v>
      </c>
      <c r="BT647" s="688">
        <f>IF(AP647="1",1,IF(AF647="",1,IF(AV647=".",2,1)))</f>
        <v>1</v>
      </c>
      <c r="BU647" s="706"/>
      <c r="BV647" s="155">
        <f ca="1">IF(COUNTIF(CE647:CE658,AF647)=0,IF(AF647&lt;&gt;"",0,1),1)</f>
        <v>1</v>
      </c>
      <c r="BW647" s="157">
        <f ca="1">IFERROR(MATCH(AF647,CE647:CE658,0),1)</f>
        <v>1</v>
      </c>
      <c r="BX647" s="769" t="str">
        <f>IFERROR(IF(LEFT(J651,2)="As",VLOOKUP(J651,EIMM,2,FALSE),IF(AND(ISNUMBER(SEARCH("Impervia",J647)),ISNUMBER(SEARCH("door",J651))),VLOOKUP("Impervia Door",EIMM,2,FALSE),IF(AND(ISNUMBER(SEARCH("250",J647)),ISNUMBER(SEARCH("door",J651))),VLOOKUP("250 Series Door",EIMM,2,FALSE),VLOOKUP(J647,EIMM,2,FALSE)))),"")</f>
        <v/>
      </c>
      <c r="BY647" s="769" t="str">
        <f ca="1">IFERROR(VLOOKUP(BX647,OFFSET(EIMM,0,1),2,FALSE),"")</f>
        <v/>
      </c>
      <c r="BZ647" s="1110" t="e">
        <f ca="1">IF((COUNTIF(INDIRECT(SUBSTITUTE(J647," ","_")),J651))=0,IF(J651="",1,0),1)</f>
        <v>#REF!</v>
      </c>
      <c r="CA647" s="691" t="e">
        <f ca="1">MATCH(AC647,INDIRECT(BX647),-1)</f>
        <v>#REF!</v>
      </c>
      <c r="CB647" s="4" t="e" cm="1">
        <f t="array" aca="1" ref="CB647" ca="1">IF(AND(INDEX(INDIRECT(BY647),CA647,4)&gt;=$AB647,INDEX(INDIRECT(BY647),CA647,5)&gt;=$S647,INDEX(INDIRECT(BY647),CA647,6)&gt;=$R647),1,0)</f>
        <v>#REF!</v>
      </c>
      <c r="CC647" s="4" t="e">
        <f t="shared" ref="CC647" ca="1" si="11988">MATCH(1,OFFSET(CB647:CB658,$W$2,0,COUNT(CB647:CB658)-$W$2),0)</f>
        <v>#REF!</v>
      </c>
      <c r="CD647" s="4" t="e">
        <f t="shared" ref="CD647" ca="1" si="11989">$W$2+CC647</f>
        <v>#REF!</v>
      </c>
      <c r="CE647" s="692" t="str" cm="1">
        <f t="array" aca="1" ref="CE647" ca="1">IFERROR(VLOOKUP(INDEX(CA647:CA658,CD647),INDIRECT(BY647),2,FALSE),"----")</f>
        <v>----</v>
      </c>
      <c r="CF647" s="691" t="e">
        <f ca="1">MATCH($AC647,SSEI,-1)</f>
        <v>#N/A</v>
      </c>
      <c r="CG647" s="4" t="e">
        <f ca="1">IF(AND(INDEX(SSM,CF647,4)&gt;=$AB647,INDEX(SSM,CF647,5)&gt;=$S647,INDEX(SSM,CF647,6)&gt;=$R647),1,0)</f>
        <v>#N/A</v>
      </c>
      <c r="CH647" s="4" t="e">
        <f t="shared" ref="CH647" ca="1" si="11990">MATCH(1,OFFSET(CG647:CG658,$W$2,0,COUNT(CG647:CG658)-$W$2),0)</f>
        <v>#REF!</v>
      </c>
      <c r="CI647" s="4" t="e">
        <f t="shared" ref="CI647" ca="1" si="11991">$W$2+CH647</f>
        <v>#REF!</v>
      </c>
      <c r="CJ647" s="692" t="str">
        <f ca="1">IFERROR(IF(AD648="Nested Steel Stud (wood infill)",VLOOKUP(INDEX(CF647:CF658,CI647),SSW,2,FALSE),VLOOKUP(INDEX(CF647:CF658,CI647),SSM,2,FALSE)),"----")</f>
        <v>----</v>
      </c>
      <c r="CK647" s="691" t="e">
        <f ca="1">MATCH($AC647,WSEI,-1)</f>
        <v>#N/A</v>
      </c>
      <c r="CL647" s="4" t="e">
        <f ca="1">IF(AND(INDEX(WSM,CK647,4)&gt;=$AB647,INDEX(WSM,CK647,5)&gt;=$S647,INDEX(WSM,CK647,6)&gt;=$R647),1,0)</f>
        <v>#N/A</v>
      </c>
      <c r="CM647" s="4" t="e">
        <f t="shared" ref="CM647" ca="1" si="11992">MATCH(1,OFFSET(CL647:CL658,$W$2,0,COUNT(CL647:CL658)-$W$2),0)</f>
        <v>#REF!</v>
      </c>
      <c r="CN647" s="4" t="e">
        <f t="shared" ref="CN647" ca="1" si="11993">$W$2+CM647</f>
        <v>#REF!</v>
      </c>
      <c r="CO647" s="692" t="str">
        <f ca="1">IFERROR(VLOOKUP(INDEX(CK647:CK658,CN647),WSM,2,FALSE),"----")</f>
        <v>----</v>
      </c>
      <c r="CP647" s="691" t="e">
        <f ca="1">MATCH($AC647,STEI,-1)</f>
        <v>#N/A</v>
      </c>
      <c r="CQ647" s="4" t="e">
        <f ca="1">IF(AND(INDEX(STM,CP647,4)&gt;=$AB647,INDEX(STM,CP647,5)&gt;=$S647,INDEX(STM,CP647,6)&gt;=$R647),1,0)</f>
        <v>#N/A</v>
      </c>
      <c r="CR647" s="4" t="e">
        <f t="shared" ref="CR647" ca="1" si="11994">MATCH(1,OFFSET(CQ647:CQ658,$W$2,0,COUNT(CQ647:CQ658)-$W$2),0)</f>
        <v>#REF!</v>
      </c>
      <c r="CS647" s="4" t="e">
        <f t="shared" ref="CS647" ca="1" si="11995">$W$2+CR647</f>
        <v>#REF!</v>
      </c>
      <c r="CT647" s="692" t="str">
        <f ca="1">IFERROR(VLOOKUP(INDEX(CP647:CP658,CS647),STM,2,FALSE),"----")</f>
        <v>----</v>
      </c>
      <c r="CU647" s="691" t="e">
        <f ca="1">MATCH($AC647,ELEI,-1)</f>
        <v>#N/A</v>
      </c>
      <c r="CV647" s="4" t="e">
        <f ca="1">IF(AND(INDEX(ELM,CU647,4)&gt;=$AB647,INDEX(ELM,CU647,5)&gt;=$S647,INDEX(ELM,CU647,6)&gt;=$R647),1,0)</f>
        <v>#N/A</v>
      </c>
      <c r="CW647" s="4" t="e">
        <f t="shared" ref="CW647" ca="1" si="11996">MATCH(1,OFFSET(CV647:CV658,$W$2,0,COUNT(CV647:CV658)-$W$2),0)</f>
        <v>#REF!</v>
      </c>
      <c r="CX647" s="4" t="e">
        <f t="shared" ref="CX647" ca="1" si="11997">$W$2+CW647</f>
        <v>#REF!</v>
      </c>
      <c r="CY647" s="692" t="str">
        <f ca="1">IFERROR(VLOOKUP(INDEX(CU647:CU658,CX647),ELM,2,FALSE),"----")</f>
        <v>----</v>
      </c>
      <c r="CZ647" s="691" t="e">
        <f ca="1">IF(LEFT($J647,7)="Clad Wo",MATCH($AC647,SPEIW,-1),MATCH($AC647,SPEI,-1))</f>
        <v>#N/A</v>
      </c>
      <c r="DA647" s="4" t="e">
        <f ca="1">IF(LEFT($J647,7)="Clad Wo",IF(AND(INDEX(SPPWS,CZ647,4)&gt;=$AB647,INDEX(SPPWS,CZ647,5)&gt;=$S647,INDEX(SPPWS,CZ647,6)&gt;=$R647),1,0),IF(AND(INDEX(SPM,CZ647,4)&gt;=$AB647,INDEX(SPM,CZ647,5)&gt;=$S647,INDEX(SPM,CZ647,6)&gt;=$R647),1,0))</f>
        <v>#N/A</v>
      </c>
      <c r="DB647" s="4" t="e">
        <f t="shared" ref="DB647" ca="1" si="11998">MATCH(1,OFFSET(DA647:DA658,$W$2,0,COUNT(DA647:DA658)-$W$2),0)</f>
        <v>#REF!</v>
      </c>
      <c r="DC647" s="4" t="e">
        <f t="shared" ref="DC647" ca="1" si="11999">$W$2+DB647</f>
        <v>#REF!</v>
      </c>
      <c r="DD647" s="693" t="str">
        <f ca="1">IF(LEFT($J647,7)="Clad Wo",IFERROR(VLOOKUP(INDEX(CZ647:CZ658,DC647),SPPWS,2,FALSE),"----"),IFERROR(VLOOKUP(INDEX(CZ647:CZ658,DC647),SPM,2,FALSE),"----"))</f>
        <v>----</v>
      </c>
      <c r="DE647" s="691" t="e">
        <f ca="1">MATCH(AC653,INDIRECT(BX647),-1)</f>
        <v>#REF!</v>
      </c>
      <c r="DF647" s="4" t="e" cm="1">
        <f t="array" aca="1" ref="DF647" ca="1">IF(AND(INDEX(INDIRECT(BY647),DE647,4)&gt;=$AB653,INDEX(INDIRECT(BY647),DE647,5)&gt;=$S647,INDEX(INDIRECT(BY647),DE647,6)&gt;=$R647),1,0)</f>
        <v>#REF!</v>
      </c>
      <c r="DG647" s="4" t="e">
        <f t="shared" ref="DG647" ca="1" si="12000">MATCH(1,OFFSET(DF647:DF658,$W$2,0,COUNT(DF647:DF658)-$W$2),0)</f>
        <v>#REF!</v>
      </c>
      <c r="DH647" s="4" t="e">
        <f t="shared" ref="DH647" ca="1" si="12001">$W$2+DG647</f>
        <v>#REF!</v>
      </c>
      <c r="DI647" s="692" t="str" cm="1">
        <f t="array" aca="1" ref="DI647" ca="1">IFERROR(VLOOKUP(INDEX(DE647:DE658,DH647),INDIRECT(BY647),2,FALSE),"----")</f>
        <v>----</v>
      </c>
      <c r="DJ647" s="691" t="e">
        <f ca="1">MATCH($AC653,SSEI,-1)</f>
        <v>#N/A</v>
      </c>
      <c r="DK647" s="4" t="e">
        <f ca="1">IF(AND(INDEX(SSM,DJ647,4)&gt;=$AB653,INDEX(SSM,DJ647,5)&gt;=$S647,INDEX(SSM,DJ647,6)&gt;=$R647),1,0)</f>
        <v>#N/A</v>
      </c>
      <c r="DL647" s="4" t="e">
        <f t="shared" ref="DL647" ca="1" si="12002">MATCH(1,OFFSET(DK647:DK658,$W$2,0,COUNT(DK647:DK658)-$W$2),0)</f>
        <v>#REF!</v>
      </c>
      <c r="DM647" s="4" t="e">
        <f t="shared" ref="DM647" ca="1" si="12003">$W$2+DL647</f>
        <v>#REF!</v>
      </c>
      <c r="DN647" s="692" t="str">
        <f ca="1">IFERROR(IF(AD654="Nested Steel Stud (wood infill)",VLOOKUP(INDEX(DJ647:DJ658,DM647),SSW,2,FALSE),VLOOKUP(INDEX(DJ647:DJ658,DM647),SSM,2,FALSE)),"----")</f>
        <v>----</v>
      </c>
      <c r="DO647" s="691" t="e">
        <f ca="1">MATCH($AC653,WSEI,-1)</f>
        <v>#N/A</v>
      </c>
      <c r="DP647" s="4" t="e">
        <f ca="1">IF(AND(INDEX(WSM,DO647,4)&gt;=$AB653,INDEX(WSM,DO647,5)&gt;=$S647,INDEX(WSM,DO647,6)&gt;=$R647),1,0)</f>
        <v>#N/A</v>
      </c>
      <c r="DQ647" s="4" t="e">
        <f t="shared" ref="DQ647" ca="1" si="12004">MATCH(1,OFFSET(DP647:DP658,$W$2,0,COUNT(DP647:DP658)-$W$2),0)</f>
        <v>#REF!</v>
      </c>
      <c r="DR647" s="4" t="e">
        <f t="shared" ref="DR647" ca="1" si="12005">$W$2+DQ647</f>
        <v>#REF!</v>
      </c>
      <c r="DS647" s="692" t="str">
        <f ca="1">IFERROR(VLOOKUP(INDEX(DO647:DO658,DR647),WSM,2,FALSE),"----")</f>
        <v>----</v>
      </c>
      <c r="DT647" s="691" t="e">
        <f ca="1">MATCH($AC653,STEI,-1)</f>
        <v>#N/A</v>
      </c>
      <c r="DU647" s="4" t="e">
        <f ca="1">IF(AND(INDEX(STM,DT647,4)&gt;=$AB653,INDEX(STM,DT647,5)&gt;=$S647,INDEX(STM,DT647,6)&gt;=$R647),1,0)</f>
        <v>#N/A</v>
      </c>
      <c r="DV647" s="4" t="e">
        <f t="shared" ref="DV647" ca="1" si="12006">MATCH(1,OFFSET(DU647:DU658,$W$2,0,COUNT(DU647:DU658)-$W$2),0)</f>
        <v>#REF!</v>
      </c>
      <c r="DW647" s="4" t="e">
        <f t="shared" ref="DW647" ca="1" si="12007">$W$2+DV647</f>
        <v>#REF!</v>
      </c>
      <c r="DX647" s="692" t="str">
        <f ca="1">IFERROR(VLOOKUP(INDEX(DT647:DT658,DW647),STM,2,FALSE),"----")</f>
        <v>----</v>
      </c>
      <c r="DY647" s="691" t="e">
        <f ca="1">MATCH($AC653,ELEI,-1)</f>
        <v>#N/A</v>
      </c>
      <c r="DZ647" s="4" t="e">
        <f ca="1">IF(AND(INDEX(ELM,DY647,4)&gt;=$AB653,INDEX(ELM,DY647,5)&gt;=$S647,INDEX(ELM,DY647,6)&gt;=$R647),1,0)</f>
        <v>#N/A</v>
      </c>
      <c r="EA647" s="4" t="e">
        <f t="shared" ref="EA647" ca="1" si="12008">MATCH(1,OFFSET(DZ647:DZ658,$W$2,0,COUNT(DZ647:DZ658)-$W$2),0)</f>
        <v>#REF!</v>
      </c>
      <c r="EB647" s="4" t="e">
        <f t="shared" ref="EB647" ca="1" si="12009">EA647+$W$2</f>
        <v>#REF!</v>
      </c>
      <c r="EC647" s="692" t="str">
        <f ca="1">IFERROR(VLOOKUP(INDEX(DY647:DY658,EB647),ELM,2,FALSE),"----")</f>
        <v>----</v>
      </c>
      <c r="ED647" s="691" t="e">
        <f ca="1">IF(LEFT($J647,7)="Clad Wo",MATCH($AC653,SPEIW,-1),MATCH($AC653,SPEI,-1))</f>
        <v>#N/A</v>
      </c>
      <c r="EE647" s="4" t="e">
        <f ca="1">IF(LEFT($J647,7)="Clad Wo",IF(AND(INDEX(SPPWS,ED647,4)&gt;=$AB653,INDEX(SPPWS,ED647,5)&gt;=$S647,INDEX(SPPWS,ED647,6)&gt;=$R647),1,0),IF(AND(INDEX(SPM,ED647,4)&gt;=$AB653,INDEX(SPM,ED647,5)&gt;=$S647,INDEX(SPM,ED647,6)&gt;=$R647),1,0))</f>
        <v>#N/A</v>
      </c>
      <c r="EF647" s="4" t="e">
        <f t="shared" ref="EF647" ca="1" si="12010">MATCH(1,OFFSET(EE647:EE658,$W$2,0,COUNT(EE647:EE658)-$W$2),0)</f>
        <v>#REF!</v>
      </c>
      <c r="EG647" s="4" t="e">
        <f t="shared" ref="EG647" ca="1" si="12011">$W$2+EF647</f>
        <v>#REF!</v>
      </c>
      <c r="EH647" s="692" t="str">
        <f ca="1">IF(LEFT($J647,7)="Clad Wo",IFERROR(VLOOKUP(INDEX(ED647:ED658,EG647),SPPWS,2,FALSE),"----"),IFERROR(VLOOKUP(INDEX(ED647:ED658,EG647),SPM,2,FALSE),"----"))</f>
        <v>----</v>
      </c>
    </row>
    <row r="648" spans="1:138" ht="15" customHeight="1" x14ac:dyDescent="0.25">
      <c r="A648" s="1085"/>
      <c r="B648" s="925"/>
      <c r="C648" s="926"/>
      <c r="D648" s="927"/>
      <c r="E648" s="995"/>
      <c r="F648" s="996"/>
      <c r="G648" s="997"/>
      <c r="H648" s="1062"/>
      <c r="I648" s="990"/>
      <c r="J648" s="908"/>
      <c r="K648" s="909"/>
      <c r="L648" s="1002"/>
      <c r="M648" s="923"/>
      <c r="N648" s="1042"/>
      <c r="O648" s="1018"/>
      <c r="P648" s="987"/>
      <c r="Q648" s="1015"/>
      <c r="R648" s="1012"/>
      <c r="S648" s="1006"/>
      <c r="T648" s="1007"/>
      <c r="U648" s="878"/>
      <c r="V648" s="881"/>
      <c r="W648" s="884"/>
      <c r="X648" s="884"/>
      <c r="Y648" s="887"/>
      <c r="Z648" s="887"/>
      <c r="AA648" s="887"/>
      <c r="AB648" s="1081"/>
      <c r="AC648" s="1078"/>
      <c r="AD648" s="1102" t="s">
        <v>38</v>
      </c>
      <c r="AE648" s="1103"/>
      <c r="AF648" s="1052"/>
      <c r="AG648" s="1053"/>
      <c r="AH648" s="1053"/>
      <c r="AI648" s="1066"/>
      <c r="AJ648" s="1067"/>
      <c r="AK648" s="156" t="str">
        <f t="shared" ca="1" si="11298"/>
        <v/>
      </c>
      <c r="AL648" s="1039"/>
      <c r="AM648" s="343" t="str">
        <f ca="1">IFERROR(Q647/12*ROUND(VLOOKUP(AF648,OFFSET(SSM,0,1),6,FALSE),2),"")</f>
        <v/>
      </c>
      <c r="AN648" t="str">
        <f t="shared" ca="1" si="11348"/>
        <v/>
      </c>
      <c r="AP648" s="122" t="str">
        <f t="shared" ref="AP648" si="12012">_xlfn.CONCAT(AR648,AS652)</f>
        <v/>
      </c>
      <c r="AQ648" s="683" t="str">
        <f t="shared" si="11512"/>
        <v/>
      </c>
      <c r="AR648" s="96" t="str">
        <f t="shared" si="11273"/>
        <v/>
      </c>
      <c r="AS648" s="96" t="str">
        <f>IF(COUNTIF(Vista_1,AF647)=1,"Vista_1",IF(COUNTIF(Vista_2,AF647)=1,"Vista_2",""))</f>
        <v/>
      </c>
      <c r="AT648" s="684" t="str">
        <f>AL647</f>
        <v/>
      </c>
      <c r="AU648" s="694" t="e">
        <f t="shared" ref="AU648" ca="1" si="12013">AU647-1</f>
        <v>#REF!</v>
      </c>
      <c r="AV648" s="686" t="str">
        <f ca="1">IFERROR(VLOOKUP(AU648,INDIRECT(AQ647),2,FALSE),"----")</f>
        <v>----</v>
      </c>
      <c r="AW648" s="694" t="e">
        <f t="shared" ref="AW648:AW649" ca="1" si="12014">AW647-1</f>
        <v>#REF!</v>
      </c>
      <c r="AX648" s="686" t="str">
        <f ca="1">IFERROR(VLOOKUP(AW648,INDIRECT(AQ648),2,FALSE),"----")</f>
        <v>----</v>
      </c>
      <c r="AY648" s="694" t="e">
        <f t="shared" ref="AY648:AY649" ca="1" si="12015">AY647-1</f>
        <v>#REF!</v>
      </c>
      <c r="AZ648" s="686" t="str">
        <f ca="1">IFERROR(VLOOKUP(AY648,INDIRECT(AQ649),2,FALSE),"----")</f>
        <v>----</v>
      </c>
      <c r="BA648" s="694" t="e">
        <f t="shared" ref="BA648:BA649" ca="1" si="12016">BA647-1</f>
        <v>#REF!</v>
      </c>
      <c r="BB648" s="686" t="str">
        <f ca="1">IFERROR(VLOOKUP(BA648,INDIRECT(AQ650),2,FALSE),"----")</f>
        <v>----</v>
      </c>
      <c r="BC648" s="694" t="e">
        <f t="shared" ref="BC648:BC649" ca="1" si="12017">BC647-1</f>
        <v>#REF!</v>
      </c>
      <c r="BD648" s="686" t="str">
        <f ca="1">IFERROR(VLOOKUP(BC648,INDIRECT(AQ651),2,FALSE),"----")</f>
        <v>----</v>
      </c>
      <c r="BE648" s="694" t="e">
        <f t="shared" ref="BE648" ca="1" si="12018">BE647-1</f>
        <v>#REF!</v>
      </c>
      <c r="BF648" s="686" t="str">
        <f ca="1">IFERROR(VLOOKUP(BE648,INDIRECT(AQ652),2,FALSE),"----")</f>
        <v>----</v>
      </c>
      <c r="BG648" s="694" t="e">
        <f t="shared" ref="BG648" ca="1" si="12019">BG647-1</f>
        <v>#REF!</v>
      </c>
      <c r="BH648" s="686" t="str">
        <f ca="1">IFERROR(VLOOKUP(BG648,INDIRECT(AQ653),2,FALSE),"----")</f>
        <v>----</v>
      </c>
      <c r="BI648" s="694" t="e">
        <f t="shared" ref="BI648:BI649" ca="1" si="12020">BI647-1</f>
        <v>#REF!</v>
      </c>
      <c r="BJ648" s="686" t="str">
        <f ca="1">IFERROR(VLOOKUP(BI648,INDIRECT(AQ654),2,FALSE),"----")</f>
        <v>----</v>
      </c>
      <c r="BK648" s="694" t="e">
        <f t="shared" ref="BK648:BK649" ca="1" si="12021">BK647-1</f>
        <v>#REF!</v>
      </c>
      <c r="BL648" s="686" t="str">
        <f ca="1">IFERROR(VLOOKUP(BK648,INDIRECT(AQ655),2,FALSE),"----")</f>
        <v>----</v>
      </c>
      <c r="BM648" s="694" t="e">
        <f t="shared" ref="BM648:BM649" ca="1" si="12022">BM647-1</f>
        <v>#REF!</v>
      </c>
      <c r="BN648" s="686" t="str">
        <f ca="1">IFERROR(VLOOKUP(BM648,INDIRECT(AQ656),2,FALSE),"----")</f>
        <v>----</v>
      </c>
      <c r="BO648" s="694" t="e">
        <f t="shared" ref="BO648:BO649" ca="1" si="12023">BO647-1</f>
        <v>#REF!</v>
      </c>
      <c r="BP648" s="686" t="str">
        <f ca="1">IFERROR(VLOOKUP(BO648,INDIRECT(AQ657),2,FALSE),"----")</f>
        <v>----</v>
      </c>
      <c r="BQ648" s="694" t="e">
        <f t="shared" ref="BQ648" ca="1" si="12024">BQ647-1</f>
        <v>#REF!</v>
      </c>
      <c r="BR648" s="686" t="str">
        <f ca="1">IFERROR(VLOOKUP(BQ648,INDIRECT(AQ658),2,FALSE),"----")</f>
        <v>----</v>
      </c>
      <c r="BS648" s="695">
        <f>IF(AI648="",1,IF(COUNTIF(AX647:AX658,AI648)=0,2,1))</f>
        <v>1</v>
      </c>
      <c r="BT648" s="696">
        <f>IF(AF648="",1,IF(AX647=".",2,1))</f>
        <v>1</v>
      </c>
      <c r="BU648" s="706"/>
      <c r="BV648" s="155">
        <f ca="1">IF(COUNTIF(CJ647:CJ658,AF648)=0,IF(AF648&lt;&gt;"",0,1),1)</f>
        <v>1</v>
      </c>
      <c r="BW648" s="157">
        <f ca="1">IFERROR(MATCH(AF648,CJ647:CJ658,0),1)</f>
        <v>1</v>
      </c>
      <c r="BX648" s="769"/>
      <c r="BY648" s="769"/>
      <c r="BZ648" s="1110"/>
      <c r="CA648" s="691" t="e">
        <f t="shared" ref="CA648:CA658" ca="1" si="12025">CA647-1</f>
        <v>#REF!</v>
      </c>
      <c r="CB648" s="4" t="e" cm="1">
        <f t="array" aca="1" ref="CB648" ca="1">IF(AND(INDEX(INDIRECT(BY647),CA648,4)&gt;=$AB647,INDEX(INDIRECT(BY647),CA648,5)&gt;=$S647,INDEX(INDIRECT(BY647),CA648,6)&gt;=$R647),1,0)</f>
        <v>#REF!</v>
      </c>
      <c r="CC648" s="4" t="e">
        <f t="shared" ref="CC648" ca="1" si="12026">MATCH(1,OFFSET(CB647:CB658,CD647,0,COUNT(CB647:CB658)-CD647),0)</f>
        <v>#REF!</v>
      </c>
      <c r="CD648" s="4" t="e">
        <f t="shared" ref="CD648:CD658" ca="1" si="12027">CD647+CC648</f>
        <v>#REF!</v>
      </c>
      <c r="CE648" s="692" t="str" cm="1">
        <f t="array" aca="1" ref="CE648" ca="1">IFERROR(VLOOKUP(INDEX(CA647:CA658,CD648),INDIRECT(BY647),2,FALSE),"----")</f>
        <v>----</v>
      </c>
      <c r="CF648" s="691" t="e">
        <f t="shared" ref="CF648:CF658" ca="1" si="12028">CF647-1</f>
        <v>#N/A</v>
      </c>
      <c r="CG648" s="4" t="e">
        <f ca="1">IF(AND(INDEX(SSM,CF648,4)&gt;=$AB647,INDEX(SSM,CF648,5)&gt;=$S647,INDEX(SSM,CF648,6)&gt;=$R647),1,0)</f>
        <v>#N/A</v>
      </c>
      <c r="CH648" s="4" t="e">
        <f t="shared" ref="CH648" ca="1" si="12029">MATCH(1,OFFSET(CG647:CG658,CI647,0,COUNT(CG647:CG658)-CI647),0)</f>
        <v>#REF!</v>
      </c>
      <c r="CI648" s="4" t="e">
        <f t="shared" ref="CI648:CI658" ca="1" si="12030">CI647+CH648</f>
        <v>#REF!</v>
      </c>
      <c r="CJ648" s="692" t="str">
        <f ca="1">IFERROR(IF(AD648="Nested Steel Stud (wood infill)",VLOOKUP(INDEX(CF647:CF658,CI648),SSW,2,FALSE),VLOOKUP(INDEX(CF647:CF658,CI648),SSM,2,FALSE)),"----")</f>
        <v>----</v>
      </c>
      <c r="CK648" s="691" t="e">
        <f t="shared" ref="CK648:CK658" ca="1" si="12031">CK647-1</f>
        <v>#N/A</v>
      </c>
      <c r="CL648" s="4" t="e">
        <f ca="1">IF(AND(INDEX(WSM,CK648,4)&gt;=$AB647,INDEX(WSM,CK648,5)&gt;=$S647,INDEX(WSM,CK648,6)&gt;=$R647),1,0)</f>
        <v>#N/A</v>
      </c>
      <c r="CM648" s="4" t="e">
        <f t="shared" ref="CM648" ca="1" si="12032">MATCH(1,OFFSET(CL647:CL658,CN647,0,COUNT(CL647:CL658)-CN647),0)</f>
        <v>#REF!</v>
      </c>
      <c r="CN648" s="4" t="e">
        <f t="shared" ref="CN648:CN658" ca="1" si="12033">CM648+CN647</f>
        <v>#REF!</v>
      </c>
      <c r="CO648" s="692" t="str">
        <f ca="1">IFERROR(VLOOKUP(INDEX(CK647:CK658,CN648),WSM,2,FALSE),"----")</f>
        <v>----</v>
      </c>
      <c r="CP648" s="691" t="e">
        <f t="shared" ref="CP648:CP658" ca="1" si="12034">CP647-1</f>
        <v>#N/A</v>
      </c>
      <c r="CQ648" s="4" t="e">
        <f ca="1">IF(AND(INDEX(STM,CP648,4)&gt;=$AB647,INDEX(STM,CP648,5)&gt;=$S647,INDEX(STM,CP648,6)&gt;=$R647),1,0)</f>
        <v>#N/A</v>
      </c>
      <c r="CR648" s="4" t="e">
        <f t="shared" ref="CR648" ca="1" si="12035">MATCH(1,OFFSET(CQ647:CQ658,CS647,0,COUNT(CQ647:CQ658)-CS647),0)</f>
        <v>#REF!</v>
      </c>
      <c r="CS648" s="4" t="e">
        <f t="shared" ref="CS648:CS658" ca="1" si="12036">CR648+CS647</f>
        <v>#REF!</v>
      </c>
      <c r="CT648" s="692" t="str">
        <f ca="1">IFERROR(VLOOKUP(INDEX(CP647:CP658,CS648),STM,2,FALSE),"----")</f>
        <v>----</v>
      </c>
      <c r="CU648" s="691" t="e">
        <f t="shared" ref="CU648:CU658" ca="1" si="12037">CU647-1</f>
        <v>#N/A</v>
      </c>
      <c r="CV648" s="4" t="e">
        <f ca="1">IF(AND(INDEX(ELM,CU648,4)&gt;=$AB647,INDEX(ELM,CU648,5)&gt;=$S647,INDEX(ELM,CU648,6)&gt;=$R647),1,0)</f>
        <v>#N/A</v>
      </c>
      <c r="CW648" s="4" t="e">
        <f t="shared" ref="CW648" ca="1" si="12038">MATCH(1,OFFSET(CV647:CV658,CX647,0,COUNT(CV647:CV658)-CX647),0)</f>
        <v>#REF!</v>
      </c>
      <c r="CX648" s="4" t="e">
        <f t="shared" ref="CX648:CX658" ca="1" si="12039">CW648+CX647</f>
        <v>#REF!</v>
      </c>
      <c r="CY648" s="692" t="str">
        <f ca="1">IFERROR(VLOOKUP(INDEX(CU647:CU658,CX648),ELM,2,FALSE),"----")</f>
        <v>----</v>
      </c>
      <c r="CZ648" s="691" t="e">
        <f t="shared" ref="CZ648:CZ658" ca="1" si="12040">CZ647-1</f>
        <v>#N/A</v>
      </c>
      <c r="DA648" s="4" t="e">
        <f ca="1">IF(LEFT($J647,7)="Clad Wo",IF(AND(INDEX(SPPWS,CZ648,4)&gt;=$AB647,INDEX(SPPWS,CZ648,5)&gt;=$S647,INDEX(SPPWS,CZ648,6)&gt;=$R647),1,0),IF(AND(INDEX(SPM,CZ648,4)&gt;=$AB647,INDEX(SPM,CZ648,5)&gt;=$S647,INDEX(SPM,CZ648,6)&gt;=$R647),1,0))</f>
        <v>#N/A</v>
      </c>
      <c r="DB648" s="4" t="e">
        <f t="shared" ref="DB648" ca="1" si="12041">MATCH(1,OFFSET(DA647:DA658,DC647,0,COUNT(DA647:DA658)-DC647),0)</f>
        <v>#REF!</v>
      </c>
      <c r="DC648" s="4" t="e">
        <f t="shared" ref="DC648:DC658" ca="1" si="12042">DC647+DB648</f>
        <v>#REF!</v>
      </c>
      <c r="DD648" s="693" t="str">
        <f ca="1">IF(LEFT($J647,7)="Clad Wo",IFERROR(VLOOKUP(INDEX(CZ647:CZ658,DC648),SPPWS,2,FALSE),"----"),IFERROR(VLOOKUP(INDEX(CZ647:CZ658,DC648),SPM,2,FALSE),"----"))</f>
        <v>----</v>
      </c>
      <c r="DE648" s="691" t="e">
        <f t="shared" ref="DE648:DE658" ca="1" si="12043">DE647-1</f>
        <v>#REF!</v>
      </c>
      <c r="DF648" s="4" t="e" cm="1">
        <f t="array" aca="1" ref="DF648" ca="1">IF(AND(INDEX(INDIRECT(BY647),DE648,4)&gt;=$AB653,INDEX(INDIRECT(BY647),DE648,5)&gt;=$S647,INDEX(INDIRECT(BY647),DE648,6)&gt;=$R647),1,0)</f>
        <v>#REF!</v>
      </c>
      <c r="DG648" s="4" t="e">
        <f t="shared" ref="DG648" ca="1" si="12044">MATCH(1,OFFSET(DF647:DF658,DH647,0,COUNT(DF647:DF658)-DH647),0)</f>
        <v>#REF!</v>
      </c>
      <c r="DH648" s="4" t="e">
        <f t="shared" ref="DH648:DH658" ca="1" si="12045">DH647+DG648</f>
        <v>#REF!</v>
      </c>
      <c r="DI648" s="692" t="str" cm="1">
        <f t="array" aca="1" ref="DI648" ca="1">IFERROR(VLOOKUP(INDEX(DE647:DE658,DH648),INDIRECT(BY647),2,FALSE),"----")</f>
        <v>----</v>
      </c>
      <c r="DJ648" s="691" t="e">
        <f t="shared" ref="DJ648:DJ658" ca="1" si="12046">DJ647-1</f>
        <v>#N/A</v>
      </c>
      <c r="DK648" s="4" t="e">
        <f ca="1">IF(AND(INDEX(SSM,DJ648,4)&gt;=$AB653,INDEX(SSM,DJ648,5)&gt;=$S647,INDEX(SSM,DJ648,6)&gt;=$R647),1,0)</f>
        <v>#N/A</v>
      </c>
      <c r="DL648" s="4" t="e">
        <f t="shared" ref="DL648" ca="1" si="12047">MATCH(1,OFFSET(DK647:DK658,DM647,0,COUNT(DK647:DK658)-DM647),0)</f>
        <v>#REF!</v>
      </c>
      <c r="DM648" s="4" t="e">
        <f t="shared" ref="DM648:DM658" ca="1" si="12048">DL648+DM647</f>
        <v>#REF!</v>
      </c>
      <c r="DN648" s="692" t="str">
        <f ca="1">IFERROR(IF(AD654="Nested Steel Stud (wood infill)",VLOOKUP(INDEX(DJ647:DJ658,DM648),SSW,2,FALSE),VLOOKUP(INDEX(DJ647:DJ658,DM648),SSM,2,FALSE)),"----")</f>
        <v>----</v>
      </c>
      <c r="DO648" s="691" t="e">
        <f t="shared" ref="DO648:DO658" ca="1" si="12049">DO647-1</f>
        <v>#N/A</v>
      </c>
      <c r="DP648" s="4" t="e">
        <f ca="1">IF(AND(INDEX(WSM,DO648,4)&gt;=$AB653,INDEX(WSM,DO648,5)&gt;=$S647,INDEX(WSM,DO648,6)&gt;=$R647),1,0)</f>
        <v>#N/A</v>
      </c>
      <c r="DQ648" s="4" t="e">
        <f t="shared" ref="DQ648" ca="1" si="12050">MATCH(1,OFFSET(DP647:DP658,DR647,0,COUNT(DP647:DP658)-DR647),0)</f>
        <v>#REF!</v>
      </c>
      <c r="DR648" s="4" t="e">
        <f t="shared" ref="DR648:DR658" ca="1" si="12051">DQ648+DR647</f>
        <v>#REF!</v>
      </c>
      <c r="DS648" s="692" t="str">
        <f ca="1">IFERROR(VLOOKUP(INDEX(DO647:DO658,DR648),WSM,2,FALSE),"----")</f>
        <v>----</v>
      </c>
      <c r="DT648" s="691" t="e">
        <f t="shared" ref="DT648:DT658" ca="1" si="12052">DT647-1</f>
        <v>#N/A</v>
      </c>
      <c r="DU648" s="4" t="e">
        <f ca="1">IF(AND(INDEX(STM,DT648,4)&gt;=$AB653,INDEX(STM,DT648,5)&gt;=$S647,INDEX(STM,DT648,6)&gt;=$R647),1,0)</f>
        <v>#N/A</v>
      </c>
      <c r="DV648" s="4" t="e">
        <f t="shared" ref="DV648" ca="1" si="12053">MATCH(1,OFFSET(DU647:DU658,DW647,0,COUNT(DU647:DU658)-DW647),0)</f>
        <v>#REF!</v>
      </c>
      <c r="DW648" s="4" t="e">
        <f t="shared" ref="DW648:DW658" ca="1" si="12054">DV648+DW647</f>
        <v>#REF!</v>
      </c>
      <c r="DX648" s="692" t="str">
        <f ca="1">IFERROR(VLOOKUP(INDEX(DT647:DT658,DW648),STM,2,FALSE),"----")</f>
        <v>----</v>
      </c>
      <c r="DY648" s="691" t="e">
        <f t="shared" ref="DY648:DY658" ca="1" si="12055">DY647-1</f>
        <v>#N/A</v>
      </c>
      <c r="DZ648" s="4" t="e">
        <f ca="1">IF(AND(INDEX(ELM,DY648,4)&gt;=$AB653,INDEX(ELM,DY648,5)&gt;=$S647,INDEX(ELM,DY648,6)&gt;=$R647),1,0)</f>
        <v>#N/A</v>
      </c>
      <c r="EA648" s="4" t="e">
        <f t="shared" ref="EA648" ca="1" si="12056">MATCH(1,OFFSET(DZ647:DZ658,EB647,0,COUNT(DZ647:DZ658)-EB647),0)</f>
        <v>#REF!</v>
      </c>
      <c r="EB648" s="4" t="e">
        <f t="shared" ref="EB648:EB658" ca="1" si="12057">EA648+EB647</f>
        <v>#REF!</v>
      </c>
      <c r="EC648" s="692" t="str">
        <f ca="1">IFERROR(VLOOKUP(INDEX(DY647:DY658,EB648),ELM,2,FALSE),"----")</f>
        <v>----</v>
      </c>
      <c r="ED648" s="691" t="e">
        <f t="shared" ref="ED648:ED658" ca="1" si="12058">ED647-1</f>
        <v>#N/A</v>
      </c>
      <c r="EE648" s="4" t="e">
        <f ca="1">IF(LEFT($J647,7)="Clad Wo",IF(AND(INDEX(SPPWS,ED648,4)&gt;=$AB653,INDEX(SPPWS,ED648,5)&gt;=$S647,INDEX(SPPWS,ED648,6)&gt;=$R647),1,0),IF(AND(INDEX(SPM,ED648,4)&gt;=$AB653,INDEX(SPM,ED648,5)&gt;=$S647,INDEX(SPM,ED648,6)&gt;=$R647),1,0))</f>
        <v>#N/A</v>
      </c>
      <c r="EF648" s="4" t="e">
        <f t="shared" ref="EF648" ca="1" si="12059">MATCH(1,OFFSET(EE647:EE658,EG647,0,COUNT(EE647:EE658)-EG647),0)</f>
        <v>#REF!</v>
      </c>
      <c r="EG648" s="4" t="e">
        <f t="shared" ref="EG648:EG658" ca="1" si="12060">EG647+EF648</f>
        <v>#REF!</v>
      </c>
      <c r="EH648" s="692" t="str">
        <f ca="1">IF(LEFT($J647,7)="Clad Wo",IFERROR(VLOOKUP(INDEX(ED647:ED658,EG648),SPPWS,2,FALSE),"----"),IFERROR(VLOOKUP(INDEX(ED647:ED658,EG648),SPM,2,FALSE),"----"))</f>
        <v>----</v>
      </c>
    </row>
    <row r="649" spans="1:138" ht="15" customHeight="1" x14ac:dyDescent="0.25">
      <c r="A649" s="1085"/>
      <c r="B649" s="925"/>
      <c r="C649" s="926"/>
      <c r="D649" s="927"/>
      <c r="E649" s="995"/>
      <c r="F649" s="996"/>
      <c r="G649" s="997"/>
      <c r="H649" s="1062"/>
      <c r="I649" s="990"/>
      <c r="J649" s="908"/>
      <c r="K649" s="909"/>
      <c r="L649" s="1002"/>
      <c r="M649" s="923"/>
      <c r="N649" s="1042"/>
      <c r="O649" s="1018"/>
      <c r="P649" s="987"/>
      <c r="Q649" s="1015"/>
      <c r="R649" s="1012"/>
      <c r="S649" s="1006"/>
      <c r="T649" s="1007"/>
      <c r="U649" s="878"/>
      <c r="V649" s="881"/>
      <c r="W649" s="884"/>
      <c r="X649" s="884"/>
      <c r="Y649" s="887"/>
      <c r="Z649" s="887"/>
      <c r="AA649" s="887"/>
      <c r="AB649" s="1081"/>
      <c r="AC649" s="1078"/>
      <c r="AD649" s="1070" t="s">
        <v>333</v>
      </c>
      <c r="AE649" s="1071"/>
      <c r="AF649" s="1052"/>
      <c r="AG649" s="1053"/>
      <c r="AH649" s="1053"/>
      <c r="AI649" s="1066"/>
      <c r="AJ649" s="1067"/>
      <c r="AK649" s="154" t="str">
        <f t="shared" ca="1" si="11298"/>
        <v/>
      </c>
      <c r="AL649" s="1039"/>
      <c r="AM649" s="344" t="str">
        <f ca="1">IFERROR(Q647/12*ROUND(VLOOKUP(AF649,OFFSET(WSM,0,1),6,FALSE),2),"")</f>
        <v/>
      </c>
      <c r="AN649" t="str">
        <f t="shared" ca="1" si="11348"/>
        <v/>
      </c>
      <c r="AP649" s="122" t="str">
        <f t="shared" ref="AP649" si="12061">_xlfn.CONCAT(AR649,AS652)</f>
        <v/>
      </c>
      <c r="AQ649" s="683" t="str">
        <f t="shared" si="11512"/>
        <v/>
      </c>
      <c r="AR649" s="4" t="str">
        <f t="shared" si="11273"/>
        <v/>
      </c>
      <c r="AS649" s="4"/>
      <c r="AT649" s="697" t="str">
        <f>AL647</f>
        <v/>
      </c>
      <c r="AU649" s="694" t="e">
        <f t="shared" ca="1" si="11538"/>
        <v>#REF!</v>
      </c>
      <c r="AV649" s="686" t="str">
        <f ca="1">IFERROR(VLOOKUP(AU649,INDIRECT(AQ647),2,FALSE),"----")</f>
        <v>----</v>
      </c>
      <c r="AW649" s="694" t="e">
        <f t="shared" ca="1" si="12014"/>
        <v>#REF!</v>
      </c>
      <c r="AX649" s="686" t="str">
        <f ca="1">IFERROR(VLOOKUP(AW649,INDIRECT(AQ648),2,FALSE),"----")</f>
        <v>----</v>
      </c>
      <c r="AY649" s="694" t="e">
        <f t="shared" ca="1" si="12015"/>
        <v>#REF!</v>
      </c>
      <c r="AZ649" s="686" t="str">
        <f ca="1">IFERROR(VLOOKUP(AY649,INDIRECT(AQ649),2,FALSE),"----")</f>
        <v>----</v>
      </c>
      <c r="BA649" s="694" t="e">
        <f t="shared" ca="1" si="12016"/>
        <v>#REF!</v>
      </c>
      <c r="BB649" s="686" t="str">
        <f ca="1">IFERROR(VLOOKUP(BA649,INDIRECT(AQ650),2,FALSE),"----")</f>
        <v>----</v>
      </c>
      <c r="BC649" s="694" t="e">
        <f t="shared" ca="1" si="12017"/>
        <v>#REF!</v>
      </c>
      <c r="BD649" s="686" t="str">
        <f ca="1">IFERROR(VLOOKUP(BC649,INDIRECT(AQ651),2,FALSE),"----")</f>
        <v>----</v>
      </c>
      <c r="BE649" s="694" t="e">
        <f t="shared" ca="1" si="11543"/>
        <v>#REF!</v>
      </c>
      <c r="BF649" s="686" t="str">
        <f ca="1">IFERROR(VLOOKUP(BE649,INDIRECT(AQ652),2,FALSE),"----")</f>
        <v>----</v>
      </c>
      <c r="BG649" s="694" t="e">
        <f t="shared" ca="1" si="11544"/>
        <v>#REF!</v>
      </c>
      <c r="BH649" s="686" t="str">
        <f ca="1">IFERROR(VLOOKUP(BG649,INDIRECT(AQ653),2,FALSE),"----")</f>
        <v>----</v>
      </c>
      <c r="BI649" s="694" t="e">
        <f t="shared" ca="1" si="12020"/>
        <v>#REF!</v>
      </c>
      <c r="BJ649" s="686" t="str">
        <f ca="1">IFERROR(VLOOKUP(BI649,INDIRECT(AQ654),2,FALSE),"----")</f>
        <v>----</v>
      </c>
      <c r="BK649" s="694" t="e">
        <f t="shared" ca="1" si="12021"/>
        <v>#REF!</v>
      </c>
      <c r="BL649" s="686" t="str">
        <f ca="1">IFERROR(VLOOKUP(BK649,INDIRECT(AQ655),2,FALSE),"----")</f>
        <v>----</v>
      </c>
      <c r="BM649" s="694" t="e">
        <f t="shared" ca="1" si="12022"/>
        <v>#REF!</v>
      </c>
      <c r="BN649" s="686" t="str">
        <f ca="1">IFERROR(VLOOKUP(BM649,INDIRECT(AQ656),2,FALSE),"----")</f>
        <v>----</v>
      </c>
      <c r="BO649" s="694" t="e">
        <f t="shared" ca="1" si="12023"/>
        <v>#REF!</v>
      </c>
      <c r="BP649" s="686" t="str">
        <f ca="1">IFERROR(VLOOKUP(BO649,INDIRECT(AQ657),2,FALSE),"----")</f>
        <v>----</v>
      </c>
      <c r="BQ649" s="694" t="e">
        <f t="shared" ca="1" si="11549"/>
        <v>#REF!</v>
      </c>
      <c r="BR649" s="686" t="str">
        <f ca="1">IFERROR(VLOOKUP(BQ649,INDIRECT(AQ658),2,FALSE),"----")</f>
        <v>----</v>
      </c>
      <c r="BS649" s="695">
        <f>IF(AI649="",1,IF(COUNTIF(AZ647:AZ658,AI649)=0,2,1))</f>
        <v>1</v>
      </c>
      <c r="BT649" s="696">
        <f>IF(AF649="",1,IF(AZ647=".",2,1))</f>
        <v>1</v>
      </c>
      <c r="BU649" s="706"/>
      <c r="BV649" s="155">
        <f ca="1">IF(COUNTIF(CO647:CO658,AF649)=0,IF(AF649&lt;&gt;"",0,1),1)</f>
        <v>1</v>
      </c>
      <c r="BW649" s="157">
        <f ca="1">IFERROR(MATCH(AF649,CO647:CO658,0),1)</f>
        <v>1</v>
      </c>
      <c r="BX649" s="769"/>
      <c r="BY649" s="769"/>
      <c r="BZ649" s="1110"/>
      <c r="CA649" s="691" t="e">
        <f t="shared" ca="1" si="12025"/>
        <v>#REF!</v>
      </c>
      <c r="CB649" s="4" t="e" cm="1">
        <f t="array" aca="1" ref="CB649" ca="1">IF(AND(INDEX(INDIRECT(BY647),CA649,4)&gt;=$AB647,INDEX(INDIRECT(BY647),CA649,5)&gt;=$S647,INDEX(INDIRECT(BY647),CA649,6)&gt;=$R647),1,0)</f>
        <v>#REF!</v>
      </c>
      <c r="CC649" s="4" t="e">
        <f t="shared" ref="CC649" ca="1" si="12062">MATCH(1,OFFSET(CB647:CB658,CD648,0,COUNT(CB647:CB658)-CD648),0)</f>
        <v>#REF!</v>
      </c>
      <c r="CD649" s="4" t="e">
        <f t="shared" ca="1" si="12027"/>
        <v>#REF!</v>
      </c>
      <c r="CE649" s="692" t="str" cm="1">
        <f t="array" aca="1" ref="CE649" ca="1">IFERROR(VLOOKUP(INDEX(CA647:CA658,CD649),INDIRECT(BY647),2,FALSE),"----")</f>
        <v>----</v>
      </c>
      <c r="CF649" s="691" t="e">
        <f t="shared" ca="1" si="12028"/>
        <v>#N/A</v>
      </c>
      <c r="CG649" s="4" t="e">
        <f ca="1">IF(AND(INDEX(SSM,CF649,4)&gt;=$AB647,INDEX(SSM,CF649,5)&gt;=$S647,INDEX(SSM,CF649,6)&gt;=$R647),1,0)</f>
        <v>#N/A</v>
      </c>
      <c r="CH649" s="4" t="e">
        <f t="shared" ref="CH649" ca="1" si="12063">MATCH(1,OFFSET(CG647:CG658,CI648,0,COUNT(CG647:CG658)-CI648),0)</f>
        <v>#REF!</v>
      </c>
      <c r="CI649" s="4" t="e">
        <f t="shared" ca="1" si="12030"/>
        <v>#REF!</v>
      </c>
      <c r="CJ649" s="692" t="str">
        <f ca="1">IFERROR(IF(AD648="Nested Steel Stud (wood infill)",VLOOKUP(INDEX(CF647:CF658,CI649),SSW,2,FALSE),VLOOKUP(INDEX(CF647:CF658,CI649),SSM,2,FALSE)),"----")</f>
        <v>----</v>
      </c>
      <c r="CK649" s="691" t="e">
        <f t="shared" ca="1" si="12031"/>
        <v>#N/A</v>
      </c>
      <c r="CL649" s="4" t="e">
        <f ca="1">IF(AND(INDEX(WSM,CK649,4)&gt;=$AB647,INDEX(WSM,CK649,5)&gt;=$S647,INDEX(WSM,CK649,6)&gt;=$R647),1,0)</f>
        <v>#N/A</v>
      </c>
      <c r="CM649" s="4" t="e">
        <f t="shared" ref="CM649" ca="1" si="12064">MATCH(1,OFFSET(CL647:CL658,CN648,0,COUNT(CL647:CL658)-CN648),0)</f>
        <v>#REF!</v>
      </c>
      <c r="CN649" s="4" t="e">
        <f t="shared" ca="1" si="12033"/>
        <v>#REF!</v>
      </c>
      <c r="CO649" s="692" t="str">
        <f ca="1">IFERROR(VLOOKUP(INDEX(CK647:CK658,CN649),WSM,2,FALSE),"----")</f>
        <v>----</v>
      </c>
      <c r="CP649" s="691" t="e">
        <f t="shared" ca="1" si="12034"/>
        <v>#N/A</v>
      </c>
      <c r="CQ649" s="4" t="e">
        <f ca="1">IF(AND(INDEX(STM,CP649,4)&gt;=$AB647,INDEX(STM,CP649,5)&gt;=$S647,INDEX(STM,CP649,6)&gt;=$R647),1,0)</f>
        <v>#N/A</v>
      </c>
      <c r="CR649" s="4" t="e">
        <f t="shared" ref="CR649" ca="1" si="12065">MATCH(1,OFFSET(CQ647:CQ658,CS648,0,COUNT(CQ647:CQ658)-CS648),0)</f>
        <v>#REF!</v>
      </c>
      <c r="CS649" s="4" t="e">
        <f t="shared" ca="1" si="12036"/>
        <v>#REF!</v>
      </c>
      <c r="CT649" s="692" t="str">
        <f ca="1">IFERROR(VLOOKUP(INDEX(CP647:CP658,CS649),STM,2,FALSE),"----")</f>
        <v>----</v>
      </c>
      <c r="CU649" s="691" t="e">
        <f t="shared" ca="1" si="12037"/>
        <v>#N/A</v>
      </c>
      <c r="CV649" s="4" t="e">
        <f ca="1">IF(AND(INDEX(ELM,CU649,4)&gt;=$AB647,INDEX(ELM,CU649,5)&gt;=$S647,INDEX(ELM,CU649,6)&gt;=$R647),1,0)</f>
        <v>#N/A</v>
      </c>
      <c r="CW649" s="4" t="e">
        <f t="shared" ref="CW649" ca="1" si="12066">MATCH(1,OFFSET(CV647:CV658,CX648,0,COUNT(CV647:CV658)-CX648),0)</f>
        <v>#REF!</v>
      </c>
      <c r="CX649" s="4" t="e">
        <f t="shared" ca="1" si="12039"/>
        <v>#REF!</v>
      </c>
      <c r="CY649" s="692" t="str">
        <f ca="1">IFERROR(VLOOKUP(INDEX(CU647:CU658,CX649),ELM,2,FALSE),"----")</f>
        <v>----</v>
      </c>
      <c r="CZ649" s="691" t="e">
        <f t="shared" ca="1" si="12040"/>
        <v>#N/A</v>
      </c>
      <c r="DA649" s="4" t="e">
        <f ca="1">IF(LEFT($J647,7)="Clad Wo",IF(AND(INDEX(SPPWS,CZ649,4)&gt;=$AB647,INDEX(SPPWS,CZ649,5)&gt;=$S647,INDEX(SPPWS,CZ649,6)&gt;=$R647),1,0),IF(AND(INDEX(SPM,CZ649,4)&gt;=$AB647,INDEX(SPM,CZ649,5)&gt;=$S647,INDEX(SPM,CZ649,6)&gt;=$R647),1,0))</f>
        <v>#N/A</v>
      </c>
      <c r="DB649" s="4" t="e">
        <f t="shared" ref="DB649" ca="1" si="12067">MATCH(1,OFFSET(DA647:DA658,DC648,0,COUNT(DA647:DA658)-DC648),0)</f>
        <v>#REF!</v>
      </c>
      <c r="DC649" s="4" t="e">
        <f t="shared" ca="1" si="12042"/>
        <v>#REF!</v>
      </c>
      <c r="DD649" s="693" t="str">
        <f ca="1">IF(LEFT($J647,7)="Clad Wo",IFERROR(VLOOKUP(INDEX(CZ647:CZ658,DC649),SPPWS,2,FALSE),"----"),IFERROR(VLOOKUP(INDEX(CZ647:CZ658,DC649),SPM,2,FALSE),"----"))</f>
        <v>----</v>
      </c>
      <c r="DE649" s="691" t="e">
        <f t="shared" ca="1" si="12043"/>
        <v>#REF!</v>
      </c>
      <c r="DF649" s="4" t="e" cm="1">
        <f t="array" aca="1" ref="DF649" ca="1">IF(AND(INDEX(INDIRECT(BY647),DE649,4)&gt;=$AB653,INDEX(INDIRECT(BY647),DE649,5)&gt;=$S647,INDEX(INDIRECT(BY647),DE649,6)&gt;=$R647),1,0)</f>
        <v>#REF!</v>
      </c>
      <c r="DG649" s="4" t="e">
        <f t="shared" ref="DG649" ca="1" si="12068">MATCH(1,OFFSET(DF647:DF658,DH648,0,COUNT(DF647:DF658)-DH648),0)</f>
        <v>#REF!</v>
      </c>
      <c r="DH649" s="4" t="e">
        <f t="shared" ca="1" si="12045"/>
        <v>#REF!</v>
      </c>
      <c r="DI649" s="692" t="str" cm="1">
        <f t="array" aca="1" ref="DI649" ca="1">IFERROR(VLOOKUP(INDEX(DE647:DE658,DH649),INDIRECT(BY647),2,FALSE),"----")</f>
        <v>----</v>
      </c>
      <c r="DJ649" s="691" t="e">
        <f t="shared" ca="1" si="12046"/>
        <v>#N/A</v>
      </c>
      <c r="DK649" s="4" t="e">
        <f ca="1">IF(AND(INDEX(SSM,DJ649,4)&gt;=$AB653,INDEX(SSM,DJ649,5)&gt;=$S647,INDEX(SSM,DJ649,6)&gt;=$R647),1,0)</f>
        <v>#N/A</v>
      </c>
      <c r="DL649" s="4" t="e">
        <f t="shared" ref="DL649" ca="1" si="12069">MATCH(1,OFFSET(DK647:DK658,DM648,0,COUNT(DK647:DK658)-DM648),0)</f>
        <v>#REF!</v>
      </c>
      <c r="DM649" s="4" t="e">
        <f t="shared" ca="1" si="12048"/>
        <v>#REF!</v>
      </c>
      <c r="DN649" s="692" t="str">
        <f ca="1">IFERROR(IF(AD654="Nested Steel Stud (wood infill)",VLOOKUP(INDEX(DJ647:DJ658,DM649),SSW,2,FALSE),VLOOKUP(INDEX(DJ647:DJ658,DM649),SSM,2,FALSE)),"----")</f>
        <v>----</v>
      </c>
      <c r="DO649" s="691" t="e">
        <f t="shared" ca="1" si="12049"/>
        <v>#N/A</v>
      </c>
      <c r="DP649" s="4" t="e">
        <f ca="1">IF(AND(INDEX(WSM,DO649,4)&gt;=$AB653,INDEX(WSM,DO649,5)&gt;=$S647,INDEX(WSM,DO649,6)&gt;=$R647),1,0)</f>
        <v>#N/A</v>
      </c>
      <c r="DQ649" s="4" t="e">
        <f t="shared" ref="DQ649" ca="1" si="12070">MATCH(1,OFFSET(DP647:DP658,DR648,0,COUNT(DP647:DP658)-DR648),0)</f>
        <v>#REF!</v>
      </c>
      <c r="DR649" s="4" t="e">
        <f t="shared" ca="1" si="12051"/>
        <v>#REF!</v>
      </c>
      <c r="DS649" s="692" t="str">
        <f ca="1">IFERROR(VLOOKUP(INDEX(DO647:DO658,DR649),WSM,2,FALSE),"----")</f>
        <v>----</v>
      </c>
      <c r="DT649" s="691" t="e">
        <f t="shared" ca="1" si="12052"/>
        <v>#N/A</v>
      </c>
      <c r="DU649" s="4" t="e">
        <f ca="1">IF(AND(INDEX(STM,DT649,4)&gt;=$AB653,INDEX(STM,DT649,5)&gt;=$S647,INDEX(STM,DT649,6)&gt;=$R647),1,0)</f>
        <v>#N/A</v>
      </c>
      <c r="DV649" s="4" t="e">
        <f t="shared" ref="DV649" ca="1" si="12071">MATCH(1,OFFSET(DU647:DU658,DW648,0,COUNT(DU647:DU658)-DW648),0)</f>
        <v>#REF!</v>
      </c>
      <c r="DW649" s="4" t="e">
        <f t="shared" ca="1" si="12054"/>
        <v>#REF!</v>
      </c>
      <c r="DX649" s="692" t="str">
        <f ca="1">IFERROR(VLOOKUP(INDEX(DT647:DT658,DW649),STM,2,FALSE),"----")</f>
        <v>----</v>
      </c>
      <c r="DY649" s="691" t="e">
        <f t="shared" ca="1" si="12055"/>
        <v>#N/A</v>
      </c>
      <c r="DZ649" s="4" t="e">
        <f ca="1">IF(AND(INDEX(ELM,DY649,4)&gt;=$AB653,INDEX(ELM,DY649,5)&gt;=$S647,INDEX(ELM,DY649,6)&gt;=$R647),1,0)</f>
        <v>#N/A</v>
      </c>
      <c r="EA649" s="4" t="e">
        <f t="shared" ref="EA649" ca="1" si="12072">MATCH(1,OFFSET(DZ647:DZ658,EB648,0,COUNT(DZ647:DZ658)-EB648),0)</f>
        <v>#REF!</v>
      </c>
      <c r="EB649" s="4" t="e">
        <f t="shared" ca="1" si="12057"/>
        <v>#REF!</v>
      </c>
      <c r="EC649" s="692" t="str">
        <f ca="1">IFERROR(VLOOKUP(INDEX(DY647:DY658,EB649),ELM,2,FALSE),"----")</f>
        <v>----</v>
      </c>
      <c r="ED649" s="691" t="e">
        <f t="shared" ca="1" si="12058"/>
        <v>#N/A</v>
      </c>
      <c r="EE649" s="4" t="e">
        <f ca="1">IF(LEFT($J647,7)="Clad Wo",IF(AND(INDEX(SPPWS,ED649,4)&gt;=$AB653,INDEX(SPPWS,ED649,5)&gt;=$S647,INDEX(SPPWS,ED649,6)&gt;=$R647),1,0),IF(AND(INDEX(SPM,ED649,4)&gt;=$AB653,INDEX(SPM,ED649,5)&gt;=$S647,INDEX(SPM,ED649,6)&gt;=$R647),1,0))</f>
        <v>#N/A</v>
      </c>
      <c r="EF649" s="4" t="e">
        <f t="shared" ref="EF649" ca="1" si="12073">MATCH(1,OFFSET(EE647:EE658,EG648,0,COUNT(EE647:EE658)-EG648),0)</f>
        <v>#REF!</v>
      </c>
      <c r="EG649" s="4" t="e">
        <f t="shared" ca="1" si="12060"/>
        <v>#REF!</v>
      </c>
      <c r="EH649" s="692" t="str">
        <f ca="1">IF(LEFT($J647,7)="Clad Wo",IFERROR(VLOOKUP(INDEX(ED647:ED658,EG649),SPPWS,2,FALSE),"----"),IFERROR(VLOOKUP(INDEX(ED647:ED658,EG649),SPM,2,FALSE),"----"))</f>
        <v>----</v>
      </c>
    </row>
    <row r="650" spans="1:138" ht="15" customHeight="1" x14ac:dyDescent="0.25">
      <c r="A650" s="1085"/>
      <c r="B650" s="925"/>
      <c r="C650" s="926"/>
      <c r="D650" s="927"/>
      <c r="E650" s="995"/>
      <c r="F650" s="996"/>
      <c r="G650" s="997"/>
      <c r="H650" s="1062"/>
      <c r="I650" s="990"/>
      <c r="J650" s="908"/>
      <c r="K650" s="909"/>
      <c r="L650" s="1002"/>
      <c r="M650" s="923"/>
      <c r="N650" s="1042"/>
      <c r="O650" s="1018"/>
      <c r="P650" s="987"/>
      <c r="Q650" s="1015"/>
      <c r="R650" s="1012"/>
      <c r="S650" s="1006"/>
      <c r="T650" s="1007"/>
      <c r="U650" s="878"/>
      <c r="V650" s="881"/>
      <c r="W650" s="884"/>
      <c r="X650" s="884"/>
      <c r="Y650" s="887"/>
      <c r="Z650" s="887"/>
      <c r="AA650" s="887"/>
      <c r="AB650" s="1081"/>
      <c r="AC650" s="1078"/>
      <c r="AD650" s="1070" t="s">
        <v>37</v>
      </c>
      <c r="AE650" s="1071"/>
      <c r="AF650" s="1052"/>
      <c r="AG650" s="1053"/>
      <c r="AH650" s="1053"/>
      <c r="AI650" s="1066"/>
      <c r="AJ650" s="1067"/>
      <c r="AK650" s="156" t="str">
        <f t="shared" ca="1" si="11298"/>
        <v/>
      </c>
      <c r="AL650" s="1039"/>
      <c r="AM650" s="343" t="str">
        <f ca="1">IFERROR(Q647/12*ROUND(VLOOKUP(AF650,OFFSET(STM,0,1),6,FALSE),2),"")</f>
        <v/>
      </c>
      <c r="AN650" t="str">
        <f t="shared" ca="1" si="11348"/>
        <v/>
      </c>
      <c r="AP650" s="122" t="str">
        <f t="shared" ref="AP650" si="12074">_xlfn.CONCAT(AR650,AS652)</f>
        <v/>
      </c>
      <c r="AQ650" s="683" t="str">
        <f t="shared" si="11512"/>
        <v/>
      </c>
      <c r="AR650" s="4" t="str">
        <f t="shared" si="11273"/>
        <v/>
      </c>
      <c r="AS650" s="4"/>
      <c r="AT650" s="697" t="str">
        <f>AL647</f>
        <v/>
      </c>
      <c r="AU650" s="694" t="e">
        <f t="shared" ca="1" si="11538"/>
        <v>#REF!</v>
      </c>
      <c r="AV650" s="686" t="str">
        <f ca="1">IFERROR(VLOOKUP(AU650,INDIRECT(AQ647),2,FALSE),"----")</f>
        <v>----</v>
      </c>
      <c r="AW650" s="694" t="e">
        <f t="shared" ca="1" si="11539"/>
        <v>#REF!</v>
      </c>
      <c r="AX650" s="686" t="str">
        <f ca="1">IFERROR(VLOOKUP(AW650,INDIRECT(AQ648),2,FALSE),"----")</f>
        <v>----</v>
      </c>
      <c r="AY650" s="694" t="e">
        <f t="shared" ref="AY650" ca="1" si="12075">AY649-1</f>
        <v>#REF!</v>
      </c>
      <c r="AZ650" s="686" t="str">
        <f ca="1">IFERROR(VLOOKUP(AY650,INDIRECT(AQ649),2,FALSE),"----")</f>
        <v>----</v>
      </c>
      <c r="BA650" s="694" t="e">
        <f t="shared" ref="BA650" ca="1" si="12076">BA649-1</f>
        <v>#REF!</v>
      </c>
      <c r="BB650" s="686" t="str">
        <f ca="1">IFERROR(VLOOKUP(BA650,INDIRECT(AQ650),2,FALSE),"----")</f>
        <v>----</v>
      </c>
      <c r="BC650" s="694" t="e">
        <f t="shared" ca="1" si="11542"/>
        <v>#REF!</v>
      </c>
      <c r="BD650" s="686" t="str">
        <f ca="1">IFERROR(VLOOKUP(BC650,INDIRECT(AQ651),2,FALSE),"----")</f>
        <v>----</v>
      </c>
      <c r="BE650" s="694" t="e">
        <f t="shared" ca="1" si="11543"/>
        <v>#REF!</v>
      </c>
      <c r="BF650" s="686" t="str">
        <f ca="1">IFERROR(VLOOKUP(BE650,INDIRECT(AQ652),2,FALSE),"----")</f>
        <v>----</v>
      </c>
      <c r="BG650" s="694" t="e">
        <f t="shared" ca="1" si="11544"/>
        <v>#REF!</v>
      </c>
      <c r="BH650" s="686" t="str">
        <f ca="1">IFERROR(VLOOKUP(BG650,INDIRECT(AQ653),2,FALSE),"----")</f>
        <v>----</v>
      </c>
      <c r="BI650" s="694" t="e">
        <f t="shared" ca="1" si="11545"/>
        <v>#REF!</v>
      </c>
      <c r="BJ650" s="686" t="str">
        <f ca="1">IFERROR(VLOOKUP(BI650,INDIRECT(AQ654),2,FALSE),"----")</f>
        <v>----</v>
      </c>
      <c r="BK650" s="694" t="e">
        <f t="shared" ca="1" si="11546"/>
        <v>#REF!</v>
      </c>
      <c r="BL650" s="686" t="str">
        <f ca="1">IFERROR(VLOOKUP(BK650,INDIRECT(AQ655),2,FALSE),"----")</f>
        <v>----</v>
      </c>
      <c r="BM650" s="694" t="e">
        <f t="shared" ca="1" si="11547"/>
        <v>#REF!</v>
      </c>
      <c r="BN650" s="686" t="str">
        <f ca="1">IFERROR(VLOOKUP(BM650,INDIRECT(AQ656),2,FALSE),"----")</f>
        <v>----</v>
      </c>
      <c r="BO650" s="694" t="e">
        <f t="shared" ca="1" si="11548"/>
        <v>#REF!</v>
      </c>
      <c r="BP650" s="686" t="str">
        <f ca="1">IFERROR(VLOOKUP(BO650,INDIRECT(AQ657),2,FALSE),"----")</f>
        <v>----</v>
      </c>
      <c r="BQ650" s="694" t="e">
        <f t="shared" ca="1" si="11549"/>
        <v>#REF!</v>
      </c>
      <c r="BR650" s="686" t="str">
        <f ca="1">IFERROR(VLOOKUP(BQ650,INDIRECT(AQ658),2,FALSE),"----")</f>
        <v>----</v>
      </c>
      <c r="BS650" s="695">
        <f>IF(AI650="",1,IF(COUNTIF(BB647:BB658,AI650)=0,2,1))</f>
        <v>1</v>
      </c>
      <c r="BT650" s="696">
        <f>IF(AF650="",1,IF(BB647=".",2,1))</f>
        <v>1</v>
      </c>
      <c r="BU650" s="706"/>
      <c r="BV650" s="155">
        <f ca="1">IF(COUNTIF(CT647:CT658,AF650)=0,IF(AF650&lt;&gt;"",0,1),1)</f>
        <v>1</v>
      </c>
      <c r="BW650" s="157">
        <f ca="1">IFERROR(MATCH(AF650,CT647:CT658,0),1)</f>
        <v>1</v>
      </c>
      <c r="BX650" s="769"/>
      <c r="BY650" s="769"/>
      <c r="BZ650" s="1110"/>
      <c r="CA650" s="691" t="e">
        <f t="shared" ca="1" si="12025"/>
        <v>#REF!</v>
      </c>
      <c r="CB650" s="4" t="e" cm="1">
        <f t="array" aca="1" ref="CB650" ca="1">IF(AND(INDEX(INDIRECT(BY647),CA650,4)&gt;=$AB647,INDEX(INDIRECT(BY647),CA650,5)&gt;=$S647,INDEX(INDIRECT(BY647),CA650,6)&gt;=$R647),1,0)</f>
        <v>#REF!</v>
      </c>
      <c r="CC650" s="4" t="e">
        <f t="shared" ref="CC650" ca="1" si="12077">MATCH(1,OFFSET(CB647:CB658,CD649,0,COUNT(CB647:CB658)-CD649),0)</f>
        <v>#REF!</v>
      </c>
      <c r="CD650" s="4" t="e">
        <f t="shared" ca="1" si="12027"/>
        <v>#REF!</v>
      </c>
      <c r="CE650" s="692" t="str" cm="1">
        <f t="array" aca="1" ref="CE650" ca="1">IFERROR(VLOOKUP(INDEX(CA647:CA658,CD650),INDIRECT(BY647),2,FALSE),"----")</f>
        <v>----</v>
      </c>
      <c r="CF650" s="691" t="e">
        <f t="shared" ca="1" si="12028"/>
        <v>#N/A</v>
      </c>
      <c r="CG650" s="4" t="e">
        <f ca="1">IF(AND(INDEX(SSM,CF650,4)&gt;=$AB647,INDEX(SSM,CF650,5)&gt;=$S647,INDEX(SSM,CF650,6)&gt;=$R647),1,0)</f>
        <v>#N/A</v>
      </c>
      <c r="CH650" s="4" t="e">
        <f t="shared" ref="CH650" ca="1" si="12078">MATCH(1,OFFSET(CG647:CG658,CI649,0,COUNT(CG647:CG658)-CI649),0)</f>
        <v>#REF!</v>
      </c>
      <c r="CI650" s="4" t="e">
        <f t="shared" ca="1" si="12030"/>
        <v>#REF!</v>
      </c>
      <c r="CJ650" s="692" t="str">
        <f ca="1">IFERROR(IF(AD648="Nested Steel Stud (wood infill)",VLOOKUP(INDEX(CF647:CF658,CI650),SSW,2,FALSE),VLOOKUP(INDEX(CF647:CF658,CI650),SSM,2,FALSE)),"----")</f>
        <v>----</v>
      </c>
      <c r="CK650" s="691" t="e">
        <f t="shared" ca="1" si="12031"/>
        <v>#N/A</v>
      </c>
      <c r="CL650" s="4" t="e">
        <f ca="1">IF(AND(INDEX(WSM,CK650,4)&gt;=$AB647,INDEX(WSM,CK650,5)&gt;=$S647,INDEX(WSM,CK650,6)&gt;=$R647),1,0)</f>
        <v>#N/A</v>
      </c>
      <c r="CM650" s="4" t="e">
        <f t="shared" ref="CM650" ca="1" si="12079">MATCH(1,OFFSET(CL647:CL658,CN649,0,COUNT(CL647:CL658)-CN649),0)</f>
        <v>#REF!</v>
      </c>
      <c r="CN650" s="4" t="e">
        <f t="shared" ca="1" si="12033"/>
        <v>#REF!</v>
      </c>
      <c r="CO650" s="692" t="str">
        <f ca="1">IFERROR(VLOOKUP(INDEX(CK647:CK658,CN650),WSM,2,FALSE),"----")</f>
        <v>----</v>
      </c>
      <c r="CP650" s="691" t="e">
        <f t="shared" ca="1" si="12034"/>
        <v>#N/A</v>
      </c>
      <c r="CQ650" s="4" t="e">
        <f ca="1">IF(AND(INDEX(STM,CP650,4)&gt;=$AB647,INDEX(STM,CP650,5)&gt;=$S647,INDEX(STM,CP650,6)&gt;=$R647),1,0)</f>
        <v>#N/A</v>
      </c>
      <c r="CR650" s="4" t="e">
        <f t="shared" ref="CR650" ca="1" si="12080">MATCH(1,OFFSET(CQ647:CQ658,CS649,0,COUNT(CQ647:CQ658)-CS649),0)</f>
        <v>#REF!</v>
      </c>
      <c r="CS650" s="4" t="e">
        <f t="shared" ca="1" si="12036"/>
        <v>#REF!</v>
      </c>
      <c r="CT650" s="692" t="str">
        <f ca="1">IFERROR(VLOOKUP(INDEX(CP647:CP658,CS650),STM,2,FALSE),"----")</f>
        <v>----</v>
      </c>
      <c r="CU650" s="691" t="e">
        <f t="shared" ca="1" si="12037"/>
        <v>#N/A</v>
      </c>
      <c r="CV650" s="4" t="e">
        <f ca="1">IF(AND(INDEX(ELM,CU650,4)&gt;=$AB647,INDEX(ELM,CU650,5)&gt;=$S647,INDEX(ELM,CU650,6)&gt;=$R647),1,0)</f>
        <v>#N/A</v>
      </c>
      <c r="CW650" s="4" t="e">
        <f t="shared" ref="CW650" ca="1" si="12081">MATCH(1,OFFSET(CV647:CV658,CX649,0,COUNT(CV647:CV658)-CX649),0)</f>
        <v>#REF!</v>
      </c>
      <c r="CX650" s="4" t="e">
        <f t="shared" ca="1" si="12039"/>
        <v>#REF!</v>
      </c>
      <c r="CY650" s="692" t="str">
        <f ca="1">IFERROR(VLOOKUP(INDEX(CU647:CU658,CX650),ELM,2,FALSE),"----")</f>
        <v>----</v>
      </c>
      <c r="CZ650" s="691" t="e">
        <f t="shared" ca="1" si="12040"/>
        <v>#N/A</v>
      </c>
      <c r="DA650" s="4" t="e">
        <f ca="1">IF(LEFT($J647,7)="Clad Wo",IF(AND(INDEX(SPPWS,CZ650,4)&gt;=$AB647,INDEX(SPPWS,CZ650,5)&gt;=$S647,INDEX(SPPWS,CZ650,6)&gt;=$R647),1,0),IF(AND(INDEX(SPM,CZ650,4)&gt;=$AB647,INDEX(SPM,CZ650,5)&gt;=$S647,INDEX(SPM,CZ650,6)&gt;=$R647),1,0))</f>
        <v>#N/A</v>
      </c>
      <c r="DB650" s="4" t="e">
        <f t="shared" ref="DB650" ca="1" si="12082">MATCH(1,OFFSET(DA647:DA658,DC649,0,COUNT(DA647:DA658)-DC649),0)</f>
        <v>#REF!</v>
      </c>
      <c r="DC650" s="4" t="e">
        <f t="shared" ca="1" si="12042"/>
        <v>#REF!</v>
      </c>
      <c r="DD650" s="693" t="str">
        <f ca="1">IF(LEFT($J647,7)="Clad Wo",IFERROR(VLOOKUP(INDEX(CZ647:CZ658,DC650),SPPWS,2,FALSE),"----"),IFERROR(VLOOKUP(INDEX(CZ647:CZ658,DC650),SPM,2,FALSE),"----"))</f>
        <v>----</v>
      </c>
      <c r="DE650" s="691" t="e">
        <f t="shared" ca="1" si="12043"/>
        <v>#REF!</v>
      </c>
      <c r="DF650" s="4" t="e" cm="1">
        <f t="array" aca="1" ref="DF650" ca="1">IF(AND(INDEX(INDIRECT(BY647),DE650,4)&gt;=$AB653,INDEX(INDIRECT(BY647),DE650,5)&gt;=$S647,INDEX(INDIRECT(BY647),DE650,6)&gt;=$R647),1,0)</f>
        <v>#REF!</v>
      </c>
      <c r="DG650" s="4" t="e">
        <f t="shared" ref="DG650" ca="1" si="12083">MATCH(1,OFFSET(DF647:DF658,DH649,0,COUNT(DF647:DF658)-DH649),0)</f>
        <v>#REF!</v>
      </c>
      <c r="DH650" s="4" t="e">
        <f t="shared" ca="1" si="12045"/>
        <v>#REF!</v>
      </c>
      <c r="DI650" s="692" t="str" cm="1">
        <f t="array" aca="1" ref="DI650" ca="1">IFERROR(VLOOKUP(INDEX(DE647:DE658,DH650),INDIRECT(BY647),2,FALSE),"----")</f>
        <v>----</v>
      </c>
      <c r="DJ650" s="691" t="e">
        <f t="shared" ca="1" si="12046"/>
        <v>#N/A</v>
      </c>
      <c r="DK650" s="4" t="e">
        <f ca="1">IF(AND(INDEX(SSM,DJ650,4)&gt;=$AB653,INDEX(SSM,DJ650,5)&gt;=$S647,INDEX(SSM,DJ650,6)&gt;=$R647),1,0)</f>
        <v>#N/A</v>
      </c>
      <c r="DL650" s="4" t="e">
        <f t="shared" ref="DL650" ca="1" si="12084">MATCH(1,OFFSET(DK647:DK658,DM649,0,COUNT(DK647:DK658)-DM649),0)</f>
        <v>#REF!</v>
      </c>
      <c r="DM650" s="4" t="e">
        <f t="shared" ca="1" si="12048"/>
        <v>#REF!</v>
      </c>
      <c r="DN650" s="692" t="str">
        <f ca="1">IFERROR(IF(AD654="Nested Steel Stud (wood infill)",VLOOKUP(INDEX(DJ647:DJ658,DM650),SSW,2,FALSE),VLOOKUP(INDEX(DJ647:DJ658,DM650),SSM,2,FALSE)),"----")</f>
        <v>----</v>
      </c>
      <c r="DO650" s="691" t="e">
        <f t="shared" ca="1" si="12049"/>
        <v>#N/A</v>
      </c>
      <c r="DP650" s="4" t="e">
        <f ca="1">IF(AND(INDEX(WSM,DO650,4)&gt;=$AB653,INDEX(WSM,DO650,5)&gt;=$S647,INDEX(WSM,DO650,6)&gt;=$R647),1,0)</f>
        <v>#N/A</v>
      </c>
      <c r="DQ650" s="4" t="e">
        <f t="shared" ref="DQ650" ca="1" si="12085">MATCH(1,OFFSET(DP647:DP658,DR649,0,COUNT(DP647:DP658)-DR649),0)</f>
        <v>#REF!</v>
      </c>
      <c r="DR650" s="4" t="e">
        <f t="shared" ca="1" si="12051"/>
        <v>#REF!</v>
      </c>
      <c r="DS650" s="692" t="str">
        <f ca="1">IFERROR(VLOOKUP(INDEX(DO647:DO658,DR650),WSM,2,FALSE),"----")</f>
        <v>----</v>
      </c>
      <c r="DT650" s="691" t="e">
        <f t="shared" ca="1" si="12052"/>
        <v>#N/A</v>
      </c>
      <c r="DU650" s="4" t="e">
        <f ca="1">IF(AND(INDEX(STM,DT650,4)&gt;=$AB653,INDEX(STM,DT650,5)&gt;=$S647,INDEX(STM,DT650,6)&gt;=$R647),1,0)</f>
        <v>#N/A</v>
      </c>
      <c r="DV650" s="4" t="e">
        <f t="shared" ref="DV650" ca="1" si="12086">MATCH(1,OFFSET(DU647:DU658,DW649,0,COUNT(DU647:DU658)-DW649),0)</f>
        <v>#REF!</v>
      </c>
      <c r="DW650" s="4" t="e">
        <f t="shared" ca="1" si="12054"/>
        <v>#REF!</v>
      </c>
      <c r="DX650" s="692" t="str">
        <f ca="1">IFERROR(VLOOKUP(INDEX(DT647:DT658,DW650),STM,2,FALSE),"----")</f>
        <v>----</v>
      </c>
      <c r="DY650" s="691" t="e">
        <f t="shared" ca="1" si="12055"/>
        <v>#N/A</v>
      </c>
      <c r="DZ650" s="4" t="e">
        <f ca="1">IF(AND(INDEX(ELM,DY650,4)&gt;=$AB653,INDEX(ELM,DY650,5)&gt;=$S647,INDEX(ELM,DY650,6)&gt;=$R647),1,0)</f>
        <v>#N/A</v>
      </c>
      <c r="EA650" s="4" t="e">
        <f t="shared" ref="EA650" ca="1" si="12087">MATCH(1,OFFSET(DZ647:DZ658,EB649,0,COUNT(DZ647:DZ658)-EB649),0)</f>
        <v>#REF!</v>
      </c>
      <c r="EB650" s="4" t="e">
        <f t="shared" ca="1" si="12057"/>
        <v>#REF!</v>
      </c>
      <c r="EC650" s="692" t="str">
        <f ca="1">IFERROR(VLOOKUP(INDEX(DY647:DY658,EB650),ELM,2,FALSE),"----")</f>
        <v>----</v>
      </c>
      <c r="ED650" s="691" t="e">
        <f t="shared" ca="1" si="12058"/>
        <v>#N/A</v>
      </c>
      <c r="EE650" s="4" t="e">
        <f ca="1">IF(LEFT($J647,7)="Clad Wo",IF(AND(INDEX(SPPWS,ED650,4)&gt;=$AB653,INDEX(SPPWS,ED650,5)&gt;=$S647,INDEX(SPPWS,ED650,6)&gt;=$R647),1,0),IF(AND(INDEX(SPM,ED650,4)&gt;=$AB653,INDEX(SPM,ED650,5)&gt;=$S647,INDEX(SPM,ED650,6)&gt;=$R647),1,0))</f>
        <v>#N/A</v>
      </c>
      <c r="EF650" s="4" t="e">
        <f t="shared" ref="EF650" ca="1" si="12088">MATCH(1,OFFSET(EE647:EE658,EG649,0,COUNT(EE647:EE658)-EG649),0)</f>
        <v>#REF!</v>
      </c>
      <c r="EG650" s="4" t="e">
        <f t="shared" ca="1" si="12060"/>
        <v>#REF!</v>
      </c>
      <c r="EH650" s="692" t="str">
        <f ca="1">IF(LEFT($J647,7)="Clad Wo",IFERROR(VLOOKUP(INDEX(ED647:ED658,EG650),SPPWS,2,FALSE),"----"),IFERROR(VLOOKUP(INDEX(ED647:ED658,EG650),SPM,2,FALSE),"----"))</f>
        <v>----</v>
      </c>
    </row>
    <row r="651" spans="1:138" ht="15" customHeight="1" x14ac:dyDescent="0.25">
      <c r="A651" s="1085"/>
      <c r="B651" s="925"/>
      <c r="C651" s="926"/>
      <c r="D651" s="927"/>
      <c r="E651" s="995"/>
      <c r="F651" s="996"/>
      <c r="G651" s="997"/>
      <c r="H651" s="1062"/>
      <c r="I651" s="990"/>
      <c r="J651" s="910"/>
      <c r="K651" s="911"/>
      <c r="L651" s="1002"/>
      <c r="M651" s="923"/>
      <c r="N651" s="1042"/>
      <c r="O651" s="1018"/>
      <c r="P651" s="987"/>
      <c r="Q651" s="1015"/>
      <c r="R651" s="1012"/>
      <c r="S651" s="1006"/>
      <c r="T651" s="1007"/>
      <c r="U651" s="878"/>
      <c r="V651" s="881"/>
      <c r="W651" s="884"/>
      <c r="X651" s="884"/>
      <c r="Y651" s="887"/>
      <c r="Z651" s="887"/>
      <c r="AA651" s="887"/>
      <c r="AB651" s="1081"/>
      <c r="AC651" s="1078"/>
      <c r="AD651" s="1070" t="s">
        <v>39</v>
      </c>
      <c r="AE651" s="1071"/>
      <c r="AF651" s="1052"/>
      <c r="AG651" s="1053"/>
      <c r="AH651" s="1053"/>
      <c r="AI651" s="1068"/>
      <c r="AJ651" s="1069"/>
      <c r="AK651" s="154" t="str">
        <f t="shared" ca="1" si="11298"/>
        <v/>
      </c>
      <c r="AL651" s="1039"/>
      <c r="AM651" s="344" t="str">
        <f ca="1">IFERROR(Q647/12*ROUND(VLOOKUP(AF651,OFFSET(ELM,0,1),6,FALSE),2),"")</f>
        <v/>
      </c>
      <c r="AN651" t="str">
        <f t="shared" ca="1" si="11348"/>
        <v/>
      </c>
      <c r="AP651" s="122" t="str">
        <f t="shared" ref="AP651" si="12089">_xlfn.CONCAT(AR651,AS652)</f>
        <v/>
      </c>
      <c r="AQ651" s="683" t="str">
        <f t="shared" si="11512"/>
        <v/>
      </c>
      <c r="AR651" s="4" t="str">
        <f t="shared" si="11273"/>
        <v/>
      </c>
      <c r="AS651" s="4"/>
      <c r="AT651" s="697" t="str">
        <f>AL647</f>
        <v/>
      </c>
      <c r="AU651" s="694" t="e">
        <f t="shared" ca="1" si="11538"/>
        <v>#REF!</v>
      </c>
      <c r="AV651" s="698" t="str">
        <f ca="1">IFERROR(VLOOKUP(AU651,INDIRECT(AQ647),2,FALSE),"----")</f>
        <v>----</v>
      </c>
      <c r="AW651" s="694" t="e">
        <f t="shared" ca="1" si="11539"/>
        <v>#REF!</v>
      </c>
      <c r="AX651" s="698" t="str">
        <f ca="1">IFERROR(VLOOKUP(AW651,INDIRECT(AQ648),2,FALSE),"----")</f>
        <v>----</v>
      </c>
      <c r="AY651" s="694" t="e">
        <f t="shared" ref="AY651" ca="1" si="12090">AY650-1</f>
        <v>#REF!</v>
      </c>
      <c r="AZ651" s="698" t="str">
        <f ca="1">IFERROR(VLOOKUP(AY651,INDIRECT(AQ649),2,FALSE),"----")</f>
        <v>----</v>
      </c>
      <c r="BA651" s="694" t="e">
        <f t="shared" ref="BA651" ca="1" si="12091">BA650-1</f>
        <v>#REF!</v>
      </c>
      <c r="BB651" s="698" t="str">
        <f ca="1">IFERROR(VLOOKUP(BA651,INDIRECT(AQ650),2,FALSE),"----")</f>
        <v>----</v>
      </c>
      <c r="BC651" s="694" t="e">
        <f t="shared" ca="1" si="11542"/>
        <v>#REF!</v>
      </c>
      <c r="BD651" s="698" t="str">
        <f ca="1">IFERROR(VLOOKUP(BC651,INDIRECT(AQ651),2,FALSE),"----")</f>
        <v>----</v>
      </c>
      <c r="BE651" s="694" t="e">
        <f t="shared" ca="1" si="11543"/>
        <v>#REF!</v>
      </c>
      <c r="BF651" s="698" t="str">
        <f ca="1">IFERROR(VLOOKUP(BE651,INDIRECT(AQ652),2,FALSE),"----")</f>
        <v>----</v>
      </c>
      <c r="BG651" s="694" t="e">
        <f t="shared" ca="1" si="11544"/>
        <v>#REF!</v>
      </c>
      <c r="BH651" s="686" t="str">
        <f ca="1">IFERROR(VLOOKUP(BG651,INDIRECT(AQ653),2,FALSE),"----")</f>
        <v>----</v>
      </c>
      <c r="BI651" s="694" t="e">
        <f t="shared" ca="1" si="11545"/>
        <v>#REF!</v>
      </c>
      <c r="BJ651" s="686" t="str">
        <f ca="1">IFERROR(VLOOKUP(BI651,INDIRECT(AQ654),2,FALSE),"----")</f>
        <v>----</v>
      </c>
      <c r="BK651" s="694" t="e">
        <f t="shared" ca="1" si="11546"/>
        <v>#REF!</v>
      </c>
      <c r="BL651" s="686" t="str">
        <f ca="1">IFERROR(VLOOKUP(BK651,INDIRECT(AQ655),2,FALSE),"----")</f>
        <v>----</v>
      </c>
      <c r="BM651" s="694" t="e">
        <f t="shared" ca="1" si="11547"/>
        <v>#REF!</v>
      </c>
      <c r="BN651" s="686" t="str">
        <f ca="1">IFERROR(VLOOKUP(BM651,INDIRECT(AQ656),2,FALSE),"----")</f>
        <v>----</v>
      </c>
      <c r="BO651" s="694" t="e">
        <f t="shared" ca="1" si="11548"/>
        <v>#REF!</v>
      </c>
      <c r="BP651" s="686" t="str">
        <f ca="1">IFERROR(VLOOKUP(BO651,INDIRECT(AQ657),2,FALSE),"----")</f>
        <v>----</v>
      </c>
      <c r="BQ651" s="694" t="e">
        <f t="shared" ca="1" si="11549"/>
        <v>#REF!</v>
      </c>
      <c r="BR651" s="686" t="str">
        <f ca="1">IFERROR(VLOOKUP(BQ651,INDIRECT(AQ658),2,FALSE),"----")</f>
        <v>----</v>
      </c>
      <c r="BS651" s="695">
        <f>IF(AI651="",1,IF(COUNTIF(BD647:BD658,AI651)=0,2,1))</f>
        <v>1</v>
      </c>
      <c r="BT651" s="696">
        <f>IF(AF651="",1,IF(BD647=".",2,1))</f>
        <v>1</v>
      </c>
      <c r="BU651" s="706"/>
      <c r="BV651" s="155">
        <f ca="1">IF(COUNTIF(CY647:CY658,AF651)=0,IF(AF651&lt;&gt;"",0,1),1)</f>
        <v>1</v>
      </c>
      <c r="BW651" s="157">
        <f ca="1">IFERROR(MATCH(AF651,CY647:CY658,0),1)</f>
        <v>1</v>
      </c>
      <c r="BX651" s="769"/>
      <c r="BY651" s="769"/>
      <c r="BZ651" s="1110"/>
      <c r="CA651" s="691" t="e">
        <f t="shared" ca="1" si="12025"/>
        <v>#REF!</v>
      </c>
      <c r="CB651" s="4" t="e" cm="1">
        <f t="array" aca="1" ref="CB651" ca="1">IF(AND(INDEX(INDIRECT(BY647),CA651,4)&gt;=$AB647,INDEX(INDIRECT(BY647),CA651,5)&gt;=$S647,INDEX(INDIRECT(BY647),CA651,6)&gt;=$R647),1,0)</f>
        <v>#REF!</v>
      </c>
      <c r="CC651" s="4" t="e">
        <f t="shared" ref="CC651" ca="1" si="12092">MATCH(1,OFFSET(CB647:CB658,CD650,0,COUNT(CB647:CB658)-CD650),0)</f>
        <v>#REF!</v>
      </c>
      <c r="CD651" s="4" t="e">
        <f t="shared" ca="1" si="12027"/>
        <v>#REF!</v>
      </c>
      <c r="CE651" s="692" t="str" cm="1">
        <f t="array" aca="1" ref="CE651" ca="1">IFERROR(VLOOKUP(INDEX(CA647:CA658,CD651),INDIRECT(BY647),2,FALSE),"----")</f>
        <v>----</v>
      </c>
      <c r="CF651" s="691" t="e">
        <f t="shared" ca="1" si="12028"/>
        <v>#N/A</v>
      </c>
      <c r="CG651" s="4" t="e">
        <f ca="1">IF(AND(INDEX(SSM,CF651,4)&gt;=$AB647,INDEX(SSM,CF651,5)&gt;=$S647,INDEX(SSM,CF651,6)&gt;=$R647),1,0)</f>
        <v>#N/A</v>
      </c>
      <c r="CH651" s="4" t="e">
        <f t="shared" ref="CH651" ca="1" si="12093">MATCH(1,OFFSET(CG647:CG658,CI650,0,COUNT(CG647:CG658)-CI650),0)</f>
        <v>#REF!</v>
      </c>
      <c r="CI651" s="4" t="e">
        <f t="shared" ca="1" si="12030"/>
        <v>#REF!</v>
      </c>
      <c r="CJ651" s="692" t="str">
        <f ca="1">IFERROR(IF(AD648="Nested Steel Stud (wood infill)",VLOOKUP(INDEX(CF647:CF658,CI651),SSW,2,FALSE),VLOOKUP(INDEX(CF647:CF658,CI651),SSM,2,FALSE)),"----")</f>
        <v>----</v>
      </c>
      <c r="CK651" s="691" t="e">
        <f t="shared" ca="1" si="12031"/>
        <v>#N/A</v>
      </c>
      <c r="CL651" s="4" t="e">
        <f ca="1">IF(AND(INDEX(WSM,CK651,4)&gt;=$AB647,INDEX(WSM,CK651,5)&gt;=$S647,INDEX(WSM,CK651,6)&gt;=$R647),1,0)</f>
        <v>#N/A</v>
      </c>
      <c r="CM651" s="4" t="e">
        <f t="shared" ref="CM651" ca="1" si="12094">MATCH(1,OFFSET(CL647:CL658,CN650,0,COUNT(CL647:CL658)-CN650),0)</f>
        <v>#REF!</v>
      </c>
      <c r="CN651" s="4" t="e">
        <f t="shared" ca="1" si="12033"/>
        <v>#REF!</v>
      </c>
      <c r="CO651" s="692" t="str">
        <f ca="1">IFERROR(VLOOKUP(INDEX(CK647:CK658,CN651),WSM,2,FALSE),"----")</f>
        <v>----</v>
      </c>
      <c r="CP651" s="691" t="e">
        <f t="shared" ca="1" si="12034"/>
        <v>#N/A</v>
      </c>
      <c r="CQ651" s="4" t="e">
        <f ca="1">IF(AND(INDEX(STM,CP651,4)&gt;=$AB647,INDEX(STM,CP651,5)&gt;=$S647,INDEX(STM,CP651,6)&gt;=$R647),1,0)</f>
        <v>#N/A</v>
      </c>
      <c r="CR651" s="4" t="e">
        <f t="shared" ref="CR651" ca="1" si="12095">MATCH(1,OFFSET(CQ647:CQ658,CS650,0,COUNT(CQ647:CQ658)-CS650),0)</f>
        <v>#REF!</v>
      </c>
      <c r="CS651" s="4" t="e">
        <f t="shared" ca="1" si="12036"/>
        <v>#REF!</v>
      </c>
      <c r="CT651" s="692" t="str">
        <f ca="1">IFERROR(VLOOKUP(INDEX(CP647:CP658,CS651),STM,2,FALSE),"----")</f>
        <v>----</v>
      </c>
      <c r="CU651" s="691" t="e">
        <f t="shared" ca="1" si="12037"/>
        <v>#N/A</v>
      </c>
      <c r="CV651" s="4" t="e">
        <f ca="1">IF(AND(INDEX(ELM,CU651,4)&gt;=$AB647,INDEX(ELM,CU651,5)&gt;=$S647,INDEX(ELM,CU651,6)&gt;=$R647),1,0)</f>
        <v>#N/A</v>
      </c>
      <c r="CW651" s="4" t="e">
        <f t="shared" ref="CW651" ca="1" si="12096">MATCH(1,OFFSET(CV647:CV658,CX650,0,COUNT(CV647:CV658)-CX650),0)</f>
        <v>#REF!</v>
      </c>
      <c r="CX651" s="4" t="e">
        <f t="shared" ca="1" si="12039"/>
        <v>#REF!</v>
      </c>
      <c r="CY651" s="692" t="str">
        <f ca="1">IFERROR(VLOOKUP(INDEX(CU647:CU658,CX651),ELM,2,FALSE),"----")</f>
        <v>----</v>
      </c>
      <c r="CZ651" s="691" t="e">
        <f t="shared" ca="1" si="12040"/>
        <v>#N/A</v>
      </c>
      <c r="DA651" s="4" t="e">
        <f ca="1">IF(LEFT($J647,7)="Clad Wo",IF(AND(INDEX(SPPWS,CZ651,4)&gt;=$AB647,INDEX(SPPWS,CZ651,5)&gt;=$S647,INDEX(SPPWS,CZ651,6)&gt;=$R647),1,0),IF(AND(INDEX(SPM,CZ651,4)&gt;=$AB647,INDEX(SPM,CZ651,5)&gt;=$S647,INDEX(SPM,CZ651,6)&gt;=$R647),1,0))</f>
        <v>#N/A</v>
      </c>
      <c r="DB651" s="4" t="e">
        <f t="shared" ref="DB651" ca="1" si="12097">MATCH(1,OFFSET(DA647:DA658,DC650,0,COUNT(DA647:DA658)-DC650),0)</f>
        <v>#REF!</v>
      </c>
      <c r="DC651" s="4" t="e">
        <f t="shared" ca="1" si="12042"/>
        <v>#REF!</v>
      </c>
      <c r="DD651" s="693" t="str">
        <f ca="1">IF(LEFT($J647,7)="Clad Wo",IFERROR(VLOOKUP(INDEX(CZ647:CZ658,DC651),SPPWS,2,FALSE),"----"),IFERROR(VLOOKUP(INDEX(CZ647:CZ658,DC651),SPM,2,FALSE),"----"))</f>
        <v>----</v>
      </c>
      <c r="DE651" s="691" t="e">
        <f t="shared" ca="1" si="12043"/>
        <v>#REF!</v>
      </c>
      <c r="DF651" s="4" t="e" cm="1">
        <f t="array" aca="1" ref="DF651" ca="1">IF(AND(INDEX(INDIRECT(BY647),DE651,4)&gt;=$AB653,INDEX(INDIRECT(BY647),DE651,5)&gt;=$S647,INDEX(INDIRECT(BY647),DE651,6)&gt;=$R647),1,0)</f>
        <v>#REF!</v>
      </c>
      <c r="DG651" s="4" t="e">
        <f t="shared" ref="DG651" ca="1" si="12098">MATCH(1,OFFSET(DF647:DF658,DH650,0,COUNT(DF647:DF658)-DH650),0)</f>
        <v>#REF!</v>
      </c>
      <c r="DH651" s="4" t="e">
        <f t="shared" ca="1" si="12045"/>
        <v>#REF!</v>
      </c>
      <c r="DI651" s="692" t="str" cm="1">
        <f t="array" aca="1" ref="DI651" ca="1">IFERROR(VLOOKUP(INDEX(DE647:DE658,DH651),INDIRECT(BY647),2,FALSE),"----")</f>
        <v>----</v>
      </c>
      <c r="DJ651" s="691" t="e">
        <f t="shared" ca="1" si="12046"/>
        <v>#N/A</v>
      </c>
      <c r="DK651" s="4" t="e">
        <f ca="1">IF(AND(INDEX(SSM,DJ651,4)&gt;=$AB653,INDEX(SSM,DJ651,5)&gt;=$S647,INDEX(SSM,DJ651,6)&gt;=$R647),1,0)</f>
        <v>#N/A</v>
      </c>
      <c r="DL651" s="4" t="e">
        <f t="shared" ref="DL651" ca="1" si="12099">MATCH(1,OFFSET(DK647:DK658,DM650,0,COUNT(DK647:DK658)-DM650),0)</f>
        <v>#REF!</v>
      </c>
      <c r="DM651" s="4" t="e">
        <f t="shared" ca="1" si="12048"/>
        <v>#REF!</v>
      </c>
      <c r="DN651" s="692" t="str">
        <f ca="1">IFERROR(IF(AD654="Nested Steel Stud (wood infill)",VLOOKUP(INDEX(DJ647:DJ658,DM651),SSW,2,FALSE),VLOOKUP(INDEX(DJ647:DJ658,DM651),SSM,2,FALSE)),"----")</f>
        <v>----</v>
      </c>
      <c r="DO651" s="691" t="e">
        <f t="shared" ca="1" si="12049"/>
        <v>#N/A</v>
      </c>
      <c r="DP651" s="4" t="e">
        <f ca="1">IF(AND(INDEX(WSM,DO651,4)&gt;=$AB653,INDEX(WSM,DO651,5)&gt;=$S647,INDEX(WSM,DO651,6)&gt;=$R647),1,0)</f>
        <v>#N/A</v>
      </c>
      <c r="DQ651" s="4" t="e">
        <f t="shared" ref="DQ651" ca="1" si="12100">MATCH(1,OFFSET(DP647:DP658,DR650,0,COUNT(DP647:DP658)-DR650),0)</f>
        <v>#REF!</v>
      </c>
      <c r="DR651" s="4" t="e">
        <f t="shared" ca="1" si="12051"/>
        <v>#REF!</v>
      </c>
      <c r="DS651" s="692" t="str">
        <f ca="1">IFERROR(VLOOKUP(INDEX(DO647:DO658,DR651),WSM,2,FALSE),"----")</f>
        <v>----</v>
      </c>
      <c r="DT651" s="691" t="e">
        <f t="shared" ca="1" si="12052"/>
        <v>#N/A</v>
      </c>
      <c r="DU651" s="4" t="e">
        <f ca="1">IF(AND(INDEX(STM,DT651,4)&gt;=$AB653,INDEX(STM,DT651,5)&gt;=$S647,INDEX(STM,DT651,6)&gt;=$R647),1,0)</f>
        <v>#N/A</v>
      </c>
      <c r="DV651" s="4" t="e">
        <f t="shared" ref="DV651" ca="1" si="12101">MATCH(1,OFFSET(DU647:DU658,DW650,0,COUNT(DU647:DU658)-DW650),0)</f>
        <v>#REF!</v>
      </c>
      <c r="DW651" s="4" t="e">
        <f t="shared" ca="1" si="12054"/>
        <v>#REF!</v>
      </c>
      <c r="DX651" s="692" t="str">
        <f ca="1">IFERROR(VLOOKUP(INDEX(DT647:DT658,DW651),STM,2,FALSE),"----")</f>
        <v>----</v>
      </c>
      <c r="DY651" s="691" t="e">
        <f t="shared" ca="1" si="12055"/>
        <v>#N/A</v>
      </c>
      <c r="DZ651" s="4" t="e">
        <f ca="1">IF(AND(INDEX(ELM,DY651,4)&gt;=$AB653,INDEX(ELM,DY651,5)&gt;=$S647,INDEX(ELM,DY651,6)&gt;=$R647),1,0)</f>
        <v>#N/A</v>
      </c>
      <c r="EA651" s="4" t="e">
        <f t="shared" ref="EA651" ca="1" si="12102">MATCH(1,OFFSET(DZ647:DZ658,EB650,0,COUNT(DZ647:DZ658)-EB650),0)</f>
        <v>#REF!</v>
      </c>
      <c r="EB651" s="4" t="e">
        <f t="shared" ca="1" si="12057"/>
        <v>#REF!</v>
      </c>
      <c r="EC651" s="692" t="str">
        <f ca="1">IFERROR(VLOOKUP(INDEX(DY647:DY658,EB651),ELM,2,FALSE),"----")</f>
        <v>----</v>
      </c>
      <c r="ED651" s="691" t="e">
        <f t="shared" ca="1" si="12058"/>
        <v>#N/A</v>
      </c>
      <c r="EE651" s="4" t="e">
        <f ca="1">IF(LEFT($J647,7)="Clad Wo",IF(AND(INDEX(SPPWS,ED651,4)&gt;=$AB653,INDEX(SPPWS,ED651,5)&gt;=$S647,INDEX(SPPWS,ED651,6)&gt;=$R647),1,0),IF(AND(INDEX(SPM,ED651,4)&gt;=$AB653,INDEX(SPM,ED651,5)&gt;=$S647,INDEX(SPM,ED651,6)&gt;=$R647),1,0))</f>
        <v>#N/A</v>
      </c>
      <c r="EF651" s="4" t="e">
        <f t="shared" ref="EF651" ca="1" si="12103">MATCH(1,OFFSET(EE647:EE658,EG650,0,COUNT(EE647:EE658)-EG650),0)</f>
        <v>#REF!</v>
      </c>
      <c r="EG651" s="4" t="e">
        <f t="shared" ca="1" si="12060"/>
        <v>#REF!</v>
      </c>
      <c r="EH651" s="692" t="str">
        <f ca="1">IF(LEFT($J647,7)="Clad Wo",IFERROR(VLOOKUP(INDEX(ED647:ED658,EG651),SPPWS,2,FALSE),"----"),IFERROR(VLOOKUP(INDEX(ED647:ED658,EG651),SPM,2,FALSE),"----"))</f>
        <v>----</v>
      </c>
    </row>
    <row r="652" spans="1:138" ht="15" customHeight="1" thickBot="1" x14ac:dyDescent="0.3">
      <c r="A652" s="1085"/>
      <c r="B652" s="934"/>
      <c r="C652" s="935"/>
      <c r="D652" s="936"/>
      <c r="E652" s="995"/>
      <c r="F652" s="996"/>
      <c r="G652" s="997"/>
      <c r="H652" s="1062"/>
      <c r="I652" s="990"/>
      <c r="J652" s="908"/>
      <c r="K652" s="909"/>
      <c r="L652" s="1010"/>
      <c r="M652" s="924"/>
      <c r="N652" s="1044"/>
      <c r="O652" s="1018"/>
      <c r="P652" s="987"/>
      <c r="Q652" s="1015"/>
      <c r="R652" s="1012"/>
      <c r="S652" s="1006"/>
      <c r="T652" s="1007"/>
      <c r="U652" s="878"/>
      <c r="V652" s="881"/>
      <c r="W652" s="889"/>
      <c r="X652" s="884"/>
      <c r="Y652" s="890"/>
      <c r="Z652" s="890"/>
      <c r="AA652" s="887"/>
      <c r="AB652" s="1084"/>
      <c r="AC652" s="1079"/>
      <c r="AD652" s="1072" t="str">
        <f t="shared" ref="AD652" si="12104">IF(LEFT(J647,7)="Clad Wo","Pella Wood Spr / Steel Pte","Steel Plate")</f>
        <v>Steel Plate</v>
      </c>
      <c r="AE652" s="1073"/>
      <c r="AF652" s="1054"/>
      <c r="AG652" s="1055"/>
      <c r="AH652" s="1055"/>
      <c r="AI652" s="1092"/>
      <c r="AJ652" s="1093"/>
      <c r="AK652" s="159" t="str">
        <f t="shared" ca="1" si="11298"/>
        <v/>
      </c>
      <c r="AL652" s="1040"/>
      <c r="AM652" s="345" t="str">
        <f ca="1">IFERROR(Q647/12*ROUND(VLOOKUP(AF652,OFFSET(SPM,0,1),6,FALSE),2),"")</f>
        <v/>
      </c>
      <c r="AN652" t="str">
        <f t="shared" ca="1" si="11348"/>
        <v/>
      </c>
      <c r="AP652" s="699" t="str">
        <f t="shared" ref="AP652" si="12105">_xlfn.CONCAT(AR652,AS652)</f>
        <v/>
      </c>
      <c r="AQ652" s="700" t="str">
        <f t="shared" si="11512"/>
        <v/>
      </c>
      <c r="AR652" s="160" t="str">
        <f t="shared" si="11273"/>
        <v/>
      </c>
      <c r="AS652" s="160" t="str">
        <f>IFERROR(VLOOKUP(J655, WallType,2,FALSE),"")</f>
        <v/>
      </c>
      <c r="AT652" s="701" t="str">
        <f>AL647</f>
        <v/>
      </c>
      <c r="AU652" s="694" t="e">
        <f t="shared" ca="1" si="11538"/>
        <v>#REF!</v>
      </c>
      <c r="AV652" s="698" t="str">
        <f ca="1">IFERROR(VLOOKUP(AU652,INDIRECT(AQ647),2,FALSE),"----")</f>
        <v>----</v>
      </c>
      <c r="AW652" s="702" t="e">
        <f t="shared" ca="1" si="11539"/>
        <v>#REF!</v>
      </c>
      <c r="AX652" s="698" t="str">
        <f ca="1">IFERROR(VLOOKUP(AW652,INDIRECT(AQ648),2,FALSE),"----")</f>
        <v>----</v>
      </c>
      <c r="AY652" s="702" t="e">
        <f t="shared" ref="AY652:AY667" ca="1" si="12106">AY651-1</f>
        <v>#REF!</v>
      </c>
      <c r="AZ652" s="698" t="str">
        <f ca="1">IFERROR(VLOOKUP(AY652,INDIRECT(AQ649),2,FALSE),"----")</f>
        <v>----</v>
      </c>
      <c r="BA652" s="702" t="e">
        <f t="shared" ref="BA652:BA667" ca="1" si="12107">BA651-1</f>
        <v>#REF!</v>
      </c>
      <c r="BB652" s="698" t="str">
        <f ca="1">IFERROR(VLOOKUP(BA652,INDIRECT(AQ650),2,FALSE),"----")</f>
        <v>----</v>
      </c>
      <c r="BC652" s="702" t="e">
        <f t="shared" ca="1" si="11542"/>
        <v>#REF!</v>
      </c>
      <c r="BD652" s="698" t="str">
        <f ca="1">IFERROR(VLOOKUP(BC652,INDIRECT(AQ651),2,FALSE),"----")</f>
        <v>----</v>
      </c>
      <c r="BE652" s="702" t="e">
        <f t="shared" ca="1" si="11543"/>
        <v>#REF!</v>
      </c>
      <c r="BF652" s="698" t="str">
        <f ca="1">IFERROR(VLOOKUP(BE652,INDIRECT(AQ652),2,FALSE),"----")</f>
        <v>----</v>
      </c>
      <c r="BG652" s="702" t="e">
        <f t="shared" ca="1" si="11544"/>
        <v>#REF!</v>
      </c>
      <c r="BH652" s="686" t="str">
        <f ca="1">IFERROR(VLOOKUP(BG652,INDIRECT(AQ653),2,FALSE),"----")</f>
        <v>----</v>
      </c>
      <c r="BI652" s="702" t="e">
        <f t="shared" ca="1" si="11545"/>
        <v>#REF!</v>
      </c>
      <c r="BJ652" s="686" t="str">
        <f ca="1">IFERROR(VLOOKUP(BI652,INDIRECT(AQ654),2,FALSE),"----")</f>
        <v>----</v>
      </c>
      <c r="BK652" s="702" t="e">
        <f t="shared" ca="1" si="11546"/>
        <v>#REF!</v>
      </c>
      <c r="BL652" s="686" t="str">
        <f ca="1">IFERROR(VLOOKUP(BK652,INDIRECT(AQ655),2,FALSE),"----")</f>
        <v>----</v>
      </c>
      <c r="BM652" s="702" t="e">
        <f t="shared" ca="1" si="11547"/>
        <v>#REF!</v>
      </c>
      <c r="BN652" s="686" t="str">
        <f ca="1">IFERROR(VLOOKUP(BM652,INDIRECT(AQ656),2,FALSE),"----")</f>
        <v>----</v>
      </c>
      <c r="BO652" s="702" t="e">
        <f t="shared" ca="1" si="11548"/>
        <v>#REF!</v>
      </c>
      <c r="BP652" s="686" t="str">
        <f ca="1">IFERROR(VLOOKUP(BO652,INDIRECT(AQ657),2,FALSE),"----")</f>
        <v>----</v>
      </c>
      <c r="BQ652" s="702" t="e">
        <f t="shared" ca="1" si="11549"/>
        <v>#REF!</v>
      </c>
      <c r="BR652" s="686" t="str">
        <f ca="1">IFERROR(VLOOKUP(BQ652,INDIRECT(AQ658),2,FALSE),"----")</f>
        <v>----</v>
      </c>
      <c r="BS652" s="703">
        <f>IF(AI652="",1,IF(COUNTIF(BF647:BF658,AI652)=0,2,1))</f>
        <v>1</v>
      </c>
      <c r="BT652" s="704">
        <f>IF(AF652="",1,IF(BF647=".",2,1))</f>
        <v>1</v>
      </c>
      <c r="BV652" s="155">
        <f ca="1">IF(COUNTIF(DD647:DD658,AF652)=0,IF(AF652&lt;&gt;"",0,1),1)</f>
        <v>1</v>
      </c>
      <c r="BW652" s="157">
        <f ca="1">IFERROR(MATCH(AF652,DD647:DD658,0),1)</f>
        <v>1</v>
      </c>
      <c r="BX652" s="875" t="s">
        <v>1594</v>
      </c>
      <c r="BY652" s="876"/>
      <c r="BZ652" s="1110"/>
      <c r="CA652" s="691" t="e">
        <f t="shared" ca="1" si="12025"/>
        <v>#REF!</v>
      </c>
      <c r="CB652" s="4" t="e" cm="1">
        <f t="array" aca="1" ref="CB652" ca="1">IF(AND(INDEX(INDIRECT(BY647),CA652,4)&gt;=$AB647,INDEX(INDIRECT(BY647),CA652,5)&gt;=$S647,INDEX(INDIRECT(BY647),CA652,6)&gt;=$R647),1,0)</f>
        <v>#REF!</v>
      </c>
      <c r="CC652" s="4" t="e">
        <f t="shared" ref="CC652" ca="1" si="12108">MATCH(1,OFFSET(CB647:CB658,CD651,0,COUNT(CB647:CB658)-CD651),0)</f>
        <v>#REF!</v>
      </c>
      <c r="CD652" s="4" t="e">
        <f t="shared" ca="1" si="12027"/>
        <v>#REF!</v>
      </c>
      <c r="CE652" s="692" t="str" cm="1">
        <f t="array" aca="1" ref="CE652" ca="1">IFERROR(VLOOKUP(INDEX(CA647:CA658,CD652),INDIRECT(BY647),2,FALSE),"----")</f>
        <v>----</v>
      </c>
      <c r="CF652" s="691" t="e">
        <f t="shared" ca="1" si="12028"/>
        <v>#N/A</v>
      </c>
      <c r="CG652" s="4" t="e">
        <f ca="1">IF(AND(INDEX(SSM,CF652,4)&gt;=$AB647,INDEX(SSM,CF652,5)&gt;=$S647,INDEX(SSM,CF652,6)&gt;=$R647),1,0)</f>
        <v>#N/A</v>
      </c>
      <c r="CH652" s="4" t="e">
        <f t="shared" ref="CH652" ca="1" si="12109">MATCH(1,OFFSET(CG647:CG658,CI651,0,COUNT(CG647:CG658)-CI651),0)</f>
        <v>#REF!</v>
      </c>
      <c r="CI652" s="4" t="e">
        <f t="shared" ca="1" si="12030"/>
        <v>#REF!</v>
      </c>
      <c r="CJ652" s="692" t="str">
        <f ca="1">IFERROR(IF(AD648="Nested Steel Stud (wood infill)",VLOOKUP(INDEX(CF647:CF658,CI652),SSW,2,FALSE),VLOOKUP(INDEX(CF647:CF658,CI652),SSM,2,FALSE)),"----")</f>
        <v>----</v>
      </c>
      <c r="CK652" s="691" t="e">
        <f t="shared" ca="1" si="12031"/>
        <v>#N/A</v>
      </c>
      <c r="CL652" s="4" t="e">
        <f ca="1">IF(AND(INDEX(WSM,CK652,4)&gt;=$AB647,INDEX(WSM,CK652,5)&gt;=$S647,INDEX(WSM,CK652,6)&gt;=$R647),1,0)</f>
        <v>#N/A</v>
      </c>
      <c r="CM652" s="4" t="e">
        <f t="shared" ref="CM652" ca="1" si="12110">MATCH(1,OFFSET(CL647:CL658,CN651,0,COUNT(CL647:CL658)-CN651),0)</f>
        <v>#REF!</v>
      </c>
      <c r="CN652" s="4" t="e">
        <f t="shared" ca="1" si="12033"/>
        <v>#REF!</v>
      </c>
      <c r="CO652" s="692" t="str">
        <f ca="1">IFERROR(VLOOKUP(INDEX(CK647:CK658,CN652),WSM,2,FALSE),"----")</f>
        <v>----</v>
      </c>
      <c r="CP652" s="691" t="e">
        <f t="shared" ca="1" si="12034"/>
        <v>#N/A</v>
      </c>
      <c r="CQ652" s="4" t="e">
        <f ca="1">IF(AND(INDEX(STM,CP652,4)&gt;=$AB647,INDEX(STM,CP652,5)&gt;=$S647,INDEX(STM,CP652,6)&gt;=$R647),1,0)</f>
        <v>#N/A</v>
      </c>
      <c r="CR652" s="4" t="e">
        <f t="shared" ref="CR652" ca="1" si="12111">MATCH(1,OFFSET(CQ647:CQ658,CS651,0,COUNT(CQ647:CQ658)-CS651),0)</f>
        <v>#REF!</v>
      </c>
      <c r="CS652" s="4" t="e">
        <f t="shared" ca="1" si="12036"/>
        <v>#REF!</v>
      </c>
      <c r="CT652" s="692" t="str">
        <f ca="1">IFERROR(VLOOKUP(INDEX(CP647:CP658,CS652),STM,2,FALSE),"----")</f>
        <v>----</v>
      </c>
      <c r="CU652" s="691" t="e">
        <f t="shared" ca="1" si="12037"/>
        <v>#N/A</v>
      </c>
      <c r="CV652" s="4" t="e">
        <f ca="1">IF(AND(INDEX(ELM,CU652,4)&gt;=$AB647,INDEX(ELM,CU652,5)&gt;=$S647,INDEX(ELM,CU652,6)&gt;=$R647),1,0)</f>
        <v>#N/A</v>
      </c>
      <c r="CW652" s="4" t="e">
        <f t="shared" ref="CW652" ca="1" si="12112">MATCH(1,OFFSET(CV647:CV658,CX651,0,COUNT(CV647:CV658)-CX651),0)</f>
        <v>#REF!</v>
      </c>
      <c r="CX652" s="4" t="e">
        <f t="shared" ca="1" si="12039"/>
        <v>#REF!</v>
      </c>
      <c r="CY652" s="692" t="str">
        <f ca="1">IFERROR(VLOOKUP(INDEX(CU647:CU658,CX652),ELM,2,FALSE),"----")</f>
        <v>----</v>
      </c>
      <c r="CZ652" s="691" t="e">
        <f t="shared" ca="1" si="12040"/>
        <v>#N/A</v>
      </c>
      <c r="DA652" s="4" t="e">
        <f ca="1">IF(LEFT($J647,7)="Clad Wo",IF(AND(INDEX(SPPWS,CZ652,4)&gt;=$AB647,INDEX(SPPWS,CZ652,5)&gt;=$S647,INDEX(SPPWS,CZ652,6)&gt;=$R647),1,0),IF(AND(INDEX(SPM,CZ652,4)&gt;=$AB647,INDEX(SPM,CZ652,5)&gt;=$S647,INDEX(SPM,CZ652,6)&gt;=$R647),1,0))</f>
        <v>#N/A</v>
      </c>
      <c r="DB652" s="4" t="e">
        <f t="shared" ref="DB652" ca="1" si="12113">MATCH(1,OFFSET(DA647:DA658,DC651,0,COUNT(DA647:DA658)-DC651),0)</f>
        <v>#REF!</v>
      </c>
      <c r="DC652" s="4" t="e">
        <f t="shared" ca="1" si="12042"/>
        <v>#REF!</v>
      </c>
      <c r="DD652" s="693" t="str">
        <f ca="1">IF(LEFT($J647,7)="Clad Wo",IFERROR(VLOOKUP(INDEX(CZ647:CZ658,DC652),SPPWS,2,FALSE),"----"),IFERROR(VLOOKUP(INDEX(CZ647:CZ658,DC652),SPM,2,FALSE),"----"))</f>
        <v>----</v>
      </c>
      <c r="DE652" s="691" t="e">
        <f t="shared" ca="1" si="12043"/>
        <v>#REF!</v>
      </c>
      <c r="DF652" s="4" t="e" cm="1">
        <f t="array" aca="1" ref="DF652" ca="1">IF(AND(INDEX(INDIRECT(BY647),DE652,4)&gt;=$AB653,INDEX(INDIRECT(BY647),DE652,5)&gt;=$S647,INDEX(INDIRECT(BY647),DE652,6)&gt;=$R647),1,0)</f>
        <v>#REF!</v>
      </c>
      <c r="DG652" s="4" t="e">
        <f t="shared" ref="DG652" ca="1" si="12114">MATCH(1,OFFSET(DF647:DF658,DH651,0,COUNT(DF647:DF658)-DH651),0)</f>
        <v>#REF!</v>
      </c>
      <c r="DH652" s="4" t="e">
        <f t="shared" ca="1" si="12045"/>
        <v>#REF!</v>
      </c>
      <c r="DI652" s="692" t="str" cm="1">
        <f t="array" aca="1" ref="DI652" ca="1">IFERROR(VLOOKUP(INDEX(DE647:DE658,DH652),INDIRECT(BY647),2,FALSE),"----")</f>
        <v>----</v>
      </c>
      <c r="DJ652" s="691" t="e">
        <f t="shared" ca="1" si="12046"/>
        <v>#N/A</v>
      </c>
      <c r="DK652" s="4" t="e">
        <f ca="1">IF(AND(INDEX(SSM,DJ652,4)&gt;=$AB653,INDEX(SSM,DJ652,5)&gt;=$S647,INDEX(SSM,DJ652,6)&gt;=$R647),1,0)</f>
        <v>#N/A</v>
      </c>
      <c r="DL652" s="4" t="e">
        <f t="shared" ref="DL652" ca="1" si="12115">MATCH(1,OFFSET(DK647:DK658,DM651,0,COUNT(DK647:DK658)-DM651),0)</f>
        <v>#REF!</v>
      </c>
      <c r="DM652" s="4" t="e">
        <f t="shared" ca="1" si="12048"/>
        <v>#REF!</v>
      </c>
      <c r="DN652" s="692" t="str">
        <f ca="1">IFERROR(IF(AD654="Nested Steel Stud (wood infill)",VLOOKUP(INDEX(DJ647:DJ658,DM652),SSW,2,FALSE),VLOOKUP(INDEX(DJ647:DJ658,DM652),SSM,2,FALSE)),"----")</f>
        <v>----</v>
      </c>
      <c r="DO652" s="691" t="e">
        <f t="shared" ca="1" si="12049"/>
        <v>#N/A</v>
      </c>
      <c r="DP652" s="4" t="e">
        <f ca="1">IF(AND(INDEX(WSM,DO652,4)&gt;=$AB653,INDEX(WSM,DO652,5)&gt;=$S647,INDEX(WSM,DO652,6)&gt;=$R647),1,0)</f>
        <v>#N/A</v>
      </c>
      <c r="DQ652" s="4" t="e">
        <f t="shared" ref="DQ652" ca="1" si="12116">MATCH(1,OFFSET(DP647:DP658,DR651,0,COUNT(DP647:DP658)-DR651),0)</f>
        <v>#REF!</v>
      </c>
      <c r="DR652" s="4" t="e">
        <f t="shared" ca="1" si="12051"/>
        <v>#REF!</v>
      </c>
      <c r="DS652" s="692" t="str">
        <f ca="1">IFERROR(VLOOKUP(INDEX(DO647:DO658,DR652),WSM,2,FALSE),"----")</f>
        <v>----</v>
      </c>
      <c r="DT652" s="691" t="e">
        <f t="shared" ca="1" si="12052"/>
        <v>#N/A</v>
      </c>
      <c r="DU652" s="4" t="e">
        <f ca="1">IF(AND(INDEX(STM,DT652,4)&gt;=$AB653,INDEX(STM,DT652,5)&gt;=$S647,INDEX(STM,DT652,6)&gt;=$R647),1,0)</f>
        <v>#N/A</v>
      </c>
      <c r="DV652" s="4" t="e">
        <f t="shared" ref="DV652" ca="1" si="12117">MATCH(1,OFFSET(DU647:DU658,DW651,0,COUNT(DU647:DU658)-DW651),0)</f>
        <v>#REF!</v>
      </c>
      <c r="DW652" s="4" t="e">
        <f t="shared" ca="1" si="12054"/>
        <v>#REF!</v>
      </c>
      <c r="DX652" s="692" t="str">
        <f ca="1">IFERROR(VLOOKUP(INDEX(DT647:DT658,DW652),STM,2,FALSE),"----")</f>
        <v>----</v>
      </c>
      <c r="DY652" s="691" t="e">
        <f t="shared" ca="1" si="12055"/>
        <v>#N/A</v>
      </c>
      <c r="DZ652" s="4" t="e">
        <f ca="1">IF(AND(INDEX(ELM,DY652,4)&gt;=$AB653,INDEX(ELM,DY652,5)&gt;=$S647,INDEX(ELM,DY652,6)&gt;=$R647),1,0)</f>
        <v>#N/A</v>
      </c>
      <c r="EA652" s="4" t="e">
        <f t="shared" ref="EA652" ca="1" si="12118">MATCH(1,OFFSET(DZ647:DZ658,EB651,0,COUNT(DZ647:DZ658)-EB651),0)</f>
        <v>#REF!</v>
      </c>
      <c r="EB652" s="4" t="e">
        <f t="shared" ca="1" si="12057"/>
        <v>#REF!</v>
      </c>
      <c r="EC652" s="692" t="str">
        <f ca="1">IFERROR(VLOOKUP(INDEX(DY647:DY658,EB652),ELM,2,FALSE),"----")</f>
        <v>----</v>
      </c>
      <c r="ED652" s="691" t="e">
        <f t="shared" ca="1" si="12058"/>
        <v>#N/A</v>
      </c>
      <c r="EE652" s="4" t="e">
        <f ca="1">IF(LEFT($J647,7)="Clad Wo",IF(AND(INDEX(SPPWS,ED652,4)&gt;=$AB653,INDEX(SPPWS,ED652,5)&gt;=$S647,INDEX(SPPWS,ED652,6)&gt;=$R647),1,0),IF(AND(INDEX(SPM,ED652,4)&gt;=$AB653,INDEX(SPM,ED652,5)&gt;=$S647,INDEX(SPM,ED652,6)&gt;=$R647),1,0))</f>
        <v>#N/A</v>
      </c>
      <c r="EF652" s="4" t="e">
        <f t="shared" ref="EF652" ca="1" si="12119">MATCH(1,OFFSET(EE647:EE658,EG651,0,COUNT(EE647:EE658)-EG651),0)</f>
        <v>#REF!</v>
      </c>
      <c r="EG652" s="4" t="e">
        <f t="shared" ca="1" si="12060"/>
        <v>#REF!</v>
      </c>
      <c r="EH652" s="692" t="str">
        <f ca="1">IF(LEFT($J647,7)="Clad Wo",IFERROR(VLOOKUP(INDEX(ED647:ED658,EG652),SPPWS,2,FALSE),"----"),IFERROR(VLOOKUP(INDEX(ED647:ED658,EG652),SPM,2,FALSE),"----"))</f>
        <v>----</v>
      </c>
    </row>
    <row r="653" spans="1:138" ht="15" customHeight="1" x14ac:dyDescent="0.25">
      <c r="A653" s="1085"/>
      <c r="B653" s="925" t="s">
        <v>409</v>
      </c>
      <c r="C653" s="926"/>
      <c r="D653" s="927"/>
      <c r="E653" s="995"/>
      <c r="F653" s="996"/>
      <c r="G653" s="997"/>
      <c r="H653" s="1062"/>
      <c r="I653" s="990"/>
      <c r="J653" s="908"/>
      <c r="K653" s="909"/>
      <c r="L653" s="1001">
        <f>L647+1</f>
        <v>5</v>
      </c>
      <c r="M653" s="1064" t="str">
        <f t="shared" ref="M653" si="12120">IFERROR(IF($AE$17="",IF($AG$19="Wind Loading",MIN($V$31,IF(E$11="ASCE 7-05",$U$26,$V$7)*$V$9*(IF($E$12&lt;60,0.156*LN(MAX(MIN(500,O647),10)) -1.7618,IF($E$11="ASCE 7-22", 0.2026*LN(MAX(MIN(500,O647),20))-2.2638,0.2503*LN(MAX(MIN(500,O647),20)) -2.5526))-$V$8)),$V$7*IF(E$12&lt;60,$V$13*($V$15*(0.156*LN(MAX(MIN(500,O647),10)) -1.7618)-$V$16),$V$13*$V$15*((0.2026*LN(MAX(MIN(500,O647),20))-2.2638)-$V$16))),-ABS($AE$17)),"")</f>
        <v/>
      </c>
      <c r="N653" s="1041" t="str">
        <f t="shared" ref="N653" si="12121">IFERROR(IF($AE$19="",IF($AG$19="Wind Loading",MAX($U$31,IF(E$11="ASCE 7-05",$U$26,$V$7)*$V$9*((IF($E$12&lt;60,-0.077*LN(MAX(MIN(500,O647),10))+1.1737,IF($E$11="ASCE 7-22",-0.077*LN(MAX(MIN(500,O647),20))+1.0798,-0.093*LN(MAX(MIN(500,O647),20))+1.1776)))+$V$8)),$V$7*IF(E$12&lt;60,$V$13*($V$15*(-0.077*LN(MAX(MIN(500,O647),10))+1.1737)-$V$17),$V$13*$V$15*((-0.077*LN(MAX(MIN(500,O647),20))+1.0798)-$V$17))),ABS($AE$19)),"")</f>
        <v/>
      </c>
      <c r="O653" s="1018"/>
      <c r="P653" s="987"/>
      <c r="Q653" s="1015"/>
      <c r="R653" s="1012">
        <f>P653*Q653/8</f>
        <v>0</v>
      </c>
      <c r="S653" s="1006"/>
      <c r="T653" s="1007"/>
      <c r="U653" s="878"/>
      <c r="V653" s="881"/>
      <c r="W653" s="883" t="e">
        <f t="shared" ref="W653" si="12122">MAX(-M653,N653)*O647</f>
        <v>#VALUE!</v>
      </c>
      <c r="X653" s="884"/>
      <c r="Y653" s="886">
        <f>IFERROR(IF(AG$14="Trapezoidal",BY656,BX656)+IF($E$17="4",(400*E647^3)/(48*X647),0),0)</f>
        <v>0</v>
      </c>
      <c r="Z653" s="886" t="e">
        <f t="shared" ref="Z653" si="12123">+($V647*MAX(-$M653,$N653)*$E647^2)/(144*8)+IF($E$17=4,(400*$E647)/4,0)</f>
        <v>#VALUE!</v>
      </c>
      <c r="AA653" s="887"/>
      <c r="AB653" s="1080" t="str">
        <f t="shared" ref="AB653" ca="1" si="12124">IFERROR(Z653-AA647,"")</f>
        <v/>
      </c>
      <c r="AC653" s="1086" t="str">
        <f t="shared" ref="AC653" ca="1" si="12125">IFERROR(Y653-U647,"")</f>
        <v/>
      </c>
      <c r="AD653" s="1074" t="str">
        <f t="shared" ref="AD653" si="12126">AD647</f>
        <v/>
      </c>
      <c r="AE653" s="1075"/>
      <c r="AF653" s="1056"/>
      <c r="AG653" s="1057"/>
      <c r="AH653" s="1057"/>
      <c r="AI653" s="1088"/>
      <c r="AJ653" s="1089"/>
      <c r="AK653" s="162" t="str">
        <f t="shared" ca="1" si="11298"/>
        <v/>
      </c>
      <c r="AL653" s="1058" t="str">
        <f t="shared" ref="AL653" si="12127">IFERROR(ROUND(SQRT(P647^2+(W653/2+IF($E$17=4,200,0))^2),0),"")</f>
        <v/>
      </c>
      <c r="AM653" s="342" t="s">
        <v>669</v>
      </c>
      <c r="AN653" t="str">
        <f t="shared" ca="1" si="11348"/>
        <v/>
      </c>
      <c r="AP653" s="122" t="str">
        <f t="shared" ref="AP653" si="12128">_xlfn.CONCAT(AR653,AS658)</f>
        <v/>
      </c>
      <c r="AQ653" s="683" t="str">
        <f t="shared" si="11512"/>
        <v/>
      </c>
      <c r="AR653" s="96" t="str">
        <f t="shared" si="11273"/>
        <v/>
      </c>
      <c r="AS653" s="96" t="str">
        <f>IF(COUNTIF(imp_1,AF653)=1,"imp_1",IF(COUNTIF(imp_2,AF653)=1,"imp_2",IF(COUNTIF(imp_3,AF653)=1,"imp_3",IF(COUNTIF(impdoor,AF653)=1,"impdoor",""))))</f>
        <v/>
      </c>
      <c r="AT653" s="684" t="str">
        <f>AL653</f>
        <v/>
      </c>
      <c r="AU653" s="685" t="e">
        <f t="shared" ca="1" si="11538"/>
        <v>#REF!</v>
      </c>
      <c r="AV653" s="686" t="str">
        <f ca="1">IFERROR(VLOOKUP(AU653,INDIRECT(AQ647),2,FALSE),"----")</f>
        <v>----</v>
      </c>
      <c r="AW653" s="685" t="e">
        <f t="shared" ca="1" si="11539"/>
        <v>#REF!</v>
      </c>
      <c r="AX653" s="686" t="str">
        <f ca="1">IFERROR(VLOOKUP(AW653,INDIRECT(AQ648),2,FALSE),"----")</f>
        <v>----</v>
      </c>
      <c r="AY653" s="685" t="e">
        <f t="shared" ca="1" si="12106"/>
        <v>#REF!</v>
      </c>
      <c r="AZ653" s="686" t="str">
        <f ca="1">IFERROR(VLOOKUP(AY653,INDIRECT(AQ649),2,FALSE),"----")</f>
        <v>----</v>
      </c>
      <c r="BA653" s="685" t="e">
        <f t="shared" ca="1" si="12107"/>
        <v>#REF!</v>
      </c>
      <c r="BB653" s="686" t="str">
        <f ca="1">IFERROR(VLOOKUP(BA653,INDIRECT(AQ650),2,FALSE),"----")</f>
        <v>----</v>
      </c>
      <c r="BC653" s="685" t="e">
        <f t="shared" ca="1" si="11542"/>
        <v>#REF!</v>
      </c>
      <c r="BD653" s="686" t="str">
        <f ca="1">IFERROR(VLOOKUP(BC653,INDIRECT(AQ651),2,FALSE),"----")</f>
        <v>----</v>
      </c>
      <c r="BE653" s="685" t="e">
        <f t="shared" ca="1" si="11543"/>
        <v>#REF!</v>
      </c>
      <c r="BF653" s="686" t="str">
        <f ca="1">IFERROR(VLOOKUP(BE653,INDIRECT(AQ652),2,FALSE),"----")</f>
        <v>----</v>
      </c>
      <c r="BG653" s="702" t="e">
        <f t="shared" ca="1" si="11544"/>
        <v>#REF!</v>
      </c>
      <c r="BH653" s="686" t="str">
        <f ca="1">IFERROR(VLOOKUP(BG653,INDIRECT(AQ653),2,FALSE),"----")</f>
        <v>----</v>
      </c>
      <c r="BI653" s="702" t="e">
        <f t="shared" ca="1" si="11545"/>
        <v>#REF!</v>
      </c>
      <c r="BJ653" s="686" t="str">
        <f ca="1">IFERROR(VLOOKUP(BI653,INDIRECT(AQ654),2,FALSE),"----")</f>
        <v>----</v>
      </c>
      <c r="BK653" s="702" t="e">
        <f t="shared" ca="1" si="11546"/>
        <v>#REF!</v>
      </c>
      <c r="BL653" s="686" t="str">
        <f ca="1">IFERROR(VLOOKUP(BK653,INDIRECT(AQ655),2,FALSE),"----")</f>
        <v>----</v>
      </c>
      <c r="BM653" s="702" t="e">
        <f t="shared" ca="1" si="11547"/>
        <v>#REF!</v>
      </c>
      <c r="BN653" s="686" t="str">
        <f ca="1">IFERROR(VLOOKUP(BM653,INDIRECT(AQ656),2,FALSE),"----")</f>
        <v>----</v>
      </c>
      <c r="BO653" s="702" t="e">
        <f t="shared" ca="1" si="11548"/>
        <v>#REF!</v>
      </c>
      <c r="BP653" s="686" t="str">
        <f ca="1">IFERROR(VLOOKUP(BO653,INDIRECT(AQ657),2,FALSE),"----")</f>
        <v>----</v>
      </c>
      <c r="BQ653" s="702" t="e">
        <f t="shared" ca="1" si="11549"/>
        <v>#REF!</v>
      </c>
      <c r="BR653" s="686" t="str">
        <f ca="1">IFERROR(VLOOKUP(BQ653,INDIRECT(AQ658),2,FALSE),"----")</f>
        <v>----</v>
      </c>
      <c r="BS653" s="695">
        <f>IF(AI653="",1,IF(COUNTIF(BH647:BH658,AI653)=0,2,1))</f>
        <v>1</v>
      </c>
      <c r="BT653" s="696">
        <f>IF(AP653="1",1,IF(AF653="",1,IF(BH647=".",2,1)))</f>
        <v>1</v>
      </c>
      <c r="BU653" s="706"/>
      <c r="BV653" s="155">
        <f ca="1">IF(COUNTIF(DI647:DI658,AF653)=0,IF(AF653&lt;&gt;"",0,1),1)</f>
        <v>1</v>
      </c>
      <c r="BW653" s="157">
        <f ca="1">IFERROR(MATCH(AF653,DI647:DI658,0),1)</f>
        <v>1</v>
      </c>
      <c r="BX653" s="769" t="s">
        <v>1593</v>
      </c>
      <c r="BY653" s="769" t="s">
        <v>1629</v>
      </c>
      <c r="BZ653" s="1110"/>
      <c r="CA653" s="691" t="e">
        <f t="shared" ca="1" si="12025"/>
        <v>#REF!</v>
      </c>
      <c r="CB653" s="4" t="e" cm="1">
        <f t="array" aca="1" ref="CB653" ca="1">IF(AND(INDEX(INDIRECT(BY647),CA653,4)&gt;=$AB647,INDEX(INDIRECT(BY647),CA653,5)&gt;=$S647,INDEX(INDIRECT(BY647),CA653,6)&gt;=$R647),1,0)</f>
        <v>#REF!</v>
      </c>
      <c r="CC653" s="4" t="e">
        <f t="shared" ref="CC653" ca="1" si="12129">MATCH(1,OFFSET(CB647:CB658,CD652,0,COUNT(CB647:CB658)-CD652),0)</f>
        <v>#REF!</v>
      </c>
      <c r="CD653" s="4" t="e">
        <f t="shared" ca="1" si="12027"/>
        <v>#REF!</v>
      </c>
      <c r="CE653" s="692" t="str" cm="1">
        <f t="array" aca="1" ref="CE653" ca="1">IFERROR(VLOOKUP(INDEX(CA647:CA658,CD653),INDIRECT(BY647),2,FALSE),"----")</f>
        <v>----</v>
      </c>
      <c r="CF653" s="691" t="e">
        <f t="shared" ca="1" si="12028"/>
        <v>#N/A</v>
      </c>
      <c r="CG653" s="4" t="e">
        <f ca="1">IF(AND(INDEX(SSM,CF653,4)&gt;=$AB647,INDEX(SSM,CF653,5)&gt;=$S647,INDEX(SSM,CF653,6)&gt;=$R647),1,0)</f>
        <v>#N/A</v>
      </c>
      <c r="CH653" s="4" t="e">
        <f t="shared" ref="CH653" ca="1" si="12130">MATCH(1,OFFSET(CG647:CG658,CI652,0,COUNT(CG647:CG658)-CI652),0)</f>
        <v>#REF!</v>
      </c>
      <c r="CI653" s="4" t="e">
        <f t="shared" ca="1" si="12030"/>
        <v>#REF!</v>
      </c>
      <c r="CJ653" s="692" t="str">
        <f ca="1">IFERROR(IF(AD648="Nested Steel Stud (wood infill)",VLOOKUP(INDEX(CF647:CF658,CI653),SSW,2,FALSE),VLOOKUP(INDEX(CF647:CF658,CI653),SSM,2,FALSE)),"----")</f>
        <v>----</v>
      </c>
      <c r="CK653" s="691" t="e">
        <f t="shared" ca="1" si="12031"/>
        <v>#N/A</v>
      </c>
      <c r="CL653" s="4" t="e">
        <f ca="1">IF(AND(INDEX(WSM,CK653,4)&gt;=$AB647,INDEX(WSM,CK653,5)&gt;=$S647,INDEX(WSM,CK653,6)&gt;=$R647),1,0)</f>
        <v>#N/A</v>
      </c>
      <c r="CM653" s="4" t="e">
        <f t="shared" ref="CM653" ca="1" si="12131">MATCH(1,OFFSET(CL647:CL658,CN652,0,COUNT(CL647:CL658)-CN652),0)</f>
        <v>#REF!</v>
      </c>
      <c r="CN653" s="4" t="e">
        <f t="shared" ca="1" si="12033"/>
        <v>#REF!</v>
      </c>
      <c r="CO653" s="692" t="str">
        <f ca="1">IFERROR(VLOOKUP(INDEX(CK647:CK658,CN653),WSM,2,FALSE),"----")</f>
        <v>----</v>
      </c>
      <c r="CP653" s="691" t="e">
        <f t="shared" ca="1" si="12034"/>
        <v>#N/A</v>
      </c>
      <c r="CQ653" s="4" t="e">
        <f ca="1">IF(AND(INDEX(STM,CP653,4)&gt;=$AB647,INDEX(STM,CP653,5)&gt;=$S647,INDEX(STM,CP653,6)&gt;=$R647),1,0)</f>
        <v>#N/A</v>
      </c>
      <c r="CR653" s="4" t="e">
        <f t="shared" ref="CR653" ca="1" si="12132">MATCH(1,OFFSET(CQ647:CQ658,CS652,0,COUNT(CQ647:CQ658)-CS652),0)</f>
        <v>#REF!</v>
      </c>
      <c r="CS653" s="4" t="e">
        <f t="shared" ca="1" si="12036"/>
        <v>#REF!</v>
      </c>
      <c r="CT653" s="692" t="str">
        <f ca="1">IFERROR(VLOOKUP(INDEX(CP647:CP658,CS653),STM,2,FALSE),"----")</f>
        <v>----</v>
      </c>
      <c r="CU653" s="691" t="e">
        <f t="shared" ca="1" si="12037"/>
        <v>#N/A</v>
      </c>
      <c r="CV653" s="4" t="e">
        <f ca="1">IF(AND(INDEX(ELM,CU653,4)&gt;=$AB647,INDEX(ELM,CU653,5)&gt;=$S647,INDEX(ELM,CU653,6)&gt;=$R647),1,0)</f>
        <v>#N/A</v>
      </c>
      <c r="CW653" s="4" t="e">
        <f t="shared" ref="CW653" ca="1" si="12133">MATCH(1,OFFSET(CV647:CV658,CX652,0,COUNT(CV647:CV658)-CX652),0)</f>
        <v>#REF!</v>
      </c>
      <c r="CX653" s="4" t="e">
        <f t="shared" ca="1" si="12039"/>
        <v>#REF!</v>
      </c>
      <c r="CY653" s="692" t="str">
        <f ca="1">IFERROR(VLOOKUP(INDEX(CU647:CU658,CX653),ELM,2,FALSE),"----")</f>
        <v>----</v>
      </c>
      <c r="CZ653" s="691" t="e">
        <f t="shared" ca="1" si="12040"/>
        <v>#N/A</v>
      </c>
      <c r="DA653" s="4" t="e">
        <f ca="1">IF(LEFT($J647,7)="Clad Wo",IF(AND(INDEX(SPPWS,CZ653,4)&gt;=$AB647,INDEX(SPPWS,CZ653,5)&gt;=$S647,INDEX(SPPWS,CZ653,6)&gt;=$R647),1,0),IF(AND(INDEX(SPM,CZ653,4)&gt;=$AB647,INDEX(SPM,CZ653,5)&gt;=$S647,INDEX(SPM,CZ653,6)&gt;=$R647),1,0))</f>
        <v>#N/A</v>
      </c>
      <c r="DB653" s="4" t="e">
        <f t="shared" ref="DB653" ca="1" si="12134">MATCH(1,OFFSET(DA647:DA658,DC652,0,COUNT(DA647:DA658)-DC652),0)</f>
        <v>#REF!</v>
      </c>
      <c r="DC653" s="4" t="e">
        <f t="shared" ca="1" si="12042"/>
        <v>#REF!</v>
      </c>
      <c r="DD653" s="693" t="str">
        <f ca="1">IF(LEFT($J647,7)="Clad Wo",IFERROR(VLOOKUP(INDEX(CZ647:CZ658,DC653),SPPWS,2,FALSE),"----"),IFERROR(VLOOKUP(INDEX(CZ647:CZ658,DC653),SPM,2,FALSE),"----"))</f>
        <v>----</v>
      </c>
      <c r="DE653" s="691" t="e">
        <f t="shared" ca="1" si="12043"/>
        <v>#REF!</v>
      </c>
      <c r="DF653" s="4" t="e" cm="1">
        <f t="array" aca="1" ref="DF653" ca="1">IF(AND(INDEX(INDIRECT(BY647),DE653,4)&gt;=$AB653,INDEX(INDIRECT(BY647),DE653,5)&gt;=$S647,INDEX(INDIRECT(BY647),DE653,6)&gt;=$R647),1,0)</f>
        <v>#REF!</v>
      </c>
      <c r="DG653" s="4" t="e">
        <f t="shared" ref="DG653" ca="1" si="12135">MATCH(1,OFFSET(DF647:DF658,DH652,0,COUNT(DF647:DF658)-DH652),0)</f>
        <v>#REF!</v>
      </c>
      <c r="DH653" s="4" t="e">
        <f t="shared" ca="1" si="12045"/>
        <v>#REF!</v>
      </c>
      <c r="DI653" s="692" t="str" cm="1">
        <f t="array" aca="1" ref="DI653" ca="1">IFERROR(VLOOKUP(INDEX(DE647:DE658,DH653),INDIRECT(BY647),2,FALSE),"----")</f>
        <v>----</v>
      </c>
      <c r="DJ653" s="691" t="e">
        <f t="shared" ca="1" si="12046"/>
        <v>#N/A</v>
      </c>
      <c r="DK653" s="4" t="e">
        <f ca="1">IF(AND(INDEX(SSM,DJ653,4)&gt;=$AB653,INDEX(SSM,DJ653,5)&gt;=$S647,INDEX(SSM,DJ653,6)&gt;=$R647),1,0)</f>
        <v>#N/A</v>
      </c>
      <c r="DL653" s="4" t="e">
        <f t="shared" ref="DL653" ca="1" si="12136">MATCH(1,OFFSET(DK647:DK658,DM652,0,COUNT(DK647:DK658)-DM652),0)</f>
        <v>#REF!</v>
      </c>
      <c r="DM653" s="4" t="e">
        <f t="shared" ca="1" si="12048"/>
        <v>#REF!</v>
      </c>
      <c r="DN653" s="692" t="str">
        <f ca="1">IFERROR(IF(AD654="Nested Steel Stud (wood infill)",VLOOKUP(INDEX(DJ647:DJ658,DM653),SSW,2,FALSE),VLOOKUP(INDEX(DJ647:DJ658,DM653),SSM,2,FALSE)),"----")</f>
        <v>----</v>
      </c>
      <c r="DO653" s="691" t="e">
        <f t="shared" ca="1" si="12049"/>
        <v>#N/A</v>
      </c>
      <c r="DP653" s="4" t="e">
        <f ca="1">IF(AND(INDEX(WSM,DO653,4)&gt;=$AB653,INDEX(WSM,DO653,5)&gt;=$S647,INDEX(WSM,DO653,6)&gt;=$R647),1,0)</f>
        <v>#N/A</v>
      </c>
      <c r="DQ653" s="4" t="e">
        <f t="shared" ref="DQ653" ca="1" si="12137">MATCH(1,OFFSET(DP647:DP658,DR652,0,COUNT(DP647:DP658)-DR652),0)</f>
        <v>#REF!</v>
      </c>
      <c r="DR653" s="4" t="e">
        <f t="shared" ca="1" si="12051"/>
        <v>#REF!</v>
      </c>
      <c r="DS653" s="692" t="str">
        <f ca="1">IFERROR(VLOOKUP(INDEX(DO647:DO658,DR653),WSM,2,FALSE),"----")</f>
        <v>----</v>
      </c>
      <c r="DT653" s="691" t="e">
        <f t="shared" ca="1" si="12052"/>
        <v>#N/A</v>
      </c>
      <c r="DU653" s="4" t="e">
        <f ca="1">IF(AND(INDEX(STM,DT653,4)&gt;=$AB653,INDEX(STM,DT653,5)&gt;=$S647,INDEX(STM,DT653,6)&gt;=$R647),1,0)</f>
        <v>#N/A</v>
      </c>
      <c r="DV653" s="4" t="e">
        <f t="shared" ref="DV653" ca="1" si="12138">MATCH(1,OFFSET(DU647:DU658,DW652,0,COUNT(DU647:DU658)-DW652),0)</f>
        <v>#REF!</v>
      </c>
      <c r="DW653" s="4" t="e">
        <f t="shared" ca="1" si="12054"/>
        <v>#REF!</v>
      </c>
      <c r="DX653" s="692" t="str">
        <f ca="1">IFERROR(VLOOKUP(INDEX(DT647:DT658,DW653),STM,2,FALSE),"----")</f>
        <v>----</v>
      </c>
      <c r="DY653" s="691" t="e">
        <f t="shared" ca="1" si="12055"/>
        <v>#N/A</v>
      </c>
      <c r="DZ653" s="4" t="e">
        <f ca="1">IF(AND(INDEX(ELM,DY653,4)&gt;=$AB653,INDEX(ELM,DY653,5)&gt;=$S647,INDEX(ELM,DY653,6)&gt;=$R647),1,0)</f>
        <v>#N/A</v>
      </c>
      <c r="EA653" s="4" t="e">
        <f t="shared" ref="EA653" ca="1" si="12139">MATCH(1,OFFSET(DZ647:DZ658,EB652,0,COUNT(DZ647:DZ658)-EB652),0)</f>
        <v>#REF!</v>
      </c>
      <c r="EB653" s="4" t="e">
        <f t="shared" ca="1" si="12057"/>
        <v>#REF!</v>
      </c>
      <c r="EC653" s="692" t="str">
        <f ca="1">IFERROR(VLOOKUP(INDEX(DY647:DY658,EB653),ELM,2,FALSE),"----")</f>
        <v>----</v>
      </c>
      <c r="ED653" s="691" t="e">
        <f t="shared" ca="1" si="12058"/>
        <v>#N/A</v>
      </c>
      <c r="EE653" s="4" t="e">
        <f ca="1">IF(LEFT($J647,7)="Clad Wo",IF(AND(INDEX(SPPWS,ED653,4)&gt;=$AB653,INDEX(SPPWS,ED653,5)&gt;=$S647,INDEX(SPPWS,ED653,6)&gt;=$R647),1,0),IF(AND(INDEX(SPM,ED653,4)&gt;=$AB653,INDEX(SPM,ED653,5)&gt;=$S647,INDEX(SPM,ED653,6)&gt;=$R647),1,0))</f>
        <v>#N/A</v>
      </c>
      <c r="EF653" s="4" t="e">
        <f t="shared" ref="EF653" ca="1" si="12140">MATCH(1,OFFSET(EE647:EE658,EG652,0,COUNT(EE647:EE658)-EG652),0)</f>
        <v>#REF!</v>
      </c>
      <c r="EG653" s="4" t="e">
        <f t="shared" ca="1" si="12060"/>
        <v>#REF!</v>
      </c>
      <c r="EH653" s="692" t="str">
        <f ca="1">IF(LEFT($J647,7)="Clad Wo",IFERROR(VLOOKUP(INDEX(ED647:ED658,EG653),SPPWS,2,FALSE),"----"),IFERROR(VLOOKUP(INDEX(ED647:ED658,EG653),SPM,2,FALSE),"----"))</f>
        <v>----</v>
      </c>
    </row>
    <row r="654" spans="1:138" ht="15" customHeight="1" x14ac:dyDescent="0.25">
      <c r="A654" s="1085"/>
      <c r="B654" s="925"/>
      <c r="C654" s="926"/>
      <c r="D654" s="927"/>
      <c r="E654" s="995"/>
      <c r="F654" s="996"/>
      <c r="G654" s="997"/>
      <c r="H654" s="1062"/>
      <c r="I654" s="990"/>
      <c r="J654" s="912"/>
      <c r="K654" s="913"/>
      <c r="L654" s="1002"/>
      <c r="M654" s="923"/>
      <c r="N654" s="1042"/>
      <c r="O654" s="1018"/>
      <c r="P654" s="987"/>
      <c r="Q654" s="1015"/>
      <c r="R654" s="1012"/>
      <c r="S654" s="1006"/>
      <c r="T654" s="1007"/>
      <c r="U654" s="878"/>
      <c r="V654" s="881"/>
      <c r="W654" s="884"/>
      <c r="X654" s="884"/>
      <c r="Y654" s="887"/>
      <c r="Z654" s="887"/>
      <c r="AA654" s="887"/>
      <c r="AB654" s="1081"/>
      <c r="AC654" s="1078"/>
      <c r="AD654" s="1070" t="str">
        <f t="shared" ref="AD654" si="12141">IF(ISBLANK(AD648)=TRUE,"",AD648)</f>
        <v>Nested Steel Stud</v>
      </c>
      <c r="AE654" s="1071"/>
      <c r="AF654" s="1052"/>
      <c r="AG654" s="1053"/>
      <c r="AH654" s="1053"/>
      <c r="AI654" s="1066"/>
      <c r="AJ654" s="1067"/>
      <c r="AK654" s="156" t="str">
        <f t="shared" ca="1" si="11298"/>
        <v/>
      </c>
      <c r="AL654" s="1059"/>
      <c r="AM654" s="343" t="str">
        <f ca="1">IFERROR(Q647/12*ROUND(VLOOKUP(AF654,OFFSET(SSM,0,1),6,FALSE),2),"")</f>
        <v/>
      </c>
      <c r="AN654" t="str">
        <f t="shared" ca="1" si="11348"/>
        <v/>
      </c>
      <c r="AP654" s="122" t="str">
        <f t="shared" ref="AP654" si="12142">_xlfn.CONCAT(AR654,AS658)</f>
        <v/>
      </c>
      <c r="AQ654" s="683" t="str">
        <f t="shared" si="11512"/>
        <v/>
      </c>
      <c r="AR654" s="96" t="str">
        <f t="shared" si="11273"/>
        <v/>
      </c>
      <c r="AS654" s="96" t="str">
        <f>IF(COUNTIF(Vista_1,AF653)=1,"Vista_1",IF(COUNTIF(Vista_2,AF653)=1,"Vista_2",""))</f>
        <v/>
      </c>
      <c r="AT654" s="684" t="str">
        <f>AL653</f>
        <v/>
      </c>
      <c r="AU654" s="694" t="e">
        <f t="shared" ca="1" si="11538"/>
        <v>#REF!</v>
      </c>
      <c r="AV654" s="686" t="str">
        <f ca="1">IFERROR(VLOOKUP(AU654,INDIRECT(AQ647),2,FALSE),"----")</f>
        <v>----</v>
      </c>
      <c r="AW654" s="694" t="e">
        <f t="shared" ca="1" si="11539"/>
        <v>#REF!</v>
      </c>
      <c r="AX654" s="686" t="str">
        <f ca="1">IFERROR(VLOOKUP(AW654,INDIRECT(AQ648),2,FALSE),"----")</f>
        <v>----</v>
      </c>
      <c r="AY654" s="694" t="e">
        <f t="shared" ca="1" si="12106"/>
        <v>#REF!</v>
      </c>
      <c r="AZ654" s="686" t="str">
        <f ca="1">IFERROR(VLOOKUP(AY654,INDIRECT(AQ649),2,FALSE),"----")</f>
        <v>----</v>
      </c>
      <c r="BA654" s="694" t="e">
        <f t="shared" ca="1" si="12107"/>
        <v>#REF!</v>
      </c>
      <c r="BB654" s="686" t="str">
        <f ca="1">IFERROR(VLOOKUP(BA654,INDIRECT(AQ650),2,FALSE),"----")</f>
        <v>----</v>
      </c>
      <c r="BC654" s="694" t="e">
        <f t="shared" ca="1" si="11542"/>
        <v>#REF!</v>
      </c>
      <c r="BD654" s="686" t="str">
        <f ca="1">IFERROR(VLOOKUP(BC654,INDIRECT(AQ651),2,FALSE),"----")</f>
        <v>----</v>
      </c>
      <c r="BE654" s="694" t="e">
        <f t="shared" ca="1" si="11543"/>
        <v>#REF!</v>
      </c>
      <c r="BF654" s="686" t="str">
        <f ca="1">IFERROR(VLOOKUP(BE654,INDIRECT(AQ652),2,FALSE),"----")</f>
        <v>----</v>
      </c>
      <c r="BG654" s="702" t="e">
        <f t="shared" ca="1" si="11544"/>
        <v>#REF!</v>
      </c>
      <c r="BH654" s="686" t="str">
        <f ca="1">IFERROR(VLOOKUP(BG654,INDIRECT(AQ653),2,FALSE),"----")</f>
        <v>----</v>
      </c>
      <c r="BI654" s="702" t="e">
        <f t="shared" ca="1" si="11545"/>
        <v>#REF!</v>
      </c>
      <c r="BJ654" s="686" t="str">
        <f ca="1">IFERROR(VLOOKUP(BI654,INDIRECT(AQ654),2,FALSE),"----")</f>
        <v>----</v>
      </c>
      <c r="BK654" s="702" t="e">
        <f t="shared" ca="1" si="11546"/>
        <v>#REF!</v>
      </c>
      <c r="BL654" s="686" t="str">
        <f ca="1">IFERROR(VLOOKUP(BK654,INDIRECT(AQ655),2,FALSE),"----")</f>
        <v>----</v>
      </c>
      <c r="BM654" s="702" t="e">
        <f t="shared" ca="1" si="11547"/>
        <v>#REF!</v>
      </c>
      <c r="BN654" s="686" t="str">
        <f ca="1">IFERROR(VLOOKUP(BM654,INDIRECT(AQ656),2,FALSE),"----")</f>
        <v>----</v>
      </c>
      <c r="BO654" s="702" t="e">
        <f t="shared" ca="1" si="11548"/>
        <v>#REF!</v>
      </c>
      <c r="BP654" s="686" t="str">
        <f ca="1">IFERROR(VLOOKUP(BO654,INDIRECT(AQ657),2,FALSE),"----")</f>
        <v>----</v>
      </c>
      <c r="BQ654" s="702" t="e">
        <f t="shared" ca="1" si="11549"/>
        <v>#REF!</v>
      </c>
      <c r="BR654" s="686" t="str">
        <f ca="1">IFERROR(VLOOKUP(BQ654,INDIRECT(AQ658),2,FALSE),"----")</f>
        <v>----</v>
      </c>
      <c r="BS654" s="695">
        <f>IF(AI654="",1,IF(COUNTIF(BJ647:BJ658,AI654)=0,2,1))</f>
        <v>1</v>
      </c>
      <c r="BT654" s="696">
        <f>IF(AF654="",1,IF(BJ647=".",2,1))</f>
        <v>1</v>
      </c>
      <c r="BU654" s="706"/>
      <c r="BV654" s="155">
        <f ca="1">IF(COUNTIF(DN647:DN658,AF654)=0,IF(AF654&lt;&gt;"",0,1),1)</f>
        <v>1</v>
      </c>
      <c r="BW654" s="157">
        <f ca="1">IFERROR(MATCH(AF654,DN647:DN658,0),1)</f>
        <v>1</v>
      </c>
      <c r="BX654" s="769">
        <f t="shared" ref="BX654" si="12143">E647*(H647+I647)/144/2</f>
        <v>0</v>
      </c>
      <c r="BY654" s="769">
        <f>SUM(IF(H647&gt;E647,E647^2/4,(H647*E647/2)-(H647^2/4))/144,IF(I647&gt;E647,E647^2/4,(I647*E647/2)-(I647^2/4))/144)</f>
        <v>0</v>
      </c>
      <c r="BZ654" s="1110"/>
      <c r="CA654" s="691" t="e">
        <f t="shared" ca="1" si="12025"/>
        <v>#REF!</v>
      </c>
      <c r="CB654" s="4" t="e" cm="1">
        <f t="array" aca="1" ref="CB654" ca="1">IF(AND(INDEX(INDIRECT(BY647),CA654,4)&gt;=$AB647,INDEX(INDIRECT(BY647),CA654,5)&gt;=$S647,INDEX(INDIRECT(BY647),CA654,6)&gt;=$R647),1,0)</f>
        <v>#REF!</v>
      </c>
      <c r="CC654" s="4" t="e">
        <f t="shared" ref="CC654" ca="1" si="12144">MATCH(1,OFFSET(CB647:CB658,CD653,0,COUNT(CB647:CB658)-CD653),0)</f>
        <v>#REF!</v>
      </c>
      <c r="CD654" s="4" t="e">
        <f t="shared" ca="1" si="12027"/>
        <v>#REF!</v>
      </c>
      <c r="CE654" s="692" t="str" cm="1">
        <f t="array" aca="1" ref="CE654" ca="1">IFERROR(VLOOKUP(INDEX(CA647:CA658,CD654),INDIRECT(BY647),2,FALSE),"----")</f>
        <v>----</v>
      </c>
      <c r="CF654" s="691" t="e">
        <f t="shared" ca="1" si="12028"/>
        <v>#N/A</v>
      </c>
      <c r="CG654" s="4" t="e">
        <f ca="1">IF(AND(INDEX(SSM,CF654,4)&gt;=$AB647,INDEX(SSM,CF654,5)&gt;=$S647,INDEX(SSM,CF654,6)&gt;=$R647),1,0)</f>
        <v>#N/A</v>
      </c>
      <c r="CH654" s="4" t="e">
        <f t="shared" ref="CH654" ca="1" si="12145">MATCH(1,OFFSET(CG647:CG658,CI653,0,COUNT(CG647:CG658)-CI653),0)</f>
        <v>#REF!</v>
      </c>
      <c r="CI654" s="4" t="e">
        <f t="shared" ca="1" si="12030"/>
        <v>#REF!</v>
      </c>
      <c r="CJ654" s="692" t="str">
        <f ca="1">IFERROR(IF(AD648="Nested Steel Stud (wood infill)",VLOOKUP(INDEX(CF647:CF658,CI654),SSW,2,FALSE),VLOOKUP(INDEX(CF647:CF658,CI654),SSM,2,FALSE)),"----")</f>
        <v>----</v>
      </c>
      <c r="CK654" s="691" t="e">
        <f t="shared" ca="1" si="12031"/>
        <v>#N/A</v>
      </c>
      <c r="CL654" s="4" t="e">
        <f ca="1">IF(AND(INDEX(WSM,CK654,4)&gt;=$AB647,INDEX(WSM,CK654,5)&gt;=$S647,INDEX(WSM,CK654,6)&gt;=$R647),1,0)</f>
        <v>#N/A</v>
      </c>
      <c r="CM654" s="4" t="e">
        <f t="shared" ref="CM654" ca="1" si="12146">MATCH(1,OFFSET(CL647:CL658,CN653,0,COUNT(CL647:CL658)-CN653),0)</f>
        <v>#REF!</v>
      </c>
      <c r="CN654" s="4" t="e">
        <f t="shared" ca="1" si="12033"/>
        <v>#REF!</v>
      </c>
      <c r="CO654" s="692" t="str">
        <f ca="1">IFERROR(VLOOKUP(INDEX(CK647:CK658,CN654),WSM,2,FALSE),"----")</f>
        <v>----</v>
      </c>
      <c r="CP654" s="691" t="e">
        <f t="shared" ca="1" si="12034"/>
        <v>#N/A</v>
      </c>
      <c r="CQ654" s="4" t="e">
        <f ca="1">IF(AND(INDEX(STM,CP654,4)&gt;=$AB647,INDEX(STM,CP654,5)&gt;=$S647,INDEX(STM,CP654,6)&gt;=$R647),1,0)</f>
        <v>#N/A</v>
      </c>
      <c r="CR654" s="4" t="e">
        <f t="shared" ref="CR654" ca="1" si="12147">MATCH(1,OFFSET(CQ647:CQ658,CS653,0,COUNT(CQ647:CQ658)-CS653),0)</f>
        <v>#REF!</v>
      </c>
      <c r="CS654" s="4" t="e">
        <f t="shared" ca="1" si="12036"/>
        <v>#REF!</v>
      </c>
      <c r="CT654" s="692" t="str">
        <f ca="1">IFERROR(VLOOKUP(INDEX(CP647:CP658,CS654),STM,2,FALSE),"----")</f>
        <v>----</v>
      </c>
      <c r="CU654" s="691" t="e">
        <f t="shared" ca="1" si="12037"/>
        <v>#N/A</v>
      </c>
      <c r="CV654" s="4" t="e">
        <f ca="1">IF(AND(INDEX(ELM,CU654,4)&gt;=$AB647,INDEX(ELM,CU654,5)&gt;=$S647,INDEX(ELM,CU654,6)&gt;=$R647),1,0)</f>
        <v>#N/A</v>
      </c>
      <c r="CW654" s="4" t="e">
        <f t="shared" ref="CW654" ca="1" si="12148">MATCH(1,OFFSET(CV647:CV658,CX653,0,COUNT(CV647:CV658)-CX653),0)</f>
        <v>#REF!</v>
      </c>
      <c r="CX654" s="4" t="e">
        <f t="shared" ca="1" si="12039"/>
        <v>#REF!</v>
      </c>
      <c r="CY654" s="692" t="str">
        <f ca="1">IFERROR(VLOOKUP(INDEX(CU647:CU658,CX654),ELM,2,FALSE),"----")</f>
        <v>----</v>
      </c>
      <c r="CZ654" s="691" t="e">
        <f t="shared" ca="1" si="12040"/>
        <v>#N/A</v>
      </c>
      <c r="DA654" s="4" t="e">
        <f ca="1">IF(LEFT($J647,7)="Clad Wo",IF(AND(INDEX(SPPWS,CZ654,4)&gt;=$AB647,INDEX(SPPWS,CZ654,5)&gt;=$S647,INDEX(SPPWS,CZ654,6)&gt;=$R647),1,0),IF(AND(INDEX(SPM,CZ654,4)&gt;=$AB647,INDEX(SPM,CZ654,5)&gt;=$S647,INDEX(SPM,CZ654,6)&gt;=$R647),1,0))</f>
        <v>#N/A</v>
      </c>
      <c r="DB654" s="4" t="e">
        <f t="shared" ref="DB654" ca="1" si="12149">MATCH(1,OFFSET(DA647:DA658,DC653,0,COUNT(DA647:DA658)-DC653),0)</f>
        <v>#REF!</v>
      </c>
      <c r="DC654" s="4" t="e">
        <f t="shared" ca="1" si="12042"/>
        <v>#REF!</v>
      </c>
      <c r="DD654" s="693" t="str">
        <f ca="1">IF(LEFT($J647,7)="Clad Wo",IFERROR(VLOOKUP(INDEX(CZ647:CZ658,DC654),SPPWS,2,FALSE),"----"),IFERROR(VLOOKUP(INDEX(CZ647:CZ658,DC654),SPM,2,FALSE),"----"))</f>
        <v>----</v>
      </c>
      <c r="DE654" s="691" t="e">
        <f t="shared" ca="1" si="12043"/>
        <v>#REF!</v>
      </c>
      <c r="DF654" s="4" t="e" cm="1">
        <f t="array" aca="1" ref="DF654" ca="1">IF(AND(INDEX(INDIRECT(BY647),DE654,4)&gt;=$AB653,INDEX(INDIRECT(BY647),DE654,5)&gt;=$S647,INDEX(INDIRECT(BY647),DE654,6)&gt;=$R647),1,0)</f>
        <v>#REF!</v>
      </c>
      <c r="DG654" s="4" t="e">
        <f t="shared" ref="DG654" ca="1" si="12150">MATCH(1,OFFSET(DF647:DF658,DH653,0,COUNT(DF647:DF658)-DH653),0)</f>
        <v>#REF!</v>
      </c>
      <c r="DH654" s="4" t="e">
        <f t="shared" ca="1" si="12045"/>
        <v>#REF!</v>
      </c>
      <c r="DI654" s="692" t="str" cm="1">
        <f t="array" aca="1" ref="DI654" ca="1">IFERROR(VLOOKUP(INDEX(DE647:DE658,DH654),INDIRECT(BY647),2,FALSE),"----")</f>
        <v>----</v>
      </c>
      <c r="DJ654" s="691" t="e">
        <f t="shared" ca="1" si="12046"/>
        <v>#N/A</v>
      </c>
      <c r="DK654" s="4" t="e">
        <f ca="1">IF(AND(INDEX(SSM,DJ654,4)&gt;=$AB653,INDEX(SSM,DJ654,5)&gt;=$S647,INDEX(SSM,DJ654,6)&gt;=$R647),1,0)</f>
        <v>#N/A</v>
      </c>
      <c r="DL654" s="4" t="e">
        <f t="shared" ref="DL654" ca="1" si="12151">MATCH(1,OFFSET(DK647:DK658,DM653,0,COUNT(DK647:DK658)-DM653),0)</f>
        <v>#REF!</v>
      </c>
      <c r="DM654" s="4" t="e">
        <f t="shared" ca="1" si="12048"/>
        <v>#REF!</v>
      </c>
      <c r="DN654" s="692" t="str">
        <f ca="1">IFERROR(IF(AD654="Nested Steel Stud (wood infill)",VLOOKUP(INDEX(DJ647:DJ658,DM654),SSW,2,FALSE),VLOOKUP(INDEX(DJ647:DJ658,DM654),SSM,2,FALSE)),"----")</f>
        <v>----</v>
      </c>
      <c r="DO654" s="691" t="e">
        <f t="shared" ca="1" si="12049"/>
        <v>#N/A</v>
      </c>
      <c r="DP654" s="4" t="e">
        <f ca="1">IF(AND(INDEX(WSM,DO654,4)&gt;=$AB653,INDEX(WSM,DO654,5)&gt;=$S647,INDEX(WSM,DO654,6)&gt;=$R647),1,0)</f>
        <v>#N/A</v>
      </c>
      <c r="DQ654" s="4" t="e">
        <f t="shared" ref="DQ654" ca="1" si="12152">MATCH(1,OFFSET(DP647:DP658,DR653,0,COUNT(DP647:DP658)-DR653),0)</f>
        <v>#REF!</v>
      </c>
      <c r="DR654" s="4" t="e">
        <f t="shared" ca="1" si="12051"/>
        <v>#REF!</v>
      </c>
      <c r="DS654" s="692" t="str">
        <f ca="1">IFERROR(VLOOKUP(INDEX(DO647:DO658,DR654),WSM,2,FALSE),"----")</f>
        <v>----</v>
      </c>
      <c r="DT654" s="691" t="e">
        <f t="shared" ca="1" si="12052"/>
        <v>#N/A</v>
      </c>
      <c r="DU654" s="4" t="e">
        <f ca="1">IF(AND(INDEX(STM,DT654,4)&gt;=$AB653,INDEX(STM,DT654,5)&gt;=$S647,INDEX(STM,DT654,6)&gt;=$R647),1,0)</f>
        <v>#N/A</v>
      </c>
      <c r="DV654" s="4" t="e">
        <f t="shared" ref="DV654" ca="1" si="12153">MATCH(1,OFFSET(DU647:DU658,DW653,0,COUNT(DU647:DU658)-DW653),0)</f>
        <v>#REF!</v>
      </c>
      <c r="DW654" s="4" t="e">
        <f t="shared" ca="1" si="12054"/>
        <v>#REF!</v>
      </c>
      <c r="DX654" s="692" t="str">
        <f ca="1">IFERROR(VLOOKUP(INDEX(DT647:DT658,DW654),STM,2,FALSE),"----")</f>
        <v>----</v>
      </c>
      <c r="DY654" s="691" t="e">
        <f t="shared" ca="1" si="12055"/>
        <v>#N/A</v>
      </c>
      <c r="DZ654" s="4" t="e">
        <f ca="1">IF(AND(INDEX(ELM,DY654,4)&gt;=$AB653,INDEX(ELM,DY654,5)&gt;=$S647,INDEX(ELM,DY654,6)&gt;=$R647),1,0)</f>
        <v>#N/A</v>
      </c>
      <c r="EA654" s="4" t="e">
        <f t="shared" ref="EA654" ca="1" si="12154">MATCH(1,OFFSET(DZ647:DZ658,EB653,0,COUNT(DZ647:DZ658)-EB653),0)</f>
        <v>#REF!</v>
      </c>
      <c r="EB654" s="4" t="e">
        <f t="shared" ca="1" si="12057"/>
        <v>#REF!</v>
      </c>
      <c r="EC654" s="692" t="str">
        <f ca="1">IFERROR(VLOOKUP(INDEX(DY647:DY658,EB654),ELM,2,FALSE),"----")</f>
        <v>----</v>
      </c>
      <c r="ED654" s="691" t="e">
        <f t="shared" ca="1" si="12058"/>
        <v>#N/A</v>
      </c>
      <c r="EE654" s="4" t="e">
        <f ca="1">IF(LEFT($J647,7)="Clad Wo",IF(AND(INDEX(SPPWS,ED654,4)&gt;=$AB653,INDEX(SPPWS,ED654,5)&gt;=$S647,INDEX(SPPWS,ED654,6)&gt;=$R647),1,0),IF(AND(INDEX(SPM,ED654,4)&gt;=$AB653,INDEX(SPM,ED654,5)&gt;=$S647,INDEX(SPM,ED654,6)&gt;=$R647),1,0))</f>
        <v>#N/A</v>
      </c>
      <c r="EF654" s="4" t="e">
        <f t="shared" ref="EF654" ca="1" si="12155">MATCH(1,OFFSET(EE647:EE658,EG653,0,COUNT(EE647:EE658)-EG653),0)</f>
        <v>#REF!</v>
      </c>
      <c r="EG654" s="4" t="e">
        <f t="shared" ca="1" si="12060"/>
        <v>#REF!</v>
      </c>
      <c r="EH654" s="692" t="str">
        <f ca="1">IF(LEFT($J647,7)="Clad Wo",IFERROR(VLOOKUP(INDEX(ED647:ED658,EG654),SPPWS,2,FALSE),"----"),IFERROR(VLOOKUP(INDEX(ED647:ED658,EG654),SPM,2,FALSE),"----"))</f>
        <v>----</v>
      </c>
    </row>
    <row r="655" spans="1:138" ht="15" customHeight="1" x14ac:dyDescent="0.25">
      <c r="A655" s="1085"/>
      <c r="B655" s="925"/>
      <c r="C655" s="926"/>
      <c r="D655" s="927"/>
      <c r="E655" s="995"/>
      <c r="F655" s="996"/>
      <c r="G655" s="997"/>
      <c r="H655" s="1062"/>
      <c r="I655" s="990"/>
      <c r="J655" s="902"/>
      <c r="K655" s="903"/>
      <c r="L655" s="1002"/>
      <c r="M655" s="923"/>
      <c r="N655" s="1042"/>
      <c r="O655" s="1018"/>
      <c r="P655" s="987"/>
      <c r="Q655" s="1015"/>
      <c r="R655" s="1012"/>
      <c r="S655" s="1006"/>
      <c r="T655" s="1007"/>
      <c r="U655" s="878"/>
      <c r="V655" s="881"/>
      <c r="W655" s="884"/>
      <c r="X655" s="884"/>
      <c r="Y655" s="887"/>
      <c r="Z655" s="887"/>
      <c r="AA655" s="887"/>
      <c r="AB655" s="1081"/>
      <c r="AC655" s="1078"/>
      <c r="AD655" s="1070" t="str">
        <f t="shared" si="11681"/>
        <v>Wood Stud Framing</v>
      </c>
      <c r="AE655" s="1071"/>
      <c r="AF655" s="1052"/>
      <c r="AG655" s="1053"/>
      <c r="AH655" s="1053"/>
      <c r="AI655" s="1066"/>
      <c r="AJ655" s="1067"/>
      <c r="AK655" s="156" t="str">
        <f t="shared" ca="1" si="11298"/>
        <v/>
      </c>
      <c r="AL655" s="1059"/>
      <c r="AM655" s="344" t="str">
        <f ca="1">IFERROR(Q647/12*ROUND(VLOOKUP(AF655,OFFSET(WSM,0,1),6,FALSE),2),"")</f>
        <v/>
      </c>
      <c r="AN655" t="str">
        <f t="shared" ca="1" si="11348"/>
        <v/>
      </c>
      <c r="AP655" s="122" t="str">
        <f t="shared" ref="AP655" si="12156">_xlfn.CONCAT(AR655,AS658)</f>
        <v/>
      </c>
      <c r="AQ655" s="683" t="str">
        <f t="shared" si="11512"/>
        <v/>
      </c>
      <c r="AR655" s="4" t="str">
        <f t="shared" si="11273"/>
        <v/>
      </c>
      <c r="AS655" s="4"/>
      <c r="AT655" s="697" t="str">
        <f>AL653</f>
        <v/>
      </c>
      <c r="AU655" s="694" t="e">
        <f t="shared" ca="1" si="11538"/>
        <v>#REF!</v>
      </c>
      <c r="AV655" s="686" t="str">
        <f ca="1">IFERROR(VLOOKUP(AU655,INDIRECT(AQ647),2,FALSE),"----")</f>
        <v>----</v>
      </c>
      <c r="AW655" s="694" t="e">
        <f t="shared" ca="1" si="11539"/>
        <v>#REF!</v>
      </c>
      <c r="AX655" s="686" t="str">
        <f ca="1">IFERROR(VLOOKUP(AW655,INDIRECT(AQ648),2,FALSE),"----")</f>
        <v>----</v>
      </c>
      <c r="AY655" s="694" t="e">
        <f t="shared" ca="1" si="12106"/>
        <v>#REF!</v>
      </c>
      <c r="AZ655" s="686" t="str">
        <f ca="1">IFERROR(VLOOKUP(AY655,INDIRECT(AQ649),2,FALSE),"----")</f>
        <v>----</v>
      </c>
      <c r="BA655" s="694" t="e">
        <f t="shared" ca="1" si="12107"/>
        <v>#REF!</v>
      </c>
      <c r="BB655" s="686" t="str">
        <f ca="1">IFERROR(VLOOKUP(BA655,INDIRECT(AQ650),2,FALSE),"----")</f>
        <v>----</v>
      </c>
      <c r="BC655" s="694" t="e">
        <f t="shared" ca="1" si="11542"/>
        <v>#REF!</v>
      </c>
      <c r="BD655" s="686" t="str">
        <f ca="1">IFERROR(VLOOKUP(BC655,INDIRECT(AQ651),2,FALSE),"----")</f>
        <v>----</v>
      </c>
      <c r="BE655" s="694" t="e">
        <f t="shared" ca="1" si="11543"/>
        <v>#REF!</v>
      </c>
      <c r="BF655" s="686" t="str">
        <f ca="1">IFERROR(VLOOKUP(BE655,INDIRECT(AQ652),2,FALSE),"----")</f>
        <v>----</v>
      </c>
      <c r="BG655" s="702" t="e">
        <f t="shared" ca="1" si="11544"/>
        <v>#REF!</v>
      </c>
      <c r="BH655" s="686" t="str">
        <f ca="1">IFERROR(VLOOKUP(BG655,INDIRECT(AQ653),2,FALSE),"----")</f>
        <v>----</v>
      </c>
      <c r="BI655" s="702" t="e">
        <f t="shared" ca="1" si="11545"/>
        <v>#REF!</v>
      </c>
      <c r="BJ655" s="686" t="str">
        <f ca="1">IFERROR(VLOOKUP(BI655,INDIRECT(AQ654),2,FALSE),"----")</f>
        <v>----</v>
      </c>
      <c r="BK655" s="702" t="e">
        <f t="shared" ca="1" si="11546"/>
        <v>#REF!</v>
      </c>
      <c r="BL655" s="686" t="str">
        <f ca="1">IFERROR(VLOOKUP(BK655,INDIRECT(AQ655),2,FALSE),"----")</f>
        <v>----</v>
      </c>
      <c r="BM655" s="702" t="e">
        <f t="shared" ca="1" si="11547"/>
        <v>#REF!</v>
      </c>
      <c r="BN655" s="686" t="str">
        <f ca="1">IFERROR(VLOOKUP(BM655,INDIRECT(AQ656),2,FALSE),"----")</f>
        <v>----</v>
      </c>
      <c r="BO655" s="702" t="e">
        <f t="shared" ca="1" si="11548"/>
        <v>#REF!</v>
      </c>
      <c r="BP655" s="686" t="str">
        <f ca="1">IFERROR(VLOOKUP(BO655,INDIRECT(AQ657),2,FALSE),"----")</f>
        <v>----</v>
      </c>
      <c r="BQ655" s="702" t="e">
        <f t="shared" ca="1" si="11549"/>
        <v>#REF!</v>
      </c>
      <c r="BR655" s="686" t="str">
        <f ca="1">IFERROR(VLOOKUP(BQ655,INDIRECT(AQ658),2,FALSE),"----")</f>
        <v>----</v>
      </c>
      <c r="BS655" s="695">
        <f>IF(AI655="",1,IF(COUNTIF(BL647:BL658,AI655)=0,2,1))</f>
        <v>1</v>
      </c>
      <c r="BT655" s="696">
        <f>IF(AF655="",1,IF(BL647=".",2,1))</f>
        <v>1</v>
      </c>
      <c r="BU655" s="706"/>
      <c r="BV655" s="155">
        <f ca="1">IF(COUNTIF(DS647:DS658,AF655)=0,IF(AF655&lt;&gt;"",0,1),1)</f>
        <v>1</v>
      </c>
      <c r="BW655" s="157">
        <f ca="1">IFERROR(MATCH(AF655,DS647:DS658,0),1)</f>
        <v>1</v>
      </c>
      <c r="BX655" s="769" t="e">
        <f t="shared" ref="BX655" si="12157">5*E647^3*W647/(384*X647)</f>
        <v>#VALUE!</v>
      </c>
      <c r="BY655" s="769" t="e">
        <f t="shared" ref="BY655" si="12158">W647*E647^3/(60*X647)</f>
        <v>#VALUE!</v>
      </c>
      <c r="BZ655" s="1110"/>
      <c r="CA655" s="691" t="e">
        <f t="shared" ca="1" si="12025"/>
        <v>#REF!</v>
      </c>
      <c r="CB655" s="4" t="e" cm="1">
        <f t="array" aca="1" ref="CB655" ca="1">IF(AND(INDEX(INDIRECT(BY647),CA655,4)&gt;=$AB647,INDEX(INDIRECT(BY647),CA655,5)&gt;=$S647,INDEX(INDIRECT(BY647),CA655,6)&gt;=$R647),1,0)</f>
        <v>#REF!</v>
      </c>
      <c r="CC655" s="4" t="e">
        <f t="shared" ref="CC655" ca="1" si="12159">MATCH(1,OFFSET(CB647:CB658,CD654,0,COUNT(CB647:CB658)-CD654),0)</f>
        <v>#REF!</v>
      </c>
      <c r="CD655" s="4" t="e">
        <f t="shared" ca="1" si="12027"/>
        <v>#REF!</v>
      </c>
      <c r="CE655" s="692" t="str" cm="1">
        <f t="array" aca="1" ref="CE655" ca="1">IFERROR(VLOOKUP(INDEX(CA647:CA658,CD655),INDIRECT(BY647),2,FALSE),"----")</f>
        <v>----</v>
      </c>
      <c r="CF655" s="691" t="e">
        <f t="shared" ca="1" si="12028"/>
        <v>#N/A</v>
      </c>
      <c r="CG655" s="4" t="e">
        <f ca="1">IF(AND(INDEX(SSM,CF655,4)&gt;=$AB647,INDEX(SSM,CF655,5)&gt;=$S647,INDEX(SSM,CF655,6)&gt;=$R647),1,0)</f>
        <v>#N/A</v>
      </c>
      <c r="CH655" s="4" t="e">
        <f t="shared" ref="CH655" ca="1" si="12160">MATCH(1,OFFSET(CG647:CG658,CI654,0,COUNT(CG647:CG658)-CI654),0)</f>
        <v>#REF!</v>
      </c>
      <c r="CI655" s="4" t="e">
        <f t="shared" ca="1" si="12030"/>
        <v>#REF!</v>
      </c>
      <c r="CJ655" s="692" t="str">
        <f ca="1">IFERROR(IF(AD648="Nested Steel Stud (wood infill)",VLOOKUP(INDEX(CF647:CF658,CI655),SSW,2,FALSE),VLOOKUP(INDEX(CF647:CF658,CI655),SSM,2,FALSE)),"----")</f>
        <v>----</v>
      </c>
      <c r="CK655" s="691" t="e">
        <f t="shared" ca="1" si="12031"/>
        <v>#N/A</v>
      </c>
      <c r="CL655" s="4" t="e">
        <f ca="1">IF(AND(INDEX(WSM,CK655,4)&gt;=$AB647,INDEX(WSM,CK655,5)&gt;=$S647,INDEX(WSM,CK655,6)&gt;=$R647),1,0)</f>
        <v>#N/A</v>
      </c>
      <c r="CM655" s="4" t="e">
        <f t="shared" ref="CM655" ca="1" si="12161">MATCH(1,OFFSET(CL647:CL658,CN654,0,COUNT(CL647:CL658)-CN654),0)</f>
        <v>#REF!</v>
      </c>
      <c r="CN655" s="4" t="e">
        <f t="shared" ca="1" si="12033"/>
        <v>#REF!</v>
      </c>
      <c r="CO655" s="692" t="str">
        <f ca="1">IFERROR(VLOOKUP(INDEX(CK647:CK658,CN655),WSM,2,FALSE),"----")</f>
        <v>----</v>
      </c>
      <c r="CP655" s="691" t="e">
        <f t="shared" ca="1" si="12034"/>
        <v>#N/A</v>
      </c>
      <c r="CQ655" s="4" t="e">
        <f ca="1">IF(AND(INDEX(STM,CP655,4)&gt;=$AB647,INDEX(STM,CP655,5)&gt;=$S647,INDEX(STM,CP655,6)&gt;=$R647),1,0)</f>
        <v>#N/A</v>
      </c>
      <c r="CR655" s="4" t="e">
        <f t="shared" ref="CR655" ca="1" si="12162">MATCH(1,OFFSET(CQ647:CQ658,CS654,0,COUNT(CQ647:CQ658)-CS654),0)</f>
        <v>#REF!</v>
      </c>
      <c r="CS655" s="4" t="e">
        <f t="shared" ca="1" si="12036"/>
        <v>#REF!</v>
      </c>
      <c r="CT655" s="692" t="str">
        <f ca="1">IFERROR(VLOOKUP(INDEX(CP647:CP658,CS655),STM,2,FALSE),"----")</f>
        <v>----</v>
      </c>
      <c r="CU655" s="691" t="e">
        <f t="shared" ca="1" si="12037"/>
        <v>#N/A</v>
      </c>
      <c r="CV655" s="4" t="e">
        <f ca="1">IF(AND(INDEX(ELM,CU655,4)&gt;=$AB647,INDEX(ELM,CU655,5)&gt;=$S647,INDEX(ELM,CU655,6)&gt;=$R647),1,0)</f>
        <v>#N/A</v>
      </c>
      <c r="CW655" s="4" t="e">
        <f t="shared" ref="CW655" ca="1" si="12163">MATCH(1,OFFSET(CV647:CV658,CX654,0,COUNT(CV647:CV658)-CX654),0)</f>
        <v>#REF!</v>
      </c>
      <c r="CX655" s="4" t="e">
        <f t="shared" ca="1" si="12039"/>
        <v>#REF!</v>
      </c>
      <c r="CY655" s="692" t="str">
        <f ca="1">IFERROR(VLOOKUP(INDEX(CU647:CU658,CX655),ELM,2,FALSE),"----")</f>
        <v>----</v>
      </c>
      <c r="CZ655" s="691" t="e">
        <f t="shared" ca="1" si="12040"/>
        <v>#N/A</v>
      </c>
      <c r="DA655" s="4" t="e">
        <f ca="1">IF(LEFT($J647,7)="Clad Wo",IF(AND(INDEX(SPPWS,CZ655,4)&gt;=$AB647,INDEX(SPPWS,CZ655,5)&gt;=$S647,INDEX(SPPWS,CZ655,6)&gt;=$R647),1,0),IF(AND(INDEX(SPM,CZ655,4)&gt;=$AB647,INDEX(SPM,CZ655,5)&gt;=$S647,INDEX(SPM,CZ655,6)&gt;=$R647),1,0))</f>
        <v>#N/A</v>
      </c>
      <c r="DB655" s="4" t="e">
        <f t="shared" ref="DB655" ca="1" si="12164">MATCH(1,OFFSET(DA647:DA658,DC654,0,COUNT(DA647:DA658)-DC654),0)</f>
        <v>#REF!</v>
      </c>
      <c r="DC655" s="4" t="e">
        <f t="shared" ca="1" si="12042"/>
        <v>#REF!</v>
      </c>
      <c r="DD655" s="693" t="str">
        <f ca="1">IF(LEFT($J647,7)="Clad Wo",IFERROR(VLOOKUP(INDEX(CZ647:CZ658,DC655),SPPWS,2,FALSE),"----"),IFERROR(VLOOKUP(INDEX(CZ647:CZ658,DC655),SPM,2,FALSE),"----"))</f>
        <v>----</v>
      </c>
      <c r="DE655" s="691" t="e">
        <f t="shared" ca="1" si="12043"/>
        <v>#REF!</v>
      </c>
      <c r="DF655" s="4" t="e" cm="1">
        <f t="array" aca="1" ref="DF655" ca="1">IF(AND(INDEX(INDIRECT(BY647),DE655,4)&gt;=$AB653,INDEX(INDIRECT(BY647),DE655,5)&gt;=$S647,INDEX(INDIRECT(BY647),DE655,6)&gt;=$R647),1,0)</f>
        <v>#REF!</v>
      </c>
      <c r="DG655" s="4" t="e">
        <f t="shared" ref="DG655" ca="1" si="12165">MATCH(1,OFFSET(DF647:DF658,DH654,0,COUNT(DF647:DF658)-DH654),0)</f>
        <v>#REF!</v>
      </c>
      <c r="DH655" s="4" t="e">
        <f t="shared" ca="1" si="12045"/>
        <v>#REF!</v>
      </c>
      <c r="DI655" s="692" t="str" cm="1">
        <f t="array" aca="1" ref="DI655" ca="1">IFERROR(VLOOKUP(INDEX(DE647:DE658,DH655),INDIRECT(BY647),2,FALSE),"----")</f>
        <v>----</v>
      </c>
      <c r="DJ655" s="691" t="e">
        <f t="shared" ca="1" si="12046"/>
        <v>#N/A</v>
      </c>
      <c r="DK655" s="4" t="e">
        <f ca="1">IF(AND(INDEX(SSM,DJ655,4)&gt;=$AB653,INDEX(SSM,DJ655,5)&gt;=$S647,INDEX(SSM,DJ655,6)&gt;=$R647),1,0)</f>
        <v>#N/A</v>
      </c>
      <c r="DL655" s="4" t="e">
        <f t="shared" ref="DL655" ca="1" si="12166">MATCH(1,OFFSET(DK647:DK658,DM654,0,COUNT(DK647:DK658)-DM654),0)</f>
        <v>#REF!</v>
      </c>
      <c r="DM655" s="4" t="e">
        <f t="shared" ca="1" si="12048"/>
        <v>#REF!</v>
      </c>
      <c r="DN655" s="692" t="str">
        <f ca="1">IFERROR(IF(AD654="Nested Steel Stud (wood infill)",VLOOKUP(INDEX(DJ647:DJ658,DM655),SSW,2,FALSE),VLOOKUP(INDEX(DJ647:DJ658,DM655),SSM,2,FALSE)),"----")</f>
        <v>----</v>
      </c>
      <c r="DO655" s="691" t="e">
        <f t="shared" ca="1" si="12049"/>
        <v>#N/A</v>
      </c>
      <c r="DP655" s="4" t="e">
        <f ca="1">IF(AND(INDEX(WSM,DO655,4)&gt;=$AB653,INDEX(WSM,DO655,5)&gt;=$S647,INDEX(WSM,DO655,6)&gt;=$R647),1,0)</f>
        <v>#N/A</v>
      </c>
      <c r="DQ655" s="4" t="e">
        <f t="shared" ref="DQ655" ca="1" si="12167">MATCH(1,OFFSET(DP647:DP658,DR654,0,COUNT(DP647:DP658)-DR654),0)</f>
        <v>#REF!</v>
      </c>
      <c r="DR655" s="4" t="e">
        <f t="shared" ca="1" si="12051"/>
        <v>#REF!</v>
      </c>
      <c r="DS655" s="692" t="str">
        <f ca="1">IFERROR(VLOOKUP(INDEX(DO647:DO658,DR655),WSM,2,FALSE),"----")</f>
        <v>----</v>
      </c>
      <c r="DT655" s="691" t="e">
        <f t="shared" ca="1" si="12052"/>
        <v>#N/A</v>
      </c>
      <c r="DU655" s="4" t="e">
        <f ca="1">IF(AND(INDEX(STM,DT655,4)&gt;=$AB653,INDEX(STM,DT655,5)&gt;=$S647,INDEX(STM,DT655,6)&gt;=$R647),1,0)</f>
        <v>#N/A</v>
      </c>
      <c r="DV655" s="4" t="e">
        <f t="shared" ref="DV655" ca="1" si="12168">MATCH(1,OFFSET(DU647:DU658,DW654,0,COUNT(DU647:DU658)-DW654),0)</f>
        <v>#REF!</v>
      </c>
      <c r="DW655" s="4" t="e">
        <f t="shared" ca="1" si="12054"/>
        <v>#REF!</v>
      </c>
      <c r="DX655" s="692" t="str">
        <f ca="1">IFERROR(VLOOKUP(INDEX(DT647:DT658,DW655),STM,2,FALSE),"----")</f>
        <v>----</v>
      </c>
      <c r="DY655" s="691" t="e">
        <f t="shared" ca="1" si="12055"/>
        <v>#N/A</v>
      </c>
      <c r="DZ655" s="4" t="e">
        <f ca="1">IF(AND(INDEX(ELM,DY655,4)&gt;=$AB653,INDEX(ELM,DY655,5)&gt;=$S647,INDEX(ELM,DY655,6)&gt;=$R647),1,0)</f>
        <v>#N/A</v>
      </c>
      <c r="EA655" s="4" t="e">
        <f t="shared" ref="EA655" ca="1" si="12169">MATCH(1,OFFSET(DZ647:DZ658,EB654,0,COUNT(DZ647:DZ658)-EB654),0)</f>
        <v>#REF!</v>
      </c>
      <c r="EB655" s="4" t="e">
        <f t="shared" ca="1" si="12057"/>
        <v>#REF!</v>
      </c>
      <c r="EC655" s="692" t="str">
        <f ca="1">IFERROR(VLOOKUP(INDEX(DY647:DY658,EB655),ELM,2,FALSE),"----")</f>
        <v>----</v>
      </c>
      <c r="ED655" s="691" t="e">
        <f t="shared" ca="1" si="12058"/>
        <v>#N/A</v>
      </c>
      <c r="EE655" s="4" t="e">
        <f ca="1">IF(LEFT($J647,7)="Clad Wo",IF(AND(INDEX(SPPWS,ED655,4)&gt;=$AB653,INDEX(SPPWS,ED655,5)&gt;=$S647,INDEX(SPPWS,ED655,6)&gt;=$R647),1,0),IF(AND(INDEX(SPM,ED655,4)&gt;=$AB653,INDEX(SPM,ED655,5)&gt;=$S647,INDEX(SPM,ED655,6)&gt;=$R647),1,0))</f>
        <v>#N/A</v>
      </c>
      <c r="EF655" s="4" t="e">
        <f t="shared" ref="EF655" ca="1" si="12170">MATCH(1,OFFSET(EE647:EE658,EG654,0,COUNT(EE647:EE658)-EG654),0)</f>
        <v>#REF!</v>
      </c>
      <c r="EG655" s="4" t="e">
        <f t="shared" ca="1" si="12060"/>
        <v>#REF!</v>
      </c>
      <c r="EH655" s="692" t="str">
        <f ca="1">IF(LEFT($J647,7)="Clad Wo",IFERROR(VLOOKUP(INDEX(ED647:ED658,EG655),SPPWS,2,FALSE),"----"),IFERROR(VLOOKUP(INDEX(ED647:ED658,EG655),SPM,2,FALSE),"----"))</f>
        <v>----</v>
      </c>
    </row>
    <row r="656" spans="1:138" ht="15" customHeight="1" x14ac:dyDescent="0.25">
      <c r="A656" s="1085"/>
      <c r="B656" s="925"/>
      <c r="C656" s="926"/>
      <c r="D656" s="927"/>
      <c r="E656" s="995"/>
      <c r="F656" s="996"/>
      <c r="G656" s="997"/>
      <c r="H656" s="1062"/>
      <c r="I656" s="990"/>
      <c r="J656" s="902"/>
      <c r="K656" s="903"/>
      <c r="L656" s="1002"/>
      <c r="M656" s="923"/>
      <c r="N656" s="1042"/>
      <c r="O656" s="1018"/>
      <c r="P656" s="987"/>
      <c r="Q656" s="1015"/>
      <c r="R656" s="1012"/>
      <c r="S656" s="1006"/>
      <c r="T656" s="1007"/>
      <c r="U656" s="878"/>
      <c r="V656" s="881"/>
      <c r="W656" s="884"/>
      <c r="X656" s="884"/>
      <c r="Y656" s="887"/>
      <c r="Z656" s="887"/>
      <c r="AA656" s="887"/>
      <c r="AB656" s="1081"/>
      <c r="AC656" s="1078"/>
      <c r="AD656" s="1070" t="str">
        <f t="shared" si="11681"/>
        <v>Steel Tube</v>
      </c>
      <c r="AE656" s="1071"/>
      <c r="AF656" s="1052"/>
      <c r="AG656" s="1053"/>
      <c r="AH656" s="1053"/>
      <c r="AI656" s="1066"/>
      <c r="AJ656" s="1067"/>
      <c r="AK656" s="156" t="str">
        <f t="shared" ca="1" si="11298"/>
        <v/>
      </c>
      <c r="AL656" s="1059"/>
      <c r="AM656" s="343" t="str">
        <f ca="1">IFERROR(Q647/12*ROUND(VLOOKUP(AF656,OFFSET(STM,0,1),6,FALSE),2),"")</f>
        <v/>
      </c>
      <c r="AN656" t="str">
        <f t="shared" ca="1" si="11348"/>
        <v/>
      </c>
      <c r="AP656" s="122" t="str">
        <f t="shared" ref="AP656" si="12171">_xlfn.CONCAT(AR656,AS658)</f>
        <v/>
      </c>
      <c r="AQ656" s="683" t="str">
        <f t="shared" si="11512"/>
        <v/>
      </c>
      <c r="AR656" s="4" t="str">
        <f t="shared" si="11273"/>
        <v/>
      </c>
      <c r="AS656" s="4"/>
      <c r="AT656" s="697" t="str">
        <f>AL653</f>
        <v/>
      </c>
      <c r="AU656" s="694" t="e">
        <f t="shared" ca="1" si="11538"/>
        <v>#REF!</v>
      </c>
      <c r="AV656" s="686" t="str">
        <f ca="1">IFERROR(VLOOKUP(AU656,INDIRECT(AQ647),2,FALSE),"----")</f>
        <v>----</v>
      </c>
      <c r="AW656" s="694" t="e">
        <f t="shared" ca="1" si="11539"/>
        <v>#REF!</v>
      </c>
      <c r="AX656" s="686" t="str">
        <f ca="1">IFERROR(VLOOKUP(AW656,INDIRECT(AQ648),2,FALSE),"----")</f>
        <v>----</v>
      </c>
      <c r="AY656" s="694" t="e">
        <f t="shared" ca="1" si="11934"/>
        <v>#REF!</v>
      </c>
      <c r="AZ656" s="686" t="str">
        <f ca="1">IFERROR(VLOOKUP(AY656,INDIRECT(AQ649),2,FALSE),"----")</f>
        <v>----</v>
      </c>
      <c r="BA656" s="694" t="e">
        <f t="shared" ca="1" si="11935"/>
        <v>#REF!</v>
      </c>
      <c r="BB656" s="686" t="str">
        <f ca="1">IFERROR(VLOOKUP(BA656,INDIRECT(AQ650),2,FALSE),"----")</f>
        <v>----</v>
      </c>
      <c r="BC656" s="694" t="e">
        <f t="shared" ca="1" si="11542"/>
        <v>#REF!</v>
      </c>
      <c r="BD656" s="686" t="str">
        <f ca="1">IFERROR(VLOOKUP(BC656,INDIRECT(AQ651),2,FALSE),"----")</f>
        <v>----</v>
      </c>
      <c r="BE656" s="694" t="e">
        <f t="shared" ca="1" si="11543"/>
        <v>#REF!</v>
      </c>
      <c r="BF656" s="686" t="str">
        <f ca="1">IFERROR(VLOOKUP(BE656,INDIRECT(AQ652),2,FALSE),"----")</f>
        <v>----</v>
      </c>
      <c r="BG656" s="702" t="e">
        <f t="shared" ca="1" si="11544"/>
        <v>#REF!</v>
      </c>
      <c r="BH656" s="686" t="str">
        <f ca="1">IFERROR(VLOOKUP(BG656,INDIRECT(AQ653),2,FALSE),"----")</f>
        <v>----</v>
      </c>
      <c r="BI656" s="702" t="e">
        <f t="shared" ca="1" si="11545"/>
        <v>#REF!</v>
      </c>
      <c r="BJ656" s="686" t="str">
        <f ca="1">IFERROR(VLOOKUP(BI656,INDIRECT(AQ654),2,FALSE),"----")</f>
        <v>----</v>
      </c>
      <c r="BK656" s="702" t="e">
        <f t="shared" ca="1" si="11546"/>
        <v>#REF!</v>
      </c>
      <c r="BL656" s="686" t="str">
        <f ca="1">IFERROR(VLOOKUP(BK656,INDIRECT(AQ655),2,FALSE),"----")</f>
        <v>----</v>
      </c>
      <c r="BM656" s="702" t="e">
        <f t="shared" ca="1" si="11547"/>
        <v>#REF!</v>
      </c>
      <c r="BN656" s="686" t="str">
        <f ca="1">IFERROR(VLOOKUP(BM656,INDIRECT(AQ656),2,FALSE),"----")</f>
        <v>----</v>
      </c>
      <c r="BO656" s="702" t="e">
        <f t="shared" ca="1" si="11548"/>
        <v>#REF!</v>
      </c>
      <c r="BP656" s="686" t="str">
        <f ca="1">IFERROR(VLOOKUP(BO656,INDIRECT(AQ657),2,FALSE),"----")</f>
        <v>----</v>
      </c>
      <c r="BQ656" s="702" t="e">
        <f t="shared" ca="1" si="11549"/>
        <v>#REF!</v>
      </c>
      <c r="BR656" s="686" t="str">
        <f ca="1">IFERROR(VLOOKUP(BQ656,INDIRECT(AQ658),2,FALSE),"----")</f>
        <v>----</v>
      </c>
      <c r="BS656" s="695">
        <f>IF(AI656="",1,IF(COUNTIF(BN647:BN658,AI656)=0,2,1))</f>
        <v>1</v>
      </c>
      <c r="BT656" s="696">
        <f>IF(AF656="",1,IF(BN647=".",2,1))</f>
        <v>1</v>
      </c>
      <c r="BU656" s="706"/>
      <c r="BV656" s="155">
        <f ca="1">IF(COUNTIF(DX647:DX658,AF656)=0,IF(AF656&lt;&gt;"",0,1),1)</f>
        <v>1</v>
      </c>
      <c r="BW656" s="157">
        <f ca="1">IFERROR(MATCH(AF656,DX647:DX658,0),1)</f>
        <v>1</v>
      </c>
      <c r="BX656" s="769" t="e">
        <f t="shared" ref="BX656" si="12172">5*E647^3*W653/(384*X647)</f>
        <v>#VALUE!</v>
      </c>
      <c r="BY656" s="769" t="e">
        <f t="shared" ref="BY656" si="12173">E647^3*W653/(60*X647)</f>
        <v>#VALUE!</v>
      </c>
      <c r="BZ656" s="1110"/>
      <c r="CA656" s="691" t="e">
        <f t="shared" ca="1" si="12025"/>
        <v>#REF!</v>
      </c>
      <c r="CB656" s="4" t="e" cm="1">
        <f t="array" aca="1" ref="CB656" ca="1">IF(AND(INDEX(INDIRECT(BY647),CA656,4)&gt;=$AB647,INDEX(INDIRECT(BY647),CA656,5)&gt;=$S647,INDEX(INDIRECT(BY647),CA656,6)&gt;=$R647),1,0)</f>
        <v>#REF!</v>
      </c>
      <c r="CC656" s="4" t="e">
        <f t="shared" ref="CC656" ca="1" si="12174">MATCH(1,OFFSET(CB647:CB658,CD655,0,COUNT(CB647:CB658)-CD655),0)</f>
        <v>#REF!</v>
      </c>
      <c r="CD656" s="4" t="e">
        <f t="shared" ca="1" si="12027"/>
        <v>#REF!</v>
      </c>
      <c r="CE656" s="692" t="str" cm="1">
        <f t="array" aca="1" ref="CE656" ca="1">IFERROR(VLOOKUP(INDEX(CA647:CA658,CD656),INDIRECT(BY647),2,FALSE),"----")</f>
        <v>----</v>
      </c>
      <c r="CF656" s="691" t="e">
        <f t="shared" ca="1" si="12028"/>
        <v>#N/A</v>
      </c>
      <c r="CG656" s="4" t="e">
        <f ca="1">IF(AND(INDEX(SSM,CF656,4)&gt;=$AB647,INDEX(SSM,CF656,5)&gt;=$S647,INDEX(SSM,CF656,6)&gt;=$R647),1,0)</f>
        <v>#N/A</v>
      </c>
      <c r="CH656" s="4" t="e">
        <f t="shared" ref="CH656" ca="1" si="12175">MATCH(1,OFFSET(CG647:CG658,CI655,0,COUNT(CG647:CG658)-CI655),0)</f>
        <v>#REF!</v>
      </c>
      <c r="CI656" s="4" t="e">
        <f t="shared" ca="1" si="12030"/>
        <v>#REF!</v>
      </c>
      <c r="CJ656" s="692" t="str">
        <f ca="1">IFERROR(IF(AD648="Nested Steel Stud (wood infill)",VLOOKUP(INDEX(CF647:CF658,CI656),SSW,2,FALSE),VLOOKUP(INDEX(CF647:CF658,CI656),SSM,2,FALSE)),"----")</f>
        <v>----</v>
      </c>
      <c r="CK656" s="691" t="e">
        <f t="shared" ca="1" si="12031"/>
        <v>#N/A</v>
      </c>
      <c r="CL656" s="4" t="e">
        <f ca="1">IF(AND(INDEX(WSM,CK656,4)&gt;=$AB647,INDEX(WSM,CK656,5)&gt;=$S647,INDEX(WSM,CK656,6)&gt;=$R647),1,0)</f>
        <v>#N/A</v>
      </c>
      <c r="CM656" s="4" t="e">
        <f t="shared" ref="CM656" ca="1" si="12176">MATCH(1,OFFSET(CL647:CL658,CN655,0,COUNT(CL647:CL658)-CN655),0)</f>
        <v>#REF!</v>
      </c>
      <c r="CN656" s="4" t="e">
        <f t="shared" ca="1" si="12033"/>
        <v>#REF!</v>
      </c>
      <c r="CO656" s="692" t="str">
        <f ca="1">IFERROR(VLOOKUP(INDEX(CK647:CK658,CN656),WSM,2,FALSE),"----")</f>
        <v>----</v>
      </c>
      <c r="CP656" s="691" t="e">
        <f t="shared" ca="1" si="12034"/>
        <v>#N/A</v>
      </c>
      <c r="CQ656" s="4" t="e">
        <f ca="1">IF(AND(INDEX(STM,CP656,4)&gt;=$AB647,INDEX(STM,CP656,5)&gt;=$S647,INDEX(STM,CP656,6)&gt;=$R647),1,0)</f>
        <v>#N/A</v>
      </c>
      <c r="CR656" s="4" t="e">
        <f t="shared" ref="CR656" ca="1" si="12177">MATCH(1,OFFSET(CQ647:CQ658,CS655,0,COUNT(CQ647:CQ658)-CS655),0)</f>
        <v>#REF!</v>
      </c>
      <c r="CS656" s="4" t="e">
        <f t="shared" ca="1" si="12036"/>
        <v>#REF!</v>
      </c>
      <c r="CT656" s="692" t="str">
        <f ca="1">IFERROR(VLOOKUP(INDEX(CP647:CP658,CS656),STM,2,FALSE),"----")</f>
        <v>----</v>
      </c>
      <c r="CU656" s="691" t="e">
        <f t="shared" ca="1" si="12037"/>
        <v>#N/A</v>
      </c>
      <c r="CV656" s="4" t="e">
        <f ca="1">IF(AND(INDEX(ELM,CU656,4)&gt;=$AB647,INDEX(ELM,CU656,5)&gt;=$S647,INDEX(ELM,CU656,6)&gt;=$R647),1,0)</f>
        <v>#N/A</v>
      </c>
      <c r="CW656" s="4" t="e">
        <f t="shared" ref="CW656" ca="1" si="12178">MATCH(1,OFFSET(CV647:CV658,CX655,0,COUNT(CV647:CV658)-CX655),0)</f>
        <v>#REF!</v>
      </c>
      <c r="CX656" s="4" t="e">
        <f t="shared" ca="1" si="12039"/>
        <v>#REF!</v>
      </c>
      <c r="CY656" s="692" t="str">
        <f ca="1">IFERROR(VLOOKUP(INDEX(CU647:CU658,CX656),ELM,2,FALSE),"----")</f>
        <v>----</v>
      </c>
      <c r="CZ656" s="691" t="e">
        <f t="shared" ca="1" si="12040"/>
        <v>#N/A</v>
      </c>
      <c r="DA656" s="4" t="e">
        <f ca="1">IF(LEFT($J647,7)="Clad Wo",IF(AND(INDEX(SPPWS,CZ656,4)&gt;=$AB647,INDEX(SPPWS,CZ656,5)&gt;=$S647,INDEX(SPPWS,CZ656,6)&gt;=$R647),1,0),IF(AND(INDEX(SPM,CZ656,4)&gt;=$AB647,INDEX(SPM,CZ656,5)&gt;=$S647,INDEX(SPM,CZ656,6)&gt;=$R647),1,0))</f>
        <v>#N/A</v>
      </c>
      <c r="DB656" s="4" t="e">
        <f t="shared" ref="DB656" ca="1" si="12179">MATCH(1,OFFSET(DA647:DA658,DC655,0,COUNT(DA647:DA658)-DC655),0)</f>
        <v>#REF!</v>
      </c>
      <c r="DC656" s="4" t="e">
        <f t="shared" ca="1" si="12042"/>
        <v>#REF!</v>
      </c>
      <c r="DD656" s="693" t="str">
        <f ca="1">IF(LEFT($J647,7)="Clad Wo",IFERROR(VLOOKUP(INDEX(CZ647:CZ658,DC656),SPPWS,2,FALSE),"----"),IFERROR(VLOOKUP(INDEX(CZ647:CZ658,DC656),SPM,2,FALSE),"----"))</f>
        <v>----</v>
      </c>
      <c r="DE656" s="691" t="e">
        <f t="shared" ca="1" si="12043"/>
        <v>#REF!</v>
      </c>
      <c r="DF656" s="4" t="e" cm="1">
        <f t="array" aca="1" ref="DF656" ca="1">IF(AND(INDEX(INDIRECT(BY647),DE656,4)&gt;=$AB653,INDEX(INDIRECT(BY647),DE656,5)&gt;=$S647,INDEX(INDIRECT(BY647),DE656,6)&gt;=$R647),1,0)</f>
        <v>#REF!</v>
      </c>
      <c r="DG656" s="4" t="e">
        <f t="shared" ref="DG656" ca="1" si="12180">MATCH(1,OFFSET(DF647:DF658,DH655,0,COUNT(DF647:DF658)-DH655),0)</f>
        <v>#REF!</v>
      </c>
      <c r="DH656" s="4" t="e">
        <f t="shared" ca="1" si="12045"/>
        <v>#REF!</v>
      </c>
      <c r="DI656" s="692" t="str" cm="1">
        <f t="array" aca="1" ref="DI656" ca="1">IFERROR(VLOOKUP(INDEX(DE647:DE658,DH656),INDIRECT(BY647),2,FALSE),"----")</f>
        <v>----</v>
      </c>
      <c r="DJ656" s="691" t="e">
        <f t="shared" ca="1" si="12046"/>
        <v>#N/A</v>
      </c>
      <c r="DK656" s="4" t="e">
        <f ca="1">IF(AND(INDEX(SSM,DJ656,4)&gt;=$AB653,INDEX(SSM,DJ656,5)&gt;=$S647,INDEX(SSM,DJ656,6)&gt;=$R647),1,0)</f>
        <v>#N/A</v>
      </c>
      <c r="DL656" s="4" t="e">
        <f t="shared" ref="DL656" ca="1" si="12181">MATCH(1,OFFSET(DK647:DK658,DM655,0,COUNT(DK647:DK658)-DM655),0)</f>
        <v>#REF!</v>
      </c>
      <c r="DM656" s="4" t="e">
        <f t="shared" ca="1" si="12048"/>
        <v>#REF!</v>
      </c>
      <c r="DN656" s="692" t="str">
        <f ca="1">IFERROR(IF(AD654="Nested Steel Stud (wood infill)",VLOOKUP(INDEX(DJ647:DJ658,DM656),SSW,2,FALSE),VLOOKUP(INDEX(DJ647:DJ658,DM656),SSM,2,FALSE)),"----")</f>
        <v>----</v>
      </c>
      <c r="DO656" s="691" t="e">
        <f t="shared" ca="1" si="12049"/>
        <v>#N/A</v>
      </c>
      <c r="DP656" s="4" t="e">
        <f ca="1">IF(AND(INDEX(WSM,DO656,4)&gt;=$AB653,INDEX(WSM,DO656,5)&gt;=$S647,INDEX(WSM,DO656,6)&gt;=$R647),1,0)</f>
        <v>#N/A</v>
      </c>
      <c r="DQ656" s="4" t="e">
        <f t="shared" ref="DQ656" ca="1" si="12182">MATCH(1,OFFSET(DP647:DP658,DR655,0,COUNT(DP647:DP658)-DR655),0)</f>
        <v>#REF!</v>
      </c>
      <c r="DR656" s="4" t="e">
        <f t="shared" ca="1" si="12051"/>
        <v>#REF!</v>
      </c>
      <c r="DS656" s="692" t="str">
        <f ca="1">IFERROR(VLOOKUP(INDEX(DO647:DO658,DR656),WSM,2,FALSE),"----")</f>
        <v>----</v>
      </c>
      <c r="DT656" s="691" t="e">
        <f t="shared" ca="1" si="12052"/>
        <v>#N/A</v>
      </c>
      <c r="DU656" s="4" t="e">
        <f ca="1">IF(AND(INDEX(STM,DT656,4)&gt;=$AB653,INDEX(STM,DT656,5)&gt;=$S647,INDEX(STM,DT656,6)&gt;=$R647),1,0)</f>
        <v>#N/A</v>
      </c>
      <c r="DV656" s="4" t="e">
        <f t="shared" ref="DV656" ca="1" si="12183">MATCH(1,OFFSET(DU647:DU658,DW655,0,COUNT(DU647:DU658)-DW655),0)</f>
        <v>#REF!</v>
      </c>
      <c r="DW656" s="4" t="e">
        <f t="shared" ca="1" si="12054"/>
        <v>#REF!</v>
      </c>
      <c r="DX656" s="692" t="str">
        <f ca="1">IFERROR(VLOOKUP(INDEX(DT647:DT658,DW656),STM,2,FALSE),"----")</f>
        <v>----</v>
      </c>
      <c r="DY656" s="691" t="e">
        <f t="shared" ca="1" si="12055"/>
        <v>#N/A</v>
      </c>
      <c r="DZ656" s="4" t="e">
        <f ca="1">IF(AND(INDEX(ELM,DY656,4)&gt;=$AB653,INDEX(ELM,DY656,5)&gt;=$S647,INDEX(ELM,DY656,6)&gt;=$R647),1,0)</f>
        <v>#N/A</v>
      </c>
      <c r="EA656" s="4" t="e">
        <f t="shared" ref="EA656" ca="1" si="12184">MATCH(1,OFFSET(DZ647:DZ658,EB655,0,COUNT(DZ647:DZ658)-EB655),0)</f>
        <v>#REF!</v>
      </c>
      <c r="EB656" s="4" t="e">
        <f t="shared" ca="1" si="12057"/>
        <v>#REF!</v>
      </c>
      <c r="EC656" s="692" t="str">
        <f ca="1">IFERROR(VLOOKUP(INDEX(DY647:DY658,EB656),ELM,2,FALSE),"----")</f>
        <v>----</v>
      </c>
      <c r="ED656" s="691" t="e">
        <f t="shared" ca="1" si="12058"/>
        <v>#N/A</v>
      </c>
      <c r="EE656" s="4" t="e">
        <f ca="1">IF(LEFT($J647,7)="Clad Wo",IF(AND(INDEX(SPPWS,ED656,4)&gt;=$AB653,INDEX(SPPWS,ED656,5)&gt;=$S647,INDEX(SPPWS,ED656,6)&gt;=$R647),1,0),IF(AND(INDEX(SPM,ED656,4)&gt;=$AB653,INDEX(SPM,ED656,5)&gt;=$S647,INDEX(SPM,ED656,6)&gt;=$R647),1,0))</f>
        <v>#N/A</v>
      </c>
      <c r="EF656" s="4" t="e">
        <f t="shared" ref="EF656" ca="1" si="12185">MATCH(1,OFFSET(EE647:EE658,EG655,0,COUNT(EE647:EE658)-EG655),0)</f>
        <v>#REF!</v>
      </c>
      <c r="EG656" s="4" t="e">
        <f t="shared" ca="1" si="12060"/>
        <v>#REF!</v>
      </c>
      <c r="EH656" s="692" t="str">
        <f ca="1">IF(LEFT($J647,7)="Clad Wo",IFERROR(VLOOKUP(INDEX(ED647:ED658,EG656),SPPWS,2,FALSE),"----"),IFERROR(VLOOKUP(INDEX(ED647:ED658,EG656),SPM,2,FALSE),"----"))</f>
        <v>----</v>
      </c>
    </row>
    <row r="657" spans="1:138" ht="15" customHeight="1" x14ac:dyDescent="0.25">
      <c r="A657" s="1085"/>
      <c r="B657" s="925"/>
      <c r="C657" s="926"/>
      <c r="D657" s="927"/>
      <c r="E657" s="995"/>
      <c r="F657" s="996"/>
      <c r="G657" s="997"/>
      <c r="H657" s="1062"/>
      <c r="I657" s="990"/>
      <c r="J657" s="902"/>
      <c r="K657" s="903"/>
      <c r="L657" s="1002"/>
      <c r="M657" s="923"/>
      <c r="N657" s="1042"/>
      <c r="O657" s="1018"/>
      <c r="P657" s="987"/>
      <c r="Q657" s="1015"/>
      <c r="R657" s="1012"/>
      <c r="S657" s="1006"/>
      <c r="T657" s="1007"/>
      <c r="U657" s="878"/>
      <c r="V657" s="881"/>
      <c r="W657" s="884"/>
      <c r="X657" s="884"/>
      <c r="Y657" s="887"/>
      <c r="Z657" s="887"/>
      <c r="AA657" s="887"/>
      <c r="AB657" s="1081"/>
      <c r="AC657" s="1078"/>
      <c r="AD657" s="1070" t="str">
        <f t="shared" si="11681"/>
        <v>Engineered Lumber</v>
      </c>
      <c r="AE657" s="1071"/>
      <c r="AF657" s="1052"/>
      <c r="AG657" s="1053"/>
      <c r="AH657" s="1053"/>
      <c r="AI657" s="1068"/>
      <c r="AJ657" s="1069"/>
      <c r="AK657" s="154" t="str">
        <f t="shared" ca="1" si="11298"/>
        <v/>
      </c>
      <c r="AL657" s="1059"/>
      <c r="AM657" s="344" t="str">
        <f ca="1">IFERROR(Q647/12*ROUND(VLOOKUP(AF657,OFFSET(ELM,0,1),6,FALSE),2),"")</f>
        <v/>
      </c>
      <c r="AN657" t="str">
        <f t="shared" ca="1" si="11348"/>
        <v/>
      </c>
      <c r="AP657" s="122" t="str">
        <f t="shared" ref="AP657" si="12186">_xlfn.CONCAT(AR657,AS658)</f>
        <v/>
      </c>
      <c r="AQ657" s="683" t="str">
        <f t="shared" si="11512"/>
        <v/>
      </c>
      <c r="AR657" s="4" t="str">
        <f t="shared" si="11273"/>
        <v/>
      </c>
      <c r="AS657" s="4"/>
      <c r="AT657" s="697" t="str">
        <f>AL653</f>
        <v/>
      </c>
      <c r="AU657" s="694" t="e">
        <f t="shared" ca="1" si="11538"/>
        <v>#REF!</v>
      </c>
      <c r="AV657" s="698" t="str">
        <f ca="1">IFERROR(VLOOKUP(AU657,INDIRECT(AQ647),2,FALSE),"----")</f>
        <v>----</v>
      </c>
      <c r="AW657" s="694" t="e">
        <f t="shared" ca="1" si="11539"/>
        <v>#REF!</v>
      </c>
      <c r="AX657" s="698" t="str">
        <f ca="1">IFERROR(VLOOKUP(AW657,INDIRECT(AQ648),2,FALSE),"----")</f>
        <v>----</v>
      </c>
      <c r="AY657" s="694" t="e">
        <f t="shared" ca="1" si="11934"/>
        <v>#REF!</v>
      </c>
      <c r="AZ657" s="698" t="str">
        <f ca="1">IFERROR(VLOOKUP(AY657,INDIRECT(AQ649),2,FALSE),"----")</f>
        <v>----</v>
      </c>
      <c r="BA657" s="694" t="e">
        <f t="shared" ca="1" si="11935"/>
        <v>#REF!</v>
      </c>
      <c r="BB657" s="698" t="str">
        <f ca="1">IFERROR(VLOOKUP(BA657,INDIRECT(AQ650),2,FALSE),"----")</f>
        <v>----</v>
      </c>
      <c r="BC657" s="694" t="e">
        <f t="shared" ca="1" si="11542"/>
        <v>#REF!</v>
      </c>
      <c r="BD657" s="698" t="str">
        <f ca="1">IFERROR(VLOOKUP(BC657,INDIRECT(AQ651),2,FALSE),"----")</f>
        <v>----</v>
      </c>
      <c r="BE657" s="694" t="e">
        <f t="shared" ca="1" si="11543"/>
        <v>#REF!</v>
      </c>
      <c r="BF657" s="698" t="str">
        <f ca="1">IFERROR(VLOOKUP(BE657,INDIRECT(AQ652),2,FALSE),"----")</f>
        <v>----</v>
      </c>
      <c r="BG657" s="702" t="e">
        <f t="shared" ca="1" si="11544"/>
        <v>#REF!</v>
      </c>
      <c r="BH657" s="686" t="str">
        <f ca="1">IFERROR(VLOOKUP(BG657,INDIRECT(AQ653),2,FALSE),"----")</f>
        <v>----</v>
      </c>
      <c r="BI657" s="702" t="e">
        <f t="shared" ca="1" si="11545"/>
        <v>#REF!</v>
      </c>
      <c r="BJ657" s="686" t="str">
        <f ca="1">IFERROR(VLOOKUP(BI657,INDIRECT(AQ654),2,FALSE),"----")</f>
        <v>----</v>
      </c>
      <c r="BK657" s="702" t="e">
        <f t="shared" ca="1" si="11546"/>
        <v>#REF!</v>
      </c>
      <c r="BL657" s="686" t="str">
        <f ca="1">IFERROR(VLOOKUP(BK657,INDIRECT(AQ655),2,FALSE),"----")</f>
        <v>----</v>
      </c>
      <c r="BM657" s="702" t="e">
        <f t="shared" ca="1" si="11547"/>
        <v>#REF!</v>
      </c>
      <c r="BN657" s="686" t="str">
        <f ca="1">IFERROR(VLOOKUP(BM657,INDIRECT(AQ656),2,FALSE),"----")</f>
        <v>----</v>
      </c>
      <c r="BO657" s="702" t="e">
        <f t="shared" ca="1" si="11548"/>
        <v>#REF!</v>
      </c>
      <c r="BP657" s="686" t="str">
        <f ca="1">IFERROR(VLOOKUP(BO657,INDIRECT(AQ657),2,FALSE),"----")</f>
        <v>----</v>
      </c>
      <c r="BQ657" s="702" t="e">
        <f t="shared" ca="1" si="11549"/>
        <v>#REF!</v>
      </c>
      <c r="BR657" s="686" t="str">
        <f ca="1">IFERROR(VLOOKUP(BQ657,INDIRECT(AQ658),2,FALSE),"----")</f>
        <v>----</v>
      </c>
      <c r="BS657" s="695">
        <f>IF(AI657="",1,IF(COUNTIF(BP647:BP658,AI657)=0,2,1))</f>
        <v>1</v>
      </c>
      <c r="BT657" s="696">
        <f>IF(AF657="",1,IF(BP647=".",2,1))</f>
        <v>1</v>
      </c>
      <c r="BU657" s="706"/>
      <c r="BV657" s="155">
        <f ca="1">IF(COUNTIF(EC647:EC658,AF657)=0,IF(AF657&lt;&gt;"",0,1),1)</f>
        <v>1</v>
      </c>
      <c r="BW657" s="157">
        <f ca="1">IFERROR(MATCH(AF657,EC647:EC658,0),1)</f>
        <v>1</v>
      </c>
      <c r="BX657" s="769"/>
      <c r="BY657" s="769"/>
      <c r="BZ657" s="1110"/>
      <c r="CA657" s="691" t="e">
        <f t="shared" ca="1" si="12025"/>
        <v>#REF!</v>
      </c>
      <c r="CB657" s="4" t="e" cm="1">
        <f t="array" aca="1" ref="CB657" ca="1">IF(AND(INDEX(INDIRECT(BY647),CA657,4)&gt;=$AB647,INDEX(INDIRECT(BY647),CA657,5)&gt;=$S647,INDEX(INDIRECT(BY647),CA657,6)&gt;=$R647),1,0)</f>
        <v>#REF!</v>
      </c>
      <c r="CC657" s="4" t="e">
        <f t="shared" ref="CC657" ca="1" si="12187">MATCH(1,OFFSET(CB647:CB658,CD656,0,COUNT(CB647:CB658)-CD656),0)</f>
        <v>#REF!</v>
      </c>
      <c r="CD657" s="4" t="e">
        <f t="shared" ca="1" si="12027"/>
        <v>#REF!</v>
      </c>
      <c r="CE657" s="692" t="str" cm="1">
        <f t="array" aca="1" ref="CE657" ca="1">IFERROR(VLOOKUP(INDEX(CA647:CA658,CD657),INDIRECT(BY647),2,FALSE),"----")</f>
        <v>----</v>
      </c>
      <c r="CF657" s="691" t="e">
        <f t="shared" ca="1" si="12028"/>
        <v>#N/A</v>
      </c>
      <c r="CG657" s="4" t="e">
        <f ca="1">IF(AND(INDEX(SSM,CF657,4)&gt;=$AB647,INDEX(SSM,CF657,5)&gt;=$S647,INDEX(SSM,CF657,6)&gt;=$R647),1,0)</f>
        <v>#N/A</v>
      </c>
      <c r="CH657" s="4" t="e">
        <f t="shared" ref="CH657" ca="1" si="12188">MATCH(1,OFFSET(CG647:CG658,CI656,0,COUNT(CG647:CG658)-CI656),0)</f>
        <v>#REF!</v>
      </c>
      <c r="CI657" s="4" t="e">
        <f t="shared" ca="1" si="12030"/>
        <v>#REF!</v>
      </c>
      <c r="CJ657" s="692" t="str">
        <f ca="1">IFERROR(IF(AD648="Nested Steel Stud (wood infill)",VLOOKUP(INDEX(CF647:CF658,CI657),SSW,2,FALSE),VLOOKUP(INDEX(CF647:CF658,CI657),SSM,2,FALSE)),"----")</f>
        <v>----</v>
      </c>
      <c r="CK657" s="691" t="e">
        <f t="shared" ca="1" si="12031"/>
        <v>#N/A</v>
      </c>
      <c r="CL657" s="4" t="e">
        <f ca="1">IF(AND(INDEX(WSM,CK657,4)&gt;=$AB647,INDEX(WSM,CK657,5)&gt;=$S647,INDEX(WSM,CK657,6)&gt;=$R647),1,0)</f>
        <v>#N/A</v>
      </c>
      <c r="CM657" s="4" t="e">
        <f t="shared" ref="CM657" ca="1" si="12189">MATCH(1,OFFSET(CL647:CL658,CN656,0,COUNT(CL647:CL658)-CN656),0)</f>
        <v>#REF!</v>
      </c>
      <c r="CN657" s="4" t="e">
        <f t="shared" ca="1" si="12033"/>
        <v>#REF!</v>
      </c>
      <c r="CO657" s="692" t="str">
        <f ca="1">IFERROR(VLOOKUP(INDEX(CK647:CK658,CN657),WSM,2,FALSE),"----")</f>
        <v>----</v>
      </c>
      <c r="CP657" s="691" t="e">
        <f t="shared" ca="1" si="12034"/>
        <v>#N/A</v>
      </c>
      <c r="CQ657" s="4" t="e">
        <f ca="1">IF(AND(INDEX(STM,CP657,4)&gt;=$AB647,INDEX(STM,CP657,5)&gt;=$S647,INDEX(STM,CP657,6)&gt;=$R647),1,0)</f>
        <v>#N/A</v>
      </c>
      <c r="CR657" s="4" t="e">
        <f t="shared" ref="CR657" ca="1" si="12190">MATCH(1,OFFSET(CQ647:CQ658,CS656,0,COUNT(CQ647:CQ658)-CS656),0)</f>
        <v>#REF!</v>
      </c>
      <c r="CS657" s="4" t="e">
        <f t="shared" ca="1" si="12036"/>
        <v>#REF!</v>
      </c>
      <c r="CT657" s="692" t="str">
        <f ca="1">IFERROR(VLOOKUP(INDEX(CP647:CP658,CS657),STM,2,FALSE),"----")</f>
        <v>----</v>
      </c>
      <c r="CU657" s="691" t="e">
        <f t="shared" ca="1" si="12037"/>
        <v>#N/A</v>
      </c>
      <c r="CV657" s="4" t="e">
        <f ca="1">IF(AND(INDEX(ELM,CU657,4)&gt;=$AB647,INDEX(ELM,CU657,5)&gt;=$S647,INDEX(ELM,CU657,6)&gt;=$R647),1,0)</f>
        <v>#N/A</v>
      </c>
      <c r="CW657" s="4" t="e">
        <f t="shared" ref="CW657" ca="1" si="12191">MATCH(1,OFFSET(CV647:CV658,CX656,0,COUNT(CV647:CV658)-CX656),0)</f>
        <v>#REF!</v>
      </c>
      <c r="CX657" s="4" t="e">
        <f t="shared" ca="1" si="12039"/>
        <v>#REF!</v>
      </c>
      <c r="CY657" s="692" t="str">
        <f ca="1">IFERROR(VLOOKUP(INDEX(CU647:CU658,CX657),ELM,2,FALSE),"----")</f>
        <v>----</v>
      </c>
      <c r="CZ657" s="691" t="e">
        <f t="shared" ca="1" si="12040"/>
        <v>#N/A</v>
      </c>
      <c r="DA657" s="4" t="e">
        <f ca="1">IF(LEFT($J647,7)="Clad Wo",IF(AND(INDEX(SPPWS,CZ657,4)&gt;=$AB647,INDEX(SPPWS,CZ657,5)&gt;=$S647,INDEX(SPPWS,CZ657,6)&gt;=$R647),1,0),IF(AND(INDEX(SPM,CZ657,4)&gt;=$AB647,INDEX(SPM,CZ657,5)&gt;=$S647,INDEX(SPM,CZ657,6)&gt;=$R647),1,0))</f>
        <v>#N/A</v>
      </c>
      <c r="DB657" s="4" t="e">
        <f t="shared" ref="DB657" ca="1" si="12192">MATCH(1,OFFSET(DA647:DA658,DC656,0,COUNT(DA647:DA658)-DC656),0)</f>
        <v>#REF!</v>
      </c>
      <c r="DC657" s="4" t="e">
        <f t="shared" ca="1" si="12042"/>
        <v>#REF!</v>
      </c>
      <c r="DD657" s="693" t="str">
        <f ca="1">IF(LEFT($J647,7)="Clad Wo",IFERROR(VLOOKUP(INDEX(CZ647:CZ658,DC657),SPPWS,2,FALSE),"----"),IFERROR(VLOOKUP(INDEX(CZ647:CZ658,DC657),SPM,2,FALSE),"----"))</f>
        <v>----</v>
      </c>
      <c r="DE657" s="691" t="e">
        <f t="shared" ca="1" si="12043"/>
        <v>#REF!</v>
      </c>
      <c r="DF657" s="4" t="e" cm="1">
        <f t="array" aca="1" ref="DF657" ca="1">IF(AND(INDEX(INDIRECT(BY647),DE657,4)&gt;=$AB653,INDEX(INDIRECT(BY647),DE657,5)&gt;=$S647,INDEX(INDIRECT(BY647),DE657,6)&gt;=$R647),1,0)</f>
        <v>#REF!</v>
      </c>
      <c r="DG657" s="4" t="e">
        <f t="shared" ref="DG657" ca="1" si="12193">MATCH(1,OFFSET(DF647:DF658,DH656,0,COUNT(DF647:DF658)-DH656),0)</f>
        <v>#REF!</v>
      </c>
      <c r="DH657" s="4" t="e">
        <f t="shared" ca="1" si="12045"/>
        <v>#REF!</v>
      </c>
      <c r="DI657" s="692" t="str" cm="1">
        <f t="array" aca="1" ref="DI657" ca="1">IFERROR(VLOOKUP(INDEX(DE647:DE658,DH657),INDIRECT(BY647),2,FALSE),"----")</f>
        <v>----</v>
      </c>
      <c r="DJ657" s="691" t="e">
        <f t="shared" ca="1" si="12046"/>
        <v>#N/A</v>
      </c>
      <c r="DK657" s="4" t="e">
        <f ca="1">IF(AND(INDEX(SSM,DJ657,4)&gt;=$AB653,INDEX(SSM,DJ657,5)&gt;=$S647,INDEX(SSM,DJ657,6)&gt;=$R647),1,0)</f>
        <v>#N/A</v>
      </c>
      <c r="DL657" s="4" t="e">
        <f t="shared" ref="DL657" ca="1" si="12194">MATCH(1,OFFSET(DK647:DK658,DM656,0,COUNT(DK647:DK658)-DM656),0)</f>
        <v>#REF!</v>
      </c>
      <c r="DM657" s="4" t="e">
        <f t="shared" ca="1" si="12048"/>
        <v>#REF!</v>
      </c>
      <c r="DN657" s="692" t="str">
        <f ca="1">IFERROR(IF(AD654="Nested Steel Stud (wood infill)",VLOOKUP(INDEX(DJ647:DJ658,DM657),SSW,2,FALSE),VLOOKUP(INDEX(DJ647:DJ658,DM657),SSM,2,FALSE)),"----")</f>
        <v>----</v>
      </c>
      <c r="DO657" s="691" t="e">
        <f t="shared" ca="1" si="12049"/>
        <v>#N/A</v>
      </c>
      <c r="DP657" s="4" t="e">
        <f ca="1">IF(AND(INDEX(WSM,DO657,4)&gt;=$AB653,INDEX(WSM,DO657,5)&gt;=$S647,INDEX(WSM,DO657,6)&gt;=$R647),1,0)</f>
        <v>#N/A</v>
      </c>
      <c r="DQ657" s="4" t="e">
        <f t="shared" ref="DQ657" ca="1" si="12195">MATCH(1,OFFSET(DP647:DP658,DR656,0,COUNT(DP647:DP658)-DR656),0)</f>
        <v>#REF!</v>
      </c>
      <c r="DR657" s="4" t="e">
        <f t="shared" ca="1" si="12051"/>
        <v>#REF!</v>
      </c>
      <c r="DS657" s="692" t="str">
        <f ca="1">IFERROR(VLOOKUP(INDEX(DO647:DO658,DR657),WSM,2,FALSE),"----")</f>
        <v>----</v>
      </c>
      <c r="DT657" s="691" t="e">
        <f t="shared" ca="1" si="12052"/>
        <v>#N/A</v>
      </c>
      <c r="DU657" s="4" t="e">
        <f ca="1">IF(AND(INDEX(STM,DT657,4)&gt;=$AB653,INDEX(STM,DT657,5)&gt;=$S647,INDEX(STM,DT657,6)&gt;=$R647),1,0)</f>
        <v>#N/A</v>
      </c>
      <c r="DV657" s="4" t="e">
        <f t="shared" ref="DV657" ca="1" si="12196">MATCH(1,OFFSET(DU647:DU658,DW656,0,COUNT(DU647:DU658)-DW656),0)</f>
        <v>#REF!</v>
      </c>
      <c r="DW657" s="4" t="e">
        <f t="shared" ca="1" si="12054"/>
        <v>#REF!</v>
      </c>
      <c r="DX657" s="692" t="str">
        <f ca="1">IFERROR(VLOOKUP(INDEX(DT647:DT658,DW657),STM,2,FALSE),"----")</f>
        <v>----</v>
      </c>
      <c r="DY657" s="691" t="e">
        <f t="shared" ca="1" si="12055"/>
        <v>#N/A</v>
      </c>
      <c r="DZ657" s="4" t="e">
        <f ca="1">IF(AND(INDEX(ELM,DY657,4)&gt;=$AB653,INDEX(ELM,DY657,5)&gt;=$S647,INDEX(ELM,DY657,6)&gt;=$R647),1,0)</f>
        <v>#N/A</v>
      </c>
      <c r="EA657" s="4" t="e">
        <f t="shared" ref="EA657" ca="1" si="12197">MATCH(1,OFFSET(DZ647:DZ658,EB656,0,COUNT(DZ647:DZ658)-EB656),0)</f>
        <v>#REF!</v>
      </c>
      <c r="EB657" s="4" t="e">
        <f t="shared" ca="1" si="12057"/>
        <v>#REF!</v>
      </c>
      <c r="EC657" s="692" t="str">
        <f ca="1">IFERROR(VLOOKUP(INDEX(DY647:DY658,EB657),ELM,2,FALSE),"----")</f>
        <v>----</v>
      </c>
      <c r="ED657" s="691" t="e">
        <f t="shared" ca="1" si="12058"/>
        <v>#N/A</v>
      </c>
      <c r="EE657" s="4" t="e">
        <f ca="1">IF(LEFT($J647,7)="Clad Wo",IF(AND(INDEX(SPPWS,ED657,4)&gt;=$AB653,INDEX(SPPWS,ED657,5)&gt;=$S647,INDEX(SPPWS,ED657,6)&gt;=$R647),1,0),IF(AND(INDEX(SPM,ED657,4)&gt;=$AB653,INDEX(SPM,ED657,5)&gt;=$S647,INDEX(SPM,ED657,6)&gt;=$R647),1,0))</f>
        <v>#N/A</v>
      </c>
      <c r="EF657" s="4" t="e">
        <f t="shared" ref="EF657" ca="1" si="12198">MATCH(1,OFFSET(EE647:EE658,EG656,0,COUNT(EE647:EE658)-EG656),0)</f>
        <v>#REF!</v>
      </c>
      <c r="EG657" s="4" t="e">
        <f t="shared" ca="1" si="12060"/>
        <v>#REF!</v>
      </c>
      <c r="EH657" s="692" t="str">
        <f ca="1">IF(LEFT($J647,7)="Clad Wo",IFERROR(VLOOKUP(INDEX(ED647:ED658,EG657),SPPWS,2,FALSE),"----"),IFERROR(VLOOKUP(INDEX(ED647:ED658,EG657),SPM,2,FALSE),"----"))</f>
        <v>----</v>
      </c>
    </row>
    <row r="658" spans="1:138" ht="15" customHeight="1" thickBot="1" x14ac:dyDescent="0.3">
      <c r="A658" s="1085"/>
      <c r="B658" s="928"/>
      <c r="C658" s="929"/>
      <c r="D658" s="930"/>
      <c r="E658" s="998"/>
      <c r="F658" s="999"/>
      <c r="G658" s="1000"/>
      <c r="H658" s="1063"/>
      <c r="I658" s="991"/>
      <c r="J658" s="904"/>
      <c r="K658" s="905"/>
      <c r="L658" s="1003"/>
      <c r="M658" s="1065"/>
      <c r="N658" s="1043"/>
      <c r="O658" s="1019"/>
      <c r="P658" s="988"/>
      <c r="Q658" s="1016"/>
      <c r="R658" s="1013"/>
      <c r="S658" s="1008"/>
      <c r="T658" s="1009"/>
      <c r="U658" s="879"/>
      <c r="V658" s="882"/>
      <c r="W658" s="885"/>
      <c r="X658" s="885"/>
      <c r="Y658" s="888"/>
      <c r="Z658" s="888"/>
      <c r="AA658" s="888"/>
      <c r="AB658" s="1082"/>
      <c r="AC658" s="1087"/>
      <c r="AD658" s="1098" t="str">
        <f t="shared" ref="AD658" si="12199">IF(LEFT(J647,7)="Clad Wo","Pella Wood Spr / Steel Pte","Steel Plate")</f>
        <v>Steel Plate</v>
      </c>
      <c r="AE658" s="1099"/>
      <c r="AF658" s="1096"/>
      <c r="AG658" s="1097"/>
      <c r="AH658" s="1097"/>
      <c r="AI658" s="1094"/>
      <c r="AJ658" s="1095"/>
      <c r="AK658" s="163" t="str">
        <f t="shared" ca="1" si="11298"/>
        <v/>
      </c>
      <c r="AL658" s="1060"/>
      <c r="AM658" s="345" t="str">
        <f ca="1">IFERROR(Q647/12*ROUND(VLOOKUP(AF658,OFFSET(SPM,0,1),6,FALSE),2),"")</f>
        <v/>
      </c>
      <c r="AN658" t="str">
        <f t="shared" ca="1" si="11348"/>
        <v/>
      </c>
      <c r="AP658" s="699" t="str">
        <f t="shared" ref="AP658" si="12200">_xlfn.CONCAT(AR658,AS658)</f>
        <v/>
      </c>
      <c r="AQ658" s="700" t="str">
        <f t="shared" si="11512"/>
        <v/>
      </c>
      <c r="AR658" s="160" t="str">
        <f t="shared" si="11273"/>
        <v/>
      </c>
      <c r="AS658" s="160" t="str">
        <f>IFERROR(VLOOKUP(J655, WallType,2,FALSE),"")</f>
        <v/>
      </c>
      <c r="AT658" s="707" t="str">
        <f>AL653</f>
        <v/>
      </c>
      <c r="AU658" s="708" t="e">
        <f t="shared" ca="1" si="11538"/>
        <v>#REF!</v>
      </c>
      <c r="AV658" s="709" t="str">
        <f ca="1">IFERROR(VLOOKUP(AU658,INDIRECT(AQ647),2,FALSE),"----")</f>
        <v>----</v>
      </c>
      <c r="AW658" s="710" t="e">
        <f t="shared" ca="1" si="11539"/>
        <v>#REF!</v>
      </c>
      <c r="AX658" s="709" t="str">
        <f ca="1">IFERROR(VLOOKUP(AW658,INDIRECT(AQ648),2,FALSE),"----")</f>
        <v>----</v>
      </c>
      <c r="AY658" s="710" t="e">
        <f t="shared" ca="1" si="11934"/>
        <v>#REF!</v>
      </c>
      <c r="AZ658" s="709" t="str">
        <f ca="1">IFERROR(VLOOKUP(AY658,INDIRECT(AQ649),2,FALSE),"----")</f>
        <v>----</v>
      </c>
      <c r="BA658" s="710" t="e">
        <f t="shared" ca="1" si="11935"/>
        <v>#REF!</v>
      </c>
      <c r="BB658" s="709" t="str">
        <f ca="1">IFERROR(VLOOKUP(BA658,INDIRECT(AQ650),2,FALSE),"----")</f>
        <v>----</v>
      </c>
      <c r="BC658" s="710" t="e">
        <f t="shared" ca="1" si="11542"/>
        <v>#REF!</v>
      </c>
      <c r="BD658" s="709" t="str">
        <f ca="1">IFERROR(VLOOKUP(BC658,INDIRECT(AQ651),2,FALSE),"----")</f>
        <v>----</v>
      </c>
      <c r="BE658" s="710" t="e">
        <f t="shared" ca="1" si="11543"/>
        <v>#REF!</v>
      </c>
      <c r="BF658" s="709" t="str">
        <f ca="1">IFERROR(VLOOKUP(BE658,INDIRECT(AQ652),2,FALSE),"----")</f>
        <v>----</v>
      </c>
      <c r="BG658" s="710" t="e">
        <f t="shared" ca="1" si="11544"/>
        <v>#REF!</v>
      </c>
      <c r="BH658" s="711" t="str">
        <f ca="1">IFERROR(VLOOKUP(BG658,INDIRECT(AQ653),2,FALSE),"----")</f>
        <v>----</v>
      </c>
      <c r="BI658" s="710" t="e">
        <f t="shared" ca="1" si="11545"/>
        <v>#REF!</v>
      </c>
      <c r="BJ658" s="711" t="str">
        <f ca="1">IFERROR(VLOOKUP(BI658,INDIRECT(AQ654),2,FALSE),"----")</f>
        <v>----</v>
      </c>
      <c r="BK658" s="710" t="e">
        <f t="shared" ca="1" si="11546"/>
        <v>#REF!</v>
      </c>
      <c r="BL658" s="711" t="str">
        <f ca="1">IFERROR(VLOOKUP(BK658,INDIRECT(AQ655),2,FALSE),"----")</f>
        <v>----</v>
      </c>
      <c r="BM658" s="710" t="e">
        <f t="shared" ca="1" si="11547"/>
        <v>#REF!</v>
      </c>
      <c r="BN658" s="711" t="str">
        <f ca="1">IFERROR(VLOOKUP(BM658,INDIRECT(AQ656),2,FALSE),"----")</f>
        <v>----</v>
      </c>
      <c r="BO658" s="710" t="e">
        <f t="shared" ca="1" si="11548"/>
        <v>#REF!</v>
      </c>
      <c r="BP658" s="711" t="str">
        <f ca="1">IFERROR(VLOOKUP(BO658,INDIRECT(AQ657),2,FALSE),"----")</f>
        <v>----</v>
      </c>
      <c r="BQ658" s="710" t="e">
        <f t="shared" ca="1" si="11549"/>
        <v>#REF!</v>
      </c>
      <c r="BR658" s="712" t="str">
        <f ca="1">IFERROR(VLOOKUP(BQ658,INDIRECT(AQ658),2,FALSE),"----")</f>
        <v>----</v>
      </c>
      <c r="BS658" s="695">
        <f>IF(AI658="",1,IF(COUNTIF(BR647:BR658,AI658)=0,2,1))</f>
        <v>1</v>
      </c>
      <c r="BT658" s="713">
        <f>IF(AF658="",1,IF(BR647=".",2,1))</f>
        <v>1</v>
      </c>
      <c r="BV658" s="155">
        <f ca="1">IF(COUNTIF(EH647:EH658,AF658)=0,IF(AF658&lt;&gt;"",0,1),1)</f>
        <v>1</v>
      </c>
      <c r="BW658" s="157">
        <f ca="1">IFERROR(MATCH(AF658,EH647:EH658,0),1)</f>
        <v>1</v>
      </c>
      <c r="BX658" s="718"/>
      <c r="BY658" s="777"/>
      <c r="BZ658" s="1110"/>
      <c r="CA658" s="714" t="e">
        <f t="shared" ca="1" si="12025"/>
        <v>#REF!</v>
      </c>
      <c r="CB658" s="715" t="e" cm="1">
        <f t="array" aca="1" ref="CB658" ca="1">IF(AND(INDEX(INDIRECT(BY647),CA658,4)&gt;=$AB647,INDEX(INDIRECT(BY647),CA658,5)&gt;=$S647,INDEX(INDIRECT(BY647),CA658,6)&gt;=$R647),1,0)</f>
        <v>#REF!</v>
      </c>
      <c r="CC658" s="715" t="e">
        <f t="shared" ref="CC658" ca="1" si="12201">MATCH(1,OFFSET(CB647:CB658,CD657,0,COUNT(CB647:CB658)-CD657),0)</f>
        <v>#REF!</v>
      </c>
      <c r="CD658" s="715" t="e">
        <f t="shared" ca="1" si="12027"/>
        <v>#REF!</v>
      </c>
      <c r="CE658" s="716" t="str" cm="1">
        <f t="array" aca="1" ref="CE658" ca="1">IFERROR(VLOOKUP(INDEX(CA647:CA658,CD658),INDIRECT(BY647),2,FALSE),"----")</f>
        <v>----</v>
      </c>
      <c r="CF658" s="714" t="e">
        <f t="shared" ca="1" si="12028"/>
        <v>#N/A</v>
      </c>
      <c r="CG658" s="715" t="e">
        <f ca="1">IF(AND(INDEX(SSM,CF658,4)&gt;=$AB647,INDEX(SSM,CF658,5)&gt;=$S647,INDEX(SSM,CF658,6)&gt;=$R647),1,0)</f>
        <v>#N/A</v>
      </c>
      <c r="CH658" s="715" t="e">
        <f t="shared" ref="CH658" ca="1" si="12202">MATCH(1,OFFSET(CG647:CG658,CI657,0,COUNT(CG647:CG658)-CI657),0)</f>
        <v>#REF!</v>
      </c>
      <c r="CI658" s="715" t="e">
        <f t="shared" ca="1" si="12030"/>
        <v>#REF!</v>
      </c>
      <c r="CJ658" s="716" t="str">
        <f ca="1">IFERROR(IF(AD648="Nested Steel Stud (wood infill)",VLOOKUP(INDEX(CF647:CF658,CI658),SSW,2,FALSE),VLOOKUP(INDEX(CF647:CF658,CI658),SSM,2,FALSE)),"----")</f>
        <v>----</v>
      </c>
      <c r="CK658" s="714" t="e">
        <f t="shared" ca="1" si="12031"/>
        <v>#N/A</v>
      </c>
      <c r="CL658" s="715" t="e">
        <f ca="1">IF(AND(INDEX(WSM,CK658,4)&gt;=$AB647,INDEX(WSM,CK658,5)&gt;=$S647,INDEX(WSM,CK658,6)&gt;=$R647),1,0)</f>
        <v>#N/A</v>
      </c>
      <c r="CM658" s="715" t="e">
        <f t="shared" ref="CM658" ca="1" si="12203">MATCH(1,OFFSET(CL647:CL658,CN657,0,COUNT(CL647:CL658)-CN657),0)</f>
        <v>#REF!</v>
      </c>
      <c r="CN658" s="715" t="e">
        <f t="shared" ca="1" si="12033"/>
        <v>#REF!</v>
      </c>
      <c r="CO658" s="716" t="str">
        <f ca="1">IFERROR(VLOOKUP(INDEX(CK647:CK658,CN658),WSM,2,FALSE),"----")</f>
        <v>----</v>
      </c>
      <c r="CP658" s="714" t="e">
        <f t="shared" ca="1" si="12034"/>
        <v>#N/A</v>
      </c>
      <c r="CQ658" s="715" t="e">
        <f ca="1">IF(AND(INDEX(STM,CP658,4)&gt;=$AB647,INDEX(STM,CP658,5)&gt;=$S647,INDEX(STM,CP658,6)&gt;=$R647),1,0)</f>
        <v>#N/A</v>
      </c>
      <c r="CR658" s="715" t="e">
        <f t="shared" ref="CR658" ca="1" si="12204">MATCH(1,OFFSET(CQ647:CQ658,CS657,0,COUNT(CQ647:CQ658)-CS657),0)</f>
        <v>#REF!</v>
      </c>
      <c r="CS658" s="715" t="e">
        <f t="shared" ca="1" si="12036"/>
        <v>#REF!</v>
      </c>
      <c r="CT658" s="716" t="str">
        <f ca="1">IFERROR(VLOOKUP(INDEX(CP647:CP658,CS658),STM,2,FALSE),"----")</f>
        <v>----</v>
      </c>
      <c r="CU658" s="714" t="e">
        <f t="shared" ca="1" si="12037"/>
        <v>#N/A</v>
      </c>
      <c r="CV658" s="715" t="e">
        <f ca="1">IF(AND(INDEX(ELM,CU658,4)&gt;=$AB647,INDEX(ELM,CU658,5)&gt;=$S647,INDEX(ELM,CU658,6)&gt;=$R647),1,0)</f>
        <v>#N/A</v>
      </c>
      <c r="CW658" s="715" t="e">
        <f t="shared" ref="CW658" ca="1" si="12205">MATCH(1,OFFSET(CV647:CV658,CX657,0,COUNT(CV647:CV658)-CX657),0)</f>
        <v>#REF!</v>
      </c>
      <c r="CX658" s="715" t="e">
        <f t="shared" ca="1" si="12039"/>
        <v>#REF!</v>
      </c>
      <c r="CY658" s="716" t="str">
        <f ca="1">IFERROR(VLOOKUP(INDEX(CU647:CU658,CX658),ELM,2,FALSE),"----")</f>
        <v>----</v>
      </c>
      <c r="CZ658" s="714" t="e">
        <f t="shared" ca="1" si="12040"/>
        <v>#N/A</v>
      </c>
      <c r="DA658" s="715" t="e">
        <f ca="1">IF(LEFT($J647,7)="Clad Wo",IF(AND(INDEX(SPPWS,CZ658,4)&gt;=$AB647,INDEX(SPPWS,CZ658,5)&gt;=$S647,INDEX(SPPWS,CZ658,6)&gt;=$R647),1,0),IF(AND(INDEX(SPM,CZ658,4)&gt;=$AB647,INDEX(SPM,CZ658,5)&gt;=$S647,INDEX(SPM,CZ658,6)&gt;=$R647),1,0))</f>
        <v>#N/A</v>
      </c>
      <c r="DB658" s="715" t="e">
        <f t="shared" ref="DB658" ca="1" si="12206">MATCH(1,OFFSET(DA647:DA658,DC657,0,COUNT(DA647:DA658)-DC657),0)</f>
        <v>#REF!</v>
      </c>
      <c r="DC658" s="715" t="e">
        <f t="shared" ca="1" si="12042"/>
        <v>#REF!</v>
      </c>
      <c r="DD658" s="717" t="str">
        <f ca="1">IF(LEFT($J647,7)="Clad Wo",IFERROR(VLOOKUP(INDEX(CZ647:CZ658,DC658),SPPWS,2,FALSE),"----"),IFERROR(VLOOKUP(INDEX(CZ647:CZ658,DC658),SPM,2,FALSE),"----"))</f>
        <v>----</v>
      </c>
      <c r="DE658" s="714" t="e">
        <f t="shared" ca="1" si="12043"/>
        <v>#REF!</v>
      </c>
      <c r="DF658" s="715" t="e" cm="1">
        <f t="array" aca="1" ref="DF658" ca="1">IF(AND(INDEX(INDIRECT(BY647),DE658,4)&gt;=$AB653,INDEX(INDIRECT(BY647),DE658,5)&gt;=$S647,INDEX(INDIRECT(BY647),DE658,6)&gt;=$R647),1,0)</f>
        <v>#REF!</v>
      </c>
      <c r="DG658" s="715" t="e">
        <f t="shared" ref="DG658" ca="1" si="12207">MATCH(1,OFFSET(DF647:DF658,DH657,0,COUNT(DF647:DF658)-DH657),0)</f>
        <v>#REF!</v>
      </c>
      <c r="DH658" s="715" t="e">
        <f t="shared" ca="1" si="12045"/>
        <v>#REF!</v>
      </c>
      <c r="DI658" s="716" t="str" cm="1">
        <f t="array" aca="1" ref="DI658" ca="1">IFERROR(VLOOKUP(INDEX(DE647:DE658,DH658),INDIRECT(BY647),2,FALSE),"----")</f>
        <v>----</v>
      </c>
      <c r="DJ658" s="714" t="e">
        <f t="shared" ca="1" si="12046"/>
        <v>#N/A</v>
      </c>
      <c r="DK658" s="715" t="e">
        <f ca="1">IF(AND(INDEX(SSM,DJ658,4)&gt;=$AB653,INDEX(SSM,DJ658,5)&gt;=$S647,INDEX(SSM,DJ658,6)&gt;=$R647),1,0)</f>
        <v>#N/A</v>
      </c>
      <c r="DL658" s="715" t="e">
        <f t="shared" ref="DL658" ca="1" si="12208">MATCH(1,OFFSET(DK647:DK658,DM657,0,COUNT(DK647:DK658)-DM657),0)</f>
        <v>#REF!</v>
      </c>
      <c r="DM658" s="715" t="e">
        <f t="shared" ca="1" si="12048"/>
        <v>#REF!</v>
      </c>
      <c r="DN658" s="716" t="str">
        <f ca="1">IFERROR(IF(AD654="Nested Steel Stud (wood infill)",VLOOKUP(INDEX(DJ647:DJ658,DM658),SSW,2,FALSE),VLOOKUP(INDEX(DJ647:DJ658,DM658),SSM,2,FALSE)),"----")</f>
        <v>----</v>
      </c>
      <c r="DO658" s="714" t="e">
        <f t="shared" ca="1" si="12049"/>
        <v>#N/A</v>
      </c>
      <c r="DP658" s="715" t="e">
        <f ca="1">IF(AND(INDEX(WSM,DO658,4)&gt;=$AB653,INDEX(WSM,DO658,5)&gt;=$S647,INDEX(WSM,DO658,6)&gt;=$R647),1,0)</f>
        <v>#N/A</v>
      </c>
      <c r="DQ658" s="715" t="e">
        <f t="shared" ref="DQ658" ca="1" si="12209">MATCH(1,OFFSET(DP647:DP658,DR657,0,COUNT(DP647:DP658)-DR657),0)</f>
        <v>#REF!</v>
      </c>
      <c r="DR658" s="715" t="e">
        <f t="shared" ca="1" si="12051"/>
        <v>#REF!</v>
      </c>
      <c r="DS658" s="716" t="str">
        <f ca="1">IFERROR(VLOOKUP(INDEX(DO647:DO658,DR658),WSM,2,FALSE),"----")</f>
        <v>----</v>
      </c>
      <c r="DT658" s="714" t="e">
        <f t="shared" ca="1" si="12052"/>
        <v>#N/A</v>
      </c>
      <c r="DU658" s="715" t="e">
        <f ca="1">IF(AND(INDEX(STM,DT658,4)&gt;=$AB653,INDEX(STM,DT658,5)&gt;=$S647,INDEX(STM,DT658,6)&gt;=$R647),1,0)</f>
        <v>#N/A</v>
      </c>
      <c r="DV658" s="715" t="e">
        <f t="shared" ref="DV658" ca="1" si="12210">MATCH(1,OFFSET(DU647:DU658,DW657,0,COUNT(DU647:DU658)-DW657),0)</f>
        <v>#REF!</v>
      </c>
      <c r="DW658" s="715" t="e">
        <f t="shared" ca="1" si="12054"/>
        <v>#REF!</v>
      </c>
      <c r="DX658" s="716" t="str">
        <f ca="1">IFERROR(VLOOKUP(INDEX(DT647:DT658,DW658),STM,2,FALSE),"----")</f>
        <v>----</v>
      </c>
      <c r="DY658" s="714" t="e">
        <f t="shared" ca="1" si="12055"/>
        <v>#N/A</v>
      </c>
      <c r="DZ658" s="715" t="e">
        <f ca="1">IF(AND(INDEX(ELM,DY658,4)&gt;=$AB653,INDEX(ELM,DY658,5)&gt;=$S647,INDEX(ELM,DY658,6)&gt;=$R647),1,0)</f>
        <v>#N/A</v>
      </c>
      <c r="EA658" s="715" t="e">
        <f t="shared" ref="EA658" ca="1" si="12211">MATCH(1,OFFSET(DZ647:DZ658,EB657,0,COUNT(DZ647:DZ658)-EB657),0)</f>
        <v>#REF!</v>
      </c>
      <c r="EB658" s="715" t="e">
        <f t="shared" ca="1" si="12057"/>
        <v>#REF!</v>
      </c>
      <c r="EC658" s="716" t="str">
        <f ca="1">IFERROR(VLOOKUP(INDEX(DY647:DY658,EB658),ELM,2,FALSE),"----")</f>
        <v>----</v>
      </c>
      <c r="ED658" s="714" t="e">
        <f t="shared" ca="1" si="12058"/>
        <v>#N/A</v>
      </c>
      <c r="EE658" s="715" t="e">
        <f ca="1">IF(LEFT($J647,7)="Clad Wo",IF(AND(INDEX(SPPWS,ED658,4)&gt;=$AB653,INDEX(SPPWS,ED658,5)&gt;=$S647,INDEX(SPPWS,ED658,6)&gt;=$R647),1,0),IF(AND(INDEX(SPM,ED658,4)&gt;=$AB653,INDEX(SPM,ED658,5)&gt;=$S647,INDEX(SPM,ED658,6)&gt;=$R647),1,0))</f>
        <v>#N/A</v>
      </c>
      <c r="EF658" s="715" t="e">
        <f t="shared" ref="EF658" ca="1" si="12212">MATCH(1,OFFSET(EE647:EE658,EG657,0,COUNT(EE647:EE658)-EG657),0)</f>
        <v>#REF!</v>
      </c>
      <c r="EG658" s="715" t="e">
        <f t="shared" ca="1" si="12060"/>
        <v>#REF!</v>
      </c>
      <c r="EH658" s="716" t="str">
        <f ca="1">IF(LEFT($J647,7)="Clad Wo",IFERROR(VLOOKUP(INDEX(ED647:ED658,EG658),SPPWS,2,FALSE),"----"),IFERROR(VLOOKUP(INDEX(ED647:ED658,EG658),SPM,2,FALSE),"----"))</f>
        <v>----</v>
      </c>
    </row>
    <row r="659" spans="1:138" ht="15" customHeight="1" thickTop="1" x14ac:dyDescent="0.25">
      <c r="A659" s="1085"/>
      <c r="B659" s="931" t="s">
        <v>92</v>
      </c>
      <c r="C659" s="932"/>
      <c r="D659" s="933"/>
      <c r="E659" s="992"/>
      <c r="F659" s="993"/>
      <c r="G659" s="994"/>
      <c r="H659" s="1061"/>
      <c r="I659" s="989"/>
      <c r="J659" s="906"/>
      <c r="K659" s="907"/>
      <c r="L659" s="1001">
        <f>$W$3</f>
        <v>4</v>
      </c>
      <c r="M659" s="923" t="str">
        <f t="shared" ref="M659" si="12213">IFERROR(IF($AE$13="",IF($AG$19="Wind Loading",MIN($V$31,IF(E$11="ASCE 7-05",$U$26,$V$7)*$V$9*(IF($E$12&lt;60,0.0771*LN(MAX(MIN(500,O659),10)) -1.2737,IF($E$11="ASCE 7-22",0.0524*LN(MAX(MIN(500,O659),50))-1.0278,0.0614*LN(MAX(MIN(500,O659),20)) -1.0829))-$V$8)),$V$7*IF(E$12&lt;60,$V$13*($V$15*0.0771*LN(MAX(MIN(500,O659),10))-1.2737-$V$16),$V$13*$V$15*((0.0524*LN(MAX(MIN(500,O659),20))-1.0278)-$V$16))),-ABS($AE$13)),"")</f>
        <v/>
      </c>
      <c r="N659" s="1042" t="str">
        <f t="shared" ref="N659" si="12214">IFERROR(IF($AE$15="",IF($AG$19="Wind Loading",MAX($U$31,IF(E$11="ASCE 7-05",$U$26,$V$7)*$V$9*((IF($E$12&lt;60,-0.077*LN(MAX(MIN(500,O659),10))+1.1737,IF($E$11="ASCE 7-22",-0.077*LN(MAX(MIN(500,O659),20))+1.0798,-0.093*LN(MAX(MIN(500,O659),20))+1.1776)))+$V$8)),$V$7*IF(E$12&lt;60,$V$13*($V$15*(-0.077*LN(MAX(MIN(500,O659),10))+1.1737)-$V$17),$V$13*$V$15*((-0.077*LN(MAX(MIN(500,O659),20))+1.0798)-$V$17))),ABS($AE$15)),"")</f>
        <v/>
      </c>
      <c r="O659" s="1017" t="str">
        <f>IF(BX666=0,"",IF(AG$14="Trapezoidal",BY666,BX666))</f>
        <v/>
      </c>
      <c r="P659" s="986"/>
      <c r="Q659" s="1014"/>
      <c r="R659" s="1011">
        <f>P659*Q659/8</f>
        <v>0</v>
      </c>
      <c r="S659" s="1004">
        <f t="shared" ref="S659" si="12215">IF(5*(P659*Q659^3/(384*0.125))=0,0,5*(P659*Q659^3/(384*0.125)))</f>
        <v>0</v>
      </c>
      <c r="T659" s="1005"/>
      <c r="U659" s="877" t="e">
        <f ca="1">VLOOKUP(J663,INDIRECT(VLOOKUP(J659,FrameStrength,2,FALSE)),3,FALSE)</f>
        <v>#N/A</v>
      </c>
      <c r="V659" s="880">
        <f t="shared" ref="V659" si="12216">(H659+I659)/2</f>
        <v>0</v>
      </c>
      <c r="W659" s="883" t="e">
        <f t="shared" ref="W659" si="12217">MAX(-M659,N659)*O659</f>
        <v>#VALUE!</v>
      </c>
      <c r="X659" s="883">
        <f t="shared" ref="X659" si="12218">IF(E659&gt;162,(E659/240+0.25),IF(AND(E659&lt;162,E659/175&lt;0.75),E659/175,0.75))</f>
        <v>0</v>
      </c>
      <c r="Y659" s="886">
        <f>IFERROR(IF(AG$14="Trapezoidal",BY667,BX667)+IF($E$17="4",(400*E659^3)/(48*X659),0),0)</f>
        <v>0</v>
      </c>
      <c r="Z659" s="886" t="e">
        <f t="shared" ref="Z659" si="12219">+($V659*MAX(-$M659,$N659)*$E659^2)/(144*8)+IF($E$17=4,(400*$E659)/4,0)</f>
        <v>#VALUE!</v>
      </c>
      <c r="AA659" s="886" t="e">
        <f ca="1">VLOOKUP(J663,INDIRECT(VLOOKUP(J659,FrameStrength,2,FALSE)),2,FALSE)</f>
        <v>#N/A</v>
      </c>
      <c r="AB659" s="1083" t="str">
        <f t="shared" ref="AB659" ca="1" si="12220">IFERROR(Z659-AA659,"")</f>
        <v/>
      </c>
      <c r="AC659" s="1077" t="str">
        <f t="shared" ref="AC659" ca="1" si="12221">IFERROR(Y659-U659,"")</f>
        <v/>
      </c>
      <c r="AD659" s="1100" t="str">
        <f>IFERROR(IF(LEFT(J663,2)="As",VLOOKUP(J663,EIMM,4,FALSE),VLOOKUP(J659,EIMM,4,FALSE)),IF(AND(ISNUMBER(SEARCH("Impervia",J659)),ISNUMBER(SEARCH("door",J663))),'New Lookup Cells'!AF$10,IF(ISNUMBER(SEARCH("Impervia",J659)),'New Lookup Cells'!AF$7,IF(AND(ISNUMBER(SEARCH("250",J659)),ISNUMBER(SEARCH("door",J663))),'New Lookup Cells'!AF$14,IF(ISNUMBER(SEARCH("250",J659)),'New Lookup Cells'!AF$13,"")))))</f>
        <v/>
      </c>
      <c r="AE659" s="1101"/>
      <c r="AF659" s="1050"/>
      <c r="AG659" s="1051"/>
      <c r="AH659" s="1051"/>
      <c r="AI659" s="1088"/>
      <c r="AJ659" s="1089"/>
      <c r="AK659" s="154" t="str">
        <f t="shared" ca="1" si="11298"/>
        <v/>
      </c>
      <c r="AL659" s="1038" t="str">
        <f t="shared" ref="AL659" si="12222">IFERROR(ROUND(SQRT(P659^2+(W659/2+IF($E$17=4,200,0))^2),0),"")</f>
        <v/>
      </c>
      <c r="AM659" s="342" t="s">
        <v>669</v>
      </c>
      <c r="AN659" t="str">
        <f t="shared" ca="1" si="11348"/>
        <v/>
      </c>
      <c r="AP659" s="122" t="str">
        <f t="shared" ref="AP659" si="12223">_xlfn.CONCAT(AR659,AS664)</f>
        <v/>
      </c>
      <c r="AQ659" s="683" t="str">
        <f t="shared" si="11512"/>
        <v/>
      </c>
      <c r="AR659" s="96" t="str">
        <f t="shared" si="11273"/>
        <v/>
      </c>
      <c r="AS659" s="96" t="str">
        <f>IF(COUNTIF(imp_1,AF659)=1,"imp_1",IF(COUNTIF(imp_2,AF659)=1,"imp_2",IF(COUNTIF(imp_3,AF659)=1,"imp_3",IF(COUNTIF(impdoor,AF659)=1,"impdoor",""))))</f>
        <v/>
      </c>
      <c r="AT659" s="684" t="str">
        <f>AL659</f>
        <v/>
      </c>
      <c r="AU659" s="685" t="e">
        <f ca="1">MATCH(AL659,INDIRECT(AP659),-1)</f>
        <v>#REF!</v>
      </c>
      <c r="AV659" s="686" t="str">
        <f ca="1">IFERROR(VLOOKUP(AU659,INDIRECT(AQ659),2,FALSE),"----")</f>
        <v>----</v>
      </c>
      <c r="AW659" s="685" t="e">
        <f ca="1">MATCH(AL659,INDIRECT(AP660),-1)</f>
        <v>#REF!</v>
      </c>
      <c r="AX659" s="686" t="str">
        <f ca="1">IFERROR(VLOOKUP(AW659,INDIRECT(AQ660),2,FALSE),"----")</f>
        <v>----</v>
      </c>
      <c r="AY659" s="685" t="e">
        <f ca="1">MATCH(AL659,INDIRECT(AP661),-1)</f>
        <v>#REF!</v>
      </c>
      <c r="AZ659" s="686" t="str">
        <f ca="1">IFERROR(VLOOKUP(AY659,INDIRECT(AQ661),2,FALSE),"----")</f>
        <v>----</v>
      </c>
      <c r="BA659" s="685" t="e">
        <f ca="1">MATCH(AL659,INDIRECT(AP662),-1)</f>
        <v>#REF!</v>
      </c>
      <c r="BB659" s="686" t="str">
        <f ca="1">IFERROR(VLOOKUP(BA659,INDIRECT(AQ662),2,FALSE),"----")</f>
        <v>----</v>
      </c>
      <c r="BC659" s="685" t="e">
        <f ca="1">MATCH(AL659,INDIRECT(AP663),-1)</f>
        <v>#REF!</v>
      </c>
      <c r="BD659" s="686" t="str">
        <f ca="1">IFERROR(VLOOKUP(BC659,INDIRECT(AQ663),2,FALSE),"----")</f>
        <v>----</v>
      </c>
      <c r="BE659" s="685" t="e">
        <f ca="1">MATCH(AL659,INDIRECT(AP664),-1)</f>
        <v>#REF!</v>
      </c>
      <c r="BF659" s="686" t="str">
        <f ca="1">IFERROR(VLOOKUP(BE659,INDIRECT(AQ664),2,FALSE),"----")</f>
        <v>----</v>
      </c>
      <c r="BG659" s="685" t="e">
        <f ca="1">MATCH(AL665,INDIRECT(AP665),-1)</f>
        <v>#REF!</v>
      </c>
      <c r="BH659" s="686" t="str">
        <f ca="1">IFERROR(VLOOKUP(BG659,INDIRECT(AQ665),2,FALSE),"----")</f>
        <v>----</v>
      </c>
      <c r="BI659" s="685" t="e">
        <f ca="1">MATCH(AL665,INDIRECT(AP666),-1)</f>
        <v>#REF!</v>
      </c>
      <c r="BJ659" s="686" t="str">
        <f ca="1">IFERROR(VLOOKUP(BI659,INDIRECT(AQ666),2,FALSE),"----")</f>
        <v>----</v>
      </c>
      <c r="BK659" s="685" t="e">
        <f ca="1">MATCH(AL665,INDIRECT(AP667),-1)</f>
        <v>#REF!</v>
      </c>
      <c r="BL659" s="686" t="str">
        <f ca="1">IFERROR(VLOOKUP(BK659,INDIRECT(AQ667),2,FALSE),"----")</f>
        <v>----</v>
      </c>
      <c r="BM659" s="685" t="e">
        <f ca="1">MATCH(AL665,INDIRECT(AP668),-1)</f>
        <v>#REF!</v>
      </c>
      <c r="BN659" s="686" t="str">
        <f ca="1">IFERROR(VLOOKUP(BM659,INDIRECT(AQ668),2,FALSE),"----")</f>
        <v>----</v>
      </c>
      <c r="BO659" s="685" t="e">
        <f ca="1">MATCH(AL665,INDIRECT(AP669),-1)</f>
        <v>#REF!</v>
      </c>
      <c r="BP659" s="686" t="str">
        <f ca="1">IFERROR(VLOOKUP(BO659,INDIRECT(AQ669),2,FALSE),"----")</f>
        <v>----</v>
      </c>
      <c r="BQ659" s="685" t="e">
        <f ca="1">MATCH(AL665,INDIRECT(AP670),-1)</f>
        <v>#REF!</v>
      </c>
      <c r="BR659" s="686" t="str">
        <f ca="1">IFERROR(VLOOKUP(BQ659,INDIRECT(AQ670),2,FALSE),"----")</f>
        <v>----</v>
      </c>
      <c r="BS659" s="687">
        <f>IF(AI659="",1,IF(COUNTIF(AV659:AV670,AI659)=0,2,1))</f>
        <v>1</v>
      </c>
      <c r="BT659" s="688">
        <f>IF(AP659="1",1,IF(AF659="",1,IF(AV659=".",2,1)))</f>
        <v>1</v>
      </c>
      <c r="BU659" s="706"/>
      <c r="BV659" s="155">
        <f ca="1">IF(COUNTIF(CE659:CE670,AF659)=0,IF(AF659&lt;&gt;"",0,1),1)</f>
        <v>1</v>
      </c>
      <c r="BW659" s="157">
        <f ca="1">IFERROR(MATCH(AF659,CE659:CE670,0),1)</f>
        <v>1</v>
      </c>
      <c r="BX659" s="769" t="str">
        <f>IFERROR(IF(LEFT(J663,2)="As",VLOOKUP(J663,EIMM,2,FALSE),IF(AND(ISNUMBER(SEARCH("Impervia",J659)),ISNUMBER(SEARCH("door",J663))),VLOOKUP("Impervia Door",EIMM,2,FALSE),IF(AND(ISNUMBER(SEARCH("250",J659)),ISNUMBER(SEARCH("door",J663))),VLOOKUP("250 Series Door",EIMM,2,FALSE),VLOOKUP(J659,EIMM,2,FALSE)))),"")</f>
        <v/>
      </c>
      <c r="BY659" s="769" t="str">
        <f ca="1">IFERROR(VLOOKUP(BX659,OFFSET(EIMM,0,1),2,FALSE),"")</f>
        <v/>
      </c>
      <c r="BZ659" s="1110" t="e">
        <f ca="1">IF((COUNTIF(INDIRECT(SUBSTITUTE(J659," ","_")),J663))=0,IF(J663="",1,0),1)</f>
        <v>#REF!</v>
      </c>
      <c r="CA659" s="691" t="e">
        <f ca="1">MATCH(AC659,INDIRECT(BX659),-1)</f>
        <v>#REF!</v>
      </c>
      <c r="CB659" s="4" t="e" cm="1">
        <f t="array" aca="1" ref="CB659" ca="1">IF(AND(INDEX(INDIRECT(BY659),CA659,4)&gt;=$AB659,INDEX(INDIRECT(BY659),CA659,5)&gt;=$S659,INDEX(INDIRECT(BY659),CA659,6)&gt;=$R659),1,0)</f>
        <v>#REF!</v>
      </c>
      <c r="CC659" s="4" t="e">
        <f t="shared" ref="CC659" ca="1" si="12224">MATCH(1,OFFSET(CB659:CB670,$W$2,0,COUNT(CB659:CB670)-$W$2),0)</f>
        <v>#REF!</v>
      </c>
      <c r="CD659" s="4" t="e">
        <f t="shared" ref="CD659" ca="1" si="12225">$W$2+CC659</f>
        <v>#REF!</v>
      </c>
      <c r="CE659" s="692" t="str" cm="1">
        <f t="array" aca="1" ref="CE659" ca="1">IFERROR(VLOOKUP(INDEX(CA659:CA670,CD659),INDIRECT(BY659),2,FALSE),"----")</f>
        <v>----</v>
      </c>
      <c r="CF659" s="691" t="e">
        <f ca="1">MATCH($AC659,SSEI,-1)</f>
        <v>#N/A</v>
      </c>
      <c r="CG659" s="4" t="e">
        <f ca="1">IF(AND(INDEX(SSM,CF659,4)&gt;=$AB659,INDEX(SSM,CF659,5)&gt;=$S659,INDEX(SSM,CF659,6)&gt;=$R659),1,0)</f>
        <v>#N/A</v>
      </c>
      <c r="CH659" s="4" t="e">
        <f t="shared" ref="CH659" ca="1" si="12226">MATCH(1,OFFSET(CG659:CG670,$W$2,0,COUNT(CG659:CG670)-$W$2),0)</f>
        <v>#REF!</v>
      </c>
      <c r="CI659" s="4" t="e">
        <f t="shared" ref="CI659" ca="1" si="12227">$W$2+CH659</f>
        <v>#REF!</v>
      </c>
      <c r="CJ659" s="692" t="str">
        <f ca="1">IFERROR(IF(AD660="Nested Steel Stud (wood infill)",VLOOKUP(INDEX(CF659:CF670,CI659),SSW,2,FALSE),VLOOKUP(INDEX(CF659:CF670,CI659),SSM,2,FALSE)),"----")</f>
        <v>----</v>
      </c>
      <c r="CK659" s="691" t="e">
        <f ca="1">MATCH($AC659,WSEI,-1)</f>
        <v>#N/A</v>
      </c>
      <c r="CL659" s="4" t="e">
        <f ca="1">IF(AND(INDEX(WSM,CK659,4)&gt;=$AB659,INDEX(WSM,CK659,5)&gt;=$S659,INDEX(WSM,CK659,6)&gt;=$R659),1,0)</f>
        <v>#N/A</v>
      </c>
      <c r="CM659" s="4" t="e">
        <f t="shared" ref="CM659" ca="1" si="12228">MATCH(1,OFFSET(CL659:CL670,$W$2,0,COUNT(CL659:CL670)-$W$2),0)</f>
        <v>#REF!</v>
      </c>
      <c r="CN659" s="4" t="e">
        <f t="shared" ref="CN659" ca="1" si="12229">$W$2+CM659</f>
        <v>#REF!</v>
      </c>
      <c r="CO659" s="692" t="str">
        <f ca="1">IFERROR(VLOOKUP(INDEX(CK659:CK670,CN659),WSM,2,FALSE),"----")</f>
        <v>----</v>
      </c>
      <c r="CP659" s="691" t="e">
        <f ca="1">MATCH($AC659,STEI,-1)</f>
        <v>#N/A</v>
      </c>
      <c r="CQ659" s="4" t="e">
        <f ca="1">IF(AND(INDEX(STM,CP659,4)&gt;=$AB659,INDEX(STM,CP659,5)&gt;=$S659,INDEX(STM,CP659,6)&gt;=$R659),1,0)</f>
        <v>#N/A</v>
      </c>
      <c r="CR659" s="4" t="e">
        <f t="shared" ref="CR659" ca="1" si="12230">MATCH(1,OFFSET(CQ659:CQ670,$W$2,0,COUNT(CQ659:CQ670)-$W$2),0)</f>
        <v>#REF!</v>
      </c>
      <c r="CS659" s="4" t="e">
        <f t="shared" ref="CS659" ca="1" si="12231">$W$2+CR659</f>
        <v>#REF!</v>
      </c>
      <c r="CT659" s="692" t="str">
        <f ca="1">IFERROR(VLOOKUP(INDEX(CP659:CP670,CS659),STM,2,FALSE),"----")</f>
        <v>----</v>
      </c>
      <c r="CU659" s="691" t="e">
        <f ca="1">MATCH($AC659,ELEI,-1)</f>
        <v>#N/A</v>
      </c>
      <c r="CV659" s="4" t="e">
        <f ca="1">IF(AND(INDEX(ELM,CU659,4)&gt;=$AB659,INDEX(ELM,CU659,5)&gt;=$S659,INDEX(ELM,CU659,6)&gt;=$R659),1,0)</f>
        <v>#N/A</v>
      </c>
      <c r="CW659" s="4" t="e">
        <f t="shared" ref="CW659" ca="1" si="12232">MATCH(1,OFFSET(CV659:CV670,$W$2,0,COUNT(CV659:CV670)-$W$2),0)</f>
        <v>#REF!</v>
      </c>
      <c r="CX659" s="4" t="e">
        <f t="shared" ref="CX659" ca="1" si="12233">$W$2+CW659</f>
        <v>#REF!</v>
      </c>
      <c r="CY659" s="692" t="str">
        <f ca="1">IFERROR(VLOOKUP(INDEX(CU659:CU670,CX659),ELM,2,FALSE),"----")</f>
        <v>----</v>
      </c>
      <c r="CZ659" s="691" t="e">
        <f ca="1">IF(LEFT($J659,7)="Clad Wo",MATCH($AC659,SPEIW,-1),MATCH($AC659,SPEI,-1))</f>
        <v>#N/A</v>
      </c>
      <c r="DA659" s="4" t="e">
        <f ca="1">IF(LEFT($J659,7)="Clad Wo",IF(AND(INDEX(SPPWS,CZ659,4)&gt;=$AB659,INDEX(SPPWS,CZ659,5)&gt;=$S659,INDEX(SPPWS,CZ659,6)&gt;=$R659),1,0),IF(AND(INDEX(SPM,CZ659,4)&gt;=$AB659,INDEX(SPM,CZ659,5)&gt;=$S659,INDEX(SPM,CZ659,6)&gt;=$R659),1,0))</f>
        <v>#N/A</v>
      </c>
      <c r="DB659" s="4" t="e">
        <f t="shared" ref="DB659" ca="1" si="12234">MATCH(1,OFFSET(DA659:DA670,$W$2,0,COUNT(DA659:DA670)-$W$2),0)</f>
        <v>#REF!</v>
      </c>
      <c r="DC659" s="4" t="e">
        <f t="shared" ref="DC659" ca="1" si="12235">$W$2+DB659</f>
        <v>#REF!</v>
      </c>
      <c r="DD659" s="693" t="str">
        <f ca="1">IF(LEFT($J659,7)="Clad Wo",IFERROR(VLOOKUP(INDEX(CZ659:CZ670,DC659),SPPWS,2,FALSE),"----"),IFERROR(VLOOKUP(INDEX(CZ659:CZ670,DC659),SPM,2,FALSE),"----"))</f>
        <v>----</v>
      </c>
      <c r="DE659" s="691" t="e">
        <f ca="1">MATCH(AC665,INDIRECT(BX659),-1)</f>
        <v>#REF!</v>
      </c>
      <c r="DF659" s="4" t="e" cm="1">
        <f t="array" aca="1" ref="DF659" ca="1">IF(AND(INDEX(INDIRECT(BY659),DE659,4)&gt;=$AB665,INDEX(INDIRECT(BY659),DE659,5)&gt;=$S659,INDEX(INDIRECT(BY659),DE659,6)&gt;=$R659),1,0)</f>
        <v>#REF!</v>
      </c>
      <c r="DG659" s="4" t="e">
        <f t="shared" ref="DG659" ca="1" si="12236">MATCH(1,OFFSET(DF659:DF670,$W$2,0,COUNT(DF659:DF670)-$W$2),0)</f>
        <v>#REF!</v>
      </c>
      <c r="DH659" s="4" t="e">
        <f t="shared" ref="DH659" ca="1" si="12237">$W$2+DG659</f>
        <v>#REF!</v>
      </c>
      <c r="DI659" s="692" t="str" cm="1">
        <f t="array" aca="1" ref="DI659" ca="1">IFERROR(VLOOKUP(INDEX(DE659:DE670,DH659),INDIRECT(BY659),2,FALSE),"----")</f>
        <v>----</v>
      </c>
      <c r="DJ659" s="691" t="e">
        <f ca="1">MATCH($AC665,SSEI,-1)</f>
        <v>#N/A</v>
      </c>
      <c r="DK659" s="4" t="e">
        <f ca="1">IF(AND(INDEX(SSM,DJ659,4)&gt;=$AB665,INDEX(SSM,DJ659,5)&gt;=$S659,INDEX(SSM,DJ659,6)&gt;=$R659),1,0)</f>
        <v>#N/A</v>
      </c>
      <c r="DL659" s="4" t="e">
        <f t="shared" ref="DL659" ca="1" si="12238">MATCH(1,OFFSET(DK659:DK670,$W$2,0,COUNT(DK659:DK670)-$W$2),0)</f>
        <v>#REF!</v>
      </c>
      <c r="DM659" s="4" t="e">
        <f t="shared" ref="DM659" ca="1" si="12239">$W$2+DL659</f>
        <v>#REF!</v>
      </c>
      <c r="DN659" s="692" t="str">
        <f ca="1">IFERROR(IF(AD666="Nested Steel Stud (wood infill)",VLOOKUP(INDEX(DJ659:DJ670,DM659),SSW,2,FALSE),VLOOKUP(INDEX(DJ659:DJ670,DM659),SSM,2,FALSE)),"----")</f>
        <v>----</v>
      </c>
      <c r="DO659" s="691" t="e">
        <f ca="1">MATCH($AC665,WSEI,-1)</f>
        <v>#N/A</v>
      </c>
      <c r="DP659" s="4" t="e">
        <f ca="1">IF(AND(INDEX(WSM,DO659,4)&gt;=$AB665,INDEX(WSM,DO659,5)&gt;=$S659,INDEX(WSM,DO659,6)&gt;=$R659),1,0)</f>
        <v>#N/A</v>
      </c>
      <c r="DQ659" s="4" t="e">
        <f t="shared" ref="DQ659" ca="1" si="12240">MATCH(1,OFFSET(DP659:DP670,$W$2,0,COUNT(DP659:DP670)-$W$2),0)</f>
        <v>#REF!</v>
      </c>
      <c r="DR659" s="4" t="e">
        <f t="shared" ref="DR659" ca="1" si="12241">$W$2+DQ659</f>
        <v>#REF!</v>
      </c>
      <c r="DS659" s="692" t="str">
        <f ca="1">IFERROR(VLOOKUP(INDEX(DO659:DO670,DR659),WSM,2,FALSE),"----")</f>
        <v>----</v>
      </c>
      <c r="DT659" s="691" t="e">
        <f ca="1">MATCH($AC665,STEI,-1)</f>
        <v>#N/A</v>
      </c>
      <c r="DU659" s="4" t="e">
        <f ca="1">IF(AND(INDEX(STM,DT659,4)&gt;=$AB665,INDEX(STM,DT659,5)&gt;=$S659,INDEX(STM,DT659,6)&gt;=$R659),1,0)</f>
        <v>#N/A</v>
      </c>
      <c r="DV659" s="4" t="e">
        <f t="shared" ref="DV659" ca="1" si="12242">MATCH(1,OFFSET(DU659:DU670,$W$2,0,COUNT(DU659:DU670)-$W$2),0)</f>
        <v>#REF!</v>
      </c>
      <c r="DW659" s="4" t="e">
        <f t="shared" ref="DW659" ca="1" si="12243">$W$2+DV659</f>
        <v>#REF!</v>
      </c>
      <c r="DX659" s="692" t="str">
        <f ca="1">IFERROR(VLOOKUP(INDEX(DT659:DT670,DW659),STM,2,FALSE),"----")</f>
        <v>----</v>
      </c>
      <c r="DY659" s="691" t="e">
        <f ca="1">MATCH($AC665,ELEI,-1)</f>
        <v>#N/A</v>
      </c>
      <c r="DZ659" s="4" t="e">
        <f ca="1">IF(AND(INDEX(ELM,DY659,4)&gt;=$AB665,INDEX(ELM,DY659,5)&gt;=$S659,INDEX(ELM,DY659,6)&gt;=$R659),1,0)</f>
        <v>#N/A</v>
      </c>
      <c r="EA659" s="4" t="e">
        <f t="shared" ref="EA659" ca="1" si="12244">MATCH(1,OFFSET(DZ659:DZ670,$W$2,0,COUNT(DZ659:DZ670)-$W$2),0)</f>
        <v>#REF!</v>
      </c>
      <c r="EB659" s="4" t="e">
        <f t="shared" ref="EB659" ca="1" si="12245">EA659+$W$2</f>
        <v>#REF!</v>
      </c>
      <c r="EC659" s="692" t="str">
        <f ca="1">IFERROR(VLOOKUP(INDEX(DY659:DY670,EB659),ELM,2,FALSE),"----")</f>
        <v>----</v>
      </c>
      <c r="ED659" s="691" t="e">
        <f ca="1">IF(LEFT($J659,7)="Clad Wo",MATCH($AC665,SPEIW,-1),MATCH($AC665,SPEI,-1))</f>
        <v>#N/A</v>
      </c>
      <c r="EE659" s="4" t="e">
        <f ca="1">IF(LEFT($J659,7)="Clad Wo",IF(AND(INDEX(SPPWS,ED659,4)&gt;=$AB665,INDEX(SPPWS,ED659,5)&gt;=$S659,INDEX(SPPWS,ED659,6)&gt;=$R659),1,0),IF(AND(INDEX(SPM,ED659,4)&gt;=$AB665,INDEX(SPM,ED659,5)&gt;=$S659,INDEX(SPM,ED659,6)&gt;=$R659),1,0))</f>
        <v>#N/A</v>
      </c>
      <c r="EF659" s="4" t="e">
        <f t="shared" ref="EF659" ca="1" si="12246">MATCH(1,OFFSET(EE659:EE670,$W$2,0,COUNT(EE659:EE670)-$W$2),0)</f>
        <v>#REF!</v>
      </c>
      <c r="EG659" s="4" t="e">
        <f t="shared" ref="EG659" ca="1" si="12247">$W$2+EF659</f>
        <v>#REF!</v>
      </c>
      <c r="EH659" s="692" t="str">
        <f ca="1">IF(LEFT($J659,7)="Clad Wo",IFERROR(VLOOKUP(INDEX(ED659:ED670,EG659),SPPWS,2,FALSE),"----"),IFERROR(VLOOKUP(INDEX(ED659:ED670,EG659),SPM,2,FALSE),"----"))</f>
        <v>----</v>
      </c>
    </row>
    <row r="660" spans="1:138" ht="15" customHeight="1" x14ac:dyDescent="0.25">
      <c r="A660" s="1085"/>
      <c r="B660" s="925"/>
      <c r="C660" s="926"/>
      <c r="D660" s="927"/>
      <c r="E660" s="995"/>
      <c r="F660" s="996"/>
      <c r="G660" s="997"/>
      <c r="H660" s="1062"/>
      <c r="I660" s="990"/>
      <c r="J660" s="908"/>
      <c r="K660" s="909"/>
      <c r="L660" s="1002"/>
      <c r="M660" s="923"/>
      <c r="N660" s="1042"/>
      <c r="O660" s="1018"/>
      <c r="P660" s="987"/>
      <c r="Q660" s="1015"/>
      <c r="R660" s="1012"/>
      <c r="S660" s="1006"/>
      <c r="T660" s="1007"/>
      <c r="U660" s="878"/>
      <c r="V660" s="881"/>
      <c r="W660" s="884"/>
      <c r="X660" s="884"/>
      <c r="Y660" s="887"/>
      <c r="Z660" s="887"/>
      <c r="AA660" s="887"/>
      <c r="AB660" s="1081"/>
      <c r="AC660" s="1078"/>
      <c r="AD660" s="1102" t="s">
        <v>38</v>
      </c>
      <c r="AE660" s="1103"/>
      <c r="AF660" s="1052"/>
      <c r="AG660" s="1053"/>
      <c r="AH660" s="1053"/>
      <c r="AI660" s="1066"/>
      <c r="AJ660" s="1067"/>
      <c r="AK660" s="156" t="str">
        <f t="shared" ca="1" si="11298"/>
        <v/>
      </c>
      <c r="AL660" s="1039"/>
      <c r="AM660" s="343" t="str">
        <f ca="1">IFERROR(Q659/12*ROUND(VLOOKUP(AF660,OFFSET(SSM,0,1),6,FALSE),2),"")</f>
        <v/>
      </c>
      <c r="AN660" t="str">
        <f t="shared" ca="1" si="11348"/>
        <v/>
      </c>
      <c r="AP660" s="122" t="str">
        <f t="shared" ref="AP660" si="12248">_xlfn.CONCAT(AR660,AS664)</f>
        <v/>
      </c>
      <c r="AQ660" s="683" t="str">
        <f t="shared" si="11512"/>
        <v/>
      </c>
      <c r="AR660" s="96" t="str">
        <f t="shared" si="11273"/>
        <v/>
      </c>
      <c r="AS660" s="96" t="str">
        <f>IF(COUNTIF(Vista_1,AF659)=1,"Vista_1",IF(COUNTIF(Vista_2,AF659)=1,"Vista_2",""))</f>
        <v/>
      </c>
      <c r="AT660" s="684" t="str">
        <f>AL659</f>
        <v/>
      </c>
      <c r="AU660" s="694" t="e">
        <f t="shared" ref="AU660" ca="1" si="12249">AU659-1</f>
        <v>#REF!</v>
      </c>
      <c r="AV660" s="686" t="str">
        <f ca="1">IFERROR(VLOOKUP(AU660,INDIRECT(AQ659),2,FALSE),"----")</f>
        <v>----</v>
      </c>
      <c r="AW660" s="694" t="e">
        <f t="shared" ref="AW660:AW661" ca="1" si="12250">AW659-1</f>
        <v>#REF!</v>
      </c>
      <c r="AX660" s="686" t="str">
        <f ca="1">IFERROR(VLOOKUP(AW660,INDIRECT(AQ660),2,FALSE),"----")</f>
        <v>----</v>
      </c>
      <c r="AY660" s="694" t="e">
        <f t="shared" ref="AY660:AY661" ca="1" si="12251">AY659-1</f>
        <v>#REF!</v>
      </c>
      <c r="AZ660" s="686" t="str">
        <f ca="1">IFERROR(VLOOKUP(AY660,INDIRECT(AQ661),2,FALSE),"----")</f>
        <v>----</v>
      </c>
      <c r="BA660" s="694" t="e">
        <f t="shared" ref="BA660:BA661" ca="1" si="12252">BA659-1</f>
        <v>#REF!</v>
      </c>
      <c r="BB660" s="686" t="str">
        <f ca="1">IFERROR(VLOOKUP(BA660,INDIRECT(AQ662),2,FALSE),"----")</f>
        <v>----</v>
      </c>
      <c r="BC660" s="694" t="e">
        <f t="shared" ref="BC660:BC661" ca="1" si="12253">BC659-1</f>
        <v>#REF!</v>
      </c>
      <c r="BD660" s="686" t="str">
        <f ca="1">IFERROR(VLOOKUP(BC660,INDIRECT(AQ663),2,FALSE),"----")</f>
        <v>----</v>
      </c>
      <c r="BE660" s="694" t="e">
        <f t="shared" ref="BE660" ca="1" si="12254">BE659-1</f>
        <v>#REF!</v>
      </c>
      <c r="BF660" s="686" t="str">
        <f ca="1">IFERROR(VLOOKUP(BE660,INDIRECT(AQ664),2,FALSE),"----")</f>
        <v>----</v>
      </c>
      <c r="BG660" s="694" t="e">
        <f t="shared" ref="BG660" ca="1" si="12255">BG659-1</f>
        <v>#REF!</v>
      </c>
      <c r="BH660" s="686" t="str">
        <f ca="1">IFERROR(VLOOKUP(BG660,INDIRECT(AQ665),2,FALSE),"----")</f>
        <v>----</v>
      </c>
      <c r="BI660" s="694" t="e">
        <f t="shared" ref="BI660:BI661" ca="1" si="12256">BI659-1</f>
        <v>#REF!</v>
      </c>
      <c r="BJ660" s="686" t="str">
        <f ca="1">IFERROR(VLOOKUP(BI660,INDIRECT(AQ666),2,FALSE),"----")</f>
        <v>----</v>
      </c>
      <c r="BK660" s="694" t="e">
        <f t="shared" ref="BK660:BK661" ca="1" si="12257">BK659-1</f>
        <v>#REF!</v>
      </c>
      <c r="BL660" s="686" t="str">
        <f ca="1">IFERROR(VLOOKUP(BK660,INDIRECT(AQ667),2,FALSE),"----")</f>
        <v>----</v>
      </c>
      <c r="BM660" s="694" t="e">
        <f t="shared" ref="BM660:BM661" ca="1" si="12258">BM659-1</f>
        <v>#REF!</v>
      </c>
      <c r="BN660" s="686" t="str">
        <f ca="1">IFERROR(VLOOKUP(BM660,INDIRECT(AQ668),2,FALSE),"----")</f>
        <v>----</v>
      </c>
      <c r="BO660" s="694" t="e">
        <f t="shared" ref="BO660:BO661" ca="1" si="12259">BO659-1</f>
        <v>#REF!</v>
      </c>
      <c r="BP660" s="686" t="str">
        <f ca="1">IFERROR(VLOOKUP(BO660,INDIRECT(AQ669),2,FALSE),"----")</f>
        <v>----</v>
      </c>
      <c r="BQ660" s="694" t="e">
        <f t="shared" ref="BQ660" ca="1" si="12260">BQ659-1</f>
        <v>#REF!</v>
      </c>
      <c r="BR660" s="686" t="str">
        <f ca="1">IFERROR(VLOOKUP(BQ660,INDIRECT(AQ670),2,FALSE),"----")</f>
        <v>----</v>
      </c>
      <c r="BS660" s="695">
        <f>IF(AI660="",1,IF(COUNTIF(AX659:AX670,AI660)=0,2,1))</f>
        <v>1</v>
      </c>
      <c r="BT660" s="696">
        <f>IF(AF660="",1,IF(AX659=".",2,1))</f>
        <v>1</v>
      </c>
      <c r="BU660" s="706"/>
      <c r="BV660" s="155">
        <f ca="1">IF(COUNTIF(CJ659:CJ670,AF660)=0,IF(AF660&lt;&gt;"",0,1),1)</f>
        <v>1</v>
      </c>
      <c r="BW660" s="157">
        <f ca="1">IFERROR(MATCH(AF660,CJ659:CJ670,0),1)</f>
        <v>1</v>
      </c>
      <c r="BX660" s="769"/>
      <c r="BY660" s="769"/>
      <c r="BZ660" s="1110"/>
      <c r="CA660" s="691" t="e">
        <f t="shared" ref="CA660:CA670" ca="1" si="12261">CA659-1</f>
        <v>#REF!</v>
      </c>
      <c r="CB660" s="4" t="e" cm="1">
        <f t="array" aca="1" ref="CB660" ca="1">IF(AND(INDEX(INDIRECT(BY659),CA660,4)&gt;=$AB659,INDEX(INDIRECT(BY659),CA660,5)&gt;=$S659,INDEX(INDIRECT(BY659),CA660,6)&gt;=$R659),1,0)</f>
        <v>#REF!</v>
      </c>
      <c r="CC660" s="4" t="e">
        <f t="shared" ref="CC660" ca="1" si="12262">MATCH(1,OFFSET(CB659:CB670,CD659,0,COUNT(CB659:CB670)-CD659),0)</f>
        <v>#REF!</v>
      </c>
      <c r="CD660" s="4" t="e">
        <f t="shared" ref="CD660:CD670" ca="1" si="12263">CD659+CC660</f>
        <v>#REF!</v>
      </c>
      <c r="CE660" s="692" t="str" cm="1">
        <f t="array" aca="1" ref="CE660" ca="1">IFERROR(VLOOKUP(INDEX(CA659:CA670,CD660),INDIRECT(BY659),2,FALSE),"----")</f>
        <v>----</v>
      </c>
      <c r="CF660" s="691" t="e">
        <f t="shared" ref="CF660:CF670" ca="1" si="12264">CF659-1</f>
        <v>#N/A</v>
      </c>
      <c r="CG660" s="4" t="e">
        <f ca="1">IF(AND(INDEX(SSM,CF660,4)&gt;=$AB659,INDEX(SSM,CF660,5)&gt;=$S659,INDEX(SSM,CF660,6)&gt;=$R659),1,0)</f>
        <v>#N/A</v>
      </c>
      <c r="CH660" s="4" t="e">
        <f t="shared" ref="CH660" ca="1" si="12265">MATCH(1,OFFSET(CG659:CG670,CI659,0,COUNT(CG659:CG670)-CI659),0)</f>
        <v>#REF!</v>
      </c>
      <c r="CI660" s="4" t="e">
        <f t="shared" ref="CI660:CI670" ca="1" si="12266">CI659+CH660</f>
        <v>#REF!</v>
      </c>
      <c r="CJ660" s="692" t="str">
        <f ca="1">IFERROR(IF(AD660="Nested Steel Stud (wood infill)",VLOOKUP(INDEX(CF659:CF670,CI660),SSW,2,FALSE),VLOOKUP(INDEX(CF659:CF670,CI660),SSM,2,FALSE)),"----")</f>
        <v>----</v>
      </c>
      <c r="CK660" s="691" t="e">
        <f t="shared" ref="CK660:CK670" ca="1" si="12267">CK659-1</f>
        <v>#N/A</v>
      </c>
      <c r="CL660" s="4" t="e">
        <f ca="1">IF(AND(INDEX(WSM,CK660,4)&gt;=$AB659,INDEX(WSM,CK660,5)&gt;=$S659,INDEX(WSM,CK660,6)&gt;=$R659),1,0)</f>
        <v>#N/A</v>
      </c>
      <c r="CM660" s="4" t="e">
        <f t="shared" ref="CM660" ca="1" si="12268">MATCH(1,OFFSET(CL659:CL670,CN659,0,COUNT(CL659:CL670)-CN659),0)</f>
        <v>#REF!</v>
      </c>
      <c r="CN660" s="4" t="e">
        <f t="shared" ref="CN660:CN670" ca="1" si="12269">CM660+CN659</f>
        <v>#REF!</v>
      </c>
      <c r="CO660" s="692" t="str">
        <f ca="1">IFERROR(VLOOKUP(INDEX(CK659:CK670,CN660),WSM,2,FALSE),"----")</f>
        <v>----</v>
      </c>
      <c r="CP660" s="691" t="e">
        <f t="shared" ref="CP660:CP670" ca="1" si="12270">CP659-1</f>
        <v>#N/A</v>
      </c>
      <c r="CQ660" s="4" t="e">
        <f ca="1">IF(AND(INDEX(STM,CP660,4)&gt;=$AB659,INDEX(STM,CP660,5)&gt;=$S659,INDEX(STM,CP660,6)&gt;=$R659),1,0)</f>
        <v>#N/A</v>
      </c>
      <c r="CR660" s="4" t="e">
        <f t="shared" ref="CR660" ca="1" si="12271">MATCH(1,OFFSET(CQ659:CQ670,CS659,0,COUNT(CQ659:CQ670)-CS659),0)</f>
        <v>#REF!</v>
      </c>
      <c r="CS660" s="4" t="e">
        <f t="shared" ref="CS660:CS670" ca="1" si="12272">CR660+CS659</f>
        <v>#REF!</v>
      </c>
      <c r="CT660" s="692" t="str">
        <f ca="1">IFERROR(VLOOKUP(INDEX(CP659:CP670,CS660),STM,2,FALSE),"----")</f>
        <v>----</v>
      </c>
      <c r="CU660" s="691" t="e">
        <f t="shared" ref="CU660:CU670" ca="1" si="12273">CU659-1</f>
        <v>#N/A</v>
      </c>
      <c r="CV660" s="4" t="e">
        <f ca="1">IF(AND(INDEX(ELM,CU660,4)&gt;=$AB659,INDEX(ELM,CU660,5)&gt;=$S659,INDEX(ELM,CU660,6)&gt;=$R659),1,0)</f>
        <v>#N/A</v>
      </c>
      <c r="CW660" s="4" t="e">
        <f t="shared" ref="CW660" ca="1" si="12274">MATCH(1,OFFSET(CV659:CV670,CX659,0,COUNT(CV659:CV670)-CX659),0)</f>
        <v>#REF!</v>
      </c>
      <c r="CX660" s="4" t="e">
        <f t="shared" ref="CX660:CX670" ca="1" si="12275">CW660+CX659</f>
        <v>#REF!</v>
      </c>
      <c r="CY660" s="692" t="str">
        <f ca="1">IFERROR(VLOOKUP(INDEX(CU659:CU670,CX660),ELM,2,FALSE),"----")</f>
        <v>----</v>
      </c>
      <c r="CZ660" s="691" t="e">
        <f t="shared" ref="CZ660:CZ670" ca="1" si="12276">CZ659-1</f>
        <v>#N/A</v>
      </c>
      <c r="DA660" s="4" t="e">
        <f ca="1">IF(LEFT($J659,7)="Clad Wo",IF(AND(INDEX(SPPWS,CZ660,4)&gt;=$AB659,INDEX(SPPWS,CZ660,5)&gt;=$S659,INDEX(SPPWS,CZ660,6)&gt;=$R659),1,0),IF(AND(INDEX(SPM,CZ660,4)&gt;=$AB659,INDEX(SPM,CZ660,5)&gt;=$S659,INDEX(SPM,CZ660,6)&gt;=$R659),1,0))</f>
        <v>#N/A</v>
      </c>
      <c r="DB660" s="4" t="e">
        <f t="shared" ref="DB660" ca="1" si="12277">MATCH(1,OFFSET(DA659:DA670,DC659,0,COUNT(DA659:DA670)-DC659),0)</f>
        <v>#REF!</v>
      </c>
      <c r="DC660" s="4" t="e">
        <f t="shared" ref="DC660:DC670" ca="1" si="12278">DC659+DB660</f>
        <v>#REF!</v>
      </c>
      <c r="DD660" s="693" t="str">
        <f ca="1">IF(LEFT($J659,7)="Clad Wo",IFERROR(VLOOKUP(INDEX(CZ659:CZ670,DC660),SPPWS,2,FALSE),"----"),IFERROR(VLOOKUP(INDEX(CZ659:CZ670,DC660),SPM,2,FALSE),"----"))</f>
        <v>----</v>
      </c>
      <c r="DE660" s="691" t="e">
        <f t="shared" ref="DE660:DE670" ca="1" si="12279">DE659-1</f>
        <v>#REF!</v>
      </c>
      <c r="DF660" s="4" t="e" cm="1">
        <f t="array" aca="1" ref="DF660" ca="1">IF(AND(INDEX(INDIRECT(BY659),DE660,4)&gt;=$AB665,INDEX(INDIRECT(BY659),DE660,5)&gt;=$S659,INDEX(INDIRECT(BY659),DE660,6)&gt;=$R659),1,0)</f>
        <v>#REF!</v>
      </c>
      <c r="DG660" s="4" t="e">
        <f t="shared" ref="DG660" ca="1" si="12280">MATCH(1,OFFSET(DF659:DF670,DH659,0,COUNT(DF659:DF670)-DH659),0)</f>
        <v>#REF!</v>
      </c>
      <c r="DH660" s="4" t="e">
        <f t="shared" ref="DH660:DH670" ca="1" si="12281">DH659+DG660</f>
        <v>#REF!</v>
      </c>
      <c r="DI660" s="692" t="str" cm="1">
        <f t="array" aca="1" ref="DI660" ca="1">IFERROR(VLOOKUP(INDEX(DE659:DE670,DH660),INDIRECT(BY659),2,FALSE),"----")</f>
        <v>----</v>
      </c>
      <c r="DJ660" s="691" t="e">
        <f t="shared" ref="DJ660:DJ670" ca="1" si="12282">DJ659-1</f>
        <v>#N/A</v>
      </c>
      <c r="DK660" s="4" t="e">
        <f ca="1">IF(AND(INDEX(SSM,DJ660,4)&gt;=$AB665,INDEX(SSM,DJ660,5)&gt;=$S659,INDEX(SSM,DJ660,6)&gt;=$R659),1,0)</f>
        <v>#N/A</v>
      </c>
      <c r="DL660" s="4" t="e">
        <f t="shared" ref="DL660" ca="1" si="12283">MATCH(1,OFFSET(DK659:DK670,DM659,0,COUNT(DK659:DK670)-DM659),0)</f>
        <v>#REF!</v>
      </c>
      <c r="DM660" s="4" t="e">
        <f t="shared" ref="DM660:DM670" ca="1" si="12284">DL660+DM659</f>
        <v>#REF!</v>
      </c>
      <c r="DN660" s="692" t="str">
        <f ca="1">IFERROR(IF(AD666="Nested Steel Stud (wood infill)",VLOOKUP(INDEX(DJ659:DJ670,DM660),SSW,2,FALSE),VLOOKUP(INDEX(DJ659:DJ670,DM660),SSM,2,FALSE)),"----")</f>
        <v>----</v>
      </c>
      <c r="DO660" s="691" t="e">
        <f t="shared" ref="DO660:DO670" ca="1" si="12285">DO659-1</f>
        <v>#N/A</v>
      </c>
      <c r="DP660" s="4" t="e">
        <f ca="1">IF(AND(INDEX(WSM,DO660,4)&gt;=$AB665,INDEX(WSM,DO660,5)&gt;=$S659,INDEX(WSM,DO660,6)&gt;=$R659),1,0)</f>
        <v>#N/A</v>
      </c>
      <c r="DQ660" s="4" t="e">
        <f t="shared" ref="DQ660" ca="1" si="12286">MATCH(1,OFFSET(DP659:DP670,DR659,0,COUNT(DP659:DP670)-DR659),0)</f>
        <v>#REF!</v>
      </c>
      <c r="DR660" s="4" t="e">
        <f t="shared" ref="DR660:DR670" ca="1" si="12287">DQ660+DR659</f>
        <v>#REF!</v>
      </c>
      <c r="DS660" s="692" t="str">
        <f ca="1">IFERROR(VLOOKUP(INDEX(DO659:DO670,DR660),WSM,2,FALSE),"----")</f>
        <v>----</v>
      </c>
      <c r="DT660" s="691" t="e">
        <f t="shared" ref="DT660:DT670" ca="1" si="12288">DT659-1</f>
        <v>#N/A</v>
      </c>
      <c r="DU660" s="4" t="e">
        <f ca="1">IF(AND(INDEX(STM,DT660,4)&gt;=$AB665,INDEX(STM,DT660,5)&gt;=$S659,INDEX(STM,DT660,6)&gt;=$R659),1,0)</f>
        <v>#N/A</v>
      </c>
      <c r="DV660" s="4" t="e">
        <f t="shared" ref="DV660" ca="1" si="12289">MATCH(1,OFFSET(DU659:DU670,DW659,0,COUNT(DU659:DU670)-DW659),0)</f>
        <v>#REF!</v>
      </c>
      <c r="DW660" s="4" t="e">
        <f t="shared" ref="DW660:DW670" ca="1" si="12290">DV660+DW659</f>
        <v>#REF!</v>
      </c>
      <c r="DX660" s="692" t="str">
        <f ca="1">IFERROR(VLOOKUP(INDEX(DT659:DT670,DW660),STM,2,FALSE),"----")</f>
        <v>----</v>
      </c>
      <c r="DY660" s="691" t="e">
        <f t="shared" ref="DY660:DY670" ca="1" si="12291">DY659-1</f>
        <v>#N/A</v>
      </c>
      <c r="DZ660" s="4" t="e">
        <f ca="1">IF(AND(INDEX(ELM,DY660,4)&gt;=$AB665,INDEX(ELM,DY660,5)&gt;=$S659,INDEX(ELM,DY660,6)&gt;=$R659),1,0)</f>
        <v>#N/A</v>
      </c>
      <c r="EA660" s="4" t="e">
        <f t="shared" ref="EA660" ca="1" si="12292">MATCH(1,OFFSET(DZ659:DZ670,EB659,0,COUNT(DZ659:DZ670)-EB659),0)</f>
        <v>#REF!</v>
      </c>
      <c r="EB660" s="4" t="e">
        <f t="shared" ref="EB660:EB670" ca="1" si="12293">EA660+EB659</f>
        <v>#REF!</v>
      </c>
      <c r="EC660" s="692" t="str">
        <f ca="1">IFERROR(VLOOKUP(INDEX(DY659:DY670,EB660),ELM,2,FALSE),"----")</f>
        <v>----</v>
      </c>
      <c r="ED660" s="691" t="e">
        <f t="shared" ref="ED660:ED670" ca="1" si="12294">ED659-1</f>
        <v>#N/A</v>
      </c>
      <c r="EE660" s="4" t="e">
        <f ca="1">IF(LEFT($J659,7)="Clad Wo",IF(AND(INDEX(SPPWS,ED660,4)&gt;=$AB665,INDEX(SPPWS,ED660,5)&gt;=$S659,INDEX(SPPWS,ED660,6)&gt;=$R659),1,0),IF(AND(INDEX(SPM,ED660,4)&gt;=$AB665,INDEX(SPM,ED660,5)&gt;=$S659,INDEX(SPM,ED660,6)&gt;=$R659),1,0))</f>
        <v>#N/A</v>
      </c>
      <c r="EF660" s="4" t="e">
        <f t="shared" ref="EF660" ca="1" si="12295">MATCH(1,OFFSET(EE659:EE670,EG659,0,COUNT(EE659:EE670)-EG659),0)</f>
        <v>#REF!</v>
      </c>
      <c r="EG660" s="4" t="e">
        <f t="shared" ref="EG660:EG670" ca="1" si="12296">EG659+EF660</f>
        <v>#REF!</v>
      </c>
      <c r="EH660" s="692" t="str">
        <f ca="1">IF(LEFT($J659,7)="Clad Wo",IFERROR(VLOOKUP(INDEX(ED659:ED670,EG660),SPPWS,2,FALSE),"----"),IFERROR(VLOOKUP(INDEX(ED659:ED670,EG660),SPM,2,FALSE),"----"))</f>
        <v>----</v>
      </c>
    </row>
    <row r="661" spans="1:138" ht="15" customHeight="1" x14ac:dyDescent="0.25">
      <c r="A661" s="1085"/>
      <c r="B661" s="925"/>
      <c r="C661" s="926"/>
      <c r="D661" s="927"/>
      <c r="E661" s="995"/>
      <c r="F661" s="996"/>
      <c r="G661" s="997"/>
      <c r="H661" s="1062"/>
      <c r="I661" s="990"/>
      <c r="J661" s="908"/>
      <c r="K661" s="909"/>
      <c r="L661" s="1002"/>
      <c r="M661" s="923"/>
      <c r="N661" s="1042"/>
      <c r="O661" s="1018"/>
      <c r="P661" s="987"/>
      <c r="Q661" s="1015"/>
      <c r="R661" s="1012"/>
      <c r="S661" s="1006"/>
      <c r="T661" s="1007"/>
      <c r="U661" s="878"/>
      <c r="V661" s="881"/>
      <c r="W661" s="884"/>
      <c r="X661" s="884"/>
      <c r="Y661" s="887"/>
      <c r="Z661" s="887"/>
      <c r="AA661" s="887"/>
      <c r="AB661" s="1081"/>
      <c r="AC661" s="1078"/>
      <c r="AD661" s="1070" t="s">
        <v>333</v>
      </c>
      <c r="AE661" s="1071"/>
      <c r="AF661" s="1052"/>
      <c r="AG661" s="1053"/>
      <c r="AH661" s="1053"/>
      <c r="AI661" s="1066"/>
      <c r="AJ661" s="1067"/>
      <c r="AK661" s="154" t="str">
        <f t="shared" ca="1" si="11298"/>
        <v/>
      </c>
      <c r="AL661" s="1039"/>
      <c r="AM661" s="344" t="str">
        <f ca="1">IFERROR(Q659/12*ROUND(VLOOKUP(AF661,OFFSET(WSM,0,1),6,FALSE),2),"")</f>
        <v/>
      </c>
      <c r="AN661" t="str">
        <f t="shared" ca="1" si="11348"/>
        <v/>
      </c>
      <c r="AP661" s="122" t="str">
        <f t="shared" ref="AP661" si="12297">_xlfn.CONCAT(AR661,AS664)</f>
        <v/>
      </c>
      <c r="AQ661" s="683" t="str">
        <f t="shared" si="11512"/>
        <v/>
      </c>
      <c r="AR661" s="4" t="str">
        <f t="shared" si="11273"/>
        <v/>
      </c>
      <c r="AS661" s="4"/>
      <c r="AT661" s="697" t="str">
        <f>AL659</f>
        <v/>
      </c>
      <c r="AU661" s="694" t="e">
        <f t="shared" ca="1" si="11538"/>
        <v>#REF!</v>
      </c>
      <c r="AV661" s="686" t="str">
        <f ca="1">IFERROR(VLOOKUP(AU661,INDIRECT(AQ659),2,FALSE),"----")</f>
        <v>----</v>
      </c>
      <c r="AW661" s="694" t="e">
        <f t="shared" ca="1" si="12250"/>
        <v>#REF!</v>
      </c>
      <c r="AX661" s="686" t="str">
        <f ca="1">IFERROR(VLOOKUP(AW661,INDIRECT(AQ660),2,FALSE),"----")</f>
        <v>----</v>
      </c>
      <c r="AY661" s="694" t="e">
        <f t="shared" ca="1" si="12251"/>
        <v>#REF!</v>
      </c>
      <c r="AZ661" s="686" t="str">
        <f ca="1">IFERROR(VLOOKUP(AY661,INDIRECT(AQ661),2,FALSE),"----")</f>
        <v>----</v>
      </c>
      <c r="BA661" s="694" t="e">
        <f t="shared" ca="1" si="12252"/>
        <v>#REF!</v>
      </c>
      <c r="BB661" s="686" t="str">
        <f ca="1">IFERROR(VLOOKUP(BA661,INDIRECT(AQ662),2,FALSE),"----")</f>
        <v>----</v>
      </c>
      <c r="BC661" s="694" t="e">
        <f t="shared" ca="1" si="12253"/>
        <v>#REF!</v>
      </c>
      <c r="BD661" s="686" t="str">
        <f ca="1">IFERROR(VLOOKUP(BC661,INDIRECT(AQ663),2,FALSE),"----")</f>
        <v>----</v>
      </c>
      <c r="BE661" s="694" t="e">
        <f t="shared" ca="1" si="11543"/>
        <v>#REF!</v>
      </c>
      <c r="BF661" s="686" t="str">
        <f ca="1">IFERROR(VLOOKUP(BE661,INDIRECT(AQ664),2,FALSE),"----")</f>
        <v>----</v>
      </c>
      <c r="BG661" s="694" t="e">
        <f t="shared" ca="1" si="11544"/>
        <v>#REF!</v>
      </c>
      <c r="BH661" s="686" t="str">
        <f ca="1">IFERROR(VLOOKUP(BG661,INDIRECT(AQ665),2,FALSE),"----")</f>
        <v>----</v>
      </c>
      <c r="BI661" s="694" t="e">
        <f t="shared" ca="1" si="12256"/>
        <v>#REF!</v>
      </c>
      <c r="BJ661" s="686" t="str">
        <f ca="1">IFERROR(VLOOKUP(BI661,INDIRECT(AQ666),2,FALSE),"----")</f>
        <v>----</v>
      </c>
      <c r="BK661" s="694" t="e">
        <f t="shared" ca="1" si="12257"/>
        <v>#REF!</v>
      </c>
      <c r="BL661" s="686" t="str">
        <f ca="1">IFERROR(VLOOKUP(BK661,INDIRECT(AQ667),2,FALSE),"----")</f>
        <v>----</v>
      </c>
      <c r="BM661" s="694" t="e">
        <f t="shared" ca="1" si="12258"/>
        <v>#REF!</v>
      </c>
      <c r="BN661" s="686" t="str">
        <f ca="1">IFERROR(VLOOKUP(BM661,INDIRECT(AQ668),2,FALSE),"----")</f>
        <v>----</v>
      </c>
      <c r="BO661" s="694" t="e">
        <f t="shared" ca="1" si="12259"/>
        <v>#REF!</v>
      </c>
      <c r="BP661" s="686" t="str">
        <f ca="1">IFERROR(VLOOKUP(BO661,INDIRECT(AQ669),2,FALSE),"----")</f>
        <v>----</v>
      </c>
      <c r="BQ661" s="694" t="e">
        <f t="shared" ca="1" si="11549"/>
        <v>#REF!</v>
      </c>
      <c r="BR661" s="686" t="str">
        <f ca="1">IFERROR(VLOOKUP(BQ661,INDIRECT(AQ670),2,FALSE),"----")</f>
        <v>----</v>
      </c>
      <c r="BS661" s="695">
        <f>IF(AI661="",1,IF(COUNTIF(AZ659:AZ670,AI661)=0,2,1))</f>
        <v>1</v>
      </c>
      <c r="BT661" s="696">
        <f>IF(AF661="",1,IF(AZ659=".",2,1))</f>
        <v>1</v>
      </c>
      <c r="BU661" s="706"/>
      <c r="BV661" s="155">
        <f ca="1">IF(COUNTIF(CO659:CO670,AF661)=0,IF(AF661&lt;&gt;"",0,1),1)</f>
        <v>1</v>
      </c>
      <c r="BW661" s="157">
        <f ca="1">IFERROR(MATCH(AF661,CO659:CO670,0),1)</f>
        <v>1</v>
      </c>
      <c r="BX661" s="769"/>
      <c r="BY661" s="769"/>
      <c r="BZ661" s="1110"/>
      <c r="CA661" s="691" t="e">
        <f t="shared" ca="1" si="12261"/>
        <v>#REF!</v>
      </c>
      <c r="CB661" s="4" t="e" cm="1">
        <f t="array" aca="1" ref="CB661" ca="1">IF(AND(INDEX(INDIRECT(BY659),CA661,4)&gt;=$AB659,INDEX(INDIRECT(BY659),CA661,5)&gt;=$S659,INDEX(INDIRECT(BY659),CA661,6)&gt;=$R659),1,0)</f>
        <v>#REF!</v>
      </c>
      <c r="CC661" s="4" t="e">
        <f t="shared" ref="CC661" ca="1" si="12298">MATCH(1,OFFSET(CB659:CB670,CD660,0,COUNT(CB659:CB670)-CD660),0)</f>
        <v>#REF!</v>
      </c>
      <c r="CD661" s="4" t="e">
        <f t="shared" ca="1" si="12263"/>
        <v>#REF!</v>
      </c>
      <c r="CE661" s="692" t="str" cm="1">
        <f t="array" aca="1" ref="CE661" ca="1">IFERROR(VLOOKUP(INDEX(CA659:CA670,CD661),INDIRECT(BY659),2,FALSE),"----")</f>
        <v>----</v>
      </c>
      <c r="CF661" s="691" t="e">
        <f t="shared" ca="1" si="12264"/>
        <v>#N/A</v>
      </c>
      <c r="CG661" s="4" t="e">
        <f ca="1">IF(AND(INDEX(SSM,CF661,4)&gt;=$AB659,INDEX(SSM,CF661,5)&gt;=$S659,INDEX(SSM,CF661,6)&gt;=$R659),1,0)</f>
        <v>#N/A</v>
      </c>
      <c r="CH661" s="4" t="e">
        <f t="shared" ref="CH661" ca="1" si="12299">MATCH(1,OFFSET(CG659:CG670,CI660,0,COUNT(CG659:CG670)-CI660),0)</f>
        <v>#REF!</v>
      </c>
      <c r="CI661" s="4" t="e">
        <f t="shared" ca="1" si="12266"/>
        <v>#REF!</v>
      </c>
      <c r="CJ661" s="692" t="str">
        <f ca="1">IFERROR(IF(AD660="Nested Steel Stud (wood infill)",VLOOKUP(INDEX(CF659:CF670,CI661),SSW,2,FALSE),VLOOKUP(INDEX(CF659:CF670,CI661),SSM,2,FALSE)),"----")</f>
        <v>----</v>
      </c>
      <c r="CK661" s="691" t="e">
        <f t="shared" ca="1" si="12267"/>
        <v>#N/A</v>
      </c>
      <c r="CL661" s="4" t="e">
        <f ca="1">IF(AND(INDEX(WSM,CK661,4)&gt;=$AB659,INDEX(WSM,CK661,5)&gt;=$S659,INDEX(WSM,CK661,6)&gt;=$R659),1,0)</f>
        <v>#N/A</v>
      </c>
      <c r="CM661" s="4" t="e">
        <f t="shared" ref="CM661" ca="1" si="12300">MATCH(1,OFFSET(CL659:CL670,CN660,0,COUNT(CL659:CL670)-CN660),0)</f>
        <v>#REF!</v>
      </c>
      <c r="CN661" s="4" t="e">
        <f t="shared" ca="1" si="12269"/>
        <v>#REF!</v>
      </c>
      <c r="CO661" s="692" t="str">
        <f ca="1">IFERROR(VLOOKUP(INDEX(CK659:CK670,CN661),WSM,2,FALSE),"----")</f>
        <v>----</v>
      </c>
      <c r="CP661" s="691" t="e">
        <f t="shared" ca="1" si="12270"/>
        <v>#N/A</v>
      </c>
      <c r="CQ661" s="4" t="e">
        <f ca="1">IF(AND(INDEX(STM,CP661,4)&gt;=$AB659,INDEX(STM,CP661,5)&gt;=$S659,INDEX(STM,CP661,6)&gt;=$R659),1,0)</f>
        <v>#N/A</v>
      </c>
      <c r="CR661" s="4" t="e">
        <f t="shared" ref="CR661" ca="1" si="12301">MATCH(1,OFFSET(CQ659:CQ670,CS660,0,COUNT(CQ659:CQ670)-CS660),0)</f>
        <v>#REF!</v>
      </c>
      <c r="CS661" s="4" t="e">
        <f t="shared" ca="1" si="12272"/>
        <v>#REF!</v>
      </c>
      <c r="CT661" s="692" t="str">
        <f ca="1">IFERROR(VLOOKUP(INDEX(CP659:CP670,CS661),STM,2,FALSE),"----")</f>
        <v>----</v>
      </c>
      <c r="CU661" s="691" t="e">
        <f t="shared" ca="1" si="12273"/>
        <v>#N/A</v>
      </c>
      <c r="CV661" s="4" t="e">
        <f ca="1">IF(AND(INDEX(ELM,CU661,4)&gt;=$AB659,INDEX(ELM,CU661,5)&gt;=$S659,INDEX(ELM,CU661,6)&gt;=$R659),1,0)</f>
        <v>#N/A</v>
      </c>
      <c r="CW661" s="4" t="e">
        <f t="shared" ref="CW661" ca="1" si="12302">MATCH(1,OFFSET(CV659:CV670,CX660,0,COUNT(CV659:CV670)-CX660),0)</f>
        <v>#REF!</v>
      </c>
      <c r="CX661" s="4" t="e">
        <f t="shared" ca="1" si="12275"/>
        <v>#REF!</v>
      </c>
      <c r="CY661" s="692" t="str">
        <f ca="1">IFERROR(VLOOKUP(INDEX(CU659:CU670,CX661),ELM,2,FALSE),"----")</f>
        <v>----</v>
      </c>
      <c r="CZ661" s="691" t="e">
        <f t="shared" ca="1" si="12276"/>
        <v>#N/A</v>
      </c>
      <c r="DA661" s="4" t="e">
        <f ca="1">IF(LEFT($J659,7)="Clad Wo",IF(AND(INDEX(SPPWS,CZ661,4)&gt;=$AB659,INDEX(SPPWS,CZ661,5)&gt;=$S659,INDEX(SPPWS,CZ661,6)&gt;=$R659),1,0),IF(AND(INDEX(SPM,CZ661,4)&gt;=$AB659,INDEX(SPM,CZ661,5)&gt;=$S659,INDEX(SPM,CZ661,6)&gt;=$R659),1,0))</f>
        <v>#N/A</v>
      </c>
      <c r="DB661" s="4" t="e">
        <f t="shared" ref="DB661" ca="1" si="12303">MATCH(1,OFFSET(DA659:DA670,DC660,0,COUNT(DA659:DA670)-DC660),0)</f>
        <v>#REF!</v>
      </c>
      <c r="DC661" s="4" t="e">
        <f t="shared" ca="1" si="12278"/>
        <v>#REF!</v>
      </c>
      <c r="DD661" s="693" t="str">
        <f ca="1">IF(LEFT($J659,7)="Clad Wo",IFERROR(VLOOKUP(INDEX(CZ659:CZ670,DC661),SPPWS,2,FALSE),"----"),IFERROR(VLOOKUP(INDEX(CZ659:CZ670,DC661),SPM,2,FALSE),"----"))</f>
        <v>----</v>
      </c>
      <c r="DE661" s="691" t="e">
        <f t="shared" ca="1" si="12279"/>
        <v>#REF!</v>
      </c>
      <c r="DF661" s="4" t="e" cm="1">
        <f t="array" aca="1" ref="DF661" ca="1">IF(AND(INDEX(INDIRECT(BY659),DE661,4)&gt;=$AB665,INDEX(INDIRECT(BY659),DE661,5)&gt;=$S659,INDEX(INDIRECT(BY659),DE661,6)&gt;=$R659),1,0)</f>
        <v>#REF!</v>
      </c>
      <c r="DG661" s="4" t="e">
        <f t="shared" ref="DG661" ca="1" si="12304">MATCH(1,OFFSET(DF659:DF670,DH660,0,COUNT(DF659:DF670)-DH660),0)</f>
        <v>#REF!</v>
      </c>
      <c r="DH661" s="4" t="e">
        <f t="shared" ca="1" si="12281"/>
        <v>#REF!</v>
      </c>
      <c r="DI661" s="692" t="str" cm="1">
        <f t="array" aca="1" ref="DI661" ca="1">IFERROR(VLOOKUP(INDEX(DE659:DE670,DH661),INDIRECT(BY659),2,FALSE),"----")</f>
        <v>----</v>
      </c>
      <c r="DJ661" s="691" t="e">
        <f t="shared" ca="1" si="12282"/>
        <v>#N/A</v>
      </c>
      <c r="DK661" s="4" t="e">
        <f ca="1">IF(AND(INDEX(SSM,DJ661,4)&gt;=$AB665,INDEX(SSM,DJ661,5)&gt;=$S659,INDEX(SSM,DJ661,6)&gt;=$R659),1,0)</f>
        <v>#N/A</v>
      </c>
      <c r="DL661" s="4" t="e">
        <f t="shared" ref="DL661" ca="1" si="12305">MATCH(1,OFFSET(DK659:DK670,DM660,0,COUNT(DK659:DK670)-DM660),0)</f>
        <v>#REF!</v>
      </c>
      <c r="DM661" s="4" t="e">
        <f t="shared" ca="1" si="12284"/>
        <v>#REF!</v>
      </c>
      <c r="DN661" s="692" t="str">
        <f ca="1">IFERROR(IF(AD666="Nested Steel Stud (wood infill)",VLOOKUP(INDEX(DJ659:DJ670,DM661),SSW,2,FALSE),VLOOKUP(INDEX(DJ659:DJ670,DM661),SSM,2,FALSE)),"----")</f>
        <v>----</v>
      </c>
      <c r="DO661" s="691" t="e">
        <f t="shared" ca="1" si="12285"/>
        <v>#N/A</v>
      </c>
      <c r="DP661" s="4" t="e">
        <f ca="1">IF(AND(INDEX(WSM,DO661,4)&gt;=$AB665,INDEX(WSM,DO661,5)&gt;=$S659,INDEX(WSM,DO661,6)&gt;=$R659),1,0)</f>
        <v>#N/A</v>
      </c>
      <c r="DQ661" s="4" t="e">
        <f t="shared" ref="DQ661" ca="1" si="12306">MATCH(1,OFFSET(DP659:DP670,DR660,0,COUNT(DP659:DP670)-DR660),0)</f>
        <v>#REF!</v>
      </c>
      <c r="DR661" s="4" t="e">
        <f t="shared" ca="1" si="12287"/>
        <v>#REF!</v>
      </c>
      <c r="DS661" s="692" t="str">
        <f ca="1">IFERROR(VLOOKUP(INDEX(DO659:DO670,DR661),WSM,2,FALSE),"----")</f>
        <v>----</v>
      </c>
      <c r="DT661" s="691" t="e">
        <f t="shared" ca="1" si="12288"/>
        <v>#N/A</v>
      </c>
      <c r="DU661" s="4" t="e">
        <f ca="1">IF(AND(INDEX(STM,DT661,4)&gt;=$AB665,INDEX(STM,DT661,5)&gt;=$S659,INDEX(STM,DT661,6)&gt;=$R659),1,0)</f>
        <v>#N/A</v>
      </c>
      <c r="DV661" s="4" t="e">
        <f t="shared" ref="DV661" ca="1" si="12307">MATCH(1,OFFSET(DU659:DU670,DW660,0,COUNT(DU659:DU670)-DW660),0)</f>
        <v>#REF!</v>
      </c>
      <c r="DW661" s="4" t="e">
        <f t="shared" ca="1" si="12290"/>
        <v>#REF!</v>
      </c>
      <c r="DX661" s="692" t="str">
        <f ca="1">IFERROR(VLOOKUP(INDEX(DT659:DT670,DW661),STM,2,FALSE),"----")</f>
        <v>----</v>
      </c>
      <c r="DY661" s="691" t="e">
        <f t="shared" ca="1" si="12291"/>
        <v>#N/A</v>
      </c>
      <c r="DZ661" s="4" t="e">
        <f ca="1">IF(AND(INDEX(ELM,DY661,4)&gt;=$AB665,INDEX(ELM,DY661,5)&gt;=$S659,INDEX(ELM,DY661,6)&gt;=$R659),1,0)</f>
        <v>#N/A</v>
      </c>
      <c r="EA661" s="4" t="e">
        <f t="shared" ref="EA661" ca="1" si="12308">MATCH(1,OFFSET(DZ659:DZ670,EB660,0,COUNT(DZ659:DZ670)-EB660),0)</f>
        <v>#REF!</v>
      </c>
      <c r="EB661" s="4" t="e">
        <f t="shared" ca="1" si="12293"/>
        <v>#REF!</v>
      </c>
      <c r="EC661" s="692" t="str">
        <f ca="1">IFERROR(VLOOKUP(INDEX(DY659:DY670,EB661),ELM,2,FALSE),"----")</f>
        <v>----</v>
      </c>
      <c r="ED661" s="691" t="e">
        <f t="shared" ca="1" si="12294"/>
        <v>#N/A</v>
      </c>
      <c r="EE661" s="4" t="e">
        <f ca="1">IF(LEFT($J659,7)="Clad Wo",IF(AND(INDEX(SPPWS,ED661,4)&gt;=$AB665,INDEX(SPPWS,ED661,5)&gt;=$S659,INDEX(SPPWS,ED661,6)&gt;=$R659),1,0),IF(AND(INDEX(SPM,ED661,4)&gt;=$AB665,INDEX(SPM,ED661,5)&gt;=$S659,INDEX(SPM,ED661,6)&gt;=$R659),1,0))</f>
        <v>#N/A</v>
      </c>
      <c r="EF661" s="4" t="e">
        <f t="shared" ref="EF661" ca="1" si="12309">MATCH(1,OFFSET(EE659:EE670,EG660,0,COUNT(EE659:EE670)-EG660),0)</f>
        <v>#REF!</v>
      </c>
      <c r="EG661" s="4" t="e">
        <f t="shared" ca="1" si="12296"/>
        <v>#REF!</v>
      </c>
      <c r="EH661" s="692" t="str">
        <f ca="1">IF(LEFT($J659,7)="Clad Wo",IFERROR(VLOOKUP(INDEX(ED659:ED670,EG661),SPPWS,2,FALSE),"----"),IFERROR(VLOOKUP(INDEX(ED659:ED670,EG661),SPM,2,FALSE),"----"))</f>
        <v>----</v>
      </c>
    </row>
    <row r="662" spans="1:138" ht="15" customHeight="1" x14ac:dyDescent="0.25">
      <c r="A662" s="1085"/>
      <c r="B662" s="925"/>
      <c r="C662" s="926"/>
      <c r="D662" s="927"/>
      <c r="E662" s="995"/>
      <c r="F662" s="996"/>
      <c r="G662" s="997"/>
      <c r="H662" s="1062"/>
      <c r="I662" s="990"/>
      <c r="J662" s="908"/>
      <c r="K662" s="909"/>
      <c r="L662" s="1002"/>
      <c r="M662" s="923"/>
      <c r="N662" s="1042"/>
      <c r="O662" s="1018"/>
      <c r="P662" s="987"/>
      <c r="Q662" s="1015"/>
      <c r="R662" s="1012"/>
      <c r="S662" s="1006"/>
      <c r="T662" s="1007"/>
      <c r="U662" s="878"/>
      <c r="V662" s="881"/>
      <c r="W662" s="884"/>
      <c r="X662" s="884"/>
      <c r="Y662" s="887"/>
      <c r="Z662" s="887"/>
      <c r="AA662" s="887"/>
      <c r="AB662" s="1081"/>
      <c r="AC662" s="1078"/>
      <c r="AD662" s="1070" t="s">
        <v>37</v>
      </c>
      <c r="AE662" s="1071"/>
      <c r="AF662" s="1052"/>
      <c r="AG662" s="1053"/>
      <c r="AH662" s="1053"/>
      <c r="AI662" s="1066"/>
      <c r="AJ662" s="1067"/>
      <c r="AK662" s="156" t="str">
        <f t="shared" ca="1" si="11298"/>
        <v/>
      </c>
      <c r="AL662" s="1039"/>
      <c r="AM662" s="343" t="str">
        <f ca="1">IFERROR(Q659/12*ROUND(VLOOKUP(AF662,OFFSET(STM,0,1),6,FALSE),2),"")</f>
        <v/>
      </c>
      <c r="AN662" t="str">
        <f t="shared" ca="1" si="11348"/>
        <v/>
      </c>
      <c r="AP662" s="122" t="str">
        <f t="shared" ref="AP662" si="12310">_xlfn.CONCAT(AR662,AS664)</f>
        <v/>
      </c>
      <c r="AQ662" s="683" t="str">
        <f t="shared" si="11512"/>
        <v/>
      </c>
      <c r="AR662" s="4" t="str">
        <f t="shared" si="11273"/>
        <v/>
      </c>
      <c r="AS662" s="4"/>
      <c r="AT662" s="697" t="str">
        <f>AL659</f>
        <v/>
      </c>
      <c r="AU662" s="694" t="e">
        <f t="shared" ca="1" si="11538"/>
        <v>#REF!</v>
      </c>
      <c r="AV662" s="686" t="str">
        <f ca="1">IFERROR(VLOOKUP(AU662,INDIRECT(AQ659),2,FALSE),"----")</f>
        <v>----</v>
      </c>
      <c r="AW662" s="694" t="e">
        <f t="shared" ca="1" si="11539"/>
        <v>#REF!</v>
      </c>
      <c r="AX662" s="686" t="str">
        <f ca="1">IFERROR(VLOOKUP(AW662,INDIRECT(AQ660),2,FALSE),"----")</f>
        <v>----</v>
      </c>
      <c r="AY662" s="694" t="e">
        <f t="shared" ref="AY662" ca="1" si="12311">AY661-1</f>
        <v>#REF!</v>
      </c>
      <c r="AZ662" s="686" t="str">
        <f ca="1">IFERROR(VLOOKUP(AY662,INDIRECT(AQ661),2,FALSE),"----")</f>
        <v>----</v>
      </c>
      <c r="BA662" s="694" t="e">
        <f t="shared" ref="BA662" ca="1" si="12312">BA661-1</f>
        <v>#REF!</v>
      </c>
      <c r="BB662" s="686" t="str">
        <f ca="1">IFERROR(VLOOKUP(BA662,INDIRECT(AQ662),2,FALSE),"----")</f>
        <v>----</v>
      </c>
      <c r="BC662" s="694" t="e">
        <f t="shared" ca="1" si="11542"/>
        <v>#REF!</v>
      </c>
      <c r="BD662" s="686" t="str">
        <f ca="1">IFERROR(VLOOKUP(BC662,INDIRECT(AQ663),2,FALSE),"----")</f>
        <v>----</v>
      </c>
      <c r="BE662" s="694" t="e">
        <f t="shared" ca="1" si="11543"/>
        <v>#REF!</v>
      </c>
      <c r="BF662" s="686" t="str">
        <f ca="1">IFERROR(VLOOKUP(BE662,INDIRECT(AQ664),2,FALSE),"----")</f>
        <v>----</v>
      </c>
      <c r="BG662" s="694" t="e">
        <f t="shared" ca="1" si="11544"/>
        <v>#REF!</v>
      </c>
      <c r="BH662" s="686" t="str">
        <f ca="1">IFERROR(VLOOKUP(BG662,INDIRECT(AQ665),2,FALSE),"----")</f>
        <v>----</v>
      </c>
      <c r="BI662" s="694" t="e">
        <f t="shared" ca="1" si="11545"/>
        <v>#REF!</v>
      </c>
      <c r="BJ662" s="686" t="str">
        <f ca="1">IFERROR(VLOOKUP(BI662,INDIRECT(AQ666),2,FALSE),"----")</f>
        <v>----</v>
      </c>
      <c r="BK662" s="694" t="e">
        <f t="shared" ca="1" si="11546"/>
        <v>#REF!</v>
      </c>
      <c r="BL662" s="686" t="str">
        <f ca="1">IFERROR(VLOOKUP(BK662,INDIRECT(AQ667),2,FALSE),"----")</f>
        <v>----</v>
      </c>
      <c r="BM662" s="694" t="e">
        <f t="shared" ca="1" si="11547"/>
        <v>#REF!</v>
      </c>
      <c r="BN662" s="686" t="str">
        <f ca="1">IFERROR(VLOOKUP(BM662,INDIRECT(AQ668),2,FALSE),"----")</f>
        <v>----</v>
      </c>
      <c r="BO662" s="694" t="e">
        <f t="shared" ca="1" si="11548"/>
        <v>#REF!</v>
      </c>
      <c r="BP662" s="686" t="str">
        <f ca="1">IFERROR(VLOOKUP(BO662,INDIRECT(AQ669),2,FALSE),"----")</f>
        <v>----</v>
      </c>
      <c r="BQ662" s="694" t="e">
        <f t="shared" ca="1" si="11549"/>
        <v>#REF!</v>
      </c>
      <c r="BR662" s="686" t="str">
        <f ca="1">IFERROR(VLOOKUP(BQ662,INDIRECT(AQ670),2,FALSE),"----")</f>
        <v>----</v>
      </c>
      <c r="BS662" s="695">
        <f>IF(AI662="",1,IF(COUNTIF(BB659:BB670,AI662)=0,2,1))</f>
        <v>1</v>
      </c>
      <c r="BT662" s="696">
        <f>IF(AF662="",1,IF(BB659=".",2,1))</f>
        <v>1</v>
      </c>
      <c r="BU662" s="706"/>
      <c r="BV662" s="155">
        <f ca="1">IF(COUNTIF(CT659:CT670,AF662)=0,IF(AF662&lt;&gt;"",0,1),1)</f>
        <v>1</v>
      </c>
      <c r="BW662" s="157">
        <f ca="1">IFERROR(MATCH(AF662,CT659:CT670,0),1)</f>
        <v>1</v>
      </c>
      <c r="BX662" s="769"/>
      <c r="BY662" s="769"/>
      <c r="BZ662" s="1110"/>
      <c r="CA662" s="691" t="e">
        <f t="shared" ca="1" si="12261"/>
        <v>#REF!</v>
      </c>
      <c r="CB662" s="4" t="e" cm="1">
        <f t="array" aca="1" ref="CB662" ca="1">IF(AND(INDEX(INDIRECT(BY659),CA662,4)&gt;=$AB659,INDEX(INDIRECT(BY659),CA662,5)&gt;=$S659,INDEX(INDIRECT(BY659),CA662,6)&gt;=$R659),1,0)</f>
        <v>#REF!</v>
      </c>
      <c r="CC662" s="4" t="e">
        <f t="shared" ref="CC662" ca="1" si="12313">MATCH(1,OFFSET(CB659:CB670,CD661,0,COUNT(CB659:CB670)-CD661),0)</f>
        <v>#REF!</v>
      </c>
      <c r="CD662" s="4" t="e">
        <f t="shared" ca="1" si="12263"/>
        <v>#REF!</v>
      </c>
      <c r="CE662" s="692" t="str" cm="1">
        <f t="array" aca="1" ref="CE662" ca="1">IFERROR(VLOOKUP(INDEX(CA659:CA670,CD662),INDIRECT(BY659),2,FALSE),"----")</f>
        <v>----</v>
      </c>
      <c r="CF662" s="691" t="e">
        <f t="shared" ca="1" si="12264"/>
        <v>#N/A</v>
      </c>
      <c r="CG662" s="4" t="e">
        <f ca="1">IF(AND(INDEX(SSM,CF662,4)&gt;=$AB659,INDEX(SSM,CF662,5)&gt;=$S659,INDEX(SSM,CF662,6)&gt;=$R659),1,0)</f>
        <v>#N/A</v>
      </c>
      <c r="CH662" s="4" t="e">
        <f t="shared" ref="CH662" ca="1" si="12314">MATCH(1,OFFSET(CG659:CG670,CI661,0,COUNT(CG659:CG670)-CI661),0)</f>
        <v>#REF!</v>
      </c>
      <c r="CI662" s="4" t="e">
        <f t="shared" ca="1" si="12266"/>
        <v>#REF!</v>
      </c>
      <c r="CJ662" s="692" t="str">
        <f ca="1">IFERROR(IF(AD660="Nested Steel Stud (wood infill)",VLOOKUP(INDEX(CF659:CF670,CI662),SSW,2,FALSE),VLOOKUP(INDEX(CF659:CF670,CI662),SSM,2,FALSE)),"----")</f>
        <v>----</v>
      </c>
      <c r="CK662" s="691" t="e">
        <f t="shared" ca="1" si="12267"/>
        <v>#N/A</v>
      </c>
      <c r="CL662" s="4" t="e">
        <f ca="1">IF(AND(INDEX(WSM,CK662,4)&gt;=$AB659,INDEX(WSM,CK662,5)&gt;=$S659,INDEX(WSM,CK662,6)&gt;=$R659),1,0)</f>
        <v>#N/A</v>
      </c>
      <c r="CM662" s="4" t="e">
        <f t="shared" ref="CM662" ca="1" si="12315">MATCH(1,OFFSET(CL659:CL670,CN661,0,COUNT(CL659:CL670)-CN661),0)</f>
        <v>#REF!</v>
      </c>
      <c r="CN662" s="4" t="e">
        <f t="shared" ca="1" si="12269"/>
        <v>#REF!</v>
      </c>
      <c r="CO662" s="692" t="str">
        <f ca="1">IFERROR(VLOOKUP(INDEX(CK659:CK670,CN662),WSM,2,FALSE),"----")</f>
        <v>----</v>
      </c>
      <c r="CP662" s="691" t="e">
        <f t="shared" ca="1" si="12270"/>
        <v>#N/A</v>
      </c>
      <c r="CQ662" s="4" t="e">
        <f ca="1">IF(AND(INDEX(STM,CP662,4)&gt;=$AB659,INDEX(STM,CP662,5)&gt;=$S659,INDEX(STM,CP662,6)&gt;=$R659),1,0)</f>
        <v>#N/A</v>
      </c>
      <c r="CR662" s="4" t="e">
        <f t="shared" ref="CR662" ca="1" si="12316">MATCH(1,OFFSET(CQ659:CQ670,CS661,0,COUNT(CQ659:CQ670)-CS661),0)</f>
        <v>#REF!</v>
      </c>
      <c r="CS662" s="4" t="e">
        <f t="shared" ca="1" si="12272"/>
        <v>#REF!</v>
      </c>
      <c r="CT662" s="692" t="str">
        <f ca="1">IFERROR(VLOOKUP(INDEX(CP659:CP670,CS662),STM,2,FALSE),"----")</f>
        <v>----</v>
      </c>
      <c r="CU662" s="691" t="e">
        <f t="shared" ca="1" si="12273"/>
        <v>#N/A</v>
      </c>
      <c r="CV662" s="4" t="e">
        <f ca="1">IF(AND(INDEX(ELM,CU662,4)&gt;=$AB659,INDEX(ELM,CU662,5)&gt;=$S659,INDEX(ELM,CU662,6)&gt;=$R659),1,0)</f>
        <v>#N/A</v>
      </c>
      <c r="CW662" s="4" t="e">
        <f t="shared" ref="CW662" ca="1" si="12317">MATCH(1,OFFSET(CV659:CV670,CX661,0,COUNT(CV659:CV670)-CX661),0)</f>
        <v>#REF!</v>
      </c>
      <c r="CX662" s="4" t="e">
        <f t="shared" ca="1" si="12275"/>
        <v>#REF!</v>
      </c>
      <c r="CY662" s="692" t="str">
        <f ca="1">IFERROR(VLOOKUP(INDEX(CU659:CU670,CX662),ELM,2,FALSE),"----")</f>
        <v>----</v>
      </c>
      <c r="CZ662" s="691" t="e">
        <f t="shared" ca="1" si="12276"/>
        <v>#N/A</v>
      </c>
      <c r="DA662" s="4" t="e">
        <f ca="1">IF(LEFT($J659,7)="Clad Wo",IF(AND(INDEX(SPPWS,CZ662,4)&gt;=$AB659,INDEX(SPPWS,CZ662,5)&gt;=$S659,INDEX(SPPWS,CZ662,6)&gt;=$R659),1,0),IF(AND(INDEX(SPM,CZ662,4)&gt;=$AB659,INDEX(SPM,CZ662,5)&gt;=$S659,INDEX(SPM,CZ662,6)&gt;=$R659),1,0))</f>
        <v>#N/A</v>
      </c>
      <c r="DB662" s="4" t="e">
        <f t="shared" ref="DB662" ca="1" si="12318">MATCH(1,OFFSET(DA659:DA670,DC661,0,COUNT(DA659:DA670)-DC661),0)</f>
        <v>#REF!</v>
      </c>
      <c r="DC662" s="4" t="e">
        <f t="shared" ca="1" si="12278"/>
        <v>#REF!</v>
      </c>
      <c r="DD662" s="693" t="str">
        <f ca="1">IF(LEFT($J659,7)="Clad Wo",IFERROR(VLOOKUP(INDEX(CZ659:CZ670,DC662),SPPWS,2,FALSE),"----"),IFERROR(VLOOKUP(INDEX(CZ659:CZ670,DC662),SPM,2,FALSE),"----"))</f>
        <v>----</v>
      </c>
      <c r="DE662" s="691" t="e">
        <f t="shared" ca="1" si="12279"/>
        <v>#REF!</v>
      </c>
      <c r="DF662" s="4" t="e" cm="1">
        <f t="array" aca="1" ref="DF662" ca="1">IF(AND(INDEX(INDIRECT(BY659),DE662,4)&gt;=$AB665,INDEX(INDIRECT(BY659),DE662,5)&gt;=$S659,INDEX(INDIRECT(BY659),DE662,6)&gt;=$R659),1,0)</f>
        <v>#REF!</v>
      </c>
      <c r="DG662" s="4" t="e">
        <f t="shared" ref="DG662" ca="1" si="12319">MATCH(1,OFFSET(DF659:DF670,DH661,0,COUNT(DF659:DF670)-DH661),0)</f>
        <v>#REF!</v>
      </c>
      <c r="DH662" s="4" t="e">
        <f t="shared" ca="1" si="12281"/>
        <v>#REF!</v>
      </c>
      <c r="DI662" s="692" t="str" cm="1">
        <f t="array" aca="1" ref="DI662" ca="1">IFERROR(VLOOKUP(INDEX(DE659:DE670,DH662),INDIRECT(BY659),2,FALSE),"----")</f>
        <v>----</v>
      </c>
      <c r="DJ662" s="691" t="e">
        <f t="shared" ca="1" si="12282"/>
        <v>#N/A</v>
      </c>
      <c r="DK662" s="4" t="e">
        <f ca="1">IF(AND(INDEX(SSM,DJ662,4)&gt;=$AB665,INDEX(SSM,DJ662,5)&gt;=$S659,INDEX(SSM,DJ662,6)&gt;=$R659),1,0)</f>
        <v>#N/A</v>
      </c>
      <c r="DL662" s="4" t="e">
        <f t="shared" ref="DL662" ca="1" si="12320">MATCH(1,OFFSET(DK659:DK670,DM661,0,COUNT(DK659:DK670)-DM661),0)</f>
        <v>#REF!</v>
      </c>
      <c r="DM662" s="4" t="e">
        <f t="shared" ca="1" si="12284"/>
        <v>#REF!</v>
      </c>
      <c r="DN662" s="692" t="str">
        <f ca="1">IFERROR(IF(AD666="Nested Steel Stud (wood infill)",VLOOKUP(INDEX(DJ659:DJ670,DM662),SSW,2,FALSE),VLOOKUP(INDEX(DJ659:DJ670,DM662),SSM,2,FALSE)),"----")</f>
        <v>----</v>
      </c>
      <c r="DO662" s="691" t="e">
        <f t="shared" ca="1" si="12285"/>
        <v>#N/A</v>
      </c>
      <c r="DP662" s="4" t="e">
        <f ca="1">IF(AND(INDEX(WSM,DO662,4)&gt;=$AB665,INDEX(WSM,DO662,5)&gt;=$S659,INDEX(WSM,DO662,6)&gt;=$R659),1,0)</f>
        <v>#N/A</v>
      </c>
      <c r="DQ662" s="4" t="e">
        <f t="shared" ref="DQ662" ca="1" si="12321">MATCH(1,OFFSET(DP659:DP670,DR661,0,COUNT(DP659:DP670)-DR661),0)</f>
        <v>#REF!</v>
      </c>
      <c r="DR662" s="4" t="e">
        <f t="shared" ca="1" si="12287"/>
        <v>#REF!</v>
      </c>
      <c r="DS662" s="692" t="str">
        <f ca="1">IFERROR(VLOOKUP(INDEX(DO659:DO670,DR662),WSM,2,FALSE),"----")</f>
        <v>----</v>
      </c>
      <c r="DT662" s="691" t="e">
        <f t="shared" ca="1" si="12288"/>
        <v>#N/A</v>
      </c>
      <c r="DU662" s="4" t="e">
        <f ca="1">IF(AND(INDEX(STM,DT662,4)&gt;=$AB665,INDEX(STM,DT662,5)&gt;=$S659,INDEX(STM,DT662,6)&gt;=$R659),1,0)</f>
        <v>#N/A</v>
      </c>
      <c r="DV662" s="4" t="e">
        <f t="shared" ref="DV662" ca="1" si="12322">MATCH(1,OFFSET(DU659:DU670,DW661,0,COUNT(DU659:DU670)-DW661),0)</f>
        <v>#REF!</v>
      </c>
      <c r="DW662" s="4" t="e">
        <f t="shared" ca="1" si="12290"/>
        <v>#REF!</v>
      </c>
      <c r="DX662" s="692" t="str">
        <f ca="1">IFERROR(VLOOKUP(INDEX(DT659:DT670,DW662),STM,2,FALSE),"----")</f>
        <v>----</v>
      </c>
      <c r="DY662" s="691" t="e">
        <f t="shared" ca="1" si="12291"/>
        <v>#N/A</v>
      </c>
      <c r="DZ662" s="4" t="e">
        <f ca="1">IF(AND(INDEX(ELM,DY662,4)&gt;=$AB665,INDEX(ELM,DY662,5)&gt;=$S659,INDEX(ELM,DY662,6)&gt;=$R659),1,0)</f>
        <v>#N/A</v>
      </c>
      <c r="EA662" s="4" t="e">
        <f t="shared" ref="EA662" ca="1" si="12323">MATCH(1,OFFSET(DZ659:DZ670,EB661,0,COUNT(DZ659:DZ670)-EB661),0)</f>
        <v>#REF!</v>
      </c>
      <c r="EB662" s="4" t="e">
        <f t="shared" ca="1" si="12293"/>
        <v>#REF!</v>
      </c>
      <c r="EC662" s="692" t="str">
        <f ca="1">IFERROR(VLOOKUP(INDEX(DY659:DY670,EB662),ELM,2,FALSE),"----")</f>
        <v>----</v>
      </c>
      <c r="ED662" s="691" t="e">
        <f t="shared" ca="1" si="12294"/>
        <v>#N/A</v>
      </c>
      <c r="EE662" s="4" t="e">
        <f ca="1">IF(LEFT($J659,7)="Clad Wo",IF(AND(INDEX(SPPWS,ED662,4)&gt;=$AB665,INDEX(SPPWS,ED662,5)&gt;=$S659,INDEX(SPPWS,ED662,6)&gt;=$R659),1,0),IF(AND(INDEX(SPM,ED662,4)&gt;=$AB665,INDEX(SPM,ED662,5)&gt;=$S659,INDEX(SPM,ED662,6)&gt;=$R659),1,0))</f>
        <v>#N/A</v>
      </c>
      <c r="EF662" s="4" t="e">
        <f t="shared" ref="EF662" ca="1" si="12324">MATCH(1,OFFSET(EE659:EE670,EG661,0,COUNT(EE659:EE670)-EG661),0)</f>
        <v>#REF!</v>
      </c>
      <c r="EG662" s="4" t="e">
        <f t="shared" ca="1" si="12296"/>
        <v>#REF!</v>
      </c>
      <c r="EH662" s="692" t="str">
        <f ca="1">IF(LEFT($J659,7)="Clad Wo",IFERROR(VLOOKUP(INDEX(ED659:ED670,EG662),SPPWS,2,FALSE),"----"),IFERROR(VLOOKUP(INDEX(ED659:ED670,EG662),SPM,2,FALSE),"----"))</f>
        <v>----</v>
      </c>
    </row>
    <row r="663" spans="1:138" ht="15" customHeight="1" x14ac:dyDescent="0.25">
      <c r="A663" s="1085"/>
      <c r="B663" s="925"/>
      <c r="C663" s="926"/>
      <c r="D663" s="927"/>
      <c r="E663" s="995"/>
      <c r="F663" s="996"/>
      <c r="G663" s="997"/>
      <c r="H663" s="1062"/>
      <c r="I663" s="990"/>
      <c r="J663" s="910"/>
      <c r="K663" s="911"/>
      <c r="L663" s="1002"/>
      <c r="M663" s="923"/>
      <c r="N663" s="1042"/>
      <c r="O663" s="1018"/>
      <c r="P663" s="987"/>
      <c r="Q663" s="1015"/>
      <c r="R663" s="1012"/>
      <c r="S663" s="1006"/>
      <c r="T663" s="1007"/>
      <c r="U663" s="878"/>
      <c r="V663" s="881"/>
      <c r="W663" s="884"/>
      <c r="X663" s="884"/>
      <c r="Y663" s="887"/>
      <c r="Z663" s="887"/>
      <c r="AA663" s="887"/>
      <c r="AB663" s="1081"/>
      <c r="AC663" s="1078"/>
      <c r="AD663" s="1070" t="s">
        <v>39</v>
      </c>
      <c r="AE663" s="1071"/>
      <c r="AF663" s="1052"/>
      <c r="AG663" s="1053"/>
      <c r="AH663" s="1053"/>
      <c r="AI663" s="1068"/>
      <c r="AJ663" s="1069"/>
      <c r="AK663" s="154" t="str">
        <f t="shared" ca="1" si="11298"/>
        <v/>
      </c>
      <c r="AL663" s="1039"/>
      <c r="AM663" s="344" t="str">
        <f ca="1">IFERROR(Q659/12*ROUND(VLOOKUP(AF663,OFFSET(ELM,0,1),6,FALSE),2),"")</f>
        <v/>
      </c>
      <c r="AN663" t="str">
        <f t="shared" ca="1" si="11348"/>
        <v/>
      </c>
      <c r="AP663" s="122" t="str">
        <f t="shared" ref="AP663" si="12325">_xlfn.CONCAT(AR663,AS664)</f>
        <v/>
      </c>
      <c r="AQ663" s="683" t="str">
        <f t="shared" si="11512"/>
        <v/>
      </c>
      <c r="AR663" s="4" t="str">
        <f t="shared" si="11273"/>
        <v/>
      </c>
      <c r="AS663" s="4"/>
      <c r="AT663" s="697" t="str">
        <f>AL659</f>
        <v/>
      </c>
      <c r="AU663" s="694" t="e">
        <f t="shared" ca="1" si="11538"/>
        <v>#REF!</v>
      </c>
      <c r="AV663" s="698" t="str">
        <f ca="1">IFERROR(VLOOKUP(AU663,INDIRECT(AQ659),2,FALSE),"----")</f>
        <v>----</v>
      </c>
      <c r="AW663" s="694" t="e">
        <f t="shared" ca="1" si="11539"/>
        <v>#REF!</v>
      </c>
      <c r="AX663" s="698" t="str">
        <f ca="1">IFERROR(VLOOKUP(AW663,INDIRECT(AQ660),2,FALSE),"----")</f>
        <v>----</v>
      </c>
      <c r="AY663" s="694" t="e">
        <f t="shared" ref="AY663" ca="1" si="12326">AY662-1</f>
        <v>#REF!</v>
      </c>
      <c r="AZ663" s="698" t="str">
        <f ca="1">IFERROR(VLOOKUP(AY663,INDIRECT(AQ661),2,FALSE),"----")</f>
        <v>----</v>
      </c>
      <c r="BA663" s="694" t="e">
        <f t="shared" ref="BA663" ca="1" si="12327">BA662-1</f>
        <v>#REF!</v>
      </c>
      <c r="BB663" s="698" t="str">
        <f ca="1">IFERROR(VLOOKUP(BA663,INDIRECT(AQ662),2,FALSE),"----")</f>
        <v>----</v>
      </c>
      <c r="BC663" s="694" t="e">
        <f t="shared" ca="1" si="11542"/>
        <v>#REF!</v>
      </c>
      <c r="BD663" s="698" t="str">
        <f ca="1">IFERROR(VLOOKUP(BC663,INDIRECT(AQ663),2,FALSE),"----")</f>
        <v>----</v>
      </c>
      <c r="BE663" s="694" t="e">
        <f t="shared" ca="1" si="11543"/>
        <v>#REF!</v>
      </c>
      <c r="BF663" s="698" t="str">
        <f ca="1">IFERROR(VLOOKUP(BE663,INDIRECT(AQ664),2,FALSE),"----")</f>
        <v>----</v>
      </c>
      <c r="BG663" s="694" t="e">
        <f t="shared" ca="1" si="11544"/>
        <v>#REF!</v>
      </c>
      <c r="BH663" s="686" t="str">
        <f ca="1">IFERROR(VLOOKUP(BG663,INDIRECT(AQ665),2,FALSE),"----")</f>
        <v>----</v>
      </c>
      <c r="BI663" s="694" t="e">
        <f t="shared" ca="1" si="11545"/>
        <v>#REF!</v>
      </c>
      <c r="BJ663" s="686" t="str">
        <f ca="1">IFERROR(VLOOKUP(BI663,INDIRECT(AQ666),2,FALSE),"----")</f>
        <v>----</v>
      </c>
      <c r="BK663" s="694" t="e">
        <f t="shared" ca="1" si="11546"/>
        <v>#REF!</v>
      </c>
      <c r="BL663" s="686" t="str">
        <f ca="1">IFERROR(VLOOKUP(BK663,INDIRECT(AQ667),2,FALSE),"----")</f>
        <v>----</v>
      </c>
      <c r="BM663" s="694" t="e">
        <f t="shared" ca="1" si="11547"/>
        <v>#REF!</v>
      </c>
      <c r="BN663" s="686" t="str">
        <f ca="1">IFERROR(VLOOKUP(BM663,INDIRECT(AQ668),2,FALSE),"----")</f>
        <v>----</v>
      </c>
      <c r="BO663" s="694" t="e">
        <f t="shared" ca="1" si="11548"/>
        <v>#REF!</v>
      </c>
      <c r="BP663" s="686" t="str">
        <f ca="1">IFERROR(VLOOKUP(BO663,INDIRECT(AQ669),2,FALSE),"----")</f>
        <v>----</v>
      </c>
      <c r="BQ663" s="694" t="e">
        <f t="shared" ca="1" si="11549"/>
        <v>#REF!</v>
      </c>
      <c r="BR663" s="686" t="str">
        <f ca="1">IFERROR(VLOOKUP(BQ663,INDIRECT(AQ670),2,FALSE),"----")</f>
        <v>----</v>
      </c>
      <c r="BS663" s="695">
        <f>IF(AI663="",1,IF(COUNTIF(BD659:BD670,AI663)=0,2,1))</f>
        <v>1</v>
      </c>
      <c r="BT663" s="696">
        <f>IF(AF663="",1,IF(BD659=".",2,1))</f>
        <v>1</v>
      </c>
      <c r="BU663" s="706"/>
      <c r="BV663" s="155">
        <f ca="1">IF(COUNTIF(CY659:CY670,AF663)=0,IF(AF663&lt;&gt;"",0,1),1)</f>
        <v>1</v>
      </c>
      <c r="BW663" s="157">
        <f ca="1">IFERROR(MATCH(AF663,CY659:CY670,0),1)</f>
        <v>1</v>
      </c>
      <c r="BX663" s="769"/>
      <c r="BY663" s="769"/>
      <c r="BZ663" s="1110"/>
      <c r="CA663" s="691" t="e">
        <f t="shared" ca="1" si="12261"/>
        <v>#REF!</v>
      </c>
      <c r="CB663" s="4" t="e" cm="1">
        <f t="array" aca="1" ref="CB663" ca="1">IF(AND(INDEX(INDIRECT(BY659),CA663,4)&gt;=$AB659,INDEX(INDIRECT(BY659),CA663,5)&gt;=$S659,INDEX(INDIRECT(BY659),CA663,6)&gt;=$R659),1,0)</f>
        <v>#REF!</v>
      </c>
      <c r="CC663" s="4" t="e">
        <f t="shared" ref="CC663" ca="1" si="12328">MATCH(1,OFFSET(CB659:CB670,CD662,0,COUNT(CB659:CB670)-CD662),0)</f>
        <v>#REF!</v>
      </c>
      <c r="CD663" s="4" t="e">
        <f t="shared" ca="1" si="12263"/>
        <v>#REF!</v>
      </c>
      <c r="CE663" s="692" t="str" cm="1">
        <f t="array" aca="1" ref="CE663" ca="1">IFERROR(VLOOKUP(INDEX(CA659:CA670,CD663),INDIRECT(BY659),2,FALSE),"----")</f>
        <v>----</v>
      </c>
      <c r="CF663" s="691" t="e">
        <f t="shared" ca="1" si="12264"/>
        <v>#N/A</v>
      </c>
      <c r="CG663" s="4" t="e">
        <f ca="1">IF(AND(INDEX(SSM,CF663,4)&gt;=$AB659,INDEX(SSM,CF663,5)&gt;=$S659,INDEX(SSM,CF663,6)&gt;=$R659),1,0)</f>
        <v>#N/A</v>
      </c>
      <c r="CH663" s="4" t="e">
        <f t="shared" ref="CH663" ca="1" si="12329">MATCH(1,OFFSET(CG659:CG670,CI662,0,COUNT(CG659:CG670)-CI662),0)</f>
        <v>#REF!</v>
      </c>
      <c r="CI663" s="4" t="e">
        <f t="shared" ca="1" si="12266"/>
        <v>#REF!</v>
      </c>
      <c r="CJ663" s="692" t="str">
        <f ca="1">IFERROR(IF(AD660="Nested Steel Stud (wood infill)",VLOOKUP(INDEX(CF659:CF670,CI663),SSW,2,FALSE),VLOOKUP(INDEX(CF659:CF670,CI663),SSM,2,FALSE)),"----")</f>
        <v>----</v>
      </c>
      <c r="CK663" s="691" t="e">
        <f t="shared" ca="1" si="12267"/>
        <v>#N/A</v>
      </c>
      <c r="CL663" s="4" t="e">
        <f ca="1">IF(AND(INDEX(WSM,CK663,4)&gt;=$AB659,INDEX(WSM,CK663,5)&gt;=$S659,INDEX(WSM,CK663,6)&gt;=$R659),1,0)</f>
        <v>#N/A</v>
      </c>
      <c r="CM663" s="4" t="e">
        <f t="shared" ref="CM663" ca="1" si="12330">MATCH(1,OFFSET(CL659:CL670,CN662,0,COUNT(CL659:CL670)-CN662),0)</f>
        <v>#REF!</v>
      </c>
      <c r="CN663" s="4" t="e">
        <f t="shared" ca="1" si="12269"/>
        <v>#REF!</v>
      </c>
      <c r="CO663" s="692" t="str">
        <f ca="1">IFERROR(VLOOKUP(INDEX(CK659:CK670,CN663),WSM,2,FALSE),"----")</f>
        <v>----</v>
      </c>
      <c r="CP663" s="691" t="e">
        <f t="shared" ca="1" si="12270"/>
        <v>#N/A</v>
      </c>
      <c r="CQ663" s="4" t="e">
        <f ca="1">IF(AND(INDEX(STM,CP663,4)&gt;=$AB659,INDEX(STM,CP663,5)&gt;=$S659,INDEX(STM,CP663,6)&gt;=$R659),1,0)</f>
        <v>#N/A</v>
      </c>
      <c r="CR663" s="4" t="e">
        <f t="shared" ref="CR663" ca="1" si="12331">MATCH(1,OFFSET(CQ659:CQ670,CS662,0,COUNT(CQ659:CQ670)-CS662),0)</f>
        <v>#REF!</v>
      </c>
      <c r="CS663" s="4" t="e">
        <f t="shared" ca="1" si="12272"/>
        <v>#REF!</v>
      </c>
      <c r="CT663" s="692" t="str">
        <f ca="1">IFERROR(VLOOKUP(INDEX(CP659:CP670,CS663),STM,2,FALSE),"----")</f>
        <v>----</v>
      </c>
      <c r="CU663" s="691" t="e">
        <f t="shared" ca="1" si="12273"/>
        <v>#N/A</v>
      </c>
      <c r="CV663" s="4" t="e">
        <f ca="1">IF(AND(INDEX(ELM,CU663,4)&gt;=$AB659,INDEX(ELM,CU663,5)&gt;=$S659,INDEX(ELM,CU663,6)&gt;=$R659),1,0)</f>
        <v>#N/A</v>
      </c>
      <c r="CW663" s="4" t="e">
        <f t="shared" ref="CW663" ca="1" si="12332">MATCH(1,OFFSET(CV659:CV670,CX662,0,COUNT(CV659:CV670)-CX662),0)</f>
        <v>#REF!</v>
      </c>
      <c r="CX663" s="4" t="e">
        <f t="shared" ca="1" si="12275"/>
        <v>#REF!</v>
      </c>
      <c r="CY663" s="692" t="str">
        <f ca="1">IFERROR(VLOOKUP(INDEX(CU659:CU670,CX663),ELM,2,FALSE),"----")</f>
        <v>----</v>
      </c>
      <c r="CZ663" s="691" t="e">
        <f t="shared" ca="1" si="12276"/>
        <v>#N/A</v>
      </c>
      <c r="DA663" s="4" t="e">
        <f ca="1">IF(LEFT($J659,7)="Clad Wo",IF(AND(INDEX(SPPWS,CZ663,4)&gt;=$AB659,INDEX(SPPWS,CZ663,5)&gt;=$S659,INDEX(SPPWS,CZ663,6)&gt;=$R659),1,0),IF(AND(INDEX(SPM,CZ663,4)&gt;=$AB659,INDEX(SPM,CZ663,5)&gt;=$S659,INDEX(SPM,CZ663,6)&gt;=$R659),1,0))</f>
        <v>#N/A</v>
      </c>
      <c r="DB663" s="4" t="e">
        <f t="shared" ref="DB663" ca="1" si="12333">MATCH(1,OFFSET(DA659:DA670,DC662,0,COUNT(DA659:DA670)-DC662),0)</f>
        <v>#REF!</v>
      </c>
      <c r="DC663" s="4" t="e">
        <f t="shared" ca="1" si="12278"/>
        <v>#REF!</v>
      </c>
      <c r="DD663" s="693" t="str">
        <f ca="1">IF(LEFT($J659,7)="Clad Wo",IFERROR(VLOOKUP(INDEX(CZ659:CZ670,DC663),SPPWS,2,FALSE),"----"),IFERROR(VLOOKUP(INDEX(CZ659:CZ670,DC663),SPM,2,FALSE),"----"))</f>
        <v>----</v>
      </c>
      <c r="DE663" s="691" t="e">
        <f t="shared" ca="1" si="12279"/>
        <v>#REF!</v>
      </c>
      <c r="DF663" s="4" t="e" cm="1">
        <f t="array" aca="1" ref="DF663" ca="1">IF(AND(INDEX(INDIRECT(BY659),DE663,4)&gt;=$AB665,INDEX(INDIRECT(BY659),DE663,5)&gt;=$S659,INDEX(INDIRECT(BY659),DE663,6)&gt;=$R659),1,0)</f>
        <v>#REF!</v>
      </c>
      <c r="DG663" s="4" t="e">
        <f t="shared" ref="DG663" ca="1" si="12334">MATCH(1,OFFSET(DF659:DF670,DH662,0,COUNT(DF659:DF670)-DH662),0)</f>
        <v>#REF!</v>
      </c>
      <c r="DH663" s="4" t="e">
        <f t="shared" ca="1" si="12281"/>
        <v>#REF!</v>
      </c>
      <c r="DI663" s="692" t="str" cm="1">
        <f t="array" aca="1" ref="DI663" ca="1">IFERROR(VLOOKUP(INDEX(DE659:DE670,DH663),INDIRECT(BY659),2,FALSE),"----")</f>
        <v>----</v>
      </c>
      <c r="DJ663" s="691" t="e">
        <f t="shared" ca="1" si="12282"/>
        <v>#N/A</v>
      </c>
      <c r="DK663" s="4" t="e">
        <f ca="1">IF(AND(INDEX(SSM,DJ663,4)&gt;=$AB665,INDEX(SSM,DJ663,5)&gt;=$S659,INDEX(SSM,DJ663,6)&gt;=$R659),1,0)</f>
        <v>#N/A</v>
      </c>
      <c r="DL663" s="4" t="e">
        <f t="shared" ref="DL663" ca="1" si="12335">MATCH(1,OFFSET(DK659:DK670,DM662,0,COUNT(DK659:DK670)-DM662),0)</f>
        <v>#REF!</v>
      </c>
      <c r="DM663" s="4" t="e">
        <f t="shared" ca="1" si="12284"/>
        <v>#REF!</v>
      </c>
      <c r="DN663" s="692" t="str">
        <f ca="1">IFERROR(IF(AD666="Nested Steel Stud (wood infill)",VLOOKUP(INDEX(DJ659:DJ670,DM663),SSW,2,FALSE),VLOOKUP(INDEX(DJ659:DJ670,DM663),SSM,2,FALSE)),"----")</f>
        <v>----</v>
      </c>
      <c r="DO663" s="691" t="e">
        <f t="shared" ca="1" si="12285"/>
        <v>#N/A</v>
      </c>
      <c r="DP663" s="4" t="e">
        <f ca="1">IF(AND(INDEX(WSM,DO663,4)&gt;=$AB665,INDEX(WSM,DO663,5)&gt;=$S659,INDEX(WSM,DO663,6)&gt;=$R659),1,0)</f>
        <v>#N/A</v>
      </c>
      <c r="DQ663" s="4" t="e">
        <f t="shared" ref="DQ663" ca="1" si="12336">MATCH(1,OFFSET(DP659:DP670,DR662,0,COUNT(DP659:DP670)-DR662),0)</f>
        <v>#REF!</v>
      </c>
      <c r="DR663" s="4" t="e">
        <f t="shared" ca="1" si="12287"/>
        <v>#REF!</v>
      </c>
      <c r="DS663" s="692" t="str">
        <f ca="1">IFERROR(VLOOKUP(INDEX(DO659:DO670,DR663),WSM,2,FALSE),"----")</f>
        <v>----</v>
      </c>
      <c r="DT663" s="691" t="e">
        <f t="shared" ca="1" si="12288"/>
        <v>#N/A</v>
      </c>
      <c r="DU663" s="4" t="e">
        <f ca="1">IF(AND(INDEX(STM,DT663,4)&gt;=$AB665,INDEX(STM,DT663,5)&gt;=$S659,INDEX(STM,DT663,6)&gt;=$R659),1,0)</f>
        <v>#N/A</v>
      </c>
      <c r="DV663" s="4" t="e">
        <f t="shared" ref="DV663" ca="1" si="12337">MATCH(1,OFFSET(DU659:DU670,DW662,0,COUNT(DU659:DU670)-DW662),0)</f>
        <v>#REF!</v>
      </c>
      <c r="DW663" s="4" t="e">
        <f t="shared" ca="1" si="12290"/>
        <v>#REF!</v>
      </c>
      <c r="DX663" s="692" t="str">
        <f ca="1">IFERROR(VLOOKUP(INDEX(DT659:DT670,DW663),STM,2,FALSE),"----")</f>
        <v>----</v>
      </c>
      <c r="DY663" s="691" t="e">
        <f t="shared" ca="1" si="12291"/>
        <v>#N/A</v>
      </c>
      <c r="DZ663" s="4" t="e">
        <f ca="1">IF(AND(INDEX(ELM,DY663,4)&gt;=$AB665,INDEX(ELM,DY663,5)&gt;=$S659,INDEX(ELM,DY663,6)&gt;=$R659),1,0)</f>
        <v>#N/A</v>
      </c>
      <c r="EA663" s="4" t="e">
        <f t="shared" ref="EA663" ca="1" si="12338">MATCH(1,OFFSET(DZ659:DZ670,EB662,0,COUNT(DZ659:DZ670)-EB662),0)</f>
        <v>#REF!</v>
      </c>
      <c r="EB663" s="4" t="e">
        <f t="shared" ca="1" si="12293"/>
        <v>#REF!</v>
      </c>
      <c r="EC663" s="692" t="str">
        <f ca="1">IFERROR(VLOOKUP(INDEX(DY659:DY670,EB663),ELM,2,FALSE),"----")</f>
        <v>----</v>
      </c>
      <c r="ED663" s="691" t="e">
        <f t="shared" ca="1" si="12294"/>
        <v>#N/A</v>
      </c>
      <c r="EE663" s="4" t="e">
        <f ca="1">IF(LEFT($J659,7)="Clad Wo",IF(AND(INDEX(SPPWS,ED663,4)&gt;=$AB665,INDEX(SPPWS,ED663,5)&gt;=$S659,INDEX(SPPWS,ED663,6)&gt;=$R659),1,0),IF(AND(INDEX(SPM,ED663,4)&gt;=$AB665,INDEX(SPM,ED663,5)&gt;=$S659,INDEX(SPM,ED663,6)&gt;=$R659),1,0))</f>
        <v>#N/A</v>
      </c>
      <c r="EF663" s="4" t="e">
        <f t="shared" ref="EF663" ca="1" si="12339">MATCH(1,OFFSET(EE659:EE670,EG662,0,COUNT(EE659:EE670)-EG662),0)</f>
        <v>#REF!</v>
      </c>
      <c r="EG663" s="4" t="e">
        <f t="shared" ca="1" si="12296"/>
        <v>#REF!</v>
      </c>
      <c r="EH663" s="692" t="str">
        <f ca="1">IF(LEFT($J659,7)="Clad Wo",IFERROR(VLOOKUP(INDEX(ED659:ED670,EG663),SPPWS,2,FALSE),"----"),IFERROR(VLOOKUP(INDEX(ED659:ED670,EG663),SPM,2,FALSE),"----"))</f>
        <v>----</v>
      </c>
    </row>
    <row r="664" spans="1:138" ht="15" customHeight="1" thickBot="1" x14ac:dyDescent="0.3">
      <c r="A664" s="1085"/>
      <c r="B664" s="934"/>
      <c r="C664" s="935"/>
      <c r="D664" s="936"/>
      <c r="E664" s="995"/>
      <c r="F664" s="996"/>
      <c r="G664" s="997"/>
      <c r="H664" s="1062"/>
      <c r="I664" s="990"/>
      <c r="J664" s="908"/>
      <c r="K664" s="909"/>
      <c r="L664" s="1010"/>
      <c r="M664" s="924"/>
      <c r="N664" s="1044"/>
      <c r="O664" s="1018"/>
      <c r="P664" s="987"/>
      <c r="Q664" s="1015"/>
      <c r="R664" s="1012"/>
      <c r="S664" s="1006"/>
      <c r="T664" s="1007"/>
      <c r="U664" s="878"/>
      <c r="V664" s="881"/>
      <c r="W664" s="889"/>
      <c r="X664" s="884"/>
      <c r="Y664" s="890"/>
      <c r="Z664" s="890"/>
      <c r="AA664" s="887"/>
      <c r="AB664" s="1084"/>
      <c r="AC664" s="1079"/>
      <c r="AD664" s="1072" t="str">
        <f t="shared" ref="AD664" si="12340">IF(LEFT(J659,7)="Clad Wo","Pella Wood Spr / Steel Pte","Steel Plate")</f>
        <v>Steel Plate</v>
      </c>
      <c r="AE664" s="1073"/>
      <c r="AF664" s="1054"/>
      <c r="AG664" s="1055"/>
      <c r="AH664" s="1055"/>
      <c r="AI664" s="1092"/>
      <c r="AJ664" s="1093"/>
      <c r="AK664" s="159" t="str">
        <f t="shared" ca="1" si="11298"/>
        <v/>
      </c>
      <c r="AL664" s="1040"/>
      <c r="AM664" s="345" t="str">
        <f ca="1">IFERROR(Q659/12*ROUND(VLOOKUP(AF664,OFFSET(SPM,0,1),6,FALSE),2),"")</f>
        <v/>
      </c>
      <c r="AN664" t="str">
        <f t="shared" ca="1" si="11348"/>
        <v/>
      </c>
      <c r="AP664" s="699" t="str">
        <f t="shared" ref="AP664" si="12341">_xlfn.CONCAT(AR664,AS664)</f>
        <v/>
      </c>
      <c r="AQ664" s="700" t="str">
        <f t="shared" si="11512"/>
        <v/>
      </c>
      <c r="AR664" s="160" t="str">
        <f t="shared" si="11273"/>
        <v/>
      </c>
      <c r="AS664" s="160" t="str">
        <f>IFERROR(VLOOKUP(J667, WallType,2,FALSE),"")</f>
        <v/>
      </c>
      <c r="AT664" s="701" t="str">
        <f>AL659</f>
        <v/>
      </c>
      <c r="AU664" s="694" t="e">
        <f t="shared" ca="1" si="11538"/>
        <v>#REF!</v>
      </c>
      <c r="AV664" s="698" t="str">
        <f ca="1">IFERROR(VLOOKUP(AU664,INDIRECT(AQ659),2,FALSE),"----")</f>
        <v>----</v>
      </c>
      <c r="AW664" s="702" t="e">
        <f t="shared" ca="1" si="11539"/>
        <v>#REF!</v>
      </c>
      <c r="AX664" s="698" t="str">
        <f ca="1">IFERROR(VLOOKUP(AW664,INDIRECT(AQ660),2,FALSE),"----")</f>
        <v>----</v>
      </c>
      <c r="AY664" s="702" t="e">
        <f t="shared" ref="AY664" ca="1" si="12342">AY663-1</f>
        <v>#REF!</v>
      </c>
      <c r="AZ664" s="698" t="str">
        <f ca="1">IFERROR(VLOOKUP(AY664,INDIRECT(AQ661),2,FALSE),"----")</f>
        <v>----</v>
      </c>
      <c r="BA664" s="702" t="e">
        <f t="shared" ref="BA664" ca="1" si="12343">BA663-1</f>
        <v>#REF!</v>
      </c>
      <c r="BB664" s="698" t="str">
        <f ca="1">IFERROR(VLOOKUP(BA664,INDIRECT(AQ662),2,FALSE),"----")</f>
        <v>----</v>
      </c>
      <c r="BC664" s="702" t="e">
        <f t="shared" ca="1" si="11542"/>
        <v>#REF!</v>
      </c>
      <c r="BD664" s="698" t="str">
        <f ca="1">IFERROR(VLOOKUP(BC664,INDIRECT(AQ663),2,FALSE),"----")</f>
        <v>----</v>
      </c>
      <c r="BE664" s="702" t="e">
        <f t="shared" ca="1" si="11543"/>
        <v>#REF!</v>
      </c>
      <c r="BF664" s="698" t="str">
        <f ca="1">IFERROR(VLOOKUP(BE664,INDIRECT(AQ664),2,FALSE),"----")</f>
        <v>----</v>
      </c>
      <c r="BG664" s="702" t="e">
        <f t="shared" ca="1" si="11544"/>
        <v>#REF!</v>
      </c>
      <c r="BH664" s="686" t="str">
        <f ca="1">IFERROR(VLOOKUP(BG664,INDIRECT(AQ665),2,FALSE),"----")</f>
        <v>----</v>
      </c>
      <c r="BI664" s="702" t="e">
        <f t="shared" ca="1" si="11545"/>
        <v>#REF!</v>
      </c>
      <c r="BJ664" s="686" t="str">
        <f ca="1">IFERROR(VLOOKUP(BI664,INDIRECT(AQ666),2,FALSE),"----")</f>
        <v>----</v>
      </c>
      <c r="BK664" s="702" t="e">
        <f t="shared" ca="1" si="11546"/>
        <v>#REF!</v>
      </c>
      <c r="BL664" s="686" t="str">
        <f ca="1">IFERROR(VLOOKUP(BK664,INDIRECT(AQ667),2,FALSE),"----")</f>
        <v>----</v>
      </c>
      <c r="BM664" s="702" t="e">
        <f t="shared" ca="1" si="11547"/>
        <v>#REF!</v>
      </c>
      <c r="BN664" s="686" t="str">
        <f ca="1">IFERROR(VLOOKUP(BM664,INDIRECT(AQ668),2,FALSE),"----")</f>
        <v>----</v>
      </c>
      <c r="BO664" s="702" t="e">
        <f t="shared" ca="1" si="11548"/>
        <v>#REF!</v>
      </c>
      <c r="BP664" s="686" t="str">
        <f ca="1">IFERROR(VLOOKUP(BO664,INDIRECT(AQ669),2,FALSE),"----")</f>
        <v>----</v>
      </c>
      <c r="BQ664" s="702" t="e">
        <f t="shared" ca="1" si="11549"/>
        <v>#REF!</v>
      </c>
      <c r="BR664" s="686" t="str">
        <f ca="1">IFERROR(VLOOKUP(BQ664,INDIRECT(AQ670),2,FALSE),"----")</f>
        <v>----</v>
      </c>
      <c r="BS664" s="703">
        <f>IF(AI664="",1,IF(COUNTIF(BF659:BF670,AI664)=0,2,1))</f>
        <v>1</v>
      </c>
      <c r="BT664" s="704">
        <f>IF(AF664="",1,IF(BF659=".",2,1))</f>
        <v>1</v>
      </c>
      <c r="BV664" s="155">
        <f ca="1">IF(COUNTIF(DD659:DD670,AF664)=0,IF(AF664&lt;&gt;"",0,1),1)</f>
        <v>1</v>
      </c>
      <c r="BW664" s="157">
        <f ca="1">IFERROR(MATCH(AF664,DD659:DD670,0),1)</f>
        <v>1</v>
      </c>
      <c r="BX664" s="875" t="s">
        <v>1594</v>
      </c>
      <c r="BY664" s="876"/>
      <c r="BZ664" s="1110"/>
      <c r="CA664" s="691" t="e">
        <f t="shared" ca="1" si="12261"/>
        <v>#REF!</v>
      </c>
      <c r="CB664" s="4" t="e" cm="1">
        <f t="array" aca="1" ref="CB664" ca="1">IF(AND(INDEX(INDIRECT(BY659),CA664,4)&gt;=$AB659,INDEX(INDIRECT(BY659),CA664,5)&gt;=$S659,INDEX(INDIRECT(BY659),CA664,6)&gt;=$R659),1,0)</f>
        <v>#REF!</v>
      </c>
      <c r="CC664" s="4" t="e">
        <f t="shared" ref="CC664" ca="1" si="12344">MATCH(1,OFFSET(CB659:CB670,CD663,0,COUNT(CB659:CB670)-CD663),0)</f>
        <v>#REF!</v>
      </c>
      <c r="CD664" s="4" t="e">
        <f t="shared" ca="1" si="12263"/>
        <v>#REF!</v>
      </c>
      <c r="CE664" s="692" t="str" cm="1">
        <f t="array" aca="1" ref="CE664" ca="1">IFERROR(VLOOKUP(INDEX(CA659:CA670,CD664),INDIRECT(BY659),2,FALSE),"----")</f>
        <v>----</v>
      </c>
      <c r="CF664" s="691" t="e">
        <f t="shared" ca="1" si="12264"/>
        <v>#N/A</v>
      </c>
      <c r="CG664" s="4" t="e">
        <f ca="1">IF(AND(INDEX(SSM,CF664,4)&gt;=$AB659,INDEX(SSM,CF664,5)&gt;=$S659,INDEX(SSM,CF664,6)&gt;=$R659),1,0)</f>
        <v>#N/A</v>
      </c>
      <c r="CH664" s="4" t="e">
        <f t="shared" ref="CH664" ca="1" si="12345">MATCH(1,OFFSET(CG659:CG670,CI663,0,COUNT(CG659:CG670)-CI663),0)</f>
        <v>#REF!</v>
      </c>
      <c r="CI664" s="4" t="e">
        <f t="shared" ca="1" si="12266"/>
        <v>#REF!</v>
      </c>
      <c r="CJ664" s="692" t="str">
        <f ca="1">IFERROR(IF(AD660="Nested Steel Stud (wood infill)",VLOOKUP(INDEX(CF659:CF670,CI664),SSW,2,FALSE),VLOOKUP(INDEX(CF659:CF670,CI664),SSM,2,FALSE)),"----")</f>
        <v>----</v>
      </c>
      <c r="CK664" s="691" t="e">
        <f t="shared" ca="1" si="12267"/>
        <v>#N/A</v>
      </c>
      <c r="CL664" s="4" t="e">
        <f ca="1">IF(AND(INDEX(WSM,CK664,4)&gt;=$AB659,INDEX(WSM,CK664,5)&gt;=$S659,INDEX(WSM,CK664,6)&gt;=$R659),1,0)</f>
        <v>#N/A</v>
      </c>
      <c r="CM664" s="4" t="e">
        <f t="shared" ref="CM664" ca="1" si="12346">MATCH(1,OFFSET(CL659:CL670,CN663,0,COUNT(CL659:CL670)-CN663),0)</f>
        <v>#REF!</v>
      </c>
      <c r="CN664" s="4" t="e">
        <f t="shared" ca="1" si="12269"/>
        <v>#REF!</v>
      </c>
      <c r="CO664" s="692" t="str">
        <f ca="1">IFERROR(VLOOKUP(INDEX(CK659:CK670,CN664),WSM,2,FALSE),"----")</f>
        <v>----</v>
      </c>
      <c r="CP664" s="691" t="e">
        <f t="shared" ca="1" si="12270"/>
        <v>#N/A</v>
      </c>
      <c r="CQ664" s="4" t="e">
        <f ca="1">IF(AND(INDEX(STM,CP664,4)&gt;=$AB659,INDEX(STM,CP664,5)&gt;=$S659,INDEX(STM,CP664,6)&gt;=$R659),1,0)</f>
        <v>#N/A</v>
      </c>
      <c r="CR664" s="4" t="e">
        <f t="shared" ref="CR664" ca="1" si="12347">MATCH(1,OFFSET(CQ659:CQ670,CS663,0,COUNT(CQ659:CQ670)-CS663),0)</f>
        <v>#REF!</v>
      </c>
      <c r="CS664" s="4" t="e">
        <f t="shared" ca="1" si="12272"/>
        <v>#REF!</v>
      </c>
      <c r="CT664" s="692" t="str">
        <f ca="1">IFERROR(VLOOKUP(INDEX(CP659:CP670,CS664),STM,2,FALSE),"----")</f>
        <v>----</v>
      </c>
      <c r="CU664" s="691" t="e">
        <f t="shared" ca="1" si="12273"/>
        <v>#N/A</v>
      </c>
      <c r="CV664" s="4" t="e">
        <f ca="1">IF(AND(INDEX(ELM,CU664,4)&gt;=$AB659,INDEX(ELM,CU664,5)&gt;=$S659,INDEX(ELM,CU664,6)&gt;=$R659),1,0)</f>
        <v>#N/A</v>
      </c>
      <c r="CW664" s="4" t="e">
        <f t="shared" ref="CW664" ca="1" si="12348">MATCH(1,OFFSET(CV659:CV670,CX663,0,COUNT(CV659:CV670)-CX663),0)</f>
        <v>#REF!</v>
      </c>
      <c r="CX664" s="4" t="e">
        <f t="shared" ca="1" si="12275"/>
        <v>#REF!</v>
      </c>
      <c r="CY664" s="692" t="str">
        <f ca="1">IFERROR(VLOOKUP(INDEX(CU659:CU670,CX664),ELM,2,FALSE),"----")</f>
        <v>----</v>
      </c>
      <c r="CZ664" s="691" t="e">
        <f t="shared" ca="1" si="12276"/>
        <v>#N/A</v>
      </c>
      <c r="DA664" s="4" t="e">
        <f ca="1">IF(LEFT($J659,7)="Clad Wo",IF(AND(INDEX(SPPWS,CZ664,4)&gt;=$AB659,INDEX(SPPWS,CZ664,5)&gt;=$S659,INDEX(SPPWS,CZ664,6)&gt;=$R659),1,0),IF(AND(INDEX(SPM,CZ664,4)&gt;=$AB659,INDEX(SPM,CZ664,5)&gt;=$S659,INDEX(SPM,CZ664,6)&gt;=$R659),1,0))</f>
        <v>#N/A</v>
      </c>
      <c r="DB664" s="4" t="e">
        <f t="shared" ref="DB664" ca="1" si="12349">MATCH(1,OFFSET(DA659:DA670,DC663,0,COUNT(DA659:DA670)-DC663),0)</f>
        <v>#REF!</v>
      </c>
      <c r="DC664" s="4" t="e">
        <f t="shared" ca="1" si="12278"/>
        <v>#REF!</v>
      </c>
      <c r="DD664" s="693" t="str">
        <f ca="1">IF(LEFT($J659,7)="Clad Wo",IFERROR(VLOOKUP(INDEX(CZ659:CZ670,DC664),SPPWS,2,FALSE),"----"),IFERROR(VLOOKUP(INDEX(CZ659:CZ670,DC664),SPM,2,FALSE),"----"))</f>
        <v>----</v>
      </c>
      <c r="DE664" s="691" t="e">
        <f t="shared" ca="1" si="12279"/>
        <v>#REF!</v>
      </c>
      <c r="DF664" s="4" t="e" cm="1">
        <f t="array" aca="1" ref="DF664" ca="1">IF(AND(INDEX(INDIRECT(BY659),DE664,4)&gt;=$AB665,INDEX(INDIRECT(BY659),DE664,5)&gt;=$S659,INDEX(INDIRECT(BY659),DE664,6)&gt;=$R659),1,0)</f>
        <v>#REF!</v>
      </c>
      <c r="DG664" s="4" t="e">
        <f t="shared" ref="DG664" ca="1" si="12350">MATCH(1,OFFSET(DF659:DF670,DH663,0,COUNT(DF659:DF670)-DH663),0)</f>
        <v>#REF!</v>
      </c>
      <c r="DH664" s="4" t="e">
        <f t="shared" ca="1" si="12281"/>
        <v>#REF!</v>
      </c>
      <c r="DI664" s="692" t="str" cm="1">
        <f t="array" aca="1" ref="DI664" ca="1">IFERROR(VLOOKUP(INDEX(DE659:DE670,DH664),INDIRECT(BY659),2,FALSE),"----")</f>
        <v>----</v>
      </c>
      <c r="DJ664" s="691" t="e">
        <f t="shared" ca="1" si="12282"/>
        <v>#N/A</v>
      </c>
      <c r="DK664" s="4" t="e">
        <f ca="1">IF(AND(INDEX(SSM,DJ664,4)&gt;=$AB665,INDEX(SSM,DJ664,5)&gt;=$S659,INDEX(SSM,DJ664,6)&gt;=$R659),1,0)</f>
        <v>#N/A</v>
      </c>
      <c r="DL664" s="4" t="e">
        <f t="shared" ref="DL664" ca="1" si="12351">MATCH(1,OFFSET(DK659:DK670,DM663,0,COUNT(DK659:DK670)-DM663),0)</f>
        <v>#REF!</v>
      </c>
      <c r="DM664" s="4" t="e">
        <f t="shared" ca="1" si="12284"/>
        <v>#REF!</v>
      </c>
      <c r="DN664" s="692" t="str">
        <f ca="1">IFERROR(IF(AD666="Nested Steel Stud (wood infill)",VLOOKUP(INDEX(DJ659:DJ670,DM664),SSW,2,FALSE),VLOOKUP(INDEX(DJ659:DJ670,DM664),SSM,2,FALSE)),"----")</f>
        <v>----</v>
      </c>
      <c r="DO664" s="691" t="e">
        <f t="shared" ca="1" si="12285"/>
        <v>#N/A</v>
      </c>
      <c r="DP664" s="4" t="e">
        <f ca="1">IF(AND(INDEX(WSM,DO664,4)&gt;=$AB665,INDEX(WSM,DO664,5)&gt;=$S659,INDEX(WSM,DO664,6)&gt;=$R659),1,0)</f>
        <v>#N/A</v>
      </c>
      <c r="DQ664" s="4" t="e">
        <f t="shared" ref="DQ664" ca="1" si="12352">MATCH(1,OFFSET(DP659:DP670,DR663,0,COUNT(DP659:DP670)-DR663),0)</f>
        <v>#REF!</v>
      </c>
      <c r="DR664" s="4" t="e">
        <f t="shared" ca="1" si="12287"/>
        <v>#REF!</v>
      </c>
      <c r="DS664" s="692" t="str">
        <f ca="1">IFERROR(VLOOKUP(INDEX(DO659:DO670,DR664),WSM,2,FALSE),"----")</f>
        <v>----</v>
      </c>
      <c r="DT664" s="691" t="e">
        <f t="shared" ca="1" si="12288"/>
        <v>#N/A</v>
      </c>
      <c r="DU664" s="4" t="e">
        <f ca="1">IF(AND(INDEX(STM,DT664,4)&gt;=$AB665,INDEX(STM,DT664,5)&gt;=$S659,INDEX(STM,DT664,6)&gt;=$R659),1,0)</f>
        <v>#N/A</v>
      </c>
      <c r="DV664" s="4" t="e">
        <f t="shared" ref="DV664" ca="1" si="12353">MATCH(1,OFFSET(DU659:DU670,DW663,0,COUNT(DU659:DU670)-DW663),0)</f>
        <v>#REF!</v>
      </c>
      <c r="DW664" s="4" t="e">
        <f t="shared" ca="1" si="12290"/>
        <v>#REF!</v>
      </c>
      <c r="DX664" s="692" t="str">
        <f ca="1">IFERROR(VLOOKUP(INDEX(DT659:DT670,DW664),STM,2,FALSE),"----")</f>
        <v>----</v>
      </c>
      <c r="DY664" s="691" t="e">
        <f t="shared" ca="1" si="12291"/>
        <v>#N/A</v>
      </c>
      <c r="DZ664" s="4" t="e">
        <f ca="1">IF(AND(INDEX(ELM,DY664,4)&gt;=$AB665,INDEX(ELM,DY664,5)&gt;=$S659,INDEX(ELM,DY664,6)&gt;=$R659),1,0)</f>
        <v>#N/A</v>
      </c>
      <c r="EA664" s="4" t="e">
        <f t="shared" ref="EA664" ca="1" si="12354">MATCH(1,OFFSET(DZ659:DZ670,EB663,0,COUNT(DZ659:DZ670)-EB663),0)</f>
        <v>#REF!</v>
      </c>
      <c r="EB664" s="4" t="e">
        <f t="shared" ca="1" si="12293"/>
        <v>#REF!</v>
      </c>
      <c r="EC664" s="692" t="str">
        <f ca="1">IFERROR(VLOOKUP(INDEX(DY659:DY670,EB664),ELM,2,FALSE),"----")</f>
        <v>----</v>
      </c>
      <c r="ED664" s="691" t="e">
        <f t="shared" ca="1" si="12294"/>
        <v>#N/A</v>
      </c>
      <c r="EE664" s="4" t="e">
        <f ca="1">IF(LEFT($J659,7)="Clad Wo",IF(AND(INDEX(SPPWS,ED664,4)&gt;=$AB665,INDEX(SPPWS,ED664,5)&gt;=$S659,INDEX(SPPWS,ED664,6)&gt;=$R659),1,0),IF(AND(INDEX(SPM,ED664,4)&gt;=$AB665,INDEX(SPM,ED664,5)&gt;=$S659,INDEX(SPM,ED664,6)&gt;=$R659),1,0))</f>
        <v>#N/A</v>
      </c>
      <c r="EF664" s="4" t="e">
        <f t="shared" ref="EF664" ca="1" si="12355">MATCH(1,OFFSET(EE659:EE670,EG663,0,COUNT(EE659:EE670)-EG663),0)</f>
        <v>#REF!</v>
      </c>
      <c r="EG664" s="4" t="e">
        <f t="shared" ca="1" si="12296"/>
        <v>#REF!</v>
      </c>
      <c r="EH664" s="692" t="str">
        <f ca="1">IF(LEFT($J659,7)="Clad Wo",IFERROR(VLOOKUP(INDEX(ED659:ED670,EG664),SPPWS,2,FALSE),"----"),IFERROR(VLOOKUP(INDEX(ED659:ED670,EG664),SPM,2,FALSE),"----"))</f>
        <v>----</v>
      </c>
    </row>
    <row r="665" spans="1:138" ht="15" customHeight="1" x14ac:dyDescent="0.25">
      <c r="A665" s="1085"/>
      <c r="B665" s="925" t="s">
        <v>409</v>
      </c>
      <c r="C665" s="926"/>
      <c r="D665" s="927"/>
      <c r="E665" s="995"/>
      <c r="F665" s="996"/>
      <c r="G665" s="997"/>
      <c r="H665" s="1062"/>
      <c r="I665" s="990"/>
      <c r="J665" s="908"/>
      <c r="K665" s="909"/>
      <c r="L665" s="1001">
        <f>L659+1</f>
        <v>5</v>
      </c>
      <c r="M665" s="1064" t="str">
        <f t="shared" ref="M665" si="12356">IFERROR(IF($AE$17="",IF($AG$19="Wind Loading",MIN($V$31,IF(E$11="ASCE 7-05",$U$26,$V$7)*$V$9*(IF($E$12&lt;60,0.156*LN(MAX(MIN(500,O659),10)) -1.7618,IF($E$11="ASCE 7-22", 0.2026*LN(MAX(MIN(500,O659),20))-2.2638,0.2503*LN(MAX(MIN(500,O659),20)) -2.5526))-$V$8)),$V$7*IF(E$12&lt;60,$V$13*($V$15*(0.156*LN(MAX(MIN(500,O659),10)) -1.7618)-$V$16),$V$13*$V$15*((0.2026*LN(MAX(MIN(500,O659),20))-2.2638)-$V$16))),-ABS($AE$17)),"")</f>
        <v/>
      </c>
      <c r="N665" s="1041" t="str">
        <f t="shared" ref="N665" si="12357">IFERROR(IF($AE$19="",IF($AG$19="Wind Loading",MAX($U$31,IF(E$11="ASCE 7-05",$U$26,$V$7)*$V$9*((IF($E$12&lt;60,-0.077*LN(MAX(MIN(500,O659),10))+1.1737,IF($E$11="ASCE 7-22",-0.077*LN(MAX(MIN(500,O659),20))+1.0798,-0.093*LN(MAX(MIN(500,O659),20))+1.1776)))+$V$8)),$V$7*IF(E$12&lt;60,$V$13*($V$15*(-0.077*LN(MAX(MIN(500,O659),10))+1.1737)-$V$17),$V$13*$V$15*((-0.077*LN(MAX(MIN(500,O659),20))+1.0798)-$V$17))),ABS($AE$19)),"")</f>
        <v/>
      </c>
      <c r="O665" s="1018"/>
      <c r="P665" s="987"/>
      <c r="Q665" s="1015"/>
      <c r="R665" s="1012">
        <f>P665*Q665/8</f>
        <v>0</v>
      </c>
      <c r="S665" s="1006"/>
      <c r="T665" s="1007"/>
      <c r="U665" s="878"/>
      <c r="V665" s="881"/>
      <c r="W665" s="883" t="e">
        <f t="shared" ref="W665" si="12358">MAX(-M665,N665)*O659</f>
        <v>#VALUE!</v>
      </c>
      <c r="X665" s="884"/>
      <c r="Y665" s="886">
        <f>IFERROR(IF(AG$14="Trapezoidal",BY668,BX668)+IF($E$17="4",(400*E659^3)/(48*X659),0),0)</f>
        <v>0</v>
      </c>
      <c r="Z665" s="886" t="e">
        <f t="shared" ref="Z665" si="12359">+($V659*MAX(-$M665,$N665)*$E659^2)/(144*8)+IF($E$17=4,(400*$E659)/4,0)</f>
        <v>#VALUE!</v>
      </c>
      <c r="AA665" s="887"/>
      <c r="AB665" s="1080" t="str">
        <f t="shared" ref="AB665" ca="1" si="12360">IFERROR(Z665-AA659,"")</f>
        <v/>
      </c>
      <c r="AC665" s="1086" t="str">
        <f t="shared" ref="AC665" ca="1" si="12361">IFERROR(Y665-U659,"")</f>
        <v/>
      </c>
      <c r="AD665" s="1074" t="str">
        <f t="shared" ref="AD665" si="12362">AD659</f>
        <v/>
      </c>
      <c r="AE665" s="1075"/>
      <c r="AF665" s="1056"/>
      <c r="AG665" s="1057"/>
      <c r="AH665" s="1057"/>
      <c r="AI665" s="1088"/>
      <c r="AJ665" s="1089"/>
      <c r="AK665" s="162" t="str">
        <f t="shared" ca="1" si="11298"/>
        <v/>
      </c>
      <c r="AL665" s="1058" t="str">
        <f t="shared" ref="AL665" si="12363">IFERROR(ROUND(SQRT(P659^2+(W665/2+IF($E$17=4,200,0))^2),0),"")</f>
        <v/>
      </c>
      <c r="AM665" s="342" t="s">
        <v>669</v>
      </c>
      <c r="AN665" t="str">
        <f t="shared" ca="1" si="11348"/>
        <v/>
      </c>
      <c r="AP665" s="122" t="str">
        <f t="shared" ref="AP665" si="12364">_xlfn.CONCAT(AR665,AS670)</f>
        <v/>
      </c>
      <c r="AQ665" s="683" t="str">
        <f t="shared" si="11512"/>
        <v/>
      </c>
      <c r="AR665" s="96" t="str">
        <f t="shared" si="11273"/>
        <v/>
      </c>
      <c r="AS665" s="96" t="str">
        <f>IF(COUNTIF(imp_1,AF665)=1,"imp_1",IF(COUNTIF(imp_2,AF665)=1,"imp_2",IF(COUNTIF(imp_3,AF665)=1,"imp_3",IF(COUNTIF(impdoor,AF665)=1,"impdoor",""))))</f>
        <v/>
      </c>
      <c r="AT665" s="684" t="str">
        <f>AL665</f>
        <v/>
      </c>
      <c r="AU665" s="685" t="e">
        <f t="shared" ca="1" si="11538"/>
        <v>#REF!</v>
      </c>
      <c r="AV665" s="686" t="str">
        <f ca="1">IFERROR(VLOOKUP(AU665,INDIRECT(AQ659),2,FALSE),"----")</f>
        <v>----</v>
      </c>
      <c r="AW665" s="685" t="e">
        <f t="shared" ca="1" si="11539"/>
        <v>#REF!</v>
      </c>
      <c r="AX665" s="686" t="str">
        <f ca="1">IFERROR(VLOOKUP(AW665,INDIRECT(AQ660),2,FALSE),"----")</f>
        <v>----</v>
      </c>
      <c r="AY665" s="685" t="e">
        <f t="shared" ca="1" si="12106"/>
        <v>#REF!</v>
      </c>
      <c r="AZ665" s="686" t="str">
        <f ca="1">IFERROR(VLOOKUP(AY665,INDIRECT(AQ661),2,FALSE),"----")</f>
        <v>----</v>
      </c>
      <c r="BA665" s="685" t="e">
        <f t="shared" ca="1" si="12107"/>
        <v>#REF!</v>
      </c>
      <c r="BB665" s="686" t="str">
        <f ca="1">IFERROR(VLOOKUP(BA665,INDIRECT(AQ662),2,FALSE),"----")</f>
        <v>----</v>
      </c>
      <c r="BC665" s="685" t="e">
        <f t="shared" ca="1" si="11542"/>
        <v>#REF!</v>
      </c>
      <c r="BD665" s="686" t="str">
        <f ca="1">IFERROR(VLOOKUP(BC665,INDIRECT(AQ663),2,FALSE),"----")</f>
        <v>----</v>
      </c>
      <c r="BE665" s="685" t="e">
        <f t="shared" ca="1" si="11543"/>
        <v>#REF!</v>
      </c>
      <c r="BF665" s="686" t="str">
        <f ca="1">IFERROR(VLOOKUP(BE665,INDIRECT(AQ664),2,FALSE),"----")</f>
        <v>----</v>
      </c>
      <c r="BG665" s="702" t="e">
        <f t="shared" ca="1" si="11544"/>
        <v>#REF!</v>
      </c>
      <c r="BH665" s="686" t="str">
        <f ca="1">IFERROR(VLOOKUP(BG665,INDIRECT(AQ665),2,FALSE),"----")</f>
        <v>----</v>
      </c>
      <c r="BI665" s="702" t="e">
        <f t="shared" ca="1" si="11545"/>
        <v>#REF!</v>
      </c>
      <c r="BJ665" s="686" t="str">
        <f ca="1">IFERROR(VLOOKUP(BI665,INDIRECT(AQ666),2,FALSE),"----")</f>
        <v>----</v>
      </c>
      <c r="BK665" s="702" t="e">
        <f t="shared" ca="1" si="11546"/>
        <v>#REF!</v>
      </c>
      <c r="BL665" s="686" t="str">
        <f ca="1">IFERROR(VLOOKUP(BK665,INDIRECT(AQ667),2,FALSE),"----")</f>
        <v>----</v>
      </c>
      <c r="BM665" s="702" t="e">
        <f t="shared" ca="1" si="11547"/>
        <v>#REF!</v>
      </c>
      <c r="BN665" s="686" t="str">
        <f ca="1">IFERROR(VLOOKUP(BM665,INDIRECT(AQ668),2,FALSE),"----")</f>
        <v>----</v>
      </c>
      <c r="BO665" s="702" t="e">
        <f t="shared" ca="1" si="11548"/>
        <v>#REF!</v>
      </c>
      <c r="BP665" s="686" t="str">
        <f ca="1">IFERROR(VLOOKUP(BO665,INDIRECT(AQ669),2,FALSE),"----")</f>
        <v>----</v>
      </c>
      <c r="BQ665" s="702" t="e">
        <f t="shared" ca="1" si="11549"/>
        <v>#REF!</v>
      </c>
      <c r="BR665" s="686" t="str">
        <f ca="1">IFERROR(VLOOKUP(BQ665,INDIRECT(AQ670),2,FALSE),"----")</f>
        <v>----</v>
      </c>
      <c r="BS665" s="695">
        <f>IF(AI665="",1,IF(COUNTIF(BH659:BH670,AI665)=0,2,1))</f>
        <v>1</v>
      </c>
      <c r="BT665" s="696">
        <f>IF(AP665="1",1,IF(AF665="",1,IF(BH659=".",2,1)))</f>
        <v>1</v>
      </c>
      <c r="BU665" s="706"/>
      <c r="BV665" s="155">
        <f ca="1">IF(COUNTIF(DI659:DI670,AF665)=0,IF(AF665&lt;&gt;"",0,1),1)</f>
        <v>1</v>
      </c>
      <c r="BW665" s="157">
        <f ca="1">IFERROR(MATCH(AF665,DI659:DI670,0),1)</f>
        <v>1</v>
      </c>
      <c r="BX665" s="769" t="s">
        <v>1593</v>
      </c>
      <c r="BY665" s="769" t="s">
        <v>1629</v>
      </c>
      <c r="BZ665" s="1110"/>
      <c r="CA665" s="691" t="e">
        <f t="shared" ca="1" si="12261"/>
        <v>#REF!</v>
      </c>
      <c r="CB665" s="4" t="e" cm="1">
        <f t="array" aca="1" ref="CB665" ca="1">IF(AND(INDEX(INDIRECT(BY659),CA665,4)&gt;=$AB659,INDEX(INDIRECT(BY659),CA665,5)&gt;=$S659,INDEX(INDIRECT(BY659),CA665,6)&gt;=$R659),1,0)</f>
        <v>#REF!</v>
      </c>
      <c r="CC665" s="4" t="e">
        <f t="shared" ref="CC665" ca="1" si="12365">MATCH(1,OFFSET(CB659:CB670,CD664,0,COUNT(CB659:CB670)-CD664),0)</f>
        <v>#REF!</v>
      </c>
      <c r="CD665" s="4" t="e">
        <f t="shared" ca="1" si="12263"/>
        <v>#REF!</v>
      </c>
      <c r="CE665" s="692" t="str" cm="1">
        <f t="array" aca="1" ref="CE665" ca="1">IFERROR(VLOOKUP(INDEX(CA659:CA670,CD665),INDIRECT(BY659),2,FALSE),"----")</f>
        <v>----</v>
      </c>
      <c r="CF665" s="691" t="e">
        <f t="shared" ca="1" si="12264"/>
        <v>#N/A</v>
      </c>
      <c r="CG665" s="4" t="e">
        <f ca="1">IF(AND(INDEX(SSM,CF665,4)&gt;=$AB659,INDEX(SSM,CF665,5)&gt;=$S659,INDEX(SSM,CF665,6)&gt;=$R659),1,0)</f>
        <v>#N/A</v>
      </c>
      <c r="CH665" s="4" t="e">
        <f t="shared" ref="CH665" ca="1" si="12366">MATCH(1,OFFSET(CG659:CG670,CI664,0,COUNT(CG659:CG670)-CI664),0)</f>
        <v>#REF!</v>
      </c>
      <c r="CI665" s="4" t="e">
        <f t="shared" ca="1" si="12266"/>
        <v>#REF!</v>
      </c>
      <c r="CJ665" s="692" t="str">
        <f ca="1">IFERROR(IF(AD660="Nested Steel Stud (wood infill)",VLOOKUP(INDEX(CF659:CF670,CI665),SSW,2,FALSE),VLOOKUP(INDEX(CF659:CF670,CI665),SSM,2,FALSE)),"----")</f>
        <v>----</v>
      </c>
      <c r="CK665" s="691" t="e">
        <f t="shared" ca="1" si="12267"/>
        <v>#N/A</v>
      </c>
      <c r="CL665" s="4" t="e">
        <f ca="1">IF(AND(INDEX(WSM,CK665,4)&gt;=$AB659,INDEX(WSM,CK665,5)&gt;=$S659,INDEX(WSM,CK665,6)&gt;=$R659),1,0)</f>
        <v>#N/A</v>
      </c>
      <c r="CM665" s="4" t="e">
        <f t="shared" ref="CM665" ca="1" si="12367">MATCH(1,OFFSET(CL659:CL670,CN664,0,COUNT(CL659:CL670)-CN664),0)</f>
        <v>#REF!</v>
      </c>
      <c r="CN665" s="4" t="e">
        <f t="shared" ca="1" si="12269"/>
        <v>#REF!</v>
      </c>
      <c r="CO665" s="692" t="str">
        <f ca="1">IFERROR(VLOOKUP(INDEX(CK659:CK670,CN665),WSM,2,FALSE),"----")</f>
        <v>----</v>
      </c>
      <c r="CP665" s="691" t="e">
        <f t="shared" ca="1" si="12270"/>
        <v>#N/A</v>
      </c>
      <c r="CQ665" s="4" t="e">
        <f ca="1">IF(AND(INDEX(STM,CP665,4)&gt;=$AB659,INDEX(STM,CP665,5)&gt;=$S659,INDEX(STM,CP665,6)&gt;=$R659),1,0)</f>
        <v>#N/A</v>
      </c>
      <c r="CR665" s="4" t="e">
        <f t="shared" ref="CR665" ca="1" si="12368">MATCH(1,OFFSET(CQ659:CQ670,CS664,0,COUNT(CQ659:CQ670)-CS664),0)</f>
        <v>#REF!</v>
      </c>
      <c r="CS665" s="4" t="e">
        <f t="shared" ca="1" si="12272"/>
        <v>#REF!</v>
      </c>
      <c r="CT665" s="692" t="str">
        <f ca="1">IFERROR(VLOOKUP(INDEX(CP659:CP670,CS665),STM,2,FALSE),"----")</f>
        <v>----</v>
      </c>
      <c r="CU665" s="691" t="e">
        <f t="shared" ca="1" si="12273"/>
        <v>#N/A</v>
      </c>
      <c r="CV665" s="4" t="e">
        <f ca="1">IF(AND(INDEX(ELM,CU665,4)&gt;=$AB659,INDEX(ELM,CU665,5)&gt;=$S659,INDEX(ELM,CU665,6)&gt;=$R659),1,0)</f>
        <v>#N/A</v>
      </c>
      <c r="CW665" s="4" t="e">
        <f t="shared" ref="CW665" ca="1" si="12369">MATCH(1,OFFSET(CV659:CV670,CX664,0,COUNT(CV659:CV670)-CX664),0)</f>
        <v>#REF!</v>
      </c>
      <c r="CX665" s="4" t="e">
        <f t="shared" ca="1" si="12275"/>
        <v>#REF!</v>
      </c>
      <c r="CY665" s="692" t="str">
        <f ca="1">IFERROR(VLOOKUP(INDEX(CU659:CU670,CX665),ELM,2,FALSE),"----")</f>
        <v>----</v>
      </c>
      <c r="CZ665" s="691" t="e">
        <f t="shared" ca="1" si="12276"/>
        <v>#N/A</v>
      </c>
      <c r="DA665" s="4" t="e">
        <f ca="1">IF(LEFT($J659,7)="Clad Wo",IF(AND(INDEX(SPPWS,CZ665,4)&gt;=$AB659,INDEX(SPPWS,CZ665,5)&gt;=$S659,INDEX(SPPWS,CZ665,6)&gt;=$R659),1,0),IF(AND(INDEX(SPM,CZ665,4)&gt;=$AB659,INDEX(SPM,CZ665,5)&gt;=$S659,INDEX(SPM,CZ665,6)&gt;=$R659),1,0))</f>
        <v>#N/A</v>
      </c>
      <c r="DB665" s="4" t="e">
        <f t="shared" ref="DB665" ca="1" si="12370">MATCH(1,OFFSET(DA659:DA670,DC664,0,COUNT(DA659:DA670)-DC664),0)</f>
        <v>#REF!</v>
      </c>
      <c r="DC665" s="4" t="e">
        <f t="shared" ca="1" si="12278"/>
        <v>#REF!</v>
      </c>
      <c r="DD665" s="693" t="str">
        <f ca="1">IF(LEFT($J659,7)="Clad Wo",IFERROR(VLOOKUP(INDEX(CZ659:CZ670,DC665),SPPWS,2,FALSE),"----"),IFERROR(VLOOKUP(INDEX(CZ659:CZ670,DC665),SPM,2,FALSE),"----"))</f>
        <v>----</v>
      </c>
      <c r="DE665" s="691" t="e">
        <f t="shared" ca="1" si="12279"/>
        <v>#REF!</v>
      </c>
      <c r="DF665" s="4" t="e" cm="1">
        <f t="array" aca="1" ref="DF665" ca="1">IF(AND(INDEX(INDIRECT(BY659),DE665,4)&gt;=$AB665,INDEX(INDIRECT(BY659),DE665,5)&gt;=$S659,INDEX(INDIRECT(BY659),DE665,6)&gt;=$R659),1,0)</f>
        <v>#REF!</v>
      </c>
      <c r="DG665" s="4" t="e">
        <f t="shared" ref="DG665" ca="1" si="12371">MATCH(1,OFFSET(DF659:DF670,DH664,0,COUNT(DF659:DF670)-DH664),0)</f>
        <v>#REF!</v>
      </c>
      <c r="DH665" s="4" t="e">
        <f t="shared" ca="1" si="12281"/>
        <v>#REF!</v>
      </c>
      <c r="DI665" s="692" t="str" cm="1">
        <f t="array" aca="1" ref="DI665" ca="1">IFERROR(VLOOKUP(INDEX(DE659:DE670,DH665),INDIRECT(BY659),2,FALSE),"----")</f>
        <v>----</v>
      </c>
      <c r="DJ665" s="691" t="e">
        <f t="shared" ca="1" si="12282"/>
        <v>#N/A</v>
      </c>
      <c r="DK665" s="4" t="e">
        <f ca="1">IF(AND(INDEX(SSM,DJ665,4)&gt;=$AB665,INDEX(SSM,DJ665,5)&gt;=$S659,INDEX(SSM,DJ665,6)&gt;=$R659),1,0)</f>
        <v>#N/A</v>
      </c>
      <c r="DL665" s="4" t="e">
        <f t="shared" ref="DL665" ca="1" si="12372">MATCH(1,OFFSET(DK659:DK670,DM664,0,COUNT(DK659:DK670)-DM664),0)</f>
        <v>#REF!</v>
      </c>
      <c r="DM665" s="4" t="e">
        <f t="shared" ca="1" si="12284"/>
        <v>#REF!</v>
      </c>
      <c r="DN665" s="692" t="str">
        <f ca="1">IFERROR(IF(AD666="Nested Steel Stud (wood infill)",VLOOKUP(INDEX(DJ659:DJ670,DM665),SSW,2,FALSE),VLOOKUP(INDEX(DJ659:DJ670,DM665),SSM,2,FALSE)),"----")</f>
        <v>----</v>
      </c>
      <c r="DO665" s="691" t="e">
        <f t="shared" ca="1" si="12285"/>
        <v>#N/A</v>
      </c>
      <c r="DP665" s="4" t="e">
        <f ca="1">IF(AND(INDEX(WSM,DO665,4)&gt;=$AB665,INDEX(WSM,DO665,5)&gt;=$S659,INDEX(WSM,DO665,6)&gt;=$R659),1,0)</f>
        <v>#N/A</v>
      </c>
      <c r="DQ665" s="4" t="e">
        <f t="shared" ref="DQ665" ca="1" si="12373">MATCH(1,OFFSET(DP659:DP670,DR664,0,COUNT(DP659:DP670)-DR664),0)</f>
        <v>#REF!</v>
      </c>
      <c r="DR665" s="4" t="e">
        <f t="shared" ca="1" si="12287"/>
        <v>#REF!</v>
      </c>
      <c r="DS665" s="692" t="str">
        <f ca="1">IFERROR(VLOOKUP(INDEX(DO659:DO670,DR665),WSM,2,FALSE),"----")</f>
        <v>----</v>
      </c>
      <c r="DT665" s="691" t="e">
        <f t="shared" ca="1" si="12288"/>
        <v>#N/A</v>
      </c>
      <c r="DU665" s="4" t="e">
        <f ca="1">IF(AND(INDEX(STM,DT665,4)&gt;=$AB665,INDEX(STM,DT665,5)&gt;=$S659,INDEX(STM,DT665,6)&gt;=$R659),1,0)</f>
        <v>#N/A</v>
      </c>
      <c r="DV665" s="4" t="e">
        <f t="shared" ref="DV665" ca="1" si="12374">MATCH(1,OFFSET(DU659:DU670,DW664,0,COUNT(DU659:DU670)-DW664),0)</f>
        <v>#REF!</v>
      </c>
      <c r="DW665" s="4" t="e">
        <f t="shared" ca="1" si="12290"/>
        <v>#REF!</v>
      </c>
      <c r="DX665" s="692" t="str">
        <f ca="1">IFERROR(VLOOKUP(INDEX(DT659:DT670,DW665),STM,2,FALSE),"----")</f>
        <v>----</v>
      </c>
      <c r="DY665" s="691" t="e">
        <f t="shared" ca="1" si="12291"/>
        <v>#N/A</v>
      </c>
      <c r="DZ665" s="4" t="e">
        <f ca="1">IF(AND(INDEX(ELM,DY665,4)&gt;=$AB665,INDEX(ELM,DY665,5)&gt;=$S659,INDEX(ELM,DY665,6)&gt;=$R659),1,0)</f>
        <v>#N/A</v>
      </c>
      <c r="EA665" s="4" t="e">
        <f t="shared" ref="EA665" ca="1" si="12375">MATCH(1,OFFSET(DZ659:DZ670,EB664,0,COUNT(DZ659:DZ670)-EB664),0)</f>
        <v>#REF!</v>
      </c>
      <c r="EB665" s="4" t="e">
        <f t="shared" ca="1" si="12293"/>
        <v>#REF!</v>
      </c>
      <c r="EC665" s="692" t="str">
        <f ca="1">IFERROR(VLOOKUP(INDEX(DY659:DY670,EB665),ELM,2,FALSE),"----")</f>
        <v>----</v>
      </c>
      <c r="ED665" s="691" t="e">
        <f t="shared" ca="1" si="12294"/>
        <v>#N/A</v>
      </c>
      <c r="EE665" s="4" t="e">
        <f ca="1">IF(LEFT($J659,7)="Clad Wo",IF(AND(INDEX(SPPWS,ED665,4)&gt;=$AB665,INDEX(SPPWS,ED665,5)&gt;=$S659,INDEX(SPPWS,ED665,6)&gt;=$R659),1,0),IF(AND(INDEX(SPM,ED665,4)&gt;=$AB665,INDEX(SPM,ED665,5)&gt;=$S659,INDEX(SPM,ED665,6)&gt;=$R659),1,0))</f>
        <v>#N/A</v>
      </c>
      <c r="EF665" s="4" t="e">
        <f t="shared" ref="EF665" ca="1" si="12376">MATCH(1,OFFSET(EE659:EE670,EG664,0,COUNT(EE659:EE670)-EG664),0)</f>
        <v>#REF!</v>
      </c>
      <c r="EG665" s="4" t="e">
        <f t="shared" ca="1" si="12296"/>
        <v>#REF!</v>
      </c>
      <c r="EH665" s="692" t="str">
        <f ca="1">IF(LEFT($J659,7)="Clad Wo",IFERROR(VLOOKUP(INDEX(ED659:ED670,EG665),SPPWS,2,FALSE),"----"),IFERROR(VLOOKUP(INDEX(ED659:ED670,EG665),SPM,2,FALSE),"----"))</f>
        <v>----</v>
      </c>
    </row>
    <row r="666" spans="1:138" ht="15" customHeight="1" x14ac:dyDescent="0.25">
      <c r="A666" s="1085"/>
      <c r="B666" s="925"/>
      <c r="C666" s="926"/>
      <c r="D666" s="927"/>
      <c r="E666" s="995"/>
      <c r="F666" s="996"/>
      <c r="G666" s="997"/>
      <c r="H666" s="1062"/>
      <c r="I666" s="990"/>
      <c r="J666" s="912"/>
      <c r="K666" s="913"/>
      <c r="L666" s="1002"/>
      <c r="M666" s="923"/>
      <c r="N666" s="1042"/>
      <c r="O666" s="1018"/>
      <c r="P666" s="987"/>
      <c r="Q666" s="1015"/>
      <c r="R666" s="1012"/>
      <c r="S666" s="1006"/>
      <c r="T666" s="1007"/>
      <c r="U666" s="878"/>
      <c r="V666" s="881"/>
      <c r="W666" s="884"/>
      <c r="X666" s="884"/>
      <c r="Y666" s="887"/>
      <c r="Z666" s="887"/>
      <c r="AA666" s="887"/>
      <c r="AB666" s="1081"/>
      <c r="AC666" s="1078"/>
      <c r="AD666" s="1070" t="str">
        <f t="shared" ref="AD666" si="12377">IF(ISBLANK(AD660)=TRUE,"",AD660)</f>
        <v>Nested Steel Stud</v>
      </c>
      <c r="AE666" s="1071"/>
      <c r="AF666" s="1052"/>
      <c r="AG666" s="1053"/>
      <c r="AH666" s="1053"/>
      <c r="AI666" s="1066"/>
      <c r="AJ666" s="1067"/>
      <c r="AK666" s="156" t="str">
        <f t="shared" ca="1" si="11298"/>
        <v/>
      </c>
      <c r="AL666" s="1059"/>
      <c r="AM666" s="343" t="str">
        <f ca="1">IFERROR(Q659/12*ROUND(VLOOKUP(AF666,OFFSET(SSM,0,1),6,FALSE),2),"")</f>
        <v/>
      </c>
      <c r="AN666" t="str">
        <f t="shared" ca="1" si="11348"/>
        <v/>
      </c>
      <c r="AP666" s="122" t="str">
        <f t="shared" ref="AP666" si="12378">_xlfn.CONCAT(AR666,AS670)</f>
        <v/>
      </c>
      <c r="AQ666" s="683" t="str">
        <f t="shared" si="11512"/>
        <v/>
      </c>
      <c r="AR666" s="96" t="str">
        <f t="shared" si="11273"/>
        <v/>
      </c>
      <c r="AS666" s="96" t="str">
        <f>IF(COUNTIF(Vista_1,AF665)=1,"Vista_1",IF(COUNTIF(Vista_2,AF665)=1,"Vista_2",""))</f>
        <v/>
      </c>
      <c r="AT666" s="684" t="str">
        <f>AL665</f>
        <v/>
      </c>
      <c r="AU666" s="694" t="e">
        <f t="shared" ca="1" si="11538"/>
        <v>#REF!</v>
      </c>
      <c r="AV666" s="686" t="str">
        <f ca="1">IFERROR(VLOOKUP(AU666,INDIRECT(AQ659),2,FALSE),"----")</f>
        <v>----</v>
      </c>
      <c r="AW666" s="694" t="e">
        <f t="shared" ca="1" si="11539"/>
        <v>#REF!</v>
      </c>
      <c r="AX666" s="686" t="str">
        <f ca="1">IFERROR(VLOOKUP(AW666,INDIRECT(AQ660),2,FALSE),"----")</f>
        <v>----</v>
      </c>
      <c r="AY666" s="694" t="e">
        <f t="shared" ca="1" si="12106"/>
        <v>#REF!</v>
      </c>
      <c r="AZ666" s="686" t="str">
        <f ca="1">IFERROR(VLOOKUP(AY666,INDIRECT(AQ661),2,FALSE),"----")</f>
        <v>----</v>
      </c>
      <c r="BA666" s="694" t="e">
        <f t="shared" ca="1" si="12107"/>
        <v>#REF!</v>
      </c>
      <c r="BB666" s="686" t="str">
        <f ca="1">IFERROR(VLOOKUP(BA666,INDIRECT(AQ662),2,FALSE),"----")</f>
        <v>----</v>
      </c>
      <c r="BC666" s="694" t="e">
        <f t="shared" ca="1" si="11542"/>
        <v>#REF!</v>
      </c>
      <c r="BD666" s="686" t="str">
        <f ca="1">IFERROR(VLOOKUP(BC666,INDIRECT(AQ663),2,FALSE),"----")</f>
        <v>----</v>
      </c>
      <c r="BE666" s="694" t="e">
        <f t="shared" ca="1" si="11543"/>
        <v>#REF!</v>
      </c>
      <c r="BF666" s="686" t="str">
        <f ca="1">IFERROR(VLOOKUP(BE666,INDIRECT(AQ664),2,FALSE),"----")</f>
        <v>----</v>
      </c>
      <c r="BG666" s="702" t="e">
        <f t="shared" ca="1" si="11544"/>
        <v>#REF!</v>
      </c>
      <c r="BH666" s="686" t="str">
        <f ca="1">IFERROR(VLOOKUP(BG666,INDIRECT(AQ665),2,FALSE),"----")</f>
        <v>----</v>
      </c>
      <c r="BI666" s="702" t="e">
        <f t="shared" ca="1" si="11545"/>
        <v>#REF!</v>
      </c>
      <c r="BJ666" s="686" t="str">
        <f ca="1">IFERROR(VLOOKUP(BI666,INDIRECT(AQ666),2,FALSE),"----")</f>
        <v>----</v>
      </c>
      <c r="BK666" s="702" t="e">
        <f t="shared" ca="1" si="11546"/>
        <v>#REF!</v>
      </c>
      <c r="BL666" s="686" t="str">
        <f ca="1">IFERROR(VLOOKUP(BK666,INDIRECT(AQ667),2,FALSE),"----")</f>
        <v>----</v>
      </c>
      <c r="BM666" s="702" t="e">
        <f t="shared" ca="1" si="11547"/>
        <v>#REF!</v>
      </c>
      <c r="BN666" s="686" t="str">
        <f ca="1">IFERROR(VLOOKUP(BM666,INDIRECT(AQ668),2,FALSE),"----")</f>
        <v>----</v>
      </c>
      <c r="BO666" s="702" t="e">
        <f t="shared" ca="1" si="11548"/>
        <v>#REF!</v>
      </c>
      <c r="BP666" s="686" t="str">
        <f ca="1">IFERROR(VLOOKUP(BO666,INDIRECT(AQ669),2,FALSE),"----")</f>
        <v>----</v>
      </c>
      <c r="BQ666" s="702" t="e">
        <f t="shared" ca="1" si="11549"/>
        <v>#REF!</v>
      </c>
      <c r="BR666" s="686" t="str">
        <f ca="1">IFERROR(VLOOKUP(BQ666,INDIRECT(AQ670),2,FALSE),"----")</f>
        <v>----</v>
      </c>
      <c r="BS666" s="695">
        <f>IF(AI666="",1,IF(COUNTIF(BJ659:BJ670,AI666)=0,2,1))</f>
        <v>1</v>
      </c>
      <c r="BT666" s="696">
        <f>IF(AF666="",1,IF(BJ659=".",2,1))</f>
        <v>1</v>
      </c>
      <c r="BU666" s="706"/>
      <c r="BV666" s="155">
        <f ca="1">IF(COUNTIF(DN659:DN670,AF666)=0,IF(AF666&lt;&gt;"",0,1),1)</f>
        <v>1</v>
      </c>
      <c r="BW666" s="157">
        <f ca="1">IFERROR(MATCH(AF666,DN659:DN670,0),1)</f>
        <v>1</v>
      </c>
      <c r="BX666" s="769">
        <f t="shared" ref="BX666" si="12379">E659*(H659+I659)/144/2</f>
        <v>0</v>
      </c>
      <c r="BY666" s="769">
        <f>SUM(IF(H659&gt;E659,E659^2/4,(H659*E659/2)-(H659^2/4))/144,IF(I659&gt;E659,E659^2/4,(I659*E659/2)-(I659^2/4))/144)</f>
        <v>0</v>
      </c>
      <c r="BZ666" s="1110"/>
      <c r="CA666" s="691" t="e">
        <f t="shared" ca="1" si="12261"/>
        <v>#REF!</v>
      </c>
      <c r="CB666" s="4" t="e" cm="1">
        <f t="array" aca="1" ref="CB666" ca="1">IF(AND(INDEX(INDIRECT(BY659),CA666,4)&gt;=$AB659,INDEX(INDIRECT(BY659),CA666,5)&gt;=$S659,INDEX(INDIRECT(BY659),CA666,6)&gt;=$R659),1,0)</f>
        <v>#REF!</v>
      </c>
      <c r="CC666" s="4" t="e">
        <f t="shared" ref="CC666" ca="1" si="12380">MATCH(1,OFFSET(CB659:CB670,CD665,0,COUNT(CB659:CB670)-CD665),0)</f>
        <v>#REF!</v>
      </c>
      <c r="CD666" s="4" t="e">
        <f t="shared" ca="1" si="12263"/>
        <v>#REF!</v>
      </c>
      <c r="CE666" s="692" t="str" cm="1">
        <f t="array" aca="1" ref="CE666" ca="1">IFERROR(VLOOKUP(INDEX(CA659:CA670,CD666),INDIRECT(BY659),2,FALSE),"----")</f>
        <v>----</v>
      </c>
      <c r="CF666" s="691" t="e">
        <f t="shared" ca="1" si="12264"/>
        <v>#N/A</v>
      </c>
      <c r="CG666" s="4" t="e">
        <f ca="1">IF(AND(INDEX(SSM,CF666,4)&gt;=$AB659,INDEX(SSM,CF666,5)&gt;=$S659,INDEX(SSM,CF666,6)&gt;=$R659),1,0)</f>
        <v>#N/A</v>
      </c>
      <c r="CH666" s="4" t="e">
        <f t="shared" ref="CH666" ca="1" si="12381">MATCH(1,OFFSET(CG659:CG670,CI665,0,COUNT(CG659:CG670)-CI665),0)</f>
        <v>#REF!</v>
      </c>
      <c r="CI666" s="4" t="e">
        <f t="shared" ca="1" si="12266"/>
        <v>#REF!</v>
      </c>
      <c r="CJ666" s="692" t="str">
        <f ca="1">IFERROR(IF(AD660="Nested Steel Stud (wood infill)",VLOOKUP(INDEX(CF659:CF670,CI666),SSW,2,FALSE),VLOOKUP(INDEX(CF659:CF670,CI666),SSM,2,FALSE)),"----")</f>
        <v>----</v>
      </c>
      <c r="CK666" s="691" t="e">
        <f t="shared" ca="1" si="12267"/>
        <v>#N/A</v>
      </c>
      <c r="CL666" s="4" t="e">
        <f ca="1">IF(AND(INDEX(WSM,CK666,4)&gt;=$AB659,INDEX(WSM,CK666,5)&gt;=$S659,INDEX(WSM,CK666,6)&gt;=$R659),1,0)</f>
        <v>#N/A</v>
      </c>
      <c r="CM666" s="4" t="e">
        <f t="shared" ref="CM666" ca="1" si="12382">MATCH(1,OFFSET(CL659:CL670,CN665,0,COUNT(CL659:CL670)-CN665),0)</f>
        <v>#REF!</v>
      </c>
      <c r="CN666" s="4" t="e">
        <f t="shared" ca="1" si="12269"/>
        <v>#REF!</v>
      </c>
      <c r="CO666" s="692" t="str">
        <f ca="1">IFERROR(VLOOKUP(INDEX(CK659:CK670,CN666),WSM,2,FALSE),"----")</f>
        <v>----</v>
      </c>
      <c r="CP666" s="691" t="e">
        <f t="shared" ca="1" si="12270"/>
        <v>#N/A</v>
      </c>
      <c r="CQ666" s="4" t="e">
        <f ca="1">IF(AND(INDEX(STM,CP666,4)&gt;=$AB659,INDEX(STM,CP666,5)&gt;=$S659,INDEX(STM,CP666,6)&gt;=$R659),1,0)</f>
        <v>#N/A</v>
      </c>
      <c r="CR666" s="4" t="e">
        <f t="shared" ref="CR666" ca="1" si="12383">MATCH(1,OFFSET(CQ659:CQ670,CS665,0,COUNT(CQ659:CQ670)-CS665),0)</f>
        <v>#REF!</v>
      </c>
      <c r="CS666" s="4" t="e">
        <f t="shared" ca="1" si="12272"/>
        <v>#REF!</v>
      </c>
      <c r="CT666" s="692" t="str">
        <f ca="1">IFERROR(VLOOKUP(INDEX(CP659:CP670,CS666),STM,2,FALSE),"----")</f>
        <v>----</v>
      </c>
      <c r="CU666" s="691" t="e">
        <f t="shared" ca="1" si="12273"/>
        <v>#N/A</v>
      </c>
      <c r="CV666" s="4" t="e">
        <f ca="1">IF(AND(INDEX(ELM,CU666,4)&gt;=$AB659,INDEX(ELM,CU666,5)&gt;=$S659,INDEX(ELM,CU666,6)&gt;=$R659),1,0)</f>
        <v>#N/A</v>
      </c>
      <c r="CW666" s="4" t="e">
        <f t="shared" ref="CW666" ca="1" si="12384">MATCH(1,OFFSET(CV659:CV670,CX665,0,COUNT(CV659:CV670)-CX665),0)</f>
        <v>#REF!</v>
      </c>
      <c r="CX666" s="4" t="e">
        <f t="shared" ca="1" si="12275"/>
        <v>#REF!</v>
      </c>
      <c r="CY666" s="692" t="str">
        <f ca="1">IFERROR(VLOOKUP(INDEX(CU659:CU670,CX666),ELM,2,FALSE),"----")</f>
        <v>----</v>
      </c>
      <c r="CZ666" s="691" t="e">
        <f t="shared" ca="1" si="12276"/>
        <v>#N/A</v>
      </c>
      <c r="DA666" s="4" t="e">
        <f ca="1">IF(LEFT($J659,7)="Clad Wo",IF(AND(INDEX(SPPWS,CZ666,4)&gt;=$AB659,INDEX(SPPWS,CZ666,5)&gt;=$S659,INDEX(SPPWS,CZ666,6)&gt;=$R659),1,0),IF(AND(INDEX(SPM,CZ666,4)&gt;=$AB659,INDEX(SPM,CZ666,5)&gt;=$S659,INDEX(SPM,CZ666,6)&gt;=$R659),1,0))</f>
        <v>#N/A</v>
      </c>
      <c r="DB666" s="4" t="e">
        <f t="shared" ref="DB666" ca="1" si="12385">MATCH(1,OFFSET(DA659:DA670,DC665,0,COUNT(DA659:DA670)-DC665),0)</f>
        <v>#REF!</v>
      </c>
      <c r="DC666" s="4" t="e">
        <f t="shared" ca="1" si="12278"/>
        <v>#REF!</v>
      </c>
      <c r="DD666" s="693" t="str">
        <f ca="1">IF(LEFT($J659,7)="Clad Wo",IFERROR(VLOOKUP(INDEX(CZ659:CZ670,DC666),SPPWS,2,FALSE),"----"),IFERROR(VLOOKUP(INDEX(CZ659:CZ670,DC666),SPM,2,FALSE),"----"))</f>
        <v>----</v>
      </c>
      <c r="DE666" s="691" t="e">
        <f t="shared" ca="1" si="12279"/>
        <v>#REF!</v>
      </c>
      <c r="DF666" s="4" t="e" cm="1">
        <f t="array" aca="1" ref="DF666" ca="1">IF(AND(INDEX(INDIRECT(BY659),DE666,4)&gt;=$AB665,INDEX(INDIRECT(BY659),DE666,5)&gt;=$S659,INDEX(INDIRECT(BY659),DE666,6)&gt;=$R659),1,0)</f>
        <v>#REF!</v>
      </c>
      <c r="DG666" s="4" t="e">
        <f t="shared" ref="DG666" ca="1" si="12386">MATCH(1,OFFSET(DF659:DF670,DH665,0,COUNT(DF659:DF670)-DH665),0)</f>
        <v>#REF!</v>
      </c>
      <c r="DH666" s="4" t="e">
        <f t="shared" ca="1" si="12281"/>
        <v>#REF!</v>
      </c>
      <c r="DI666" s="692" t="str" cm="1">
        <f t="array" aca="1" ref="DI666" ca="1">IFERROR(VLOOKUP(INDEX(DE659:DE670,DH666),INDIRECT(BY659),2,FALSE),"----")</f>
        <v>----</v>
      </c>
      <c r="DJ666" s="691" t="e">
        <f t="shared" ca="1" si="12282"/>
        <v>#N/A</v>
      </c>
      <c r="DK666" s="4" t="e">
        <f ca="1">IF(AND(INDEX(SSM,DJ666,4)&gt;=$AB665,INDEX(SSM,DJ666,5)&gt;=$S659,INDEX(SSM,DJ666,6)&gt;=$R659),1,0)</f>
        <v>#N/A</v>
      </c>
      <c r="DL666" s="4" t="e">
        <f t="shared" ref="DL666" ca="1" si="12387">MATCH(1,OFFSET(DK659:DK670,DM665,0,COUNT(DK659:DK670)-DM665),0)</f>
        <v>#REF!</v>
      </c>
      <c r="DM666" s="4" t="e">
        <f t="shared" ca="1" si="12284"/>
        <v>#REF!</v>
      </c>
      <c r="DN666" s="692" t="str">
        <f ca="1">IFERROR(IF(AD666="Nested Steel Stud (wood infill)",VLOOKUP(INDEX(DJ659:DJ670,DM666),SSW,2,FALSE),VLOOKUP(INDEX(DJ659:DJ670,DM666),SSM,2,FALSE)),"----")</f>
        <v>----</v>
      </c>
      <c r="DO666" s="691" t="e">
        <f t="shared" ca="1" si="12285"/>
        <v>#N/A</v>
      </c>
      <c r="DP666" s="4" t="e">
        <f ca="1">IF(AND(INDEX(WSM,DO666,4)&gt;=$AB665,INDEX(WSM,DO666,5)&gt;=$S659,INDEX(WSM,DO666,6)&gt;=$R659),1,0)</f>
        <v>#N/A</v>
      </c>
      <c r="DQ666" s="4" t="e">
        <f t="shared" ref="DQ666" ca="1" si="12388">MATCH(1,OFFSET(DP659:DP670,DR665,0,COUNT(DP659:DP670)-DR665),0)</f>
        <v>#REF!</v>
      </c>
      <c r="DR666" s="4" t="e">
        <f t="shared" ca="1" si="12287"/>
        <v>#REF!</v>
      </c>
      <c r="DS666" s="692" t="str">
        <f ca="1">IFERROR(VLOOKUP(INDEX(DO659:DO670,DR666),WSM,2,FALSE),"----")</f>
        <v>----</v>
      </c>
      <c r="DT666" s="691" t="e">
        <f t="shared" ca="1" si="12288"/>
        <v>#N/A</v>
      </c>
      <c r="DU666" s="4" t="e">
        <f ca="1">IF(AND(INDEX(STM,DT666,4)&gt;=$AB665,INDEX(STM,DT666,5)&gt;=$S659,INDEX(STM,DT666,6)&gt;=$R659),1,0)</f>
        <v>#N/A</v>
      </c>
      <c r="DV666" s="4" t="e">
        <f t="shared" ref="DV666" ca="1" si="12389">MATCH(1,OFFSET(DU659:DU670,DW665,0,COUNT(DU659:DU670)-DW665),0)</f>
        <v>#REF!</v>
      </c>
      <c r="DW666" s="4" t="e">
        <f t="shared" ca="1" si="12290"/>
        <v>#REF!</v>
      </c>
      <c r="DX666" s="692" t="str">
        <f ca="1">IFERROR(VLOOKUP(INDEX(DT659:DT670,DW666),STM,2,FALSE),"----")</f>
        <v>----</v>
      </c>
      <c r="DY666" s="691" t="e">
        <f t="shared" ca="1" si="12291"/>
        <v>#N/A</v>
      </c>
      <c r="DZ666" s="4" t="e">
        <f ca="1">IF(AND(INDEX(ELM,DY666,4)&gt;=$AB665,INDEX(ELM,DY666,5)&gt;=$S659,INDEX(ELM,DY666,6)&gt;=$R659),1,0)</f>
        <v>#N/A</v>
      </c>
      <c r="EA666" s="4" t="e">
        <f t="shared" ref="EA666" ca="1" si="12390">MATCH(1,OFFSET(DZ659:DZ670,EB665,0,COUNT(DZ659:DZ670)-EB665),0)</f>
        <v>#REF!</v>
      </c>
      <c r="EB666" s="4" t="e">
        <f t="shared" ca="1" si="12293"/>
        <v>#REF!</v>
      </c>
      <c r="EC666" s="692" t="str">
        <f ca="1">IFERROR(VLOOKUP(INDEX(DY659:DY670,EB666),ELM,2,FALSE),"----")</f>
        <v>----</v>
      </c>
      <c r="ED666" s="691" t="e">
        <f t="shared" ca="1" si="12294"/>
        <v>#N/A</v>
      </c>
      <c r="EE666" s="4" t="e">
        <f ca="1">IF(LEFT($J659,7)="Clad Wo",IF(AND(INDEX(SPPWS,ED666,4)&gt;=$AB665,INDEX(SPPWS,ED666,5)&gt;=$S659,INDEX(SPPWS,ED666,6)&gt;=$R659),1,0),IF(AND(INDEX(SPM,ED666,4)&gt;=$AB665,INDEX(SPM,ED666,5)&gt;=$S659,INDEX(SPM,ED666,6)&gt;=$R659),1,0))</f>
        <v>#N/A</v>
      </c>
      <c r="EF666" s="4" t="e">
        <f t="shared" ref="EF666" ca="1" si="12391">MATCH(1,OFFSET(EE659:EE670,EG665,0,COUNT(EE659:EE670)-EG665),0)</f>
        <v>#REF!</v>
      </c>
      <c r="EG666" s="4" t="e">
        <f t="shared" ca="1" si="12296"/>
        <v>#REF!</v>
      </c>
      <c r="EH666" s="692" t="str">
        <f ca="1">IF(LEFT($J659,7)="Clad Wo",IFERROR(VLOOKUP(INDEX(ED659:ED670,EG666),SPPWS,2,FALSE),"----"),IFERROR(VLOOKUP(INDEX(ED659:ED670,EG666),SPM,2,FALSE),"----"))</f>
        <v>----</v>
      </c>
    </row>
    <row r="667" spans="1:138" ht="15" customHeight="1" x14ac:dyDescent="0.25">
      <c r="A667" s="1085"/>
      <c r="B667" s="925"/>
      <c r="C667" s="926"/>
      <c r="D667" s="927"/>
      <c r="E667" s="995"/>
      <c r="F667" s="996"/>
      <c r="G667" s="997"/>
      <c r="H667" s="1062"/>
      <c r="I667" s="990"/>
      <c r="J667" s="902"/>
      <c r="K667" s="903"/>
      <c r="L667" s="1002"/>
      <c r="M667" s="923"/>
      <c r="N667" s="1042"/>
      <c r="O667" s="1018"/>
      <c r="P667" s="987"/>
      <c r="Q667" s="1015"/>
      <c r="R667" s="1012"/>
      <c r="S667" s="1006"/>
      <c r="T667" s="1007"/>
      <c r="U667" s="878"/>
      <c r="V667" s="881"/>
      <c r="W667" s="884"/>
      <c r="X667" s="884"/>
      <c r="Y667" s="887"/>
      <c r="Z667" s="887"/>
      <c r="AA667" s="887"/>
      <c r="AB667" s="1081"/>
      <c r="AC667" s="1078"/>
      <c r="AD667" s="1070" t="str">
        <f t="shared" si="11681"/>
        <v>Wood Stud Framing</v>
      </c>
      <c r="AE667" s="1071"/>
      <c r="AF667" s="1052"/>
      <c r="AG667" s="1053"/>
      <c r="AH667" s="1053"/>
      <c r="AI667" s="1066"/>
      <c r="AJ667" s="1067"/>
      <c r="AK667" s="156" t="str">
        <f t="shared" ca="1" si="11298"/>
        <v/>
      </c>
      <c r="AL667" s="1059"/>
      <c r="AM667" s="344" t="str">
        <f ca="1">IFERROR(Q659/12*ROUND(VLOOKUP(AF667,OFFSET(WSM,0,1),6,FALSE),2),"")</f>
        <v/>
      </c>
      <c r="AN667" t="str">
        <f t="shared" ca="1" si="11348"/>
        <v/>
      </c>
      <c r="AP667" s="122" t="str">
        <f t="shared" ref="AP667" si="12392">_xlfn.CONCAT(AR667,AS670)</f>
        <v/>
      </c>
      <c r="AQ667" s="683" t="str">
        <f t="shared" si="11512"/>
        <v/>
      </c>
      <c r="AR667" s="4" t="str">
        <f t="shared" si="11273"/>
        <v/>
      </c>
      <c r="AS667" s="4"/>
      <c r="AT667" s="697" t="str">
        <f>AL665</f>
        <v/>
      </c>
      <c r="AU667" s="694" t="e">
        <f t="shared" ca="1" si="11538"/>
        <v>#REF!</v>
      </c>
      <c r="AV667" s="686" t="str">
        <f ca="1">IFERROR(VLOOKUP(AU667,INDIRECT(AQ659),2,FALSE),"----")</f>
        <v>----</v>
      </c>
      <c r="AW667" s="694" t="e">
        <f t="shared" ca="1" si="11539"/>
        <v>#REF!</v>
      </c>
      <c r="AX667" s="686" t="str">
        <f ca="1">IFERROR(VLOOKUP(AW667,INDIRECT(AQ660),2,FALSE),"----")</f>
        <v>----</v>
      </c>
      <c r="AY667" s="694" t="e">
        <f t="shared" ca="1" si="12106"/>
        <v>#REF!</v>
      </c>
      <c r="AZ667" s="686" t="str">
        <f ca="1">IFERROR(VLOOKUP(AY667,INDIRECT(AQ661),2,FALSE),"----")</f>
        <v>----</v>
      </c>
      <c r="BA667" s="694" t="e">
        <f t="shared" ca="1" si="12107"/>
        <v>#REF!</v>
      </c>
      <c r="BB667" s="686" t="str">
        <f ca="1">IFERROR(VLOOKUP(BA667,INDIRECT(AQ662),2,FALSE),"----")</f>
        <v>----</v>
      </c>
      <c r="BC667" s="694" t="e">
        <f t="shared" ca="1" si="11542"/>
        <v>#REF!</v>
      </c>
      <c r="BD667" s="686" t="str">
        <f ca="1">IFERROR(VLOOKUP(BC667,INDIRECT(AQ663),2,FALSE),"----")</f>
        <v>----</v>
      </c>
      <c r="BE667" s="694" t="e">
        <f t="shared" ca="1" si="11543"/>
        <v>#REF!</v>
      </c>
      <c r="BF667" s="686" t="str">
        <f ca="1">IFERROR(VLOOKUP(BE667,INDIRECT(AQ664),2,FALSE),"----")</f>
        <v>----</v>
      </c>
      <c r="BG667" s="702" t="e">
        <f t="shared" ca="1" si="11544"/>
        <v>#REF!</v>
      </c>
      <c r="BH667" s="686" t="str">
        <f ca="1">IFERROR(VLOOKUP(BG667,INDIRECT(AQ665),2,FALSE),"----")</f>
        <v>----</v>
      </c>
      <c r="BI667" s="702" t="e">
        <f t="shared" ca="1" si="11545"/>
        <v>#REF!</v>
      </c>
      <c r="BJ667" s="686" t="str">
        <f ca="1">IFERROR(VLOOKUP(BI667,INDIRECT(AQ666),2,FALSE),"----")</f>
        <v>----</v>
      </c>
      <c r="BK667" s="702" t="e">
        <f t="shared" ca="1" si="11546"/>
        <v>#REF!</v>
      </c>
      <c r="BL667" s="686" t="str">
        <f ca="1">IFERROR(VLOOKUP(BK667,INDIRECT(AQ667),2,FALSE),"----")</f>
        <v>----</v>
      </c>
      <c r="BM667" s="702" t="e">
        <f t="shared" ca="1" si="11547"/>
        <v>#REF!</v>
      </c>
      <c r="BN667" s="686" t="str">
        <f ca="1">IFERROR(VLOOKUP(BM667,INDIRECT(AQ668),2,FALSE),"----")</f>
        <v>----</v>
      </c>
      <c r="BO667" s="702" t="e">
        <f t="shared" ca="1" si="11548"/>
        <v>#REF!</v>
      </c>
      <c r="BP667" s="686" t="str">
        <f ca="1">IFERROR(VLOOKUP(BO667,INDIRECT(AQ669),2,FALSE),"----")</f>
        <v>----</v>
      </c>
      <c r="BQ667" s="702" t="e">
        <f t="shared" ca="1" si="11549"/>
        <v>#REF!</v>
      </c>
      <c r="BR667" s="686" t="str">
        <f ca="1">IFERROR(VLOOKUP(BQ667,INDIRECT(AQ670),2,FALSE),"----")</f>
        <v>----</v>
      </c>
      <c r="BS667" s="695">
        <f>IF(AI667="",1,IF(COUNTIF(BL659:BL670,AI667)=0,2,1))</f>
        <v>1</v>
      </c>
      <c r="BT667" s="696">
        <f>IF(AF667="",1,IF(BL659=".",2,1))</f>
        <v>1</v>
      </c>
      <c r="BU667" s="706"/>
      <c r="BV667" s="155">
        <f ca="1">IF(COUNTIF(DS659:DS670,AF667)=0,IF(AF667&lt;&gt;"",0,1),1)</f>
        <v>1</v>
      </c>
      <c r="BW667" s="157">
        <f ca="1">IFERROR(MATCH(AF667,DS659:DS670,0),1)</f>
        <v>1</v>
      </c>
      <c r="BX667" s="769" t="e">
        <f t="shared" ref="BX667" si="12393">5*E659^3*W659/(384*X659)</f>
        <v>#VALUE!</v>
      </c>
      <c r="BY667" s="769" t="e">
        <f t="shared" ref="BY667" si="12394">W659*E659^3/(60*X659)</f>
        <v>#VALUE!</v>
      </c>
      <c r="BZ667" s="1110"/>
      <c r="CA667" s="691" t="e">
        <f t="shared" ca="1" si="12261"/>
        <v>#REF!</v>
      </c>
      <c r="CB667" s="4" t="e" cm="1">
        <f t="array" aca="1" ref="CB667" ca="1">IF(AND(INDEX(INDIRECT(BY659),CA667,4)&gt;=$AB659,INDEX(INDIRECT(BY659),CA667,5)&gt;=$S659,INDEX(INDIRECT(BY659),CA667,6)&gt;=$R659),1,0)</f>
        <v>#REF!</v>
      </c>
      <c r="CC667" s="4" t="e">
        <f t="shared" ref="CC667" ca="1" si="12395">MATCH(1,OFFSET(CB659:CB670,CD666,0,COUNT(CB659:CB670)-CD666),0)</f>
        <v>#REF!</v>
      </c>
      <c r="CD667" s="4" t="e">
        <f t="shared" ca="1" si="12263"/>
        <v>#REF!</v>
      </c>
      <c r="CE667" s="692" t="str" cm="1">
        <f t="array" aca="1" ref="CE667" ca="1">IFERROR(VLOOKUP(INDEX(CA659:CA670,CD667),INDIRECT(BY659),2,FALSE),"----")</f>
        <v>----</v>
      </c>
      <c r="CF667" s="691" t="e">
        <f t="shared" ca="1" si="12264"/>
        <v>#N/A</v>
      </c>
      <c r="CG667" s="4" t="e">
        <f ca="1">IF(AND(INDEX(SSM,CF667,4)&gt;=$AB659,INDEX(SSM,CF667,5)&gt;=$S659,INDEX(SSM,CF667,6)&gt;=$R659),1,0)</f>
        <v>#N/A</v>
      </c>
      <c r="CH667" s="4" t="e">
        <f t="shared" ref="CH667" ca="1" si="12396">MATCH(1,OFFSET(CG659:CG670,CI666,0,COUNT(CG659:CG670)-CI666),0)</f>
        <v>#REF!</v>
      </c>
      <c r="CI667" s="4" t="e">
        <f t="shared" ca="1" si="12266"/>
        <v>#REF!</v>
      </c>
      <c r="CJ667" s="692" t="str">
        <f ca="1">IFERROR(IF(AD660="Nested Steel Stud (wood infill)",VLOOKUP(INDEX(CF659:CF670,CI667),SSW,2,FALSE),VLOOKUP(INDEX(CF659:CF670,CI667),SSM,2,FALSE)),"----")</f>
        <v>----</v>
      </c>
      <c r="CK667" s="691" t="e">
        <f t="shared" ca="1" si="12267"/>
        <v>#N/A</v>
      </c>
      <c r="CL667" s="4" t="e">
        <f ca="1">IF(AND(INDEX(WSM,CK667,4)&gt;=$AB659,INDEX(WSM,CK667,5)&gt;=$S659,INDEX(WSM,CK667,6)&gt;=$R659),1,0)</f>
        <v>#N/A</v>
      </c>
      <c r="CM667" s="4" t="e">
        <f t="shared" ref="CM667" ca="1" si="12397">MATCH(1,OFFSET(CL659:CL670,CN666,0,COUNT(CL659:CL670)-CN666),0)</f>
        <v>#REF!</v>
      </c>
      <c r="CN667" s="4" t="e">
        <f t="shared" ca="1" si="12269"/>
        <v>#REF!</v>
      </c>
      <c r="CO667" s="692" t="str">
        <f ca="1">IFERROR(VLOOKUP(INDEX(CK659:CK670,CN667),WSM,2,FALSE),"----")</f>
        <v>----</v>
      </c>
      <c r="CP667" s="691" t="e">
        <f t="shared" ca="1" si="12270"/>
        <v>#N/A</v>
      </c>
      <c r="CQ667" s="4" t="e">
        <f ca="1">IF(AND(INDEX(STM,CP667,4)&gt;=$AB659,INDEX(STM,CP667,5)&gt;=$S659,INDEX(STM,CP667,6)&gt;=$R659),1,0)</f>
        <v>#N/A</v>
      </c>
      <c r="CR667" s="4" t="e">
        <f t="shared" ref="CR667" ca="1" si="12398">MATCH(1,OFFSET(CQ659:CQ670,CS666,0,COUNT(CQ659:CQ670)-CS666),0)</f>
        <v>#REF!</v>
      </c>
      <c r="CS667" s="4" t="e">
        <f t="shared" ca="1" si="12272"/>
        <v>#REF!</v>
      </c>
      <c r="CT667" s="692" t="str">
        <f ca="1">IFERROR(VLOOKUP(INDEX(CP659:CP670,CS667),STM,2,FALSE),"----")</f>
        <v>----</v>
      </c>
      <c r="CU667" s="691" t="e">
        <f t="shared" ca="1" si="12273"/>
        <v>#N/A</v>
      </c>
      <c r="CV667" s="4" t="e">
        <f ca="1">IF(AND(INDEX(ELM,CU667,4)&gt;=$AB659,INDEX(ELM,CU667,5)&gt;=$S659,INDEX(ELM,CU667,6)&gt;=$R659),1,0)</f>
        <v>#N/A</v>
      </c>
      <c r="CW667" s="4" t="e">
        <f t="shared" ref="CW667" ca="1" si="12399">MATCH(1,OFFSET(CV659:CV670,CX666,0,COUNT(CV659:CV670)-CX666),0)</f>
        <v>#REF!</v>
      </c>
      <c r="CX667" s="4" t="e">
        <f t="shared" ca="1" si="12275"/>
        <v>#REF!</v>
      </c>
      <c r="CY667" s="692" t="str">
        <f ca="1">IFERROR(VLOOKUP(INDEX(CU659:CU670,CX667),ELM,2,FALSE),"----")</f>
        <v>----</v>
      </c>
      <c r="CZ667" s="691" t="e">
        <f t="shared" ca="1" si="12276"/>
        <v>#N/A</v>
      </c>
      <c r="DA667" s="4" t="e">
        <f ca="1">IF(LEFT($J659,7)="Clad Wo",IF(AND(INDEX(SPPWS,CZ667,4)&gt;=$AB659,INDEX(SPPWS,CZ667,5)&gt;=$S659,INDEX(SPPWS,CZ667,6)&gt;=$R659),1,0),IF(AND(INDEX(SPM,CZ667,4)&gt;=$AB659,INDEX(SPM,CZ667,5)&gt;=$S659,INDEX(SPM,CZ667,6)&gt;=$R659),1,0))</f>
        <v>#N/A</v>
      </c>
      <c r="DB667" s="4" t="e">
        <f t="shared" ref="DB667" ca="1" si="12400">MATCH(1,OFFSET(DA659:DA670,DC666,0,COUNT(DA659:DA670)-DC666),0)</f>
        <v>#REF!</v>
      </c>
      <c r="DC667" s="4" t="e">
        <f t="shared" ca="1" si="12278"/>
        <v>#REF!</v>
      </c>
      <c r="DD667" s="693" t="str">
        <f ca="1">IF(LEFT($J659,7)="Clad Wo",IFERROR(VLOOKUP(INDEX(CZ659:CZ670,DC667),SPPWS,2,FALSE),"----"),IFERROR(VLOOKUP(INDEX(CZ659:CZ670,DC667),SPM,2,FALSE),"----"))</f>
        <v>----</v>
      </c>
      <c r="DE667" s="691" t="e">
        <f t="shared" ca="1" si="12279"/>
        <v>#REF!</v>
      </c>
      <c r="DF667" s="4" t="e" cm="1">
        <f t="array" aca="1" ref="DF667" ca="1">IF(AND(INDEX(INDIRECT(BY659),DE667,4)&gt;=$AB665,INDEX(INDIRECT(BY659),DE667,5)&gt;=$S659,INDEX(INDIRECT(BY659),DE667,6)&gt;=$R659),1,0)</f>
        <v>#REF!</v>
      </c>
      <c r="DG667" s="4" t="e">
        <f t="shared" ref="DG667" ca="1" si="12401">MATCH(1,OFFSET(DF659:DF670,DH666,0,COUNT(DF659:DF670)-DH666),0)</f>
        <v>#REF!</v>
      </c>
      <c r="DH667" s="4" t="e">
        <f t="shared" ca="1" si="12281"/>
        <v>#REF!</v>
      </c>
      <c r="DI667" s="692" t="str" cm="1">
        <f t="array" aca="1" ref="DI667" ca="1">IFERROR(VLOOKUP(INDEX(DE659:DE670,DH667),INDIRECT(BY659),2,FALSE),"----")</f>
        <v>----</v>
      </c>
      <c r="DJ667" s="691" t="e">
        <f t="shared" ca="1" si="12282"/>
        <v>#N/A</v>
      </c>
      <c r="DK667" s="4" t="e">
        <f ca="1">IF(AND(INDEX(SSM,DJ667,4)&gt;=$AB665,INDEX(SSM,DJ667,5)&gt;=$S659,INDEX(SSM,DJ667,6)&gt;=$R659),1,0)</f>
        <v>#N/A</v>
      </c>
      <c r="DL667" s="4" t="e">
        <f t="shared" ref="DL667" ca="1" si="12402">MATCH(1,OFFSET(DK659:DK670,DM666,0,COUNT(DK659:DK670)-DM666),0)</f>
        <v>#REF!</v>
      </c>
      <c r="DM667" s="4" t="e">
        <f t="shared" ca="1" si="12284"/>
        <v>#REF!</v>
      </c>
      <c r="DN667" s="692" t="str">
        <f ca="1">IFERROR(IF(AD666="Nested Steel Stud (wood infill)",VLOOKUP(INDEX(DJ659:DJ670,DM667),SSW,2,FALSE),VLOOKUP(INDEX(DJ659:DJ670,DM667),SSM,2,FALSE)),"----")</f>
        <v>----</v>
      </c>
      <c r="DO667" s="691" t="e">
        <f t="shared" ca="1" si="12285"/>
        <v>#N/A</v>
      </c>
      <c r="DP667" s="4" t="e">
        <f ca="1">IF(AND(INDEX(WSM,DO667,4)&gt;=$AB665,INDEX(WSM,DO667,5)&gt;=$S659,INDEX(WSM,DO667,6)&gt;=$R659),1,0)</f>
        <v>#N/A</v>
      </c>
      <c r="DQ667" s="4" t="e">
        <f t="shared" ref="DQ667" ca="1" si="12403">MATCH(1,OFFSET(DP659:DP670,DR666,0,COUNT(DP659:DP670)-DR666),0)</f>
        <v>#REF!</v>
      </c>
      <c r="DR667" s="4" t="e">
        <f t="shared" ca="1" si="12287"/>
        <v>#REF!</v>
      </c>
      <c r="DS667" s="692" t="str">
        <f ca="1">IFERROR(VLOOKUP(INDEX(DO659:DO670,DR667),WSM,2,FALSE),"----")</f>
        <v>----</v>
      </c>
      <c r="DT667" s="691" t="e">
        <f t="shared" ca="1" si="12288"/>
        <v>#N/A</v>
      </c>
      <c r="DU667" s="4" t="e">
        <f ca="1">IF(AND(INDEX(STM,DT667,4)&gt;=$AB665,INDEX(STM,DT667,5)&gt;=$S659,INDEX(STM,DT667,6)&gt;=$R659),1,0)</f>
        <v>#N/A</v>
      </c>
      <c r="DV667" s="4" t="e">
        <f t="shared" ref="DV667" ca="1" si="12404">MATCH(1,OFFSET(DU659:DU670,DW666,0,COUNT(DU659:DU670)-DW666),0)</f>
        <v>#REF!</v>
      </c>
      <c r="DW667" s="4" t="e">
        <f t="shared" ca="1" si="12290"/>
        <v>#REF!</v>
      </c>
      <c r="DX667" s="692" t="str">
        <f ca="1">IFERROR(VLOOKUP(INDEX(DT659:DT670,DW667),STM,2,FALSE),"----")</f>
        <v>----</v>
      </c>
      <c r="DY667" s="691" t="e">
        <f t="shared" ca="1" si="12291"/>
        <v>#N/A</v>
      </c>
      <c r="DZ667" s="4" t="e">
        <f ca="1">IF(AND(INDEX(ELM,DY667,4)&gt;=$AB665,INDEX(ELM,DY667,5)&gt;=$S659,INDEX(ELM,DY667,6)&gt;=$R659),1,0)</f>
        <v>#N/A</v>
      </c>
      <c r="EA667" s="4" t="e">
        <f t="shared" ref="EA667" ca="1" si="12405">MATCH(1,OFFSET(DZ659:DZ670,EB666,0,COUNT(DZ659:DZ670)-EB666),0)</f>
        <v>#REF!</v>
      </c>
      <c r="EB667" s="4" t="e">
        <f t="shared" ca="1" si="12293"/>
        <v>#REF!</v>
      </c>
      <c r="EC667" s="692" t="str">
        <f ca="1">IFERROR(VLOOKUP(INDEX(DY659:DY670,EB667),ELM,2,FALSE),"----")</f>
        <v>----</v>
      </c>
      <c r="ED667" s="691" t="e">
        <f t="shared" ca="1" si="12294"/>
        <v>#N/A</v>
      </c>
      <c r="EE667" s="4" t="e">
        <f ca="1">IF(LEFT($J659,7)="Clad Wo",IF(AND(INDEX(SPPWS,ED667,4)&gt;=$AB665,INDEX(SPPWS,ED667,5)&gt;=$S659,INDEX(SPPWS,ED667,6)&gt;=$R659),1,0),IF(AND(INDEX(SPM,ED667,4)&gt;=$AB665,INDEX(SPM,ED667,5)&gt;=$S659,INDEX(SPM,ED667,6)&gt;=$R659),1,0))</f>
        <v>#N/A</v>
      </c>
      <c r="EF667" s="4" t="e">
        <f t="shared" ref="EF667" ca="1" si="12406">MATCH(1,OFFSET(EE659:EE670,EG666,0,COUNT(EE659:EE670)-EG666),0)</f>
        <v>#REF!</v>
      </c>
      <c r="EG667" s="4" t="e">
        <f t="shared" ca="1" si="12296"/>
        <v>#REF!</v>
      </c>
      <c r="EH667" s="692" t="str">
        <f ca="1">IF(LEFT($J659,7)="Clad Wo",IFERROR(VLOOKUP(INDEX(ED659:ED670,EG667),SPPWS,2,FALSE),"----"),IFERROR(VLOOKUP(INDEX(ED659:ED670,EG667),SPM,2,FALSE),"----"))</f>
        <v>----</v>
      </c>
    </row>
    <row r="668" spans="1:138" ht="15" customHeight="1" x14ac:dyDescent="0.25">
      <c r="A668" s="1085"/>
      <c r="B668" s="925"/>
      <c r="C668" s="926"/>
      <c r="D668" s="927"/>
      <c r="E668" s="995"/>
      <c r="F668" s="996"/>
      <c r="G668" s="997"/>
      <c r="H668" s="1062"/>
      <c r="I668" s="990"/>
      <c r="J668" s="902"/>
      <c r="K668" s="903"/>
      <c r="L668" s="1002"/>
      <c r="M668" s="923"/>
      <c r="N668" s="1042"/>
      <c r="O668" s="1018"/>
      <c r="P668" s="987"/>
      <c r="Q668" s="1015"/>
      <c r="R668" s="1012"/>
      <c r="S668" s="1006"/>
      <c r="T668" s="1007"/>
      <c r="U668" s="878"/>
      <c r="V668" s="881"/>
      <c r="W668" s="884"/>
      <c r="X668" s="884"/>
      <c r="Y668" s="887"/>
      <c r="Z668" s="887"/>
      <c r="AA668" s="887"/>
      <c r="AB668" s="1081"/>
      <c r="AC668" s="1078"/>
      <c r="AD668" s="1070" t="str">
        <f t="shared" si="11681"/>
        <v>Steel Tube</v>
      </c>
      <c r="AE668" s="1071"/>
      <c r="AF668" s="1052"/>
      <c r="AG668" s="1053"/>
      <c r="AH668" s="1053"/>
      <c r="AI668" s="1066"/>
      <c r="AJ668" s="1067"/>
      <c r="AK668" s="156" t="str">
        <f t="shared" ca="1" si="11298"/>
        <v/>
      </c>
      <c r="AL668" s="1059"/>
      <c r="AM668" s="343" t="str">
        <f ca="1">IFERROR(Q659/12*ROUND(VLOOKUP(AF668,OFFSET(STM,0,1),6,FALSE),2),"")</f>
        <v/>
      </c>
      <c r="AN668" t="str">
        <f t="shared" ca="1" si="11348"/>
        <v/>
      </c>
      <c r="AP668" s="122" t="str">
        <f t="shared" ref="AP668" si="12407">_xlfn.CONCAT(AR668,AS670)</f>
        <v/>
      </c>
      <c r="AQ668" s="683" t="str">
        <f t="shared" si="11512"/>
        <v/>
      </c>
      <c r="AR668" s="4" t="str">
        <f t="shared" si="11273"/>
        <v/>
      </c>
      <c r="AS668" s="4"/>
      <c r="AT668" s="697" t="str">
        <f>AL665</f>
        <v/>
      </c>
      <c r="AU668" s="694" t="e">
        <f t="shared" ca="1" si="11538"/>
        <v>#REF!</v>
      </c>
      <c r="AV668" s="686" t="str">
        <f ca="1">IFERROR(VLOOKUP(AU668,INDIRECT(AQ659),2,FALSE),"----")</f>
        <v>----</v>
      </c>
      <c r="AW668" s="694" t="e">
        <f t="shared" ca="1" si="11539"/>
        <v>#REF!</v>
      </c>
      <c r="AX668" s="686" t="str">
        <f ca="1">IFERROR(VLOOKUP(AW668,INDIRECT(AQ660),2,FALSE),"----")</f>
        <v>----</v>
      </c>
      <c r="AY668" s="694" t="e">
        <f t="shared" ca="1" si="11934"/>
        <v>#REF!</v>
      </c>
      <c r="AZ668" s="686" t="str">
        <f ca="1">IFERROR(VLOOKUP(AY668,INDIRECT(AQ661),2,FALSE),"----")</f>
        <v>----</v>
      </c>
      <c r="BA668" s="694" t="e">
        <f t="shared" ca="1" si="11935"/>
        <v>#REF!</v>
      </c>
      <c r="BB668" s="686" t="str">
        <f ca="1">IFERROR(VLOOKUP(BA668,INDIRECT(AQ662),2,FALSE),"----")</f>
        <v>----</v>
      </c>
      <c r="BC668" s="694" t="e">
        <f t="shared" ca="1" si="11542"/>
        <v>#REF!</v>
      </c>
      <c r="BD668" s="686" t="str">
        <f ca="1">IFERROR(VLOOKUP(BC668,INDIRECT(AQ663),2,FALSE),"----")</f>
        <v>----</v>
      </c>
      <c r="BE668" s="694" t="e">
        <f t="shared" ca="1" si="11543"/>
        <v>#REF!</v>
      </c>
      <c r="BF668" s="686" t="str">
        <f ca="1">IFERROR(VLOOKUP(BE668,INDIRECT(AQ664),2,FALSE),"----")</f>
        <v>----</v>
      </c>
      <c r="BG668" s="702" t="e">
        <f t="shared" ca="1" si="11544"/>
        <v>#REF!</v>
      </c>
      <c r="BH668" s="686" t="str">
        <f ca="1">IFERROR(VLOOKUP(BG668,INDIRECT(AQ665),2,FALSE),"----")</f>
        <v>----</v>
      </c>
      <c r="BI668" s="702" t="e">
        <f t="shared" ca="1" si="11545"/>
        <v>#REF!</v>
      </c>
      <c r="BJ668" s="686" t="str">
        <f ca="1">IFERROR(VLOOKUP(BI668,INDIRECT(AQ666),2,FALSE),"----")</f>
        <v>----</v>
      </c>
      <c r="BK668" s="702" t="e">
        <f t="shared" ca="1" si="11546"/>
        <v>#REF!</v>
      </c>
      <c r="BL668" s="686" t="str">
        <f ca="1">IFERROR(VLOOKUP(BK668,INDIRECT(AQ667),2,FALSE),"----")</f>
        <v>----</v>
      </c>
      <c r="BM668" s="702" t="e">
        <f t="shared" ca="1" si="11547"/>
        <v>#REF!</v>
      </c>
      <c r="BN668" s="686" t="str">
        <f ca="1">IFERROR(VLOOKUP(BM668,INDIRECT(AQ668),2,FALSE),"----")</f>
        <v>----</v>
      </c>
      <c r="BO668" s="702" t="e">
        <f t="shared" ca="1" si="11548"/>
        <v>#REF!</v>
      </c>
      <c r="BP668" s="686" t="str">
        <f ca="1">IFERROR(VLOOKUP(BO668,INDIRECT(AQ669),2,FALSE),"----")</f>
        <v>----</v>
      </c>
      <c r="BQ668" s="702" t="e">
        <f t="shared" ca="1" si="11549"/>
        <v>#REF!</v>
      </c>
      <c r="BR668" s="686" t="str">
        <f ca="1">IFERROR(VLOOKUP(BQ668,INDIRECT(AQ670),2,FALSE),"----")</f>
        <v>----</v>
      </c>
      <c r="BS668" s="695">
        <f>IF(AI668="",1,IF(COUNTIF(BN659:BN670,AI668)=0,2,1))</f>
        <v>1</v>
      </c>
      <c r="BT668" s="696">
        <f>IF(AF668="",1,IF(BN659=".",2,1))</f>
        <v>1</v>
      </c>
      <c r="BU668" s="706"/>
      <c r="BV668" s="155">
        <f ca="1">IF(COUNTIF(DX659:DX670,AF668)=0,IF(AF668&lt;&gt;"",0,1),1)</f>
        <v>1</v>
      </c>
      <c r="BW668" s="157">
        <f ca="1">IFERROR(MATCH(AF668,DX659:DX670,0),1)</f>
        <v>1</v>
      </c>
      <c r="BX668" s="769" t="e">
        <f t="shared" ref="BX668" si="12408">5*E659^3*W665/(384*X659)</f>
        <v>#VALUE!</v>
      </c>
      <c r="BY668" s="769" t="e">
        <f t="shared" ref="BY668" si="12409">E659^3*W665/(60*X659)</f>
        <v>#VALUE!</v>
      </c>
      <c r="BZ668" s="1110"/>
      <c r="CA668" s="691" t="e">
        <f t="shared" ca="1" si="12261"/>
        <v>#REF!</v>
      </c>
      <c r="CB668" s="4" t="e" cm="1">
        <f t="array" aca="1" ref="CB668" ca="1">IF(AND(INDEX(INDIRECT(BY659),CA668,4)&gt;=$AB659,INDEX(INDIRECT(BY659),CA668,5)&gt;=$S659,INDEX(INDIRECT(BY659),CA668,6)&gt;=$R659),1,0)</f>
        <v>#REF!</v>
      </c>
      <c r="CC668" s="4" t="e">
        <f t="shared" ref="CC668" ca="1" si="12410">MATCH(1,OFFSET(CB659:CB670,CD667,0,COUNT(CB659:CB670)-CD667),0)</f>
        <v>#REF!</v>
      </c>
      <c r="CD668" s="4" t="e">
        <f t="shared" ca="1" si="12263"/>
        <v>#REF!</v>
      </c>
      <c r="CE668" s="692" t="str" cm="1">
        <f t="array" aca="1" ref="CE668" ca="1">IFERROR(VLOOKUP(INDEX(CA659:CA670,CD668),INDIRECT(BY659),2,FALSE),"----")</f>
        <v>----</v>
      </c>
      <c r="CF668" s="691" t="e">
        <f t="shared" ca="1" si="12264"/>
        <v>#N/A</v>
      </c>
      <c r="CG668" s="4" t="e">
        <f ca="1">IF(AND(INDEX(SSM,CF668,4)&gt;=$AB659,INDEX(SSM,CF668,5)&gt;=$S659,INDEX(SSM,CF668,6)&gt;=$R659),1,0)</f>
        <v>#N/A</v>
      </c>
      <c r="CH668" s="4" t="e">
        <f t="shared" ref="CH668" ca="1" si="12411">MATCH(1,OFFSET(CG659:CG670,CI667,0,COUNT(CG659:CG670)-CI667),0)</f>
        <v>#REF!</v>
      </c>
      <c r="CI668" s="4" t="e">
        <f t="shared" ca="1" si="12266"/>
        <v>#REF!</v>
      </c>
      <c r="CJ668" s="692" t="str">
        <f ca="1">IFERROR(IF(AD660="Nested Steel Stud (wood infill)",VLOOKUP(INDEX(CF659:CF670,CI668),SSW,2,FALSE),VLOOKUP(INDEX(CF659:CF670,CI668),SSM,2,FALSE)),"----")</f>
        <v>----</v>
      </c>
      <c r="CK668" s="691" t="e">
        <f t="shared" ca="1" si="12267"/>
        <v>#N/A</v>
      </c>
      <c r="CL668" s="4" t="e">
        <f ca="1">IF(AND(INDEX(WSM,CK668,4)&gt;=$AB659,INDEX(WSM,CK668,5)&gt;=$S659,INDEX(WSM,CK668,6)&gt;=$R659),1,0)</f>
        <v>#N/A</v>
      </c>
      <c r="CM668" s="4" t="e">
        <f t="shared" ref="CM668" ca="1" si="12412">MATCH(1,OFFSET(CL659:CL670,CN667,0,COUNT(CL659:CL670)-CN667),0)</f>
        <v>#REF!</v>
      </c>
      <c r="CN668" s="4" t="e">
        <f t="shared" ca="1" si="12269"/>
        <v>#REF!</v>
      </c>
      <c r="CO668" s="692" t="str">
        <f ca="1">IFERROR(VLOOKUP(INDEX(CK659:CK670,CN668),WSM,2,FALSE),"----")</f>
        <v>----</v>
      </c>
      <c r="CP668" s="691" t="e">
        <f t="shared" ca="1" si="12270"/>
        <v>#N/A</v>
      </c>
      <c r="CQ668" s="4" t="e">
        <f ca="1">IF(AND(INDEX(STM,CP668,4)&gt;=$AB659,INDEX(STM,CP668,5)&gt;=$S659,INDEX(STM,CP668,6)&gt;=$R659),1,0)</f>
        <v>#N/A</v>
      </c>
      <c r="CR668" s="4" t="e">
        <f t="shared" ref="CR668" ca="1" si="12413">MATCH(1,OFFSET(CQ659:CQ670,CS667,0,COUNT(CQ659:CQ670)-CS667),0)</f>
        <v>#REF!</v>
      </c>
      <c r="CS668" s="4" t="e">
        <f t="shared" ca="1" si="12272"/>
        <v>#REF!</v>
      </c>
      <c r="CT668" s="692" t="str">
        <f ca="1">IFERROR(VLOOKUP(INDEX(CP659:CP670,CS668),STM,2,FALSE),"----")</f>
        <v>----</v>
      </c>
      <c r="CU668" s="691" t="e">
        <f t="shared" ca="1" si="12273"/>
        <v>#N/A</v>
      </c>
      <c r="CV668" s="4" t="e">
        <f ca="1">IF(AND(INDEX(ELM,CU668,4)&gt;=$AB659,INDEX(ELM,CU668,5)&gt;=$S659,INDEX(ELM,CU668,6)&gt;=$R659),1,0)</f>
        <v>#N/A</v>
      </c>
      <c r="CW668" s="4" t="e">
        <f t="shared" ref="CW668" ca="1" si="12414">MATCH(1,OFFSET(CV659:CV670,CX667,0,COUNT(CV659:CV670)-CX667),0)</f>
        <v>#REF!</v>
      </c>
      <c r="CX668" s="4" t="e">
        <f t="shared" ca="1" si="12275"/>
        <v>#REF!</v>
      </c>
      <c r="CY668" s="692" t="str">
        <f ca="1">IFERROR(VLOOKUP(INDEX(CU659:CU670,CX668),ELM,2,FALSE),"----")</f>
        <v>----</v>
      </c>
      <c r="CZ668" s="691" t="e">
        <f t="shared" ca="1" si="12276"/>
        <v>#N/A</v>
      </c>
      <c r="DA668" s="4" t="e">
        <f ca="1">IF(LEFT($J659,7)="Clad Wo",IF(AND(INDEX(SPPWS,CZ668,4)&gt;=$AB659,INDEX(SPPWS,CZ668,5)&gt;=$S659,INDEX(SPPWS,CZ668,6)&gt;=$R659),1,0),IF(AND(INDEX(SPM,CZ668,4)&gt;=$AB659,INDEX(SPM,CZ668,5)&gt;=$S659,INDEX(SPM,CZ668,6)&gt;=$R659),1,0))</f>
        <v>#N/A</v>
      </c>
      <c r="DB668" s="4" t="e">
        <f t="shared" ref="DB668" ca="1" si="12415">MATCH(1,OFFSET(DA659:DA670,DC667,0,COUNT(DA659:DA670)-DC667),0)</f>
        <v>#REF!</v>
      </c>
      <c r="DC668" s="4" t="e">
        <f t="shared" ca="1" si="12278"/>
        <v>#REF!</v>
      </c>
      <c r="DD668" s="693" t="str">
        <f ca="1">IF(LEFT($J659,7)="Clad Wo",IFERROR(VLOOKUP(INDEX(CZ659:CZ670,DC668),SPPWS,2,FALSE),"----"),IFERROR(VLOOKUP(INDEX(CZ659:CZ670,DC668),SPM,2,FALSE),"----"))</f>
        <v>----</v>
      </c>
      <c r="DE668" s="691" t="e">
        <f t="shared" ca="1" si="12279"/>
        <v>#REF!</v>
      </c>
      <c r="DF668" s="4" t="e" cm="1">
        <f t="array" aca="1" ref="DF668" ca="1">IF(AND(INDEX(INDIRECT(BY659),DE668,4)&gt;=$AB665,INDEX(INDIRECT(BY659),DE668,5)&gt;=$S659,INDEX(INDIRECT(BY659),DE668,6)&gt;=$R659),1,0)</f>
        <v>#REF!</v>
      </c>
      <c r="DG668" s="4" t="e">
        <f t="shared" ref="DG668" ca="1" si="12416">MATCH(1,OFFSET(DF659:DF670,DH667,0,COUNT(DF659:DF670)-DH667),0)</f>
        <v>#REF!</v>
      </c>
      <c r="DH668" s="4" t="e">
        <f t="shared" ca="1" si="12281"/>
        <v>#REF!</v>
      </c>
      <c r="DI668" s="692" t="str" cm="1">
        <f t="array" aca="1" ref="DI668" ca="1">IFERROR(VLOOKUP(INDEX(DE659:DE670,DH668),INDIRECT(BY659),2,FALSE),"----")</f>
        <v>----</v>
      </c>
      <c r="DJ668" s="691" t="e">
        <f t="shared" ca="1" si="12282"/>
        <v>#N/A</v>
      </c>
      <c r="DK668" s="4" t="e">
        <f ca="1">IF(AND(INDEX(SSM,DJ668,4)&gt;=$AB665,INDEX(SSM,DJ668,5)&gt;=$S659,INDEX(SSM,DJ668,6)&gt;=$R659),1,0)</f>
        <v>#N/A</v>
      </c>
      <c r="DL668" s="4" t="e">
        <f t="shared" ref="DL668" ca="1" si="12417">MATCH(1,OFFSET(DK659:DK670,DM667,0,COUNT(DK659:DK670)-DM667),0)</f>
        <v>#REF!</v>
      </c>
      <c r="DM668" s="4" t="e">
        <f t="shared" ca="1" si="12284"/>
        <v>#REF!</v>
      </c>
      <c r="DN668" s="692" t="str">
        <f ca="1">IFERROR(IF(AD666="Nested Steel Stud (wood infill)",VLOOKUP(INDEX(DJ659:DJ670,DM668),SSW,2,FALSE),VLOOKUP(INDEX(DJ659:DJ670,DM668),SSM,2,FALSE)),"----")</f>
        <v>----</v>
      </c>
      <c r="DO668" s="691" t="e">
        <f t="shared" ca="1" si="12285"/>
        <v>#N/A</v>
      </c>
      <c r="DP668" s="4" t="e">
        <f ca="1">IF(AND(INDEX(WSM,DO668,4)&gt;=$AB665,INDEX(WSM,DO668,5)&gt;=$S659,INDEX(WSM,DO668,6)&gt;=$R659),1,0)</f>
        <v>#N/A</v>
      </c>
      <c r="DQ668" s="4" t="e">
        <f t="shared" ref="DQ668" ca="1" si="12418">MATCH(1,OFFSET(DP659:DP670,DR667,0,COUNT(DP659:DP670)-DR667),0)</f>
        <v>#REF!</v>
      </c>
      <c r="DR668" s="4" t="e">
        <f t="shared" ca="1" si="12287"/>
        <v>#REF!</v>
      </c>
      <c r="DS668" s="692" t="str">
        <f ca="1">IFERROR(VLOOKUP(INDEX(DO659:DO670,DR668),WSM,2,FALSE),"----")</f>
        <v>----</v>
      </c>
      <c r="DT668" s="691" t="e">
        <f t="shared" ca="1" si="12288"/>
        <v>#N/A</v>
      </c>
      <c r="DU668" s="4" t="e">
        <f ca="1">IF(AND(INDEX(STM,DT668,4)&gt;=$AB665,INDEX(STM,DT668,5)&gt;=$S659,INDEX(STM,DT668,6)&gt;=$R659),1,0)</f>
        <v>#N/A</v>
      </c>
      <c r="DV668" s="4" t="e">
        <f t="shared" ref="DV668" ca="1" si="12419">MATCH(1,OFFSET(DU659:DU670,DW667,0,COUNT(DU659:DU670)-DW667),0)</f>
        <v>#REF!</v>
      </c>
      <c r="DW668" s="4" t="e">
        <f t="shared" ca="1" si="12290"/>
        <v>#REF!</v>
      </c>
      <c r="DX668" s="692" t="str">
        <f ca="1">IFERROR(VLOOKUP(INDEX(DT659:DT670,DW668),STM,2,FALSE),"----")</f>
        <v>----</v>
      </c>
      <c r="DY668" s="691" t="e">
        <f t="shared" ca="1" si="12291"/>
        <v>#N/A</v>
      </c>
      <c r="DZ668" s="4" t="e">
        <f ca="1">IF(AND(INDEX(ELM,DY668,4)&gt;=$AB665,INDEX(ELM,DY668,5)&gt;=$S659,INDEX(ELM,DY668,6)&gt;=$R659),1,0)</f>
        <v>#N/A</v>
      </c>
      <c r="EA668" s="4" t="e">
        <f t="shared" ref="EA668" ca="1" si="12420">MATCH(1,OFFSET(DZ659:DZ670,EB667,0,COUNT(DZ659:DZ670)-EB667),0)</f>
        <v>#REF!</v>
      </c>
      <c r="EB668" s="4" t="e">
        <f t="shared" ca="1" si="12293"/>
        <v>#REF!</v>
      </c>
      <c r="EC668" s="692" t="str">
        <f ca="1">IFERROR(VLOOKUP(INDEX(DY659:DY670,EB668),ELM,2,FALSE),"----")</f>
        <v>----</v>
      </c>
      <c r="ED668" s="691" t="e">
        <f t="shared" ca="1" si="12294"/>
        <v>#N/A</v>
      </c>
      <c r="EE668" s="4" t="e">
        <f ca="1">IF(LEFT($J659,7)="Clad Wo",IF(AND(INDEX(SPPWS,ED668,4)&gt;=$AB665,INDEX(SPPWS,ED668,5)&gt;=$S659,INDEX(SPPWS,ED668,6)&gt;=$R659),1,0),IF(AND(INDEX(SPM,ED668,4)&gt;=$AB665,INDEX(SPM,ED668,5)&gt;=$S659,INDEX(SPM,ED668,6)&gt;=$R659),1,0))</f>
        <v>#N/A</v>
      </c>
      <c r="EF668" s="4" t="e">
        <f t="shared" ref="EF668" ca="1" si="12421">MATCH(1,OFFSET(EE659:EE670,EG667,0,COUNT(EE659:EE670)-EG667),0)</f>
        <v>#REF!</v>
      </c>
      <c r="EG668" s="4" t="e">
        <f t="shared" ca="1" si="12296"/>
        <v>#REF!</v>
      </c>
      <c r="EH668" s="692" t="str">
        <f ca="1">IF(LEFT($J659,7)="Clad Wo",IFERROR(VLOOKUP(INDEX(ED659:ED670,EG668),SPPWS,2,FALSE),"----"),IFERROR(VLOOKUP(INDEX(ED659:ED670,EG668),SPM,2,FALSE),"----"))</f>
        <v>----</v>
      </c>
    </row>
    <row r="669" spans="1:138" ht="15" customHeight="1" x14ac:dyDescent="0.25">
      <c r="A669" s="1085"/>
      <c r="B669" s="925"/>
      <c r="C669" s="926"/>
      <c r="D669" s="927"/>
      <c r="E669" s="995"/>
      <c r="F669" s="996"/>
      <c r="G669" s="997"/>
      <c r="H669" s="1062"/>
      <c r="I669" s="990"/>
      <c r="J669" s="902"/>
      <c r="K669" s="903"/>
      <c r="L669" s="1002"/>
      <c r="M669" s="923"/>
      <c r="N669" s="1042"/>
      <c r="O669" s="1018"/>
      <c r="P669" s="987"/>
      <c r="Q669" s="1015"/>
      <c r="R669" s="1012"/>
      <c r="S669" s="1006"/>
      <c r="T669" s="1007"/>
      <c r="U669" s="878"/>
      <c r="V669" s="881"/>
      <c r="W669" s="884"/>
      <c r="X669" s="884"/>
      <c r="Y669" s="887"/>
      <c r="Z669" s="887"/>
      <c r="AA669" s="887"/>
      <c r="AB669" s="1081"/>
      <c r="AC669" s="1078"/>
      <c r="AD669" s="1070" t="str">
        <f t="shared" si="11681"/>
        <v>Engineered Lumber</v>
      </c>
      <c r="AE669" s="1071"/>
      <c r="AF669" s="1052"/>
      <c r="AG669" s="1053"/>
      <c r="AH669" s="1053"/>
      <c r="AI669" s="1068"/>
      <c r="AJ669" s="1069"/>
      <c r="AK669" s="154" t="str">
        <f t="shared" ca="1" si="11298"/>
        <v/>
      </c>
      <c r="AL669" s="1059"/>
      <c r="AM669" s="344" t="str">
        <f ca="1">IFERROR(Q659/12*ROUND(VLOOKUP(AF669,OFFSET(ELM,0,1),6,FALSE),2),"")</f>
        <v/>
      </c>
      <c r="AN669" t="str">
        <f t="shared" ca="1" si="11348"/>
        <v/>
      </c>
      <c r="AP669" s="122" t="str">
        <f t="shared" ref="AP669" si="12422">_xlfn.CONCAT(AR669,AS670)</f>
        <v/>
      </c>
      <c r="AQ669" s="683" t="str">
        <f t="shared" si="11512"/>
        <v/>
      </c>
      <c r="AR669" s="4" t="str">
        <f t="shared" si="11273"/>
        <v/>
      </c>
      <c r="AS669" s="4"/>
      <c r="AT669" s="697" t="str">
        <f>AL665</f>
        <v/>
      </c>
      <c r="AU669" s="694" t="e">
        <f t="shared" ca="1" si="11538"/>
        <v>#REF!</v>
      </c>
      <c r="AV669" s="698" t="str">
        <f ca="1">IFERROR(VLOOKUP(AU669,INDIRECT(AQ659),2,FALSE),"----")</f>
        <v>----</v>
      </c>
      <c r="AW669" s="694" t="e">
        <f t="shared" ca="1" si="11539"/>
        <v>#REF!</v>
      </c>
      <c r="AX669" s="698" t="str">
        <f ca="1">IFERROR(VLOOKUP(AW669,INDIRECT(AQ660),2,FALSE),"----")</f>
        <v>----</v>
      </c>
      <c r="AY669" s="694" t="e">
        <f t="shared" ca="1" si="11934"/>
        <v>#REF!</v>
      </c>
      <c r="AZ669" s="698" t="str">
        <f ca="1">IFERROR(VLOOKUP(AY669,INDIRECT(AQ661),2,FALSE),"----")</f>
        <v>----</v>
      </c>
      <c r="BA669" s="694" t="e">
        <f t="shared" ca="1" si="11935"/>
        <v>#REF!</v>
      </c>
      <c r="BB669" s="698" t="str">
        <f ca="1">IFERROR(VLOOKUP(BA669,INDIRECT(AQ662),2,FALSE),"----")</f>
        <v>----</v>
      </c>
      <c r="BC669" s="694" t="e">
        <f t="shared" ca="1" si="11542"/>
        <v>#REF!</v>
      </c>
      <c r="BD669" s="698" t="str">
        <f ca="1">IFERROR(VLOOKUP(BC669,INDIRECT(AQ663),2,FALSE),"----")</f>
        <v>----</v>
      </c>
      <c r="BE669" s="694" t="e">
        <f t="shared" ca="1" si="11543"/>
        <v>#REF!</v>
      </c>
      <c r="BF669" s="698" t="str">
        <f ca="1">IFERROR(VLOOKUP(BE669,INDIRECT(AQ664),2,FALSE),"----")</f>
        <v>----</v>
      </c>
      <c r="BG669" s="702" t="e">
        <f t="shared" ca="1" si="11544"/>
        <v>#REF!</v>
      </c>
      <c r="BH669" s="686" t="str">
        <f ca="1">IFERROR(VLOOKUP(BG669,INDIRECT(AQ665),2,FALSE),"----")</f>
        <v>----</v>
      </c>
      <c r="BI669" s="702" t="e">
        <f t="shared" ca="1" si="11545"/>
        <v>#REF!</v>
      </c>
      <c r="BJ669" s="686" t="str">
        <f ca="1">IFERROR(VLOOKUP(BI669,INDIRECT(AQ666),2,FALSE),"----")</f>
        <v>----</v>
      </c>
      <c r="BK669" s="702" t="e">
        <f t="shared" ca="1" si="11546"/>
        <v>#REF!</v>
      </c>
      <c r="BL669" s="686" t="str">
        <f ca="1">IFERROR(VLOOKUP(BK669,INDIRECT(AQ667),2,FALSE),"----")</f>
        <v>----</v>
      </c>
      <c r="BM669" s="702" t="e">
        <f t="shared" ca="1" si="11547"/>
        <v>#REF!</v>
      </c>
      <c r="BN669" s="686" t="str">
        <f ca="1">IFERROR(VLOOKUP(BM669,INDIRECT(AQ668),2,FALSE),"----")</f>
        <v>----</v>
      </c>
      <c r="BO669" s="702" t="e">
        <f t="shared" ca="1" si="11548"/>
        <v>#REF!</v>
      </c>
      <c r="BP669" s="686" t="str">
        <f ca="1">IFERROR(VLOOKUP(BO669,INDIRECT(AQ669),2,FALSE),"----")</f>
        <v>----</v>
      </c>
      <c r="BQ669" s="702" t="e">
        <f t="shared" ca="1" si="11549"/>
        <v>#REF!</v>
      </c>
      <c r="BR669" s="686" t="str">
        <f ca="1">IFERROR(VLOOKUP(BQ669,INDIRECT(AQ670),2,FALSE),"----")</f>
        <v>----</v>
      </c>
      <c r="BS669" s="695">
        <f>IF(AI669="",1,IF(COUNTIF(BP659:BP670,AI669)=0,2,1))</f>
        <v>1</v>
      </c>
      <c r="BT669" s="696">
        <f>IF(AF669="",1,IF(BP659=".",2,1))</f>
        <v>1</v>
      </c>
      <c r="BU669" s="706"/>
      <c r="BV669" s="155">
        <f ca="1">IF(COUNTIF(EC659:EC670,AF669)=0,IF(AF669&lt;&gt;"",0,1),1)</f>
        <v>1</v>
      </c>
      <c r="BW669" s="157">
        <f ca="1">IFERROR(MATCH(AF669,EC659:EC670,0),1)</f>
        <v>1</v>
      </c>
      <c r="BX669" s="769"/>
      <c r="BY669" s="769"/>
      <c r="BZ669" s="1110"/>
      <c r="CA669" s="691" t="e">
        <f t="shared" ca="1" si="12261"/>
        <v>#REF!</v>
      </c>
      <c r="CB669" s="4" t="e" cm="1">
        <f t="array" aca="1" ref="CB669" ca="1">IF(AND(INDEX(INDIRECT(BY659),CA669,4)&gt;=$AB659,INDEX(INDIRECT(BY659),CA669,5)&gt;=$S659,INDEX(INDIRECT(BY659),CA669,6)&gt;=$R659),1,0)</f>
        <v>#REF!</v>
      </c>
      <c r="CC669" s="4" t="e">
        <f t="shared" ref="CC669" ca="1" si="12423">MATCH(1,OFFSET(CB659:CB670,CD668,0,COUNT(CB659:CB670)-CD668),0)</f>
        <v>#REF!</v>
      </c>
      <c r="CD669" s="4" t="e">
        <f t="shared" ca="1" si="12263"/>
        <v>#REF!</v>
      </c>
      <c r="CE669" s="692" t="str" cm="1">
        <f t="array" aca="1" ref="CE669" ca="1">IFERROR(VLOOKUP(INDEX(CA659:CA670,CD669),INDIRECT(BY659),2,FALSE),"----")</f>
        <v>----</v>
      </c>
      <c r="CF669" s="691" t="e">
        <f t="shared" ca="1" si="12264"/>
        <v>#N/A</v>
      </c>
      <c r="CG669" s="4" t="e">
        <f ca="1">IF(AND(INDEX(SSM,CF669,4)&gt;=$AB659,INDEX(SSM,CF669,5)&gt;=$S659,INDEX(SSM,CF669,6)&gt;=$R659),1,0)</f>
        <v>#N/A</v>
      </c>
      <c r="CH669" s="4" t="e">
        <f t="shared" ref="CH669" ca="1" si="12424">MATCH(1,OFFSET(CG659:CG670,CI668,0,COUNT(CG659:CG670)-CI668),0)</f>
        <v>#REF!</v>
      </c>
      <c r="CI669" s="4" t="e">
        <f t="shared" ca="1" si="12266"/>
        <v>#REF!</v>
      </c>
      <c r="CJ669" s="692" t="str">
        <f ca="1">IFERROR(IF(AD660="Nested Steel Stud (wood infill)",VLOOKUP(INDEX(CF659:CF670,CI669),SSW,2,FALSE),VLOOKUP(INDEX(CF659:CF670,CI669),SSM,2,FALSE)),"----")</f>
        <v>----</v>
      </c>
      <c r="CK669" s="691" t="e">
        <f t="shared" ca="1" si="12267"/>
        <v>#N/A</v>
      </c>
      <c r="CL669" s="4" t="e">
        <f ca="1">IF(AND(INDEX(WSM,CK669,4)&gt;=$AB659,INDEX(WSM,CK669,5)&gt;=$S659,INDEX(WSM,CK669,6)&gt;=$R659),1,0)</f>
        <v>#N/A</v>
      </c>
      <c r="CM669" s="4" t="e">
        <f t="shared" ref="CM669" ca="1" si="12425">MATCH(1,OFFSET(CL659:CL670,CN668,0,COUNT(CL659:CL670)-CN668),0)</f>
        <v>#REF!</v>
      </c>
      <c r="CN669" s="4" t="e">
        <f t="shared" ca="1" si="12269"/>
        <v>#REF!</v>
      </c>
      <c r="CO669" s="692" t="str">
        <f ca="1">IFERROR(VLOOKUP(INDEX(CK659:CK670,CN669),WSM,2,FALSE),"----")</f>
        <v>----</v>
      </c>
      <c r="CP669" s="691" t="e">
        <f t="shared" ca="1" si="12270"/>
        <v>#N/A</v>
      </c>
      <c r="CQ669" s="4" t="e">
        <f ca="1">IF(AND(INDEX(STM,CP669,4)&gt;=$AB659,INDEX(STM,CP669,5)&gt;=$S659,INDEX(STM,CP669,6)&gt;=$R659),1,0)</f>
        <v>#N/A</v>
      </c>
      <c r="CR669" s="4" t="e">
        <f t="shared" ref="CR669" ca="1" si="12426">MATCH(1,OFFSET(CQ659:CQ670,CS668,0,COUNT(CQ659:CQ670)-CS668),0)</f>
        <v>#REF!</v>
      </c>
      <c r="CS669" s="4" t="e">
        <f t="shared" ca="1" si="12272"/>
        <v>#REF!</v>
      </c>
      <c r="CT669" s="692" t="str">
        <f ca="1">IFERROR(VLOOKUP(INDEX(CP659:CP670,CS669),STM,2,FALSE),"----")</f>
        <v>----</v>
      </c>
      <c r="CU669" s="691" t="e">
        <f t="shared" ca="1" si="12273"/>
        <v>#N/A</v>
      </c>
      <c r="CV669" s="4" t="e">
        <f ca="1">IF(AND(INDEX(ELM,CU669,4)&gt;=$AB659,INDEX(ELM,CU669,5)&gt;=$S659,INDEX(ELM,CU669,6)&gt;=$R659),1,0)</f>
        <v>#N/A</v>
      </c>
      <c r="CW669" s="4" t="e">
        <f t="shared" ref="CW669" ca="1" si="12427">MATCH(1,OFFSET(CV659:CV670,CX668,0,COUNT(CV659:CV670)-CX668),0)</f>
        <v>#REF!</v>
      </c>
      <c r="CX669" s="4" t="e">
        <f t="shared" ca="1" si="12275"/>
        <v>#REF!</v>
      </c>
      <c r="CY669" s="692" t="str">
        <f ca="1">IFERROR(VLOOKUP(INDEX(CU659:CU670,CX669),ELM,2,FALSE),"----")</f>
        <v>----</v>
      </c>
      <c r="CZ669" s="691" t="e">
        <f t="shared" ca="1" si="12276"/>
        <v>#N/A</v>
      </c>
      <c r="DA669" s="4" t="e">
        <f ca="1">IF(LEFT($J659,7)="Clad Wo",IF(AND(INDEX(SPPWS,CZ669,4)&gt;=$AB659,INDEX(SPPWS,CZ669,5)&gt;=$S659,INDEX(SPPWS,CZ669,6)&gt;=$R659),1,0),IF(AND(INDEX(SPM,CZ669,4)&gt;=$AB659,INDEX(SPM,CZ669,5)&gt;=$S659,INDEX(SPM,CZ669,6)&gt;=$R659),1,0))</f>
        <v>#N/A</v>
      </c>
      <c r="DB669" s="4" t="e">
        <f t="shared" ref="DB669" ca="1" si="12428">MATCH(1,OFFSET(DA659:DA670,DC668,0,COUNT(DA659:DA670)-DC668),0)</f>
        <v>#REF!</v>
      </c>
      <c r="DC669" s="4" t="e">
        <f t="shared" ca="1" si="12278"/>
        <v>#REF!</v>
      </c>
      <c r="DD669" s="693" t="str">
        <f ca="1">IF(LEFT($J659,7)="Clad Wo",IFERROR(VLOOKUP(INDEX(CZ659:CZ670,DC669),SPPWS,2,FALSE),"----"),IFERROR(VLOOKUP(INDEX(CZ659:CZ670,DC669),SPM,2,FALSE),"----"))</f>
        <v>----</v>
      </c>
      <c r="DE669" s="691" t="e">
        <f t="shared" ca="1" si="12279"/>
        <v>#REF!</v>
      </c>
      <c r="DF669" s="4" t="e" cm="1">
        <f t="array" aca="1" ref="DF669" ca="1">IF(AND(INDEX(INDIRECT(BY659),DE669,4)&gt;=$AB665,INDEX(INDIRECT(BY659),DE669,5)&gt;=$S659,INDEX(INDIRECT(BY659),DE669,6)&gt;=$R659),1,0)</f>
        <v>#REF!</v>
      </c>
      <c r="DG669" s="4" t="e">
        <f t="shared" ref="DG669" ca="1" si="12429">MATCH(1,OFFSET(DF659:DF670,DH668,0,COUNT(DF659:DF670)-DH668),0)</f>
        <v>#REF!</v>
      </c>
      <c r="DH669" s="4" t="e">
        <f t="shared" ca="1" si="12281"/>
        <v>#REF!</v>
      </c>
      <c r="DI669" s="692" t="str" cm="1">
        <f t="array" aca="1" ref="DI669" ca="1">IFERROR(VLOOKUP(INDEX(DE659:DE670,DH669),INDIRECT(BY659),2,FALSE),"----")</f>
        <v>----</v>
      </c>
      <c r="DJ669" s="691" t="e">
        <f t="shared" ca="1" si="12282"/>
        <v>#N/A</v>
      </c>
      <c r="DK669" s="4" t="e">
        <f ca="1">IF(AND(INDEX(SSM,DJ669,4)&gt;=$AB665,INDEX(SSM,DJ669,5)&gt;=$S659,INDEX(SSM,DJ669,6)&gt;=$R659),1,0)</f>
        <v>#N/A</v>
      </c>
      <c r="DL669" s="4" t="e">
        <f t="shared" ref="DL669" ca="1" si="12430">MATCH(1,OFFSET(DK659:DK670,DM668,0,COUNT(DK659:DK670)-DM668),0)</f>
        <v>#REF!</v>
      </c>
      <c r="DM669" s="4" t="e">
        <f t="shared" ca="1" si="12284"/>
        <v>#REF!</v>
      </c>
      <c r="DN669" s="692" t="str">
        <f ca="1">IFERROR(IF(AD666="Nested Steel Stud (wood infill)",VLOOKUP(INDEX(DJ659:DJ670,DM669),SSW,2,FALSE),VLOOKUP(INDEX(DJ659:DJ670,DM669),SSM,2,FALSE)),"----")</f>
        <v>----</v>
      </c>
      <c r="DO669" s="691" t="e">
        <f t="shared" ca="1" si="12285"/>
        <v>#N/A</v>
      </c>
      <c r="DP669" s="4" t="e">
        <f ca="1">IF(AND(INDEX(WSM,DO669,4)&gt;=$AB665,INDEX(WSM,DO669,5)&gt;=$S659,INDEX(WSM,DO669,6)&gt;=$R659),1,0)</f>
        <v>#N/A</v>
      </c>
      <c r="DQ669" s="4" t="e">
        <f t="shared" ref="DQ669" ca="1" si="12431">MATCH(1,OFFSET(DP659:DP670,DR668,0,COUNT(DP659:DP670)-DR668),0)</f>
        <v>#REF!</v>
      </c>
      <c r="DR669" s="4" t="e">
        <f t="shared" ca="1" si="12287"/>
        <v>#REF!</v>
      </c>
      <c r="DS669" s="692" t="str">
        <f ca="1">IFERROR(VLOOKUP(INDEX(DO659:DO670,DR669),WSM,2,FALSE),"----")</f>
        <v>----</v>
      </c>
      <c r="DT669" s="691" t="e">
        <f t="shared" ca="1" si="12288"/>
        <v>#N/A</v>
      </c>
      <c r="DU669" s="4" t="e">
        <f ca="1">IF(AND(INDEX(STM,DT669,4)&gt;=$AB665,INDEX(STM,DT669,5)&gt;=$S659,INDEX(STM,DT669,6)&gt;=$R659),1,0)</f>
        <v>#N/A</v>
      </c>
      <c r="DV669" s="4" t="e">
        <f t="shared" ref="DV669" ca="1" si="12432">MATCH(1,OFFSET(DU659:DU670,DW668,0,COUNT(DU659:DU670)-DW668),0)</f>
        <v>#REF!</v>
      </c>
      <c r="DW669" s="4" t="e">
        <f t="shared" ca="1" si="12290"/>
        <v>#REF!</v>
      </c>
      <c r="DX669" s="692" t="str">
        <f ca="1">IFERROR(VLOOKUP(INDEX(DT659:DT670,DW669),STM,2,FALSE),"----")</f>
        <v>----</v>
      </c>
      <c r="DY669" s="691" t="e">
        <f t="shared" ca="1" si="12291"/>
        <v>#N/A</v>
      </c>
      <c r="DZ669" s="4" t="e">
        <f ca="1">IF(AND(INDEX(ELM,DY669,4)&gt;=$AB665,INDEX(ELM,DY669,5)&gt;=$S659,INDEX(ELM,DY669,6)&gt;=$R659),1,0)</f>
        <v>#N/A</v>
      </c>
      <c r="EA669" s="4" t="e">
        <f t="shared" ref="EA669" ca="1" si="12433">MATCH(1,OFFSET(DZ659:DZ670,EB668,0,COUNT(DZ659:DZ670)-EB668),0)</f>
        <v>#REF!</v>
      </c>
      <c r="EB669" s="4" t="e">
        <f t="shared" ca="1" si="12293"/>
        <v>#REF!</v>
      </c>
      <c r="EC669" s="692" t="str">
        <f ca="1">IFERROR(VLOOKUP(INDEX(DY659:DY670,EB669),ELM,2,FALSE),"----")</f>
        <v>----</v>
      </c>
      <c r="ED669" s="691" t="e">
        <f t="shared" ca="1" si="12294"/>
        <v>#N/A</v>
      </c>
      <c r="EE669" s="4" t="e">
        <f ca="1">IF(LEFT($J659,7)="Clad Wo",IF(AND(INDEX(SPPWS,ED669,4)&gt;=$AB665,INDEX(SPPWS,ED669,5)&gt;=$S659,INDEX(SPPWS,ED669,6)&gt;=$R659),1,0),IF(AND(INDEX(SPM,ED669,4)&gt;=$AB665,INDEX(SPM,ED669,5)&gt;=$S659,INDEX(SPM,ED669,6)&gt;=$R659),1,0))</f>
        <v>#N/A</v>
      </c>
      <c r="EF669" s="4" t="e">
        <f t="shared" ref="EF669" ca="1" si="12434">MATCH(1,OFFSET(EE659:EE670,EG668,0,COUNT(EE659:EE670)-EG668),0)</f>
        <v>#REF!</v>
      </c>
      <c r="EG669" s="4" t="e">
        <f t="shared" ca="1" si="12296"/>
        <v>#REF!</v>
      </c>
      <c r="EH669" s="692" t="str">
        <f ca="1">IF(LEFT($J659,7)="Clad Wo",IFERROR(VLOOKUP(INDEX(ED659:ED670,EG669),SPPWS,2,FALSE),"----"),IFERROR(VLOOKUP(INDEX(ED659:ED670,EG669),SPM,2,FALSE),"----"))</f>
        <v>----</v>
      </c>
    </row>
    <row r="670" spans="1:138" ht="15" customHeight="1" thickBot="1" x14ac:dyDescent="0.3">
      <c r="A670" s="1085"/>
      <c r="B670" s="928"/>
      <c r="C670" s="929"/>
      <c r="D670" s="930"/>
      <c r="E670" s="998"/>
      <c r="F670" s="999"/>
      <c r="G670" s="1000"/>
      <c r="H670" s="1063"/>
      <c r="I670" s="991"/>
      <c r="J670" s="904"/>
      <c r="K670" s="905"/>
      <c r="L670" s="1003"/>
      <c r="M670" s="1065"/>
      <c r="N670" s="1043"/>
      <c r="O670" s="1019"/>
      <c r="P670" s="988"/>
      <c r="Q670" s="1016"/>
      <c r="R670" s="1013"/>
      <c r="S670" s="1008"/>
      <c r="T670" s="1009"/>
      <c r="U670" s="879"/>
      <c r="V670" s="882"/>
      <c r="W670" s="885"/>
      <c r="X670" s="885"/>
      <c r="Y670" s="888"/>
      <c r="Z670" s="888"/>
      <c r="AA670" s="888"/>
      <c r="AB670" s="1082"/>
      <c r="AC670" s="1087"/>
      <c r="AD670" s="1098" t="str">
        <f t="shared" ref="AD670" si="12435">IF(LEFT(J659,7)="Clad Wo","Pella Wood Spr / Steel Pte","Steel Plate")</f>
        <v>Steel Plate</v>
      </c>
      <c r="AE670" s="1099"/>
      <c r="AF670" s="1096"/>
      <c r="AG670" s="1097"/>
      <c r="AH670" s="1097"/>
      <c r="AI670" s="1094"/>
      <c r="AJ670" s="1095"/>
      <c r="AK670" s="163" t="str">
        <f t="shared" ca="1" si="11298"/>
        <v/>
      </c>
      <c r="AL670" s="1060"/>
      <c r="AM670" s="345" t="str">
        <f ca="1">IFERROR(Q659/12*ROUND(VLOOKUP(AF670,OFFSET(SPM,0,1),6,FALSE),2),"")</f>
        <v/>
      </c>
      <c r="AN670" t="str">
        <f t="shared" ca="1" si="11348"/>
        <v/>
      </c>
      <c r="AP670" s="699" t="str">
        <f t="shared" ref="AP670" si="12436">_xlfn.CONCAT(AR670,AS670)</f>
        <v/>
      </c>
      <c r="AQ670" s="700" t="str">
        <f t="shared" si="11512"/>
        <v/>
      </c>
      <c r="AR670" s="160" t="str">
        <f t="shared" si="11273"/>
        <v/>
      </c>
      <c r="AS670" s="160" t="str">
        <f>IFERROR(VLOOKUP(J667, WallType,2,FALSE),"")</f>
        <v/>
      </c>
      <c r="AT670" s="707" t="str">
        <f>AL665</f>
        <v/>
      </c>
      <c r="AU670" s="708" t="e">
        <f t="shared" ca="1" si="11538"/>
        <v>#REF!</v>
      </c>
      <c r="AV670" s="709" t="str">
        <f ca="1">IFERROR(VLOOKUP(AU670,INDIRECT(AQ659),2,FALSE),"----")</f>
        <v>----</v>
      </c>
      <c r="AW670" s="710" t="e">
        <f t="shared" ca="1" si="11539"/>
        <v>#REF!</v>
      </c>
      <c r="AX670" s="709" t="str">
        <f ca="1">IFERROR(VLOOKUP(AW670,INDIRECT(AQ660),2,FALSE),"----")</f>
        <v>----</v>
      </c>
      <c r="AY670" s="710" t="e">
        <f t="shared" ca="1" si="11934"/>
        <v>#REF!</v>
      </c>
      <c r="AZ670" s="709" t="str">
        <f ca="1">IFERROR(VLOOKUP(AY670,INDIRECT(AQ661),2,FALSE),"----")</f>
        <v>----</v>
      </c>
      <c r="BA670" s="710" t="e">
        <f t="shared" ca="1" si="11935"/>
        <v>#REF!</v>
      </c>
      <c r="BB670" s="709" t="str">
        <f ca="1">IFERROR(VLOOKUP(BA670,INDIRECT(AQ662),2,FALSE),"----")</f>
        <v>----</v>
      </c>
      <c r="BC670" s="710" t="e">
        <f t="shared" ca="1" si="11542"/>
        <v>#REF!</v>
      </c>
      <c r="BD670" s="709" t="str">
        <f ca="1">IFERROR(VLOOKUP(BC670,INDIRECT(AQ663),2,FALSE),"----")</f>
        <v>----</v>
      </c>
      <c r="BE670" s="710" t="e">
        <f t="shared" ca="1" si="11543"/>
        <v>#REF!</v>
      </c>
      <c r="BF670" s="709" t="str">
        <f ca="1">IFERROR(VLOOKUP(BE670,INDIRECT(AQ664),2,FALSE),"----")</f>
        <v>----</v>
      </c>
      <c r="BG670" s="710" t="e">
        <f t="shared" ca="1" si="11544"/>
        <v>#REF!</v>
      </c>
      <c r="BH670" s="711" t="str">
        <f ca="1">IFERROR(VLOOKUP(BG670,INDIRECT(AQ665),2,FALSE),"----")</f>
        <v>----</v>
      </c>
      <c r="BI670" s="710" t="e">
        <f t="shared" ca="1" si="11545"/>
        <v>#REF!</v>
      </c>
      <c r="BJ670" s="711" t="str">
        <f ca="1">IFERROR(VLOOKUP(BI670,INDIRECT(AQ666),2,FALSE),"----")</f>
        <v>----</v>
      </c>
      <c r="BK670" s="710" t="e">
        <f t="shared" ca="1" si="11546"/>
        <v>#REF!</v>
      </c>
      <c r="BL670" s="711" t="str">
        <f ca="1">IFERROR(VLOOKUP(BK670,INDIRECT(AQ667),2,FALSE),"----")</f>
        <v>----</v>
      </c>
      <c r="BM670" s="710" t="e">
        <f t="shared" ca="1" si="11547"/>
        <v>#REF!</v>
      </c>
      <c r="BN670" s="711" t="str">
        <f ca="1">IFERROR(VLOOKUP(BM670,INDIRECT(AQ668),2,FALSE),"----")</f>
        <v>----</v>
      </c>
      <c r="BO670" s="710" t="e">
        <f t="shared" ca="1" si="11548"/>
        <v>#REF!</v>
      </c>
      <c r="BP670" s="711" t="str">
        <f ca="1">IFERROR(VLOOKUP(BO670,INDIRECT(AQ669),2,FALSE),"----")</f>
        <v>----</v>
      </c>
      <c r="BQ670" s="710" t="e">
        <f t="shared" ca="1" si="11549"/>
        <v>#REF!</v>
      </c>
      <c r="BR670" s="712" t="str">
        <f ca="1">IFERROR(VLOOKUP(BQ670,INDIRECT(AQ670),2,FALSE),"----")</f>
        <v>----</v>
      </c>
      <c r="BS670" s="695">
        <f>IF(AI670="",1,IF(COUNTIF(BR659:BR670,AI670)=0,2,1))</f>
        <v>1</v>
      </c>
      <c r="BT670" s="713">
        <f>IF(AF670="",1,IF(BR659=".",2,1))</f>
        <v>1</v>
      </c>
      <c r="BV670" s="155">
        <f ca="1">IF(COUNTIF(EH659:EH670,AF670)=0,IF(AF670&lt;&gt;"",0,1),1)</f>
        <v>1</v>
      </c>
      <c r="BW670" s="157">
        <f ca="1">IFERROR(MATCH(AF670,EH659:EH670,0),1)</f>
        <v>1</v>
      </c>
      <c r="BX670" s="718"/>
      <c r="BY670" s="777"/>
      <c r="BZ670" s="1110"/>
      <c r="CA670" s="714" t="e">
        <f t="shared" ca="1" si="12261"/>
        <v>#REF!</v>
      </c>
      <c r="CB670" s="715" t="e" cm="1">
        <f t="array" aca="1" ref="CB670" ca="1">IF(AND(INDEX(INDIRECT(BY659),CA670,4)&gt;=$AB659,INDEX(INDIRECT(BY659),CA670,5)&gt;=$S659,INDEX(INDIRECT(BY659),CA670,6)&gt;=$R659),1,0)</f>
        <v>#REF!</v>
      </c>
      <c r="CC670" s="715" t="e">
        <f t="shared" ref="CC670" ca="1" si="12437">MATCH(1,OFFSET(CB659:CB670,CD669,0,COUNT(CB659:CB670)-CD669),0)</f>
        <v>#REF!</v>
      </c>
      <c r="CD670" s="715" t="e">
        <f t="shared" ca="1" si="12263"/>
        <v>#REF!</v>
      </c>
      <c r="CE670" s="716" t="str" cm="1">
        <f t="array" aca="1" ref="CE670" ca="1">IFERROR(VLOOKUP(INDEX(CA659:CA670,CD670),INDIRECT(BY659),2,FALSE),"----")</f>
        <v>----</v>
      </c>
      <c r="CF670" s="714" t="e">
        <f t="shared" ca="1" si="12264"/>
        <v>#N/A</v>
      </c>
      <c r="CG670" s="715" t="e">
        <f ca="1">IF(AND(INDEX(SSM,CF670,4)&gt;=$AB659,INDEX(SSM,CF670,5)&gt;=$S659,INDEX(SSM,CF670,6)&gt;=$R659),1,0)</f>
        <v>#N/A</v>
      </c>
      <c r="CH670" s="715" t="e">
        <f t="shared" ref="CH670" ca="1" si="12438">MATCH(1,OFFSET(CG659:CG670,CI669,0,COUNT(CG659:CG670)-CI669),0)</f>
        <v>#REF!</v>
      </c>
      <c r="CI670" s="715" t="e">
        <f t="shared" ca="1" si="12266"/>
        <v>#REF!</v>
      </c>
      <c r="CJ670" s="716" t="str">
        <f ca="1">IFERROR(IF(AD660="Nested Steel Stud (wood infill)",VLOOKUP(INDEX(CF659:CF670,CI670),SSW,2,FALSE),VLOOKUP(INDEX(CF659:CF670,CI670),SSM,2,FALSE)),"----")</f>
        <v>----</v>
      </c>
      <c r="CK670" s="714" t="e">
        <f t="shared" ca="1" si="12267"/>
        <v>#N/A</v>
      </c>
      <c r="CL670" s="715" t="e">
        <f ca="1">IF(AND(INDEX(WSM,CK670,4)&gt;=$AB659,INDEX(WSM,CK670,5)&gt;=$S659,INDEX(WSM,CK670,6)&gt;=$R659),1,0)</f>
        <v>#N/A</v>
      </c>
      <c r="CM670" s="715" t="e">
        <f t="shared" ref="CM670" ca="1" si="12439">MATCH(1,OFFSET(CL659:CL670,CN669,0,COUNT(CL659:CL670)-CN669),0)</f>
        <v>#REF!</v>
      </c>
      <c r="CN670" s="715" t="e">
        <f t="shared" ca="1" si="12269"/>
        <v>#REF!</v>
      </c>
      <c r="CO670" s="716" t="str">
        <f ca="1">IFERROR(VLOOKUP(INDEX(CK659:CK670,CN670),WSM,2,FALSE),"----")</f>
        <v>----</v>
      </c>
      <c r="CP670" s="714" t="e">
        <f t="shared" ca="1" si="12270"/>
        <v>#N/A</v>
      </c>
      <c r="CQ670" s="715" t="e">
        <f ca="1">IF(AND(INDEX(STM,CP670,4)&gt;=$AB659,INDEX(STM,CP670,5)&gt;=$S659,INDEX(STM,CP670,6)&gt;=$R659),1,0)</f>
        <v>#N/A</v>
      </c>
      <c r="CR670" s="715" t="e">
        <f t="shared" ref="CR670" ca="1" si="12440">MATCH(1,OFFSET(CQ659:CQ670,CS669,0,COUNT(CQ659:CQ670)-CS669),0)</f>
        <v>#REF!</v>
      </c>
      <c r="CS670" s="715" t="e">
        <f t="shared" ca="1" si="12272"/>
        <v>#REF!</v>
      </c>
      <c r="CT670" s="716" t="str">
        <f ca="1">IFERROR(VLOOKUP(INDEX(CP659:CP670,CS670),STM,2,FALSE),"----")</f>
        <v>----</v>
      </c>
      <c r="CU670" s="714" t="e">
        <f t="shared" ca="1" si="12273"/>
        <v>#N/A</v>
      </c>
      <c r="CV670" s="715" t="e">
        <f ca="1">IF(AND(INDEX(ELM,CU670,4)&gt;=$AB659,INDEX(ELM,CU670,5)&gt;=$S659,INDEX(ELM,CU670,6)&gt;=$R659),1,0)</f>
        <v>#N/A</v>
      </c>
      <c r="CW670" s="715" t="e">
        <f t="shared" ref="CW670" ca="1" si="12441">MATCH(1,OFFSET(CV659:CV670,CX669,0,COUNT(CV659:CV670)-CX669),0)</f>
        <v>#REF!</v>
      </c>
      <c r="CX670" s="715" t="e">
        <f t="shared" ca="1" si="12275"/>
        <v>#REF!</v>
      </c>
      <c r="CY670" s="716" t="str">
        <f ca="1">IFERROR(VLOOKUP(INDEX(CU659:CU670,CX670),ELM,2,FALSE),"----")</f>
        <v>----</v>
      </c>
      <c r="CZ670" s="714" t="e">
        <f t="shared" ca="1" si="12276"/>
        <v>#N/A</v>
      </c>
      <c r="DA670" s="715" t="e">
        <f ca="1">IF(LEFT($J659,7)="Clad Wo",IF(AND(INDEX(SPPWS,CZ670,4)&gt;=$AB659,INDEX(SPPWS,CZ670,5)&gt;=$S659,INDEX(SPPWS,CZ670,6)&gt;=$R659),1,0),IF(AND(INDEX(SPM,CZ670,4)&gt;=$AB659,INDEX(SPM,CZ670,5)&gt;=$S659,INDEX(SPM,CZ670,6)&gt;=$R659),1,0))</f>
        <v>#N/A</v>
      </c>
      <c r="DB670" s="715" t="e">
        <f t="shared" ref="DB670" ca="1" si="12442">MATCH(1,OFFSET(DA659:DA670,DC669,0,COUNT(DA659:DA670)-DC669),0)</f>
        <v>#REF!</v>
      </c>
      <c r="DC670" s="715" t="e">
        <f t="shared" ca="1" si="12278"/>
        <v>#REF!</v>
      </c>
      <c r="DD670" s="717" t="str">
        <f ca="1">IF(LEFT($J659,7)="Clad Wo",IFERROR(VLOOKUP(INDEX(CZ659:CZ670,DC670),SPPWS,2,FALSE),"----"),IFERROR(VLOOKUP(INDEX(CZ659:CZ670,DC670),SPM,2,FALSE),"----"))</f>
        <v>----</v>
      </c>
      <c r="DE670" s="714" t="e">
        <f t="shared" ca="1" si="12279"/>
        <v>#REF!</v>
      </c>
      <c r="DF670" s="715" t="e" cm="1">
        <f t="array" aca="1" ref="DF670" ca="1">IF(AND(INDEX(INDIRECT(BY659),DE670,4)&gt;=$AB665,INDEX(INDIRECT(BY659),DE670,5)&gt;=$S659,INDEX(INDIRECT(BY659),DE670,6)&gt;=$R659),1,0)</f>
        <v>#REF!</v>
      </c>
      <c r="DG670" s="715" t="e">
        <f t="shared" ref="DG670" ca="1" si="12443">MATCH(1,OFFSET(DF659:DF670,DH669,0,COUNT(DF659:DF670)-DH669),0)</f>
        <v>#REF!</v>
      </c>
      <c r="DH670" s="715" t="e">
        <f t="shared" ca="1" si="12281"/>
        <v>#REF!</v>
      </c>
      <c r="DI670" s="716" t="str" cm="1">
        <f t="array" aca="1" ref="DI670" ca="1">IFERROR(VLOOKUP(INDEX(DE659:DE670,DH670),INDIRECT(BY659),2,FALSE),"----")</f>
        <v>----</v>
      </c>
      <c r="DJ670" s="714" t="e">
        <f t="shared" ca="1" si="12282"/>
        <v>#N/A</v>
      </c>
      <c r="DK670" s="715" t="e">
        <f ca="1">IF(AND(INDEX(SSM,DJ670,4)&gt;=$AB665,INDEX(SSM,DJ670,5)&gt;=$S659,INDEX(SSM,DJ670,6)&gt;=$R659),1,0)</f>
        <v>#N/A</v>
      </c>
      <c r="DL670" s="715" t="e">
        <f t="shared" ref="DL670" ca="1" si="12444">MATCH(1,OFFSET(DK659:DK670,DM669,0,COUNT(DK659:DK670)-DM669),0)</f>
        <v>#REF!</v>
      </c>
      <c r="DM670" s="715" t="e">
        <f t="shared" ca="1" si="12284"/>
        <v>#REF!</v>
      </c>
      <c r="DN670" s="716" t="str">
        <f ca="1">IFERROR(IF(AD666="Nested Steel Stud (wood infill)",VLOOKUP(INDEX(DJ659:DJ670,DM670),SSW,2,FALSE),VLOOKUP(INDEX(DJ659:DJ670,DM670),SSM,2,FALSE)),"----")</f>
        <v>----</v>
      </c>
      <c r="DO670" s="714" t="e">
        <f t="shared" ca="1" si="12285"/>
        <v>#N/A</v>
      </c>
      <c r="DP670" s="715" t="e">
        <f ca="1">IF(AND(INDEX(WSM,DO670,4)&gt;=$AB665,INDEX(WSM,DO670,5)&gt;=$S659,INDEX(WSM,DO670,6)&gt;=$R659),1,0)</f>
        <v>#N/A</v>
      </c>
      <c r="DQ670" s="715" t="e">
        <f t="shared" ref="DQ670" ca="1" si="12445">MATCH(1,OFFSET(DP659:DP670,DR669,0,COUNT(DP659:DP670)-DR669),0)</f>
        <v>#REF!</v>
      </c>
      <c r="DR670" s="715" t="e">
        <f t="shared" ca="1" si="12287"/>
        <v>#REF!</v>
      </c>
      <c r="DS670" s="716" t="str">
        <f ca="1">IFERROR(VLOOKUP(INDEX(DO659:DO670,DR670),WSM,2,FALSE),"----")</f>
        <v>----</v>
      </c>
      <c r="DT670" s="714" t="e">
        <f t="shared" ca="1" si="12288"/>
        <v>#N/A</v>
      </c>
      <c r="DU670" s="715" t="e">
        <f ca="1">IF(AND(INDEX(STM,DT670,4)&gt;=$AB665,INDEX(STM,DT670,5)&gt;=$S659,INDEX(STM,DT670,6)&gt;=$R659),1,0)</f>
        <v>#N/A</v>
      </c>
      <c r="DV670" s="715" t="e">
        <f t="shared" ref="DV670" ca="1" si="12446">MATCH(1,OFFSET(DU659:DU670,DW669,0,COUNT(DU659:DU670)-DW669),0)</f>
        <v>#REF!</v>
      </c>
      <c r="DW670" s="715" t="e">
        <f t="shared" ca="1" si="12290"/>
        <v>#REF!</v>
      </c>
      <c r="DX670" s="716" t="str">
        <f ca="1">IFERROR(VLOOKUP(INDEX(DT659:DT670,DW670),STM,2,FALSE),"----")</f>
        <v>----</v>
      </c>
      <c r="DY670" s="714" t="e">
        <f t="shared" ca="1" si="12291"/>
        <v>#N/A</v>
      </c>
      <c r="DZ670" s="715" t="e">
        <f ca="1">IF(AND(INDEX(ELM,DY670,4)&gt;=$AB665,INDEX(ELM,DY670,5)&gt;=$S659,INDEX(ELM,DY670,6)&gt;=$R659),1,0)</f>
        <v>#N/A</v>
      </c>
      <c r="EA670" s="715" t="e">
        <f t="shared" ref="EA670" ca="1" si="12447">MATCH(1,OFFSET(DZ659:DZ670,EB669,0,COUNT(DZ659:DZ670)-EB669),0)</f>
        <v>#REF!</v>
      </c>
      <c r="EB670" s="715" t="e">
        <f t="shared" ca="1" si="12293"/>
        <v>#REF!</v>
      </c>
      <c r="EC670" s="716" t="str">
        <f ca="1">IFERROR(VLOOKUP(INDEX(DY659:DY670,EB670),ELM,2,FALSE),"----")</f>
        <v>----</v>
      </c>
      <c r="ED670" s="714" t="e">
        <f t="shared" ca="1" si="12294"/>
        <v>#N/A</v>
      </c>
      <c r="EE670" s="715" t="e">
        <f ca="1">IF(LEFT($J659,7)="Clad Wo",IF(AND(INDEX(SPPWS,ED670,4)&gt;=$AB665,INDEX(SPPWS,ED670,5)&gt;=$S659,INDEX(SPPWS,ED670,6)&gt;=$R659),1,0),IF(AND(INDEX(SPM,ED670,4)&gt;=$AB665,INDEX(SPM,ED670,5)&gt;=$S659,INDEX(SPM,ED670,6)&gt;=$R659),1,0))</f>
        <v>#N/A</v>
      </c>
      <c r="EF670" s="715" t="e">
        <f t="shared" ref="EF670" ca="1" si="12448">MATCH(1,OFFSET(EE659:EE670,EG669,0,COUNT(EE659:EE670)-EG669),0)</f>
        <v>#REF!</v>
      </c>
      <c r="EG670" s="715" t="e">
        <f t="shared" ca="1" si="12296"/>
        <v>#REF!</v>
      </c>
      <c r="EH670" s="716" t="str">
        <f ca="1">IF(LEFT($J659,7)="Clad Wo",IFERROR(VLOOKUP(INDEX(ED659:ED670,EG670),SPPWS,2,FALSE),"----"),IFERROR(VLOOKUP(INDEX(ED659:ED670,EG670),SPM,2,FALSE),"----"))</f>
        <v>----</v>
      </c>
    </row>
    <row r="671" spans="1:138" ht="15" customHeight="1" thickTop="1" x14ac:dyDescent="0.25">
      <c r="A671" s="1085"/>
      <c r="B671" s="931" t="s">
        <v>92</v>
      </c>
      <c r="C671" s="932"/>
      <c r="D671" s="933"/>
      <c r="E671" s="992"/>
      <c r="F671" s="993"/>
      <c r="G671" s="994"/>
      <c r="H671" s="1061"/>
      <c r="I671" s="1076"/>
      <c r="J671" s="906"/>
      <c r="K671" s="907"/>
      <c r="L671" s="1001">
        <f>$W$3</f>
        <v>4</v>
      </c>
      <c r="M671" s="923" t="str">
        <f t="shared" ref="M671" si="12449">IFERROR(IF($AE$13="",IF($AG$19="Wind Loading",MIN($V$31,IF(E$11="ASCE 7-05",$U$26,$V$7)*$V$9*(IF($E$12&lt;60,0.0771*LN(MAX(MIN(500,O671),10)) -1.2737,IF($E$11="ASCE 7-22",0.0524*LN(MAX(MIN(500,O671),50))-1.0278,0.0614*LN(MAX(MIN(500,O671),20)) -1.0829))-$V$8)),$V$7*IF(E$12&lt;60,$V$13*($V$15*0.0771*LN(MAX(MIN(500,O671),10))-1.2737-$V$16),$V$13*$V$15*((0.0524*LN(MAX(MIN(500,O671),20))-1.0278)-$V$16))),-ABS($AE$13)),"")</f>
        <v/>
      </c>
      <c r="N671" s="1042" t="str">
        <f t="shared" ref="N671" si="12450">IFERROR(IF($AE$15="",IF($AG$19="Wind Loading",MAX($U$31,IF(E$11="ASCE 7-05",$U$26,$V$7)*$V$9*((IF($E$12&lt;60,-0.077*LN(MAX(MIN(500,O671),10))+1.1737,IF($E$11="ASCE 7-22",-0.077*LN(MAX(MIN(500,O671),20))+1.0798,-0.093*LN(MAX(MIN(500,O671),20))+1.1776)))+$V$8)),$V$7*IF(E$12&lt;60,$V$13*($V$15*(-0.077*LN(MAX(MIN(500,O671),10))+1.1737)-$V$17),$V$13*$V$15*((-0.077*LN(MAX(MIN(500,O671),20))+1.0798)-$V$17))),ABS($AE$15)),"")</f>
        <v/>
      </c>
      <c r="O671" s="1017" t="str">
        <f>IF(BX678=0,"",IF(AG$14="Trapezoidal",BY678,BX678))</f>
        <v/>
      </c>
      <c r="P671" s="986"/>
      <c r="Q671" s="1014"/>
      <c r="R671" s="1091">
        <f>P671*Q671/8</f>
        <v>0</v>
      </c>
      <c r="S671" s="1004">
        <f t="shared" ref="S671" si="12451">IF(5*(P671*Q671^3/(384*0.125))=0,0,5*(P671*Q671^3/(384*0.125)))</f>
        <v>0</v>
      </c>
      <c r="T671" s="1005"/>
      <c r="U671" s="877" t="e">
        <f ca="1">VLOOKUP(J675,INDIRECT(VLOOKUP(J671,FrameStrength,2,FALSE)),3,FALSE)</f>
        <v>#N/A</v>
      </c>
      <c r="V671" s="880">
        <f t="shared" ref="V671" si="12452">(H671+I671)/2</f>
        <v>0</v>
      </c>
      <c r="W671" s="883" t="e">
        <f t="shared" ref="W671" si="12453">MAX(-M671,N671)*O671</f>
        <v>#VALUE!</v>
      </c>
      <c r="X671" s="883">
        <f t="shared" ref="X671" si="12454">IF(E671&gt;162,(E671/240+0.25),IF(AND(E671&lt;162,E671/175&lt;0.75),E671/175,0.75))</f>
        <v>0</v>
      </c>
      <c r="Y671" s="886">
        <f>IFERROR(IF(AG$14="Trapezoidal",BY679,BX679)+IF($E$17="4",(400*E671^3)/(48*X671),0),0)</f>
        <v>0</v>
      </c>
      <c r="Z671" s="886" t="e">
        <f t="shared" ref="Z671" si="12455">+($V671*MAX(-$M671,$N671)*$E671^2)/(144*8)+IF($E$17=4,(400*$E671)/4,0)</f>
        <v>#VALUE!</v>
      </c>
      <c r="AA671" s="886" t="e">
        <f ca="1">VLOOKUP(J675,INDIRECT(VLOOKUP(J671,FrameStrength,2,FALSE)),2,FALSE)</f>
        <v>#N/A</v>
      </c>
      <c r="AB671" s="1083" t="str">
        <f t="shared" ref="AB671" ca="1" si="12456">IFERROR(Z671-AA671,"")</f>
        <v/>
      </c>
      <c r="AC671" s="1077" t="str">
        <f t="shared" ref="AC671" ca="1" si="12457">IFERROR(Y671-U671,"")</f>
        <v/>
      </c>
      <c r="AD671" s="1100" t="str">
        <f>IFERROR(IF(LEFT(J675,2)="As",VLOOKUP(J675,EIMM,4,FALSE),VLOOKUP(J671,EIMM,4,FALSE)),IF(AND(ISNUMBER(SEARCH("Impervia",J671)),ISNUMBER(SEARCH("door",J675))),'New Lookup Cells'!AF$10,IF(ISNUMBER(SEARCH("Impervia",J671)),'New Lookup Cells'!AF$7,IF(AND(ISNUMBER(SEARCH("250",J671)),ISNUMBER(SEARCH("door",J675))),'New Lookup Cells'!AF$14,IF(ISNUMBER(SEARCH("250",J671)),'New Lookup Cells'!AF$13,"")))))</f>
        <v/>
      </c>
      <c r="AE671" s="1101"/>
      <c r="AF671" s="1050"/>
      <c r="AG671" s="1051"/>
      <c r="AH671" s="1051"/>
      <c r="AI671" s="1088"/>
      <c r="AJ671" s="1089"/>
      <c r="AK671" s="154" t="str">
        <f t="shared" ca="1" si="11298"/>
        <v/>
      </c>
      <c r="AL671" s="1038" t="str">
        <f t="shared" ref="AL671" si="12458">IFERROR(ROUND(SQRT(P671^2+(W671/2+IF($E$17=4,200,0))^2),0),"")</f>
        <v/>
      </c>
      <c r="AM671" s="342" t="s">
        <v>669</v>
      </c>
      <c r="AN671" t="str">
        <f t="shared" ca="1" si="11348"/>
        <v/>
      </c>
      <c r="AP671" s="122" t="str">
        <f t="shared" ref="AP671" si="12459">_xlfn.CONCAT(AR671,AS676)</f>
        <v/>
      </c>
      <c r="AQ671" s="683" t="str">
        <f t="shared" si="11512"/>
        <v/>
      </c>
      <c r="AR671" s="96" t="str">
        <f t="shared" si="11273"/>
        <v/>
      </c>
      <c r="AS671" s="96" t="str">
        <f>IF(COUNTIF(imp_1,AF671)=1,"imp_1",IF(COUNTIF(imp_2,AF671)=1,"imp_2",IF(COUNTIF(imp_3,AF671)=1,"imp_3",IF(COUNTIF(impdoor,AF671)=1,"impdoor",""))))</f>
        <v/>
      </c>
      <c r="AT671" s="684" t="str">
        <f>AL671</f>
        <v/>
      </c>
      <c r="AU671" s="685" t="e">
        <f ca="1">MATCH(AL671,INDIRECT(AP671),-1)</f>
        <v>#REF!</v>
      </c>
      <c r="AV671" s="686" t="str">
        <f ca="1">IFERROR(VLOOKUP(AU671,INDIRECT(AQ671),2,FALSE),"----")</f>
        <v>----</v>
      </c>
      <c r="AW671" s="685" t="e">
        <f ca="1">MATCH(AL671,INDIRECT(AP672),-1)</f>
        <v>#REF!</v>
      </c>
      <c r="AX671" s="686" t="str">
        <f ca="1">IFERROR(VLOOKUP(AW671,INDIRECT(AQ672),2,FALSE),"----")</f>
        <v>----</v>
      </c>
      <c r="AY671" s="685" t="e">
        <f ca="1">MATCH(AL671,INDIRECT(AP673),-1)</f>
        <v>#REF!</v>
      </c>
      <c r="AZ671" s="686" t="str">
        <f ca="1">IFERROR(VLOOKUP(AY671,INDIRECT(AQ673),2,FALSE),"----")</f>
        <v>----</v>
      </c>
      <c r="BA671" s="685" t="e">
        <f ca="1">MATCH(AL671,INDIRECT(AP674),-1)</f>
        <v>#REF!</v>
      </c>
      <c r="BB671" s="686" t="str">
        <f ca="1">IFERROR(VLOOKUP(BA671,INDIRECT(AQ674),2,FALSE),"----")</f>
        <v>----</v>
      </c>
      <c r="BC671" s="685" t="e">
        <f ca="1">MATCH(AL671,INDIRECT(AP675),-1)</f>
        <v>#REF!</v>
      </c>
      <c r="BD671" s="686" t="str">
        <f ca="1">IFERROR(VLOOKUP(BC671,INDIRECT(AQ675),2,FALSE),"----")</f>
        <v>----</v>
      </c>
      <c r="BE671" s="685" t="e">
        <f ca="1">MATCH(AL671,INDIRECT(AP676),-1)</f>
        <v>#REF!</v>
      </c>
      <c r="BF671" s="686" t="str">
        <f ca="1">IFERROR(VLOOKUP(BE671,INDIRECT(AQ676),2,FALSE),"----")</f>
        <v>----</v>
      </c>
      <c r="BG671" s="685" t="e">
        <f ca="1">MATCH(AL677,INDIRECT(AP677),-1)</f>
        <v>#REF!</v>
      </c>
      <c r="BH671" s="686" t="str">
        <f ca="1">IFERROR(VLOOKUP(BG671,INDIRECT(AQ677),2,FALSE),"----")</f>
        <v>----</v>
      </c>
      <c r="BI671" s="685" t="e">
        <f ca="1">MATCH(AL677,INDIRECT(AP678),-1)</f>
        <v>#REF!</v>
      </c>
      <c r="BJ671" s="686" t="str">
        <f ca="1">IFERROR(VLOOKUP(BI671,INDIRECT(AQ678),2,FALSE),"----")</f>
        <v>----</v>
      </c>
      <c r="BK671" s="685" t="e">
        <f ca="1">MATCH(AL677,INDIRECT(AP679),-1)</f>
        <v>#REF!</v>
      </c>
      <c r="BL671" s="686" t="str">
        <f ca="1">IFERROR(VLOOKUP(BK671,INDIRECT(AQ679),2,FALSE),"----")</f>
        <v>----</v>
      </c>
      <c r="BM671" s="685" t="e">
        <f ca="1">MATCH(AL677,INDIRECT(AP680),-1)</f>
        <v>#REF!</v>
      </c>
      <c r="BN671" s="686" t="str">
        <f ca="1">IFERROR(VLOOKUP(BM671,INDIRECT(AQ680),2,FALSE),"----")</f>
        <v>----</v>
      </c>
      <c r="BO671" s="685" t="e">
        <f ca="1">MATCH(AL677,INDIRECT(AP681),-1)</f>
        <v>#REF!</v>
      </c>
      <c r="BP671" s="686" t="str">
        <f ca="1">IFERROR(VLOOKUP(BO671,INDIRECT(AQ681),2,FALSE),"----")</f>
        <v>----</v>
      </c>
      <c r="BQ671" s="685" t="e">
        <f ca="1">MATCH(AL677,INDIRECT(AP682),-1)</f>
        <v>#REF!</v>
      </c>
      <c r="BR671" s="686" t="str">
        <f ca="1">IFERROR(VLOOKUP(BQ671,INDIRECT(AQ682),2,FALSE),"----")</f>
        <v>----</v>
      </c>
      <c r="BS671" s="687">
        <f>IF(AI671="",1,IF(COUNTIF(AV671:AV682,AI671)=0,2,1))</f>
        <v>1</v>
      </c>
      <c r="BT671" s="688">
        <f>IF(AP671="1",1,IF(AF671="",1,IF(AV671=".",2,1)))</f>
        <v>1</v>
      </c>
      <c r="BU671" s="706"/>
      <c r="BV671" s="155">
        <f ca="1">IF(COUNTIF(CE671:CE682,AF671)=0,IF(AF671&lt;&gt;"",0,1),1)</f>
        <v>1</v>
      </c>
      <c r="BW671" s="157">
        <f ca="1">IFERROR(MATCH(AF671,CE671:CE682,0),1)</f>
        <v>1</v>
      </c>
      <c r="BX671" s="769" t="str">
        <f>IFERROR(IF(LEFT(J675,2)="As",VLOOKUP(J675,EIMM,2,FALSE),IF(AND(ISNUMBER(SEARCH("Impervia",J671)),ISNUMBER(SEARCH("door",J675))),VLOOKUP("Impervia Door",EIMM,2,FALSE),IF(AND(ISNUMBER(SEARCH("250",J671)),ISNUMBER(SEARCH("door",J675))),VLOOKUP("250 Series Door",EIMM,2,FALSE),VLOOKUP(J671,EIMM,2,FALSE)))),"")</f>
        <v/>
      </c>
      <c r="BY671" s="769" t="str">
        <f ca="1">IFERROR(VLOOKUP(BX671,OFFSET(EIMM,0,1),2,FALSE),"")</f>
        <v/>
      </c>
      <c r="BZ671" s="1110" t="e">
        <f ca="1">IF((COUNTIF(INDIRECT(SUBSTITUTE(J671," ","_")),J675))=0,IF(J675="",1,0),1)</f>
        <v>#REF!</v>
      </c>
      <c r="CA671" s="691" t="e">
        <f ca="1">MATCH(AC671,INDIRECT(BX671),-1)</f>
        <v>#REF!</v>
      </c>
      <c r="CB671" s="4" t="e" cm="1">
        <f t="array" aca="1" ref="CB671" ca="1">IF(AND(INDEX(INDIRECT(BY671),CA671,4)&gt;=$AB671,INDEX(INDIRECT(BY671),CA671,5)&gt;=$S671,INDEX(INDIRECT(BY671),CA671,6)&gt;=$R671),1,0)</f>
        <v>#REF!</v>
      </c>
      <c r="CC671" s="4" t="e">
        <f t="shared" ref="CC671" ca="1" si="12460">MATCH(1,OFFSET(CB671:CB682,$W$2,0,COUNT(CB671:CB682)-$W$2),0)</f>
        <v>#REF!</v>
      </c>
      <c r="CD671" s="4" t="e">
        <f t="shared" ref="CD671" ca="1" si="12461">$W$2+CC671</f>
        <v>#REF!</v>
      </c>
      <c r="CE671" s="692" t="str" cm="1">
        <f t="array" aca="1" ref="CE671" ca="1">IFERROR(VLOOKUP(INDEX(CA671:CA682,CD671),INDIRECT(BY671),2,FALSE),"----")</f>
        <v>----</v>
      </c>
      <c r="CF671" s="691" t="e">
        <f ca="1">MATCH($AC671,SSEI,-1)</f>
        <v>#N/A</v>
      </c>
      <c r="CG671" s="4" t="e">
        <f ca="1">IF(AND(INDEX(SSM,CF671,4)&gt;=$AB671,INDEX(SSM,CF671,5)&gt;=$S671,INDEX(SSM,CF671,6)&gt;=$R671),1,0)</f>
        <v>#N/A</v>
      </c>
      <c r="CH671" s="4" t="e">
        <f t="shared" ref="CH671" ca="1" si="12462">MATCH(1,OFFSET(CG671:CG682,$W$2,0,COUNT(CG671:CG682)-$W$2),0)</f>
        <v>#REF!</v>
      </c>
      <c r="CI671" s="4" t="e">
        <f t="shared" ref="CI671" ca="1" si="12463">$W$2+CH671</f>
        <v>#REF!</v>
      </c>
      <c r="CJ671" s="692" t="str">
        <f ca="1">IFERROR(IF(AD672="Nested Steel Stud (wood infill)",VLOOKUP(INDEX(CF671:CF682,CI671),SSW,2,FALSE),VLOOKUP(INDEX(CF671:CF682,CI671),SSM,2,FALSE)),"----")</f>
        <v>----</v>
      </c>
      <c r="CK671" s="691" t="e">
        <f ca="1">MATCH($AC671,WSEI,-1)</f>
        <v>#N/A</v>
      </c>
      <c r="CL671" s="4" t="e">
        <f ca="1">IF(AND(INDEX(WSM,CK671,4)&gt;=$AB671,INDEX(WSM,CK671,5)&gt;=$S671,INDEX(WSM,CK671,6)&gt;=$R671),1,0)</f>
        <v>#N/A</v>
      </c>
      <c r="CM671" s="4" t="e">
        <f t="shared" ref="CM671" ca="1" si="12464">MATCH(1,OFFSET(CL671:CL682,$W$2,0,COUNT(CL671:CL682)-$W$2),0)</f>
        <v>#REF!</v>
      </c>
      <c r="CN671" s="4" t="e">
        <f t="shared" ref="CN671" ca="1" si="12465">$W$2+CM671</f>
        <v>#REF!</v>
      </c>
      <c r="CO671" s="692" t="str">
        <f ca="1">IFERROR(VLOOKUP(INDEX(CK671:CK682,CN671),WSM,2,FALSE),"----")</f>
        <v>----</v>
      </c>
      <c r="CP671" s="691" t="e">
        <f ca="1">MATCH($AC671,STEI,-1)</f>
        <v>#N/A</v>
      </c>
      <c r="CQ671" s="4" t="e">
        <f ca="1">IF(AND(INDEX(STM,CP671,4)&gt;=$AB671,INDEX(STM,CP671,5)&gt;=$S671,INDEX(STM,CP671,6)&gt;=$R671),1,0)</f>
        <v>#N/A</v>
      </c>
      <c r="CR671" s="4" t="e">
        <f t="shared" ref="CR671" ca="1" si="12466">MATCH(1,OFFSET(CQ671:CQ682,$W$2,0,COUNT(CQ671:CQ682)-$W$2),0)</f>
        <v>#REF!</v>
      </c>
      <c r="CS671" s="4" t="e">
        <f t="shared" ref="CS671" ca="1" si="12467">$W$2+CR671</f>
        <v>#REF!</v>
      </c>
      <c r="CT671" s="692" t="str">
        <f ca="1">IFERROR(VLOOKUP(INDEX(CP671:CP682,CS671),STM,2,FALSE),"----")</f>
        <v>----</v>
      </c>
      <c r="CU671" s="691" t="e">
        <f ca="1">MATCH($AC671,ELEI,-1)</f>
        <v>#N/A</v>
      </c>
      <c r="CV671" s="4" t="e">
        <f ca="1">IF(AND(INDEX(ELM,CU671,4)&gt;=$AB671,INDEX(ELM,CU671,5)&gt;=$S671,INDEX(ELM,CU671,6)&gt;=$R671),1,0)</f>
        <v>#N/A</v>
      </c>
      <c r="CW671" s="4" t="e">
        <f t="shared" ref="CW671" ca="1" si="12468">MATCH(1,OFFSET(CV671:CV682,$W$2,0,COUNT(CV671:CV682)-$W$2),0)</f>
        <v>#REF!</v>
      </c>
      <c r="CX671" s="4" t="e">
        <f t="shared" ref="CX671" ca="1" si="12469">$W$2+CW671</f>
        <v>#REF!</v>
      </c>
      <c r="CY671" s="692" t="str">
        <f ca="1">IFERROR(VLOOKUP(INDEX(CU671:CU682,CX671),ELM,2,FALSE),"----")</f>
        <v>----</v>
      </c>
      <c r="CZ671" s="691" t="e">
        <f ca="1">IF(LEFT($J671,7)="Clad Wo",MATCH($AC671,SPEIW,-1),MATCH($AC671,SPEI,-1))</f>
        <v>#N/A</v>
      </c>
      <c r="DA671" s="4" t="e">
        <f ca="1">IF(LEFT($J671,7)="Clad Wo",IF(AND(INDEX(SPPWS,CZ671,4)&gt;=$AB671,INDEX(SPPWS,CZ671,5)&gt;=$S671,INDEX(SPPWS,CZ671,6)&gt;=$R671),1,0),IF(AND(INDEX(SPM,CZ671,4)&gt;=$AB671,INDEX(SPM,CZ671,5)&gt;=$S671,INDEX(SPM,CZ671,6)&gt;=$R671),1,0))</f>
        <v>#N/A</v>
      </c>
      <c r="DB671" s="4" t="e">
        <f t="shared" ref="DB671" ca="1" si="12470">MATCH(1,OFFSET(DA671:DA682,$W$2,0,COUNT(DA671:DA682)-$W$2),0)</f>
        <v>#REF!</v>
      </c>
      <c r="DC671" s="4" t="e">
        <f t="shared" ref="DC671" ca="1" si="12471">$W$2+DB671</f>
        <v>#REF!</v>
      </c>
      <c r="DD671" s="693" t="str">
        <f ca="1">IF(LEFT($J671,7)="Clad Wo",IFERROR(VLOOKUP(INDEX(CZ671:CZ682,DC671),SPPWS,2,FALSE),"----"),IFERROR(VLOOKUP(INDEX(CZ671:CZ682,DC671),SPM,2,FALSE),"----"))</f>
        <v>----</v>
      </c>
      <c r="DE671" s="691" t="e">
        <f ca="1">MATCH(AC677,INDIRECT(BX671),-1)</f>
        <v>#REF!</v>
      </c>
      <c r="DF671" s="4" t="e" cm="1">
        <f t="array" aca="1" ref="DF671" ca="1">IF(AND(INDEX(INDIRECT(BY671),DE671,4)&gt;=$AB677,INDEX(INDIRECT(BY671),DE671,5)&gt;=$S671,INDEX(INDIRECT(BY671),DE671,6)&gt;=$R671),1,0)</f>
        <v>#REF!</v>
      </c>
      <c r="DG671" s="4" t="e">
        <f t="shared" ref="DG671" ca="1" si="12472">MATCH(1,OFFSET(DF671:DF682,$W$2,0,COUNT(DF671:DF682)-$W$2),0)</f>
        <v>#REF!</v>
      </c>
      <c r="DH671" s="4" t="e">
        <f t="shared" ref="DH671" ca="1" si="12473">$W$2+DG671</f>
        <v>#REF!</v>
      </c>
      <c r="DI671" s="692" t="str" cm="1">
        <f t="array" aca="1" ref="DI671" ca="1">IFERROR(VLOOKUP(INDEX(DE671:DE682,DH671),INDIRECT(BY671),2,FALSE),"----")</f>
        <v>----</v>
      </c>
      <c r="DJ671" s="691" t="e">
        <f ca="1">MATCH($AC677,SSEI,-1)</f>
        <v>#N/A</v>
      </c>
      <c r="DK671" s="4" t="e">
        <f ca="1">IF(AND(INDEX(SSM,DJ671,4)&gt;=$AB677,INDEX(SSM,DJ671,5)&gt;=$S671,INDEX(SSM,DJ671,6)&gt;=$R671),1,0)</f>
        <v>#N/A</v>
      </c>
      <c r="DL671" s="4" t="e">
        <f t="shared" ref="DL671" ca="1" si="12474">MATCH(1,OFFSET(DK671:DK682,$W$2,0,COUNT(DK671:DK682)-$W$2),0)</f>
        <v>#REF!</v>
      </c>
      <c r="DM671" s="4" t="e">
        <f t="shared" ref="DM671" ca="1" si="12475">$W$2+DL671</f>
        <v>#REF!</v>
      </c>
      <c r="DN671" s="692" t="str">
        <f ca="1">IFERROR(IF(AD678="Nested Steel Stud (wood infill)",VLOOKUP(INDEX(DJ671:DJ682,DM671),SSW,2,FALSE),VLOOKUP(INDEX(DJ671:DJ682,DM671),SSM,2,FALSE)),"----")</f>
        <v>----</v>
      </c>
      <c r="DO671" s="691" t="e">
        <f ca="1">MATCH($AC677,WSEI,-1)</f>
        <v>#N/A</v>
      </c>
      <c r="DP671" s="4" t="e">
        <f ca="1">IF(AND(INDEX(WSM,DO671,4)&gt;=$AB677,INDEX(WSM,DO671,5)&gt;=$S671,INDEX(WSM,DO671,6)&gt;=$R671),1,0)</f>
        <v>#N/A</v>
      </c>
      <c r="DQ671" s="4" t="e">
        <f t="shared" ref="DQ671" ca="1" si="12476">MATCH(1,OFFSET(DP671:DP682,$W$2,0,COUNT(DP671:DP682)-$W$2),0)</f>
        <v>#REF!</v>
      </c>
      <c r="DR671" s="4" t="e">
        <f t="shared" ref="DR671" ca="1" si="12477">$W$2+DQ671</f>
        <v>#REF!</v>
      </c>
      <c r="DS671" s="692" t="str">
        <f ca="1">IFERROR(VLOOKUP(INDEX(DO671:DO682,DR671),WSM,2,FALSE),"----")</f>
        <v>----</v>
      </c>
      <c r="DT671" s="691" t="e">
        <f ca="1">MATCH($AC677,STEI,-1)</f>
        <v>#N/A</v>
      </c>
      <c r="DU671" s="4" t="e">
        <f ca="1">IF(AND(INDEX(STM,DT671,4)&gt;=$AB677,INDEX(STM,DT671,5)&gt;=$S671,INDEX(STM,DT671,6)&gt;=$R671),1,0)</f>
        <v>#N/A</v>
      </c>
      <c r="DV671" s="4" t="e">
        <f t="shared" ref="DV671" ca="1" si="12478">MATCH(1,OFFSET(DU671:DU682,$W$2,0,COUNT(DU671:DU682)-$W$2),0)</f>
        <v>#REF!</v>
      </c>
      <c r="DW671" s="4" t="e">
        <f t="shared" ref="DW671" ca="1" si="12479">$W$2+DV671</f>
        <v>#REF!</v>
      </c>
      <c r="DX671" s="692" t="str">
        <f ca="1">IFERROR(VLOOKUP(INDEX(DT671:DT682,DW671),STM,2,FALSE),"----")</f>
        <v>----</v>
      </c>
      <c r="DY671" s="691" t="e">
        <f ca="1">MATCH($AC677,ELEI,-1)</f>
        <v>#N/A</v>
      </c>
      <c r="DZ671" s="4" t="e">
        <f ca="1">IF(AND(INDEX(ELM,DY671,4)&gt;=$AB677,INDEX(ELM,DY671,5)&gt;=$S671,INDEX(ELM,DY671,6)&gt;=$R671),1,0)</f>
        <v>#N/A</v>
      </c>
      <c r="EA671" s="4" t="e">
        <f t="shared" ref="EA671" ca="1" si="12480">MATCH(1,OFFSET(DZ671:DZ682,$W$2,0,COUNT(DZ671:DZ682)-$W$2),0)</f>
        <v>#REF!</v>
      </c>
      <c r="EB671" s="4" t="e">
        <f t="shared" ref="EB671" ca="1" si="12481">EA671+$W$2</f>
        <v>#REF!</v>
      </c>
      <c r="EC671" s="692" t="str">
        <f ca="1">IFERROR(VLOOKUP(INDEX(DY671:DY682,EB671),ELM,2,FALSE),"----")</f>
        <v>----</v>
      </c>
      <c r="ED671" s="691" t="e">
        <f ca="1">IF(LEFT($J671,7)="Clad Wo",MATCH($AC677,SPEIW,-1),MATCH($AC677,SPEI,-1))</f>
        <v>#N/A</v>
      </c>
      <c r="EE671" s="4" t="e">
        <f ca="1">IF(LEFT($J671,7)="Clad Wo",IF(AND(INDEX(SPPWS,ED671,4)&gt;=$AB677,INDEX(SPPWS,ED671,5)&gt;=$S671,INDEX(SPPWS,ED671,6)&gt;=$R671),1,0),IF(AND(INDEX(SPM,ED671,4)&gt;=$AB677,INDEX(SPM,ED671,5)&gt;=$S671,INDEX(SPM,ED671,6)&gt;=$R671),1,0))</f>
        <v>#N/A</v>
      </c>
      <c r="EF671" s="4" t="e">
        <f t="shared" ref="EF671" ca="1" si="12482">MATCH(1,OFFSET(EE671:EE682,$W$2,0,COUNT(EE671:EE682)-$W$2),0)</f>
        <v>#REF!</v>
      </c>
      <c r="EG671" s="4" t="e">
        <f t="shared" ref="EG671" ca="1" si="12483">$W$2+EF671</f>
        <v>#REF!</v>
      </c>
      <c r="EH671" s="692" t="str">
        <f ca="1">IF(LEFT($J671,7)="Clad Wo",IFERROR(VLOOKUP(INDEX(ED671:ED682,EG671),SPPWS,2,FALSE),"----"),IFERROR(VLOOKUP(INDEX(ED671:ED682,EG671),SPM,2,FALSE),"----"))</f>
        <v>----</v>
      </c>
    </row>
    <row r="672" spans="1:138" ht="15" customHeight="1" x14ac:dyDescent="0.25">
      <c r="A672" s="1085"/>
      <c r="B672" s="925"/>
      <c r="C672" s="926"/>
      <c r="D672" s="927"/>
      <c r="E672" s="995"/>
      <c r="F672" s="996"/>
      <c r="G672" s="997"/>
      <c r="H672" s="1062"/>
      <c r="I672" s="990"/>
      <c r="J672" s="908"/>
      <c r="K672" s="909"/>
      <c r="L672" s="1002"/>
      <c r="M672" s="923"/>
      <c r="N672" s="1042"/>
      <c r="O672" s="1018"/>
      <c r="P672" s="987"/>
      <c r="Q672" s="1015"/>
      <c r="R672" s="1012"/>
      <c r="S672" s="1006"/>
      <c r="T672" s="1007"/>
      <c r="U672" s="878"/>
      <c r="V672" s="881"/>
      <c r="W672" s="884"/>
      <c r="X672" s="884"/>
      <c r="Y672" s="887"/>
      <c r="Z672" s="887"/>
      <c r="AA672" s="887"/>
      <c r="AB672" s="1081"/>
      <c r="AC672" s="1078"/>
      <c r="AD672" s="1102" t="s">
        <v>38</v>
      </c>
      <c r="AE672" s="1103"/>
      <c r="AF672" s="1052"/>
      <c r="AG672" s="1053"/>
      <c r="AH672" s="1053"/>
      <c r="AI672" s="1066"/>
      <c r="AJ672" s="1067"/>
      <c r="AK672" s="156" t="str">
        <f t="shared" ca="1" si="11298"/>
        <v/>
      </c>
      <c r="AL672" s="1039"/>
      <c r="AM672" s="343" t="str">
        <f ca="1">IFERROR(Q671/12*ROUND(VLOOKUP(AF672,OFFSET(SSM,0,1),6,FALSE),2),"")</f>
        <v/>
      </c>
      <c r="AN672" t="str">
        <f t="shared" ca="1" si="11348"/>
        <v/>
      </c>
      <c r="AP672" s="122" t="str">
        <f t="shared" ref="AP672" si="12484">_xlfn.CONCAT(AR672,AS676)</f>
        <v/>
      </c>
      <c r="AQ672" s="683" t="str">
        <f t="shared" si="11512"/>
        <v/>
      </c>
      <c r="AR672" s="96" t="str">
        <f t="shared" si="11273"/>
        <v/>
      </c>
      <c r="AS672" s="96" t="str">
        <f>IF(COUNTIF(Vista_1,AF671)=1,"Vista_1",IF(COUNTIF(Vista_2,AF671)=1,"Vista_2",""))</f>
        <v/>
      </c>
      <c r="AT672" s="684" t="str">
        <f>AL671</f>
        <v/>
      </c>
      <c r="AU672" s="694" t="e">
        <f t="shared" ref="AU672" ca="1" si="12485">AU671-1</f>
        <v>#REF!</v>
      </c>
      <c r="AV672" s="686" t="str">
        <f ca="1">IFERROR(VLOOKUP(AU672,INDIRECT(AQ671),2,FALSE),"----")</f>
        <v>----</v>
      </c>
      <c r="AW672" s="694" t="e">
        <f t="shared" ref="AW672:AW673" ca="1" si="12486">AW671-1</f>
        <v>#REF!</v>
      </c>
      <c r="AX672" s="686" t="str">
        <f ca="1">IFERROR(VLOOKUP(AW672,INDIRECT(AQ672),2,FALSE),"----")</f>
        <v>----</v>
      </c>
      <c r="AY672" s="694" t="e">
        <f t="shared" ref="AY672:AY673" ca="1" si="12487">AY671-1</f>
        <v>#REF!</v>
      </c>
      <c r="AZ672" s="686" t="str">
        <f ca="1">IFERROR(VLOOKUP(AY672,INDIRECT(AQ673),2,FALSE),"----")</f>
        <v>----</v>
      </c>
      <c r="BA672" s="694" t="e">
        <f t="shared" ref="BA672:BA673" ca="1" si="12488">BA671-1</f>
        <v>#REF!</v>
      </c>
      <c r="BB672" s="686" t="str">
        <f ca="1">IFERROR(VLOOKUP(BA672,INDIRECT(AQ674),2,FALSE),"----")</f>
        <v>----</v>
      </c>
      <c r="BC672" s="694" t="e">
        <f t="shared" ref="BC672:BC673" ca="1" si="12489">BC671-1</f>
        <v>#REF!</v>
      </c>
      <c r="BD672" s="686" t="str">
        <f ca="1">IFERROR(VLOOKUP(BC672,INDIRECT(AQ675),2,FALSE),"----")</f>
        <v>----</v>
      </c>
      <c r="BE672" s="694" t="e">
        <f t="shared" ref="BE672" ca="1" si="12490">BE671-1</f>
        <v>#REF!</v>
      </c>
      <c r="BF672" s="686" t="str">
        <f ca="1">IFERROR(VLOOKUP(BE672,INDIRECT(AQ676),2,FALSE),"----")</f>
        <v>----</v>
      </c>
      <c r="BG672" s="694" t="e">
        <f t="shared" ref="BG672" ca="1" si="12491">BG671-1</f>
        <v>#REF!</v>
      </c>
      <c r="BH672" s="686" t="str">
        <f ca="1">IFERROR(VLOOKUP(BG672,INDIRECT(AQ677),2,FALSE),"----")</f>
        <v>----</v>
      </c>
      <c r="BI672" s="694" t="e">
        <f t="shared" ref="BI672:BI673" ca="1" si="12492">BI671-1</f>
        <v>#REF!</v>
      </c>
      <c r="BJ672" s="686" t="str">
        <f ca="1">IFERROR(VLOOKUP(BI672,INDIRECT(AQ678),2,FALSE),"----")</f>
        <v>----</v>
      </c>
      <c r="BK672" s="694" t="e">
        <f t="shared" ref="BK672:BK673" ca="1" si="12493">BK671-1</f>
        <v>#REF!</v>
      </c>
      <c r="BL672" s="686" t="str">
        <f ca="1">IFERROR(VLOOKUP(BK672,INDIRECT(AQ679),2,FALSE),"----")</f>
        <v>----</v>
      </c>
      <c r="BM672" s="694" t="e">
        <f t="shared" ref="BM672:BM673" ca="1" si="12494">BM671-1</f>
        <v>#REF!</v>
      </c>
      <c r="BN672" s="686" t="str">
        <f ca="1">IFERROR(VLOOKUP(BM672,INDIRECT(AQ680),2,FALSE),"----")</f>
        <v>----</v>
      </c>
      <c r="BO672" s="694" t="e">
        <f t="shared" ref="BO672:BO673" ca="1" si="12495">BO671-1</f>
        <v>#REF!</v>
      </c>
      <c r="BP672" s="686" t="str">
        <f ca="1">IFERROR(VLOOKUP(BO672,INDIRECT(AQ681),2,FALSE),"----")</f>
        <v>----</v>
      </c>
      <c r="BQ672" s="694" t="e">
        <f t="shared" ref="BQ672" ca="1" si="12496">BQ671-1</f>
        <v>#REF!</v>
      </c>
      <c r="BR672" s="686" t="str">
        <f ca="1">IFERROR(VLOOKUP(BQ672,INDIRECT(AQ682),2,FALSE),"----")</f>
        <v>----</v>
      </c>
      <c r="BS672" s="695">
        <f>IF(AI672="",1,IF(COUNTIF(AX671:AX682,AI672)=0,2,1))</f>
        <v>1</v>
      </c>
      <c r="BT672" s="696">
        <f>IF(AF672="",1,IF(AX671=".",2,1))</f>
        <v>1</v>
      </c>
      <c r="BU672" s="706"/>
      <c r="BV672" s="155">
        <f ca="1">IF(COUNTIF(CJ671:CJ682,AF672)=0,IF(AF672&lt;&gt;"",0,1),1)</f>
        <v>1</v>
      </c>
      <c r="BW672" s="157">
        <f ca="1">IFERROR(MATCH(AF672,CJ671:CJ682,0),1)</f>
        <v>1</v>
      </c>
      <c r="BX672" s="769"/>
      <c r="BY672" s="769"/>
      <c r="BZ672" s="1110"/>
      <c r="CA672" s="691" t="e">
        <f t="shared" ref="CA672:CA682" ca="1" si="12497">CA671-1</f>
        <v>#REF!</v>
      </c>
      <c r="CB672" s="4" t="e" cm="1">
        <f t="array" aca="1" ref="CB672" ca="1">IF(AND(INDEX(INDIRECT(BY671),CA672,4)&gt;=$AB671,INDEX(INDIRECT(BY671),CA672,5)&gt;=$S671,INDEX(INDIRECT(BY671),CA672,6)&gt;=$R671),1,0)</f>
        <v>#REF!</v>
      </c>
      <c r="CC672" s="4" t="e">
        <f t="shared" ref="CC672" ca="1" si="12498">MATCH(1,OFFSET(CB671:CB682,CD671,0,COUNT(CB671:CB682)-CD671),0)</f>
        <v>#REF!</v>
      </c>
      <c r="CD672" s="4" t="e">
        <f t="shared" ref="CD672:CD682" ca="1" si="12499">CD671+CC672</f>
        <v>#REF!</v>
      </c>
      <c r="CE672" s="692" t="str" cm="1">
        <f t="array" aca="1" ref="CE672" ca="1">IFERROR(VLOOKUP(INDEX(CA671:CA682,CD672),INDIRECT(BY671),2,FALSE),"----")</f>
        <v>----</v>
      </c>
      <c r="CF672" s="691" t="e">
        <f t="shared" ref="CF672:CF682" ca="1" si="12500">CF671-1</f>
        <v>#N/A</v>
      </c>
      <c r="CG672" s="4" t="e">
        <f ca="1">IF(AND(INDEX(SSM,CF672,4)&gt;=$AB671,INDEX(SSM,CF672,5)&gt;=$S671,INDEX(SSM,CF672,6)&gt;=$R671),1,0)</f>
        <v>#N/A</v>
      </c>
      <c r="CH672" s="4" t="e">
        <f t="shared" ref="CH672" ca="1" si="12501">MATCH(1,OFFSET(CG671:CG682,CI671,0,COUNT(CG671:CG682)-CI671),0)</f>
        <v>#REF!</v>
      </c>
      <c r="CI672" s="4" t="e">
        <f t="shared" ref="CI672:CI682" ca="1" si="12502">CI671+CH672</f>
        <v>#REF!</v>
      </c>
      <c r="CJ672" s="692" t="str">
        <f ca="1">IFERROR(IF(AD672="Nested Steel Stud (wood infill)",VLOOKUP(INDEX(CF671:CF682,CI672),SSW,2,FALSE),VLOOKUP(INDEX(CF671:CF682,CI672),SSM,2,FALSE)),"----")</f>
        <v>----</v>
      </c>
      <c r="CK672" s="691" t="e">
        <f t="shared" ref="CK672:CK682" ca="1" si="12503">CK671-1</f>
        <v>#N/A</v>
      </c>
      <c r="CL672" s="4" t="e">
        <f ca="1">IF(AND(INDEX(WSM,CK672,4)&gt;=$AB671,INDEX(WSM,CK672,5)&gt;=$S671,INDEX(WSM,CK672,6)&gt;=$R671),1,0)</f>
        <v>#N/A</v>
      </c>
      <c r="CM672" s="4" t="e">
        <f t="shared" ref="CM672" ca="1" si="12504">MATCH(1,OFFSET(CL671:CL682,CN671,0,COUNT(CL671:CL682)-CN671),0)</f>
        <v>#REF!</v>
      </c>
      <c r="CN672" s="4" t="e">
        <f t="shared" ref="CN672:CN682" ca="1" si="12505">CM672+CN671</f>
        <v>#REF!</v>
      </c>
      <c r="CO672" s="692" t="str">
        <f ca="1">IFERROR(VLOOKUP(INDEX(CK671:CK682,CN672),WSM,2,FALSE),"----")</f>
        <v>----</v>
      </c>
      <c r="CP672" s="691" t="e">
        <f t="shared" ref="CP672:CP682" ca="1" si="12506">CP671-1</f>
        <v>#N/A</v>
      </c>
      <c r="CQ672" s="4" t="e">
        <f ca="1">IF(AND(INDEX(STM,CP672,4)&gt;=$AB671,INDEX(STM,CP672,5)&gt;=$S671,INDEX(STM,CP672,6)&gt;=$R671),1,0)</f>
        <v>#N/A</v>
      </c>
      <c r="CR672" s="4" t="e">
        <f t="shared" ref="CR672" ca="1" si="12507">MATCH(1,OFFSET(CQ671:CQ682,CS671,0,COUNT(CQ671:CQ682)-CS671),0)</f>
        <v>#REF!</v>
      </c>
      <c r="CS672" s="4" t="e">
        <f t="shared" ref="CS672:CS682" ca="1" si="12508">CR672+CS671</f>
        <v>#REF!</v>
      </c>
      <c r="CT672" s="692" t="str">
        <f ca="1">IFERROR(VLOOKUP(INDEX(CP671:CP682,CS672),STM,2,FALSE),"----")</f>
        <v>----</v>
      </c>
      <c r="CU672" s="691" t="e">
        <f t="shared" ref="CU672:CU682" ca="1" si="12509">CU671-1</f>
        <v>#N/A</v>
      </c>
      <c r="CV672" s="4" t="e">
        <f ca="1">IF(AND(INDEX(ELM,CU672,4)&gt;=$AB671,INDEX(ELM,CU672,5)&gt;=$S671,INDEX(ELM,CU672,6)&gt;=$R671),1,0)</f>
        <v>#N/A</v>
      </c>
      <c r="CW672" s="4" t="e">
        <f t="shared" ref="CW672" ca="1" si="12510">MATCH(1,OFFSET(CV671:CV682,CX671,0,COUNT(CV671:CV682)-CX671),0)</f>
        <v>#REF!</v>
      </c>
      <c r="CX672" s="4" t="e">
        <f t="shared" ref="CX672:CX682" ca="1" si="12511">CW672+CX671</f>
        <v>#REF!</v>
      </c>
      <c r="CY672" s="692" t="str">
        <f ca="1">IFERROR(VLOOKUP(INDEX(CU671:CU682,CX672),ELM,2,FALSE),"----")</f>
        <v>----</v>
      </c>
      <c r="CZ672" s="691" t="e">
        <f t="shared" ref="CZ672:CZ682" ca="1" si="12512">CZ671-1</f>
        <v>#N/A</v>
      </c>
      <c r="DA672" s="4" t="e">
        <f ca="1">IF(LEFT($J671,7)="Clad Wo",IF(AND(INDEX(SPPWS,CZ672,4)&gt;=$AB671,INDEX(SPPWS,CZ672,5)&gt;=$S671,INDEX(SPPWS,CZ672,6)&gt;=$R671),1,0),IF(AND(INDEX(SPM,CZ672,4)&gt;=$AB671,INDEX(SPM,CZ672,5)&gt;=$S671,INDEX(SPM,CZ672,6)&gt;=$R671),1,0))</f>
        <v>#N/A</v>
      </c>
      <c r="DB672" s="4" t="e">
        <f t="shared" ref="DB672" ca="1" si="12513">MATCH(1,OFFSET(DA671:DA682,DC671,0,COUNT(DA671:DA682)-DC671),0)</f>
        <v>#REF!</v>
      </c>
      <c r="DC672" s="4" t="e">
        <f t="shared" ref="DC672:DC682" ca="1" si="12514">DC671+DB672</f>
        <v>#REF!</v>
      </c>
      <c r="DD672" s="693" t="str">
        <f ca="1">IF(LEFT($J671,7)="Clad Wo",IFERROR(VLOOKUP(INDEX(CZ671:CZ682,DC672),SPPWS,2,FALSE),"----"),IFERROR(VLOOKUP(INDEX(CZ671:CZ682,DC672),SPM,2,FALSE),"----"))</f>
        <v>----</v>
      </c>
      <c r="DE672" s="691" t="e">
        <f t="shared" ref="DE672:DE682" ca="1" si="12515">DE671-1</f>
        <v>#REF!</v>
      </c>
      <c r="DF672" s="4" t="e" cm="1">
        <f t="array" aca="1" ref="DF672" ca="1">IF(AND(INDEX(INDIRECT(BY671),DE672,4)&gt;=$AB677,INDEX(INDIRECT(BY671),DE672,5)&gt;=$S671,INDEX(INDIRECT(BY671),DE672,6)&gt;=$R671),1,0)</f>
        <v>#REF!</v>
      </c>
      <c r="DG672" s="4" t="e">
        <f t="shared" ref="DG672" ca="1" si="12516">MATCH(1,OFFSET(DF671:DF682,DH671,0,COUNT(DF671:DF682)-DH671),0)</f>
        <v>#REF!</v>
      </c>
      <c r="DH672" s="4" t="e">
        <f t="shared" ref="DH672:DH682" ca="1" si="12517">DH671+DG672</f>
        <v>#REF!</v>
      </c>
      <c r="DI672" s="692" t="str" cm="1">
        <f t="array" aca="1" ref="DI672" ca="1">IFERROR(VLOOKUP(INDEX(DE671:DE682,DH672),INDIRECT(BY671),2,FALSE),"----")</f>
        <v>----</v>
      </c>
      <c r="DJ672" s="691" t="e">
        <f t="shared" ref="DJ672:DJ682" ca="1" si="12518">DJ671-1</f>
        <v>#N/A</v>
      </c>
      <c r="DK672" s="4" t="e">
        <f ca="1">IF(AND(INDEX(SSM,DJ672,4)&gt;=$AB677,INDEX(SSM,DJ672,5)&gt;=$S671,INDEX(SSM,DJ672,6)&gt;=$R671),1,0)</f>
        <v>#N/A</v>
      </c>
      <c r="DL672" s="4" t="e">
        <f t="shared" ref="DL672" ca="1" si="12519">MATCH(1,OFFSET(DK671:DK682,DM671,0,COUNT(DK671:DK682)-DM671),0)</f>
        <v>#REF!</v>
      </c>
      <c r="DM672" s="4" t="e">
        <f t="shared" ref="DM672:DM682" ca="1" si="12520">DL672+DM671</f>
        <v>#REF!</v>
      </c>
      <c r="DN672" s="692" t="str">
        <f ca="1">IFERROR(IF(AD678="Nested Steel Stud (wood infill)",VLOOKUP(INDEX(DJ671:DJ682,DM672),SSW,2,FALSE),VLOOKUP(INDEX(DJ671:DJ682,DM672),SSM,2,FALSE)),"----")</f>
        <v>----</v>
      </c>
      <c r="DO672" s="691" t="e">
        <f t="shared" ref="DO672:DO682" ca="1" si="12521">DO671-1</f>
        <v>#N/A</v>
      </c>
      <c r="DP672" s="4" t="e">
        <f ca="1">IF(AND(INDEX(WSM,DO672,4)&gt;=$AB677,INDEX(WSM,DO672,5)&gt;=$S671,INDEX(WSM,DO672,6)&gt;=$R671),1,0)</f>
        <v>#N/A</v>
      </c>
      <c r="DQ672" s="4" t="e">
        <f t="shared" ref="DQ672" ca="1" si="12522">MATCH(1,OFFSET(DP671:DP682,DR671,0,COUNT(DP671:DP682)-DR671),0)</f>
        <v>#REF!</v>
      </c>
      <c r="DR672" s="4" t="e">
        <f t="shared" ref="DR672:DR682" ca="1" si="12523">DQ672+DR671</f>
        <v>#REF!</v>
      </c>
      <c r="DS672" s="692" t="str">
        <f ca="1">IFERROR(VLOOKUP(INDEX(DO671:DO682,DR672),WSM,2,FALSE),"----")</f>
        <v>----</v>
      </c>
      <c r="DT672" s="691" t="e">
        <f t="shared" ref="DT672:DT682" ca="1" si="12524">DT671-1</f>
        <v>#N/A</v>
      </c>
      <c r="DU672" s="4" t="e">
        <f ca="1">IF(AND(INDEX(STM,DT672,4)&gt;=$AB677,INDEX(STM,DT672,5)&gt;=$S671,INDEX(STM,DT672,6)&gt;=$R671),1,0)</f>
        <v>#N/A</v>
      </c>
      <c r="DV672" s="4" t="e">
        <f t="shared" ref="DV672" ca="1" si="12525">MATCH(1,OFFSET(DU671:DU682,DW671,0,COUNT(DU671:DU682)-DW671),0)</f>
        <v>#REF!</v>
      </c>
      <c r="DW672" s="4" t="e">
        <f t="shared" ref="DW672:DW682" ca="1" si="12526">DV672+DW671</f>
        <v>#REF!</v>
      </c>
      <c r="DX672" s="692" t="str">
        <f ca="1">IFERROR(VLOOKUP(INDEX(DT671:DT682,DW672),STM,2,FALSE),"----")</f>
        <v>----</v>
      </c>
      <c r="DY672" s="691" t="e">
        <f t="shared" ref="DY672:DY682" ca="1" si="12527">DY671-1</f>
        <v>#N/A</v>
      </c>
      <c r="DZ672" s="4" t="e">
        <f ca="1">IF(AND(INDEX(ELM,DY672,4)&gt;=$AB677,INDEX(ELM,DY672,5)&gt;=$S671,INDEX(ELM,DY672,6)&gt;=$R671),1,0)</f>
        <v>#N/A</v>
      </c>
      <c r="EA672" s="4" t="e">
        <f t="shared" ref="EA672" ca="1" si="12528">MATCH(1,OFFSET(DZ671:DZ682,EB671,0,COUNT(DZ671:DZ682)-EB671),0)</f>
        <v>#REF!</v>
      </c>
      <c r="EB672" s="4" t="e">
        <f t="shared" ref="EB672:EB682" ca="1" si="12529">EA672+EB671</f>
        <v>#REF!</v>
      </c>
      <c r="EC672" s="692" t="str">
        <f ca="1">IFERROR(VLOOKUP(INDEX(DY671:DY682,EB672),ELM,2,FALSE),"----")</f>
        <v>----</v>
      </c>
      <c r="ED672" s="691" t="e">
        <f t="shared" ref="ED672:ED682" ca="1" si="12530">ED671-1</f>
        <v>#N/A</v>
      </c>
      <c r="EE672" s="4" t="e">
        <f ca="1">IF(LEFT($J671,7)="Clad Wo",IF(AND(INDEX(SPPWS,ED672,4)&gt;=$AB677,INDEX(SPPWS,ED672,5)&gt;=$S671,INDEX(SPPWS,ED672,6)&gt;=$R671),1,0),IF(AND(INDEX(SPM,ED672,4)&gt;=$AB677,INDEX(SPM,ED672,5)&gt;=$S671,INDEX(SPM,ED672,6)&gt;=$R671),1,0))</f>
        <v>#N/A</v>
      </c>
      <c r="EF672" s="4" t="e">
        <f t="shared" ref="EF672" ca="1" si="12531">MATCH(1,OFFSET(EE671:EE682,EG671,0,COUNT(EE671:EE682)-EG671),0)</f>
        <v>#REF!</v>
      </c>
      <c r="EG672" s="4" t="e">
        <f t="shared" ref="EG672:EG682" ca="1" si="12532">EG671+EF672</f>
        <v>#REF!</v>
      </c>
      <c r="EH672" s="692" t="str">
        <f ca="1">IF(LEFT($J671,7)="Clad Wo",IFERROR(VLOOKUP(INDEX(ED671:ED682,EG672),SPPWS,2,FALSE),"----"),IFERROR(VLOOKUP(INDEX(ED671:ED682,EG672),SPM,2,FALSE),"----"))</f>
        <v>----</v>
      </c>
    </row>
    <row r="673" spans="1:138" ht="15" customHeight="1" x14ac:dyDescent="0.25">
      <c r="A673" s="1085"/>
      <c r="B673" s="925"/>
      <c r="C673" s="926"/>
      <c r="D673" s="927"/>
      <c r="E673" s="995"/>
      <c r="F673" s="996"/>
      <c r="G673" s="997"/>
      <c r="H673" s="1062"/>
      <c r="I673" s="990"/>
      <c r="J673" s="908"/>
      <c r="K673" s="909"/>
      <c r="L673" s="1002"/>
      <c r="M673" s="923"/>
      <c r="N673" s="1042"/>
      <c r="O673" s="1018"/>
      <c r="P673" s="987"/>
      <c r="Q673" s="1015"/>
      <c r="R673" s="1012"/>
      <c r="S673" s="1006"/>
      <c r="T673" s="1007"/>
      <c r="U673" s="878"/>
      <c r="V673" s="881"/>
      <c r="W673" s="884"/>
      <c r="X673" s="884"/>
      <c r="Y673" s="887"/>
      <c r="Z673" s="887"/>
      <c r="AA673" s="887"/>
      <c r="AB673" s="1081"/>
      <c r="AC673" s="1078"/>
      <c r="AD673" s="1070" t="s">
        <v>333</v>
      </c>
      <c r="AE673" s="1071"/>
      <c r="AF673" s="1052"/>
      <c r="AG673" s="1053"/>
      <c r="AH673" s="1053"/>
      <c r="AI673" s="1066"/>
      <c r="AJ673" s="1067"/>
      <c r="AK673" s="154" t="str">
        <f t="shared" ca="1" si="11298"/>
        <v/>
      </c>
      <c r="AL673" s="1039"/>
      <c r="AM673" s="344" t="str">
        <f ca="1">IFERROR(Q671/12*ROUND(VLOOKUP(AF673,OFFSET(WSM,0,1),6,FALSE),2),"")</f>
        <v/>
      </c>
      <c r="AN673" t="str">
        <f t="shared" ca="1" si="11348"/>
        <v/>
      </c>
      <c r="AP673" s="122" t="str">
        <f t="shared" ref="AP673" si="12533">_xlfn.CONCAT(AR673,AS676)</f>
        <v/>
      </c>
      <c r="AQ673" s="683" t="str">
        <f t="shared" si="11512"/>
        <v/>
      </c>
      <c r="AR673" s="4" t="str">
        <f t="shared" si="11273"/>
        <v/>
      </c>
      <c r="AS673" s="4"/>
      <c r="AT673" s="697" t="str">
        <f>AL671</f>
        <v/>
      </c>
      <c r="AU673" s="694" t="e">
        <f t="shared" ca="1" si="11538"/>
        <v>#REF!</v>
      </c>
      <c r="AV673" s="686" t="str">
        <f ca="1">IFERROR(VLOOKUP(AU673,INDIRECT(AQ671),2,FALSE),"----")</f>
        <v>----</v>
      </c>
      <c r="AW673" s="694" t="e">
        <f t="shared" ca="1" si="12486"/>
        <v>#REF!</v>
      </c>
      <c r="AX673" s="686" t="str">
        <f ca="1">IFERROR(VLOOKUP(AW673,INDIRECT(AQ672),2,FALSE),"----")</f>
        <v>----</v>
      </c>
      <c r="AY673" s="694" t="e">
        <f t="shared" ca="1" si="12487"/>
        <v>#REF!</v>
      </c>
      <c r="AZ673" s="686" t="str">
        <f ca="1">IFERROR(VLOOKUP(AY673,INDIRECT(AQ673),2,FALSE),"----")</f>
        <v>----</v>
      </c>
      <c r="BA673" s="694" t="e">
        <f t="shared" ca="1" si="12488"/>
        <v>#REF!</v>
      </c>
      <c r="BB673" s="686" t="str">
        <f ca="1">IFERROR(VLOOKUP(BA673,INDIRECT(AQ674),2,FALSE),"----")</f>
        <v>----</v>
      </c>
      <c r="BC673" s="694" t="e">
        <f t="shared" ca="1" si="12489"/>
        <v>#REF!</v>
      </c>
      <c r="BD673" s="686" t="str">
        <f ca="1">IFERROR(VLOOKUP(BC673,INDIRECT(AQ675),2,FALSE),"----")</f>
        <v>----</v>
      </c>
      <c r="BE673" s="694" t="e">
        <f t="shared" ca="1" si="11543"/>
        <v>#REF!</v>
      </c>
      <c r="BF673" s="686" t="str">
        <f ca="1">IFERROR(VLOOKUP(BE673,INDIRECT(AQ676),2,FALSE),"----")</f>
        <v>----</v>
      </c>
      <c r="BG673" s="694" t="e">
        <f t="shared" ca="1" si="11544"/>
        <v>#REF!</v>
      </c>
      <c r="BH673" s="686" t="str">
        <f ca="1">IFERROR(VLOOKUP(BG673,INDIRECT(AQ677),2,FALSE),"----")</f>
        <v>----</v>
      </c>
      <c r="BI673" s="694" t="e">
        <f t="shared" ca="1" si="12492"/>
        <v>#REF!</v>
      </c>
      <c r="BJ673" s="686" t="str">
        <f ca="1">IFERROR(VLOOKUP(BI673,INDIRECT(AQ678),2,FALSE),"----")</f>
        <v>----</v>
      </c>
      <c r="BK673" s="694" t="e">
        <f t="shared" ca="1" si="12493"/>
        <v>#REF!</v>
      </c>
      <c r="BL673" s="686" t="str">
        <f ca="1">IFERROR(VLOOKUP(BK673,INDIRECT(AQ679),2,FALSE),"----")</f>
        <v>----</v>
      </c>
      <c r="BM673" s="694" t="e">
        <f t="shared" ca="1" si="12494"/>
        <v>#REF!</v>
      </c>
      <c r="BN673" s="686" t="str">
        <f ca="1">IFERROR(VLOOKUP(BM673,INDIRECT(AQ680),2,FALSE),"----")</f>
        <v>----</v>
      </c>
      <c r="BO673" s="694" t="e">
        <f t="shared" ca="1" si="12495"/>
        <v>#REF!</v>
      </c>
      <c r="BP673" s="686" t="str">
        <f ca="1">IFERROR(VLOOKUP(BO673,INDIRECT(AQ681),2,FALSE),"----")</f>
        <v>----</v>
      </c>
      <c r="BQ673" s="694" t="e">
        <f t="shared" ca="1" si="11549"/>
        <v>#REF!</v>
      </c>
      <c r="BR673" s="686" t="str">
        <f ca="1">IFERROR(VLOOKUP(BQ673,INDIRECT(AQ682),2,FALSE),"----")</f>
        <v>----</v>
      </c>
      <c r="BS673" s="695">
        <f>IF(AI673="",1,IF(COUNTIF(AZ671:AZ682,AI673)=0,2,1))</f>
        <v>1</v>
      </c>
      <c r="BT673" s="696">
        <f>IF(AF673="",1,IF(AZ671=".",2,1))</f>
        <v>1</v>
      </c>
      <c r="BU673" s="706"/>
      <c r="BV673" s="155">
        <f ca="1">IF(COUNTIF(CO671:CO682,AF673)=0,IF(AF673&lt;&gt;"",0,1),1)</f>
        <v>1</v>
      </c>
      <c r="BW673" s="157">
        <f ca="1">IFERROR(MATCH(AF673,CO671:CO682,0),1)</f>
        <v>1</v>
      </c>
      <c r="BX673" s="769"/>
      <c r="BY673" s="769"/>
      <c r="BZ673" s="1110"/>
      <c r="CA673" s="691" t="e">
        <f t="shared" ca="1" si="12497"/>
        <v>#REF!</v>
      </c>
      <c r="CB673" s="4" t="e" cm="1">
        <f t="array" aca="1" ref="CB673" ca="1">IF(AND(INDEX(INDIRECT(BY671),CA673,4)&gt;=$AB671,INDEX(INDIRECT(BY671),CA673,5)&gt;=$S671,INDEX(INDIRECT(BY671),CA673,6)&gt;=$R671),1,0)</f>
        <v>#REF!</v>
      </c>
      <c r="CC673" s="4" t="e">
        <f t="shared" ref="CC673" ca="1" si="12534">MATCH(1,OFFSET(CB671:CB682,CD672,0,COUNT(CB671:CB682)-CD672),0)</f>
        <v>#REF!</v>
      </c>
      <c r="CD673" s="4" t="e">
        <f t="shared" ca="1" si="12499"/>
        <v>#REF!</v>
      </c>
      <c r="CE673" s="692" t="str" cm="1">
        <f t="array" aca="1" ref="CE673" ca="1">IFERROR(VLOOKUP(INDEX(CA671:CA682,CD673),INDIRECT(BY671),2,FALSE),"----")</f>
        <v>----</v>
      </c>
      <c r="CF673" s="691" t="e">
        <f t="shared" ca="1" si="12500"/>
        <v>#N/A</v>
      </c>
      <c r="CG673" s="4" t="e">
        <f ca="1">IF(AND(INDEX(SSM,CF673,4)&gt;=$AB671,INDEX(SSM,CF673,5)&gt;=$S671,INDEX(SSM,CF673,6)&gt;=$R671),1,0)</f>
        <v>#N/A</v>
      </c>
      <c r="CH673" s="4" t="e">
        <f t="shared" ref="CH673" ca="1" si="12535">MATCH(1,OFFSET(CG671:CG682,CI672,0,COUNT(CG671:CG682)-CI672),0)</f>
        <v>#REF!</v>
      </c>
      <c r="CI673" s="4" t="e">
        <f t="shared" ca="1" si="12502"/>
        <v>#REF!</v>
      </c>
      <c r="CJ673" s="692" t="str">
        <f ca="1">IFERROR(IF(AD672="Nested Steel Stud (wood infill)",VLOOKUP(INDEX(CF671:CF682,CI673),SSW,2,FALSE),VLOOKUP(INDEX(CF671:CF682,CI673),SSM,2,FALSE)),"----")</f>
        <v>----</v>
      </c>
      <c r="CK673" s="691" t="e">
        <f t="shared" ca="1" si="12503"/>
        <v>#N/A</v>
      </c>
      <c r="CL673" s="4" t="e">
        <f ca="1">IF(AND(INDEX(WSM,CK673,4)&gt;=$AB671,INDEX(WSM,CK673,5)&gt;=$S671,INDEX(WSM,CK673,6)&gt;=$R671),1,0)</f>
        <v>#N/A</v>
      </c>
      <c r="CM673" s="4" t="e">
        <f t="shared" ref="CM673" ca="1" si="12536">MATCH(1,OFFSET(CL671:CL682,CN672,0,COUNT(CL671:CL682)-CN672),0)</f>
        <v>#REF!</v>
      </c>
      <c r="CN673" s="4" t="e">
        <f t="shared" ca="1" si="12505"/>
        <v>#REF!</v>
      </c>
      <c r="CO673" s="692" t="str">
        <f ca="1">IFERROR(VLOOKUP(INDEX(CK671:CK682,CN673),WSM,2,FALSE),"----")</f>
        <v>----</v>
      </c>
      <c r="CP673" s="691" t="e">
        <f t="shared" ca="1" si="12506"/>
        <v>#N/A</v>
      </c>
      <c r="CQ673" s="4" t="e">
        <f ca="1">IF(AND(INDEX(STM,CP673,4)&gt;=$AB671,INDEX(STM,CP673,5)&gt;=$S671,INDEX(STM,CP673,6)&gt;=$R671),1,0)</f>
        <v>#N/A</v>
      </c>
      <c r="CR673" s="4" t="e">
        <f t="shared" ref="CR673" ca="1" si="12537">MATCH(1,OFFSET(CQ671:CQ682,CS672,0,COUNT(CQ671:CQ682)-CS672),0)</f>
        <v>#REF!</v>
      </c>
      <c r="CS673" s="4" t="e">
        <f t="shared" ca="1" si="12508"/>
        <v>#REF!</v>
      </c>
      <c r="CT673" s="692" t="str">
        <f ca="1">IFERROR(VLOOKUP(INDEX(CP671:CP682,CS673),STM,2,FALSE),"----")</f>
        <v>----</v>
      </c>
      <c r="CU673" s="691" t="e">
        <f t="shared" ca="1" si="12509"/>
        <v>#N/A</v>
      </c>
      <c r="CV673" s="4" t="e">
        <f ca="1">IF(AND(INDEX(ELM,CU673,4)&gt;=$AB671,INDEX(ELM,CU673,5)&gt;=$S671,INDEX(ELM,CU673,6)&gt;=$R671),1,0)</f>
        <v>#N/A</v>
      </c>
      <c r="CW673" s="4" t="e">
        <f t="shared" ref="CW673" ca="1" si="12538">MATCH(1,OFFSET(CV671:CV682,CX672,0,COUNT(CV671:CV682)-CX672),0)</f>
        <v>#REF!</v>
      </c>
      <c r="CX673" s="4" t="e">
        <f t="shared" ca="1" si="12511"/>
        <v>#REF!</v>
      </c>
      <c r="CY673" s="692" t="str">
        <f ca="1">IFERROR(VLOOKUP(INDEX(CU671:CU682,CX673),ELM,2,FALSE),"----")</f>
        <v>----</v>
      </c>
      <c r="CZ673" s="691" t="e">
        <f t="shared" ca="1" si="12512"/>
        <v>#N/A</v>
      </c>
      <c r="DA673" s="4" t="e">
        <f ca="1">IF(LEFT($J671,7)="Clad Wo",IF(AND(INDEX(SPPWS,CZ673,4)&gt;=$AB671,INDEX(SPPWS,CZ673,5)&gt;=$S671,INDEX(SPPWS,CZ673,6)&gt;=$R671),1,0),IF(AND(INDEX(SPM,CZ673,4)&gt;=$AB671,INDEX(SPM,CZ673,5)&gt;=$S671,INDEX(SPM,CZ673,6)&gt;=$R671),1,0))</f>
        <v>#N/A</v>
      </c>
      <c r="DB673" s="4" t="e">
        <f t="shared" ref="DB673" ca="1" si="12539">MATCH(1,OFFSET(DA671:DA682,DC672,0,COUNT(DA671:DA682)-DC672),0)</f>
        <v>#REF!</v>
      </c>
      <c r="DC673" s="4" t="e">
        <f t="shared" ca="1" si="12514"/>
        <v>#REF!</v>
      </c>
      <c r="DD673" s="693" t="str">
        <f ca="1">IF(LEFT($J671,7)="Clad Wo",IFERROR(VLOOKUP(INDEX(CZ671:CZ682,DC673),SPPWS,2,FALSE),"----"),IFERROR(VLOOKUP(INDEX(CZ671:CZ682,DC673),SPM,2,FALSE),"----"))</f>
        <v>----</v>
      </c>
      <c r="DE673" s="691" t="e">
        <f t="shared" ca="1" si="12515"/>
        <v>#REF!</v>
      </c>
      <c r="DF673" s="4" t="e" cm="1">
        <f t="array" aca="1" ref="DF673" ca="1">IF(AND(INDEX(INDIRECT(BY671),DE673,4)&gt;=$AB677,INDEX(INDIRECT(BY671),DE673,5)&gt;=$S671,INDEX(INDIRECT(BY671),DE673,6)&gt;=$R671),1,0)</f>
        <v>#REF!</v>
      </c>
      <c r="DG673" s="4" t="e">
        <f t="shared" ref="DG673" ca="1" si="12540">MATCH(1,OFFSET(DF671:DF682,DH672,0,COUNT(DF671:DF682)-DH672),0)</f>
        <v>#REF!</v>
      </c>
      <c r="DH673" s="4" t="e">
        <f t="shared" ca="1" si="12517"/>
        <v>#REF!</v>
      </c>
      <c r="DI673" s="692" t="str" cm="1">
        <f t="array" aca="1" ref="DI673" ca="1">IFERROR(VLOOKUP(INDEX(DE671:DE682,DH673),INDIRECT(BY671),2,FALSE),"----")</f>
        <v>----</v>
      </c>
      <c r="DJ673" s="691" t="e">
        <f t="shared" ca="1" si="12518"/>
        <v>#N/A</v>
      </c>
      <c r="DK673" s="4" t="e">
        <f ca="1">IF(AND(INDEX(SSM,DJ673,4)&gt;=$AB677,INDEX(SSM,DJ673,5)&gt;=$S671,INDEX(SSM,DJ673,6)&gt;=$R671),1,0)</f>
        <v>#N/A</v>
      </c>
      <c r="DL673" s="4" t="e">
        <f t="shared" ref="DL673" ca="1" si="12541">MATCH(1,OFFSET(DK671:DK682,DM672,0,COUNT(DK671:DK682)-DM672),0)</f>
        <v>#REF!</v>
      </c>
      <c r="DM673" s="4" t="e">
        <f t="shared" ca="1" si="12520"/>
        <v>#REF!</v>
      </c>
      <c r="DN673" s="692" t="str">
        <f ca="1">IFERROR(IF(AD678="Nested Steel Stud (wood infill)",VLOOKUP(INDEX(DJ671:DJ682,DM673),SSW,2,FALSE),VLOOKUP(INDEX(DJ671:DJ682,DM673),SSM,2,FALSE)),"----")</f>
        <v>----</v>
      </c>
      <c r="DO673" s="691" t="e">
        <f t="shared" ca="1" si="12521"/>
        <v>#N/A</v>
      </c>
      <c r="DP673" s="4" t="e">
        <f ca="1">IF(AND(INDEX(WSM,DO673,4)&gt;=$AB677,INDEX(WSM,DO673,5)&gt;=$S671,INDEX(WSM,DO673,6)&gt;=$R671),1,0)</f>
        <v>#N/A</v>
      </c>
      <c r="DQ673" s="4" t="e">
        <f t="shared" ref="DQ673" ca="1" si="12542">MATCH(1,OFFSET(DP671:DP682,DR672,0,COUNT(DP671:DP682)-DR672),0)</f>
        <v>#REF!</v>
      </c>
      <c r="DR673" s="4" t="e">
        <f t="shared" ca="1" si="12523"/>
        <v>#REF!</v>
      </c>
      <c r="DS673" s="692" t="str">
        <f ca="1">IFERROR(VLOOKUP(INDEX(DO671:DO682,DR673),WSM,2,FALSE),"----")</f>
        <v>----</v>
      </c>
      <c r="DT673" s="691" t="e">
        <f t="shared" ca="1" si="12524"/>
        <v>#N/A</v>
      </c>
      <c r="DU673" s="4" t="e">
        <f ca="1">IF(AND(INDEX(STM,DT673,4)&gt;=$AB677,INDEX(STM,DT673,5)&gt;=$S671,INDEX(STM,DT673,6)&gt;=$R671),1,0)</f>
        <v>#N/A</v>
      </c>
      <c r="DV673" s="4" t="e">
        <f t="shared" ref="DV673" ca="1" si="12543">MATCH(1,OFFSET(DU671:DU682,DW672,0,COUNT(DU671:DU682)-DW672),0)</f>
        <v>#REF!</v>
      </c>
      <c r="DW673" s="4" t="e">
        <f t="shared" ca="1" si="12526"/>
        <v>#REF!</v>
      </c>
      <c r="DX673" s="692" t="str">
        <f ca="1">IFERROR(VLOOKUP(INDEX(DT671:DT682,DW673),STM,2,FALSE),"----")</f>
        <v>----</v>
      </c>
      <c r="DY673" s="691" t="e">
        <f t="shared" ca="1" si="12527"/>
        <v>#N/A</v>
      </c>
      <c r="DZ673" s="4" t="e">
        <f ca="1">IF(AND(INDEX(ELM,DY673,4)&gt;=$AB677,INDEX(ELM,DY673,5)&gt;=$S671,INDEX(ELM,DY673,6)&gt;=$R671),1,0)</f>
        <v>#N/A</v>
      </c>
      <c r="EA673" s="4" t="e">
        <f t="shared" ref="EA673" ca="1" si="12544">MATCH(1,OFFSET(DZ671:DZ682,EB672,0,COUNT(DZ671:DZ682)-EB672),0)</f>
        <v>#REF!</v>
      </c>
      <c r="EB673" s="4" t="e">
        <f t="shared" ca="1" si="12529"/>
        <v>#REF!</v>
      </c>
      <c r="EC673" s="692" t="str">
        <f ca="1">IFERROR(VLOOKUP(INDEX(DY671:DY682,EB673),ELM,2,FALSE),"----")</f>
        <v>----</v>
      </c>
      <c r="ED673" s="691" t="e">
        <f t="shared" ca="1" si="12530"/>
        <v>#N/A</v>
      </c>
      <c r="EE673" s="4" t="e">
        <f ca="1">IF(LEFT($J671,7)="Clad Wo",IF(AND(INDEX(SPPWS,ED673,4)&gt;=$AB677,INDEX(SPPWS,ED673,5)&gt;=$S671,INDEX(SPPWS,ED673,6)&gt;=$R671),1,0),IF(AND(INDEX(SPM,ED673,4)&gt;=$AB677,INDEX(SPM,ED673,5)&gt;=$S671,INDEX(SPM,ED673,6)&gt;=$R671),1,0))</f>
        <v>#N/A</v>
      </c>
      <c r="EF673" s="4" t="e">
        <f t="shared" ref="EF673" ca="1" si="12545">MATCH(1,OFFSET(EE671:EE682,EG672,0,COUNT(EE671:EE682)-EG672),0)</f>
        <v>#REF!</v>
      </c>
      <c r="EG673" s="4" t="e">
        <f t="shared" ca="1" si="12532"/>
        <v>#REF!</v>
      </c>
      <c r="EH673" s="692" t="str">
        <f ca="1">IF(LEFT($J671,7)="Clad Wo",IFERROR(VLOOKUP(INDEX(ED671:ED682,EG673),SPPWS,2,FALSE),"----"),IFERROR(VLOOKUP(INDEX(ED671:ED682,EG673),SPM,2,FALSE),"----"))</f>
        <v>----</v>
      </c>
    </row>
    <row r="674" spans="1:138" ht="15" customHeight="1" x14ac:dyDescent="0.25">
      <c r="A674" s="1085"/>
      <c r="B674" s="925"/>
      <c r="C674" s="926"/>
      <c r="D674" s="927"/>
      <c r="E674" s="995"/>
      <c r="F674" s="996"/>
      <c r="G674" s="997"/>
      <c r="H674" s="1062"/>
      <c r="I674" s="990"/>
      <c r="J674" s="908"/>
      <c r="K674" s="909"/>
      <c r="L674" s="1002"/>
      <c r="M674" s="923"/>
      <c r="N674" s="1042"/>
      <c r="O674" s="1018"/>
      <c r="P674" s="987"/>
      <c r="Q674" s="1015"/>
      <c r="R674" s="1012"/>
      <c r="S674" s="1006"/>
      <c r="T674" s="1007"/>
      <c r="U674" s="878"/>
      <c r="V674" s="881"/>
      <c r="W674" s="884"/>
      <c r="X674" s="884"/>
      <c r="Y674" s="887"/>
      <c r="Z674" s="887"/>
      <c r="AA674" s="887"/>
      <c r="AB674" s="1081"/>
      <c r="AC674" s="1078"/>
      <c r="AD674" s="1070" t="s">
        <v>37</v>
      </c>
      <c r="AE674" s="1071"/>
      <c r="AF674" s="1052"/>
      <c r="AG674" s="1053"/>
      <c r="AH674" s="1053"/>
      <c r="AI674" s="1066"/>
      <c r="AJ674" s="1067"/>
      <c r="AK674" s="156" t="str">
        <f t="shared" ca="1" si="11298"/>
        <v/>
      </c>
      <c r="AL674" s="1039"/>
      <c r="AM674" s="343" t="str">
        <f ca="1">IFERROR(Q671/12*ROUND(VLOOKUP(AF674,OFFSET(STM,0,1),6,FALSE),2),"")</f>
        <v/>
      </c>
      <c r="AN674" t="str">
        <f t="shared" ca="1" si="11348"/>
        <v/>
      </c>
      <c r="AP674" s="122" t="str">
        <f t="shared" ref="AP674" si="12546">_xlfn.CONCAT(AR674,AS676)</f>
        <v/>
      </c>
      <c r="AQ674" s="683" t="str">
        <f t="shared" si="11512"/>
        <v/>
      </c>
      <c r="AR674" s="4" t="str">
        <f t="shared" si="11273"/>
        <v/>
      </c>
      <c r="AS674" s="4"/>
      <c r="AT674" s="697" t="str">
        <f>AL671</f>
        <v/>
      </c>
      <c r="AU674" s="694" t="e">
        <f t="shared" ca="1" si="11538"/>
        <v>#REF!</v>
      </c>
      <c r="AV674" s="686" t="str">
        <f ca="1">IFERROR(VLOOKUP(AU674,INDIRECT(AQ671),2,FALSE),"----")</f>
        <v>----</v>
      </c>
      <c r="AW674" s="694" t="e">
        <f t="shared" ca="1" si="11539"/>
        <v>#REF!</v>
      </c>
      <c r="AX674" s="686" t="str">
        <f ca="1">IFERROR(VLOOKUP(AW674,INDIRECT(AQ672),2,FALSE),"----")</f>
        <v>----</v>
      </c>
      <c r="AY674" s="694" t="e">
        <f t="shared" ref="AY674" ca="1" si="12547">AY673-1</f>
        <v>#REF!</v>
      </c>
      <c r="AZ674" s="686" t="str">
        <f ca="1">IFERROR(VLOOKUP(AY674,INDIRECT(AQ673),2,FALSE),"----")</f>
        <v>----</v>
      </c>
      <c r="BA674" s="694" t="e">
        <f t="shared" ref="BA674" ca="1" si="12548">BA673-1</f>
        <v>#REF!</v>
      </c>
      <c r="BB674" s="686" t="str">
        <f ca="1">IFERROR(VLOOKUP(BA674,INDIRECT(AQ674),2,FALSE),"----")</f>
        <v>----</v>
      </c>
      <c r="BC674" s="694" t="e">
        <f t="shared" ca="1" si="11542"/>
        <v>#REF!</v>
      </c>
      <c r="BD674" s="686" t="str">
        <f ca="1">IFERROR(VLOOKUP(BC674,INDIRECT(AQ675),2,FALSE),"----")</f>
        <v>----</v>
      </c>
      <c r="BE674" s="694" t="e">
        <f t="shared" ca="1" si="11543"/>
        <v>#REF!</v>
      </c>
      <c r="BF674" s="686" t="str">
        <f ca="1">IFERROR(VLOOKUP(BE674,INDIRECT(AQ676),2,FALSE),"----")</f>
        <v>----</v>
      </c>
      <c r="BG674" s="694" t="e">
        <f t="shared" ca="1" si="11544"/>
        <v>#REF!</v>
      </c>
      <c r="BH674" s="686" t="str">
        <f ca="1">IFERROR(VLOOKUP(BG674,INDIRECT(AQ677),2,FALSE),"----")</f>
        <v>----</v>
      </c>
      <c r="BI674" s="694" t="e">
        <f t="shared" ca="1" si="11545"/>
        <v>#REF!</v>
      </c>
      <c r="BJ674" s="686" t="str">
        <f ca="1">IFERROR(VLOOKUP(BI674,INDIRECT(AQ678),2,FALSE),"----")</f>
        <v>----</v>
      </c>
      <c r="BK674" s="694" t="e">
        <f t="shared" ca="1" si="11546"/>
        <v>#REF!</v>
      </c>
      <c r="BL674" s="686" t="str">
        <f ca="1">IFERROR(VLOOKUP(BK674,INDIRECT(AQ679),2,FALSE),"----")</f>
        <v>----</v>
      </c>
      <c r="BM674" s="694" t="e">
        <f t="shared" ca="1" si="11547"/>
        <v>#REF!</v>
      </c>
      <c r="BN674" s="686" t="str">
        <f ca="1">IFERROR(VLOOKUP(BM674,INDIRECT(AQ680),2,FALSE),"----")</f>
        <v>----</v>
      </c>
      <c r="BO674" s="694" t="e">
        <f t="shared" ca="1" si="11548"/>
        <v>#REF!</v>
      </c>
      <c r="BP674" s="686" t="str">
        <f ca="1">IFERROR(VLOOKUP(BO674,INDIRECT(AQ681),2,FALSE),"----")</f>
        <v>----</v>
      </c>
      <c r="BQ674" s="694" t="e">
        <f t="shared" ca="1" si="11549"/>
        <v>#REF!</v>
      </c>
      <c r="BR674" s="686" t="str">
        <f ca="1">IFERROR(VLOOKUP(BQ674,INDIRECT(AQ682),2,FALSE),"----")</f>
        <v>----</v>
      </c>
      <c r="BS674" s="695">
        <f>IF(AI674="",1,IF(COUNTIF(BB671:BB682,AI674)=0,2,1))</f>
        <v>1</v>
      </c>
      <c r="BT674" s="696">
        <f>IF(AF674="",1,IF(BB671=".",2,1))</f>
        <v>1</v>
      </c>
      <c r="BU674" s="706"/>
      <c r="BV674" s="155">
        <f ca="1">IF(COUNTIF(CT671:CT682,AF674)=0,IF(AF674&lt;&gt;"",0,1),1)</f>
        <v>1</v>
      </c>
      <c r="BW674" s="157">
        <f ca="1">IFERROR(MATCH(AF674,CT671:CT682,0),1)</f>
        <v>1</v>
      </c>
      <c r="BX674" s="769"/>
      <c r="BY674" s="769"/>
      <c r="BZ674" s="1110"/>
      <c r="CA674" s="691" t="e">
        <f t="shared" ca="1" si="12497"/>
        <v>#REF!</v>
      </c>
      <c r="CB674" s="4" t="e" cm="1">
        <f t="array" aca="1" ref="CB674" ca="1">IF(AND(INDEX(INDIRECT(BY671),CA674,4)&gt;=$AB671,INDEX(INDIRECT(BY671),CA674,5)&gt;=$S671,INDEX(INDIRECT(BY671),CA674,6)&gt;=$R671),1,0)</f>
        <v>#REF!</v>
      </c>
      <c r="CC674" s="4" t="e">
        <f t="shared" ref="CC674" ca="1" si="12549">MATCH(1,OFFSET(CB671:CB682,CD673,0,COUNT(CB671:CB682)-CD673),0)</f>
        <v>#REF!</v>
      </c>
      <c r="CD674" s="4" t="e">
        <f t="shared" ca="1" si="12499"/>
        <v>#REF!</v>
      </c>
      <c r="CE674" s="692" t="str" cm="1">
        <f t="array" aca="1" ref="CE674" ca="1">IFERROR(VLOOKUP(INDEX(CA671:CA682,CD674),INDIRECT(BY671),2,FALSE),"----")</f>
        <v>----</v>
      </c>
      <c r="CF674" s="691" t="e">
        <f t="shared" ca="1" si="12500"/>
        <v>#N/A</v>
      </c>
      <c r="CG674" s="4" t="e">
        <f ca="1">IF(AND(INDEX(SSM,CF674,4)&gt;=$AB671,INDEX(SSM,CF674,5)&gt;=$S671,INDEX(SSM,CF674,6)&gt;=$R671),1,0)</f>
        <v>#N/A</v>
      </c>
      <c r="CH674" s="4" t="e">
        <f t="shared" ref="CH674" ca="1" si="12550">MATCH(1,OFFSET(CG671:CG682,CI673,0,COUNT(CG671:CG682)-CI673),0)</f>
        <v>#REF!</v>
      </c>
      <c r="CI674" s="4" t="e">
        <f t="shared" ca="1" si="12502"/>
        <v>#REF!</v>
      </c>
      <c r="CJ674" s="692" t="str">
        <f ca="1">IFERROR(IF(AD672="Nested Steel Stud (wood infill)",VLOOKUP(INDEX(CF671:CF682,CI674),SSW,2,FALSE),VLOOKUP(INDEX(CF671:CF682,CI674),SSM,2,FALSE)),"----")</f>
        <v>----</v>
      </c>
      <c r="CK674" s="691" t="e">
        <f t="shared" ca="1" si="12503"/>
        <v>#N/A</v>
      </c>
      <c r="CL674" s="4" t="e">
        <f ca="1">IF(AND(INDEX(WSM,CK674,4)&gt;=$AB671,INDEX(WSM,CK674,5)&gt;=$S671,INDEX(WSM,CK674,6)&gt;=$R671),1,0)</f>
        <v>#N/A</v>
      </c>
      <c r="CM674" s="4" t="e">
        <f t="shared" ref="CM674" ca="1" si="12551">MATCH(1,OFFSET(CL671:CL682,CN673,0,COUNT(CL671:CL682)-CN673),0)</f>
        <v>#REF!</v>
      </c>
      <c r="CN674" s="4" t="e">
        <f t="shared" ca="1" si="12505"/>
        <v>#REF!</v>
      </c>
      <c r="CO674" s="692" t="str">
        <f ca="1">IFERROR(VLOOKUP(INDEX(CK671:CK682,CN674),WSM,2,FALSE),"----")</f>
        <v>----</v>
      </c>
      <c r="CP674" s="691" t="e">
        <f t="shared" ca="1" si="12506"/>
        <v>#N/A</v>
      </c>
      <c r="CQ674" s="4" t="e">
        <f ca="1">IF(AND(INDEX(STM,CP674,4)&gt;=$AB671,INDEX(STM,CP674,5)&gt;=$S671,INDEX(STM,CP674,6)&gt;=$R671),1,0)</f>
        <v>#N/A</v>
      </c>
      <c r="CR674" s="4" t="e">
        <f t="shared" ref="CR674" ca="1" si="12552">MATCH(1,OFFSET(CQ671:CQ682,CS673,0,COUNT(CQ671:CQ682)-CS673),0)</f>
        <v>#REF!</v>
      </c>
      <c r="CS674" s="4" t="e">
        <f t="shared" ca="1" si="12508"/>
        <v>#REF!</v>
      </c>
      <c r="CT674" s="692" t="str">
        <f ca="1">IFERROR(VLOOKUP(INDEX(CP671:CP682,CS674),STM,2,FALSE),"----")</f>
        <v>----</v>
      </c>
      <c r="CU674" s="691" t="e">
        <f t="shared" ca="1" si="12509"/>
        <v>#N/A</v>
      </c>
      <c r="CV674" s="4" t="e">
        <f ca="1">IF(AND(INDEX(ELM,CU674,4)&gt;=$AB671,INDEX(ELM,CU674,5)&gt;=$S671,INDEX(ELM,CU674,6)&gt;=$R671),1,0)</f>
        <v>#N/A</v>
      </c>
      <c r="CW674" s="4" t="e">
        <f t="shared" ref="CW674" ca="1" si="12553">MATCH(1,OFFSET(CV671:CV682,CX673,0,COUNT(CV671:CV682)-CX673),0)</f>
        <v>#REF!</v>
      </c>
      <c r="CX674" s="4" t="e">
        <f t="shared" ca="1" si="12511"/>
        <v>#REF!</v>
      </c>
      <c r="CY674" s="692" t="str">
        <f ca="1">IFERROR(VLOOKUP(INDEX(CU671:CU682,CX674),ELM,2,FALSE),"----")</f>
        <v>----</v>
      </c>
      <c r="CZ674" s="691" t="e">
        <f t="shared" ca="1" si="12512"/>
        <v>#N/A</v>
      </c>
      <c r="DA674" s="4" t="e">
        <f ca="1">IF(LEFT($J671,7)="Clad Wo",IF(AND(INDEX(SPPWS,CZ674,4)&gt;=$AB671,INDEX(SPPWS,CZ674,5)&gt;=$S671,INDEX(SPPWS,CZ674,6)&gt;=$R671),1,0),IF(AND(INDEX(SPM,CZ674,4)&gt;=$AB671,INDEX(SPM,CZ674,5)&gt;=$S671,INDEX(SPM,CZ674,6)&gt;=$R671),1,0))</f>
        <v>#N/A</v>
      </c>
      <c r="DB674" s="4" t="e">
        <f t="shared" ref="DB674" ca="1" si="12554">MATCH(1,OFFSET(DA671:DA682,DC673,0,COUNT(DA671:DA682)-DC673),0)</f>
        <v>#REF!</v>
      </c>
      <c r="DC674" s="4" t="e">
        <f t="shared" ca="1" si="12514"/>
        <v>#REF!</v>
      </c>
      <c r="DD674" s="693" t="str">
        <f ca="1">IF(LEFT($J671,7)="Clad Wo",IFERROR(VLOOKUP(INDEX(CZ671:CZ682,DC674),SPPWS,2,FALSE),"----"),IFERROR(VLOOKUP(INDEX(CZ671:CZ682,DC674),SPM,2,FALSE),"----"))</f>
        <v>----</v>
      </c>
      <c r="DE674" s="691" t="e">
        <f t="shared" ca="1" si="12515"/>
        <v>#REF!</v>
      </c>
      <c r="DF674" s="4" t="e" cm="1">
        <f t="array" aca="1" ref="DF674" ca="1">IF(AND(INDEX(INDIRECT(BY671),DE674,4)&gt;=$AB677,INDEX(INDIRECT(BY671),DE674,5)&gt;=$S671,INDEX(INDIRECT(BY671),DE674,6)&gt;=$R671),1,0)</f>
        <v>#REF!</v>
      </c>
      <c r="DG674" s="4" t="e">
        <f t="shared" ref="DG674" ca="1" si="12555">MATCH(1,OFFSET(DF671:DF682,DH673,0,COUNT(DF671:DF682)-DH673),0)</f>
        <v>#REF!</v>
      </c>
      <c r="DH674" s="4" t="e">
        <f t="shared" ca="1" si="12517"/>
        <v>#REF!</v>
      </c>
      <c r="DI674" s="692" t="str" cm="1">
        <f t="array" aca="1" ref="DI674" ca="1">IFERROR(VLOOKUP(INDEX(DE671:DE682,DH674),INDIRECT(BY671),2,FALSE),"----")</f>
        <v>----</v>
      </c>
      <c r="DJ674" s="691" t="e">
        <f t="shared" ca="1" si="12518"/>
        <v>#N/A</v>
      </c>
      <c r="DK674" s="4" t="e">
        <f ca="1">IF(AND(INDEX(SSM,DJ674,4)&gt;=$AB677,INDEX(SSM,DJ674,5)&gt;=$S671,INDEX(SSM,DJ674,6)&gt;=$R671),1,0)</f>
        <v>#N/A</v>
      </c>
      <c r="DL674" s="4" t="e">
        <f t="shared" ref="DL674" ca="1" si="12556">MATCH(1,OFFSET(DK671:DK682,DM673,0,COUNT(DK671:DK682)-DM673),0)</f>
        <v>#REF!</v>
      </c>
      <c r="DM674" s="4" t="e">
        <f t="shared" ca="1" si="12520"/>
        <v>#REF!</v>
      </c>
      <c r="DN674" s="692" t="str">
        <f ca="1">IFERROR(IF(AD678="Nested Steel Stud (wood infill)",VLOOKUP(INDEX(DJ671:DJ682,DM674),SSW,2,FALSE),VLOOKUP(INDEX(DJ671:DJ682,DM674),SSM,2,FALSE)),"----")</f>
        <v>----</v>
      </c>
      <c r="DO674" s="691" t="e">
        <f t="shared" ca="1" si="12521"/>
        <v>#N/A</v>
      </c>
      <c r="DP674" s="4" t="e">
        <f ca="1">IF(AND(INDEX(WSM,DO674,4)&gt;=$AB677,INDEX(WSM,DO674,5)&gt;=$S671,INDEX(WSM,DO674,6)&gt;=$R671),1,0)</f>
        <v>#N/A</v>
      </c>
      <c r="DQ674" s="4" t="e">
        <f t="shared" ref="DQ674" ca="1" si="12557">MATCH(1,OFFSET(DP671:DP682,DR673,0,COUNT(DP671:DP682)-DR673),0)</f>
        <v>#REF!</v>
      </c>
      <c r="DR674" s="4" t="e">
        <f t="shared" ca="1" si="12523"/>
        <v>#REF!</v>
      </c>
      <c r="DS674" s="692" t="str">
        <f ca="1">IFERROR(VLOOKUP(INDEX(DO671:DO682,DR674),WSM,2,FALSE),"----")</f>
        <v>----</v>
      </c>
      <c r="DT674" s="691" t="e">
        <f t="shared" ca="1" si="12524"/>
        <v>#N/A</v>
      </c>
      <c r="DU674" s="4" t="e">
        <f ca="1">IF(AND(INDEX(STM,DT674,4)&gt;=$AB677,INDEX(STM,DT674,5)&gt;=$S671,INDEX(STM,DT674,6)&gt;=$R671),1,0)</f>
        <v>#N/A</v>
      </c>
      <c r="DV674" s="4" t="e">
        <f t="shared" ref="DV674" ca="1" si="12558">MATCH(1,OFFSET(DU671:DU682,DW673,0,COUNT(DU671:DU682)-DW673),0)</f>
        <v>#REF!</v>
      </c>
      <c r="DW674" s="4" t="e">
        <f t="shared" ca="1" si="12526"/>
        <v>#REF!</v>
      </c>
      <c r="DX674" s="692" t="str">
        <f ca="1">IFERROR(VLOOKUP(INDEX(DT671:DT682,DW674),STM,2,FALSE),"----")</f>
        <v>----</v>
      </c>
      <c r="DY674" s="691" t="e">
        <f t="shared" ca="1" si="12527"/>
        <v>#N/A</v>
      </c>
      <c r="DZ674" s="4" t="e">
        <f ca="1">IF(AND(INDEX(ELM,DY674,4)&gt;=$AB677,INDEX(ELM,DY674,5)&gt;=$S671,INDEX(ELM,DY674,6)&gt;=$R671),1,0)</f>
        <v>#N/A</v>
      </c>
      <c r="EA674" s="4" t="e">
        <f t="shared" ref="EA674" ca="1" si="12559">MATCH(1,OFFSET(DZ671:DZ682,EB673,0,COUNT(DZ671:DZ682)-EB673),0)</f>
        <v>#REF!</v>
      </c>
      <c r="EB674" s="4" t="e">
        <f t="shared" ca="1" si="12529"/>
        <v>#REF!</v>
      </c>
      <c r="EC674" s="692" t="str">
        <f ca="1">IFERROR(VLOOKUP(INDEX(DY671:DY682,EB674),ELM,2,FALSE),"----")</f>
        <v>----</v>
      </c>
      <c r="ED674" s="691" t="e">
        <f t="shared" ca="1" si="12530"/>
        <v>#N/A</v>
      </c>
      <c r="EE674" s="4" t="e">
        <f ca="1">IF(LEFT($J671,7)="Clad Wo",IF(AND(INDEX(SPPWS,ED674,4)&gt;=$AB677,INDEX(SPPWS,ED674,5)&gt;=$S671,INDEX(SPPWS,ED674,6)&gt;=$R671),1,0),IF(AND(INDEX(SPM,ED674,4)&gt;=$AB677,INDEX(SPM,ED674,5)&gt;=$S671,INDEX(SPM,ED674,6)&gt;=$R671),1,0))</f>
        <v>#N/A</v>
      </c>
      <c r="EF674" s="4" t="e">
        <f t="shared" ref="EF674" ca="1" si="12560">MATCH(1,OFFSET(EE671:EE682,EG673,0,COUNT(EE671:EE682)-EG673),0)</f>
        <v>#REF!</v>
      </c>
      <c r="EG674" s="4" t="e">
        <f t="shared" ca="1" si="12532"/>
        <v>#REF!</v>
      </c>
      <c r="EH674" s="692" t="str">
        <f ca="1">IF(LEFT($J671,7)="Clad Wo",IFERROR(VLOOKUP(INDEX(ED671:ED682,EG674),SPPWS,2,FALSE),"----"),IFERROR(VLOOKUP(INDEX(ED671:ED682,EG674),SPM,2,FALSE),"----"))</f>
        <v>----</v>
      </c>
    </row>
    <row r="675" spans="1:138" ht="15" customHeight="1" x14ac:dyDescent="0.25">
      <c r="A675" s="1085"/>
      <c r="B675" s="925"/>
      <c r="C675" s="926"/>
      <c r="D675" s="927"/>
      <c r="E675" s="995"/>
      <c r="F675" s="996"/>
      <c r="G675" s="997"/>
      <c r="H675" s="1062"/>
      <c r="I675" s="990"/>
      <c r="J675" s="910"/>
      <c r="K675" s="911"/>
      <c r="L675" s="1002"/>
      <c r="M675" s="923"/>
      <c r="N675" s="1042"/>
      <c r="O675" s="1018"/>
      <c r="P675" s="987"/>
      <c r="Q675" s="1015"/>
      <c r="R675" s="1012"/>
      <c r="S675" s="1006"/>
      <c r="T675" s="1007"/>
      <c r="U675" s="878"/>
      <c r="V675" s="881"/>
      <c r="W675" s="884"/>
      <c r="X675" s="884"/>
      <c r="Y675" s="887"/>
      <c r="Z675" s="887"/>
      <c r="AA675" s="887"/>
      <c r="AB675" s="1081"/>
      <c r="AC675" s="1078"/>
      <c r="AD675" s="1070" t="s">
        <v>39</v>
      </c>
      <c r="AE675" s="1071"/>
      <c r="AF675" s="1052"/>
      <c r="AG675" s="1053"/>
      <c r="AH675" s="1053"/>
      <c r="AI675" s="1068"/>
      <c r="AJ675" s="1069"/>
      <c r="AK675" s="154" t="str">
        <f t="shared" ca="1" si="11298"/>
        <v/>
      </c>
      <c r="AL675" s="1039"/>
      <c r="AM675" s="344" t="str">
        <f ca="1">IFERROR(Q671/12*ROUND(VLOOKUP(AF675,OFFSET(ELM,0,1),6,FALSE),2),"")</f>
        <v/>
      </c>
      <c r="AN675" t="str">
        <f t="shared" ca="1" si="11348"/>
        <v/>
      </c>
      <c r="AP675" s="122" t="str">
        <f t="shared" ref="AP675" si="12561">_xlfn.CONCAT(AR675,AS676)</f>
        <v/>
      </c>
      <c r="AQ675" s="683" t="str">
        <f t="shared" si="11512"/>
        <v/>
      </c>
      <c r="AR675" s="4" t="str">
        <f t="shared" ref="AR675:AR682" si="12562">IFERROR(VLOOKUP(AF675,MullList,2,FALSE),"")</f>
        <v/>
      </c>
      <c r="AS675" s="4"/>
      <c r="AT675" s="697" t="str">
        <f>AL671</f>
        <v/>
      </c>
      <c r="AU675" s="694" t="e">
        <f t="shared" ca="1" si="11538"/>
        <v>#REF!</v>
      </c>
      <c r="AV675" s="698" t="str">
        <f ca="1">IFERROR(VLOOKUP(AU675,INDIRECT(AQ671),2,FALSE),"----")</f>
        <v>----</v>
      </c>
      <c r="AW675" s="694" t="e">
        <f t="shared" ca="1" si="11539"/>
        <v>#REF!</v>
      </c>
      <c r="AX675" s="698" t="str">
        <f ca="1">IFERROR(VLOOKUP(AW675,INDIRECT(AQ672),2,FALSE),"----")</f>
        <v>----</v>
      </c>
      <c r="AY675" s="694" t="e">
        <f t="shared" ref="AY675" ca="1" si="12563">AY674-1</f>
        <v>#REF!</v>
      </c>
      <c r="AZ675" s="698" t="str">
        <f ca="1">IFERROR(VLOOKUP(AY675,INDIRECT(AQ673),2,FALSE),"----")</f>
        <v>----</v>
      </c>
      <c r="BA675" s="694" t="e">
        <f t="shared" ref="BA675" ca="1" si="12564">BA674-1</f>
        <v>#REF!</v>
      </c>
      <c r="BB675" s="698" t="str">
        <f ca="1">IFERROR(VLOOKUP(BA675,INDIRECT(AQ674),2,FALSE),"----")</f>
        <v>----</v>
      </c>
      <c r="BC675" s="694" t="e">
        <f t="shared" ca="1" si="11542"/>
        <v>#REF!</v>
      </c>
      <c r="BD675" s="698" t="str">
        <f ca="1">IFERROR(VLOOKUP(BC675,INDIRECT(AQ675),2,FALSE),"----")</f>
        <v>----</v>
      </c>
      <c r="BE675" s="694" t="e">
        <f t="shared" ca="1" si="11543"/>
        <v>#REF!</v>
      </c>
      <c r="BF675" s="698" t="str">
        <f ca="1">IFERROR(VLOOKUP(BE675,INDIRECT(AQ676),2,FALSE),"----")</f>
        <v>----</v>
      </c>
      <c r="BG675" s="694" t="e">
        <f t="shared" ca="1" si="11544"/>
        <v>#REF!</v>
      </c>
      <c r="BH675" s="686" t="str">
        <f ca="1">IFERROR(VLOOKUP(BG675,INDIRECT(AQ677),2,FALSE),"----")</f>
        <v>----</v>
      </c>
      <c r="BI675" s="694" t="e">
        <f t="shared" ca="1" si="11545"/>
        <v>#REF!</v>
      </c>
      <c r="BJ675" s="686" t="str">
        <f ca="1">IFERROR(VLOOKUP(BI675,INDIRECT(AQ678),2,FALSE),"----")</f>
        <v>----</v>
      </c>
      <c r="BK675" s="694" t="e">
        <f t="shared" ca="1" si="11546"/>
        <v>#REF!</v>
      </c>
      <c r="BL675" s="686" t="str">
        <f ca="1">IFERROR(VLOOKUP(BK675,INDIRECT(AQ679),2,FALSE),"----")</f>
        <v>----</v>
      </c>
      <c r="BM675" s="694" t="e">
        <f t="shared" ca="1" si="11547"/>
        <v>#REF!</v>
      </c>
      <c r="BN675" s="686" t="str">
        <f ca="1">IFERROR(VLOOKUP(BM675,INDIRECT(AQ680),2,FALSE),"----")</f>
        <v>----</v>
      </c>
      <c r="BO675" s="694" t="e">
        <f t="shared" ca="1" si="11548"/>
        <v>#REF!</v>
      </c>
      <c r="BP675" s="686" t="str">
        <f ca="1">IFERROR(VLOOKUP(BO675,INDIRECT(AQ681),2,FALSE),"----")</f>
        <v>----</v>
      </c>
      <c r="BQ675" s="694" t="e">
        <f t="shared" ca="1" si="11549"/>
        <v>#REF!</v>
      </c>
      <c r="BR675" s="686" t="str">
        <f ca="1">IFERROR(VLOOKUP(BQ675,INDIRECT(AQ682),2,FALSE),"----")</f>
        <v>----</v>
      </c>
      <c r="BS675" s="695">
        <f>IF(AI675="",1,IF(COUNTIF(BD671:BD682,AI675)=0,2,1))</f>
        <v>1</v>
      </c>
      <c r="BT675" s="696">
        <f>IF(AF675="",1,IF(BD671=".",2,1))</f>
        <v>1</v>
      </c>
      <c r="BU675" s="706"/>
      <c r="BV675" s="155">
        <f ca="1">IF(COUNTIF(CY671:CY682,AF675)=0,IF(AF675&lt;&gt;"",0,1),1)</f>
        <v>1</v>
      </c>
      <c r="BW675" s="157">
        <f ca="1">IFERROR(MATCH(AF675,CY671:CY682,0),1)</f>
        <v>1</v>
      </c>
      <c r="BX675" s="769"/>
      <c r="BY675" s="769"/>
      <c r="BZ675" s="1110"/>
      <c r="CA675" s="691" t="e">
        <f t="shared" ca="1" si="12497"/>
        <v>#REF!</v>
      </c>
      <c r="CB675" s="4" t="e" cm="1">
        <f t="array" aca="1" ref="CB675" ca="1">IF(AND(INDEX(INDIRECT(BY671),CA675,4)&gt;=$AB671,INDEX(INDIRECT(BY671),CA675,5)&gt;=$S671,INDEX(INDIRECT(BY671),CA675,6)&gt;=$R671),1,0)</f>
        <v>#REF!</v>
      </c>
      <c r="CC675" s="4" t="e">
        <f t="shared" ref="CC675" ca="1" si="12565">MATCH(1,OFFSET(CB671:CB682,CD674,0,COUNT(CB671:CB682)-CD674),0)</f>
        <v>#REF!</v>
      </c>
      <c r="CD675" s="4" t="e">
        <f t="shared" ca="1" si="12499"/>
        <v>#REF!</v>
      </c>
      <c r="CE675" s="692" t="str" cm="1">
        <f t="array" aca="1" ref="CE675" ca="1">IFERROR(VLOOKUP(INDEX(CA671:CA682,CD675),INDIRECT(BY671),2,FALSE),"----")</f>
        <v>----</v>
      </c>
      <c r="CF675" s="691" t="e">
        <f t="shared" ca="1" si="12500"/>
        <v>#N/A</v>
      </c>
      <c r="CG675" s="4" t="e">
        <f ca="1">IF(AND(INDEX(SSM,CF675,4)&gt;=$AB671,INDEX(SSM,CF675,5)&gt;=$S671,INDEX(SSM,CF675,6)&gt;=$R671),1,0)</f>
        <v>#N/A</v>
      </c>
      <c r="CH675" s="4" t="e">
        <f t="shared" ref="CH675" ca="1" si="12566">MATCH(1,OFFSET(CG671:CG682,CI674,0,COUNT(CG671:CG682)-CI674),0)</f>
        <v>#REF!</v>
      </c>
      <c r="CI675" s="4" t="e">
        <f t="shared" ca="1" si="12502"/>
        <v>#REF!</v>
      </c>
      <c r="CJ675" s="692" t="str">
        <f ca="1">IFERROR(IF(AD672="Nested Steel Stud (wood infill)",VLOOKUP(INDEX(CF671:CF682,CI675),SSW,2,FALSE),VLOOKUP(INDEX(CF671:CF682,CI675),SSM,2,FALSE)),"----")</f>
        <v>----</v>
      </c>
      <c r="CK675" s="691" t="e">
        <f t="shared" ca="1" si="12503"/>
        <v>#N/A</v>
      </c>
      <c r="CL675" s="4" t="e">
        <f ca="1">IF(AND(INDEX(WSM,CK675,4)&gt;=$AB671,INDEX(WSM,CK675,5)&gt;=$S671,INDEX(WSM,CK675,6)&gt;=$R671),1,0)</f>
        <v>#N/A</v>
      </c>
      <c r="CM675" s="4" t="e">
        <f t="shared" ref="CM675" ca="1" si="12567">MATCH(1,OFFSET(CL671:CL682,CN674,0,COUNT(CL671:CL682)-CN674),0)</f>
        <v>#REF!</v>
      </c>
      <c r="CN675" s="4" t="e">
        <f t="shared" ca="1" si="12505"/>
        <v>#REF!</v>
      </c>
      <c r="CO675" s="692" t="str">
        <f ca="1">IFERROR(VLOOKUP(INDEX(CK671:CK682,CN675),WSM,2,FALSE),"----")</f>
        <v>----</v>
      </c>
      <c r="CP675" s="691" t="e">
        <f t="shared" ca="1" si="12506"/>
        <v>#N/A</v>
      </c>
      <c r="CQ675" s="4" t="e">
        <f ca="1">IF(AND(INDEX(STM,CP675,4)&gt;=$AB671,INDEX(STM,CP675,5)&gt;=$S671,INDEX(STM,CP675,6)&gt;=$R671),1,0)</f>
        <v>#N/A</v>
      </c>
      <c r="CR675" s="4" t="e">
        <f t="shared" ref="CR675" ca="1" si="12568">MATCH(1,OFFSET(CQ671:CQ682,CS674,0,COUNT(CQ671:CQ682)-CS674),0)</f>
        <v>#REF!</v>
      </c>
      <c r="CS675" s="4" t="e">
        <f t="shared" ca="1" si="12508"/>
        <v>#REF!</v>
      </c>
      <c r="CT675" s="692" t="str">
        <f ca="1">IFERROR(VLOOKUP(INDEX(CP671:CP682,CS675),STM,2,FALSE),"----")</f>
        <v>----</v>
      </c>
      <c r="CU675" s="691" t="e">
        <f t="shared" ca="1" si="12509"/>
        <v>#N/A</v>
      </c>
      <c r="CV675" s="4" t="e">
        <f ca="1">IF(AND(INDEX(ELM,CU675,4)&gt;=$AB671,INDEX(ELM,CU675,5)&gt;=$S671,INDEX(ELM,CU675,6)&gt;=$R671),1,0)</f>
        <v>#N/A</v>
      </c>
      <c r="CW675" s="4" t="e">
        <f t="shared" ref="CW675" ca="1" si="12569">MATCH(1,OFFSET(CV671:CV682,CX674,0,COUNT(CV671:CV682)-CX674),0)</f>
        <v>#REF!</v>
      </c>
      <c r="CX675" s="4" t="e">
        <f t="shared" ca="1" si="12511"/>
        <v>#REF!</v>
      </c>
      <c r="CY675" s="692" t="str">
        <f ca="1">IFERROR(VLOOKUP(INDEX(CU671:CU682,CX675),ELM,2,FALSE),"----")</f>
        <v>----</v>
      </c>
      <c r="CZ675" s="691" t="e">
        <f t="shared" ca="1" si="12512"/>
        <v>#N/A</v>
      </c>
      <c r="DA675" s="4" t="e">
        <f ca="1">IF(LEFT($J671,7)="Clad Wo",IF(AND(INDEX(SPPWS,CZ675,4)&gt;=$AB671,INDEX(SPPWS,CZ675,5)&gt;=$S671,INDEX(SPPWS,CZ675,6)&gt;=$R671),1,0),IF(AND(INDEX(SPM,CZ675,4)&gt;=$AB671,INDEX(SPM,CZ675,5)&gt;=$S671,INDEX(SPM,CZ675,6)&gt;=$R671),1,0))</f>
        <v>#N/A</v>
      </c>
      <c r="DB675" s="4" t="e">
        <f t="shared" ref="DB675" ca="1" si="12570">MATCH(1,OFFSET(DA671:DA682,DC674,0,COUNT(DA671:DA682)-DC674),0)</f>
        <v>#REF!</v>
      </c>
      <c r="DC675" s="4" t="e">
        <f t="shared" ca="1" si="12514"/>
        <v>#REF!</v>
      </c>
      <c r="DD675" s="693" t="str">
        <f ca="1">IF(LEFT($J671,7)="Clad Wo",IFERROR(VLOOKUP(INDEX(CZ671:CZ682,DC675),SPPWS,2,FALSE),"----"),IFERROR(VLOOKUP(INDEX(CZ671:CZ682,DC675),SPM,2,FALSE),"----"))</f>
        <v>----</v>
      </c>
      <c r="DE675" s="691" t="e">
        <f t="shared" ca="1" si="12515"/>
        <v>#REF!</v>
      </c>
      <c r="DF675" s="4" t="e" cm="1">
        <f t="array" aca="1" ref="DF675" ca="1">IF(AND(INDEX(INDIRECT(BY671),DE675,4)&gt;=$AB677,INDEX(INDIRECT(BY671),DE675,5)&gt;=$S671,INDEX(INDIRECT(BY671),DE675,6)&gt;=$R671),1,0)</f>
        <v>#REF!</v>
      </c>
      <c r="DG675" s="4" t="e">
        <f t="shared" ref="DG675" ca="1" si="12571">MATCH(1,OFFSET(DF671:DF682,DH674,0,COUNT(DF671:DF682)-DH674),0)</f>
        <v>#REF!</v>
      </c>
      <c r="DH675" s="4" t="e">
        <f t="shared" ca="1" si="12517"/>
        <v>#REF!</v>
      </c>
      <c r="DI675" s="692" t="str" cm="1">
        <f t="array" aca="1" ref="DI675" ca="1">IFERROR(VLOOKUP(INDEX(DE671:DE682,DH675),INDIRECT(BY671),2,FALSE),"----")</f>
        <v>----</v>
      </c>
      <c r="DJ675" s="691" t="e">
        <f t="shared" ca="1" si="12518"/>
        <v>#N/A</v>
      </c>
      <c r="DK675" s="4" t="e">
        <f ca="1">IF(AND(INDEX(SSM,DJ675,4)&gt;=$AB677,INDEX(SSM,DJ675,5)&gt;=$S671,INDEX(SSM,DJ675,6)&gt;=$R671),1,0)</f>
        <v>#N/A</v>
      </c>
      <c r="DL675" s="4" t="e">
        <f t="shared" ref="DL675" ca="1" si="12572">MATCH(1,OFFSET(DK671:DK682,DM674,0,COUNT(DK671:DK682)-DM674),0)</f>
        <v>#REF!</v>
      </c>
      <c r="DM675" s="4" t="e">
        <f t="shared" ca="1" si="12520"/>
        <v>#REF!</v>
      </c>
      <c r="DN675" s="692" t="str">
        <f ca="1">IFERROR(IF(AD678="Nested Steel Stud (wood infill)",VLOOKUP(INDEX(DJ671:DJ682,DM675),SSW,2,FALSE),VLOOKUP(INDEX(DJ671:DJ682,DM675),SSM,2,FALSE)),"----")</f>
        <v>----</v>
      </c>
      <c r="DO675" s="691" t="e">
        <f t="shared" ca="1" si="12521"/>
        <v>#N/A</v>
      </c>
      <c r="DP675" s="4" t="e">
        <f ca="1">IF(AND(INDEX(WSM,DO675,4)&gt;=$AB677,INDEX(WSM,DO675,5)&gt;=$S671,INDEX(WSM,DO675,6)&gt;=$R671),1,0)</f>
        <v>#N/A</v>
      </c>
      <c r="DQ675" s="4" t="e">
        <f t="shared" ref="DQ675" ca="1" si="12573">MATCH(1,OFFSET(DP671:DP682,DR674,0,COUNT(DP671:DP682)-DR674),0)</f>
        <v>#REF!</v>
      </c>
      <c r="DR675" s="4" t="e">
        <f t="shared" ca="1" si="12523"/>
        <v>#REF!</v>
      </c>
      <c r="DS675" s="692" t="str">
        <f ca="1">IFERROR(VLOOKUP(INDEX(DO671:DO682,DR675),WSM,2,FALSE),"----")</f>
        <v>----</v>
      </c>
      <c r="DT675" s="691" t="e">
        <f t="shared" ca="1" si="12524"/>
        <v>#N/A</v>
      </c>
      <c r="DU675" s="4" t="e">
        <f ca="1">IF(AND(INDEX(STM,DT675,4)&gt;=$AB677,INDEX(STM,DT675,5)&gt;=$S671,INDEX(STM,DT675,6)&gt;=$R671),1,0)</f>
        <v>#N/A</v>
      </c>
      <c r="DV675" s="4" t="e">
        <f t="shared" ref="DV675" ca="1" si="12574">MATCH(1,OFFSET(DU671:DU682,DW674,0,COUNT(DU671:DU682)-DW674),0)</f>
        <v>#REF!</v>
      </c>
      <c r="DW675" s="4" t="e">
        <f t="shared" ca="1" si="12526"/>
        <v>#REF!</v>
      </c>
      <c r="DX675" s="692" t="str">
        <f ca="1">IFERROR(VLOOKUP(INDEX(DT671:DT682,DW675),STM,2,FALSE),"----")</f>
        <v>----</v>
      </c>
      <c r="DY675" s="691" t="e">
        <f t="shared" ca="1" si="12527"/>
        <v>#N/A</v>
      </c>
      <c r="DZ675" s="4" t="e">
        <f ca="1">IF(AND(INDEX(ELM,DY675,4)&gt;=$AB677,INDEX(ELM,DY675,5)&gt;=$S671,INDEX(ELM,DY675,6)&gt;=$R671),1,0)</f>
        <v>#N/A</v>
      </c>
      <c r="EA675" s="4" t="e">
        <f t="shared" ref="EA675" ca="1" si="12575">MATCH(1,OFFSET(DZ671:DZ682,EB674,0,COUNT(DZ671:DZ682)-EB674),0)</f>
        <v>#REF!</v>
      </c>
      <c r="EB675" s="4" t="e">
        <f t="shared" ca="1" si="12529"/>
        <v>#REF!</v>
      </c>
      <c r="EC675" s="692" t="str">
        <f ca="1">IFERROR(VLOOKUP(INDEX(DY671:DY682,EB675),ELM,2,FALSE),"----")</f>
        <v>----</v>
      </c>
      <c r="ED675" s="691" t="e">
        <f t="shared" ca="1" si="12530"/>
        <v>#N/A</v>
      </c>
      <c r="EE675" s="4" t="e">
        <f ca="1">IF(LEFT($J671,7)="Clad Wo",IF(AND(INDEX(SPPWS,ED675,4)&gt;=$AB677,INDEX(SPPWS,ED675,5)&gt;=$S671,INDEX(SPPWS,ED675,6)&gt;=$R671),1,0),IF(AND(INDEX(SPM,ED675,4)&gt;=$AB677,INDEX(SPM,ED675,5)&gt;=$S671,INDEX(SPM,ED675,6)&gt;=$R671),1,0))</f>
        <v>#N/A</v>
      </c>
      <c r="EF675" s="4" t="e">
        <f t="shared" ref="EF675" ca="1" si="12576">MATCH(1,OFFSET(EE671:EE682,EG674,0,COUNT(EE671:EE682)-EG674),0)</f>
        <v>#REF!</v>
      </c>
      <c r="EG675" s="4" t="e">
        <f t="shared" ca="1" si="12532"/>
        <v>#REF!</v>
      </c>
      <c r="EH675" s="692" t="str">
        <f ca="1">IF(LEFT($J671,7)="Clad Wo",IFERROR(VLOOKUP(INDEX(ED671:ED682,EG675),SPPWS,2,FALSE),"----"),IFERROR(VLOOKUP(INDEX(ED671:ED682,EG675),SPM,2,FALSE),"----"))</f>
        <v>----</v>
      </c>
    </row>
    <row r="676" spans="1:138" ht="15" customHeight="1" thickBot="1" x14ac:dyDescent="0.3">
      <c r="A676" s="1085"/>
      <c r="B676" s="934"/>
      <c r="C676" s="935"/>
      <c r="D676" s="936"/>
      <c r="E676" s="995"/>
      <c r="F676" s="996"/>
      <c r="G676" s="997"/>
      <c r="H676" s="1062"/>
      <c r="I676" s="990"/>
      <c r="J676" s="908"/>
      <c r="K676" s="909"/>
      <c r="L676" s="1010"/>
      <c r="M676" s="924"/>
      <c r="N676" s="1044"/>
      <c r="O676" s="1018"/>
      <c r="P676" s="987"/>
      <c r="Q676" s="1015"/>
      <c r="R676" s="1012"/>
      <c r="S676" s="1006"/>
      <c r="T676" s="1007"/>
      <c r="U676" s="878"/>
      <c r="V676" s="881"/>
      <c r="W676" s="889"/>
      <c r="X676" s="884"/>
      <c r="Y676" s="890"/>
      <c r="Z676" s="890"/>
      <c r="AA676" s="887"/>
      <c r="AB676" s="1084"/>
      <c r="AC676" s="1079"/>
      <c r="AD676" s="1072" t="str">
        <f t="shared" ref="AD676" si="12577">IF(LEFT(J671,7)="Clad Wo","Pella Wood Spr / Steel Pte","Steel Plate")</f>
        <v>Steel Plate</v>
      </c>
      <c r="AE676" s="1073"/>
      <c r="AF676" s="1054"/>
      <c r="AG676" s="1055"/>
      <c r="AH676" s="1055"/>
      <c r="AI676" s="1092"/>
      <c r="AJ676" s="1093"/>
      <c r="AK676" s="159" t="str">
        <f t="shared" ref="AK676:AK682" ca="1" si="12578">IFERROR(VLOOKUP(AI676,OFFSET(INDIRECT(AQ676),0,1),2,FALSE),"")</f>
        <v/>
      </c>
      <c r="AL676" s="1040"/>
      <c r="AM676" s="345" t="str">
        <f ca="1">IFERROR(Q671/12*ROUND(VLOOKUP(AF676,OFFSET(SPM,0,1),6,FALSE),2),"")</f>
        <v/>
      </c>
      <c r="AN676" t="str">
        <f t="shared" ca="1" si="11348"/>
        <v/>
      </c>
      <c r="AP676" s="699" t="str">
        <f t="shared" ref="AP676" si="12579">_xlfn.CONCAT(AR676,AS676)</f>
        <v/>
      </c>
      <c r="AQ676" s="700" t="str">
        <f t="shared" si="11512"/>
        <v/>
      </c>
      <c r="AR676" s="160" t="str">
        <f t="shared" si="12562"/>
        <v/>
      </c>
      <c r="AS676" s="160" t="str">
        <f>IFERROR(VLOOKUP(J679, WallType,2,FALSE),"")</f>
        <v/>
      </c>
      <c r="AT676" s="701" t="str">
        <f>AL671</f>
        <v/>
      </c>
      <c r="AU676" s="694" t="e">
        <f t="shared" ca="1" si="11538"/>
        <v>#REF!</v>
      </c>
      <c r="AV676" s="698" t="str">
        <f ca="1">IFERROR(VLOOKUP(AU676,INDIRECT(AQ671),2,FALSE),"----")</f>
        <v>----</v>
      </c>
      <c r="AW676" s="702" t="e">
        <f t="shared" ca="1" si="11539"/>
        <v>#REF!</v>
      </c>
      <c r="AX676" s="698" t="str">
        <f ca="1">IFERROR(VLOOKUP(AW676,INDIRECT(AQ672),2,FALSE),"----")</f>
        <v>----</v>
      </c>
      <c r="AY676" s="702" t="e">
        <f t="shared" ref="AY676:AY679" ca="1" si="12580">AY675-1</f>
        <v>#REF!</v>
      </c>
      <c r="AZ676" s="698" t="str">
        <f ca="1">IFERROR(VLOOKUP(AY676,INDIRECT(AQ673),2,FALSE),"----")</f>
        <v>----</v>
      </c>
      <c r="BA676" s="702" t="e">
        <f t="shared" ref="BA676:BA679" ca="1" si="12581">BA675-1</f>
        <v>#REF!</v>
      </c>
      <c r="BB676" s="698" t="str">
        <f ca="1">IFERROR(VLOOKUP(BA676,INDIRECT(AQ674),2,FALSE),"----")</f>
        <v>----</v>
      </c>
      <c r="BC676" s="702" t="e">
        <f t="shared" ca="1" si="11542"/>
        <v>#REF!</v>
      </c>
      <c r="BD676" s="698" t="str">
        <f ca="1">IFERROR(VLOOKUP(BC676,INDIRECT(AQ675),2,FALSE),"----")</f>
        <v>----</v>
      </c>
      <c r="BE676" s="702" t="e">
        <f t="shared" ca="1" si="11543"/>
        <v>#REF!</v>
      </c>
      <c r="BF676" s="698" t="str">
        <f ca="1">IFERROR(VLOOKUP(BE676,INDIRECT(AQ676),2,FALSE),"----")</f>
        <v>----</v>
      </c>
      <c r="BG676" s="702" t="e">
        <f t="shared" ca="1" si="11544"/>
        <v>#REF!</v>
      </c>
      <c r="BH676" s="686" t="str">
        <f ca="1">IFERROR(VLOOKUP(BG676,INDIRECT(AQ677),2,FALSE),"----")</f>
        <v>----</v>
      </c>
      <c r="BI676" s="702" t="e">
        <f t="shared" ca="1" si="11545"/>
        <v>#REF!</v>
      </c>
      <c r="BJ676" s="686" t="str">
        <f ca="1">IFERROR(VLOOKUP(BI676,INDIRECT(AQ678),2,FALSE),"----")</f>
        <v>----</v>
      </c>
      <c r="BK676" s="702" t="e">
        <f t="shared" ca="1" si="11546"/>
        <v>#REF!</v>
      </c>
      <c r="BL676" s="686" t="str">
        <f ca="1">IFERROR(VLOOKUP(BK676,INDIRECT(AQ679),2,FALSE),"----")</f>
        <v>----</v>
      </c>
      <c r="BM676" s="702" t="e">
        <f t="shared" ca="1" si="11547"/>
        <v>#REF!</v>
      </c>
      <c r="BN676" s="686" t="str">
        <f ca="1">IFERROR(VLOOKUP(BM676,INDIRECT(AQ680),2,FALSE),"----")</f>
        <v>----</v>
      </c>
      <c r="BO676" s="702" t="e">
        <f t="shared" ca="1" si="11548"/>
        <v>#REF!</v>
      </c>
      <c r="BP676" s="686" t="str">
        <f ca="1">IFERROR(VLOOKUP(BO676,INDIRECT(AQ681),2,FALSE),"----")</f>
        <v>----</v>
      </c>
      <c r="BQ676" s="702" t="e">
        <f t="shared" ca="1" si="11549"/>
        <v>#REF!</v>
      </c>
      <c r="BR676" s="686" t="str">
        <f ca="1">IFERROR(VLOOKUP(BQ676,INDIRECT(AQ682),2,FALSE),"----")</f>
        <v>----</v>
      </c>
      <c r="BS676" s="703">
        <f>IF(AI676="",1,IF(COUNTIF(BF671:BF682,AI676)=0,2,1))</f>
        <v>1</v>
      </c>
      <c r="BT676" s="704">
        <f>IF(AF676="",1,IF(BF671=".",2,1))</f>
        <v>1</v>
      </c>
      <c r="BV676" s="155">
        <f ca="1">IF(COUNTIF(DD671:DD682,AF676)=0,IF(AF676&lt;&gt;"",0,1),1)</f>
        <v>1</v>
      </c>
      <c r="BW676" s="157">
        <f ca="1">IFERROR(MATCH(AF676,DD671:DD682,0),1)</f>
        <v>1</v>
      </c>
      <c r="BX676" s="875" t="s">
        <v>1594</v>
      </c>
      <c r="BY676" s="876"/>
      <c r="BZ676" s="1110"/>
      <c r="CA676" s="691" t="e">
        <f t="shared" ca="1" si="12497"/>
        <v>#REF!</v>
      </c>
      <c r="CB676" s="4" t="e" cm="1">
        <f t="array" aca="1" ref="CB676" ca="1">IF(AND(INDEX(INDIRECT(BY671),CA676,4)&gt;=$AB671,INDEX(INDIRECT(BY671),CA676,5)&gt;=$S671,INDEX(INDIRECT(BY671),CA676,6)&gt;=$R671),1,0)</f>
        <v>#REF!</v>
      </c>
      <c r="CC676" s="4" t="e">
        <f t="shared" ref="CC676" ca="1" si="12582">MATCH(1,OFFSET(CB671:CB682,CD675,0,COUNT(CB671:CB682)-CD675),0)</f>
        <v>#REF!</v>
      </c>
      <c r="CD676" s="4" t="e">
        <f t="shared" ca="1" si="12499"/>
        <v>#REF!</v>
      </c>
      <c r="CE676" s="692" t="str" cm="1">
        <f t="array" aca="1" ref="CE676" ca="1">IFERROR(VLOOKUP(INDEX(CA671:CA682,CD676),INDIRECT(BY671),2,FALSE),"----")</f>
        <v>----</v>
      </c>
      <c r="CF676" s="691" t="e">
        <f t="shared" ca="1" si="12500"/>
        <v>#N/A</v>
      </c>
      <c r="CG676" s="4" t="e">
        <f ca="1">IF(AND(INDEX(SSM,CF676,4)&gt;=$AB671,INDEX(SSM,CF676,5)&gt;=$S671,INDEX(SSM,CF676,6)&gt;=$R671),1,0)</f>
        <v>#N/A</v>
      </c>
      <c r="CH676" s="4" t="e">
        <f t="shared" ref="CH676" ca="1" si="12583">MATCH(1,OFFSET(CG671:CG682,CI675,0,COUNT(CG671:CG682)-CI675),0)</f>
        <v>#REF!</v>
      </c>
      <c r="CI676" s="4" t="e">
        <f t="shared" ca="1" si="12502"/>
        <v>#REF!</v>
      </c>
      <c r="CJ676" s="692" t="str">
        <f ca="1">IFERROR(IF(AD672="Nested Steel Stud (wood infill)",VLOOKUP(INDEX(CF671:CF682,CI676),SSW,2,FALSE),VLOOKUP(INDEX(CF671:CF682,CI676),SSM,2,FALSE)),"----")</f>
        <v>----</v>
      </c>
      <c r="CK676" s="691" t="e">
        <f t="shared" ca="1" si="12503"/>
        <v>#N/A</v>
      </c>
      <c r="CL676" s="4" t="e">
        <f ca="1">IF(AND(INDEX(WSM,CK676,4)&gt;=$AB671,INDEX(WSM,CK676,5)&gt;=$S671,INDEX(WSM,CK676,6)&gt;=$R671),1,0)</f>
        <v>#N/A</v>
      </c>
      <c r="CM676" s="4" t="e">
        <f t="shared" ref="CM676" ca="1" si="12584">MATCH(1,OFFSET(CL671:CL682,CN675,0,COUNT(CL671:CL682)-CN675),0)</f>
        <v>#REF!</v>
      </c>
      <c r="CN676" s="4" t="e">
        <f t="shared" ca="1" si="12505"/>
        <v>#REF!</v>
      </c>
      <c r="CO676" s="692" t="str">
        <f ca="1">IFERROR(VLOOKUP(INDEX(CK671:CK682,CN676),WSM,2,FALSE),"----")</f>
        <v>----</v>
      </c>
      <c r="CP676" s="691" t="e">
        <f t="shared" ca="1" si="12506"/>
        <v>#N/A</v>
      </c>
      <c r="CQ676" s="4" t="e">
        <f ca="1">IF(AND(INDEX(STM,CP676,4)&gt;=$AB671,INDEX(STM,CP676,5)&gt;=$S671,INDEX(STM,CP676,6)&gt;=$R671),1,0)</f>
        <v>#N/A</v>
      </c>
      <c r="CR676" s="4" t="e">
        <f t="shared" ref="CR676" ca="1" si="12585">MATCH(1,OFFSET(CQ671:CQ682,CS675,0,COUNT(CQ671:CQ682)-CS675),0)</f>
        <v>#REF!</v>
      </c>
      <c r="CS676" s="4" t="e">
        <f t="shared" ca="1" si="12508"/>
        <v>#REF!</v>
      </c>
      <c r="CT676" s="692" t="str">
        <f ca="1">IFERROR(VLOOKUP(INDEX(CP671:CP682,CS676),STM,2,FALSE),"----")</f>
        <v>----</v>
      </c>
      <c r="CU676" s="691" t="e">
        <f t="shared" ca="1" si="12509"/>
        <v>#N/A</v>
      </c>
      <c r="CV676" s="4" t="e">
        <f ca="1">IF(AND(INDEX(ELM,CU676,4)&gt;=$AB671,INDEX(ELM,CU676,5)&gt;=$S671,INDEX(ELM,CU676,6)&gt;=$R671),1,0)</f>
        <v>#N/A</v>
      </c>
      <c r="CW676" s="4" t="e">
        <f t="shared" ref="CW676" ca="1" si="12586">MATCH(1,OFFSET(CV671:CV682,CX675,0,COUNT(CV671:CV682)-CX675),0)</f>
        <v>#REF!</v>
      </c>
      <c r="CX676" s="4" t="e">
        <f t="shared" ca="1" si="12511"/>
        <v>#REF!</v>
      </c>
      <c r="CY676" s="692" t="str">
        <f ca="1">IFERROR(VLOOKUP(INDEX(CU671:CU682,CX676),ELM,2,FALSE),"----")</f>
        <v>----</v>
      </c>
      <c r="CZ676" s="691" t="e">
        <f t="shared" ca="1" si="12512"/>
        <v>#N/A</v>
      </c>
      <c r="DA676" s="4" t="e">
        <f ca="1">IF(LEFT($J671,7)="Clad Wo",IF(AND(INDEX(SPPWS,CZ676,4)&gt;=$AB671,INDEX(SPPWS,CZ676,5)&gt;=$S671,INDEX(SPPWS,CZ676,6)&gt;=$R671),1,0),IF(AND(INDEX(SPM,CZ676,4)&gt;=$AB671,INDEX(SPM,CZ676,5)&gt;=$S671,INDEX(SPM,CZ676,6)&gt;=$R671),1,0))</f>
        <v>#N/A</v>
      </c>
      <c r="DB676" s="4" t="e">
        <f t="shared" ref="DB676" ca="1" si="12587">MATCH(1,OFFSET(DA671:DA682,DC675,0,COUNT(DA671:DA682)-DC675),0)</f>
        <v>#REF!</v>
      </c>
      <c r="DC676" s="4" t="e">
        <f t="shared" ca="1" si="12514"/>
        <v>#REF!</v>
      </c>
      <c r="DD676" s="693" t="str">
        <f ca="1">IF(LEFT($J671,7)="Clad Wo",IFERROR(VLOOKUP(INDEX(CZ671:CZ682,DC676),SPPWS,2,FALSE),"----"),IFERROR(VLOOKUP(INDEX(CZ671:CZ682,DC676),SPM,2,FALSE),"----"))</f>
        <v>----</v>
      </c>
      <c r="DE676" s="691" t="e">
        <f t="shared" ca="1" si="12515"/>
        <v>#REF!</v>
      </c>
      <c r="DF676" s="4" t="e" cm="1">
        <f t="array" aca="1" ref="DF676" ca="1">IF(AND(INDEX(INDIRECT(BY671),DE676,4)&gt;=$AB677,INDEX(INDIRECT(BY671),DE676,5)&gt;=$S671,INDEX(INDIRECT(BY671),DE676,6)&gt;=$R671),1,0)</f>
        <v>#REF!</v>
      </c>
      <c r="DG676" s="4" t="e">
        <f t="shared" ref="DG676" ca="1" si="12588">MATCH(1,OFFSET(DF671:DF682,DH675,0,COUNT(DF671:DF682)-DH675),0)</f>
        <v>#REF!</v>
      </c>
      <c r="DH676" s="4" t="e">
        <f t="shared" ca="1" si="12517"/>
        <v>#REF!</v>
      </c>
      <c r="DI676" s="692" t="str" cm="1">
        <f t="array" aca="1" ref="DI676" ca="1">IFERROR(VLOOKUP(INDEX(DE671:DE682,DH676),INDIRECT(BY671),2,FALSE),"----")</f>
        <v>----</v>
      </c>
      <c r="DJ676" s="691" t="e">
        <f t="shared" ca="1" si="12518"/>
        <v>#N/A</v>
      </c>
      <c r="DK676" s="4" t="e">
        <f ca="1">IF(AND(INDEX(SSM,DJ676,4)&gt;=$AB677,INDEX(SSM,DJ676,5)&gt;=$S671,INDEX(SSM,DJ676,6)&gt;=$R671),1,0)</f>
        <v>#N/A</v>
      </c>
      <c r="DL676" s="4" t="e">
        <f t="shared" ref="DL676" ca="1" si="12589">MATCH(1,OFFSET(DK671:DK682,DM675,0,COUNT(DK671:DK682)-DM675),0)</f>
        <v>#REF!</v>
      </c>
      <c r="DM676" s="4" t="e">
        <f t="shared" ca="1" si="12520"/>
        <v>#REF!</v>
      </c>
      <c r="DN676" s="692" t="str">
        <f ca="1">IFERROR(IF(AD678="Nested Steel Stud (wood infill)",VLOOKUP(INDEX(DJ671:DJ682,DM676),SSW,2,FALSE),VLOOKUP(INDEX(DJ671:DJ682,DM676),SSM,2,FALSE)),"----")</f>
        <v>----</v>
      </c>
      <c r="DO676" s="691" t="e">
        <f t="shared" ca="1" si="12521"/>
        <v>#N/A</v>
      </c>
      <c r="DP676" s="4" t="e">
        <f ca="1">IF(AND(INDEX(WSM,DO676,4)&gt;=$AB677,INDEX(WSM,DO676,5)&gt;=$S671,INDEX(WSM,DO676,6)&gt;=$R671),1,0)</f>
        <v>#N/A</v>
      </c>
      <c r="DQ676" s="4" t="e">
        <f t="shared" ref="DQ676" ca="1" si="12590">MATCH(1,OFFSET(DP671:DP682,DR675,0,COUNT(DP671:DP682)-DR675),0)</f>
        <v>#REF!</v>
      </c>
      <c r="DR676" s="4" t="e">
        <f t="shared" ca="1" si="12523"/>
        <v>#REF!</v>
      </c>
      <c r="DS676" s="692" t="str">
        <f ca="1">IFERROR(VLOOKUP(INDEX(DO671:DO682,DR676),WSM,2,FALSE),"----")</f>
        <v>----</v>
      </c>
      <c r="DT676" s="691" t="e">
        <f t="shared" ca="1" si="12524"/>
        <v>#N/A</v>
      </c>
      <c r="DU676" s="4" t="e">
        <f ca="1">IF(AND(INDEX(STM,DT676,4)&gt;=$AB677,INDEX(STM,DT676,5)&gt;=$S671,INDEX(STM,DT676,6)&gt;=$R671),1,0)</f>
        <v>#N/A</v>
      </c>
      <c r="DV676" s="4" t="e">
        <f t="shared" ref="DV676" ca="1" si="12591">MATCH(1,OFFSET(DU671:DU682,DW675,0,COUNT(DU671:DU682)-DW675),0)</f>
        <v>#REF!</v>
      </c>
      <c r="DW676" s="4" t="e">
        <f t="shared" ca="1" si="12526"/>
        <v>#REF!</v>
      </c>
      <c r="DX676" s="692" t="str">
        <f ca="1">IFERROR(VLOOKUP(INDEX(DT671:DT682,DW676),STM,2,FALSE),"----")</f>
        <v>----</v>
      </c>
      <c r="DY676" s="691" t="e">
        <f t="shared" ca="1" si="12527"/>
        <v>#N/A</v>
      </c>
      <c r="DZ676" s="4" t="e">
        <f ca="1">IF(AND(INDEX(ELM,DY676,4)&gt;=$AB677,INDEX(ELM,DY676,5)&gt;=$S671,INDEX(ELM,DY676,6)&gt;=$R671),1,0)</f>
        <v>#N/A</v>
      </c>
      <c r="EA676" s="4" t="e">
        <f t="shared" ref="EA676" ca="1" si="12592">MATCH(1,OFFSET(DZ671:DZ682,EB675,0,COUNT(DZ671:DZ682)-EB675),0)</f>
        <v>#REF!</v>
      </c>
      <c r="EB676" s="4" t="e">
        <f t="shared" ca="1" si="12529"/>
        <v>#REF!</v>
      </c>
      <c r="EC676" s="692" t="str">
        <f ca="1">IFERROR(VLOOKUP(INDEX(DY671:DY682,EB676),ELM,2,FALSE),"----")</f>
        <v>----</v>
      </c>
      <c r="ED676" s="691" t="e">
        <f t="shared" ca="1" si="12530"/>
        <v>#N/A</v>
      </c>
      <c r="EE676" s="4" t="e">
        <f ca="1">IF(LEFT($J671,7)="Clad Wo",IF(AND(INDEX(SPPWS,ED676,4)&gt;=$AB677,INDEX(SPPWS,ED676,5)&gt;=$S671,INDEX(SPPWS,ED676,6)&gt;=$R671),1,0),IF(AND(INDEX(SPM,ED676,4)&gt;=$AB677,INDEX(SPM,ED676,5)&gt;=$S671,INDEX(SPM,ED676,6)&gt;=$R671),1,0))</f>
        <v>#N/A</v>
      </c>
      <c r="EF676" s="4" t="e">
        <f t="shared" ref="EF676" ca="1" si="12593">MATCH(1,OFFSET(EE671:EE682,EG675,0,COUNT(EE671:EE682)-EG675),0)</f>
        <v>#REF!</v>
      </c>
      <c r="EG676" s="4" t="e">
        <f t="shared" ca="1" si="12532"/>
        <v>#REF!</v>
      </c>
      <c r="EH676" s="692" t="str">
        <f ca="1">IF(LEFT($J671,7)="Clad Wo",IFERROR(VLOOKUP(INDEX(ED671:ED682,EG676),SPPWS,2,FALSE),"----"),IFERROR(VLOOKUP(INDEX(ED671:ED682,EG676),SPM,2,FALSE),"----"))</f>
        <v>----</v>
      </c>
    </row>
    <row r="677" spans="1:138" ht="15" customHeight="1" x14ac:dyDescent="0.25">
      <c r="A677" s="1085"/>
      <c r="B677" s="925" t="s">
        <v>409</v>
      </c>
      <c r="C677" s="926"/>
      <c r="D677" s="927"/>
      <c r="E677" s="995"/>
      <c r="F677" s="996"/>
      <c r="G677" s="997"/>
      <c r="H677" s="1062"/>
      <c r="I677" s="990"/>
      <c r="J677" s="908"/>
      <c r="K677" s="909"/>
      <c r="L677" s="1001">
        <f>L671+1</f>
        <v>5</v>
      </c>
      <c r="M677" s="1064" t="str">
        <f t="shared" ref="M677" si="12594">IFERROR(IF($AE$17="",IF($AG$19="Wind Loading",MIN($V$31,IF(E$11="ASCE 7-05",$U$26,$V$7)*$V$9*(IF($E$12&lt;60,0.156*LN(MAX(MIN(500,O671),10)) -1.7618,IF($E$11="ASCE 7-22", 0.2026*LN(MAX(MIN(500,O671),20))-2.2638,0.2503*LN(MAX(MIN(500,O671),20)) -2.5526))-$V$8)),$V$7*IF(E$12&lt;60,$V$13*($V$15*(0.156*LN(MAX(MIN(500,O671),10)) -1.7618)-$V$16),$V$13*$V$15*((0.2026*LN(MAX(MIN(500,O671),20))-2.2638)-$V$16))),-ABS($AE$17)),"")</f>
        <v/>
      </c>
      <c r="N677" s="1041" t="str">
        <f t="shared" ref="N677" si="12595">IFERROR(IF($AE$19="",IF($AG$19="Wind Loading",MAX($U$31,IF(E$11="ASCE 7-05",$U$26,$V$7)*$V$9*((IF($E$12&lt;60,-0.077*LN(MAX(MIN(500,O671),10))+1.1737,IF($E$11="ASCE 7-22",-0.077*LN(MAX(MIN(500,O671),20))+1.0798,-0.093*LN(MAX(MIN(500,O671),20))+1.1776)))+$V$8)),$V$7*IF(E$12&lt;60,$V$13*($V$15*(-0.077*LN(MAX(MIN(500,O671),10))+1.1737)-$V$17),$V$13*$V$15*((-0.077*LN(MAX(MIN(500,O671),20))+1.0798)-$V$17))),ABS($AE$19)),"")</f>
        <v/>
      </c>
      <c r="O677" s="1018"/>
      <c r="P677" s="987"/>
      <c r="Q677" s="1015"/>
      <c r="R677" s="1012">
        <f>P677*Q677/8</f>
        <v>0</v>
      </c>
      <c r="S677" s="1006"/>
      <c r="T677" s="1007"/>
      <c r="U677" s="878"/>
      <c r="V677" s="881"/>
      <c r="W677" s="883" t="e">
        <f t="shared" ref="W677" si="12596">MAX(-M677,N677)*O671</f>
        <v>#VALUE!</v>
      </c>
      <c r="X677" s="884"/>
      <c r="Y677" s="886">
        <f>IFERROR(IF(AG$14="Trapezoidal",BY680,BX680)+IF($E$17="4",(400*E671^3)/(48*X671),0),0)</f>
        <v>0</v>
      </c>
      <c r="Z677" s="886" t="e">
        <f t="shared" ref="Z677" si="12597">+($V671*MAX(-$M677,$N677)*$E671^2)/(144*8)+IF($E$17=4,(400*$E671)/4,0)</f>
        <v>#VALUE!</v>
      </c>
      <c r="AA677" s="887"/>
      <c r="AB677" s="1080" t="str">
        <f t="shared" ref="AB677" ca="1" si="12598">IFERROR(Z677-AA671,"")</f>
        <v/>
      </c>
      <c r="AC677" s="1086" t="str">
        <f t="shared" ref="AC677" ca="1" si="12599">IFERROR(Y677-U671,"")</f>
        <v/>
      </c>
      <c r="AD677" s="1074" t="str">
        <f t="shared" ref="AD677" si="12600">AD671</f>
        <v/>
      </c>
      <c r="AE677" s="1075"/>
      <c r="AF677" s="1056"/>
      <c r="AG677" s="1057"/>
      <c r="AH677" s="1057"/>
      <c r="AI677" s="1088"/>
      <c r="AJ677" s="1089"/>
      <c r="AK677" s="162" t="str">
        <f t="shared" ca="1" si="12578"/>
        <v/>
      </c>
      <c r="AL677" s="1058" t="str">
        <f t="shared" ref="AL677" si="12601">IFERROR(ROUND(SQRT(P671^2+(W677/2+IF($E$17=4,200,0))^2),0),"")</f>
        <v/>
      </c>
      <c r="AM677" s="342" t="s">
        <v>669</v>
      </c>
      <c r="AN677" t="str">
        <f t="shared" ref="AN677:AN682" ca="1" si="12602">IF(BW677&gt;1,"Lighter Reinforcement Options Available","")</f>
        <v/>
      </c>
      <c r="AP677" s="122" t="str">
        <f t="shared" ref="AP677" si="12603">_xlfn.CONCAT(AR677,AS682)</f>
        <v/>
      </c>
      <c r="AQ677" s="683" t="str">
        <f t="shared" si="11512"/>
        <v/>
      </c>
      <c r="AR677" s="96" t="str">
        <f t="shared" si="12562"/>
        <v/>
      </c>
      <c r="AS677" s="96" t="str">
        <f>IF(COUNTIF(imp_1,AF677)=1,"imp_1",IF(COUNTIF(imp_2,AF677)=1,"imp_2",IF(COUNTIF(imp_3,AF677)=1,"imp_3",IF(COUNTIF(impdoor,AF677)=1,"impdoor",""))))</f>
        <v/>
      </c>
      <c r="AT677" s="684" t="str">
        <f>AL677</f>
        <v/>
      </c>
      <c r="AU677" s="685" t="e">
        <f t="shared" ca="1" si="11538"/>
        <v>#REF!</v>
      </c>
      <c r="AV677" s="686" t="str">
        <f ca="1">IFERROR(VLOOKUP(AU677,INDIRECT(AQ671),2,FALSE),"----")</f>
        <v>----</v>
      </c>
      <c r="AW677" s="685" t="e">
        <f t="shared" ca="1" si="11539"/>
        <v>#REF!</v>
      </c>
      <c r="AX677" s="686" t="str">
        <f ca="1">IFERROR(VLOOKUP(AW677,INDIRECT(AQ672),2,FALSE),"----")</f>
        <v>----</v>
      </c>
      <c r="AY677" s="685" t="e">
        <f t="shared" ca="1" si="12580"/>
        <v>#REF!</v>
      </c>
      <c r="AZ677" s="686" t="str">
        <f ca="1">IFERROR(VLOOKUP(AY677,INDIRECT(AQ673),2,FALSE),"----")</f>
        <v>----</v>
      </c>
      <c r="BA677" s="685" t="e">
        <f t="shared" ca="1" si="12581"/>
        <v>#REF!</v>
      </c>
      <c r="BB677" s="686" t="str">
        <f ca="1">IFERROR(VLOOKUP(BA677,INDIRECT(AQ674),2,FALSE),"----")</f>
        <v>----</v>
      </c>
      <c r="BC677" s="685" t="e">
        <f t="shared" ca="1" si="11542"/>
        <v>#REF!</v>
      </c>
      <c r="BD677" s="686" t="str">
        <f ca="1">IFERROR(VLOOKUP(BC677,INDIRECT(AQ675),2,FALSE),"----")</f>
        <v>----</v>
      </c>
      <c r="BE677" s="685" t="e">
        <f t="shared" ca="1" si="11543"/>
        <v>#REF!</v>
      </c>
      <c r="BF677" s="686" t="str">
        <f ca="1">IFERROR(VLOOKUP(BE677,INDIRECT(AQ676),2,FALSE),"----")</f>
        <v>----</v>
      </c>
      <c r="BG677" s="702" t="e">
        <f t="shared" ca="1" si="11544"/>
        <v>#REF!</v>
      </c>
      <c r="BH677" s="686" t="str">
        <f ca="1">IFERROR(VLOOKUP(BG677,INDIRECT(AQ677),2,FALSE),"----")</f>
        <v>----</v>
      </c>
      <c r="BI677" s="702" t="e">
        <f t="shared" ca="1" si="11545"/>
        <v>#REF!</v>
      </c>
      <c r="BJ677" s="686" t="str">
        <f ca="1">IFERROR(VLOOKUP(BI677,INDIRECT(AQ678),2,FALSE),"----")</f>
        <v>----</v>
      </c>
      <c r="BK677" s="702" t="e">
        <f t="shared" ca="1" si="11546"/>
        <v>#REF!</v>
      </c>
      <c r="BL677" s="686" t="str">
        <f ca="1">IFERROR(VLOOKUP(BK677,INDIRECT(AQ679),2,FALSE),"----")</f>
        <v>----</v>
      </c>
      <c r="BM677" s="702" t="e">
        <f t="shared" ca="1" si="11547"/>
        <v>#REF!</v>
      </c>
      <c r="BN677" s="686" t="str">
        <f ca="1">IFERROR(VLOOKUP(BM677,INDIRECT(AQ680),2,FALSE),"----")</f>
        <v>----</v>
      </c>
      <c r="BO677" s="702" t="e">
        <f t="shared" ca="1" si="11548"/>
        <v>#REF!</v>
      </c>
      <c r="BP677" s="686" t="str">
        <f ca="1">IFERROR(VLOOKUP(BO677,INDIRECT(AQ681),2,FALSE),"----")</f>
        <v>----</v>
      </c>
      <c r="BQ677" s="702" t="e">
        <f t="shared" ca="1" si="11549"/>
        <v>#REF!</v>
      </c>
      <c r="BR677" s="686" t="str">
        <f ca="1">IFERROR(VLOOKUP(BQ677,INDIRECT(AQ682),2,FALSE),"----")</f>
        <v>----</v>
      </c>
      <c r="BS677" s="695">
        <f>IF(AI677="",1,IF(COUNTIF(BH671:BH682,AI677)=0,2,1))</f>
        <v>1</v>
      </c>
      <c r="BT677" s="696">
        <f>IF(AP677="1",1,IF(AF677="",1,IF(BH671=".",2,1)))</f>
        <v>1</v>
      </c>
      <c r="BU677" s="706"/>
      <c r="BV677" s="155">
        <f ca="1">IF(COUNTIF(DI671:DI682,AF677)=0,IF(AF677&lt;&gt;"",0,1),1)</f>
        <v>1</v>
      </c>
      <c r="BW677" s="157">
        <f ca="1">IFERROR(MATCH(AF677,DI671:DI682,0),1)</f>
        <v>1</v>
      </c>
      <c r="BX677" s="769" t="s">
        <v>1593</v>
      </c>
      <c r="BY677" s="769" t="s">
        <v>1629</v>
      </c>
      <c r="BZ677" s="1110"/>
      <c r="CA677" s="691" t="e">
        <f t="shared" ca="1" si="12497"/>
        <v>#REF!</v>
      </c>
      <c r="CB677" s="4" t="e" cm="1">
        <f t="array" aca="1" ref="CB677" ca="1">IF(AND(INDEX(INDIRECT(BY671),CA677,4)&gt;=$AB671,INDEX(INDIRECT(BY671),CA677,5)&gt;=$S671,INDEX(INDIRECT(BY671),CA677,6)&gt;=$R671),1,0)</f>
        <v>#REF!</v>
      </c>
      <c r="CC677" s="4" t="e">
        <f t="shared" ref="CC677" ca="1" si="12604">MATCH(1,OFFSET(CB671:CB682,CD676,0,COUNT(CB671:CB682)-CD676),0)</f>
        <v>#REF!</v>
      </c>
      <c r="CD677" s="4" t="e">
        <f t="shared" ca="1" si="12499"/>
        <v>#REF!</v>
      </c>
      <c r="CE677" s="692" t="str" cm="1">
        <f t="array" aca="1" ref="CE677" ca="1">IFERROR(VLOOKUP(INDEX(CA671:CA682,CD677),INDIRECT(BY671),2,FALSE),"----")</f>
        <v>----</v>
      </c>
      <c r="CF677" s="691" t="e">
        <f t="shared" ca="1" si="12500"/>
        <v>#N/A</v>
      </c>
      <c r="CG677" s="4" t="e">
        <f ca="1">IF(AND(INDEX(SSM,CF677,4)&gt;=$AB671,INDEX(SSM,CF677,5)&gt;=$S671,INDEX(SSM,CF677,6)&gt;=$R671),1,0)</f>
        <v>#N/A</v>
      </c>
      <c r="CH677" s="4" t="e">
        <f t="shared" ref="CH677" ca="1" si="12605">MATCH(1,OFFSET(CG671:CG682,CI676,0,COUNT(CG671:CG682)-CI676),0)</f>
        <v>#REF!</v>
      </c>
      <c r="CI677" s="4" t="e">
        <f t="shared" ca="1" si="12502"/>
        <v>#REF!</v>
      </c>
      <c r="CJ677" s="692" t="str">
        <f ca="1">IFERROR(IF(AD672="Nested Steel Stud (wood infill)",VLOOKUP(INDEX(CF671:CF682,CI677),SSW,2,FALSE),VLOOKUP(INDEX(CF671:CF682,CI677),SSM,2,FALSE)),"----")</f>
        <v>----</v>
      </c>
      <c r="CK677" s="691" t="e">
        <f t="shared" ca="1" si="12503"/>
        <v>#N/A</v>
      </c>
      <c r="CL677" s="4" t="e">
        <f ca="1">IF(AND(INDEX(WSM,CK677,4)&gt;=$AB671,INDEX(WSM,CK677,5)&gt;=$S671,INDEX(WSM,CK677,6)&gt;=$R671),1,0)</f>
        <v>#N/A</v>
      </c>
      <c r="CM677" s="4" t="e">
        <f t="shared" ref="CM677" ca="1" si="12606">MATCH(1,OFFSET(CL671:CL682,CN676,0,COUNT(CL671:CL682)-CN676),0)</f>
        <v>#REF!</v>
      </c>
      <c r="CN677" s="4" t="e">
        <f t="shared" ca="1" si="12505"/>
        <v>#REF!</v>
      </c>
      <c r="CO677" s="692" t="str">
        <f ca="1">IFERROR(VLOOKUP(INDEX(CK671:CK682,CN677),WSM,2,FALSE),"----")</f>
        <v>----</v>
      </c>
      <c r="CP677" s="691" t="e">
        <f t="shared" ca="1" si="12506"/>
        <v>#N/A</v>
      </c>
      <c r="CQ677" s="4" t="e">
        <f ca="1">IF(AND(INDEX(STM,CP677,4)&gt;=$AB671,INDEX(STM,CP677,5)&gt;=$S671,INDEX(STM,CP677,6)&gt;=$R671),1,0)</f>
        <v>#N/A</v>
      </c>
      <c r="CR677" s="4" t="e">
        <f t="shared" ref="CR677" ca="1" si="12607">MATCH(1,OFFSET(CQ671:CQ682,CS676,0,COUNT(CQ671:CQ682)-CS676),0)</f>
        <v>#REF!</v>
      </c>
      <c r="CS677" s="4" t="e">
        <f t="shared" ca="1" si="12508"/>
        <v>#REF!</v>
      </c>
      <c r="CT677" s="692" t="str">
        <f ca="1">IFERROR(VLOOKUP(INDEX(CP671:CP682,CS677),STM,2,FALSE),"----")</f>
        <v>----</v>
      </c>
      <c r="CU677" s="691" t="e">
        <f t="shared" ca="1" si="12509"/>
        <v>#N/A</v>
      </c>
      <c r="CV677" s="4" t="e">
        <f ca="1">IF(AND(INDEX(ELM,CU677,4)&gt;=$AB671,INDEX(ELM,CU677,5)&gt;=$S671,INDEX(ELM,CU677,6)&gt;=$R671),1,0)</f>
        <v>#N/A</v>
      </c>
      <c r="CW677" s="4" t="e">
        <f t="shared" ref="CW677" ca="1" si="12608">MATCH(1,OFFSET(CV671:CV682,CX676,0,COUNT(CV671:CV682)-CX676),0)</f>
        <v>#REF!</v>
      </c>
      <c r="CX677" s="4" t="e">
        <f t="shared" ca="1" si="12511"/>
        <v>#REF!</v>
      </c>
      <c r="CY677" s="692" t="str">
        <f ca="1">IFERROR(VLOOKUP(INDEX(CU671:CU682,CX677),ELM,2,FALSE),"----")</f>
        <v>----</v>
      </c>
      <c r="CZ677" s="691" t="e">
        <f t="shared" ca="1" si="12512"/>
        <v>#N/A</v>
      </c>
      <c r="DA677" s="4" t="e">
        <f ca="1">IF(LEFT($J671,7)="Clad Wo",IF(AND(INDEX(SPPWS,CZ677,4)&gt;=$AB671,INDEX(SPPWS,CZ677,5)&gt;=$S671,INDEX(SPPWS,CZ677,6)&gt;=$R671),1,0),IF(AND(INDEX(SPM,CZ677,4)&gt;=$AB671,INDEX(SPM,CZ677,5)&gt;=$S671,INDEX(SPM,CZ677,6)&gt;=$R671),1,0))</f>
        <v>#N/A</v>
      </c>
      <c r="DB677" s="4" t="e">
        <f t="shared" ref="DB677" ca="1" si="12609">MATCH(1,OFFSET(DA671:DA682,DC676,0,COUNT(DA671:DA682)-DC676),0)</f>
        <v>#REF!</v>
      </c>
      <c r="DC677" s="4" t="e">
        <f t="shared" ca="1" si="12514"/>
        <v>#REF!</v>
      </c>
      <c r="DD677" s="693" t="str">
        <f ca="1">IF(LEFT($J671,7)="Clad Wo",IFERROR(VLOOKUP(INDEX(CZ671:CZ682,DC677),SPPWS,2,FALSE),"----"),IFERROR(VLOOKUP(INDEX(CZ671:CZ682,DC677),SPM,2,FALSE),"----"))</f>
        <v>----</v>
      </c>
      <c r="DE677" s="691" t="e">
        <f t="shared" ca="1" si="12515"/>
        <v>#REF!</v>
      </c>
      <c r="DF677" s="4" t="e" cm="1">
        <f t="array" aca="1" ref="DF677" ca="1">IF(AND(INDEX(INDIRECT(BY671),DE677,4)&gt;=$AB677,INDEX(INDIRECT(BY671),DE677,5)&gt;=$S671,INDEX(INDIRECT(BY671),DE677,6)&gt;=$R671),1,0)</f>
        <v>#REF!</v>
      </c>
      <c r="DG677" s="4" t="e">
        <f t="shared" ref="DG677" ca="1" si="12610">MATCH(1,OFFSET(DF671:DF682,DH676,0,COUNT(DF671:DF682)-DH676),0)</f>
        <v>#REF!</v>
      </c>
      <c r="DH677" s="4" t="e">
        <f t="shared" ca="1" si="12517"/>
        <v>#REF!</v>
      </c>
      <c r="DI677" s="692" t="str" cm="1">
        <f t="array" aca="1" ref="DI677" ca="1">IFERROR(VLOOKUP(INDEX(DE671:DE682,DH677),INDIRECT(BY671),2,FALSE),"----")</f>
        <v>----</v>
      </c>
      <c r="DJ677" s="691" t="e">
        <f t="shared" ca="1" si="12518"/>
        <v>#N/A</v>
      </c>
      <c r="DK677" s="4" t="e">
        <f ca="1">IF(AND(INDEX(SSM,DJ677,4)&gt;=$AB677,INDEX(SSM,DJ677,5)&gt;=$S671,INDEX(SSM,DJ677,6)&gt;=$R671),1,0)</f>
        <v>#N/A</v>
      </c>
      <c r="DL677" s="4" t="e">
        <f t="shared" ref="DL677" ca="1" si="12611">MATCH(1,OFFSET(DK671:DK682,DM676,0,COUNT(DK671:DK682)-DM676),0)</f>
        <v>#REF!</v>
      </c>
      <c r="DM677" s="4" t="e">
        <f t="shared" ca="1" si="12520"/>
        <v>#REF!</v>
      </c>
      <c r="DN677" s="692" t="str">
        <f ca="1">IFERROR(IF(AD678="Nested Steel Stud (wood infill)",VLOOKUP(INDEX(DJ671:DJ682,DM677),SSW,2,FALSE),VLOOKUP(INDEX(DJ671:DJ682,DM677),SSM,2,FALSE)),"----")</f>
        <v>----</v>
      </c>
      <c r="DO677" s="691" t="e">
        <f t="shared" ca="1" si="12521"/>
        <v>#N/A</v>
      </c>
      <c r="DP677" s="4" t="e">
        <f ca="1">IF(AND(INDEX(WSM,DO677,4)&gt;=$AB677,INDEX(WSM,DO677,5)&gt;=$S671,INDEX(WSM,DO677,6)&gt;=$R671),1,0)</f>
        <v>#N/A</v>
      </c>
      <c r="DQ677" s="4" t="e">
        <f t="shared" ref="DQ677" ca="1" si="12612">MATCH(1,OFFSET(DP671:DP682,DR676,0,COUNT(DP671:DP682)-DR676),0)</f>
        <v>#REF!</v>
      </c>
      <c r="DR677" s="4" t="e">
        <f t="shared" ca="1" si="12523"/>
        <v>#REF!</v>
      </c>
      <c r="DS677" s="692" t="str">
        <f ca="1">IFERROR(VLOOKUP(INDEX(DO671:DO682,DR677),WSM,2,FALSE),"----")</f>
        <v>----</v>
      </c>
      <c r="DT677" s="691" t="e">
        <f t="shared" ca="1" si="12524"/>
        <v>#N/A</v>
      </c>
      <c r="DU677" s="4" t="e">
        <f ca="1">IF(AND(INDEX(STM,DT677,4)&gt;=$AB677,INDEX(STM,DT677,5)&gt;=$S671,INDEX(STM,DT677,6)&gt;=$R671),1,0)</f>
        <v>#N/A</v>
      </c>
      <c r="DV677" s="4" t="e">
        <f t="shared" ref="DV677" ca="1" si="12613">MATCH(1,OFFSET(DU671:DU682,DW676,0,COUNT(DU671:DU682)-DW676),0)</f>
        <v>#REF!</v>
      </c>
      <c r="DW677" s="4" t="e">
        <f t="shared" ca="1" si="12526"/>
        <v>#REF!</v>
      </c>
      <c r="DX677" s="692" t="str">
        <f ca="1">IFERROR(VLOOKUP(INDEX(DT671:DT682,DW677),STM,2,FALSE),"----")</f>
        <v>----</v>
      </c>
      <c r="DY677" s="691" t="e">
        <f t="shared" ca="1" si="12527"/>
        <v>#N/A</v>
      </c>
      <c r="DZ677" s="4" t="e">
        <f ca="1">IF(AND(INDEX(ELM,DY677,4)&gt;=$AB677,INDEX(ELM,DY677,5)&gt;=$S671,INDEX(ELM,DY677,6)&gt;=$R671),1,0)</f>
        <v>#N/A</v>
      </c>
      <c r="EA677" s="4" t="e">
        <f t="shared" ref="EA677" ca="1" si="12614">MATCH(1,OFFSET(DZ671:DZ682,EB676,0,COUNT(DZ671:DZ682)-EB676),0)</f>
        <v>#REF!</v>
      </c>
      <c r="EB677" s="4" t="e">
        <f t="shared" ca="1" si="12529"/>
        <v>#REF!</v>
      </c>
      <c r="EC677" s="692" t="str">
        <f ca="1">IFERROR(VLOOKUP(INDEX(DY671:DY682,EB677),ELM,2,FALSE),"----")</f>
        <v>----</v>
      </c>
      <c r="ED677" s="691" t="e">
        <f t="shared" ca="1" si="12530"/>
        <v>#N/A</v>
      </c>
      <c r="EE677" s="4" t="e">
        <f ca="1">IF(LEFT($J671,7)="Clad Wo",IF(AND(INDEX(SPPWS,ED677,4)&gt;=$AB677,INDEX(SPPWS,ED677,5)&gt;=$S671,INDEX(SPPWS,ED677,6)&gt;=$R671),1,0),IF(AND(INDEX(SPM,ED677,4)&gt;=$AB677,INDEX(SPM,ED677,5)&gt;=$S671,INDEX(SPM,ED677,6)&gt;=$R671),1,0))</f>
        <v>#N/A</v>
      </c>
      <c r="EF677" s="4" t="e">
        <f t="shared" ref="EF677" ca="1" si="12615">MATCH(1,OFFSET(EE671:EE682,EG676,0,COUNT(EE671:EE682)-EG676),0)</f>
        <v>#REF!</v>
      </c>
      <c r="EG677" s="4" t="e">
        <f t="shared" ca="1" si="12532"/>
        <v>#REF!</v>
      </c>
      <c r="EH677" s="692" t="str">
        <f ca="1">IF(LEFT($J671,7)="Clad Wo",IFERROR(VLOOKUP(INDEX(ED671:ED682,EG677),SPPWS,2,FALSE),"----"),IFERROR(VLOOKUP(INDEX(ED671:ED682,EG677),SPM,2,FALSE),"----"))</f>
        <v>----</v>
      </c>
    </row>
    <row r="678" spans="1:138" ht="15" customHeight="1" x14ac:dyDescent="0.25">
      <c r="A678" s="1085"/>
      <c r="B678" s="925"/>
      <c r="C678" s="926"/>
      <c r="D678" s="927"/>
      <c r="E678" s="995"/>
      <c r="F678" s="996"/>
      <c r="G678" s="997"/>
      <c r="H678" s="1062"/>
      <c r="I678" s="990"/>
      <c r="J678" s="912"/>
      <c r="K678" s="913"/>
      <c r="L678" s="1002"/>
      <c r="M678" s="923"/>
      <c r="N678" s="1042"/>
      <c r="O678" s="1018"/>
      <c r="P678" s="987"/>
      <c r="Q678" s="1015"/>
      <c r="R678" s="1012"/>
      <c r="S678" s="1006"/>
      <c r="T678" s="1007"/>
      <c r="U678" s="878"/>
      <c r="V678" s="881"/>
      <c r="W678" s="884"/>
      <c r="X678" s="884"/>
      <c r="Y678" s="887"/>
      <c r="Z678" s="887"/>
      <c r="AA678" s="887"/>
      <c r="AB678" s="1081"/>
      <c r="AC678" s="1078"/>
      <c r="AD678" s="1070" t="str">
        <f t="shared" ref="AD678" si="12616">IF(ISBLANK(AD672)=TRUE,"",AD672)</f>
        <v>Nested Steel Stud</v>
      </c>
      <c r="AE678" s="1071"/>
      <c r="AF678" s="1052"/>
      <c r="AG678" s="1053"/>
      <c r="AH678" s="1053"/>
      <c r="AI678" s="1066"/>
      <c r="AJ678" s="1067"/>
      <c r="AK678" s="156" t="str">
        <f t="shared" ca="1" si="12578"/>
        <v/>
      </c>
      <c r="AL678" s="1059"/>
      <c r="AM678" s="343" t="str">
        <f ca="1">IFERROR(Q671/12*ROUND(VLOOKUP(AF678,OFFSET(SSM,0,1),6,FALSE),2),"")</f>
        <v/>
      </c>
      <c r="AN678" t="str">
        <f t="shared" ca="1" si="12602"/>
        <v/>
      </c>
      <c r="AP678" s="122" t="str">
        <f t="shared" ref="AP678" si="12617">_xlfn.CONCAT(AR678,AS682)</f>
        <v/>
      </c>
      <c r="AQ678" s="683" t="str">
        <f t="shared" si="11512"/>
        <v/>
      </c>
      <c r="AR678" s="96" t="str">
        <f t="shared" si="12562"/>
        <v/>
      </c>
      <c r="AS678" s="96" t="str">
        <f>IF(COUNTIF(Vista_1,AF677)=1,"Vista_1",IF(COUNTIF(Vista_2,AF677)=1,"Vista_2",""))</f>
        <v/>
      </c>
      <c r="AT678" s="684" t="str">
        <f>AL677</f>
        <v/>
      </c>
      <c r="AU678" s="694" t="e">
        <f t="shared" ca="1" si="11538"/>
        <v>#REF!</v>
      </c>
      <c r="AV678" s="686" t="str">
        <f ca="1">IFERROR(VLOOKUP(AU678,INDIRECT(AQ671),2,FALSE),"----")</f>
        <v>----</v>
      </c>
      <c r="AW678" s="694" t="e">
        <f t="shared" ca="1" si="11539"/>
        <v>#REF!</v>
      </c>
      <c r="AX678" s="686" t="str">
        <f ca="1">IFERROR(VLOOKUP(AW678,INDIRECT(AQ672),2,FALSE),"----")</f>
        <v>----</v>
      </c>
      <c r="AY678" s="694" t="e">
        <f t="shared" ca="1" si="12580"/>
        <v>#REF!</v>
      </c>
      <c r="AZ678" s="686" t="str">
        <f ca="1">IFERROR(VLOOKUP(AY678,INDIRECT(AQ673),2,FALSE),"----")</f>
        <v>----</v>
      </c>
      <c r="BA678" s="694" t="e">
        <f t="shared" ca="1" si="12581"/>
        <v>#REF!</v>
      </c>
      <c r="BB678" s="686" t="str">
        <f ca="1">IFERROR(VLOOKUP(BA678,INDIRECT(AQ674),2,FALSE),"----")</f>
        <v>----</v>
      </c>
      <c r="BC678" s="694" t="e">
        <f t="shared" ca="1" si="11542"/>
        <v>#REF!</v>
      </c>
      <c r="BD678" s="686" t="str">
        <f ca="1">IFERROR(VLOOKUP(BC678,INDIRECT(AQ675),2,FALSE),"----")</f>
        <v>----</v>
      </c>
      <c r="BE678" s="694" t="e">
        <f t="shared" ca="1" si="11543"/>
        <v>#REF!</v>
      </c>
      <c r="BF678" s="686" t="str">
        <f ca="1">IFERROR(VLOOKUP(BE678,INDIRECT(AQ676),2,FALSE),"----")</f>
        <v>----</v>
      </c>
      <c r="BG678" s="702" t="e">
        <f t="shared" ca="1" si="11544"/>
        <v>#REF!</v>
      </c>
      <c r="BH678" s="686" t="str">
        <f ca="1">IFERROR(VLOOKUP(BG678,INDIRECT(AQ677),2,FALSE),"----")</f>
        <v>----</v>
      </c>
      <c r="BI678" s="702" t="e">
        <f t="shared" ca="1" si="11545"/>
        <v>#REF!</v>
      </c>
      <c r="BJ678" s="686" t="str">
        <f ca="1">IFERROR(VLOOKUP(BI678,INDIRECT(AQ678),2,FALSE),"----")</f>
        <v>----</v>
      </c>
      <c r="BK678" s="702" t="e">
        <f t="shared" ca="1" si="11546"/>
        <v>#REF!</v>
      </c>
      <c r="BL678" s="686" t="str">
        <f ca="1">IFERROR(VLOOKUP(BK678,INDIRECT(AQ679),2,FALSE),"----")</f>
        <v>----</v>
      </c>
      <c r="BM678" s="702" t="e">
        <f t="shared" ca="1" si="11547"/>
        <v>#REF!</v>
      </c>
      <c r="BN678" s="686" t="str">
        <f ca="1">IFERROR(VLOOKUP(BM678,INDIRECT(AQ680),2,FALSE),"----")</f>
        <v>----</v>
      </c>
      <c r="BO678" s="702" t="e">
        <f t="shared" ca="1" si="11548"/>
        <v>#REF!</v>
      </c>
      <c r="BP678" s="686" t="str">
        <f ca="1">IFERROR(VLOOKUP(BO678,INDIRECT(AQ681),2,FALSE),"----")</f>
        <v>----</v>
      </c>
      <c r="BQ678" s="702" t="e">
        <f t="shared" ca="1" si="11549"/>
        <v>#REF!</v>
      </c>
      <c r="BR678" s="686" t="str">
        <f ca="1">IFERROR(VLOOKUP(BQ678,INDIRECT(AQ682),2,FALSE),"----")</f>
        <v>----</v>
      </c>
      <c r="BS678" s="695">
        <f>IF(AI678="",1,IF(COUNTIF(BJ671:BJ682,AI678)=0,2,1))</f>
        <v>1</v>
      </c>
      <c r="BT678" s="696">
        <f>IF(AF678="",1,IF(BJ671=".",2,1))</f>
        <v>1</v>
      </c>
      <c r="BU678" s="706"/>
      <c r="BV678" s="155">
        <f ca="1">IF(COUNTIF(DN671:DN682,AF678)=0,IF(AF678&lt;&gt;"",0,1),1)</f>
        <v>1</v>
      </c>
      <c r="BW678" s="157">
        <f ca="1">IFERROR(MATCH(AF678,DN671:DN682,0),1)</f>
        <v>1</v>
      </c>
      <c r="BX678" s="769">
        <f t="shared" ref="BX678" si="12618">E671*(H671+I671)/144/2</f>
        <v>0</v>
      </c>
      <c r="BY678" s="769">
        <f>SUM(IF(H671&gt;E671,E671^2/4,(H671*E671/2)-(H671^2/4))/144,IF(I671&gt;E671,E671^2/4,(I671*E671/2)-(I671^2/4))/144)</f>
        <v>0</v>
      </c>
      <c r="BZ678" s="1110"/>
      <c r="CA678" s="691" t="e">
        <f t="shared" ca="1" si="12497"/>
        <v>#REF!</v>
      </c>
      <c r="CB678" s="4" t="e" cm="1">
        <f t="array" aca="1" ref="CB678" ca="1">IF(AND(INDEX(INDIRECT(BY671),CA678,4)&gt;=$AB671,INDEX(INDIRECT(BY671),CA678,5)&gt;=$S671,INDEX(INDIRECT(BY671),CA678,6)&gt;=$R671),1,0)</f>
        <v>#REF!</v>
      </c>
      <c r="CC678" s="4" t="e">
        <f t="shared" ref="CC678" ca="1" si="12619">MATCH(1,OFFSET(CB671:CB682,CD677,0,COUNT(CB671:CB682)-CD677),0)</f>
        <v>#REF!</v>
      </c>
      <c r="CD678" s="4" t="e">
        <f t="shared" ca="1" si="12499"/>
        <v>#REF!</v>
      </c>
      <c r="CE678" s="692" t="str" cm="1">
        <f t="array" aca="1" ref="CE678" ca="1">IFERROR(VLOOKUP(INDEX(CA671:CA682,CD678),INDIRECT(BY671),2,FALSE),"----")</f>
        <v>----</v>
      </c>
      <c r="CF678" s="691" t="e">
        <f t="shared" ca="1" si="12500"/>
        <v>#N/A</v>
      </c>
      <c r="CG678" s="4" t="e">
        <f ca="1">IF(AND(INDEX(SSM,CF678,4)&gt;=$AB671,INDEX(SSM,CF678,5)&gt;=$S671,INDEX(SSM,CF678,6)&gt;=$R671),1,0)</f>
        <v>#N/A</v>
      </c>
      <c r="CH678" s="4" t="e">
        <f t="shared" ref="CH678" ca="1" si="12620">MATCH(1,OFFSET(CG671:CG682,CI677,0,COUNT(CG671:CG682)-CI677),0)</f>
        <v>#REF!</v>
      </c>
      <c r="CI678" s="4" t="e">
        <f t="shared" ca="1" si="12502"/>
        <v>#REF!</v>
      </c>
      <c r="CJ678" s="692" t="str">
        <f ca="1">IFERROR(IF(AD672="Nested Steel Stud (wood infill)",VLOOKUP(INDEX(CF671:CF682,CI678),SSW,2,FALSE),VLOOKUP(INDEX(CF671:CF682,CI678),SSM,2,FALSE)),"----")</f>
        <v>----</v>
      </c>
      <c r="CK678" s="691" t="e">
        <f t="shared" ca="1" si="12503"/>
        <v>#N/A</v>
      </c>
      <c r="CL678" s="4" t="e">
        <f ca="1">IF(AND(INDEX(WSM,CK678,4)&gt;=$AB671,INDEX(WSM,CK678,5)&gt;=$S671,INDEX(WSM,CK678,6)&gt;=$R671),1,0)</f>
        <v>#N/A</v>
      </c>
      <c r="CM678" s="4" t="e">
        <f t="shared" ref="CM678" ca="1" si="12621">MATCH(1,OFFSET(CL671:CL682,CN677,0,COUNT(CL671:CL682)-CN677),0)</f>
        <v>#REF!</v>
      </c>
      <c r="CN678" s="4" t="e">
        <f t="shared" ca="1" si="12505"/>
        <v>#REF!</v>
      </c>
      <c r="CO678" s="692" t="str">
        <f ca="1">IFERROR(VLOOKUP(INDEX(CK671:CK682,CN678),WSM,2,FALSE),"----")</f>
        <v>----</v>
      </c>
      <c r="CP678" s="691" t="e">
        <f t="shared" ca="1" si="12506"/>
        <v>#N/A</v>
      </c>
      <c r="CQ678" s="4" t="e">
        <f ca="1">IF(AND(INDEX(STM,CP678,4)&gt;=$AB671,INDEX(STM,CP678,5)&gt;=$S671,INDEX(STM,CP678,6)&gt;=$R671),1,0)</f>
        <v>#N/A</v>
      </c>
      <c r="CR678" s="4" t="e">
        <f t="shared" ref="CR678" ca="1" si="12622">MATCH(1,OFFSET(CQ671:CQ682,CS677,0,COUNT(CQ671:CQ682)-CS677),0)</f>
        <v>#REF!</v>
      </c>
      <c r="CS678" s="4" t="e">
        <f t="shared" ca="1" si="12508"/>
        <v>#REF!</v>
      </c>
      <c r="CT678" s="692" t="str">
        <f ca="1">IFERROR(VLOOKUP(INDEX(CP671:CP682,CS678),STM,2,FALSE),"----")</f>
        <v>----</v>
      </c>
      <c r="CU678" s="691" t="e">
        <f t="shared" ca="1" si="12509"/>
        <v>#N/A</v>
      </c>
      <c r="CV678" s="4" t="e">
        <f ca="1">IF(AND(INDEX(ELM,CU678,4)&gt;=$AB671,INDEX(ELM,CU678,5)&gt;=$S671,INDEX(ELM,CU678,6)&gt;=$R671),1,0)</f>
        <v>#N/A</v>
      </c>
      <c r="CW678" s="4" t="e">
        <f t="shared" ref="CW678" ca="1" si="12623">MATCH(1,OFFSET(CV671:CV682,CX677,0,COUNT(CV671:CV682)-CX677),0)</f>
        <v>#REF!</v>
      </c>
      <c r="CX678" s="4" t="e">
        <f t="shared" ca="1" si="12511"/>
        <v>#REF!</v>
      </c>
      <c r="CY678" s="692" t="str">
        <f ca="1">IFERROR(VLOOKUP(INDEX(CU671:CU682,CX678),ELM,2,FALSE),"----")</f>
        <v>----</v>
      </c>
      <c r="CZ678" s="691" t="e">
        <f t="shared" ca="1" si="12512"/>
        <v>#N/A</v>
      </c>
      <c r="DA678" s="4" t="e">
        <f ca="1">IF(LEFT($J671,7)="Clad Wo",IF(AND(INDEX(SPPWS,CZ678,4)&gt;=$AB671,INDEX(SPPWS,CZ678,5)&gt;=$S671,INDEX(SPPWS,CZ678,6)&gt;=$R671),1,0),IF(AND(INDEX(SPM,CZ678,4)&gt;=$AB671,INDEX(SPM,CZ678,5)&gt;=$S671,INDEX(SPM,CZ678,6)&gt;=$R671),1,0))</f>
        <v>#N/A</v>
      </c>
      <c r="DB678" s="4" t="e">
        <f t="shared" ref="DB678" ca="1" si="12624">MATCH(1,OFFSET(DA671:DA682,DC677,0,COUNT(DA671:DA682)-DC677),0)</f>
        <v>#REF!</v>
      </c>
      <c r="DC678" s="4" t="e">
        <f t="shared" ca="1" si="12514"/>
        <v>#REF!</v>
      </c>
      <c r="DD678" s="693" t="str">
        <f ca="1">IF(LEFT($J671,7)="Clad Wo",IFERROR(VLOOKUP(INDEX(CZ671:CZ682,DC678),SPPWS,2,FALSE),"----"),IFERROR(VLOOKUP(INDEX(CZ671:CZ682,DC678),SPM,2,FALSE),"----"))</f>
        <v>----</v>
      </c>
      <c r="DE678" s="691" t="e">
        <f t="shared" ca="1" si="12515"/>
        <v>#REF!</v>
      </c>
      <c r="DF678" s="4" t="e" cm="1">
        <f t="array" aca="1" ref="DF678" ca="1">IF(AND(INDEX(INDIRECT(BY671),DE678,4)&gt;=$AB677,INDEX(INDIRECT(BY671),DE678,5)&gt;=$S671,INDEX(INDIRECT(BY671),DE678,6)&gt;=$R671),1,0)</f>
        <v>#REF!</v>
      </c>
      <c r="DG678" s="4" t="e">
        <f t="shared" ref="DG678" ca="1" si="12625">MATCH(1,OFFSET(DF671:DF682,DH677,0,COUNT(DF671:DF682)-DH677),0)</f>
        <v>#REF!</v>
      </c>
      <c r="DH678" s="4" t="e">
        <f t="shared" ca="1" si="12517"/>
        <v>#REF!</v>
      </c>
      <c r="DI678" s="692" t="str" cm="1">
        <f t="array" aca="1" ref="DI678" ca="1">IFERROR(VLOOKUP(INDEX(DE671:DE682,DH678),INDIRECT(BY671),2,FALSE),"----")</f>
        <v>----</v>
      </c>
      <c r="DJ678" s="691" t="e">
        <f t="shared" ca="1" si="12518"/>
        <v>#N/A</v>
      </c>
      <c r="DK678" s="4" t="e">
        <f ca="1">IF(AND(INDEX(SSM,DJ678,4)&gt;=$AB677,INDEX(SSM,DJ678,5)&gt;=$S671,INDEX(SSM,DJ678,6)&gt;=$R671),1,0)</f>
        <v>#N/A</v>
      </c>
      <c r="DL678" s="4" t="e">
        <f t="shared" ref="DL678" ca="1" si="12626">MATCH(1,OFFSET(DK671:DK682,DM677,0,COUNT(DK671:DK682)-DM677),0)</f>
        <v>#REF!</v>
      </c>
      <c r="DM678" s="4" t="e">
        <f t="shared" ca="1" si="12520"/>
        <v>#REF!</v>
      </c>
      <c r="DN678" s="692" t="str">
        <f ca="1">IFERROR(IF(AD678="Nested Steel Stud (wood infill)",VLOOKUP(INDEX(DJ671:DJ682,DM678),SSW,2,FALSE),VLOOKUP(INDEX(DJ671:DJ682,DM678),SSM,2,FALSE)),"----")</f>
        <v>----</v>
      </c>
      <c r="DO678" s="691" t="e">
        <f t="shared" ca="1" si="12521"/>
        <v>#N/A</v>
      </c>
      <c r="DP678" s="4" t="e">
        <f ca="1">IF(AND(INDEX(WSM,DO678,4)&gt;=$AB677,INDEX(WSM,DO678,5)&gt;=$S671,INDEX(WSM,DO678,6)&gt;=$R671),1,0)</f>
        <v>#N/A</v>
      </c>
      <c r="DQ678" s="4" t="e">
        <f t="shared" ref="DQ678" ca="1" si="12627">MATCH(1,OFFSET(DP671:DP682,DR677,0,COUNT(DP671:DP682)-DR677),0)</f>
        <v>#REF!</v>
      </c>
      <c r="DR678" s="4" t="e">
        <f t="shared" ca="1" si="12523"/>
        <v>#REF!</v>
      </c>
      <c r="DS678" s="692" t="str">
        <f ca="1">IFERROR(VLOOKUP(INDEX(DO671:DO682,DR678),WSM,2,FALSE),"----")</f>
        <v>----</v>
      </c>
      <c r="DT678" s="691" t="e">
        <f t="shared" ca="1" si="12524"/>
        <v>#N/A</v>
      </c>
      <c r="DU678" s="4" t="e">
        <f ca="1">IF(AND(INDEX(STM,DT678,4)&gt;=$AB677,INDEX(STM,DT678,5)&gt;=$S671,INDEX(STM,DT678,6)&gt;=$R671),1,0)</f>
        <v>#N/A</v>
      </c>
      <c r="DV678" s="4" t="e">
        <f t="shared" ref="DV678" ca="1" si="12628">MATCH(1,OFFSET(DU671:DU682,DW677,0,COUNT(DU671:DU682)-DW677),0)</f>
        <v>#REF!</v>
      </c>
      <c r="DW678" s="4" t="e">
        <f t="shared" ca="1" si="12526"/>
        <v>#REF!</v>
      </c>
      <c r="DX678" s="692" t="str">
        <f ca="1">IFERROR(VLOOKUP(INDEX(DT671:DT682,DW678),STM,2,FALSE),"----")</f>
        <v>----</v>
      </c>
      <c r="DY678" s="691" t="e">
        <f t="shared" ca="1" si="12527"/>
        <v>#N/A</v>
      </c>
      <c r="DZ678" s="4" t="e">
        <f ca="1">IF(AND(INDEX(ELM,DY678,4)&gt;=$AB677,INDEX(ELM,DY678,5)&gt;=$S671,INDEX(ELM,DY678,6)&gt;=$R671),1,0)</f>
        <v>#N/A</v>
      </c>
      <c r="EA678" s="4" t="e">
        <f t="shared" ref="EA678" ca="1" si="12629">MATCH(1,OFFSET(DZ671:DZ682,EB677,0,COUNT(DZ671:DZ682)-EB677),0)</f>
        <v>#REF!</v>
      </c>
      <c r="EB678" s="4" t="e">
        <f t="shared" ca="1" si="12529"/>
        <v>#REF!</v>
      </c>
      <c r="EC678" s="692" t="str">
        <f ca="1">IFERROR(VLOOKUP(INDEX(DY671:DY682,EB678),ELM,2,FALSE),"----")</f>
        <v>----</v>
      </c>
      <c r="ED678" s="691" t="e">
        <f t="shared" ca="1" si="12530"/>
        <v>#N/A</v>
      </c>
      <c r="EE678" s="4" t="e">
        <f ca="1">IF(LEFT($J671,7)="Clad Wo",IF(AND(INDEX(SPPWS,ED678,4)&gt;=$AB677,INDEX(SPPWS,ED678,5)&gt;=$S671,INDEX(SPPWS,ED678,6)&gt;=$R671),1,0),IF(AND(INDEX(SPM,ED678,4)&gt;=$AB677,INDEX(SPM,ED678,5)&gt;=$S671,INDEX(SPM,ED678,6)&gt;=$R671),1,0))</f>
        <v>#N/A</v>
      </c>
      <c r="EF678" s="4" t="e">
        <f t="shared" ref="EF678" ca="1" si="12630">MATCH(1,OFFSET(EE671:EE682,EG677,0,COUNT(EE671:EE682)-EG677),0)</f>
        <v>#REF!</v>
      </c>
      <c r="EG678" s="4" t="e">
        <f t="shared" ca="1" si="12532"/>
        <v>#REF!</v>
      </c>
      <c r="EH678" s="692" t="str">
        <f ca="1">IF(LEFT($J671,7)="Clad Wo",IFERROR(VLOOKUP(INDEX(ED671:ED682,EG678),SPPWS,2,FALSE),"----"),IFERROR(VLOOKUP(INDEX(ED671:ED682,EG678),SPM,2,FALSE),"----"))</f>
        <v>----</v>
      </c>
    </row>
    <row r="679" spans="1:138" ht="15" customHeight="1" x14ac:dyDescent="0.25">
      <c r="A679" s="1085"/>
      <c r="B679" s="925"/>
      <c r="C679" s="926"/>
      <c r="D679" s="927"/>
      <c r="E679" s="995"/>
      <c r="F679" s="996"/>
      <c r="G679" s="997"/>
      <c r="H679" s="1062"/>
      <c r="I679" s="990"/>
      <c r="J679" s="902"/>
      <c r="K679" s="903"/>
      <c r="L679" s="1002"/>
      <c r="M679" s="923"/>
      <c r="N679" s="1042"/>
      <c r="O679" s="1018"/>
      <c r="P679" s="987"/>
      <c r="Q679" s="1015"/>
      <c r="R679" s="1012"/>
      <c r="S679" s="1006"/>
      <c r="T679" s="1007"/>
      <c r="U679" s="878"/>
      <c r="V679" s="881"/>
      <c r="W679" s="884"/>
      <c r="X679" s="884"/>
      <c r="Y679" s="887"/>
      <c r="Z679" s="887"/>
      <c r="AA679" s="887"/>
      <c r="AB679" s="1081"/>
      <c r="AC679" s="1078"/>
      <c r="AD679" s="1070" t="str">
        <f t="shared" si="11681"/>
        <v>Wood Stud Framing</v>
      </c>
      <c r="AE679" s="1071"/>
      <c r="AF679" s="1052"/>
      <c r="AG679" s="1053"/>
      <c r="AH679" s="1053"/>
      <c r="AI679" s="1066"/>
      <c r="AJ679" s="1067"/>
      <c r="AK679" s="156" t="str">
        <f t="shared" ca="1" si="12578"/>
        <v/>
      </c>
      <c r="AL679" s="1059"/>
      <c r="AM679" s="344" t="str">
        <f ca="1">IFERROR(Q671/12*ROUND(VLOOKUP(AF679,OFFSET(WSM,0,1),6,FALSE),2),"")</f>
        <v/>
      </c>
      <c r="AN679" t="str">
        <f t="shared" ca="1" si="12602"/>
        <v/>
      </c>
      <c r="AP679" s="122" t="str">
        <f t="shared" ref="AP679" si="12631">_xlfn.CONCAT(AR679,AS682)</f>
        <v/>
      </c>
      <c r="AQ679" s="683" t="str">
        <f t="shared" si="11512"/>
        <v/>
      </c>
      <c r="AR679" s="4" t="str">
        <f t="shared" si="12562"/>
        <v/>
      </c>
      <c r="AS679" s="4"/>
      <c r="AT679" s="697" t="str">
        <f>AL677</f>
        <v/>
      </c>
      <c r="AU679" s="694" t="e">
        <f t="shared" ca="1" si="11538"/>
        <v>#REF!</v>
      </c>
      <c r="AV679" s="686" t="str">
        <f ca="1">IFERROR(VLOOKUP(AU679,INDIRECT(AQ671),2,FALSE),"----")</f>
        <v>----</v>
      </c>
      <c r="AW679" s="694" t="e">
        <f t="shared" ca="1" si="11539"/>
        <v>#REF!</v>
      </c>
      <c r="AX679" s="686" t="str">
        <f ca="1">IFERROR(VLOOKUP(AW679,INDIRECT(AQ672),2,FALSE),"----")</f>
        <v>----</v>
      </c>
      <c r="AY679" s="694" t="e">
        <f t="shared" ca="1" si="12580"/>
        <v>#REF!</v>
      </c>
      <c r="AZ679" s="686" t="str">
        <f ca="1">IFERROR(VLOOKUP(AY679,INDIRECT(AQ673),2,FALSE),"----")</f>
        <v>----</v>
      </c>
      <c r="BA679" s="694" t="e">
        <f t="shared" ca="1" si="12581"/>
        <v>#REF!</v>
      </c>
      <c r="BB679" s="686" t="str">
        <f ca="1">IFERROR(VLOOKUP(BA679,INDIRECT(AQ674),2,FALSE),"----")</f>
        <v>----</v>
      </c>
      <c r="BC679" s="694" t="e">
        <f t="shared" ca="1" si="11542"/>
        <v>#REF!</v>
      </c>
      <c r="BD679" s="686" t="str">
        <f ca="1">IFERROR(VLOOKUP(BC679,INDIRECT(AQ675),2,FALSE),"----")</f>
        <v>----</v>
      </c>
      <c r="BE679" s="694" t="e">
        <f t="shared" ca="1" si="11543"/>
        <v>#REF!</v>
      </c>
      <c r="BF679" s="686" t="str">
        <f ca="1">IFERROR(VLOOKUP(BE679,INDIRECT(AQ676),2,FALSE),"----")</f>
        <v>----</v>
      </c>
      <c r="BG679" s="702" t="e">
        <f t="shared" ca="1" si="11544"/>
        <v>#REF!</v>
      </c>
      <c r="BH679" s="686" t="str">
        <f ca="1">IFERROR(VLOOKUP(BG679,INDIRECT(AQ677),2,FALSE),"----")</f>
        <v>----</v>
      </c>
      <c r="BI679" s="702" t="e">
        <f t="shared" ca="1" si="11545"/>
        <v>#REF!</v>
      </c>
      <c r="BJ679" s="686" t="str">
        <f ca="1">IFERROR(VLOOKUP(BI679,INDIRECT(AQ678),2,FALSE),"----")</f>
        <v>----</v>
      </c>
      <c r="BK679" s="702" t="e">
        <f t="shared" ca="1" si="11546"/>
        <v>#REF!</v>
      </c>
      <c r="BL679" s="686" t="str">
        <f ca="1">IFERROR(VLOOKUP(BK679,INDIRECT(AQ679),2,FALSE),"----")</f>
        <v>----</v>
      </c>
      <c r="BM679" s="702" t="e">
        <f t="shared" ca="1" si="11547"/>
        <v>#REF!</v>
      </c>
      <c r="BN679" s="686" t="str">
        <f ca="1">IFERROR(VLOOKUP(BM679,INDIRECT(AQ680),2,FALSE),"----")</f>
        <v>----</v>
      </c>
      <c r="BO679" s="702" t="e">
        <f t="shared" ca="1" si="11548"/>
        <v>#REF!</v>
      </c>
      <c r="BP679" s="686" t="str">
        <f ca="1">IFERROR(VLOOKUP(BO679,INDIRECT(AQ681),2,FALSE),"----")</f>
        <v>----</v>
      </c>
      <c r="BQ679" s="702" t="e">
        <f t="shared" ca="1" si="11549"/>
        <v>#REF!</v>
      </c>
      <c r="BR679" s="686" t="str">
        <f ca="1">IFERROR(VLOOKUP(BQ679,INDIRECT(AQ682),2,FALSE),"----")</f>
        <v>----</v>
      </c>
      <c r="BS679" s="695">
        <f>IF(AI679="",1,IF(COUNTIF(BL671:BL682,AI679)=0,2,1))</f>
        <v>1</v>
      </c>
      <c r="BT679" s="696">
        <f>IF(AF679="",1,IF(BL671=".",2,1))</f>
        <v>1</v>
      </c>
      <c r="BU679" s="706"/>
      <c r="BV679" s="155">
        <f ca="1">IF(COUNTIF(DS671:DS682,AF679)=0,IF(AF679&lt;&gt;"",0,1),1)</f>
        <v>1</v>
      </c>
      <c r="BW679" s="157">
        <f ca="1">IFERROR(MATCH(AF679,DS671:DS682,0),1)</f>
        <v>1</v>
      </c>
      <c r="BX679" s="769" t="e">
        <f t="shared" ref="BX679" si="12632">5*E671^3*W671/(384*X671)</f>
        <v>#VALUE!</v>
      </c>
      <c r="BY679" s="769" t="e">
        <f t="shared" ref="BY679" si="12633">W671*E671^3/(60*X671)</f>
        <v>#VALUE!</v>
      </c>
      <c r="BZ679" s="1110"/>
      <c r="CA679" s="691" t="e">
        <f t="shared" ca="1" si="12497"/>
        <v>#REF!</v>
      </c>
      <c r="CB679" s="4" t="e" cm="1">
        <f t="array" aca="1" ref="CB679" ca="1">IF(AND(INDEX(INDIRECT(BY671),CA679,4)&gt;=$AB671,INDEX(INDIRECT(BY671),CA679,5)&gt;=$S671,INDEX(INDIRECT(BY671),CA679,6)&gt;=$R671),1,0)</f>
        <v>#REF!</v>
      </c>
      <c r="CC679" s="4" t="e">
        <f t="shared" ref="CC679" ca="1" si="12634">MATCH(1,OFFSET(CB671:CB682,CD678,0,COUNT(CB671:CB682)-CD678),0)</f>
        <v>#REF!</v>
      </c>
      <c r="CD679" s="4" t="e">
        <f t="shared" ca="1" si="12499"/>
        <v>#REF!</v>
      </c>
      <c r="CE679" s="692" t="str" cm="1">
        <f t="array" aca="1" ref="CE679" ca="1">IFERROR(VLOOKUP(INDEX(CA671:CA682,CD679),INDIRECT(BY671),2,FALSE),"----")</f>
        <v>----</v>
      </c>
      <c r="CF679" s="691" t="e">
        <f t="shared" ca="1" si="12500"/>
        <v>#N/A</v>
      </c>
      <c r="CG679" s="4" t="e">
        <f ca="1">IF(AND(INDEX(SSM,CF679,4)&gt;=$AB671,INDEX(SSM,CF679,5)&gt;=$S671,INDEX(SSM,CF679,6)&gt;=$R671),1,0)</f>
        <v>#N/A</v>
      </c>
      <c r="CH679" s="4" t="e">
        <f t="shared" ref="CH679" ca="1" si="12635">MATCH(1,OFFSET(CG671:CG682,CI678,0,COUNT(CG671:CG682)-CI678),0)</f>
        <v>#REF!</v>
      </c>
      <c r="CI679" s="4" t="e">
        <f t="shared" ca="1" si="12502"/>
        <v>#REF!</v>
      </c>
      <c r="CJ679" s="692" t="str">
        <f ca="1">IFERROR(IF(AD672="Nested Steel Stud (wood infill)",VLOOKUP(INDEX(CF671:CF682,CI679),SSW,2,FALSE),VLOOKUP(INDEX(CF671:CF682,CI679),SSM,2,FALSE)),"----")</f>
        <v>----</v>
      </c>
      <c r="CK679" s="691" t="e">
        <f t="shared" ca="1" si="12503"/>
        <v>#N/A</v>
      </c>
      <c r="CL679" s="4" t="e">
        <f ca="1">IF(AND(INDEX(WSM,CK679,4)&gt;=$AB671,INDEX(WSM,CK679,5)&gt;=$S671,INDEX(WSM,CK679,6)&gt;=$R671),1,0)</f>
        <v>#N/A</v>
      </c>
      <c r="CM679" s="4" t="e">
        <f t="shared" ref="CM679" ca="1" si="12636">MATCH(1,OFFSET(CL671:CL682,CN678,0,COUNT(CL671:CL682)-CN678),0)</f>
        <v>#REF!</v>
      </c>
      <c r="CN679" s="4" t="e">
        <f t="shared" ca="1" si="12505"/>
        <v>#REF!</v>
      </c>
      <c r="CO679" s="692" t="str">
        <f ca="1">IFERROR(VLOOKUP(INDEX(CK671:CK682,CN679),WSM,2,FALSE),"----")</f>
        <v>----</v>
      </c>
      <c r="CP679" s="691" t="e">
        <f t="shared" ca="1" si="12506"/>
        <v>#N/A</v>
      </c>
      <c r="CQ679" s="4" t="e">
        <f ca="1">IF(AND(INDEX(STM,CP679,4)&gt;=$AB671,INDEX(STM,CP679,5)&gt;=$S671,INDEX(STM,CP679,6)&gt;=$R671),1,0)</f>
        <v>#N/A</v>
      </c>
      <c r="CR679" s="4" t="e">
        <f t="shared" ref="CR679" ca="1" si="12637">MATCH(1,OFFSET(CQ671:CQ682,CS678,0,COUNT(CQ671:CQ682)-CS678),0)</f>
        <v>#REF!</v>
      </c>
      <c r="CS679" s="4" t="e">
        <f t="shared" ca="1" si="12508"/>
        <v>#REF!</v>
      </c>
      <c r="CT679" s="692" t="str">
        <f ca="1">IFERROR(VLOOKUP(INDEX(CP671:CP682,CS679),STM,2,FALSE),"----")</f>
        <v>----</v>
      </c>
      <c r="CU679" s="691" t="e">
        <f t="shared" ca="1" si="12509"/>
        <v>#N/A</v>
      </c>
      <c r="CV679" s="4" t="e">
        <f ca="1">IF(AND(INDEX(ELM,CU679,4)&gt;=$AB671,INDEX(ELM,CU679,5)&gt;=$S671,INDEX(ELM,CU679,6)&gt;=$R671),1,0)</f>
        <v>#N/A</v>
      </c>
      <c r="CW679" s="4" t="e">
        <f t="shared" ref="CW679" ca="1" si="12638">MATCH(1,OFFSET(CV671:CV682,CX678,0,COUNT(CV671:CV682)-CX678),0)</f>
        <v>#REF!</v>
      </c>
      <c r="CX679" s="4" t="e">
        <f t="shared" ca="1" si="12511"/>
        <v>#REF!</v>
      </c>
      <c r="CY679" s="692" t="str">
        <f ca="1">IFERROR(VLOOKUP(INDEX(CU671:CU682,CX679),ELM,2,FALSE),"----")</f>
        <v>----</v>
      </c>
      <c r="CZ679" s="691" t="e">
        <f t="shared" ca="1" si="12512"/>
        <v>#N/A</v>
      </c>
      <c r="DA679" s="4" t="e">
        <f ca="1">IF(LEFT($J671,7)="Clad Wo",IF(AND(INDEX(SPPWS,CZ679,4)&gt;=$AB671,INDEX(SPPWS,CZ679,5)&gt;=$S671,INDEX(SPPWS,CZ679,6)&gt;=$R671),1,0),IF(AND(INDEX(SPM,CZ679,4)&gt;=$AB671,INDEX(SPM,CZ679,5)&gt;=$S671,INDEX(SPM,CZ679,6)&gt;=$R671),1,0))</f>
        <v>#N/A</v>
      </c>
      <c r="DB679" s="4" t="e">
        <f t="shared" ref="DB679" ca="1" si="12639">MATCH(1,OFFSET(DA671:DA682,DC678,0,COUNT(DA671:DA682)-DC678),0)</f>
        <v>#REF!</v>
      </c>
      <c r="DC679" s="4" t="e">
        <f t="shared" ca="1" si="12514"/>
        <v>#REF!</v>
      </c>
      <c r="DD679" s="693" t="str">
        <f ca="1">IF(LEFT($J671,7)="Clad Wo",IFERROR(VLOOKUP(INDEX(CZ671:CZ682,DC679),SPPWS,2,FALSE),"----"),IFERROR(VLOOKUP(INDEX(CZ671:CZ682,DC679),SPM,2,FALSE),"----"))</f>
        <v>----</v>
      </c>
      <c r="DE679" s="691" t="e">
        <f t="shared" ca="1" si="12515"/>
        <v>#REF!</v>
      </c>
      <c r="DF679" s="4" t="e" cm="1">
        <f t="array" aca="1" ref="DF679" ca="1">IF(AND(INDEX(INDIRECT(BY671),DE679,4)&gt;=$AB677,INDEX(INDIRECT(BY671),DE679,5)&gt;=$S671,INDEX(INDIRECT(BY671),DE679,6)&gt;=$R671),1,0)</f>
        <v>#REF!</v>
      </c>
      <c r="DG679" s="4" t="e">
        <f t="shared" ref="DG679" ca="1" si="12640">MATCH(1,OFFSET(DF671:DF682,DH678,0,COUNT(DF671:DF682)-DH678),0)</f>
        <v>#REF!</v>
      </c>
      <c r="DH679" s="4" t="e">
        <f t="shared" ca="1" si="12517"/>
        <v>#REF!</v>
      </c>
      <c r="DI679" s="692" t="str" cm="1">
        <f t="array" aca="1" ref="DI679" ca="1">IFERROR(VLOOKUP(INDEX(DE671:DE682,DH679),INDIRECT(BY671),2,FALSE),"----")</f>
        <v>----</v>
      </c>
      <c r="DJ679" s="691" t="e">
        <f t="shared" ca="1" si="12518"/>
        <v>#N/A</v>
      </c>
      <c r="DK679" s="4" t="e">
        <f ca="1">IF(AND(INDEX(SSM,DJ679,4)&gt;=$AB677,INDEX(SSM,DJ679,5)&gt;=$S671,INDEX(SSM,DJ679,6)&gt;=$R671),1,0)</f>
        <v>#N/A</v>
      </c>
      <c r="DL679" s="4" t="e">
        <f t="shared" ref="DL679" ca="1" si="12641">MATCH(1,OFFSET(DK671:DK682,DM678,0,COUNT(DK671:DK682)-DM678),0)</f>
        <v>#REF!</v>
      </c>
      <c r="DM679" s="4" t="e">
        <f t="shared" ca="1" si="12520"/>
        <v>#REF!</v>
      </c>
      <c r="DN679" s="692" t="str">
        <f ca="1">IFERROR(IF(AD678="Nested Steel Stud (wood infill)",VLOOKUP(INDEX(DJ671:DJ682,DM679),SSW,2,FALSE),VLOOKUP(INDEX(DJ671:DJ682,DM679),SSM,2,FALSE)),"----")</f>
        <v>----</v>
      </c>
      <c r="DO679" s="691" t="e">
        <f t="shared" ca="1" si="12521"/>
        <v>#N/A</v>
      </c>
      <c r="DP679" s="4" t="e">
        <f ca="1">IF(AND(INDEX(WSM,DO679,4)&gt;=$AB677,INDEX(WSM,DO679,5)&gt;=$S671,INDEX(WSM,DO679,6)&gt;=$R671),1,0)</f>
        <v>#N/A</v>
      </c>
      <c r="DQ679" s="4" t="e">
        <f t="shared" ref="DQ679" ca="1" si="12642">MATCH(1,OFFSET(DP671:DP682,DR678,0,COUNT(DP671:DP682)-DR678),0)</f>
        <v>#REF!</v>
      </c>
      <c r="DR679" s="4" t="e">
        <f t="shared" ca="1" si="12523"/>
        <v>#REF!</v>
      </c>
      <c r="DS679" s="692" t="str">
        <f ca="1">IFERROR(VLOOKUP(INDEX(DO671:DO682,DR679),WSM,2,FALSE),"----")</f>
        <v>----</v>
      </c>
      <c r="DT679" s="691" t="e">
        <f t="shared" ca="1" si="12524"/>
        <v>#N/A</v>
      </c>
      <c r="DU679" s="4" t="e">
        <f ca="1">IF(AND(INDEX(STM,DT679,4)&gt;=$AB677,INDEX(STM,DT679,5)&gt;=$S671,INDEX(STM,DT679,6)&gt;=$R671),1,0)</f>
        <v>#N/A</v>
      </c>
      <c r="DV679" s="4" t="e">
        <f t="shared" ref="DV679" ca="1" si="12643">MATCH(1,OFFSET(DU671:DU682,DW678,0,COUNT(DU671:DU682)-DW678),0)</f>
        <v>#REF!</v>
      </c>
      <c r="DW679" s="4" t="e">
        <f t="shared" ca="1" si="12526"/>
        <v>#REF!</v>
      </c>
      <c r="DX679" s="692" t="str">
        <f ca="1">IFERROR(VLOOKUP(INDEX(DT671:DT682,DW679),STM,2,FALSE),"----")</f>
        <v>----</v>
      </c>
      <c r="DY679" s="691" t="e">
        <f t="shared" ca="1" si="12527"/>
        <v>#N/A</v>
      </c>
      <c r="DZ679" s="4" t="e">
        <f ca="1">IF(AND(INDEX(ELM,DY679,4)&gt;=$AB677,INDEX(ELM,DY679,5)&gt;=$S671,INDEX(ELM,DY679,6)&gt;=$R671),1,0)</f>
        <v>#N/A</v>
      </c>
      <c r="EA679" s="4" t="e">
        <f t="shared" ref="EA679" ca="1" si="12644">MATCH(1,OFFSET(DZ671:DZ682,EB678,0,COUNT(DZ671:DZ682)-EB678),0)</f>
        <v>#REF!</v>
      </c>
      <c r="EB679" s="4" t="e">
        <f t="shared" ca="1" si="12529"/>
        <v>#REF!</v>
      </c>
      <c r="EC679" s="692" t="str">
        <f ca="1">IFERROR(VLOOKUP(INDEX(DY671:DY682,EB679),ELM,2,FALSE),"----")</f>
        <v>----</v>
      </c>
      <c r="ED679" s="691" t="e">
        <f t="shared" ca="1" si="12530"/>
        <v>#N/A</v>
      </c>
      <c r="EE679" s="4" t="e">
        <f ca="1">IF(LEFT($J671,7)="Clad Wo",IF(AND(INDEX(SPPWS,ED679,4)&gt;=$AB677,INDEX(SPPWS,ED679,5)&gt;=$S671,INDEX(SPPWS,ED679,6)&gt;=$R671),1,0),IF(AND(INDEX(SPM,ED679,4)&gt;=$AB677,INDEX(SPM,ED679,5)&gt;=$S671,INDEX(SPM,ED679,6)&gt;=$R671),1,0))</f>
        <v>#N/A</v>
      </c>
      <c r="EF679" s="4" t="e">
        <f t="shared" ref="EF679" ca="1" si="12645">MATCH(1,OFFSET(EE671:EE682,EG678,0,COUNT(EE671:EE682)-EG678),0)</f>
        <v>#REF!</v>
      </c>
      <c r="EG679" s="4" t="e">
        <f t="shared" ca="1" si="12532"/>
        <v>#REF!</v>
      </c>
      <c r="EH679" s="692" t="str">
        <f ca="1">IF(LEFT($J671,7)="Clad Wo",IFERROR(VLOOKUP(INDEX(ED671:ED682,EG679),SPPWS,2,FALSE),"----"),IFERROR(VLOOKUP(INDEX(ED671:ED682,EG679),SPM,2,FALSE),"----"))</f>
        <v>----</v>
      </c>
    </row>
    <row r="680" spans="1:138" ht="15" customHeight="1" x14ac:dyDescent="0.25">
      <c r="A680" s="1085"/>
      <c r="B680" s="925"/>
      <c r="C680" s="926"/>
      <c r="D680" s="927"/>
      <c r="E680" s="995"/>
      <c r="F680" s="996"/>
      <c r="G680" s="997"/>
      <c r="H680" s="1062"/>
      <c r="I680" s="990"/>
      <c r="J680" s="902"/>
      <c r="K680" s="903"/>
      <c r="L680" s="1002"/>
      <c r="M680" s="923"/>
      <c r="N680" s="1042"/>
      <c r="O680" s="1018"/>
      <c r="P680" s="987"/>
      <c r="Q680" s="1015"/>
      <c r="R680" s="1012"/>
      <c r="S680" s="1006"/>
      <c r="T680" s="1007"/>
      <c r="U680" s="878"/>
      <c r="V680" s="881"/>
      <c r="W680" s="884"/>
      <c r="X680" s="884"/>
      <c r="Y680" s="887"/>
      <c r="Z680" s="887"/>
      <c r="AA680" s="887"/>
      <c r="AB680" s="1081"/>
      <c r="AC680" s="1078"/>
      <c r="AD680" s="1070" t="str">
        <f t="shared" si="11681"/>
        <v>Steel Tube</v>
      </c>
      <c r="AE680" s="1071"/>
      <c r="AF680" s="1052"/>
      <c r="AG680" s="1053"/>
      <c r="AH680" s="1053"/>
      <c r="AI680" s="1066"/>
      <c r="AJ680" s="1067"/>
      <c r="AK680" s="156" t="str">
        <f ca="1">IFERROR(VLOOKUP(AI680,OFFSET(INDIRECT(AQ680),0,1),2,FALSE),"")</f>
        <v/>
      </c>
      <c r="AL680" s="1059"/>
      <c r="AM680" s="343" t="str">
        <f ca="1">IFERROR(Q671/12*ROUND(VLOOKUP(AF680,OFFSET(STM,0,1),6,FALSE),2),"")</f>
        <v/>
      </c>
      <c r="AN680" t="str">
        <f t="shared" ca="1" si="12602"/>
        <v/>
      </c>
      <c r="AP680" s="122" t="str">
        <f t="shared" ref="AP680" si="12646">_xlfn.CONCAT(AR680,AS682)</f>
        <v/>
      </c>
      <c r="AQ680" s="683" t="str">
        <f t="shared" si="11512"/>
        <v/>
      </c>
      <c r="AR680" s="4" t="str">
        <f t="shared" si="12562"/>
        <v/>
      </c>
      <c r="AS680" s="4"/>
      <c r="AT680" s="697" t="str">
        <f>AL677</f>
        <v/>
      </c>
      <c r="AU680" s="694" t="e">
        <f t="shared" ca="1" si="11538"/>
        <v>#REF!</v>
      </c>
      <c r="AV680" s="686" t="str">
        <f ca="1">IFERROR(VLOOKUP(AU680,INDIRECT(AQ671),2,FALSE),"----")</f>
        <v>----</v>
      </c>
      <c r="AW680" s="694" t="e">
        <f t="shared" ca="1" si="11539"/>
        <v>#REF!</v>
      </c>
      <c r="AX680" s="686" t="str">
        <f ca="1">IFERROR(VLOOKUP(AW680,INDIRECT(AQ672),2,FALSE),"----")</f>
        <v>----</v>
      </c>
      <c r="AY680" s="694" t="e">
        <f t="shared" ca="1" si="11934"/>
        <v>#REF!</v>
      </c>
      <c r="AZ680" s="686" t="str">
        <f ca="1">IFERROR(VLOOKUP(AY680,INDIRECT(AQ673),2,FALSE),"----")</f>
        <v>----</v>
      </c>
      <c r="BA680" s="694" t="e">
        <f t="shared" ca="1" si="11935"/>
        <v>#REF!</v>
      </c>
      <c r="BB680" s="686" t="str">
        <f ca="1">IFERROR(VLOOKUP(BA680,INDIRECT(AQ674),2,FALSE),"----")</f>
        <v>----</v>
      </c>
      <c r="BC680" s="694" t="e">
        <f t="shared" ca="1" si="11542"/>
        <v>#REF!</v>
      </c>
      <c r="BD680" s="686" t="str">
        <f ca="1">IFERROR(VLOOKUP(BC680,INDIRECT(AQ675),2,FALSE),"----")</f>
        <v>----</v>
      </c>
      <c r="BE680" s="694" t="e">
        <f t="shared" ca="1" si="11543"/>
        <v>#REF!</v>
      </c>
      <c r="BF680" s="686" t="str">
        <f ca="1">IFERROR(VLOOKUP(BE680,INDIRECT(AQ676),2,FALSE),"----")</f>
        <v>----</v>
      </c>
      <c r="BG680" s="702" t="e">
        <f t="shared" ca="1" si="11544"/>
        <v>#REF!</v>
      </c>
      <c r="BH680" s="686" t="str">
        <f ca="1">IFERROR(VLOOKUP(BG680,INDIRECT(AQ677),2,FALSE),"----")</f>
        <v>----</v>
      </c>
      <c r="BI680" s="702" t="e">
        <f t="shared" ca="1" si="11545"/>
        <v>#REF!</v>
      </c>
      <c r="BJ680" s="686" t="str">
        <f ca="1">IFERROR(VLOOKUP(BI680,INDIRECT(AQ678),2,FALSE),"----")</f>
        <v>----</v>
      </c>
      <c r="BK680" s="702" t="e">
        <f t="shared" ca="1" si="11546"/>
        <v>#REF!</v>
      </c>
      <c r="BL680" s="686" t="str">
        <f ca="1">IFERROR(VLOOKUP(BK680,INDIRECT(AQ679),2,FALSE),"----")</f>
        <v>----</v>
      </c>
      <c r="BM680" s="702" t="e">
        <f t="shared" ca="1" si="11547"/>
        <v>#REF!</v>
      </c>
      <c r="BN680" s="686" t="str">
        <f ca="1">IFERROR(VLOOKUP(BM680,INDIRECT(AQ680),2,FALSE),"----")</f>
        <v>----</v>
      </c>
      <c r="BO680" s="702" t="e">
        <f t="shared" ca="1" si="11548"/>
        <v>#REF!</v>
      </c>
      <c r="BP680" s="686" t="str">
        <f ca="1">IFERROR(VLOOKUP(BO680,INDIRECT(AQ681),2,FALSE),"----")</f>
        <v>----</v>
      </c>
      <c r="BQ680" s="702" t="e">
        <f t="shared" ca="1" si="11549"/>
        <v>#REF!</v>
      </c>
      <c r="BR680" s="686" t="str">
        <f ca="1">IFERROR(VLOOKUP(BQ680,INDIRECT(AQ682),2,FALSE),"----")</f>
        <v>----</v>
      </c>
      <c r="BS680" s="695">
        <f>IF(AI680="",1,IF(COUNTIF(BN671:BN682,AI680)=0,2,1))</f>
        <v>1</v>
      </c>
      <c r="BT680" s="696">
        <f>IF(AF680="",1,IF(BN671=".",2,1))</f>
        <v>1</v>
      </c>
      <c r="BU680" s="706"/>
      <c r="BV680" s="155">
        <f ca="1">IF(COUNTIF(DX671:DX682,AF680)=0,IF(AF680&lt;&gt;"",0,1),1)</f>
        <v>1</v>
      </c>
      <c r="BW680" s="157">
        <f ca="1">IFERROR(MATCH(AF680,DX671:DX682,0),1)</f>
        <v>1</v>
      </c>
      <c r="BX680" s="769" t="e">
        <f t="shared" ref="BX680" si="12647">5*E671^3*W677/(384*X671)</f>
        <v>#VALUE!</v>
      </c>
      <c r="BY680" s="769" t="e">
        <f t="shared" ref="BY680" si="12648">E671^3*W677/(60*X671)</f>
        <v>#VALUE!</v>
      </c>
      <c r="BZ680" s="1110"/>
      <c r="CA680" s="691" t="e">
        <f t="shared" ca="1" si="12497"/>
        <v>#REF!</v>
      </c>
      <c r="CB680" s="4" t="e" cm="1">
        <f t="array" aca="1" ref="CB680" ca="1">IF(AND(INDEX(INDIRECT(BY671),CA680,4)&gt;=$AB671,INDEX(INDIRECT(BY671),CA680,5)&gt;=$S671,INDEX(INDIRECT(BY671),CA680,6)&gt;=$R671),1,0)</f>
        <v>#REF!</v>
      </c>
      <c r="CC680" s="4" t="e">
        <f t="shared" ref="CC680" ca="1" si="12649">MATCH(1,OFFSET(CB671:CB682,CD679,0,COUNT(CB671:CB682)-CD679),0)</f>
        <v>#REF!</v>
      </c>
      <c r="CD680" s="4" t="e">
        <f t="shared" ca="1" si="12499"/>
        <v>#REF!</v>
      </c>
      <c r="CE680" s="692" t="str" cm="1">
        <f t="array" aca="1" ref="CE680" ca="1">IFERROR(VLOOKUP(INDEX(CA671:CA682,CD680),INDIRECT(BY671),2,FALSE),"----")</f>
        <v>----</v>
      </c>
      <c r="CF680" s="691" t="e">
        <f t="shared" ca="1" si="12500"/>
        <v>#N/A</v>
      </c>
      <c r="CG680" s="4" t="e">
        <f ca="1">IF(AND(INDEX(SSM,CF680,4)&gt;=$AB671,INDEX(SSM,CF680,5)&gt;=$S671,INDEX(SSM,CF680,6)&gt;=$R671),1,0)</f>
        <v>#N/A</v>
      </c>
      <c r="CH680" s="4" t="e">
        <f t="shared" ref="CH680" ca="1" si="12650">MATCH(1,OFFSET(CG671:CG682,CI679,0,COUNT(CG671:CG682)-CI679),0)</f>
        <v>#REF!</v>
      </c>
      <c r="CI680" s="4" t="e">
        <f t="shared" ca="1" si="12502"/>
        <v>#REF!</v>
      </c>
      <c r="CJ680" s="692" t="str">
        <f ca="1">IFERROR(IF(AD672="Nested Steel Stud (wood infill)",VLOOKUP(INDEX(CF671:CF682,CI680),SSW,2,FALSE),VLOOKUP(INDEX(CF671:CF682,CI680),SSM,2,FALSE)),"----")</f>
        <v>----</v>
      </c>
      <c r="CK680" s="691" t="e">
        <f t="shared" ca="1" si="12503"/>
        <v>#N/A</v>
      </c>
      <c r="CL680" s="4" t="e">
        <f ca="1">IF(AND(INDEX(WSM,CK680,4)&gt;=$AB671,INDEX(WSM,CK680,5)&gt;=$S671,INDEX(WSM,CK680,6)&gt;=$R671),1,0)</f>
        <v>#N/A</v>
      </c>
      <c r="CM680" s="4" t="e">
        <f t="shared" ref="CM680" ca="1" si="12651">MATCH(1,OFFSET(CL671:CL682,CN679,0,COUNT(CL671:CL682)-CN679),0)</f>
        <v>#REF!</v>
      </c>
      <c r="CN680" s="4" t="e">
        <f t="shared" ca="1" si="12505"/>
        <v>#REF!</v>
      </c>
      <c r="CO680" s="692" t="str">
        <f ca="1">IFERROR(VLOOKUP(INDEX(CK671:CK682,CN680),WSM,2,FALSE),"----")</f>
        <v>----</v>
      </c>
      <c r="CP680" s="691" t="e">
        <f t="shared" ca="1" si="12506"/>
        <v>#N/A</v>
      </c>
      <c r="CQ680" s="4" t="e">
        <f ca="1">IF(AND(INDEX(STM,CP680,4)&gt;=$AB671,INDEX(STM,CP680,5)&gt;=$S671,INDEX(STM,CP680,6)&gt;=$R671),1,0)</f>
        <v>#N/A</v>
      </c>
      <c r="CR680" s="4" t="e">
        <f t="shared" ref="CR680" ca="1" si="12652">MATCH(1,OFFSET(CQ671:CQ682,CS679,0,COUNT(CQ671:CQ682)-CS679),0)</f>
        <v>#REF!</v>
      </c>
      <c r="CS680" s="4" t="e">
        <f t="shared" ca="1" si="12508"/>
        <v>#REF!</v>
      </c>
      <c r="CT680" s="692" t="str">
        <f ca="1">IFERROR(VLOOKUP(INDEX(CP671:CP682,CS680),STM,2,FALSE),"----")</f>
        <v>----</v>
      </c>
      <c r="CU680" s="691" t="e">
        <f t="shared" ca="1" si="12509"/>
        <v>#N/A</v>
      </c>
      <c r="CV680" s="4" t="e">
        <f ca="1">IF(AND(INDEX(ELM,CU680,4)&gt;=$AB671,INDEX(ELM,CU680,5)&gt;=$S671,INDEX(ELM,CU680,6)&gt;=$R671),1,0)</f>
        <v>#N/A</v>
      </c>
      <c r="CW680" s="4" t="e">
        <f t="shared" ref="CW680" ca="1" si="12653">MATCH(1,OFFSET(CV671:CV682,CX679,0,COUNT(CV671:CV682)-CX679),0)</f>
        <v>#REF!</v>
      </c>
      <c r="CX680" s="4" t="e">
        <f t="shared" ca="1" si="12511"/>
        <v>#REF!</v>
      </c>
      <c r="CY680" s="692" t="str">
        <f ca="1">IFERROR(VLOOKUP(INDEX(CU671:CU682,CX680),ELM,2,FALSE),"----")</f>
        <v>----</v>
      </c>
      <c r="CZ680" s="691" t="e">
        <f t="shared" ca="1" si="12512"/>
        <v>#N/A</v>
      </c>
      <c r="DA680" s="4" t="e">
        <f ca="1">IF(LEFT($J671,7)="Clad Wo",IF(AND(INDEX(SPPWS,CZ680,4)&gt;=$AB671,INDEX(SPPWS,CZ680,5)&gt;=$S671,INDEX(SPPWS,CZ680,6)&gt;=$R671),1,0),IF(AND(INDEX(SPM,CZ680,4)&gt;=$AB671,INDEX(SPM,CZ680,5)&gt;=$S671,INDEX(SPM,CZ680,6)&gt;=$R671),1,0))</f>
        <v>#N/A</v>
      </c>
      <c r="DB680" s="4" t="e">
        <f t="shared" ref="DB680" ca="1" si="12654">MATCH(1,OFFSET(DA671:DA682,DC679,0,COUNT(DA671:DA682)-DC679),0)</f>
        <v>#REF!</v>
      </c>
      <c r="DC680" s="4" t="e">
        <f t="shared" ca="1" si="12514"/>
        <v>#REF!</v>
      </c>
      <c r="DD680" s="693" t="str">
        <f ca="1">IF(LEFT($J671,7)="Clad Wo",IFERROR(VLOOKUP(INDEX(CZ671:CZ682,DC680),SPPWS,2,FALSE),"----"),IFERROR(VLOOKUP(INDEX(CZ671:CZ682,DC680),SPM,2,FALSE),"----"))</f>
        <v>----</v>
      </c>
      <c r="DE680" s="691" t="e">
        <f t="shared" ca="1" si="12515"/>
        <v>#REF!</v>
      </c>
      <c r="DF680" s="4" t="e" cm="1">
        <f t="array" aca="1" ref="DF680" ca="1">IF(AND(INDEX(INDIRECT(BY671),DE680,4)&gt;=$AB677,INDEX(INDIRECT(BY671),DE680,5)&gt;=$S671,INDEX(INDIRECT(BY671),DE680,6)&gt;=$R671),1,0)</f>
        <v>#REF!</v>
      </c>
      <c r="DG680" s="4" t="e">
        <f t="shared" ref="DG680" ca="1" si="12655">MATCH(1,OFFSET(DF671:DF682,DH679,0,COUNT(DF671:DF682)-DH679),0)</f>
        <v>#REF!</v>
      </c>
      <c r="DH680" s="4" t="e">
        <f t="shared" ca="1" si="12517"/>
        <v>#REF!</v>
      </c>
      <c r="DI680" s="692" t="str" cm="1">
        <f t="array" aca="1" ref="DI680" ca="1">IFERROR(VLOOKUP(INDEX(DE671:DE682,DH680),INDIRECT(BY671),2,FALSE),"----")</f>
        <v>----</v>
      </c>
      <c r="DJ680" s="691" t="e">
        <f t="shared" ca="1" si="12518"/>
        <v>#N/A</v>
      </c>
      <c r="DK680" s="4" t="e">
        <f ca="1">IF(AND(INDEX(SSM,DJ680,4)&gt;=$AB677,INDEX(SSM,DJ680,5)&gt;=$S671,INDEX(SSM,DJ680,6)&gt;=$R671),1,0)</f>
        <v>#N/A</v>
      </c>
      <c r="DL680" s="4" t="e">
        <f t="shared" ref="DL680" ca="1" si="12656">MATCH(1,OFFSET(DK671:DK682,DM679,0,COUNT(DK671:DK682)-DM679),0)</f>
        <v>#REF!</v>
      </c>
      <c r="DM680" s="4" t="e">
        <f t="shared" ca="1" si="12520"/>
        <v>#REF!</v>
      </c>
      <c r="DN680" s="692" t="str">
        <f ca="1">IFERROR(IF(AD678="Nested Steel Stud (wood infill)",VLOOKUP(INDEX(DJ671:DJ682,DM680),SSW,2,FALSE),VLOOKUP(INDEX(DJ671:DJ682,DM680),SSM,2,FALSE)),"----")</f>
        <v>----</v>
      </c>
      <c r="DO680" s="691" t="e">
        <f t="shared" ca="1" si="12521"/>
        <v>#N/A</v>
      </c>
      <c r="DP680" s="4" t="e">
        <f ca="1">IF(AND(INDEX(WSM,DO680,4)&gt;=$AB677,INDEX(WSM,DO680,5)&gt;=$S671,INDEX(WSM,DO680,6)&gt;=$R671),1,0)</f>
        <v>#N/A</v>
      </c>
      <c r="DQ680" s="4" t="e">
        <f t="shared" ref="DQ680" ca="1" si="12657">MATCH(1,OFFSET(DP671:DP682,DR679,0,COUNT(DP671:DP682)-DR679),0)</f>
        <v>#REF!</v>
      </c>
      <c r="DR680" s="4" t="e">
        <f t="shared" ca="1" si="12523"/>
        <v>#REF!</v>
      </c>
      <c r="DS680" s="692" t="str">
        <f ca="1">IFERROR(VLOOKUP(INDEX(DO671:DO682,DR680),WSM,2,FALSE),"----")</f>
        <v>----</v>
      </c>
      <c r="DT680" s="691" t="e">
        <f t="shared" ca="1" si="12524"/>
        <v>#N/A</v>
      </c>
      <c r="DU680" s="4" t="e">
        <f ca="1">IF(AND(INDEX(STM,DT680,4)&gt;=$AB677,INDEX(STM,DT680,5)&gt;=$S671,INDEX(STM,DT680,6)&gt;=$R671),1,0)</f>
        <v>#N/A</v>
      </c>
      <c r="DV680" s="4" t="e">
        <f t="shared" ref="DV680" ca="1" si="12658">MATCH(1,OFFSET(DU671:DU682,DW679,0,COUNT(DU671:DU682)-DW679),0)</f>
        <v>#REF!</v>
      </c>
      <c r="DW680" s="4" t="e">
        <f t="shared" ca="1" si="12526"/>
        <v>#REF!</v>
      </c>
      <c r="DX680" s="692" t="str">
        <f ca="1">IFERROR(VLOOKUP(INDEX(DT671:DT682,DW680),STM,2,FALSE),"----")</f>
        <v>----</v>
      </c>
      <c r="DY680" s="691" t="e">
        <f t="shared" ca="1" si="12527"/>
        <v>#N/A</v>
      </c>
      <c r="DZ680" s="4" t="e">
        <f ca="1">IF(AND(INDEX(ELM,DY680,4)&gt;=$AB677,INDEX(ELM,DY680,5)&gt;=$S671,INDEX(ELM,DY680,6)&gt;=$R671),1,0)</f>
        <v>#N/A</v>
      </c>
      <c r="EA680" s="4" t="e">
        <f t="shared" ref="EA680" ca="1" si="12659">MATCH(1,OFFSET(DZ671:DZ682,EB679,0,COUNT(DZ671:DZ682)-EB679),0)</f>
        <v>#REF!</v>
      </c>
      <c r="EB680" s="4" t="e">
        <f t="shared" ca="1" si="12529"/>
        <v>#REF!</v>
      </c>
      <c r="EC680" s="692" t="str">
        <f ca="1">IFERROR(VLOOKUP(INDEX(DY671:DY682,EB680),ELM,2,FALSE),"----")</f>
        <v>----</v>
      </c>
      <c r="ED680" s="691" t="e">
        <f t="shared" ca="1" si="12530"/>
        <v>#N/A</v>
      </c>
      <c r="EE680" s="4" t="e">
        <f ca="1">IF(LEFT($J671,7)="Clad Wo",IF(AND(INDEX(SPPWS,ED680,4)&gt;=$AB677,INDEX(SPPWS,ED680,5)&gt;=$S671,INDEX(SPPWS,ED680,6)&gt;=$R671),1,0),IF(AND(INDEX(SPM,ED680,4)&gt;=$AB677,INDEX(SPM,ED680,5)&gt;=$S671,INDEX(SPM,ED680,6)&gt;=$R671),1,0))</f>
        <v>#N/A</v>
      </c>
      <c r="EF680" s="4" t="e">
        <f t="shared" ref="EF680" ca="1" si="12660">MATCH(1,OFFSET(EE671:EE682,EG679,0,COUNT(EE671:EE682)-EG679),0)</f>
        <v>#REF!</v>
      </c>
      <c r="EG680" s="4" t="e">
        <f t="shared" ca="1" si="12532"/>
        <v>#REF!</v>
      </c>
      <c r="EH680" s="692" t="str">
        <f ca="1">IF(LEFT($J671,7)="Clad Wo",IFERROR(VLOOKUP(INDEX(ED671:ED682,EG680),SPPWS,2,FALSE),"----"),IFERROR(VLOOKUP(INDEX(ED671:ED682,EG680),SPM,2,FALSE),"----"))</f>
        <v>----</v>
      </c>
    </row>
    <row r="681" spans="1:138" ht="15" customHeight="1" x14ac:dyDescent="0.25">
      <c r="A681" s="1085"/>
      <c r="B681" s="925"/>
      <c r="C681" s="926"/>
      <c r="D681" s="927"/>
      <c r="E681" s="995"/>
      <c r="F681" s="996"/>
      <c r="G681" s="997"/>
      <c r="H681" s="1062"/>
      <c r="I681" s="990"/>
      <c r="J681" s="902"/>
      <c r="K681" s="903"/>
      <c r="L681" s="1002"/>
      <c r="M681" s="923"/>
      <c r="N681" s="1042"/>
      <c r="O681" s="1018"/>
      <c r="P681" s="987"/>
      <c r="Q681" s="1015"/>
      <c r="R681" s="1012"/>
      <c r="S681" s="1006"/>
      <c r="T681" s="1007"/>
      <c r="U681" s="878"/>
      <c r="V681" s="881"/>
      <c r="W681" s="884"/>
      <c r="X681" s="884"/>
      <c r="Y681" s="887"/>
      <c r="Z681" s="887"/>
      <c r="AA681" s="887"/>
      <c r="AB681" s="1081"/>
      <c r="AC681" s="1078"/>
      <c r="AD681" s="1070" t="str">
        <f t="shared" si="11681"/>
        <v>Engineered Lumber</v>
      </c>
      <c r="AE681" s="1071"/>
      <c r="AF681" s="1052"/>
      <c r="AG681" s="1053"/>
      <c r="AH681" s="1053"/>
      <c r="AI681" s="1068"/>
      <c r="AJ681" s="1069"/>
      <c r="AK681" s="154" t="str">
        <f t="shared" ca="1" si="12578"/>
        <v/>
      </c>
      <c r="AL681" s="1059"/>
      <c r="AM681" s="344" t="str">
        <f ca="1">IFERROR(Q671/12*ROUND(VLOOKUP(AF681,OFFSET(ELM,0,1),6,FALSE),2),"")</f>
        <v/>
      </c>
      <c r="AN681" t="str">
        <f t="shared" ca="1" si="12602"/>
        <v/>
      </c>
      <c r="AP681" s="122" t="str">
        <f t="shared" ref="AP681" si="12661">_xlfn.CONCAT(AR681,AS682)</f>
        <v/>
      </c>
      <c r="AQ681" s="683" t="str">
        <f t="shared" si="11512"/>
        <v/>
      </c>
      <c r="AR681" s="4" t="str">
        <f t="shared" si="12562"/>
        <v/>
      </c>
      <c r="AS681" s="4"/>
      <c r="AT681" s="697" t="str">
        <f>AL677</f>
        <v/>
      </c>
      <c r="AU681" s="694" t="e">
        <f t="shared" ca="1" si="11538"/>
        <v>#REF!</v>
      </c>
      <c r="AV681" s="698" t="str">
        <f ca="1">IFERROR(VLOOKUP(AU681,INDIRECT(AQ671),2,FALSE),"----")</f>
        <v>----</v>
      </c>
      <c r="AW681" s="694" t="e">
        <f t="shared" ca="1" si="11539"/>
        <v>#REF!</v>
      </c>
      <c r="AX681" s="698" t="str">
        <f ca="1">IFERROR(VLOOKUP(AW681,INDIRECT(AQ672),2,FALSE),"----")</f>
        <v>----</v>
      </c>
      <c r="AY681" s="694" t="e">
        <f t="shared" ca="1" si="11934"/>
        <v>#REF!</v>
      </c>
      <c r="AZ681" s="698" t="str">
        <f ca="1">IFERROR(VLOOKUP(AY681,INDIRECT(AQ673),2,FALSE),"----")</f>
        <v>----</v>
      </c>
      <c r="BA681" s="694" t="e">
        <f t="shared" ca="1" si="11935"/>
        <v>#REF!</v>
      </c>
      <c r="BB681" s="698" t="str">
        <f ca="1">IFERROR(VLOOKUP(BA681,INDIRECT(AQ674),2,FALSE),"----")</f>
        <v>----</v>
      </c>
      <c r="BC681" s="694" t="e">
        <f t="shared" ca="1" si="11542"/>
        <v>#REF!</v>
      </c>
      <c r="BD681" s="698" t="str">
        <f ca="1">IFERROR(VLOOKUP(BC681,INDIRECT(AQ675),2,FALSE),"----")</f>
        <v>----</v>
      </c>
      <c r="BE681" s="694" t="e">
        <f t="shared" ca="1" si="11543"/>
        <v>#REF!</v>
      </c>
      <c r="BF681" s="698" t="str">
        <f ca="1">IFERROR(VLOOKUP(BE681,INDIRECT(AQ676),2,FALSE),"----")</f>
        <v>----</v>
      </c>
      <c r="BG681" s="702" t="e">
        <f t="shared" ca="1" si="11544"/>
        <v>#REF!</v>
      </c>
      <c r="BH681" s="686" t="str">
        <f ca="1">IFERROR(VLOOKUP(BG681,INDIRECT(AQ677),2,FALSE),"----")</f>
        <v>----</v>
      </c>
      <c r="BI681" s="702" t="e">
        <f t="shared" ca="1" si="11545"/>
        <v>#REF!</v>
      </c>
      <c r="BJ681" s="686" t="str">
        <f ca="1">IFERROR(VLOOKUP(BI681,INDIRECT(AQ678),2,FALSE),"----")</f>
        <v>----</v>
      </c>
      <c r="BK681" s="702" t="e">
        <f t="shared" ca="1" si="11546"/>
        <v>#REF!</v>
      </c>
      <c r="BL681" s="686" t="str">
        <f ca="1">IFERROR(VLOOKUP(BK681,INDIRECT(AQ679),2,FALSE),"----")</f>
        <v>----</v>
      </c>
      <c r="BM681" s="702" t="e">
        <f t="shared" ca="1" si="11547"/>
        <v>#REF!</v>
      </c>
      <c r="BN681" s="686" t="str">
        <f ca="1">IFERROR(VLOOKUP(BM681,INDIRECT(AQ680),2,FALSE),"----")</f>
        <v>----</v>
      </c>
      <c r="BO681" s="702" t="e">
        <f t="shared" ca="1" si="11548"/>
        <v>#REF!</v>
      </c>
      <c r="BP681" s="686" t="str">
        <f ca="1">IFERROR(VLOOKUP(BO681,INDIRECT(AQ681),2,FALSE),"----")</f>
        <v>----</v>
      </c>
      <c r="BQ681" s="702" t="e">
        <f t="shared" ca="1" si="11549"/>
        <v>#REF!</v>
      </c>
      <c r="BR681" s="686" t="str">
        <f ca="1">IFERROR(VLOOKUP(BQ681,INDIRECT(AQ682),2,FALSE),"----")</f>
        <v>----</v>
      </c>
      <c r="BS681" s="695">
        <f>IF(AI681="",1,IF(COUNTIF(BP671:BP682,AI681)=0,2,1))</f>
        <v>1</v>
      </c>
      <c r="BT681" s="696">
        <f>IF(AF681="",1,IF(BP671=".",2,1))</f>
        <v>1</v>
      </c>
      <c r="BU681" s="706"/>
      <c r="BV681" s="155">
        <f ca="1">IF(COUNTIF(EC671:EC682,AF681)=0,IF(AF681&lt;&gt;"",0,1),1)</f>
        <v>1</v>
      </c>
      <c r="BW681" s="157">
        <f ca="1">IFERROR(MATCH(AF681,EC671:EC682,0),1)</f>
        <v>1</v>
      </c>
      <c r="BX681" s="769"/>
      <c r="BY681" s="769"/>
      <c r="BZ681" s="1110"/>
      <c r="CA681" s="691" t="e">
        <f t="shared" ca="1" si="12497"/>
        <v>#REF!</v>
      </c>
      <c r="CB681" s="4" t="e" cm="1">
        <f t="array" aca="1" ref="CB681" ca="1">IF(AND(INDEX(INDIRECT(BY671),CA681,4)&gt;=$AB671,INDEX(INDIRECT(BY671),CA681,5)&gt;=$S671,INDEX(INDIRECT(BY671),CA681,6)&gt;=$R671),1,0)</f>
        <v>#REF!</v>
      </c>
      <c r="CC681" s="4" t="e">
        <f t="shared" ref="CC681" ca="1" si="12662">MATCH(1,OFFSET(CB671:CB682,CD680,0,COUNT(CB671:CB682)-CD680),0)</f>
        <v>#REF!</v>
      </c>
      <c r="CD681" s="4" t="e">
        <f t="shared" ca="1" si="12499"/>
        <v>#REF!</v>
      </c>
      <c r="CE681" s="692" t="str" cm="1">
        <f t="array" aca="1" ref="CE681" ca="1">IFERROR(VLOOKUP(INDEX(CA671:CA682,CD681),INDIRECT(BY671),2,FALSE),"----")</f>
        <v>----</v>
      </c>
      <c r="CF681" s="691" t="e">
        <f t="shared" ca="1" si="12500"/>
        <v>#N/A</v>
      </c>
      <c r="CG681" s="4" t="e">
        <f ca="1">IF(AND(INDEX(SSM,CF681,4)&gt;=$AB671,INDEX(SSM,CF681,5)&gt;=$S671,INDEX(SSM,CF681,6)&gt;=$R671),1,0)</f>
        <v>#N/A</v>
      </c>
      <c r="CH681" s="4" t="e">
        <f t="shared" ref="CH681" ca="1" si="12663">MATCH(1,OFFSET(CG671:CG682,CI680,0,COUNT(CG671:CG682)-CI680),0)</f>
        <v>#REF!</v>
      </c>
      <c r="CI681" s="4" t="e">
        <f t="shared" ca="1" si="12502"/>
        <v>#REF!</v>
      </c>
      <c r="CJ681" s="692" t="str">
        <f ca="1">IFERROR(IF(AD672="Nested Steel Stud (wood infill)",VLOOKUP(INDEX(CF671:CF682,CI681),SSW,2,FALSE),VLOOKUP(INDEX(CF671:CF682,CI681),SSM,2,FALSE)),"----")</f>
        <v>----</v>
      </c>
      <c r="CK681" s="691" t="e">
        <f t="shared" ca="1" si="12503"/>
        <v>#N/A</v>
      </c>
      <c r="CL681" s="4" t="e">
        <f ca="1">IF(AND(INDEX(WSM,CK681,4)&gt;=$AB671,INDEX(WSM,CK681,5)&gt;=$S671,INDEX(WSM,CK681,6)&gt;=$R671),1,0)</f>
        <v>#N/A</v>
      </c>
      <c r="CM681" s="4" t="e">
        <f t="shared" ref="CM681" ca="1" si="12664">MATCH(1,OFFSET(CL671:CL682,CN680,0,COUNT(CL671:CL682)-CN680),0)</f>
        <v>#REF!</v>
      </c>
      <c r="CN681" s="4" t="e">
        <f t="shared" ca="1" si="12505"/>
        <v>#REF!</v>
      </c>
      <c r="CO681" s="692" t="str">
        <f ca="1">IFERROR(VLOOKUP(INDEX(CK671:CK682,CN681),WSM,2,FALSE),"----")</f>
        <v>----</v>
      </c>
      <c r="CP681" s="691" t="e">
        <f t="shared" ca="1" si="12506"/>
        <v>#N/A</v>
      </c>
      <c r="CQ681" s="4" t="e">
        <f ca="1">IF(AND(INDEX(STM,CP681,4)&gt;=$AB671,INDEX(STM,CP681,5)&gt;=$S671,INDEX(STM,CP681,6)&gt;=$R671),1,0)</f>
        <v>#N/A</v>
      </c>
      <c r="CR681" s="4" t="e">
        <f t="shared" ref="CR681" ca="1" si="12665">MATCH(1,OFFSET(CQ671:CQ682,CS680,0,COUNT(CQ671:CQ682)-CS680),0)</f>
        <v>#REF!</v>
      </c>
      <c r="CS681" s="4" t="e">
        <f t="shared" ca="1" si="12508"/>
        <v>#REF!</v>
      </c>
      <c r="CT681" s="692" t="str">
        <f ca="1">IFERROR(VLOOKUP(INDEX(CP671:CP682,CS681),STM,2,FALSE),"----")</f>
        <v>----</v>
      </c>
      <c r="CU681" s="691" t="e">
        <f t="shared" ca="1" si="12509"/>
        <v>#N/A</v>
      </c>
      <c r="CV681" s="4" t="e">
        <f ca="1">IF(AND(INDEX(ELM,CU681,4)&gt;=$AB671,INDEX(ELM,CU681,5)&gt;=$S671,INDEX(ELM,CU681,6)&gt;=$R671),1,0)</f>
        <v>#N/A</v>
      </c>
      <c r="CW681" s="4" t="e">
        <f t="shared" ref="CW681" ca="1" si="12666">MATCH(1,OFFSET(CV671:CV682,CX680,0,COUNT(CV671:CV682)-CX680),0)</f>
        <v>#REF!</v>
      </c>
      <c r="CX681" s="4" t="e">
        <f t="shared" ca="1" si="12511"/>
        <v>#REF!</v>
      </c>
      <c r="CY681" s="692" t="str">
        <f ca="1">IFERROR(VLOOKUP(INDEX(CU671:CU682,CX681),ELM,2,FALSE),"----")</f>
        <v>----</v>
      </c>
      <c r="CZ681" s="691" t="e">
        <f t="shared" ca="1" si="12512"/>
        <v>#N/A</v>
      </c>
      <c r="DA681" s="4" t="e">
        <f ca="1">IF(LEFT($J671,7)="Clad Wo",IF(AND(INDEX(SPPWS,CZ681,4)&gt;=$AB671,INDEX(SPPWS,CZ681,5)&gt;=$S671,INDEX(SPPWS,CZ681,6)&gt;=$R671),1,0),IF(AND(INDEX(SPM,CZ681,4)&gt;=$AB671,INDEX(SPM,CZ681,5)&gt;=$S671,INDEX(SPM,CZ681,6)&gt;=$R671),1,0))</f>
        <v>#N/A</v>
      </c>
      <c r="DB681" s="4" t="e">
        <f t="shared" ref="DB681" ca="1" si="12667">MATCH(1,OFFSET(DA671:DA682,DC680,0,COUNT(DA671:DA682)-DC680),0)</f>
        <v>#REF!</v>
      </c>
      <c r="DC681" s="4" t="e">
        <f t="shared" ca="1" si="12514"/>
        <v>#REF!</v>
      </c>
      <c r="DD681" s="693" t="str">
        <f ca="1">IF(LEFT($J671,7)="Clad Wo",IFERROR(VLOOKUP(INDEX(CZ671:CZ682,DC681),SPPWS,2,FALSE),"----"),IFERROR(VLOOKUP(INDEX(CZ671:CZ682,DC681),SPM,2,FALSE),"----"))</f>
        <v>----</v>
      </c>
      <c r="DE681" s="691" t="e">
        <f t="shared" ca="1" si="12515"/>
        <v>#REF!</v>
      </c>
      <c r="DF681" s="4" t="e" cm="1">
        <f t="array" aca="1" ref="DF681" ca="1">IF(AND(INDEX(INDIRECT(BY671),DE681,4)&gt;=$AB677,INDEX(INDIRECT(BY671),DE681,5)&gt;=$S671,INDEX(INDIRECT(BY671),DE681,6)&gt;=$R671),1,0)</f>
        <v>#REF!</v>
      </c>
      <c r="DG681" s="4" t="e">
        <f t="shared" ref="DG681" ca="1" si="12668">MATCH(1,OFFSET(DF671:DF682,DH680,0,COUNT(DF671:DF682)-DH680),0)</f>
        <v>#REF!</v>
      </c>
      <c r="DH681" s="4" t="e">
        <f t="shared" ca="1" si="12517"/>
        <v>#REF!</v>
      </c>
      <c r="DI681" s="692" t="str" cm="1">
        <f t="array" aca="1" ref="DI681" ca="1">IFERROR(VLOOKUP(INDEX(DE671:DE682,DH681),INDIRECT(BY671),2,FALSE),"----")</f>
        <v>----</v>
      </c>
      <c r="DJ681" s="691" t="e">
        <f t="shared" ca="1" si="12518"/>
        <v>#N/A</v>
      </c>
      <c r="DK681" s="4" t="e">
        <f ca="1">IF(AND(INDEX(SSM,DJ681,4)&gt;=$AB677,INDEX(SSM,DJ681,5)&gt;=$S671,INDEX(SSM,DJ681,6)&gt;=$R671),1,0)</f>
        <v>#N/A</v>
      </c>
      <c r="DL681" s="4" t="e">
        <f t="shared" ref="DL681" ca="1" si="12669">MATCH(1,OFFSET(DK671:DK682,DM680,0,COUNT(DK671:DK682)-DM680),0)</f>
        <v>#REF!</v>
      </c>
      <c r="DM681" s="4" t="e">
        <f t="shared" ca="1" si="12520"/>
        <v>#REF!</v>
      </c>
      <c r="DN681" s="692" t="str">
        <f ca="1">IFERROR(IF(AD678="Nested Steel Stud (wood infill)",VLOOKUP(INDEX(DJ671:DJ682,DM681),SSW,2,FALSE),VLOOKUP(INDEX(DJ671:DJ682,DM681),SSM,2,FALSE)),"----")</f>
        <v>----</v>
      </c>
      <c r="DO681" s="691" t="e">
        <f t="shared" ca="1" si="12521"/>
        <v>#N/A</v>
      </c>
      <c r="DP681" s="4" t="e">
        <f ca="1">IF(AND(INDEX(WSM,DO681,4)&gt;=$AB677,INDEX(WSM,DO681,5)&gt;=$S671,INDEX(WSM,DO681,6)&gt;=$R671),1,0)</f>
        <v>#N/A</v>
      </c>
      <c r="DQ681" s="4" t="e">
        <f t="shared" ref="DQ681" ca="1" si="12670">MATCH(1,OFFSET(DP671:DP682,DR680,0,COUNT(DP671:DP682)-DR680),0)</f>
        <v>#REF!</v>
      </c>
      <c r="DR681" s="4" t="e">
        <f t="shared" ca="1" si="12523"/>
        <v>#REF!</v>
      </c>
      <c r="DS681" s="692" t="str">
        <f ca="1">IFERROR(VLOOKUP(INDEX(DO671:DO682,DR681),WSM,2,FALSE),"----")</f>
        <v>----</v>
      </c>
      <c r="DT681" s="691" t="e">
        <f t="shared" ca="1" si="12524"/>
        <v>#N/A</v>
      </c>
      <c r="DU681" s="4" t="e">
        <f ca="1">IF(AND(INDEX(STM,DT681,4)&gt;=$AB677,INDEX(STM,DT681,5)&gt;=$S671,INDEX(STM,DT681,6)&gt;=$R671),1,0)</f>
        <v>#N/A</v>
      </c>
      <c r="DV681" s="4" t="e">
        <f t="shared" ref="DV681" ca="1" si="12671">MATCH(1,OFFSET(DU671:DU682,DW680,0,COUNT(DU671:DU682)-DW680),0)</f>
        <v>#REF!</v>
      </c>
      <c r="DW681" s="4" t="e">
        <f t="shared" ca="1" si="12526"/>
        <v>#REF!</v>
      </c>
      <c r="DX681" s="692" t="str">
        <f ca="1">IFERROR(VLOOKUP(INDEX(DT671:DT682,DW681),STM,2,FALSE),"----")</f>
        <v>----</v>
      </c>
      <c r="DY681" s="691" t="e">
        <f t="shared" ca="1" si="12527"/>
        <v>#N/A</v>
      </c>
      <c r="DZ681" s="4" t="e">
        <f ca="1">IF(AND(INDEX(ELM,DY681,4)&gt;=$AB677,INDEX(ELM,DY681,5)&gt;=$S671,INDEX(ELM,DY681,6)&gt;=$R671),1,0)</f>
        <v>#N/A</v>
      </c>
      <c r="EA681" s="4" t="e">
        <f t="shared" ref="EA681" ca="1" si="12672">MATCH(1,OFFSET(DZ671:DZ682,EB680,0,COUNT(DZ671:DZ682)-EB680),0)</f>
        <v>#REF!</v>
      </c>
      <c r="EB681" s="4" t="e">
        <f t="shared" ca="1" si="12529"/>
        <v>#REF!</v>
      </c>
      <c r="EC681" s="692" t="str">
        <f ca="1">IFERROR(VLOOKUP(INDEX(DY671:DY682,EB681),ELM,2,FALSE),"----")</f>
        <v>----</v>
      </c>
      <c r="ED681" s="691" t="e">
        <f t="shared" ca="1" si="12530"/>
        <v>#N/A</v>
      </c>
      <c r="EE681" s="4" t="e">
        <f ca="1">IF(LEFT($J671,7)="Clad Wo",IF(AND(INDEX(SPPWS,ED681,4)&gt;=$AB677,INDEX(SPPWS,ED681,5)&gt;=$S671,INDEX(SPPWS,ED681,6)&gt;=$R671),1,0),IF(AND(INDEX(SPM,ED681,4)&gt;=$AB677,INDEX(SPM,ED681,5)&gt;=$S671,INDEX(SPM,ED681,6)&gt;=$R671),1,0))</f>
        <v>#N/A</v>
      </c>
      <c r="EF681" s="4" t="e">
        <f t="shared" ref="EF681" ca="1" si="12673">MATCH(1,OFFSET(EE671:EE682,EG680,0,COUNT(EE671:EE682)-EG680),0)</f>
        <v>#REF!</v>
      </c>
      <c r="EG681" s="4" t="e">
        <f t="shared" ca="1" si="12532"/>
        <v>#REF!</v>
      </c>
      <c r="EH681" s="692" t="str">
        <f ca="1">IF(LEFT($J671,7)="Clad Wo",IFERROR(VLOOKUP(INDEX(ED671:ED682,EG681),SPPWS,2,FALSE),"----"),IFERROR(VLOOKUP(INDEX(ED671:ED682,EG681),SPM,2,FALSE),"----"))</f>
        <v>----</v>
      </c>
    </row>
    <row r="682" spans="1:138" ht="15" customHeight="1" thickBot="1" x14ac:dyDescent="0.3">
      <c r="A682" s="1085"/>
      <c r="B682" s="928"/>
      <c r="C682" s="929"/>
      <c r="D682" s="930"/>
      <c r="E682" s="998"/>
      <c r="F682" s="999"/>
      <c r="G682" s="1000"/>
      <c r="H682" s="1063"/>
      <c r="I682" s="991"/>
      <c r="J682" s="904"/>
      <c r="K682" s="905"/>
      <c r="L682" s="1003"/>
      <c r="M682" s="1065"/>
      <c r="N682" s="1043"/>
      <c r="O682" s="1019"/>
      <c r="P682" s="988"/>
      <c r="Q682" s="1016"/>
      <c r="R682" s="1013"/>
      <c r="S682" s="1008"/>
      <c r="T682" s="1009"/>
      <c r="U682" s="879"/>
      <c r="V682" s="882"/>
      <c r="W682" s="885"/>
      <c r="X682" s="885"/>
      <c r="Y682" s="888"/>
      <c r="Z682" s="888"/>
      <c r="AA682" s="888"/>
      <c r="AB682" s="1082"/>
      <c r="AC682" s="1087"/>
      <c r="AD682" s="1098" t="str">
        <f t="shared" ref="AD682" si="12674">IF(LEFT(J671,7)="Clad Wo","Pella Wood Spr / Steel Pte","Steel Plate")</f>
        <v>Steel Plate</v>
      </c>
      <c r="AE682" s="1099"/>
      <c r="AF682" s="1096"/>
      <c r="AG682" s="1097"/>
      <c r="AH682" s="1097"/>
      <c r="AI682" s="1094"/>
      <c r="AJ682" s="1095"/>
      <c r="AK682" s="163" t="str">
        <f t="shared" ca="1" si="12578"/>
        <v/>
      </c>
      <c r="AL682" s="1060"/>
      <c r="AM682" s="345" t="str">
        <f ca="1">IFERROR(Q671/12*ROUND(VLOOKUP(AF682,OFFSET(SPM,0,1),6,FALSE),2),"")</f>
        <v/>
      </c>
      <c r="AN682" t="str">
        <f t="shared" ca="1" si="12602"/>
        <v/>
      </c>
      <c r="AP682" s="699" t="str">
        <f t="shared" ref="AP682" si="12675">_xlfn.CONCAT(AR682,AS682)</f>
        <v/>
      </c>
      <c r="AQ682" s="700" t="str">
        <f t="shared" si="11512"/>
        <v/>
      </c>
      <c r="AR682" s="160" t="str">
        <f t="shared" si="12562"/>
        <v/>
      </c>
      <c r="AS682" s="160" t="str">
        <f>IFERROR(VLOOKUP(J679, WallType,2,FALSE),"")</f>
        <v/>
      </c>
      <c r="AT682" s="707" t="str">
        <f>AL677</f>
        <v/>
      </c>
      <c r="AU682" s="708" t="e">
        <f t="shared" ca="1" si="11538"/>
        <v>#REF!</v>
      </c>
      <c r="AV682" s="709" t="str">
        <f ca="1">IFERROR(VLOOKUP(AU682,INDIRECT(AQ671),2,FALSE),"----")</f>
        <v>----</v>
      </c>
      <c r="AW682" s="710" t="e">
        <f t="shared" ca="1" si="11539"/>
        <v>#REF!</v>
      </c>
      <c r="AX682" s="709" t="str">
        <f ca="1">IFERROR(VLOOKUP(AW682,INDIRECT(AQ672),2,FALSE),"----")</f>
        <v>----</v>
      </c>
      <c r="AY682" s="710" t="e">
        <f t="shared" ca="1" si="11934"/>
        <v>#REF!</v>
      </c>
      <c r="AZ682" s="709" t="str">
        <f ca="1">IFERROR(VLOOKUP(AY682,INDIRECT(AQ673),2,FALSE),"----")</f>
        <v>----</v>
      </c>
      <c r="BA682" s="710" t="e">
        <f t="shared" ca="1" si="11935"/>
        <v>#REF!</v>
      </c>
      <c r="BB682" s="709" t="str">
        <f ca="1">IFERROR(VLOOKUP(BA682,INDIRECT(AQ674),2,FALSE),"----")</f>
        <v>----</v>
      </c>
      <c r="BC682" s="710" t="e">
        <f t="shared" ca="1" si="11542"/>
        <v>#REF!</v>
      </c>
      <c r="BD682" s="709" t="str">
        <f ca="1">IFERROR(VLOOKUP(BC682,INDIRECT(AQ675),2,FALSE),"----")</f>
        <v>----</v>
      </c>
      <c r="BE682" s="710" t="e">
        <f t="shared" ca="1" si="11543"/>
        <v>#REF!</v>
      </c>
      <c r="BF682" s="709" t="str">
        <f ca="1">IFERROR(VLOOKUP(BE682,INDIRECT(AQ676),2,FALSE),"----")</f>
        <v>----</v>
      </c>
      <c r="BG682" s="710" t="e">
        <f t="shared" ca="1" si="11544"/>
        <v>#REF!</v>
      </c>
      <c r="BH682" s="711" t="str">
        <f ca="1">IFERROR(VLOOKUP(BG682,INDIRECT(AQ677),2,FALSE),"----")</f>
        <v>----</v>
      </c>
      <c r="BI682" s="710" t="e">
        <f t="shared" ca="1" si="11545"/>
        <v>#REF!</v>
      </c>
      <c r="BJ682" s="711" t="str">
        <f ca="1">IFERROR(VLOOKUP(BI682,INDIRECT(AQ678),2,FALSE),"----")</f>
        <v>----</v>
      </c>
      <c r="BK682" s="710" t="e">
        <f t="shared" ca="1" si="11546"/>
        <v>#REF!</v>
      </c>
      <c r="BL682" s="711" t="str">
        <f ca="1">IFERROR(VLOOKUP(BK682,INDIRECT(AQ679),2,FALSE),"----")</f>
        <v>----</v>
      </c>
      <c r="BM682" s="710" t="e">
        <f t="shared" ca="1" si="11547"/>
        <v>#REF!</v>
      </c>
      <c r="BN682" s="711" t="str">
        <f ca="1">IFERROR(VLOOKUP(BM682,INDIRECT(AQ680),2,FALSE),"----")</f>
        <v>----</v>
      </c>
      <c r="BO682" s="710" t="e">
        <f t="shared" ca="1" si="11548"/>
        <v>#REF!</v>
      </c>
      <c r="BP682" s="711" t="str">
        <f ca="1">IFERROR(VLOOKUP(BO682,INDIRECT(AQ681),2,FALSE),"----")</f>
        <v>----</v>
      </c>
      <c r="BQ682" s="710" t="e">
        <f t="shared" ca="1" si="11549"/>
        <v>#REF!</v>
      </c>
      <c r="BR682" s="712" t="str">
        <f ca="1">IFERROR(VLOOKUP(BQ682,INDIRECT(AQ682),2,FALSE),"----")</f>
        <v>----</v>
      </c>
      <c r="BS682" s="695">
        <f>IF(AI682="",1,IF(COUNTIF(BR671:BR682,AI682)=0,2,1))</f>
        <v>1</v>
      </c>
      <c r="BT682" s="713">
        <f>IF(AF682="",1,IF(BR671=".",2,1))</f>
        <v>1</v>
      </c>
      <c r="BV682" s="155">
        <f ca="1">IF(COUNTIF(EH671:EH682,AF682)=0,IF(AF682&lt;&gt;"",0,1),1)</f>
        <v>1</v>
      </c>
      <c r="BW682" s="718">
        <f ca="1">IFERROR(MATCH(AF682,EH671:EH682,0),1)</f>
        <v>1</v>
      </c>
      <c r="BX682" s="718"/>
      <c r="BY682" s="777"/>
      <c r="BZ682" s="1110"/>
      <c r="CA682" s="714" t="e">
        <f t="shared" ca="1" si="12497"/>
        <v>#REF!</v>
      </c>
      <c r="CB682" s="715" t="e" cm="1">
        <f t="array" aca="1" ref="CB682" ca="1">IF(AND(INDEX(INDIRECT(BY671),CA682,4)&gt;=$AB671,INDEX(INDIRECT(BY671),CA682,5)&gt;=$S671,INDEX(INDIRECT(BY671),CA682,6)&gt;=$R671),1,0)</f>
        <v>#REF!</v>
      </c>
      <c r="CC682" s="715" t="e">
        <f t="shared" ref="CC682" ca="1" si="12676">MATCH(1,OFFSET(CB671:CB682,CD681,0,COUNT(CB671:CB682)-CD681),0)</f>
        <v>#REF!</v>
      </c>
      <c r="CD682" s="715" t="e">
        <f t="shared" ca="1" si="12499"/>
        <v>#REF!</v>
      </c>
      <c r="CE682" s="716" t="str" cm="1">
        <f t="array" aca="1" ref="CE682" ca="1">IFERROR(VLOOKUP(INDEX(CA671:CA682,CD682),INDIRECT(BY671),2,FALSE),"----")</f>
        <v>----</v>
      </c>
      <c r="CF682" s="714" t="e">
        <f t="shared" ca="1" si="12500"/>
        <v>#N/A</v>
      </c>
      <c r="CG682" s="715" t="e">
        <f ca="1">IF(AND(INDEX(SSM,CF682,4)&gt;=$AB671,INDEX(SSM,CF682,5)&gt;=$S671,INDEX(SSM,CF682,6)&gt;=$R671),1,0)</f>
        <v>#N/A</v>
      </c>
      <c r="CH682" s="715" t="e">
        <f t="shared" ref="CH682" ca="1" si="12677">MATCH(1,OFFSET(CG671:CG682,CI681,0,COUNT(CG671:CG682)-CI681),0)</f>
        <v>#REF!</v>
      </c>
      <c r="CI682" s="715" t="e">
        <f t="shared" ca="1" si="12502"/>
        <v>#REF!</v>
      </c>
      <c r="CJ682" s="716" t="str">
        <f ca="1">IFERROR(IF(AD672="Nested Steel Stud (wood infill)",VLOOKUP(INDEX(CF671:CF682,CI682),SSW,2,FALSE),VLOOKUP(INDEX(CF671:CF682,CI682),SSM,2,FALSE)),"----")</f>
        <v>----</v>
      </c>
      <c r="CK682" s="714" t="e">
        <f t="shared" ca="1" si="12503"/>
        <v>#N/A</v>
      </c>
      <c r="CL682" s="715" t="e">
        <f ca="1">IF(AND(INDEX(WSM,CK682,4)&gt;=$AB671,INDEX(WSM,CK682,5)&gt;=$S671,INDEX(WSM,CK682,6)&gt;=$R671),1,0)</f>
        <v>#N/A</v>
      </c>
      <c r="CM682" s="715" t="e">
        <f t="shared" ref="CM682" ca="1" si="12678">MATCH(1,OFFSET(CL671:CL682,CN681,0,COUNT(CL671:CL682)-CN681),0)</f>
        <v>#REF!</v>
      </c>
      <c r="CN682" s="715" t="e">
        <f t="shared" ca="1" si="12505"/>
        <v>#REF!</v>
      </c>
      <c r="CO682" s="716" t="str">
        <f ca="1">IFERROR(VLOOKUP(INDEX(CK671:CK682,CN682),WSM,2,FALSE),"----")</f>
        <v>----</v>
      </c>
      <c r="CP682" s="714" t="e">
        <f t="shared" ca="1" si="12506"/>
        <v>#N/A</v>
      </c>
      <c r="CQ682" s="715" t="e">
        <f ca="1">IF(AND(INDEX(STM,CP682,4)&gt;=$AB671,INDEX(STM,CP682,5)&gt;=$S671,INDEX(STM,CP682,6)&gt;=$R671),1,0)</f>
        <v>#N/A</v>
      </c>
      <c r="CR682" s="715" t="e">
        <f t="shared" ref="CR682" ca="1" si="12679">MATCH(1,OFFSET(CQ671:CQ682,CS681,0,COUNT(CQ671:CQ682)-CS681),0)</f>
        <v>#REF!</v>
      </c>
      <c r="CS682" s="715" t="e">
        <f t="shared" ca="1" si="12508"/>
        <v>#REF!</v>
      </c>
      <c r="CT682" s="716" t="str">
        <f ca="1">IFERROR(VLOOKUP(INDEX(CP671:CP682,CS682),STM,2,FALSE),"----")</f>
        <v>----</v>
      </c>
      <c r="CU682" s="714" t="e">
        <f t="shared" ca="1" si="12509"/>
        <v>#N/A</v>
      </c>
      <c r="CV682" s="715" t="e">
        <f ca="1">IF(AND(INDEX(ELM,CU682,4)&gt;=$AB671,INDEX(ELM,CU682,5)&gt;=$S671,INDEX(ELM,CU682,6)&gt;=$R671),1,0)</f>
        <v>#N/A</v>
      </c>
      <c r="CW682" s="715" t="e">
        <f t="shared" ref="CW682" ca="1" si="12680">MATCH(1,OFFSET(CV671:CV682,CX681,0,COUNT(CV671:CV682)-CX681),0)</f>
        <v>#REF!</v>
      </c>
      <c r="CX682" s="715" t="e">
        <f t="shared" ca="1" si="12511"/>
        <v>#REF!</v>
      </c>
      <c r="CY682" s="716" t="str">
        <f ca="1">IFERROR(VLOOKUP(INDEX(CU671:CU682,CX682),ELM,2,FALSE),"----")</f>
        <v>----</v>
      </c>
      <c r="CZ682" s="714" t="e">
        <f t="shared" ca="1" si="12512"/>
        <v>#N/A</v>
      </c>
      <c r="DA682" s="715" t="e">
        <f ca="1">IF(LEFT($J671,7)="Clad Wo",IF(AND(INDEX(SPPWS,CZ682,4)&gt;=$AB671,INDEX(SPPWS,CZ682,5)&gt;=$S671,INDEX(SPPWS,CZ682,6)&gt;=$R671),1,0),IF(AND(INDEX(SPM,CZ682,4)&gt;=$AB671,INDEX(SPM,CZ682,5)&gt;=$S671,INDEX(SPM,CZ682,6)&gt;=$R671),1,0))</f>
        <v>#N/A</v>
      </c>
      <c r="DB682" s="715" t="e">
        <f t="shared" ref="DB682" ca="1" si="12681">MATCH(1,OFFSET(DA671:DA682,DC681,0,COUNT(DA671:DA682)-DC681),0)</f>
        <v>#REF!</v>
      </c>
      <c r="DC682" s="715" t="e">
        <f t="shared" ca="1" si="12514"/>
        <v>#REF!</v>
      </c>
      <c r="DD682" s="717" t="str">
        <f ca="1">IF(LEFT($J671,7)="Clad Wo",IFERROR(VLOOKUP(INDEX(CZ671:CZ682,DC682),SPPWS,2,FALSE),"----"),IFERROR(VLOOKUP(INDEX(CZ671:CZ682,DC682),SPM,2,FALSE),"----"))</f>
        <v>----</v>
      </c>
      <c r="DE682" s="714" t="e">
        <f t="shared" ca="1" si="12515"/>
        <v>#REF!</v>
      </c>
      <c r="DF682" s="715" t="e" cm="1">
        <f t="array" aca="1" ref="DF682" ca="1">IF(AND(INDEX(INDIRECT(BY671),DE682,4)&gt;=$AB677,INDEX(INDIRECT(BY671),DE682,5)&gt;=$S671,INDEX(INDIRECT(BY671),DE682,6)&gt;=$R671),1,0)</f>
        <v>#REF!</v>
      </c>
      <c r="DG682" s="715" t="e">
        <f t="shared" ref="DG682" ca="1" si="12682">MATCH(1,OFFSET(DF671:DF682,DH681,0,COUNT(DF671:DF682)-DH681),0)</f>
        <v>#REF!</v>
      </c>
      <c r="DH682" s="715" t="e">
        <f t="shared" ca="1" si="12517"/>
        <v>#REF!</v>
      </c>
      <c r="DI682" s="716" t="str" cm="1">
        <f t="array" aca="1" ref="DI682" ca="1">IFERROR(VLOOKUP(INDEX(DE671:DE682,DH682),INDIRECT(BY671),2,FALSE),"----")</f>
        <v>----</v>
      </c>
      <c r="DJ682" s="714" t="e">
        <f t="shared" ca="1" si="12518"/>
        <v>#N/A</v>
      </c>
      <c r="DK682" s="715" t="e">
        <f ca="1">IF(AND(INDEX(SSM,DJ682,4)&gt;=$AB677,INDEX(SSM,DJ682,5)&gt;=$S671,INDEX(SSM,DJ682,6)&gt;=$R671),1,0)</f>
        <v>#N/A</v>
      </c>
      <c r="DL682" s="715" t="e">
        <f t="shared" ref="DL682" ca="1" si="12683">MATCH(1,OFFSET(DK671:DK682,DM681,0,COUNT(DK671:DK682)-DM681),0)</f>
        <v>#REF!</v>
      </c>
      <c r="DM682" s="715" t="e">
        <f t="shared" ca="1" si="12520"/>
        <v>#REF!</v>
      </c>
      <c r="DN682" s="716" t="str">
        <f ca="1">IFERROR(IF(AD678="Nested Steel Stud (wood infill)",VLOOKUP(INDEX(DJ671:DJ682,DM682),SSW,2,FALSE),VLOOKUP(INDEX(DJ671:DJ682,DM682),SSM,2,FALSE)),"----")</f>
        <v>----</v>
      </c>
      <c r="DO682" s="714" t="e">
        <f t="shared" ca="1" si="12521"/>
        <v>#N/A</v>
      </c>
      <c r="DP682" s="715" t="e">
        <f ca="1">IF(AND(INDEX(WSM,DO682,4)&gt;=$AB677,INDEX(WSM,DO682,5)&gt;=$S671,INDEX(WSM,DO682,6)&gt;=$R671),1,0)</f>
        <v>#N/A</v>
      </c>
      <c r="DQ682" s="715" t="e">
        <f t="shared" ref="DQ682" ca="1" si="12684">MATCH(1,OFFSET(DP671:DP682,DR681,0,COUNT(DP671:DP682)-DR681),0)</f>
        <v>#REF!</v>
      </c>
      <c r="DR682" s="715" t="e">
        <f t="shared" ca="1" si="12523"/>
        <v>#REF!</v>
      </c>
      <c r="DS682" s="716" t="str">
        <f ca="1">IFERROR(VLOOKUP(INDEX(DO671:DO682,DR682),WSM,2,FALSE),"----")</f>
        <v>----</v>
      </c>
      <c r="DT682" s="714" t="e">
        <f t="shared" ca="1" si="12524"/>
        <v>#N/A</v>
      </c>
      <c r="DU682" s="715" t="e">
        <f ca="1">IF(AND(INDEX(STM,DT682,4)&gt;=$AB677,INDEX(STM,DT682,5)&gt;=$S671,INDEX(STM,DT682,6)&gt;=$R671),1,0)</f>
        <v>#N/A</v>
      </c>
      <c r="DV682" s="715" t="e">
        <f t="shared" ref="DV682" ca="1" si="12685">MATCH(1,OFFSET(DU671:DU682,DW681,0,COUNT(DU671:DU682)-DW681),0)</f>
        <v>#REF!</v>
      </c>
      <c r="DW682" s="715" t="e">
        <f t="shared" ca="1" si="12526"/>
        <v>#REF!</v>
      </c>
      <c r="DX682" s="716" t="str">
        <f ca="1">IFERROR(VLOOKUP(INDEX(DT671:DT682,DW682),STM,2,FALSE),"----")</f>
        <v>----</v>
      </c>
      <c r="DY682" s="714" t="e">
        <f t="shared" ca="1" si="12527"/>
        <v>#N/A</v>
      </c>
      <c r="DZ682" s="715" t="e">
        <f ca="1">IF(AND(INDEX(ELM,DY682,4)&gt;=$AB677,INDEX(ELM,DY682,5)&gt;=$S671,INDEX(ELM,DY682,6)&gt;=$R671),1,0)</f>
        <v>#N/A</v>
      </c>
      <c r="EA682" s="715" t="e">
        <f t="shared" ref="EA682" ca="1" si="12686">MATCH(1,OFFSET(DZ671:DZ682,EB681,0,COUNT(DZ671:DZ682)-EB681),0)</f>
        <v>#REF!</v>
      </c>
      <c r="EB682" s="715" t="e">
        <f t="shared" ca="1" si="12529"/>
        <v>#REF!</v>
      </c>
      <c r="EC682" s="716" t="str">
        <f ca="1">IFERROR(VLOOKUP(INDEX(DY671:DY682,EB682),ELM,2,FALSE),"----")</f>
        <v>----</v>
      </c>
      <c r="ED682" s="714" t="e">
        <f t="shared" ca="1" si="12530"/>
        <v>#N/A</v>
      </c>
      <c r="EE682" s="715" t="e">
        <f ca="1">IF(LEFT($J671,7)="Clad Wo",IF(AND(INDEX(SPPWS,ED682,4)&gt;=$AB677,INDEX(SPPWS,ED682,5)&gt;=$S671,INDEX(SPPWS,ED682,6)&gt;=$R671),1,0),IF(AND(INDEX(SPM,ED682,4)&gt;=$AB677,INDEX(SPM,ED682,5)&gt;=$S671,INDEX(SPM,ED682,6)&gt;=$R671),1,0))</f>
        <v>#N/A</v>
      </c>
      <c r="EF682" s="715" t="e">
        <f t="shared" ref="EF682" ca="1" si="12687">MATCH(1,OFFSET(EE671:EE682,EG681,0,COUNT(EE671:EE682)-EG681),0)</f>
        <v>#REF!</v>
      </c>
      <c r="EG682" s="715" t="e">
        <f t="shared" ca="1" si="12532"/>
        <v>#REF!</v>
      </c>
      <c r="EH682" s="716" t="str">
        <f ca="1">IF(LEFT($J671,7)="Clad Wo",IFERROR(VLOOKUP(INDEX(ED671:ED682,EG682),SPPWS,2,FALSE),"----"),IFERROR(VLOOKUP(INDEX(ED671:ED682,EG682),SPM,2,FALSE),"----"))</f>
        <v>----</v>
      </c>
    </row>
    <row r="683" spans="1:138" ht="15.75" customHeight="1" thickTop="1" x14ac:dyDescent="0.25">
      <c r="B683" s="544"/>
      <c r="C683" s="544"/>
      <c r="D683" s="544"/>
      <c r="E683" s="719"/>
      <c r="F683" s="719"/>
      <c r="G683" s="719"/>
      <c r="H683" s="719"/>
      <c r="I683" s="719"/>
      <c r="J683" s="719"/>
      <c r="K683" s="719"/>
      <c r="L683" s="719"/>
      <c r="M683" s="719"/>
      <c r="N683"/>
      <c r="O683"/>
      <c r="P683" s="719"/>
      <c r="Q683" s="719"/>
      <c r="R683" s="543"/>
      <c r="S683"/>
      <c r="T683"/>
      <c r="V683" s="719"/>
      <c r="W683" s="719"/>
      <c r="X683" s="719"/>
      <c r="Y683" s="719"/>
      <c r="Z683" s="719"/>
      <c r="AA683" s="719"/>
      <c r="AB683" s="719"/>
      <c r="AC683" s="719"/>
      <c r="AL683" s="719"/>
      <c r="BV683" s="720"/>
      <c r="CG683"/>
      <c r="CH683"/>
      <c r="CI683"/>
      <c r="CJ683"/>
      <c r="CP683"/>
      <c r="CQ683"/>
      <c r="CR683"/>
      <c r="CS683"/>
    </row>
    <row r="684" spans="1:138" ht="15" customHeight="1" x14ac:dyDescent="0.25">
      <c r="B684" s="544"/>
      <c r="C684" s="544"/>
      <c r="D684" s="544"/>
      <c r="E684" s="719"/>
      <c r="F684" s="719"/>
      <c r="G684" s="719"/>
      <c r="H684" s="719"/>
      <c r="I684" s="719"/>
      <c r="J684" s="719"/>
      <c r="K684" s="719"/>
      <c r="L684" s="719"/>
      <c r="M684" s="719"/>
      <c r="N684"/>
      <c r="O684"/>
      <c r="P684" s="719"/>
      <c r="Q684" s="719"/>
      <c r="S684"/>
      <c r="T684"/>
      <c r="V684" s="719"/>
      <c r="W684" s="719"/>
      <c r="X684" s="719"/>
      <c r="Y684" s="719"/>
      <c r="Z684" s="719"/>
      <c r="AA684" s="719"/>
      <c r="AB684" s="719"/>
      <c r="AC684" s="719"/>
      <c r="AL684" s="719"/>
      <c r="CG684"/>
      <c r="CH684"/>
      <c r="CI684"/>
      <c r="CJ684"/>
      <c r="CP684"/>
      <c r="CQ684"/>
      <c r="CR684"/>
      <c r="CS684"/>
    </row>
    <row r="685" spans="1:138" ht="15" hidden="1" customHeight="1" x14ac:dyDescent="0.25">
      <c r="B685" s="544"/>
      <c r="C685" s="544"/>
      <c r="D685" s="544"/>
      <c r="E685" s="719"/>
      <c r="F685" s="719"/>
      <c r="G685" s="719"/>
      <c r="H685" s="719"/>
      <c r="I685" s="719"/>
      <c r="J685" s="719"/>
      <c r="K685" s="719"/>
      <c r="L685" s="719"/>
      <c r="M685" s="719"/>
      <c r="N685"/>
      <c r="O685"/>
      <c r="P685" s="719"/>
      <c r="Q685" s="719"/>
      <c r="S685"/>
      <c r="T685"/>
      <c r="V685" s="719"/>
      <c r="W685" s="719"/>
      <c r="X685" s="719"/>
      <c r="Y685" s="719"/>
      <c r="Z685" s="719"/>
      <c r="AA685" s="719"/>
      <c r="AB685" s="719"/>
      <c r="AC685" s="719"/>
      <c r="AL685" s="719"/>
      <c r="CG685"/>
      <c r="CH685"/>
      <c r="CI685"/>
      <c r="CJ685"/>
      <c r="CP685"/>
      <c r="CQ685"/>
      <c r="CR685"/>
      <c r="CS685"/>
    </row>
    <row r="686" spans="1:138" ht="15" hidden="1" customHeight="1" x14ac:dyDescent="0.25">
      <c r="B686" s="544"/>
      <c r="C686" s="544"/>
      <c r="D686" s="544"/>
      <c r="E686" s="719"/>
      <c r="F686" s="719"/>
      <c r="G686" s="719"/>
      <c r="H686" s="719"/>
      <c r="I686" s="719"/>
      <c r="J686" s="719"/>
      <c r="K686" s="719"/>
      <c r="L686"/>
      <c r="M686"/>
      <c r="N686"/>
      <c r="O686"/>
      <c r="P686"/>
      <c r="Q686"/>
      <c r="R686"/>
      <c r="S686"/>
      <c r="T686"/>
      <c r="U686"/>
      <c r="V686" s="719"/>
      <c r="W686" s="719"/>
      <c r="X686" s="719"/>
      <c r="Y686" s="719"/>
      <c r="Z686" s="719"/>
      <c r="AA686" s="719"/>
      <c r="AB686" s="719"/>
      <c r="AC686"/>
      <c r="AL686"/>
      <c r="CG686"/>
      <c r="CH686"/>
      <c r="CI686"/>
      <c r="CJ686"/>
      <c r="CP686"/>
      <c r="CQ686"/>
      <c r="CR686"/>
      <c r="CS686"/>
    </row>
    <row r="687" spans="1:138" ht="15" hidden="1" customHeight="1" x14ac:dyDescent="0.25">
      <c r="B687" s="544"/>
      <c r="C687" s="544"/>
      <c r="D687" s="544"/>
      <c r="E687" s="719"/>
      <c r="F687" s="719"/>
      <c r="G687" s="719"/>
      <c r="H687" s="719"/>
      <c r="I687" s="719"/>
      <c r="J687" s="719"/>
      <c r="K687" s="719"/>
      <c r="L687"/>
      <c r="M687"/>
      <c r="N687"/>
      <c r="O687"/>
      <c r="P687"/>
      <c r="Q687"/>
      <c r="R687"/>
      <c r="S687"/>
      <c r="T687"/>
      <c r="U687"/>
      <c r="V687" s="719"/>
      <c r="W687" s="719"/>
      <c r="X687" s="719"/>
      <c r="Y687" s="719"/>
      <c r="Z687" s="719"/>
      <c r="AA687" s="719"/>
      <c r="AB687" s="719"/>
      <c r="AC687"/>
      <c r="AL687"/>
      <c r="CG687"/>
      <c r="CH687"/>
      <c r="CI687"/>
      <c r="CJ687"/>
      <c r="CP687"/>
      <c r="CQ687"/>
      <c r="CR687"/>
      <c r="CS687"/>
    </row>
    <row r="688" spans="1:138" ht="15" hidden="1" customHeight="1" x14ac:dyDescent="0.25">
      <c r="B688" s="544"/>
      <c r="C688" s="544"/>
      <c r="D688" s="544"/>
      <c r="E688" s="719"/>
      <c r="F688" s="719"/>
      <c r="G688" s="719"/>
      <c r="H688" s="719"/>
      <c r="I688" s="719"/>
      <c r="J688" s="719"/>
      <c r="K688" s="719"/>
      <c r="L688"/>
      <c r="M688"/>
      <c r="N688"/>
      <c r="O688"/>
      <c r="P688"/>
      <c r="Q688"/>
      <c r="R688"/>
      <c r="S688"/>
      <c r="T688"/>
      <c r="U688"/>
      <c r="V688" s="719"/>
      <c r="W688" s="719"/>
      <c r="X688" s="719"/>
      <c r="Y688" s="719"/>
      <c r="Z688" s="719"/>
      <c r="AA688" s="719"/>
      <c r="AB688" s="719"/>
      <c r="AC688"/>
      <c r="AL688"/>
      <c r="CG688"/>
      <c r="CH688"/>
      <c r="CI688"/>
      <c r="CJ688"/>
      <c r="CP688"/>
      <c r="CQ688"/>
      <c r="CR688"/>
      <c r="CS688"/>
    </row>
    <row r="689" spans="2:97" ht="15" hidden="1" customHeight="1" x14ac:dyDescent="0.25">
      <c r="B689" s="544"/>
      <c r="C689" s="544"/>
      <c r="D689" s="544"/>
      <c r="E689" s="719"/>
      <c r="F689" s="719"/>
      <c r="G689" s="719"/>
      <c r="H689" s="719"/>
      <c r="I689" s="719"/>
      <c r="J689" s="719"/>
      <c r="K689" s="719"/>
      <c r="L689"/>
      <c r="M689"/>
      <c r="N689" s="1041" t="e">
        <f>IF(AG$28="",MAX($U$31,#REF!*$V$7*(0.18+(IF($E$12&lt;60,-0.078*LN(#REF!*#REF!/144)+1.1736,-0.092*LN(IF(#REF!*#REF!/144&lt;20,20,#REF!*#REF!/144))+1.1695)))),MAX(10,ABS(AG$28)))</f>
        <v>#REF!</v>
      </c>
      <c r="O689" s="722"/>
      <c r="P689"/>
      <c r="Q689"/>
      <c r="R689"/>
      <c r="S689"/>
      <c r="T689"/>
      <c r="U689"/>
      <c r="V689" s="719"/>
      <c r="W689" s="719"/>
      <c r="X689" s="719"/>
      <c r="Y689" s="719"/>
      <c r="Z689" s="719"/>
      <c r="AA689" s="719"/>
      <c r="AB689" s="719"/>
      <c r="AC689"/>
      <c r="AL689"/>
      <c r="CG689"/>
      <c r="CH689"/>
      <c r="CI689"/>
      <c r="CJ689"/>
      <c r="CP689"/>
      <c r="CQ689"/>
      <c r="CR689"/>
      <c r="CS689"/>
    </row>
    <row r="690" spans="2:97" ht="15" hidden="1" customHeight="1" x14ac:dyDescent="0.25">
      <c r="B690" s="544"/>
      <c r="C690" s="544"/>
      <c r="D690" s="544"/>
      <c r="E690" s="719"/>
      <c r="F690" s="719"/>
      <c r="G690" s="719"/>
      <c r="H690" s="719"/>
      <c r="I690" s="719"/>
      <c r="J690" s="719"/>
      <c r="K690" s="719"/>
      <c r="L690"/>
      <c r="M690"/>
      <c r="N690" s="1042"/>
      <c r="O690" s="722"/>
      <c r="P690"/>
      <c r="Q690"/>
      <c r="R690"/>
      <c r="S690"/>
      <c r="T690"/>
      <c r="U690"/>
      <c r="V690" s="719"/>
      <c r="W690" s="719"/>
      <c r="X690" s="719"/>
      <c r="Y690" s="719"/>
      <c r="Z690" s="719"/>
      <c r="AA690" s="719"/>
      <c r="AB690" s="719"/>
      <c r="AC690"/>
      <c r="AL690"/>
      <c r="CG690"/>
      <c r="CH690"/>
      <c r="CI690"/>
      <c r="CJ690"/>
      <c r="CP690"/>
      <c r="CQ690"/>
      <c r="CR690"/>
      <c r="CS690"/>
    </row>
    <row r="691" spans="2:97" ht="15" hidden="1" customHeight="1" x14ac:dyDescent="0.25">
      <c r="L691"/>
      <c r="M691"/>
      <c r="N691" s="1042"/>
      <c r="O691" s="722"/>
      <c r="P691"/>
      <c r="Q691"/>
      <c r="R691"/>
      <c r="S691"/>
      <c r="T691"/>
      <c r="U691"/>
      <c r="AC691"/>
      <c r="AL691"/>
      <c r="CG691"/>
      <c r="CH691"/>
      <c r="CI691"/>
      <c r="CJ691"/>
      <c r="CP691"/>
      <c r="CQ691"/>
      <c r="CR691"/>
      <c r="CS691"/>
    </row>
    <row r="692" spans="2:97" ht="15" hidden="1" customHeight="1" x14ac:dyDescent="0.25">
      <c r="L692"/>
      <c r="M692"/>
      <c r="N692" s="1042"/>
      <c r="O692" s="722"/>
      <c r="P692"/>
      <c r="Q692"/>
      <c r="R692"/>
      <c r="S692"/>
      <c r="T692"/>
      <c r="U692"/>
      <c r="AC692"/>
      <c r="AL692"/>
      <c r="CG692"/>
      <c r="CH692"/>
      <c r="CI692"/>
      <c r="CJ692"/>
      <c r="CP692"/>
      <c r="CQ692"/>
      <c r="CR692"/>
      <c r="CS692"/>
    </row>
    <row r="693" spans="2:97" ht="15" hidden="1" customHeight="1" x14ac:dyDescent="0.25">
      <c r="L693"/>
      <c r="M693"/>
      <c r="N693" s="1042"/>
      <c r="O693" s="722"/>
      <c r="P693"/>
      <c r="Q693"/>
      <c r="R693"/>
      <c r="S693"/>
      <c r="T693"/>
      <c r="U693"/>
      <c r="AC693"/>
      <c r="AL693"/>
      <c r="CG693"/>
      <c r="CH693"/>
      <c r="CI693"/>
      <c r="CJ693"/>
      <c r="CP693"/>
      <c r="CQ693"/>
      <c r="CR693"/>
      <c r="CS693"/>
    </row>
    <row r="694" spans="2:97" ht="15.75" hidden="1" customHeight="1" x14ac:dyDescent="0.25">
      <c r="L694"/>
      <c r="M694"/>
      <c r="N694" s="1043"/>
      <c r="O694" s="722"/>
      <c r="P694"/>
      <c r="Q694"/>
      <c r="R694"/>
      <c r="S694"/>
      <c r="T694"/>
      <c r="U694"/>
      <c r="AC694"/>
      <c r="AL694"/>
      <c r="CG694"/>
      <c r="CH694"/>
      <c r="CI694"/>
      <c r="CJ694"/>
      <c r="CP694"/>
      <c r="CQ694"/>
      <c r="CR694"/>
      <c r="CS694"/>
    </row>
    <row r="695" spans="2:97" ht="14.45" hidden="1" customHeight="1" x14ac:dyDescent="0.25">
      <c r="L695"/>
      <c r="M695"/>
      <c r="N695"/>
      <c r="O695"/>
      <c r="P695"/>
      <c r="Q695"/>
      <c r="R695"/>
      <c r="S695"/>
      <c r="T695"/>
      <c r="U695"/>
      <c r="AC695"/>
      <c r="AL695"/>
      <c r="CG695"/>
      <c r="CH695"/>
      <c r="CI695"/>
      <c r="CJ695"/>
      <c r="CP695"/>
      <c r="CQ695"/>
      <c r="CR695"/>
      <c r="CS695"/>
    </row>
    <row r="696" spans="2:97" ht="14.45" hidden="1" customHeight="1" x14ac:dyDescent="0.25">
      <c r="L696"/>
      <c r="M696"/>
      <c r="N696"/>
      <c r="O696"/>
      <c r="P696"/>
      <c r="Q696"/>
      <c r="R696"/>
      <c r="S696"/>
      <c r="T696"/>
      <c r="U696"/>
      <c r="AC696"/>
      <c r="AL696"/>
      <c r="CG696"/>
      <c r="CH696"/>
      <c r="CI696"/>
      <c r="CJ696"/>
      <c r="CP696"/>
      <c r="CQ696"/>
      <c r="CR696"/>
      <c r="CS696"/>
    </row>
    <row r="697" spans="2:97" ht="14.45" hidden="1" customHeight="1" x14ac:dyDescent="0.25">
      <c r="L697"/>
      <c r="M697"/>
      <c r="N697"/>
      <c r="O697"/>
      <c r="P697"/>
      <c r="Q697"/>
      <c r="R697"/>
      <c r="S697"/>
      <c r="T697"/>
      <c r="U697"/>
      <c r="AC697"/>
      <c r="AL697"/>
      <c r="CG697"/>
      <c r="CH697"/>
      <c r="CI697"/>
      <c r="CJ697"/>
      <c r="CP697"/>
      <c r="CQ697"/>
      <c r="CR697"/>
      <c r="CS697"/>
    </row>
    <row r="698" spans="2:97" ht="14.45" hidden="1" customHeight="1" x14ac:dyDescent="0.25">
      <c r="L698"/>
      <c r="M698"/>
      <c r="N698"/>
      <c r="O698"/>
      <c r="P698"/>
      <c r="Q698"/>
      <c r="R698"/>
      <c r="S698"/>
      <c r="T698"/>
      <c r="U698"/>
      <c r="AC698"/>
      <c r="AL698"/>
      <c r="CG698"/>
      <c r="CH698"/>
      <c r="CI698"/>
      <c r="CJ698"/>
      <c r="CP698"/>
      <c r="CQ698"/>
      <c r="CR698"/>
      <c r="CS698"/>
    </row>
    <row r="699" spans="2:97" ht="14.45" hidden="1" customHeight="1" x14ac:dyDescent="0.25">
      <c r="L699"/>
      <c r="M699"/>
      <c r="N699"/>
      <c r="O699"/>
      <c r="P699"/>
      <c r="Q699"/>
      <c r="R699"/>
      <c r="S699"/>
      <c r="T699"/>
      <c r="U699"/>
      <c r="AC699"/>
      <c r="AL699"/>
      <c r="CG699"/>
      <c r="CH699"/>
      <c r="CI699"/>
      <c r="CJ699"/>
      <c r="CP699"/>
      <c r="CQ699"/>
      <c r="CR699"/>
      <c r="CS699"/>
    </row>
    <row r="700" spans="2:97" ht="14.45" hidden="1" customHeight="1" x14ac:dyDescent="0.25">
      <c r="L700"/>
      <c r="M700"/>
      <c r="N700"/>
      <c r="O700"/>
      <c r="P700"/>
      <c r="Q700"/>
      <c r="R700"/>
      <c r="S700"/>
      <c r="T700"/>
      <c r="U700"/>
      <c r="AC700"/>
      <c r="AL700"/>
      <c r="CG700"/>
      <c r="CH700"/>
      <c r="CI700"/>
      <c r="CJ700"/>
      <c r="CP700"/>
      <c r="CQ700"/>
      <c r="CR700"/>
      <c r="CS700"/>
    </row>
    <row r="701" spans="2:97" ht="14.45" hidden="1" customHeight="1" x14ac:dyDescent="0.25">
      <c r="L701"/>
      <c r="M701"/>
      <c r="N701"/>
      <c r="O701"/>
      <c r="P701"/>
      <c r="Q701"/>
      <c r="R701"/>
      <c r="S701"/>
      <c r="T701"/>
      <c r="U701"/>
      <c r="AC701"/>
      <c r="AL701"/>
      <c r="CG701"/>
      <c r="CH701"/>
      <c r="CI701"/>
      <c r="CJ701"/>
      <c r="CP701"/>
      <c r="CQ701"/>
      <c r="CR701"/>
      <c r="CS701"/>
    </row>
    <row r="702" spans="2:97" ht="14.45" hidden="1" customHeight="1" x14ac:dyDescent="0.25">
      <c r="L702"/>
      <c r="M702"/>
      <c r="N702"/>
      <c r="O702"/>
      <c r="P702"/>
      <c r="Q702"/>
      <c r="R702"/>
      <c r="S702"/>
      <c r="T702"/>
      <c r="U702"/>
      <c r="AC702"/>
      <c r="AL702"/>
      <c r="CG702"/>
      <c r="CH702"/>
      <c r="CI702"/>
      <c r="CJ702"/>
      <c r="CP702"/>
      <c r="CQ702"/>
      <c r="CR702"/>
      <c r="CS702"/>
    </row>
    <row r="703" spans="2:97" ht="14.45" hidden="1" customHeight="1" x14ac:dyDescent="0.25">
      <c r="L703"/>
      <c r="M703"/>
      <c r="N703"/>
      <c r="O703"/>
      <c r="P703"/>
      <c r="Q703"/>
      <c r="R703"/>
      <c r="S703"/>
      <c r="T703"/>
      <c r="U703"/>
      <c r="AC703"/>
      <c r="AL703"/>
      <c r="CG703"/>
      <c r="CH703"/>
      <c r="CI703"/>
      <c r="CJ703"/>
      <c r="CP703"/>
      <c r="CQ703"/>
      <c r="CR703"/>
      <c r="CS703"/>
    </row>
    <row r="704" spans="2:97" ht="14.45" hidden="1" customHeight="1" x14ac:dyDescent="0.25">
      <c r="L704"/>
      <c r="M704"/>
      <c r="N704"/>
      <c r="O704"/>
      <c r="P704"/>
      <c r="Q704"/>
      <c r="R704"/>
      <c r="S704"/>
      <c r="T704"/>
      <c r="U704"/>
      <c r="AC704"/>
      <c r="AL704"/>
      <c r="CG704"/>
      <c r="CH704"/>
      <c r="CI704"/>
      <c r="CJ704"/>
      <c r="CP704"/>
      <c r="CQ704"/>
      <c r="CR704"/>
      <c r="CS704"/>
    </row>
    <row r="705" spans="12:97" ht="14.45" hidden="1" customHeight="1" x14ac:dyDescent="0.25">
      <c r="L705"/>
      <c r="M705"/>
      <c r="N705"/>
      <c r="O705"/>
      <c r="P705"/>
      <c r="Q705"/>
      <c r="R705"/>
      <c r="S705"/>
      <c r="T705"/>
      <c r="U705"/>
      <c r="AC705"/>
      <c r="AL705"/>
      <c r="CG705"/>
      <c r="CH705"/>
      <c r="CI705"/>
      <c r="CJ705"/>
      <c r="CP705"/>
      <c r="CQ705"/>
      <c r="CR705"/>
      <c r="CS705"/>
    </row>
    <row r="706" spans="12:97" ht="14.45" hidden="1" customHeight="1" x14ac:dyDescent="0.25">
      <c r="L706"/>
      <c r="M706"/>
      <c r="N706"/>
      <c r="O706"/>
      <c r="P706"/>
      <c r="Q706"/>
      <c r="R706"/>
      <c r="S706"/>
      <c r="T706"/>
      <c r="U706"/>
      <c r="AC706"/>
      <c r="AL706"/>
      <c r="CG706"/>
      <c r="CH706"/>
      <c r="CI706"/>
      <c r="CJ706"/>
      <c r="CP706"/>
      <c r="CQ706"/>
      <c r="CR706"/>
      <c r="CS706"/>
    </row>
    <row r="707" spans="12:97" ht="14.45" hidden="1" customHeight="1" x14ac:dyDescent="0.25">
      <c r="L707"/>
      <c r="M707"/>
      <c r="N707"/>
      <c r="O707"/>
      <c r="P707"/>
      <c r="Q707"/>
      <c r="R707"/>
      <c r="S707"/>
      <c r="T707"/>
      <c r="U707"/>
      <c r="AC707"/>
      <c r="AL707"/>
      <c r="CG707"/>
      <c r="CH707"/>
      <c r="CI707"/>
      <c r="CJ707"/>
      <c r="CP707"/>
      <c r="CQ707"/>
      <c r="CR707"/>
      <c r="CS707"/>
    </row>
    <row r="708" spans="12:97" ht="14.45" hidden="1" customHeight="1" x14ac:dyDescent="0.25">
      <c r="L708"/>
      <c r="M708"/>
      <c r="N708"/>
      <c r="O708"/>
      <c r="P708"/>
      <c r="Q708"/>
      <c r="R708"/>
      <c r="S708"/>
      <c r="T708"/>
      <c r="U708"/>
      <c r="AC708"/>
      <c r="AL708"/>
      <c r="CG708"/>
      <c r="CH708"/>
      <c r="CI708"/>
      <c r="CJ708"/>
      <c r="CP708"/>
      <c r="CQ708"/>
      <c r="CR708"/>
      <c r="CS708"/>
    </row>
    <row r="709" spans="12:97" ht="14.45" hidden="1" customHeight="1" x14ac:dyDescent="0.25">
      <c r="L709"/>
      <c r="M709"/>
      <c r="N709"/>
      <c r="O709"/>
      <c r="P709"/>
      <c r="Q709"/>
      <c r="R709"/>
      <c r="S709"/>
      <c r="T709"/>
      <c r="U709"/>
      <c r="AC709"/>
      <c r="AL709"/>
      <c r="CG709"/>
      <c r="CH709"/>
      <c r="CI709"/>
      <c r="CJ709"/>
      <c r="CP709"/>
      <c r="CQ709"/>
      <c r="CR709"/>
      <c r="CS709"/>
    </row>
    <row r="710" spans="12:97" ht="14.45" hidden="1" customHeight="1" x14ac:dyDescent="0.25">
      <c r="L710"/>
      <c r="M710"/>
      <c r="N710"/>
      <c r="O710"/>
      <c r="P710"/>
      <c r="Q710"/>
      <c r="R710"/>
      <c r="S710"/>
      <c r="T710"/>
      <c r="U710"/>
      <c r="AC710"/>
      <c r="AL710"/>
      <c r="CG710"/>
      <c r="CH710"/>
      <c r="CI710"/>
      <c r="CJ710"/>
      <c r="CP710"/>
      <c r="CQ710"/>
      <c r="CR710"/>
      <c r="CS710"/>
    </row>
    <row r="711" spans="12:97" ht="14.45" hidden="1" customHeight="1" x14ac:dyDescent="0.25">
      <c r="L711"/>
      <c r="M711"/>
      <c r="N711"/>
      <c r="O711"/>
      <c r="P711"/>
      <c r="Q711"/>
      <c r="R711"/>
      <c r="S711"/>
      <c r="T711"/>
      <c r="U711"/>
      <c r="AC711"/>
      <c r="AL711"/>
      <c r="CG711"/>
      <c r="CH711"/>
      <c r="CI711"/>
      <c r="CJ711"/>
      <c r="CP711"/>
      <c r="CQ711"/>
      <c r="CR711"/>
      <c r="CS711"/>
    </row>
    <row r="712" spans="12:97" ht="14.45" hidden="1" customHeight="1" x14ac:dyDescent="0.25">
      <c r="L712"/>
      <c r="M712"/>
      <c r="N712"/>
      <c r="O712"/>
      <c r="P712"/>
      <c r="Q712"/>
      <c r="R712"/>
      <c r="S712"/>
      <c r="T712"/>
      <c r="U712"/>
      <c r="AC712"/>
      <c r="AL712"/>
      <c r="CG712"/>
      <c r="CH712"/>
      <c r="CI712"/>
      <c r="CJ712"/>
      <c r="CP712"/>
      <c r="CQ712"/>
      <c r="CR712"/>
      <c r="CS712"/>
    </row>
    <row r="713" spans="12:97" ht="14.45" hidden="1" customHeight="1" x14ac:dyDescent="0.25">
      <c r="L713"/>
      <c r="M713"/>
      <c r="N713"/>
      <c r="O713"/>
      <c r="P713"/>
      <c r="Q713"/>
      <c r="R713"/>
      <c r="S713"/>
      <c r="T713"/>
      <c r="U713"/>
      <c r="AC713"/>
      <c r="AL713"/>
      <c r="CG713"/>
      <c r="CH713"/>
      <c r="CI713"/>
      <c r="CJ713"/>
      <c r="CP713"/>
      <c r="CQ713"/>
      <c r="CR713"/>
      <c r="CS713"/>
    </row>
    <row r="714" spans="12:97" ht="14.45" hidden="1" customHeight="1" x14ac:dyDescent="0.25">
      <c r="L714"/>
      <c r="M714"/>
      <c r="N714"/>
      <c r="O714"/>
      <c r="P714"/>
      <c r="Q714"/>
      <c r="R714"/>
      <c r="S714"/>
      <c r="T714"/>
      <c r="U714"/>
      <c r="AC714"/>
      <c r="AL714"/>
      <c r="CG714"/>
      <c r="CH714"/>
      <c r="CI714"/>
      <c r="CJ714"/>
      <c r="CP714"/>
      <c r="CQ714"/>
      <c r="CR714"/>
      <c r="CS714"/>
    </row>
    <row r="715" spans="12:97" ht="14.45" hidden="1" customHeight="1" x14ac:dyDescent="0.25">
      <c r="L715"/>
      <c r="M715"/>
      <c r="N715"/>
      <c r="O715"/>
      <c r="P715"/>
      <c r="Q715"/>
      <c r="R715"/>
      <c r="S715"/>
      <c r="T715"/>
      <c r="U715"/>
      <c r="AC715"/>
      <c r="AL715"/>
      <c r="CG715"/>
      <c r="CH715"/>
      <c r="CI715"/>
      <c r="CJ715"/>
      <c r="CP715"/>
      <c r="CQ715"/>
      <c r="CR715"/>
      <c r="CS715"/>
    </row>
    <row r="716" spans="12:97" ht="14.45" hidden="1" customHeight="1" x14ac:dyDescent="0.25">
      <c r="L716"/>
      <c r="M716"/>
      <c r="N716"/>
      <c r="O716"/>
      <c r="P716"/>
      <c r="Q716"/>
      <c r="R716"/>
      <c r="S716"/>
      <c r="T716"/>
      <c r="U716"/>
      <c r="AC716"/>
      <c r="AL716"/>
      <c r="CG716"/>
      <c r="CH716"/>
      <c r="CI716"/>
      <c r="CJ716"/>
      <c r="CP716"/>
      <c r="CQ716"/>
      <c r="CR716"/>
      <c r="CS716"/>
    </row>
    <row r="717" spans="12:97" ht="14.45" hidden="1" customHeight="1" x14ac:dyDescent="0.25">
      <c r="L717"/>
      <c r="M717"/>
      <c r="N717"/>
      <c r="O717"/>
      <c r="P717"/>
      <c r="Q717"/>
      <c r="R717"/>
      <c r="S717"/>
      <c r="T717"/>
      <c r="U717"/>
      <c r="AC717"/>
      <c r="AL717"/>
      <c r="CG717"/>
      <c r="CH717"/>
      <c r="CI717"/>
      <c r="CJ717"/>
      <c r="CP717"/>
      <c r="CQ717"/>
      <c r="CR717"/>
      <c r="CS717"/>
    </row>
    <row r="718" spans="12:97" ht="14.45" hidden="1" customHeight="1" x14ac:dyDescent="0.25">
      <c r="L718"/>
      <c r="M718"/>
      <c r="N718"/>
      <c r="O718"/>
      <c r="P718"/>
      <c r="Q718"/>
      <c r="R718"/>
      <c r="S718"/>
      <c r="T718"/>
      <c r="U718"/>
      <c r="AC718"/>
      <c r="AL718"/>
      <c r="CG718"/>
      <c r="CH718"/>
      <c r="CI718"/>
      <c r="CJ718"/>
      <c r="CP718"/>
      <c r="CQ718"/>
      <c r="CR718"/>
      <c r="CS718"/>
    </row>
    <row r="719" spans="12:97" ht="14.45" hidden="1" customHeight="1" x14ac:dyDescent="0.25">
      <c r="L719"/>
      <c r="M719"/>
      <c r="N719"/>
      <c r="O719"/>
      <c r="P719"/>
      <c r="Q719"/>
      <c r="R719"/>
      <c r="S719"/>
      <c r="T719"/>
      <c r="U719"/>
      <c r="AC719"/>
      <c r="AL719"/>
      <c r="CG719"/>
      <c r="CH719"/>
      <c r="CI719"/>
      <c r="CJ719"/>
      <c r="CP719"/>
      <c r="CQ719"/>
      <c r="CR719"/>
      <c r="CS719"/>
    </row>
    <row r="720" spans="12:97" ht="14.45" hidden="1" customHeight="1" x14ac:dyDescent="0.25">
      <c r="L720"/>
      <c r="M720"/>
      <c r="N720"/>
      <c r="O720"/>
      <c r="P720"/>
      <c r="Q720"/>
      <c r="R720"/>
      <c r="S720"/>
      <c r="T720"/>
      <c r="U720"/>
      <c r="AC720"/>
      <c r="AL720"/>
      <c r="CG720"/>
      <c r="CH720"/>
      <c r="CI720"/>
      <c r="CJ720"/>
      <c r="CP720"/>
      <c r="CQ720"/>
      <c r="CR720"/>
      <c r="CS720"/>
    </row>
    <row r="721" spans="12:97" ht="14.45" hidden="1" customHeight="1" x14ac:dyDescent="0.25">
      <c r="L721"/>
      <c r="M721"/>
      <c r="N721"/>
      <c r="O721"/>
      <c r="P721"/>
      <c r="Q721"/>
      <c r="R721"/>
      <c r="S721"/>
      <c r="T721"/>
      <c r="U721"/>
      <c r="AC721"/>
      <c r="AL721"/>
      <c r="CG721"/>
      <c r="CH721"/>
      <c r="CI721"/>
      <c r="CJ721"/>
      <c r="CP721"/>
      <c r="CQ721"/>
      <c r="CR721"/>
      <c r="CS721"/>
    </row>
    <row r="722" spans="12:97" ht="14.45" hidden="1" customHeight="1" x14ac:dyDescent="0.25">
      <c r="L722"/>
      <c r="M722"/>
      <c r="N722"/>
      <c r="O722"/>
      <c r="P722"/>
      <c r="Q722"/>
      <c r="R722"/>
      <c r="S722"/>
      <c r="T722"/>
      <c r="U722"/>
      <c r="AC722"/>
      <c r="AL722"/>
      <c r="CG722"/>
      <c r="CH722"/>
      <c r="CI722"/>
      <c r="CJ722"/>
      <c r="CP722"/>
      <c r="CQ722"/>
      <c r="CR722"/>
      <c r="CS722"/>
    </row>
    <row r="723" spans="12:97" ht="14.45" hidden="1" customHeight="1" x14ac:dyDescent="0.25">
      <c r="L723"/>
      <c r="M723"/>
      <c r="N723"/>
      <c r="O723"/>
      <c r="P723"/>
      <c r="Q723"/>
      <c r="R723"/>
      <c r="S723"/>
      <c r="T723"/>
      <c r="U723"/>
      <c r="AC723"/>
      <c r="AL723"/>
      <c r="CG723"/>
      <c r="CH723"/>
      <c r="CI723"/>
      <c r="CJ723"/>
      <c r="CP723"/>
      <c r="CQ723"/>
      <c r="CR723"/>
      <c r="CS723"/>
    </row>
    <row r="724" spans="12:97" ht="14.45" hidden="1" customHeight="1" x14ac:dyDescent="0.25">
      <c r="L724"/>
      <c r="M724"/>
      <c r="N724"/>
      <c r="O724"/>
      <c r="P724"/>
      <c r="Q724"/>
      <c r="R724"/>
      <c r="S724"/>
      <c r="T724"/>
      <c r="U724"/>
      <c r="AC724"/>
      <c r="AL724"/>
      <c r="CG724"/>
      <c r="CH724"/>
      <c r="CI724"/>
      <c r="CJ724"/>
      <c r="CP724"/>
      <c r="CQ724"/>
      <c r="CR724"/>
      <c r="CS724"/>
    </row>
    <row r="725" spans="12:97" ht="14.45" hidden="1" customHeight="1" x14ac:dyDescent="0.25">
      <c r="L725"/>
      <c r="M725"/>
      <c r="N725"/>
      <c r="O725"/>
      <c r="P725"/>
      <c r="Q725"/>
      <c r="R725"/>
      <c r="S725"/>
      <c r="T725"/>
      <c r="U725"/>
      <c r="AC725"/>
      <c r="AL725"/>
      <c r="CG725"/>
      <c r="CH725"/>
      <c r="CI725"/>
      <c r="CJ725"/>
      <c r="CP725"/>
      <c r="CQ725"/>
      <c r="CR725"/>
      <c r="CS725"/>
    </row>
    <row r="726" spans="12:97" ht="14.45" hidden="1" customHeight="1" x14ac:dyDescent="0.25">
      <c r="L726"/>
      <c r="M726"/>
      <c r="N726"/>
      <c r="O726"/>
      <c r="P726"/>
      <c r="Q726"/>
      <c r="R726"/>
      <c r="S726"/>
      <c r="T726"/>
      <c r="U726"/>
      <c r="AC726"/>
      <c r="AL726"/>
      <c r="CG726"/>
      <c r="CH726"/>
      <c r="CI726"/>
      <c r="CJ726"/>
      <c r="CP726"/>
      <c r="CQ726"/>
      <c r="CR726"/>
      <c r="CS726"/>
    </row>
    <row r="727" spans="12:97" ht="14.45" hidden="1" customHeight="1" x14ac:dyDescent="0.25">
      <c r="L727"/>
      <c r="M727"/>
      <c r="N727"/>
      <c r="O727"/>
      <c r="P727"/>
      <c r="Q727"/>
      <c r="R727"/>
      <c r="S727"/>
      <c r="T727"/>
      <c r="U727"/>
      <c r="AC727"/>
      <c r="AL727"/>
      <c r="CG727"/>
      <c r="CH727"/>
      <c r="CI727"/>
      <c r="CJ727"/>
      <c r="CP727"/>
      <c r="CQ727"/>
      <c r="CR727"/>
      <c r="CS727"/>
    </row>
    <row r="728" spans="12:97" ht="14.45" hidden="1" customHeight="1" x14ac:dyDescent="0.25">
      <c r="L728"/>
      <c r="M728"/>
      <c r="N728"/>
      <c r="O728"/>
      <c r="P728"/>
      <c r="Q728"/>
      <c r="R728"/>
      <c r="S728"/>
      <c r="T728"/>
      <c r="U728"/>
      <c r="AC728"/>
      <c r="AL728"/>
      <c r="CG728"/>
      <c r="CH728"/>
      <c r="CI728"/>
      <c r="CJ728"/>
      <c r="CP728"/>
      <c r="CQ728"/>
      <c r="CR728"/>
      <c r="CS728"/>
    </row>
    <row r="729" spans="12:97" ht="14.45" hidden="1" customHeight="1" x14ac:dyDescent="0.25">
      <c r="L729"/>
      <c r="M729"/>
      <c r="N729"/>
      <c r="O729"/>
      <c r="P729"/>
      <c r="Q729"/>
      <c r="R729"/>
      <c r="S729"/>
      <c r="T729"/>
      <c r="U729"/>
      <c r="AC729"/>
      <c r="AL729"/>
      <c r="CG729"/>
      <c r="CH729"/>
      <c r="CI729"/>
      <c r="CJ729"/>
      <c r="CP729"/>
      <c r="CQ729"/>
      <c r="CR729"/>
      <c r="CS729"/>
    </row>
    <row r="730" spans="12:97" ht="14.45" hidden="1" customHeight="1" x14ac:dyDescent="0.25">
      <c r="L730"/>
      <c r="M730"/>
      <c r="N730"/>
      <c r="O730"/>
      <c r="P730"/>
      <c r="Q730"/>
      <c r="R730"/>
      <c r="S730"/>
      <c r="T730"/>
      <c r="U730"/>
      <c r="AC730"/>
      <c r="AL730"/>
      <c r="CG730"/>
      <c r="CH730"/>
      <c r="CI730"/>
      <c r="CJ730"/>
      <c r="CP730"/>
      <c r="CQ730"/>
      <c r="CR730"/>
      <c r="CS730"/>
    </row>
    <row r="731" spans="12:97" ht="14.45" hidden="1" customHeight="1" x14ac:dyDescent="0.25">
      <c r="L731"/>
      <c r="M731"/>
      <c r="N731"/>
      <c r="O731"/>
      <c r="P731"/>
      <c r="Q731"/>
      <c r="R731"/>
      <c r="S731"/>
      <c r="T731"/>
      <c r="U731"/>
      <c r="AC731"/>
      <c r="AL731"/>
      <c r="CG731"/>
      <c r="CH731"/>
      <c r="CI731"/>
      <c r="CJ731"/>
      <c r="CP731"/>
      <c r="CQ731"/>
      <c r="CR731"/>
      <c r="CS731"/>
    </row>
    <row r="732" spans="12:97" ht="14.45" hidden="1" customHeight="1" x14ac:dyDescent="0.25">
      <c r="L732"/>
      <c r="M732"/>
      <c r="N732"/>
      <c r="O732"/>
      <c r="P732"/>
      <c r="Q732"/>
      <c r="R732"/>
      <c r="S732"/>
      <c r="T732"/>
      <c r="U732"/>
      <c r="AC732"/>
      <c r="AL732"/>
      <c r="CG732"/>
      <c r="CH732"/>
      <c r="CI732"/>
      <c r="CJ732"/>
      <c r="CP732"/>
      <c r="CQ732"/>
      <c r="CR732"/>
      <c r="CS732"/>
    </row>
    <row r="733" spans="12:97" ht="14.45" hidden="1" customHeight="1" x14ac:dyDescent="0.25">
      <c r="L733"/>
      <c r="M733"/>
      <c r="N733"/>
      <c r="O733"/>
      <c r="P733"/>
      <c r="Q733"/>
      <c r="R733"/>
      <c r="S733"/>
      <c r="T733"/>
      <c r="U733"/>
      <c r="AC733"/>
      <c r="AL733"/>
      <c r="CG733"/>
      <c r="CH733"/>
      <c r="CI733"/>
      <c r="CJ733"/>
      <c r="CP733"/>
      <c r="CQ733"/>
      <c r="CR733"/>
      <c r="CS733"/>
    </row>
    <row r="734" spans="12:97" ht="14.45" hidden="1" customHeight="1" x14ac:dyDescent="0.25">
      <c r="L734"/>
      <c r="M734"/>
      <c r="N734"/>
      <c r="O734"/>
      <c r="P734"/>
      <c r="Q734"/>
      <c r="R734"/>
      <c r="S734"/>
      <c r="T734"/>
      <c r="U734"/>
      <c r="AC734"/>
      <c r="AL734"/>
      <c r="CG734"/>
      <c r="CH734"/>
      <c r="CI734"/>
      <c r="CJ734"/>
      <c r="CP734"/>
      <c r="CQ734"/>
      <c r="CR734"/>
      <c r="CS734"/>
    </row>
    <row r="735" spans="12:97" ht="14.45" hidden="1" customHeight="1" x14ac:dyDescent="0.25">
      <c r="L735"/>
      <c r="M735"/>
      <c r="N735"/>
      <c r="O735"/>
      <c r="P735"/>
      <c r="Q735"/>
      <c r="R735"/>
      <c r="S735"/>
      <c r="T735"/>
      <c r="U735"/>
      <c r="AC735"/>
      <c r="AL735"/>
      <c r="CG735"/>
      <c r="CH735"/>
      <c r="CI735"/>
      <c r="CJ735"/>
      <c r="CP735"/>
      <c r="CQ735"/>
      <c r="CR735"/>
      <c r="CS735"/>
    </row>
    <row r="736" spans="12:97" ht="14.45" hidden="1" customHeight="1" x14ac:dyDescent="0.25">
      <c r="L736"/>
      <c r="M736"/>
      <c r="N736"/>
      <c r="O736"/>
      <c r="P736"/>
      <c r="Q736"/>
      <c r="R736"/>
      <c r="S736"/>
      <c r="T736"/>
      <c r="U736"/>
      <c r="AC736"/>
      <c r="AL736"/>
      <c r="CG736"/>
      <c r="CH736"/>
      <c r="CI736"/>
      <c r="CJ736"/>
      <c r="CP736"/>
      <c r="CQ736"/>
      <c r="CR736"/>
      <c r="CS736"/>
    </row>
    <row r="737" spans="12:97" ht="14.45" hidden="1" customHeight="1" x14ac:dyDescent="0.25">
      <c r="L737"/>
      <c r="M737"/>
      <c r="N737"/>
      <c r="O737"/>
      <c r="P737"/>
      <c r="Q737"/>
      <c r="R737"/>
      <c r="S737"/>
      <c r="T737"/>
      <c r="U737"/>
      <c r="AC737"/>
      <c r="AL737"/>
      <c r="CG737"/>
      <c r="CH737"/>
      <c r="CI737"/>
      <c r="CJ737"/>
      <c r="CP737"/>
      <c r="CQ737"/>
      <c r="CR737"/>
      <c r="CS737"/>
    </row>
    <row r="738" spans="12:97" ht="14.45" hidden="1" customHeight="1" x14ac:dyDescent="0.25">
      <c r="L738"/>
      <c r="M738"/>
      <c r="N738"/>
      <c r="O738"/>
      <c r="P738"/>
      <c r="Q738"/>
      <c r="R738"/>
      <c r="S738"/>
      <c r="T738"/>
      <c r="U738"/>
      <c r="AC738"/>
      <c r="AL738"/>
      <c r="CG738"/>
      <c r="CH738"/>
      <c r="CI738"/>
      <c r="CJ738"/>
      <c r="CP738"/>
      <c r="CQ738"/>
      <c r="CR738"/>
      <c r="CS738"/>
    </row>
    <row r="739" spans="12:97" ht="14.45" hidden="1" customHeight="1" x14ac:dyDescent="0.25">
      <c r="L739"/>
      <c r="M739"/>
      <c r="N739"/>
      <c r="O739"/>
      <c r="P739"/>
      <c r="Q739"/>
      <c r="R739"/>
      <c r="S739"/>
      <c r="T739"/>
      <c r="U739"/>
      <c r="AC739"/>
      <c r="AL739"/>
      <c r="CG739"/>
      <c r="CH739"/>
      <c r="CI739"/>
      <c r="CJ739"/>
      <c r="CP739"/>
      <c r="CQ739"/>
      <c r="CR739"/>
      <c r="CS739"/>
    </row>
    <row r="740" spans="12:97" ht="14.45" hidden="1" customHeight="1" x14ac:dyDescent="0.25">
      <c r="L740"/>
      <c r="M740"/>
      <c r="N740"/>
      <c r="O740"/>
      <c r="P740"/>
      <c r="Q740"/>
      <c r="R740"/>
      <c r="S740"/>
      <c r="T740"/>
      <c r="U740"/>
      <c r="AC740"/>
      <c r="AL740"/>
      <c r="CG740"/>
      <c r="CH740"/>
      <c r="CI740"/>
      <c r="CJ740"/>
      <c r="CP740"/>
      <c r="CQ740"/>
      <c r="CR740"/>
      <c r="CS740"/>
    </row>
    <row r="741" spans="12:97" ht="14.45" hidden="1" customHeight="1" x14ac:dyDescent="0.25">
      <c r="L741"/>
      <c r="M741"/>
      <c r="N741"/>
      <c r="O741"/>
      <c r="P741"/>
      <c r="Q741"/>
      <c r="R741"/>
      <c r="S741"/>
      <c r="T741"/>
      <c r="U741"/>
      <c r="AC741"/>
      <c r="AL741"/>
      <c r="CG741"/>
      <c r="CH741"/>
      <c r="CI741"/>
      <c r="CJ741"/>
      <c r="CP741"/>
      <c r="CQ741"/>
      <c r="CR741"/>
      <c r="CS741"/>
    </row>
    <row r="742" spans="12:97" ht="14.45" hidden="1" customHeight="1" x14ac:dyDescent="0.25">
      <c r="L742"/>
      <c r="M742"/>
      <c r="N742"/>
      <c r="O742"/>
      <c r="P742"/>
      <c r="Q742"/>
      <c r="R742"/>
      <c r="S742"/>
      <c r="T742"/>
      <c r="U742"/>
      <c r="AC742"/>
      <c r="AL742"/>
      <c r="CG742"/>
      <c r="CH742"/>
      <c r="CI742"/>
      <c r="CJ742"/>
      <c r="CP742"/>
      <c r="CQ742"/>
      <c r="CR742"/>
      <c r="CS742"/>
    </row>
    <row r="743" spans="12:97" ht="14.45" hidden="1" customHeight="1" x14ac:dyDescent="0.25">
      <c r="L743"/>
      <c r="M743"/>
      <c r="N743"/>
      <c r="O743"/>
      <c r="P743"/>
      <c r="Q743"/>
      <c r="R743"/>
      <c r="S743"/>
      <c r="T743"/>
      <c r="U743"/>
      <c r="AC743"/>
      <c r="AL743"/>
      <c r="CG743"/>
      <c r="CH743"/>
      <c r="CI743"/>
      <c r="CJ743"/>
      <c r="CP743"/>
      <c r="CQ743"/>
      <c r="CR743"/>
      <c r="CS743"/>
    </row>
    <row r="744" spans="12:97" ht="14.45" hidden="1" customHeight="1" x14ac:dyDescent="0.25">
      <c r="L744"/>
      <c r="M744"/>
      <c r="N744"/>
      <c r="O744"/>
      <c r="P744"/>
      <c r="Q744"/>
      <c r="R744"/>
      <c r="S744"/>
      <c r="T744"/>
      <c r="U744"/>
      <c r="AC744"/>
      <c r="AL744"/>
      <c r="CG744"/>
      <c r="CH744"/>
      <c r="CI744"/>
      <c r="CJ744"/>
      <c r="CP744"/>
      <c r="CQ744"/>
      <c r="CR744"/>
      <c r="CS744"/>
    </row>
    <row r="745" spans="12:97" ht="14.45" hidden="1" customHeight="1" x14ac:dyDescent="0.25">
      <c r="L745"/>
      <c r="M745"/>
      <c r="N745"/>
      <c r="O745"/>
      <c r="P745"/>
      <c r="Q745"/>
      <c r="R745"/>
      <c r="S745"/>
      <c r="T745"/>
      <c r="U745"/>
      <c r="AC745"/>
      <c r="AL745"/>
      <c r="CG745"/>
      <c r="CH745"/>
      <c r="CI745"/>
      <c r="CJ745"/>
      <c r="CP745"/>
      <c r="CQ745"/>
      <c r="CR745"/>
      <c r="CS745"/>
    </row>
    <row r="746" spans="12:97" ht="14.45" hidden="1" customHeight="1" x14ac:dyDescent="0.25">
      <c r="L746"/>
      <c r="M746"/>
      <c r="N746"/>
      <c r="O746"/>
      <c r="P746"/>
      <c r="Q746"/>
      <c r="R746"/>
      <c r="S746"/>
      <c r="T746"/>
      <c r="U746"/>
      <c r="AC746"/>
      <c r="AL746"/>
      <c r="CG746"/>
      <c r="CH746"/>
      <c r="CI746"/>
      <c r="CJ746"/>
      <c r="CP746"/>
      <c r="CQ746"/>
      <c r="CR746"/>
      <c r="CS746"/>
    </row>
    <row r="747" spans="12:97" ht="14.45" hidden="1" customHeight="1" x14ac:dyDescent="0.25">
      <c r="L747"/>
      <c r="M747"/>
      <c r="N747"/>
      <c r="O747"/>
      <c r="P747"/>
      <c r="Q747"/>
      <c r="R747"/>
      <c r="S747"/>
      <c r="T747"/>
      <c r="U747"/>
      <c r="AC747"/>
      <c r="AL747"/>
      <c r="CG747"/>
      <c r="CH747"/>
      <c r="CI747"/>
      <c r="CJ747"/>
      <c r="CP747"/>
      <c r="CQ747"/>
      <c r="CR747"/>
      <c r="CS747"/>
    </row>
    <row r="748" spans="12:97" ht="14.45" hidden="1" customHeight="1" x14ac:dyDescent="0.25">
      <c r="L748"/>
      <c r="M748"/>
      <c r="N748"/>
      <c r="O748"/>
      <c r="P748"/>
      <c r="Q748"/>
      <c r="R748"/>
      <c r="S748"/>
      <c r="T748"/>
      <c r="U748"/>
      <c r="AC748"/>
      <c r="AL748"/>
      <c r="CG748"/>
      <c r="CH748"/>
      <c r="CI748"/>
      <c r="CJ748"/>
      <c r="CP748"/>
      <c r="CQ748"/>
      <c r="CR748"/>
      <c r="CS748"/>
    </row>
    <row r="749" spans="12:97" ht="14.45" hidden="1" customHeight="1" x14ac:dyDescent="0.25">
      <c r="L749"/>
      <c r="M749"/>
      <c r="N749"/>
      <c r="O749"/>
      <c r="P749"/>
      <c r="Q749"/>
      <c r="R749"/>
      <c r="S749"/>
      <c r="T749"/>
      <c r="U749"/>
      <c r="AC749"/>
      <c r="AL749"/>
      <c r="CG749"/>
      <c r="CH749"/>
      <c r="CI749"/>
      <c r="CJ749"/>
      <c r="CP749"/>
      <c r="CQ749"/>
      <c r="CR749"/>
      <c r="CS749"/>
    </row>
    <row r="750" spans="12:97" ht="14.45" hidden="1" customHeight="1" x14ac:dyDescent="0.25">
      <c r="L750"/>
      <c r="M750"/>
      <c r="N750"/>
      <c r="O750"/>
      <c r="P750"/>
      <c r="Q750"/>
      <c r="R750"/>
      <c r="S750"/>
      <c r="T750"/>
      <c r="U750"/>
      <c r="AC750"/>
      <c r="AL750"/>
      <c r="CG750"/>
      <c r="CH750"/>
      <c r="CI750"/>
      <c r="CJ750"/>
      <c r="CP750"/>
      <c r="CQ750"/>
      <c r="CR750"/>
      <c r="CS750"/>
    </row>
    <row r="751" spans="12:97" ht="14.45" hidden="1" customHeight="1" x14ac:dyDescent="0.25">
      <c r="L751"/>
      <c r="M751"/>
      <c r="N751"/>
      <c r="O751"/>
      <c r="P751"/>
      <c r="Q751"/>
      <c r="R751"/>
      <c r="S751"/>
      <c r="T751"/>
      <c r="U751"/>
      <c r="AC751"/>
      <c r="AL751"/>
      <c r="CG751"/>
      <c r="CH751"/>
      <c r="CI751"/>
      <c r="CJ751"/>
      <c r="CP751"/>
      <c r="CQ751"/>
      <c r="CR751"/>
      <c r="CS751"/>
    </row>
    <row r="752" spans="12:97" ht="14.45" hidden="1" customHeight="1" x14ac:dyDescent="0.25">
      <c r="L752"/>
      <c r="M752"/>
      <c r="N752"/>
      <c r="O752"/>
      <c r="P752"/>
      <c r="Q752"/>
      <c r="R752"/>
      <c r="S752"/>
      <c r="T752"/>
      <c r="U752"/>
      <c r="AC752"/>
      <c r="AL752"/>
      <c r="CG752"/>
      <c r="CH752"/>
      <c r="CI752"/>
      <c r="CJ752"/>
      <c r="CP752"/>
      <c r="CQ752"/>
      <c r="CR752"/>
      <c r="CS752"/>
    </row>
    <row r="753" spans="12:97" ht="14.45" hidden="1" customHeight="1" x14ac:dyDescent="0.25">
      <c r="L753"/>
      <c r="M753"/>
      <c r="N753"/>
      <c r="O753"/>
      <c r="P753"/>
      <c r="Q753"/>
      <c r="R753"/>
      <c r="S753"/>
      <c r="T753"/>
      <c r="U753"/>
      <c r="AC753"/>
      <c r="AL753"/>
      <c r="CG753"/>
      <c r="CH753"/>
      <c r="CI753"/>
      <c r="CJ753"/>
      <c r="CP753"/>
      <c r="CQ753"/>
      <c r="CR753"/>
      <c r="CS753"/>
    </row>
    <row r="754" spans="12:97" ht="14.45" hidden="1" customHeight="1" x14ac:dyDescent="0.25">
      <c r="L754"/>
      <c r="M754"/>
      <c r="N754"/>
      <c r="O754"/>
      <c r="P754"/>
      <c r="Q754"/>
      <c r="R754"/>
      <c r="S754"/>
      <c r="T754"/>
      <c r="U754"/>
      <c r="AC754"/>
      <c r="AL754"/>
      <c r="CG754"/>
      <c r="CH754"/>
      <c r="CI754"/>
      <c r="CJ754"/>
      <c r="CP754"/>
      <c r="CQ754"/>
      <c r="CR754"/>
      <c r="CS754"/>
    </row>
    <row r="755" spans="12:97" ht="14.45" hidden="1" customHeight="1" x14ac:dyDescent="0.25">
      <c r="L755"/>
      <c r="M755"/>
      <c r="N755"/>
      <c r="O755"/>
      <c r="P755"/>
      <c r="Q755"/>
      <c r="R755"/>
      <c r="S755"/>
      <c r="T755"/>
      <c r="U755"/>
      <c r="AC755"/>
      <c r="AL755"/>
      <c r="CG755"/>
      <c r="CH755"/>
      <c r="CI755"/>
      <c r="CJ755"/>
      <c r="CP755"/>
      <c r="CQ755"/>
      <c r="CR755"/>
      <c r="CS755"/>
    </row>
    <row r="756" spans="12:97" ht="14.45" hidden="1" customHeight="1" x14ac:dyDescent="0.25">
      <c r="L756"/>
      <c r="M756"/>
      <c r="N756"/>
      <c r="O756"/>
      <c r="P756"/>
      <c r="Q756"/>
      <c r="R756"/>
      <c r="S756"/>
      <c r="T756"/>
      <c r="U756"/>
      <c r="AC756"/>
      <c r="AL756"/>
      <c r="CG756"/>
      <c r="CH756"/>
      <c r="CI756"/>
      <c r="CJ756"/>
      <c r="CP756"/>
      <c r="CQ756"/>
      <c r="CR756"/>
      <c r="CS756"/>
    </row>
    <row r="757" spans="12:97" ht="14.45" hidden="1" customHeight="1" x14ac:dyDescent="0.25">
      <c r="L757"/>
      <c r="M757"/>
      <c r="N757"/>
      <c r="O757"/>
      <c r="P757"/>
      <c r="Q757"/>
      <c r="R757"/>
      <c r="S757"/>
      <c r="T757"/>
      <c r="U757"/>
      <c r="AC757"/>
      <c r="AL757"/>
      <c r="CG757"/>
      <c r="CH757"/>
      <c r="CI757"/>
      <c r="CJ757"/>
      <c r="CP757"/>
      <c r="CQ757"/>
      <c r="CR757"/>
      <c r="CS757"/>
    </row>
    <row r="758" spans="12:97" ht="14.45" hidden="1" customHeight="1" x14ac:dyDescent="0.25">
      <c r="L758"/>
      <c r="M758"/>
      <c r="N758"/>
      <c r="O758"/>
      <c r="P758"/>
      <c r="Q758"/>
      <c r="R758"/>
      <c r="S758"/>
      <c r="T758"/>
      <c r="U758"/>
      <c r="AC758"/>
      <c r="AL758"/>
      <c r="CG758"/>
      <c r="CH758"/>
      <c r="CI758"/>
      <c r="CJ758"/>
      <c r="CP758"/>
      <c r="CQ758"/>
      <c r="CR758"/>
      <c r="CS758"/>
    </row>
    <row r="759" spans="12:97" ht="14.45" hidden="1" customHeight="1" x14ac:dyDescent="0.25">
      <c r="L759"/>
      <c r="M759"/>
      <c r="N759"/>
      <c r="O759"/>
      <c r="P759"/>
      <c r="Q759"/>
      <c r="R759"/>
      <c r="S759"/>
      <c r="T759"/>
      <c r="U759"/>
      <c r="AC759"/>
      <c r="AL759"/>
      <c r="CG759"/>
      <c r="CH759"/>
      <c r="CI759"/>
      <c r="CJ759"/>
      <c r="CP759"/>
      <c r="CQ759"/>
      <c r="CR759"/>
      <c r="CS759"/>
    </row>
    <row r="760" spans="12:97" ht="14.45" hidden="1" customHeight="1" x14ac:dyDescent="0.25">
      <c r="L760"/>
      <c r="M760"/>
      <c r="N760"/>
      <c r="O760"/>
      <c r="P760"/>
      <c r="Q760"/>
      <c r="R760"/>
      <c r="S760"/>
      <c r="T760"/>
      <c r="U760"/>
      <c r="AC760"/>
      <c r="AL760"/>
      <c r="CG760"/>
      <c r="CH760"/>
      <c r="CI760"/>
      <c r="CJ760"/>
      <c r="CP760"/>
      <c r="CQ760"/>
      <c r="CR760"/>
      <c r="CS760"/>
    </row>
    <row r="761" spans="12:97" ht="14.45" hidden="1" customHeight="1" x14ac:dyDescent="0.25">
      <c r="L761"/>
      <c r="M761"/>
      <c r="N761"/>
      <c r="O761"/>
      <c r="P761"/>
      <c r="Q761"/>
      <c r="R761"/>
      <c r="S761"/>
      <c r="T761"/>
      <c r="U761"/>
      <c r="AC761"/>
      <c r="AL761"/>
      <c r="CG761"/>
      <c r="CH761"/>
      <c r="CI761"/>
      <c r="CJ761"/>
      <c r="CP761"/>
      <c r="CQ761"/>
      <c r="CR761"/>
      <c r="CS761"/>
    </row>
    <row r="762" spans="12:97" ht="14.45" hidden="1" customHeight="1" x14ac:dyDescent="0.25">
      <c r="L762"/>
      <c r="M762"/>
      <c r="N762"/>
      <c r="O762"/>
      <c r="P762"/>
      <c r="Q762"/>
      <c r="R762"/>
      <c r="S762"/>
      <c r="T762"/>
      <c r="U762"/>
      <c r="AC762"/>
      <c r="AL762"/>
      <c r="CG762"/>
      <c r="CH762"/>
      <c r="CI762"/>
      <c r="CJ762"/>
      <c r="CP762"/>
      <c r="CQ762"/>
      <c r="CR762"/>
      <c r="CS762"/>
    </row>
    <row r="763" spans="12:97" ht="14.45" hidden="1" customHeight="1" x14ac:dyDescent="0.25">
      <c r="L763"/>
      <c r="M763"/>
      <c r="N763"/>
      <c r="O763"/>
      <c r="P763"/>
      <c r="Q763"/>
      <c r="R763"/>
      <c r="S763"/>
      <c r="T763"/>
      <c r="U763"/>
      <c r="AC763"/>
      <c r="AL763"/>
      <c r="CG763"/>
      <c r="CH763"/>
      <c r="CI763"/>
      <c r="CJ763"/>
      <c r="CP763"/>
      <c r="CQ763"/>
      <c r="CR763"/>
      <c r="CS763"/>
    </row>
    <row r="764" spans="12:97" ht="14.45" hidden="1" customHeight="1" x14ac:dyDescent="0.25">
      <c r="L764"/>
      <c r="M764"/>
      <c r="N764"/>
      <c r="O764"/>
      <c r="P764"/>
      <c r="Q764"/>
      <c r="R764"/>
      <c r="S764"/>
      <c r="T764"/>
      <c r="U764"/>
      <c r="AC764"/>
      <c r="AL764"/>
      <c r="CG764"/>
      <c r="CH764"/>
      <c r="CI764"/>
      <c r="CJ764"/>
      <c r="CP764"/>
      <c r="CQ764"/>
      <c r="CR764"/>
      <c r="CS764"/>
    </row>
    <row r="765" spans="12:97" ht="14.45" hidden="1" customHeight="1" x14ac:dyDescent="0.25">
      <c r="L765"/>
      <c r="M765"/>
      <c r="N765"/>
      <c r="O765"/>
      <c r="P765"/>
      <c r="Q765"/>
      <c r="R765"/>
      <c r="S765"/>
      <c r="T765"/>
      <c r="U765"/>
      <c r="AC765"/>
      <c r="AL765"/>
      <c r="CG765"/>
      <c r="CH765"/>
      <c r="CI765"/>
      <c r="CJ765"/>
      <c r="CP765"/>
      <c r="CQ765"/>
      <c r="CR765"/>
      <c r="CS765"/>
    </row>
    <row r="766" spans="12:97" ht="14.45" hidden="1" customHeight="1" x14ac:dyDescent="0.25">
      <c r="L766"/>
      <c r="M766"/>
      <c r="N766"/>
      <c r="O766"/>
      <c r="P766"/>
      <c r="Q766"/>
      <c r="R766"/>
      <c r="S766"/>
      <c r="T766"/>
      <c r="U766"/>
      <c r="AC766"/>
      <c r="AL766"/>
      <c r="CG766"/>
      <c r="CH766"/>
      <c r="CI766"/>
      <c r="CJ766"/>
      <c r="CP766"/>
      <c r="CQ766"/>
      <c r="CR766"/>
      <c r="CS766"/>
    </row>
    <row r="767" spans="12:97" ht="14.45" hidden="1" customHeight="1" x14ac:dyDescent="0.25">
      <c r="L767"/>
      <c r="M767"/>
      <c r="N767"/>
      <c r="O767"/>
      <c r="P767"/>
      <c r="Q767"/>
      <c r="R767"/>
      <c r="S767"/>
      <c r="T767"/>
      <c r="U767"/>
      <c r="AC767"/>
      <c r="AL767"/>
      <c r="CG767"/>
      <c r="CH767"/>
      <c r="CI767"/>
      <c r="CJ767"/>
      <c r="CP767"/>
      <c r="CQ767"/>
      <c r="CR767"/>
      <c r="CS767"/>
    </row>
    <row r="768" spans="12:97" ht="14.45" hidden="1" customHeight="1" x14ac:dyDescent="0.25">
      <c r="L768"/>
      <c r="M768"/>
      <c r="N768"/>
      <c r="O768"/>
      <c r="P768"/>
      <c r="Q768"/>
      <c r="R768"/>
      <c r="S768"/>
      <c r="T768"/>
      <c r="U768"/>
      <c r="AC768"/>
      <c r="AL768"/>
      <c r="CG768"/>
      <c r="CH768"/>
      <c r="CI768"/>
      <c r="CJ768"/>
      <c r="CP768"/>
      <c r="CQ768"/>
      <c r="CR768"/>
      <c r="CS768"/>
    </row>
    <row r="769" spans="12:97" ht="14.45" hidden="1" customHeight="1" x14ac:dyDescent="0.25">
      <c r="L769"/>
      <c r="M769"/>
      <c r="N769"/>
      <c r="O769"/>
      <c r="P769"/>
      <c r="Q769"/>
      <c r="R769"/>
      <c r="S769"/>
      <c r="T769"/>
      <c r="U769"/>
      <c r="AC769"/>
      <c r="AL769"/>
      <c r="CG769"/>
      <c r="CH769"/>
      <c r="CI769"/>
      <c r="CJ769"/>
      <c r="CP769"/>
      <c r="CQ769"/>
      <c r="CR769"/>
      <c r="CS769"/>
    </row>
    <row r="770" spans="12:97" ht="14.45" hidden="1" customHeight="1" x14ac:dyDescent="0.25">
      <c r="L770"/>
      <c r="M770"/>
      <c r="N770"/>
      <c r="O770"/>
      <c r="P770"/>
      <c r="Q770"/>
      <c r="R770"/>
      <c r="S770"/>
      <c r="T770"/>
      <c r="U770"/>
      <c r="AC770"/>
      <c r="AL770"/>
      <c r="CG770"/>
      <c r="CH770"/>
      <c r="CI770"/>
      <c r="CJ770"/>
      <c r="CP770"/>
      <c r="CQ770"/>
      <c r="CR770"/>
      <c r="CS770"/>
    </row>
    <row r="771" spans="12:97" ht="14.45" hidden="1" customHeight="1" x14ac:dyDescent="0.25">
      <c r="L771"/>
      <c r="M771"/>
      <c r="N771"/>
      <c r="O771"/>
      <c r="P771"/>
      <c r="Q771"/>
      <c r="R771"/>
      <c r="S771"/>
      <c r="T771"/>
      <c r="U771"/>
      <c r="AC771"/>
      <c r="AL771"/>
      <c r="CG771"/>
      <c r="CH771"/>
      <c r="CI771"/>
      <c r="CJ771"/>
      <c r="CP771"/>
      <c r="CQ771"/>
      <c r="CR771"/>
      <c r="CS771"/>
    </row>
    <row r="772" spans="12:97" ht="14.45" hidden="1" customHeight="1" x14ac:dyDescent="0.25">
      <c r="L772"/>
      <c r="M772"/>
      <c r="N772"/>
      <c r="O772"/>
      <c r="P772"/>
      <c r="Q772"/>
      <c r="R772"/>
      <c r="S772"/>
      <c r="T772"/>
      <c r="U772"/>
      <c r="AC772"/>
      <c r="AL772"/>
      <c r="CG772"/>
      <c r="CH772"/>
      <c r="CI772"/>
      <c r="CJ772"/>
      <c r="CP772"/>
      <c r="CQ772"/>
      <c r="CR772"/>
      <c r="CS772"/>
    </row>
    <row r="773" spans="12:97" ht="14.45" hidden="1" customHeight="1" x14ac:dyDescent="0.25">
      <c r="L773"/>
      <c r="M773"/>
      <c r="N773"/>
      <c r="O773"/>
      <c r="P773"/>
      <c r="Q773"/>
      <c r="R773"/>
      <c r="S773"/>
      <c r="T773"/>
      <c r="U773"/>
      <c r="AC773"/>
      <c r="AL773"/>
      <c r="CG773"/>
      <c r="CH773"/>
      <c r="CI773"/>
      <c r="CJ773"/>
      <c r="CP773"/>
      <c r="CQ773"/>
      <c r="CR773"/>
      <c r="CS773"/>
    </row>
    <row r="774" spans="12:97" ht="14.45" hidden="1" customHeight="1" x14ac:dyDescent="0.25">
      <c r="L774"/>
      <c r="M774"/>
      <c r="N774"/>
      <c r="O774"/>
      <c r="P774"/>
      <c r="Q774"/>
      <c r="R774"/>
      <c r="S774"/>
      <c r="T774"/>
      <c r="U774"/>
      <c r="AC774"/>
      <c r="AL774"/>
      <c r="CG774"/>
      <c r="CH774"/>
      <c r="CI774"/>
      <c r="CJ774"/>
      <c r="CP774"/>
      <c r="CQ774"/>
      <c r="CR774"/>
      <c r="CS774"/>
    </row>
    <row r="775" spans="12:97" ht="14.45" hidden="1" customHeight="1" x14ac:dyDescent="0.25">
      <c r="L775"/>
      <c r="M775"/>
      <c r="N775"/>
      <c r="O775"/>
      <c r="P775"/>
      <c r="Q775"/>
      <c r="R775"/>
      <c r="S775"/>
      <c r="T775"/>
      <c r="U775"/>
      <c r="AC775"/>
      <c r="AL775"/>
      <c r="CG775"/>
      <c r="CH775"/>
      <c r="CI775"/>
      <c r="CJ775"/>
      <c r="CP775"/>
      <c r="CQ775"/>
      <c r="CR775"/>
      <c r="CS775"/>
    </row>
    <row r="776" spans="12:97" ht="14.45" hidden="1" customHeight="1" x14ac:dyDescent="0.25">
      <c r="L776"/>
      <c r="M776"/>
      <c r="N776"/>
      <c r="O776"/>
      <c r="P776"/>
      <c r="Q776"/>
      <c r="R776"/>
      <c r="S776"/>
      <c r="T776"/>
      <c r="U776"/>
      <c r="AC776"/>
      <c r="AL776"/>
      <c r="CG776"/>
      <c r="CH776"/>
      <c r="CI776"/>
      <c r="CJ776"/>
      <c r="CP776"/>
      <c r="CQ776"/>
      <c r="CR776"/>
      <c r="CS776"/>
    </row>
    <row r="777" spans="12:97" ht="14.45" hidden="1" customHeight="1" x14ac:dyDescent="0.25">
      <c r="L777"/>
      <c r="M777"/>
      <c r="N777"/>
      <c r="O777"/>
      <c r="P777"/>
      <c r="Q777"/>
      <c r="R777"/>
      <c r="S777"/>
      <c r="T777"/>
      <c r="U777"/>
      <c r="AC777"/>
      <c r="AL777"/>
      <c r="CG777"/>
      <c r="CH777"/>
      <c r="CI777"/>
      <c r="CJ777"/>
      <c r="CP777"/>
      <c r="CQ777"/>
      <c r="CR777"/>
      <c r="CS777"/>
    </row>
    <row r="778" spans="12:97" ht="14.45" hidden="1" customHeight="1" x14ac:dyDescent="0.25">
      <c r="L778"/>
      <c r="M778"/>
      <c r="N778"/>
      <c r="O778"/>
      <c r="P778"/>
      <c r="Q778"/>
      <c r="R778"/>
      <c r="S778"/>
      <c r="T778"/>
      <c r="U778"/>
      <c r="AC778"/>
      <c r="AL778"/>
      <c r="CG778"/>
      <c r="CH778"/>
      <c r="CI778"/>
      <c r="CJ778"/>
      <c r="CP778"/>
      <c r="CQ778"/>
      <c r="CR778"/>
      <c r="CS778"/>
    </row>
    <row r="779" spans="12:97" ht="14.45" hidden="1" customHeight="1" x14ac:dyDescent="0.25">
      <c r="L779"/>
      <c r="M779"/>
      <c r="N779"/>
      <c r="O779"/>
      <c r="P779"/>
      <c r="Q779"/>
      <c r="R779"/>
      <c r="S779"/>
      <c r="T779"/>
      <c r="U779"/>
      <c r="AC779"/>
      <c r="AL779"/>
      <c r="CG779"/>
      <c r="CH779"/>
      <c r="CI779"/>
      <c r="CJ779"/>
      <c r="CP779"/>
      <c r="CQ779"/>
      <c r="CR779"/>
      <c r="CS779"/>
    </row>
    <row r="780" spans="12:97" ht="14.45" hidden="1" customHeight="1" x14ac:dyDescent="0.25">
      <c r="L780"/>
      <c r="M780"/>
      <c r="N780"/>
      <c r="O780"/>
      <c r="P780"/>
      <c r="Q780"/>
      <c r="R780"/>
      <c r="S780"/>
      <c r="T780"/>
      <c r="U780"/>
      <c r="AC780"/>
      <c r="AL780"/>
      <c r="CG780"/>
      <c r="CH780"/>
      <c r="CI780"/>
      <c r="CJ780"/>
      <c r="CP780"/>
      <c r="CQ780"/>
      <c r="CR780"/>
      <c r="CS780"/>
    </row>
    <row r="781" spans="12:97" ht="14.45" hidden="1" customHeight="1" x14ac:dyDescent="0.25">
      <c r="L781"/>
      <c r="M781"/>
      <c r="N781"/>
      <c r="O781"/>
      <c r="P781"/>
      <c r="Q781"/>
      <c r="R781"/>
      <c r="S781"/>
      <c r="T781"/>
      <c r="U781"/>
      <c r="AC781"/>
      <c r="AL781"/>
      <c r="CG781"/>
      <c r="CH781"/>
      <c r="CI781"/>
      <c r="CJ781"/>
      <c r="CP781"/>
      <c r="CQ781"/>
      <c r="CR781"/>
      <c r="CS781"/>
    </row>
    <row r="782" spans="12:97" ht="14.45" hidden="1" customHeight="1" x14ac:dyDescent="0.25">
      <c r="L782"/>
      <c r="M782"/>
      <c r="N782"/>
      <c r="O782"/>
      <c r="P782"/>
      <c r="Q782"/>
      <c r="R782"/>
      <c r="S782"/>
      <c r="T782"/>
      <c r="U782"/>
      <c r="AC782"/>
      <c r="AL782"/>
      <c r="CG782"/>
      <c r="CH782"/>
      <c r="CI782"/>
      <c r="CJ782"/>
      <c r="CP782"/>
      <c r="CQ782"/>
      <c r="CR782"/>
      <c r="CS782"/>
    </row>
    <row r="783" spans="12:97" ht="14.45" hidden="1" customHeight="1" x14ac:dyDescent="0.25">
      <c r="L783"/>
      <c r="M783"/>
      <c r="N783"/>
      <c r="O783"/>
      <c r="P783"/>
      <c r="Q783"/>
      <c r="R783"/>
      <c r="S783"/>
      <c r="T783"/>
      <c r="U783"/>
      <c r="AC783"/>
      <c r="AL783"/>
      <c r="CG783"/>
      <c r="CH783"/>
      <c r="CI783"/>
      <c r="CJ783"/>
      <c r="CP783"/>
      <c r="CQ783"/>
      <c r="CR783"/>
      <c r="CS783"/>
    </row>
    <row r="784" spans="12:97" ht="14.45" hidden="1" customHeight="1" x14ac:dyDescent="0.25">
      <c r="L784"/>
      <c r="M784"/>
      <c r="N784"/>
      <c r="O784"/>
      <c r="P784"/>
      <c r="Q784"/>
      <c r="R784"/>
      <c r="S784"/>
      <c r="T784"/>
      <c r="U784"/>
      <c r="AC784"/>
      <c r="AL784"/>
      <c r="CG784"/>
      <c r="CH784"/>
      <c r="CI784"/>
      <c r="CJ784"/>
      <c r="CP784"/>
      <c r="CQ784"/>
      <c r="CR784"/>
      <c r="CS784"/>
    </row>
    <row r="785" spans="12:97" ht="14.45" hidden="1" customHeight="1" x14ac:dyDescent="0.25">
      <c r="L785"/>
      <c r="M785"/>
      <c r="N785"/>
      <c r="O785"/>
      <c r="P785"/>
      <c r="Q785"/>
      <c r="R785"/>
      <c r="S785"/>
      <c r="T785"/>
      <c r="U785"/>
      <c r="AC785"/>
      <c r="AL785"/>
      <c r="CG785"/>
      <c r="CH785"/>
      <c r="CI785"/>
      <c r="CJ785"/>
      <c r="CP785"/>
      <c r="CQ785"/>
      <c r="CR785"/>
      <c r="CS785"/>
    </row>
    <row r="786" spans="12:97" ht="14.45" hidden="1" customHeight="1" x14ac:dyDescent="0.25">
      <c r="L786"/>
      <c r="M786"/>
      <c r="N786"/>
      <c r="O786"/>
      <c r="P786"/>
      <c r="Q786"/>
      <c r="R786"/>
      <c r="S786"/>
      <c r="T786"/>
      <c r="U786"/>
      <c r="AC786"/>
      <c r="AL786"/>
      <c r="CG786"/>
      <c r="CH786"/>
      <c r="CI786"/>
      <c r="CJ786"/>
      <c r="CP786"/>
      <c r="CQ786"/>
      <c r="CR786"/>
      <c r="CS786"/>
    </row>
    <row r="787" spans="12:97" ht="14.45" hidden="1" customHeight="1" x14ac:dyDescent="0.25">
      <c r="L787"/>
      <c r="M787"/>
      <c r="N787"/>
      <c r="O787"/>
      <c r="P787"/>
      <c r="Q787"/>
      <c r="R787"/>
      <c r="S787"/>
      <c r="T787"/>
      <c r="U787"/>
      <c r="AC787"/>
      <c r="AL787"/>
      <c r="CG787"/>
      <c r="CH787"/>
      <c r="CI787"/>
      <c r="CJ787"/>
      <c r="CP787"/>
      <c r="CQ787"/>
      <c r="CR787"/>
      <c r="CS787"/>
    </row>
    <row r="788" spans="12:97" ht="14.45" hidden="1" customHeight="1" x14ac:dyDescent="0.25">
      <c r="L788"/>
      <c r="M788"/>
      <c r="N788"/>
      <c r="O788"/>
      <c r="P788"/>
      <c r="Q788"/>
      <c r="R788"/>
      <c r="S788"/>
      <c r="T788"/>
      <c r="U788"/>
      <c r="AC788"/>
      <c r="AL788"/>
      <c r="CG788"/>
      <c r="CH788"/>
      <c r="CI788"/>
      <c r="CJ788"/>
      <c r="CP788"/>
      <c r="CQ788"/>
      <c r="CR788"/>
      <c r="CS788"/>
    </row>
    <row r="789" spans="12:97" ht="14.45" hidden="1" customHeight="1" x14ac:dyDescent="0.25">
      <c r="L789"/>
      <c r="M789"/>
      <c r="N789"/>
      <c r="O789"/>
      <c r="P789"/>
      <c r="Q789"/>
      <c r="R789"/>
      <c r="S789"/>
      <c r="T789"/>
      <c r="U789"/>
      <c r="AC789"/>
      <c r="AL789"/>
      <c r="CG789"/>
      <c r="CH789"/>
      <c r="CI789"/>
      <c r="CJ789"/>
      <c r="CP789"/>
      <c r="CQ789"/>
      <c r="CR789"/>
      <c r="CS789"/>
    </row>
    <row r="790" spans="12:97" ht="14.45" hidden="1" customHeight="1" x14ac:dyDescent="0.25">
      <c r="L790"/>
      <c r="M790"/>
      <c r="N790"/>
      <c r="O790"/>
      <c r="P790"/>
      <c r="Q790"/>
      <c r="R790"/>
      <c r="S790"/>
      <c r="T790"/>
      <c r="U790"/>
      <c r="AC790"/>
      <c r="AL790"/>
      <c r="CG790"/>
      <c r="CH790"/>
      <c r="CI790"/>
      <c r="CJ790"/>
      <c r="CP790"/>
      <c r="CQ790"/>
      <c r="CR790"/>
      <c r="CS790"/>
    </row>
    <row r="791" spans="12:97" ht="14.45" hidden="1" customHeight="1" x14ac:dyDescent="0.25">
      <c r="L791"/>
      <c r="M791"/>
      <c r="N791"/>
      <c r="O791"/>
      <c r="P791"/>
      <c r="Q791"/>
      <c r="R791"/>
      <c r="S791"/>
      <c r="T791"/>
      <c r="U791"/>
      <c r="AC791"/>
      <c r="AL791"/>
      <c r="CG791"/>
      <c r="CH791"/>
      <c r="CI791"/>
      <c r="CJ791"/>
      <c r="CP791"/>
      <c r="CQ791"/>
      <c r="CR791"/>
      <c r="CS791"/>
    </row>
    <row r="792" spans="12:97" ht="14.45" hidden="1" customHeight="1" x14ac:dyDescent="0.25">
      <c r="L792"/>
      <c r="M792"/>
      <c r="N792"/>
      <c r="O792"/>
      <c r="P792"/>
      <c r="Q792"/>
      <c r="R792"/>
      <c r="S792"/>
      <c r="T792"/>
      <c r="U792"/>
      <c r="AC792"/>
      <c r="AL792"/>
      <c r="CG792"/>
      <c r="CH792"/>
      <c r="CI792"/>
      <c r="CJ792"/>
      <c r="CP792"/>
      <c r="CQ792"/>
      <c r="CR792"/>
      <c r="CS792"/>
    </row>
    <row r="793" spans="12:97" ht="14.45" hidden="1" customHeight="1" x14ac:dyDescent="0.25">
      <c r="L793"/>
      <c r="M793"/>
      <c r="N793"/>
      <c r="O793"/>
      <c r="P793"/>
      <c r="Q793"/>
      <c r="R793"/>
      <c r="S793"/>
      <c r="T793"/>
      <c r="U793"/>
      <c r="AC793"/>
      <c r="AL793"/>
      <c r="CG793"/>
      <c r="CH793"/>
      <c r="CI793"/>
      <c r="CJ793"/>
      <c r="CP793"/>
      <c r="CQ793"/>
      <c r="CR793"/>
      <c r="CS793"/>
    </row>
    <row r="794" spans="12:97" ht="14.45" hidden="1" customHeight="1" x14ac:dyDescent="0.25">
      <c r="L794"/>
      <c r="M794"/>
      <c r="N794"/>
      <c r="O794"/>
      <c r="P794"/>
      <c r="Q794"/>
      <c r="R794"/>
      <c r="S794"/>
      <c r="T794"/>
      <c r="U794"/>
      <c r="AC794"/>
      <c r="AL794"/>
      <c r="CG794"/>
      <c r="CH794"/>
      <c r="CI794"/>
      <c r="CJ794"/>
      <c r="CP794"/>
      <c r="CQ794"/>
      <c r="CR794"/>
      <c r="CS794"/>
    </row>
    <row r="795" spans="12:97" ht="14.45" hidden="1" customHeight="1" x14ac:dyDescent="0.25">
      <c r="L795"/>
      <c r="M795"/>
      <c r="N795"/>
      <c r="O795"/>
      <c r="P795"/>
      <c r="Q795"/>
      <c r="R795"/>
      <c r="S795"/>
      <c r="T795"/>
      <c r="U795"/>
      <c r="AC795"/>
      <c r="AL795"/>
      <c r="CG795"/>
      <c r="CH795"/>
      <c r="CI795"/>
      <c r="CJ795"/>
      <c r="CP795"/>
      <c r="CQ795"/>
      <c r="CR795"/>
      <c r="CS795"/>
    </row>
    <row r="796" spans="12:97" ht="14.45" hidden="1" customHeight="1" x14ac:dyDescent="0.25">
      <c r="L796"/>
      <c r="M796"/>
      <c r="N796"/>
      <c r="O796"/>
      <c r="P796"/>
      <c r="Q796"/>
      <c r="R796"/>
      <c r="S796"/>
      <c r="T796"/>
      <c r="U796"/>
      <c r="AC796"/>
      <c r="AL796"/>
      <c r="CG796"/>
      <c r="CH796"/>
      <c r="CI796"/>
      <c r="CJ796"/>
      <c r="CP796"/>
      <c r="CQ796"/>
      <c r="CR796"/>
      <c r="CS796"/>
    </row>
    <row r="797" spans="12:97" ht="14.45" hidden="1" customHeight="1" x14ac:dyDescent="0.25">
      <c r="L797"/>
      <c r="M797"/>
      <c r="N797"/>
      <c r="O797"/>
      <c r="P797"/>
      <c r="Q797"/>
      <c r="R797"/>
      <c r="S797"/>
      <c r="T797"/>
      <c r="U797"/>
      <c r="AC797"/>
      <c r="AL797"/>
      <c r="CG797"/>
      <c r="CH797"/>
      <c r="CI797"/>
      <c r="CJ797"/>
      <c r="CP797"/>
      <c r="CQ797"/>
      <c r="CR797"/>
      <c r="CS797"/>
    </row>
    <row r="798" spans="12:97" ht="14.45" hidden="1" customHeight="1" x14ac:dyDescent="0.25">
      <c r="L798"/>
      <c r="M798"/>
      <c r="N798"/>
      <c r="O798"/>
      <c r="P798"/>
      <c r="Q798"/>
      <c r="R798"/>
      <c r="S798"/>
      <c r="T798"/>
      <c r="U798"/>
      <c r="AC798"/>
      <c r="AL798"/>
      <c r="CG798"/>
      <c r="CH798"/>
      <c r="CI798"/>
      <c r="CJ798"/>
      <c r="CP798"/>
      <c r="CQ798"/>
      <c r="CR798"/>
      <c r="CS798"/>
    </row>
    <row r="799" spans="12:97" ht="14.45" hidden="1" customHeight="1" x14ac:dyDescent="0.25">
      <c r="L799"/>
      <c r="M799"/>
      <c r="N799"/>
      <c r="O799"/>
      <c r="P799"/>
      <c r="Q799"/>
      <c r="R799"/>
      <c r="S799"/>
      <c r="T799"/>
      <c r="U799"/>
      <c r="AC799"/>
      <c r="AL799"/>
      <c r="CG799"/>
      <c r="CH799"/>
      <c r="CI799"/>
      <c r="CJ799"/>
      <c r="CP799"/>
      <c r="CQ799"/>
      <c r="CR799"/>
      <c r="CS799"/>
    </row>
    <row r="800" spans="12:97" ht="14.45" hidden="1" customHeight="1" x14ac:dyDescent="0.25">
      <c r="L800"/>
      <c r="M800"/>
      <c r="N800"/>
      <c r="O800"/>
      <c r="P800"/>
      <c r="Q800"/>
      <c r="R800"/>
      <c r="S800"/>
      <c r="T800"/>
      <c r="U800"/>
      <c r="AC800"/>
      <c r="AL800"/>
      <c r="CG800"/>
      <c r="CH800"/>
      <c r="CI800"/>
      <c r="CJ800"/>
      <c r="CP800"/>
      <c r="CQ800"/>
      <c r="CR800"/>
      <c r="CS800"/>
    </row>
    <row r="801" spans="12:97" ht="14.45" hidden="1" customHeight="1" x14ac:dyDescent="0.25">
      <c r="L801"/>
      <c r="M801"/>
      <c r="N801"/>
      <c r="O801"/>
      <c r="P801"/>
      <c r="Q801"/>
      <c r="R801"/>
      <c r="S801"/>
      <c r="T801"/>
      <c r="U801"/>
      <c r="AC801"/>
      <c r="AL801"/>
      <c r="CG801"/>
      <c r="CH801"/>
      <c r="CI801"/>
      <c r="CJ801"/>
      <c r="CP801"/>
      <c r="CQ801"/>
      <c r="CR801"/>
      <c r="CS801"/>
    </row>
    <row r="802" spans="12:97" ht="14.45" hidden="1" customHeight="1" x14ac:dyDescent="0.25">
      <c r="L802"/>
      <c r="M802"/>
      <c r="N802"/>
      <c r="O802"/>
      <c r="P802"/>
      <c r="Q802"/>
      <c r="R802"/>
      <c r="S802"/>
      <c r="T802"/>
      <c r="U802"/>
      <c r="AC802"/>
      <c r="AL802"/>
      <c r="CG802"/>
      <c r="CH802"/>
      <c r="CI802"/>
      <c r="CJ802"/>
      <c r="CP802"/>
      <c r="CQ802"/>
      <c r="CR802"/>
      <c r="CS802"/>
    </row>
    <row r="803" spans="12:97" ht="14.45" hidden="1" customHeight="1" x14ac:dyDescent="0.25">
      <c r="L803"/>
      <c r="M803"/>
      <c r="N803"/>
      <c r="O803"/>
      <c r="P803"/>
      <c r="Q803"/>
      <c r="R803"/>
      <c r="S803"/>
      <c r="T803"/>
      <c r="U803"/>
      <c r="AC803"/>
      <c r="AL803"/>
      <c r="CG803"/>
      <c r="CH803"/>
      <c r="CI803"/>
      <c r="CJ803"/>
      <c r="CP803"/>
      <c r="CQ803"/>
      <c r="CR803"/>
      <c r="CS803"/>
    </row>
    <row r="804" spans="12:97" ht="14.45" hidden="1" customHeight="1" x14ac:dyDescent="0.25">
      <c r="L804"/>
      <c r="M804"/>
      <c r="N804"/>
      <c r="O804"/>
      <c r="P804"/>
      <c r="Q804"/>
      <c r="R804"/>
      <c r="S804"/>
      <c r="T804"/>
      <c r="U804"/>
      <c r="AC804"/>
      <c r="AL804"/>
      <c r="CG804"/>
      <c r="CH804"/>
      <c r="CI804"/>
      <c r="CJ804"/>
      <c r="CP804"/>
      <c r="CQ804"/>
      <c r="CR804"/>
      <c r="CS804"/>
    </row>
    <row r="805" spans="12:97" ht="14.45" hidden="1" customHeight="1" x14ac:dyDescent="0.25">
      <c r="L805"/>
      <c r="M805"/>
      <c r="N805"/>
      <c r="O805"/>
      <c r="P805"/>
      <c r="Q805"/>
      <c r="R805"/>
      <c r="S805"/>
      <c r="T805"/>
      <c r="U805"/>
      <c r="AC805"/>
      <c r="AL805"/>
      <c r="CG805"/>
      <c r="CH805"/>
      <c r="CI805"/>
      <c r="CJ805"/>
      <c r="CP805"/>
      <c r="CQ805"/>
      <c r="CR805"/>
      <c r="CS805"/>
    </row>
    <row r="806" spans="12:97" ht="14.45" hidden="1" customHeight="1" x14ac:dyDescent="0.25">
      <c r="L806"/>
      <c r="M806"/>
      <c r="N806"/>
      <c r="O806"/>
      <c r="P806"/>
      <c r="Q806"/>
      <c r="R806"/>
      <c r="S806"/>
      <c r="T806"/>
      <c r="U806"/>
      <c r="AC806"/>
      <c r="AL806"/>
      <c r="CG806"/>
      <c r="CH806"/>
      <c r="CI806"/>
      <c r="CJ806"/>
      <c r="CP806"/>
      <c r="CQ806"/>
      <c r="CR806"/>
      <c r="CS806"/>
    </row>
    <row r="807" spans="12:97" ht="14.45" hidden="1" customHeight="1" x14ac:dyDescent="0.25">
      <c r="L807"/>
      <c r="M807"/>
      <c r="N807"/>
      <c r="O807"/>
      <c r="P807"/>
      <c r="Q807"/>
      <c r="R807"/>
      <c r="S807"/>
      <c r="T807"/>
      <c r="U807"/>
      <c r="AC807"/>
      <c r="AL807"/>
      <c r="CG807"/>
      <c r="CH807"/>
      <c r="CI807"/>
      <c r="CJ807"/>
      <c r="CP807"/>
      <c r="CQ807"/>
      <c r="CR807"/>
      <c r="CS807"/>
    </row>
    <row r="808" spans="12:97" ht="14.45" hidden="1" customHeight="1" x14ac:dyDescent="0.25">
      <c r="L808"/>
      <c r="M808"/>
      <c r="N808"/>
      <c r="O808"/>
      <c r="P808"/>
      <c r="Q808"/>
      <c r="R808"/>
      <c r="S808"/>
      <c r="T808"/>
      <c r="U808"/>
      <c r="AC808"/>
      <c r="AL808"/>
      <c r="CG808"/>
      <c r="CH808"/>
      <c r="CI808"/>
      <c r="CJ808"/>
      <c r="CP808"/>
      <c r="CQ808"/>
      <c r="CR808"/>
      <c r="CS808"/>
    </row>
    <row r="809" spans="12:97" ht="14.45" hidden="1" customHeight="1" x14ac:dyDescent="0.25">
      <c r="L809"/>
      <c r="M809"/>
      <c r="N809"/>
      <c r="O809"/>
      <c r="P809"/>
      <c r="Q809"/>
      <c r="R809"/>
      <c r="S809"/>
      <c r="T809"/>
      <c r="U809"/>
      <c r="AC809"/>
      <c r="AL809"/>
      <c r="CG809"/>
      <c r="CH809"/>
      <c r="CI809"/>
      <c r="CJ809"/>
      <c r="CP809"/>
      <c r="CQ809"/>
      <c r="CR809"/>
      <c r="CS809"/>
    </row>
    <row r="810" spans="12:97" ht="14.45" hidden="1" customHeight="1" x14ac:dyDescent="0.25">
      <c r="L810"/>
      <c r="M810"/>
      <c r="N810"/>
      <c r="O810"/>
      <c r="P810"/>
      <c r="Q810"/>
      <c r="R810"/>
      <c r="S810"/>
      <c r="T810"/>
      <c r="U810"/>
      <c r="AC810"/>
      <c r="AL810"/>
      <c r="CG810"/>
      <c r="CH810"/>
      <c r="CI810"/>
      <c r="CJ810"/>
      <c r="CP810"/>
      <c r="CQ810"/>
      <c r="CR810"/>
      <c r="CS810"/>
    </row>
    <row r="811" spans="12:97" ht="14.45" hidden="1" customHeight="1" x14ac:dyDescent="0.25">
      <c r="L811"/>
      <c r="M811"/>
      <c r="N811"/>
      <c r="O811"/>
      <c r="P811"/>
      <c r="Q811"/>
      <c r="R811"/>
      <c r="S811"/>
      <c r="T811"/>
      <c r="U811"/>
      <c r="AC811"/>
      <c r="AL811"/>
      <c r="CG811"/>
      <c r="CH811"/>
      <c r="CI811"/>
      <c r="CJ811"/>
      <c r="CP811"/>
      <c r="CQ811"/>
      <c r="CR811"/>
      <c r="CS811"/>
    </row>
    <row r="812" spans="12:97" ht="14.45" hidden="1" customHeight="1" x14ac:dyDescent="0.25">
      <c r="L812"/>
      <c r="M812"/>
      <c r="N812"/>
      <c r="O812"/>
      <c r="P812"/>
      <c r="Q812"/>
      <c r="R812"/>
      <c r="S812"/>
      <c r="T812"/>
      <c r="U812"/>
      <c r="AC812"/>
      <c r="AL812"/>
      <c r="CG812"/>
      <c r="CH812"/>
      <c r="CI812"/>
      <c r="CJ812"/>
      <c r="CP812"/>
      <c r="CQ812"/>
      <c r="CR812"/>
      <c r="CS812"/>
    </row>
    <row r="813" spans="12:97" ht="14.45" hidden="1" customHeight="1" x14ac:dyDescent="0.25">
      <c r="L813"/>
      <c r="M813"/>
      <c r="N813"/>
      <c r="O813"/>
      <c r="P813"/>
      <c r="Q813"/>
      <c r="R813"/>
      <c r="S813"/>
      <c r="T813"/>
      <c r="U813"/>
      <c r="AC813"/>
      <c r="AL813"/>
      <c r="CG813"/>
      <c r="CH813"/>
      <c r="CI813"/>
      <c r="CJ813"/>
      <c r="CP813"/>
      <c r="CQ813"/>
      <c r="CR813"/>
      <c r="CS813"/>
    </row>
    <row r="814" spans="12:97" ht="14.45" hidden="1" customHeight="1" x14ac:dyDescent="0.25">
      <c r="L814"/>
      <c r="M814"/>
      <c r="N814"/>
      <c r="O814"/>
      <c r="P814"/>
      <c r="Q814"/>
      <c r="R814"/>
      <c r="S814"/>
      <c r="T814"/>
      <c r="U814"/>
      <c r="AC814"/>
      <c r="AL814"/>
      <c r="CG814"/>
      <c r="CH814"/>
      <c r="CI814"/>
      <c r="CJ814"/>
      <c r="CP814"/>
      <c r="CQ814"/>
      <c r="CR814"/>
      <c r="CS814"/>
    </row>
    <row r="815" spans="12:97" ht="14.45" hidden="1" customHeight="1" x14ac:dyDescent="0.25">
      <c r="L815"/>
      <c r="M815"/>
      <c r="N815"/>
      <c r="O815"/>
      <c r="P815"/>
      <c r="Q815"/>
      <c r="R815"/>
      <c r="S815"/>
      <c r="T815"/>
      <c r="U815"/>
      <c r="AC815"/>
      <c r="AL815"/>
      <c r="CG815"/>
      <c r="CH815"/>
      <c r="CI815"/>
      <c r="CJ815"/>
      <c r="CP815"/>
      <c r="CQ815"/>
      <c r="CR815"/>
      <c r="CS815"/>
    </row>
    <row r="816" spans="12:97" ht="14.45" hidden="1" customHeight="1" x14ac:dyDescent="0.25">
      <c r="L816"/>
      <c r="M816"/>
      <c r="N816"/>
      <c r="O816"/>
      <c r="P816"/>
      <c r="Q816"/>
      <c r="R816"/>
      <c r="S816"/>
      <c r="T816"/>
      <c r="U816"/>
      <c r="AC816"/>
      <c r="AL816"/>
      <c r="CG816"/>
      <c r="CH816"/>
      <c r="CI816"/>
      <c r="CJ816"/>
      <c r="CP816"/>
      <c r="CQ816"/>
      <c r="CR816"/>
      <c r="CS816"/>
    </row>
    <row r="817" spans="12:97" ht="14.45" hidden="1" customHeight="1" x14ac:dyDescent="0.25">
      <c r="L817"/>
      <c r="M817"/>
      <c r="N817"/>
      <c r="O817"/>
      <c r="P817"/>
      <c r="Q817"/>
      <c r="R817"/>
      <c r="S817"/>
      <c r="T817"/>
      <c r="U817"/>
      <c r="AC817"/>
      <c r="AL817"/>
      <c r="CG817"/>
      <c r="CH817"/>
      <c r="CI817"/>
      <c r="CJ817"/>
      <c r="CP817"/>
      <c r="CQ817"/>
      <c r="CR817"/>
      <c r="CS817"/>
    </row>
    <row r="818" spans="12:97" ht="14.45" hidden="1" customHeight="1" x14ac:dyDescent="0.25">
      <c r="L818"/>
      <c r="M818"/>
      <c r="N818"/>
      <c r="O818"/>
      <c r="P818"/>
      <c r="Q818"/>
      <c r="R818"/>
      <c r="S818"/>
      <c r="T818"/>
      <c r="U818"/>
      <c r="AC818"/>
      <c r="AL818"/>
      <c r="CG818"/>
      <c r="CH818"/>
      <c r="CI818"/>
      <c r="CJ818"/>
      <c r="CP818"/>
      <c r="CQ818"/>
      <c r="CR818"/>
      <c r="CS818"/>
    </row>
    <row r="819" spans="12:97" ht="14.45" hidden="1" customHeight="1" x14ac:dyDescent="0.25">
      <c r="L819"/>
      <c r="M819"/>
      <c r="N819"/>
      <c r="O819"/>
      <c r="P819"/>
      <c r="Q819"/>
      <c r="R819"/>
      <c r="S819"/>
      <c r="T819"/>
      <c r="U819"/>
      <c r="AC819"/>
      <c r="AL819"/>
      <c r="CG819"/>
      <c r="CH819"/>
      <c r="CI819"/>
      <c r="CJ819"/>
      <c r="CP819"/>
      <c r="CQ819"/>
      <c r="CR819"/>
      <c r="CS819"/>
    </row>
    <row r="820" spans="12:97" ht="14.45" hidden="1" customHeight="1" x14ac:dyDescent="0.25">
      <c r="L820"/>
      <c r="M820"/>
      <c r="N820"/>
      <c r="O820"/>
      <c r="P820"/>
      <c r="Q820"/>
      <c r="R820"/>
      <c r="S820"/>
      <c r="T820"/>
      <c r="U820"/>
      <c r="AC820"/>
      <c r="AL820"/>
      <c r="CG820"/>
      <c r="CH820"/>
      <c r="CI820"/>
      <c r="CJ820"/>
      <c r="CP820"/>
      <c r="CQ820"/>
      <c r="CR820"/>
      <c r="CS820"/>
    </row>
    <row r="821" spans="12:97" ht="14.45" hidden="1" customHeight="1" x14ac:dyDescent="0.25">
      <c r="L821"/>
      <c r="M821"/>
      <c r="N821"/>
      <c r="O821"/>
      <c r="P821"/>
      <c r="Q821"/>
      <c r="R821"/>
      <c r="S821"/>
      <c r="T821"/>
      <c r="U821"/>
      <c r="AC821"/>
      <c r="AL821"/>
      <c r="CG821"/>
      <c r="CH821"/>
      <c r="CI821"/>
      <c r="CJ821"/>
      <c r="CP821"/>
      <c r="CQ821"/>
      <c r="CR821"/>
      <c r="CS821"/>
    </row>
    <row r="822" spans="12:97" ht="14.45" hidden="1" customHeight="1" x14ac:dyDescent="0.25">
      <c r="L822"/>
      <c r="M822"/>
      <c r="N822"/>
      <c r="O822"/>
      <c r="P822"/>
      <c r="Q822"/>
      <c r="R822"/>
      <c r="S822"/>
      <c r="T822"/>
      <c r="U822"/>
      <c r="AC822"/>
      <c r="AL822"/>
      <c r="CG822"/>
      <c r="CH822"/>
      <c r="CI822"/>
      <c r="CJ822"/>
      <c r="CP822"/>
      <c r="CQ822"/>
      <c r="CR822"/>
      <c r="CS822"/>
    </row>
    <row r="823" spans="12:97" ht="14.45" hidden="1" customHeight="1" x14ac:dyDescent="0.25">
      <c r="L823"/>
      <c r="M823"/>
      <c r="N823"/>
      <c r="O823"/>
      <c r="P823"/>
      <c r="Q823"/>
      <c r="R823"/>
      <c r="S823"/>
      <c r="T823"/>
      <c r="U823"/>
      <c r="AC823"/>
      <c r="AL823"/>
      <c r="CG823"/>
      <c r="CH823"/>
      <c r="CI823"/>
      <c r="CJ823"/>
      <c r="CP823"/>
      <c r="CQ823"/>
      <c r="CR823"/>
      <c r="CS823"/>
    </row>
    <row r="824" spans="12:97" ht="14.45" hidden="1" customHeight="1" x14ac:dyDescent="0.25">
      <c r="L824"/>
      <c r="M824"/>
      <c r="N824"/>
      <c r="O824"/>
      <c r="P824"/>
      <c r="Q824"/>
      <c r="R824"/>
      <c r="S824"/>
      <c r="T824"/>
      <c r="U824"/>
      <c r="AC824"/>
      <c r="AL824"/>
      <c r="CG824"/>
      <c r="CH824"/>
      <c r="CI824"/>
      <c r="CJ824"/>
      <c r="CP824"/>
      <c r="CQ824"/>
      <c r="CR824"/>
      <c r="CS824"/>
    </row>
    <row r="825" spans="12:97" ht="14.45" hidden="1" customHeight="1" x14ac:dyDescent="0.25">
      <c r="L825"/>
      <c r="M825"/>
      <c r="N825"/>
      <c r="O825"/>
      <c r="P825"/>
      <c r="Q825"/>
      <c r="R825"/>
      <c r="S825"/>
      <c r="T825"/>
      <c r="U825"/>
      <c r="AC825"/>
      <c r="AL825"/>
      <c r="CG825"/>
      <c r="CH825"/>
      <c r="CI825"/>
      <c r="CJ825"/>
      <c r="CP825"/>
      <c r="CQ825"/>
      <c r="CR825"/>
      <c r="CS825"/>
    </row>
    <row r="826" spans="12:97" ht="14.45" hidden="1" customHeight="1" x14ac:dyDescent="0.25">
      <c r="L826"/>
      <c r="M826"/>
      <c r="N826"/>
      <c r="O826"/>
      <c r="P826"/>
      <c r="Q826"/>
      <c r="R826"/>
      <c r="S826"/>
      <c r="T826"/>
      <c r="U826"/>
      <c r="AC826"/>
      <c r="AL826"/>
      <c r="CG826"/>
      <c r="CH826"/>
      <c r="CI826"/>
      <c r="CJ826"/>
      <c r="CP826"/>
      <c r="CQ826"/>
      <c r="CR826"/>
      <c r="CS826"/>
    </row>
    <row r="827" spans="12:97" ht="14.45" hidden="1" customHeight="1" x14ac:dyDescent="0.25">
      <c r="L827"/>
      <c r="M827"/>
      <c r="N827"/>
      <c r="O827"/>
      <c r="P827"/>
      <c r="Q827"/>
      <c r="R827"/>
      <c r="S827"/>
      <c r="T827"/>
      <c r="U827"/>
      <c r="AC827"/>
      <c r="AL827"/>
      <c r="CG827"/>
      <c r="CH827"/>
      <c r="CI827"/>
      <c r="CJ827"/>
      <c r="CP827"/>
      <c r="CQ827"/>
      <c r="CR827"/>
      <c r="CS827"/>
    </row>
    <row r="828" spans="12:97" ht="14.45" hidden="1" customHeight="1" x14ac:dyDescent="0.25">
      <c r="L828"/>
      <c r="M828"/>
      <c r="N828"/>
      <c r="O828"/>
      <c r="P828"/>
      <c r="Q828"/>
      <c r="R828"/>
      <c r="S828"/>
      <c r="T828"/>
      <c r="U828"/>
      <c r="AC828"/>
      <c r="AL828"/>
      <c r="CG828"/>
      <c r="CH828"/>
      <c r="CI828"/>
      <c r="CJ828"/>
      <c r="CP828"/>
      <c r="CQ828"/>
      <c r="CR828"/>
      <c r="CS828"/>
    </row>
    <row r="829" spans="12:97" ht="14.45" hidden="1" customHeight="1" x14ac:dyDescent="0.25">
      <c r="L829"/>
      <c r="M829"/>
      <c r="N829"/>
      <c r="O829"/>
      <c r="P829"/>
      <c r="Q829"/>
      <c r="R829"/>
      <c r="S829"/>
      <c r="T829"/>
      <c r="U829"/>
      <c r="AC829"/>
      <c r="AL829"/>
      <c r="CG829"/>
      <c r="CH829"/>
      <c r="CI829"/>
      <c r="CJ829"/>
      <c r="CP829"/>
      <c r="CQ829"/>
      <c r="CR829"/>
      <c r="CS829"/>
    </row>
    <row r="830" spans="12:97" ht="14.45" hidden="1" customHeight="1" x14ac:dyDescent="0.25">
      <c r="L830"/>
      <c r="M830"/>
      <c r="N830"/>
      <c r="O830"/>
      <c r="P830"/>
      <c r="Q830"/>
      <c r="R830"/>
      <c r="S830"/>
      <c r="T830"/>
      <c r="U830"/>
      <c r="AC830"/>
      <c r="AL830"/>
      <c r="CG830"/>
      <c r="CH830"/>
      <c r="CI830"/>
      <c r="CJ830"/>
      <c r="CP830"/>
      <c r="CQ830"/>
      <c r="CR830"/>
      <c r="CS830"/>
    </row>
    <row r="831" spans="12:97" ht="14.45" hidden="1" customHeight="1" x14ac:dyDescent="0.25">
      <c r="L831"/>
      <c r="M831"/>
      <c r="N831"/>
      <c r="O831"/>
      <c r="P831"/>
      <c r="Q831"/>
      <c r="R831"/>
      <c r="S831"/>
      <c r="T831"/>
      <c r="U831"/>
      <c r="AC831"/>
      <c r="AL831"/>
      <c r="CG831"/>
      <c r="CH831"/>
      <c r="CI831"/>
      <c r="CJ831"/>
      <c r="CP831"/>
      <c r="CQ831"/>
      <c r="CR831"/>
      <c r="CS831"/>
    </row>
    <row r="832" spans="12:97" ht="14.45" hidden="1" customHeight="1" x14ac:dyDescent="0.25">
      <c r="L832"/>
      <c r="M832"/>
      <c r="N832"/>
      <c r="O832"/>
      <c r="P832"/>
      <c r="Q832"/>
      <c r="R832"/>
      <c r="S832"/>
      <c r="T832"/>
      <c r="U832"/>
      <c r="AC832"/>
      <c r="AL832"/>
      <c r="CG832"/>
      <c r="CH832"/>
      <c r="CI832"/>
      <c r="CJ832"/>
      <c r="CP832"/>
      <c r="CQ832"/>
      <c r="CR832"/>
      <c r="CS832"/>
    </row>
    <row r="833" spans="12:97" ht="14.45" hidden="1" customHeight="1" x14ac:dyDescent="0.25">
      <c r="L833"/>
      <c r="M833"/>
      <c r="N833"/>
      <c r="O833"/>
      <c r="P833"/>
      <c r="Q833"/>
      <c r="R833"/>
      <c r="S833"/>
      <c r="T833"/>
      <c r="U833"/>
      <c r="AC833"/>
      <c r="AL833"/>
      <c r="CG833"/>
      <c r="CH833"/>
      <c r="CI833"/>
      <c r="CJ833"/>
      <c r="CP833"/>
      <c r="CQ833"/>
      <c r="CR833"/>
      <c r="CS833"/>
    </row>
    <row r="834" spans="12:97" ht="14.45" hidden="1" customHeight="1" x14ac:dyDescent="0.25">
      <c r="L834"/>
      <c r="M834"/>
      <c r="N834"/>
      <c r="O834"/>
      <c r="P834"/>
      <c r="Q834"/>
      <c r="R834"/>
      <c r="S834"/>
      <c r="T834"/>
      <c r="U834"/>
      <c r="AC834"/>
      <c r="AL834"/>
      <c r="CG834"/>
      <c r="CH834"/>
      <c r="CI834"/>
      <c r="CJ834"/>
      <c r="CP834"/>
      <c r="CQ834"/>
      <c r="CR834"/>
      <c r="CS834"/>
    </row>
    <row r="835" spans="12:97" ht="14.45" hidden="1" customHeight="1" x14ac:dyDescent="0.25">
      <c r="L835"/>
      <c r="M835"/>
      <c r="N835"/>
      <c r="O835"/>
      <c r="P835"/>
      <c r="Q835"/>
      <c r="R835"/>
      <c r="S835"/>
      <c r="T835"/>
      <c r="U835"/>
      <c r="AC835"/>
      <c r="AL835"/>
      <c r="CG835"/>
      <c r="CH835"/>
      <c r="CI835"/>
      <c r="CJ835"/>
      <c r="CP835"/>
      <c r="CQ835"/>
      <c r="CR835"/>
      <c r="CS835"/>
    </row>
    <row r="836" spans="12:97" ht="14.45" hidden="1" customHeight="1" x14ac:dyDescent="0.25">
      <c r="L836"/>
      <c r="M836"/>
      <c r="N836"/>
      <c r="O836"/>
      <c r="P836"/>
      <c r="Q836"/>
      <c r="R836"/>
      <c r="S836"/>
      <c r="T836"/>
      <c r="U836"/>
      <c r="AC836"/>
      <c r="AL836"/>
      <c r="CG836"/>
      <c r="CH836"/>
      <c r="CI836"/>
      <c r="CJ836"/>
      <c r="CP836"/>
      <c r="CQ836"/>
      <c r="CR836"/>
      <c r="CS836"/>
    </row>
    <row r="837" spans="12:97" ht="14.45" hidden="1" customHeight="1" x14ac:dyDescent="0.25">
      <c r="L837"/>
      <c r="M837"/>
      <c r="N837"/>
      <c r="O837"/>
      <c r="P837"/>
      <c r="Q837"/>
      <c r="R837"/>
      <c r="S837"/>
      <c r="T837"/>
      <c r="U837"/>
      <c r="AC837"/>
      <c r="AL837"/>
      <c r="CG837"/>
      <c r="CH837"/>
      <c r="CI837"/>
      <c r="CJ837"/>
      <c r="CP837"/>
      <c r="CQ837"/>
      <c r="CR837"/>
      <c r="CS837"/>
    </row>
    <row r="838" spans="12:97" ht="14.45" hidden="1" customHeight="1" x14ac:dyDescent="0.25">
      <c r="L838"/>
      <c r="M838"/>
      <c r="N838"/>
      <c r="O838"/>
      <c r="P838"/>
      <c r="Q838"/>
      <c r="R838"/>
      <c r="S838"/>
      <c r="T838"/>
      <c r="U838"/>
      <c r="AC838"/>
      <c r="AL838"/>
      <c r="CG838"/>
      <c r="CH838"/>
      <c r="CI838"/>
      <c r="CJ838"/>
      <c r="CP838"/>
      <c r="CQ838"/>
      <c r="CR838"/>
      <c r="CS838"/>
    </row>
    <row r="839" spans="12:97" ht="14.45" hidden="1" customHeight="1" x14ac:dyDescent="0.25">
      <c r="L839"/>
      <c r="M839"/>
      <c r="N839"/>
      <c r="O839"/>
      <c r="P839"/>
      <c r="Q839"/>
      <c r="R839"/>
      <c r="S839"/>
      <c r="T839"/>
      <c r="U839"/>
      <c r="AC839"/>
      <c r="AL839"/>
      <c r="CG839"/>
      <c r="CH839"/>
      <c r="CI839"/>
      <c r="CJ839"/>
      <c r="CP839"/>
      <c r="CQ839"/>
      <c r="CR839"/>
      <c r="CS839"/>
    </row>
    <row r="840" spans="12:97" ht="14.45" hidden="1" customHeight="1" x14ac:dyDescent="0.25">
      <c r="L840"/>
      <c r="M840"/>
      <c r="N840"/>
      <c r="O840"/>
      <c r="P840"/>
      <c r="Q840"/>
      <c r="R840"/>
      <c r="S840"/>
      <c r="T840"/>
      <c r="U840"/>
      <c r="AC840"/>
      <c r="AL840"/>
      <c r="CG840"/>
      <c r="CH840"/>
      <c r="CI840"/>
      <c r="CJ840"/>
      <c r="CP840"/>
      <c r="CQ840"/>
      <c r="CR840"/>
      <c r="CS840"/>
    </row>
    <row r="841" spans="12:97" ht="14.45" hidden="1" customHeight="1" x14ac:dyDescent="0.25">
      <c r="L841"/>
      <c r="M841"/>
      <c r="N841"/>
      <c r="O841"/>
      <c r="P841"/>
      <c r="Q841"/>
      <c r="R841"/>
      <c r="S841"/>
      <c r="T841"/>
      <c r="U841"/>
      <c r="AC841"/>
      <c r="AL841"/>
      <c r="CG841"/>
      <c r="CH841"/>
      <c r="CI841"/>
      <c r="CJ841"/>
      <c r="CP841"/>
      <c r="CQ841"/>
      <c r="CR841"/>
      <c r="CS841"/>
    </row>
    <row r="842" spans="12:97" ht="14.45" hidden="1" customHeight="1" x14ac:dyDescent="0.25">
      <c r="L842"/>
      <c r="M842"/>
      <c r="N842"/>
      <c r="O842"/>
      <c r="P842"/>
      <c r="Q842"/>
      <c r="R842"/>
      <c r="S842"/>
      <c r="T842"/>
      <c r="U842"/>
      <c r="AC842"/>
      <c r="AL842"/>
      <c r="CG842"/>
      <c r="CH842"/>
      <c r="CI842"/>
      <c r="CJ842"/>
      <c r="CP842"/>
      <c r="CQ842"/>
      <c r="CR842"/>
      <c r="CS842"/>
    </row>
    <row r="843" spans="12:97" ht="14.45" hidden="1" customHeight="1" x14ac:dyDescent="0.25">
      <c r="L843"/>
      <c r="M843"/>
      <c r="N843"/>
      <c r="O843"/>
      <c r="P843"/>
      <c r="Q843"/>
      <c r="R843"/>
      <c r="S843"/>
      <c r="T843"/>
      <c r="U843"/>
      <c r="AC843"/>
      <c r="AL843"/>
      <c r="CG843"/>
      <c r="CH843"/>
      <c r="CI843"/>
      <c r="CJ843"/>
      <c r="CP843"/>
      <c r="CQ843"/>
      <c r="CR843"/>
      <c r="CS843"/>
    </row>
    <row r="844" spans="12:97" ht="14.45" hidden="1" customHeight="1" x14ac:dyDescent="0.25">
      <c r="L844"/>
      <c r="M844"/>
      <c r="N844"/>
      <c r="O844"/>
      <c r="P844"/>
      <c r="Q844"/>
      <c r="R844"/>
      <c r="S844"/>
      <c r="T844"/>
      <c r="U844"/>
      <c r="AC844"/>
      <c r="AL844"/>
      <c r="CG844"/>
      <c r="CH844"/>
      <c r="CI844"/>
      <c r="CJ844"/>
      <c r="CP844"/>
      <c r="CQ844"/>
      <c r="CR844"/>
      <c r="CS844"/>
    </row>
    <row r="845" spans="12:97" ht="14.45" hidden="1" customHeight="1" x14ac:dyDescent="0.25">
      <c r="L845"/>
      <c r="M845"/>
      <c r="N845"/>
      <c r="O845"/>
      <c r="P845"/>
      <c r="Q845"/>
      <c r="R845"/>
      <c r="S845"/>
      <c r="T845"/>
      <c r="U845"/>
      <c r="AC845"/>
      <c r="AL845"/>
      <c r="CG845"/>
      <c r="CH845"/>
      <c r="CI845"/>
      <c r="CJ845"/>
      <c r="CP845"/>
      <c r="CQ845"/>
      <c r="CR845"/>
      <c r="CS845"/>
    </row>
    <row r="846" spans="12:97" ht="14.45" hidden="1" customHeight="1" x14ac:dyDescent="0.25">
      <c r="L846"/>
      <c r="M846"/>
      <c r="N846"/>
      <c r="O846"/>
      <c r="P846"/>
      <c r="Q846"/>
      <c r="R846"/>
      <c r="S846"/>
      <c r="T846"/>
      <c r="U846"/>
      <c r="AC846"/>
      <c r="AL846"/>
      <c r="CG846"/>
      <c r="CH846"/>
      <c r="CI846"/>
      <c r="CJ846"/>
      <c r="CP846"/>
      <c r="CQ846"/>
      <c r="CR846"/>
      <c r="CS846"/>
    </row>
    <row r="847" spans="12:97" ht="14.45" hidden="1" customHeight="1" x14ac:dyDescent="0.25">
      <c r="L847"/>
      <c r="M847"/>
      <c r="N847"/>
      <c r="O847"/>
      <c r="P847"/>
      <c r="Q847"/>
      <c r="R847"/>
      <c r="S847"/>
      <c r="T847"/>
      <c r="U847"/>
      <c r="AC847"/>
      <c r="AL847"/>
      <c r="CG847"/>
      <c r="CH847"/>
      <c r="CI847"/>
      <c r="CJ847"/>
      <c r="CP847"/>
      <c r="CQ847"/>
      <c r="CR847"/>
      <c r="CS847"/>
    </row>
    <row r="848" spans="12:97" ht="14.45" hidden="1" customHeight="1" x14ac:dyDescent="0.25">
      <c r="L848"/>
      <c r="M848"/>
      <c r="N848"/>
      <c r="O848"/>
      <c r="P848"/>
      <c r="Q848"/>
      <c r="R848"/>
      <c r="S848"/>
      <c r="T848"/>
      <c r="U848"/>
      <c r="AC848"/>
      <c r="AL848"/>
      <c r="CG848"/>
      <c r="CH848"/>
      <c r="CI848"/>
      <c r="CJ848"/>
      <c r="CP848"/>
      <c r="CQ848"/>
      <c r="CR848"/>
      <c r="CS848"/>
    </row>
    <row r="849" spans="12:97" ht="14.45" hidden="1" customHeight="1" x14ac:dyDescent="0.25">
      <c r="L849"/>
      <c r="M849"/>
      <c r="N849"/>
      <c r="O849"/>
      <c r="P849"/>
      <c r="Q849"/>
      <c r="R849"/>
      <c r="S849"/>
      <c r="T849"/>
      <c r="U849"/>
      <c r="AC849"/>
      <c r="AL849"/>
      <c r="CG849"/>
      <c r="CH849"/>
      <c r="CI849"/>
      <c r="CJ849"/>
      <c r="CP849"/>
      <c r="CQ849"/>
      <c r="CR849"/>
      <c r="CS849"/>
    </row>
    <row r="850" spans="12:97" ht="14.45" hidden="1" customHeight="1" x14ac:dyDescent="0.25">
      <c r="L850"/>
      <c r="M850"/>
      <c r="N850"/>
      <c r="O850"/>
      <c r="P850"/>
      <c r="Q850"/>
      <c r="R850"/>
      <c r="S850"/>
      <c r="T850"/>
      <c r="U850"/>
      <c r="AC850"/>
      <c r="AL850"/>
      <c r="CG850"/>
      <c r="CH850"/>
      <c r="CI850"/>
      <c r="CJ850"/>
      <c r="CP850"/>
      <c r="CQ850"/>
      <c r="CR850"/>
      <c r="CS850"/>
    </row>
    <row r="851" spans="12:97" ht="14.45" hidden="1" customHeight="1" x14ac:dyDescent="0.25">
      <c r="L851"/>
      <c r="M851"/>
      <c r="N851"/>
      <c r="O851"/>
      <c r="P851"/>
      <c r="Q851"/>
      <c r="R851"/>
      <c r="S851"/>
      <c r="T851"/>
      <c r="U851"/>
      <c r="AC851"/>
      <c r="AL851"/>
      <c r="CG851"/>
      <c r="CH851"/>
      <c r="CI851"/>
      <c r="CJ851"/>
      <c r="CP851"/>
      <c r="CQ851"/>
      <c r="CR851"/>
      <c r="CS851"/>
    </row>
    <row r="852" spans="12:97" ht="14.45" hidden="1" customHeight="1" x14ac:dyDescent="0.25">
      <c r="L852"/>
      <c r="M852"/>
      <c r="N852"/>
      <c r="O852"/>
      <c r="P852"/>
      <c r="Q852"/>
      <c r="R852"/>
      <c r="S852"/>
      <c r="T852"/>
      <c r="U852"/>
      <c r="AC852"/>
      <c r="AL852"/>
      <c r="CG852"/>
      <c r="CH852"/>
      <c r="CI852"/>
      <c r="CJ852"/>
      <c r="CP852"/>
      <c r="CQ852"/>
      <c r="CR852"/>
      <c r="CS852"/>
    </row>
    <row r="853" spans="12:97" ht="14.45" hidden="1" customHeight="1" x14ac:dyDescent="0.25">
      <c r="L853"/>
      <c r="M853"/>
      <c r="N853"/>
      <c r="O853"/>
      <c r="P853"/>
      <c r="Q853"/>
      <c r="R853"/>
      <c r="S853"/>
      <c r="T853"/>
      <c r="U853"/>
      <c r="AC853"/>
      <c r="AL853"/>
      <c r="CG853"/>
      <c r="CH853"/>
      <c r="CI853"/>
      <c r="CJ853"/>
      <c r="CP853"/>
      <c r="CQ853"/>
      <c r="CR853"/>
      <c r="CS853"/>
    </row>
    <row r="854" spans="12:97" ht="14.45" hidden="1" customHeight="1" x14ac:dyDescent="0.25">
      <c r="L854"/>
      <c r="M854"/>
      <c r="N854"/>
      <c r="O854"/>
      <c r="P854"/>
      <c r="Q854"/>
      <c r="R854"/>
      <c r="S854"/>
      <c r="T854"/>
      <c r="U854"/>
      <c r="AC854"/>
      <c r="AL854"/>
      <c r="CG854"/>
      <c r="CH854"/>
      <c r="CI854"/>
      <c r="CJ854"/>
      <c r="CP854"/>
      <c r="CQ854"/>
      <c r="CR854"/>
      <c r="CS854"/>
    </row>
    <row r="855" spans="12:97" ht="14.45" hidden="1" customHeight="1" x14ac:dyDescent="0.25">
      <c r="L855"/>
      <c r="M855"/>
      <c r="N855"/>
      <c r="O855"/>
      <c r="P855"/>
      <c r="Q855"/>
      <c r="R855"/>
      <c r="S855"/>
      <c r="T855"/>
      <c r="U855"/>
      <c r="AC855"/>
      <c r="AL855"/>
      <c r="CG855"/>
      <c r="CH855"/>
      <c r="CI855"/>
      <c r="CJ855"/>
      <c r="CP855"/>
      <c r="CQ855"/>
      <c r="CR855"/>
      <c r="CS855"/>
    </row>
    <row r="856" spans="12:97" ht="14.45" hidden="1" customHeight="1" x14ac:dyDescent="0.25">
      <c r="L856"/>
      <c r="M856"/>
      <c r="N856"/>
      <c r="O856"/>
      <c r="P856"/>
      <c r="Q856"/>
      <c r="R856"/>
      <c r="S856"/>
      <c r="T856"/>
      <c r="U856"/>
      <c r="AC856"/>
      <c r="AL856"/>
      <c r="CG856"/>
      <c r="CH856"/>
      <c r="CI856"/>
      <c r="CJ856"/>
      <c r="CP856"/>
      <c r="CQ856"/>
      <c r="CR856"/>
      <c r="CS856"/>
    </row>
    <row r="857" spans="12:97" ht="14.45" hidden="1" customHeight="1" x14ac:dyDescent="0.25">
      <c r="L857"/>
      <c r="M857"/>
      <c r="N857"/>
      <c r="O857"/>
      <c r="P857"/>
      <c r="Q857"/>
      <c r="R857"/>
      <c r="S857"/>
      <c r="T857"/>
      <c r="U857"/>
      <c r="AC857"/>
      <c r="AL857"/>
      <c r="CG857"/>
      <c r="CH857"/>
      <c r="CI857"/>
      <c r="CJ857"/>
      <c r="CP857"/>
      <c r="CQ857"/>
      <c r="CR857"/>
      <c r="CS857"/>
    </row>
    <row r="858" spans="12:97" ht="14.45" hidden="1" customHeight="1" x14ac:dyDescent="0.25">
      <c r="L858"/>
      <c r="M858"/>
      <c r="N858"/>
      <c r="O858"/>
      <c r="P858"/>
      <c r="Q858"/>
      <c r="R858"/>
      <c r="S858"/>
      <c r="T858"/>
      <c r="U858"/>
      <c r="AC858"/>
      <c r="AL858"/>
      <c r="CG858"/>
      <c r="CH858"/>
      <c r="CI858"/>
      <c r="CJ858"/>
      <c r="CP858"/>
      <c r="CQ858"/>
      <c r="CR858"/>
      <c r="CS858"/>
    </row>
    <row r="859" spans="12:97" ht="14.45" hidden="1" customHeight="1" x14ac:dyDescent="0.25">
      <c r="L859"/>
      <c r="M859"/>
      <c r="N859"/>
      <c r="O859"/>
      <c r="P859"/>
      <c r="Q859"/>
      <c r="R859"/>
      <c r="S859"/>
      <c r="T859"/>
      <c r="U859"/>
      <c r="AC859"/>
      <c r="AL859"/>
      <c r="CG859"/>
      <c r="CH859"/>
      <c r="CI859"/>
      <c r="CJ859"/>
      <c r="CP859"/>
      <c r="CQ859"/>
      <c r="CR859"/>
      <c r="CS859"/>
    </row>
    <row r="860" spans="12:97" ht="14.45" hidden="1" customHeight="1" x14ac:dyDescent="0.25">
      <c r="L860"/>
      <c r="M860"/>
      <c r="N860"/>
      <c r="O860"/>
      <c r="P860"/>
      <c r="Q860"/>
      <c r="R860"/>
      <c r="S860"/>
      <c r="T860"/>
      <c r="U860"/>
      <c r="AC860"/>
      <c r="AL860"/>
      <c r="CG860"/>
      <c r="CH860"/>
      <c r="CI860"/>
      <c r="CJ860"/>
      <c r="CP860"/>
      <c r="CQ860"/>
      <c r="CR860"/>
      <c r="CS860"/>
    </row>
    <row r="861" spans="12:97" ht="14.45" hidden="1" customHeight="1" x14ac:dyDescent="0.25">
      <c r="L861"/>
      <c r="M861"/>
      <c r="N861"/>
      <c r="O861"/>
      <c r="P861"/>
      <c r="Q861"/>
      <c r="R861"/>
      <c r="S861"/>
      <c r="T861"/>
      <c r="U861"/>
      <c r="AC861"/>
      <c r="AL861"/>
      <c r="CG861"/>
      <c r="CH861"/>
      <c r="CI861"/>
      <c r="CJ861"/>
      <c r="CP861"/>
      <c r="CQ861"/>
      <c r="CR861"/>
      <c r="CS861"/>
    </row>
    <row r="862" spans="12:97" ht="14.45" hidden="1" customHeight="1" x14ac:dyDescent="0.25">
      <c r="L862"/>
      <c r="M862"/>
      <c r="N862"/>
      <c r="O862"/>
      <c r="P862"/>
      <c r="Q862"/>
      <c r="R862"/>
      <c r="S862"/>
      <c r="T862"/>
      <c r="U862"/>
      <c r="AC862"/>
      <c r="AL862"/>
      <c r="CG862"/>
      <c r="CH862"/>
      <c r="CI862"/>
      <c r="CJ862"/>
      <c r="CP862"/>
      <c r="CQ862"/>
      <c r="CR862"/>
      <c r="CS862"/>
    </row>
    <row r="863" spans="12:97" ht="14.45" hidden="1" customHeight="1" x14ac:dyDescent="0.25">
      <c r="L863"/>
      <c r="M863"/>
      <c r="N863"/>
      <c r="O863"/>
      <c r="P863"/>
      <c r="Q863"/>
      <c r="R863"/>
      <c r="S863"/>
      <c r="T863"/>
      <c r="U863"/>
      <c r="AC863"/>
      <c r="AL863"/>
      <c r="CG863"/>
      <c r="CH863"/>
      <c r="CI863"/>
      <c r="CJ863"/>
      <c r="CP863"/>
      <c r="CQ863"/>
      <c r="CR863"/>
      <c r="CS863"/>
    </row>
    <row r="864" spans="12:97" ht="14.45" hidden="1" customHeight="1" x14ac:dyDescent="0.25">
      <c r="L864"/>
      <c r="M864"/>
      <c r="N864"/>
      <c r="O864"/>
      <c r="P864"/>
      <c r="Q864"/>
      <c r="R864"/>
      <c r="S864"/>
      <c r="T864"/>
      <c r="U864"/>
      <c r="AC864"/>
      <c r="AL864"/>
      <c r="CG864"/>
      <c r="CH864"/>
      <c r="CI864"/>
      <c r="CJ864"/>
      <c r="CP864"/>
      <c r="CQ864"/>
      <c r="CR864"/>
      <c r="CS864"/>
    </row>
    <row r="865" spans="12:97" ht="14.45" hidden="1" customHeight="1" x14ac:dyDescent="0.25">
      <c r="L865"/>
      <c r="M865"/>
      <c r="N865"/>
      <c r="O865"/>
      <c r="P865"/>
      <c r="Q865"/>
      <c r="R865"/>
      <c r="S865"/>
      <c r="T865"/>
      <c r="U865"/>
      <c r="AC865"/>
      <c r="AL865"/>
      <c r="CG865"/>
      <c r="CH865"/>
      <c r="CI865"/>
      <c r="CJ865"/>
      <c r="CP865"/>
      <c r="CQ865"/>
      <c r="CR865"/>
      <c r="CS865"/>
    </row>
    <row r="866" spans="12:97" ht="14.45" hidden="1" customHeight="1" x14ac:dyDescent="0.25">
      <c r="L866"/>
      <c r="M866"/>
      <c r="N866"/>
      <c r="O866"/>
      <c r="P866"/>
      <c r="Q866"/>
      <c r="R866"/>
      <c r="S866"/>
      <c r="T866"/>
      <c r="U866"/>
      <c r="AC866"/>
      <c r="AL866"/>
      <c r="CG866"/>
      <c r="CH866"/>
      <c r="CI866"/>
      <c r="CJ866"/>
      <c r="CP866"/>
      <c r="CQ866"/>
      <c r="CR866"/>
      <c r="CS866"/>
    </row>
    <row r="867" spans="12:97" ht="14.45" hidden="1" customHeight="1" x14ac:dyDescent="0.25">
      <c r="L867"/>
      <c r="M867"/>
      <c r="N867"/>
      <c r="O867"/>
      <c r="P867"/>
      <c r="Q867"/>
      <c r="R867"/>
      <c r="S867"/>
      <c r="T867"/>
      <c r="U867"/>
      <c r="AC867"/>
      <c r="AL867"/>
      <c r="CG867"/>
      <c r="CH867"/>
      <c r="CI867"/>
      <c r="CJ867"/>
      <c r="CP867"/>
      <c r="CQ867"/>
      <c r="CR867"/>
      <c r="CS867"/>
    </row>
    <row r="868" spans="12:97" ht="14.45" hidden="1" customHeight="1" x14ac:dyDescent="0.25">
      <c r="L868"/>
      <c r="M868"/>
      <c r="N868"/>
      <c r="O868"/>
      <c r="P868"/>
      <c r="Q868"/>
      <c r="R868"/>
      <c r="S868"/>
      <c r="T868"/>
      <c r="U868"/>
      <c r="AC868"/>
      <c r="AL868"/>
      <c r="CG868"/>
      <c r="CH868"/>
      <c r="CI868"/>
      <c r="CJ868"/>
      <c r="CP868"/>
      <c r="CQ868"/>
      <c r="CR868"/>
      <c r="CS868"/>
    </row>
    <row r="869" spans="12:97" ht="14.45" hidden="1" customHeight="1" x14ac:dyDescent="0.25">
      <c r="L869"/>
      <c r="M869"/>
      <c r="N869"/>
      <c r="O869"/>
      <c r="P869"/>
      <c r="Q869"/>
      <c r="R869"/>
      <c r="S869"/>
      <c r="T869"/>
      <c r="U869"/>
      <c r="AC869"/>
      <c r="AL869"/>
      <c r="CG869"/>
      <c r="CH869"/>
      <c r="CI869"/>
      <c r="CJ869"/>
      <c r="CP869"/>
      <c r="CQ869"/>
      <c r="CR869"/>
      <c r="CS869"/>
    </row>
    <row r="870" spans="12:97" ht="14.45" hidden="1" customHeight="1" x14ac:dyDescent="0.25">
      <c r="L870"/>
      <c r="M870"/>
      <c r="N870"/>
      <c r="O870"/>
      <c r="P870"/>
      <c r="Q870"/>
      <c r="R870"/>
      <c r="S870"/>
      <c r="T870"/>
      <c r="U870"/>
      <c r="AC870"/>
      <c r="AL870"/>
      <c r="CG870"/>
      <c r="CH870"/>
      <c r="CI870"/>
      <c r="CJ870"/>
      <c r="CP870"/>
      <c r="CQ870"/>
      <c r="CR870"/>
      <c r="CS870"/>
    </row>
    <row r="871" spans="12:97" ht="14.45" hidden="1" customHeight="1" x14ac:dyDescent="0.25">
      <c r="L871"/>
      <c r="M871"/>
      <c r="N871"/>
      <c r="O871"/>
      <c r="P871"/>
      <c r="Q871"/>
      <c r="R871"/>
      <c r="S871"/>
      <c r="T871"/>
      <c r="U871"/>
      <c r="AC871"/>
      <c r="AL871"/>
      <c r="CG871"/>
      <c r="CH871"/>
      <c r="CI871"/>
      <c r="CJ871"/>
      <c r="CP871"/>
      <c r="CQ871"/>
      <c r="CR871"/>
      <c r="CS871"/>
    </row>
    <row r="872" spans="12:97" ht="14.45" hidden="1" customHeight="1" x14ac:dyDescent="0.25">
      <c r="L872"/>
      <c r="M872"/>
      <c r="N872"/>
      <c r="O872"/>
      <c r="P872"/>
      <c r="Q872"/>
      <c r="R872"/>
      <c r="S872"/>
      <c r="T872"/>
      <c r="U872"/>
      <c r="AC872"/>
      <c r="AL872"/>
      <c r="CG872"/>
      <c r="CH872"/>
      <c r="CI872"/>
      <c r="CJ872"/>
      <c r="CP872"/>
      <c r="CQ872"/>
      <c r="CR872"/>
      <c r="CS872"/>
    </row>
    <row r="873" spans="12:97" ht="14.45" hidden="1" customHeight="1" x14ac:dyDescent="0.25">
      <c r="L873"/>
      <c r="M873"/>
      <c r="N873"/>
      <c r="O873"/>
      <c r="P873"/>
      <c r="Q873"/>
      <c r="R873"/>
      <c r="S873"/>
      <c r="T873"/>
      <c r="U873"/>
      <c r="AC873"/>
      <c r="AL873"/>
      <c r="CG873"/>
      <c r="CH873"/>
      <c r="CI873"/>
      <c r="CJ873"/>
      <c r="CP873"/>
      <c r="CQ873"/>
      <c r="CR873"/>
      <c r="CS873"/>
    </row>
    <row r="874" spans="12:97" ht="14.45" hidden="1" customHeight="1" x14ac:dyDescent="0.25">
      <c r="L874"/>
      <c r="M874"/>
      <c r="N874"/>
      <c r="O874"/>
      <c r="P874"/>
      <c r="Q874"/>
      <c r="R874"/>
      <c r="S874"/>
      <c r="T874"/>
      <c r="U874"/>
      <c r="AC874"/>
      <c r="AL874"/>
      <c r="CG874"/>
      <c r="CH874"/>
      <c r="CI874"/>
      <c r="CJ874"/>
      <c r="CP874"/>
      <c r="CQ874"/>
      <c r="CR874"/>
      <c r="CS874"/>
    </row>
    <row r="875" spans="12:97" ht="14.45" hidden="1" customHeight="1" x14ac:dyDescent="0.25">
      <c r="L875"/>
      <c r="M875"/>
      <c r="N875"/>
      <c r="O875"/>
      <c r="P875"/>
      <c r="Q875"/>
      <c r="R875"/>
      <c r="S875"/>
      <c r="T875"/>
      <c r="U875"/>
      <c r="AC875"/>
      <c r="AL875"/>
      <c r="CG875"/>
      <c r="CH875"/>
      <c r="CI875"/>
      <c r="CJ875"/>
      <c r="CP875"/>
      <c r="CQ875"/>
      <c r="CR875"/>
      <c r="CS875"/>
    </row>
    <row r="876" spans="12:97" ht="14.45" hidden="1" customHeight="1" x14ac:dyDescent="0.25">
      <c r="L876"/>
      <c r="M876"/>
      <c r="N876"/>
      <c r="O876"/>
      <c r="P876"/>
      <c r="Q876"/>
      <c r="R876"/>
      <c r="S876"/>
      <c r="T876"/>
      <c r="U876"/>
      <c r="AC876"/>
      <c r="AL876"/>
      <c r="CG876"/>
      <c r="CH876"/>
      <c r="CI876"/>
      <c r="CJ876"/>
      <c r="CP876"/>
      <c r="CQ876"/>
      <c r="CR876"/>
      <c r="CS876"/>
    </row>
    <row r="877" spans="12:97" ht="14.45" hidden="1" customHeight="1" x14ac:dyDescent="0.25">
      <c r="L877"/>
      <c r="M877"/>
      <c r="N877"/>
      <c r="O877"/>
      <c r="P877"/>
      <c r="Q877"/>
      <c r="R877"/>
      <c r="S877"/>
      <c r="T877"/>
      <c r="U877"/>
      <c r="AC877"/>
      <c r="AL877"/>
      <c r="CG877"/>
      <c r="CH877"/>
      <c r="CI877"/>
      <c r="CJ877"/>
      <c r="CP877"/>
      <c r="CQ877"/>
      <c r="CR877"/>
      <c r="CS877"/>
    </row>
    <row r="878" spans="12:97" ht="14.45" hidden="1" customHeight="1" x14ac:dyDescent="0.25">
      <c r="L878"/>
      <c r="M878"/>
      <c r="N878"/>
      <c r="O878"/>
      <c r="P878"/>
      <c r="Q878"/>
      <c r="R878"/>
      <c r="S878"/>
      <c r="T878"/>
      <c r="U878"/>
      <c r="AC878"/>
      <c r="AL878"/>
      <c r="CG878"/>
      <c r="CH878"/>
      <c r="CI878"/>
      <c r="CJ878"/>
      <c r="CP878"/>
      <c r="CQ878"/>
      <c r="CR878"/>
      <c r="CS878"/>
    </row>
    <row r="879" spans="12:97" ht="14.45" hidden="1" customHeight="1" x14ac:dyDescent="0.25">
      <c r="L879"/>
      <c r="M879"/>
      <c r="N879"/>
      <c r="O879"/>
      <c r="P879"/>
      <c r="Q879"/>
      <c r="R879"/>
      <c r="S879"/>
      <c r="T879"/>
      <c r="U879"/>
      <c r="AC879"/>
      <c r="AL879"/>
      <c r="CG879"/>
      <c r="CH879"/>
      <c r="CI879"/>
      <c r="CJ879"/>
      <c r="CP879"/>
      <c r="CQ879"/>
      <c r="CR879"/>
      <c r="CS879"/>
    </row>
    <row r="880" spans="12:97" ht="14.45" hidden="1" customHeight="1" x14ac:dyDescent="0.25">
      <c r="L880"/>
      <c r="M880"/>
      <c r="N880"/>
      <c r="O880"/>
      <c r="P880"/>
      <c r="Q880"/>
      <c r="R880"/>
      <c r="S880"/>
      <c r="T880"/>
      <c r="U880"/>
      <c r="AC880"/>
      <c r="AL880"/>
      <c r="CG880"/>
      <c r="CH880"/>
      <c r="CI880"/>
      <c r="CJ880"/>
      <c r="CP880"/>
      <c r="CQ880"/>
      <c r="CR880"/>
      <c r="CS880"/>
    </row>
    <row r="881" spans="12:97" ht="14.45" hidden="1" customHeight="1" x14ac:dyDescent="0.25">
      <c r="L881"/>
      <c r="M881"/>
      <c r="N881"/>
      <c r="O881"/>
      <c r="P881"/>
      <c r="Q881"/>
      <c r="R881"/>
      <c r="S881"/>
      <c r="T881"/>
      <c r="U881"/>
      <c r="AC881"/>
      <c r="AL881"/>
      <c r="CG881"/>
      <c r="CH881"/>
      <c r="CI881"/>
      <c r="CJ881"/>
      <c r="CP881"/>
      <c r="CQ881"/>
      <c r="CR881"/>
      <c r="CS881"/>
    </row>
    <row r="882" spans="12:97" ht="14.45" hidden="1" customHeight="1" x14ac:dyDescent="0.25">
      <c r="L882"/>
      <c r="M882"/>
      <c r="N882"/>
      <c r="O882"/>
      <c r="P882"/>
      <c r="Q882"/>
      <c r="R882"/>
      <c r="S882"/>
      <c r="T882"/>
      <c r="U882"/>
      <c r="AC882"/>
      <c r="AL882"/>
      <c r="CG882"/>
      <c r="CH882"/>
      <c r="CI882"/>
      <c r="CJ882"/>
      <c r="CP882"/>
      <c r="CQ882"/>
      <c r="CR882"/>
      <c r="CS882"/>
    </row>
    <row r="883" spans="12:97" ht="14.45" hidden="1" customHeight="1" x14ac:dyDescent="0.25">
      <c r="L883"/>
      <c r="M883"/>
      <c r="N883"/>
      <c r="O883"/>
      <c r="P883"/>
      <c r="Q883"/>
      <c r="R883"/>
      <c r="S883"/>
      <c r="T883"/>
      <c r="U883"/>
      <c r="AC883"/>
      <c r="AL883"/>
      <c r="CG883"/>
      <c r="CH883"/>
      <c r="CI883"/>
      <c r="CJ883"/>
      <c r="CP883"/>
      <c r="CQ883"/>
      <c r="CR883"/>
      <c r="CS883"/>
    </row>
    <row r="884" spans="12:97" ht="14.45" hidden="1" customHeight="1" x14ac:dyDescent="0.25">
      <c r="L884"/>
      <c r="M884"/>
      <c r="N884"/>
      <c r="O884"/>
      <c r="P884"/>
      <c r="Q884"/>
      <c r="R884"/>
      <c r="S884"/>
      <c r="T884"/>
      <c r="U884"/>
      <c r="AC884"/>
      <c r="AL884"/>
      <c r="CG884"/>
      <c r="CH884"/>
      <c r="CI884"/>
      <c r="CJ884"/>
      <c r="CP884"/>
      <c r="CQ884"/>
      <c r="CR884"/>
      <c r="CS884"/>
    </row>
    <row r="885" spans="12:97" ht="14.45" hidden="1" customHeight="1" x14ac:dyDescent="0.25">
      <c r="L885"/>
      <c r="M885"/>
      <c r="N885"/>
      <c r="O885"/>
      <c r="P885"/>
      <c r="Q885"/>
      <c r="R885"/>
      <c r="S885"/>
      <c r="T885"/>
      <c r="U885"/>
      <c r="AC885"/>
      <c r="AL885"/>
      <c r="CG885"/>
      <c r="CH885"/>
      <c r="CI885"/>
      <c r="CJ885"/>
      <c r="CP885"/>
      <c r="CQ885"/>
      <c r="CR885"/>
      <c r="CS885"/>
    </row>
    <row r="886" spans="12:97" ht="14.45" hidden="1" customHeight="1" x14ac:dyDescent="0.25">
      <c r="L886"/>
      <c r="M886"/>
      <c r="N886"/>
      <c r="O886"/>
      <c r="P886"/>
      <c r="Q886"/>
      <c r="R886"/>
      <c r="S886"/>
      <c r="T886"/>
      <c r="U886"/>
      <c r="AC886"/>
      <c r="AL886"/>
      <c r="CG886"/>
      <c r="CH886"/>
      <c r="CI886"/>
      <c r="CJ886"/>
      <c r="CP886"/>
      <c r="CQ886"/>
      <c r="CR886"/>
      <c r="CS886"/>
    </row>
    <row r="887" spans="12:97" ht="14.45" hidden="1" customHeight="1" x14ac:dyDescent="0.25">
      <c r="L887"/>
      <c r="M887"/>
      <c r="N887"/>
      <c r="O887"/>
      <c r="P887"/>
      <c r="Q887"/>
      <c r="R887"/>
      <c r="S887"/>
      <c r="T887"/>
      <c r="U887"/>
      <c r="AC887"/>
      <c r="AL887"/>
      <c r="CG887"/>
      <c r="CH887"/>
      <c r="CI887"/>
      <c r="CJ887"/>
      <c r="CP887"/>
      <c r="CQ887"/>
      <c r="CR887"/>
      <c r="CS887"/>
    </row>
    <row r="888" spans="12:97" ht="14.45" hidden="1" customHeight="1" x14ac:dyDescent="0.25">
      <c r="L888"/>
      <c r="M888"/>
      <c r="N888"/>
      <c r="O888"/>
      <c r="P888"/>
      <c r="Q888"/>
      <c r="R888"/>
      <c r="S888"/>
      <c r="T888"/>
      <c r="U888"/>
      <c r="AC888"/>
      <c r="AL888"/>
      <c r="CG888"/>
      <c r="CH888"/>
      <c r="CI888"/>
      <c r="CJ888"/>
      <c r="CP888"/>
      <c r="CQ888"/>
      <c r="CR888"/>
      <c r="CS888"/>
    </row>
    <row r="889" spans="12:97" ht="14.45" hidden="1" customHeight="1" x14ac:dyDescent="0.25">
      <c r="L889"/>
      <c r="M889"/>
      <c r="N889"/>
      <c r="O889"/>
      <c r="P889"/>
      <c r="Q889"/>
      <c r="R889"/>
      <c r="S889"/>
      <c r="T889"/>
      <c r="U889"/>
      <c r="AC889"/>
      <c r="AL889"/>
      <c r="CG889"/>
      <c r="CH889"/>
      <c r="CI889"/>
      <c r="CJ889"/>
      <c r="CP889"/>
      <c r="CQ889"/>
      <c r="CR889"/>
      <c r="CS889"/>
    </row>
    <row r="890" spans="12:97" ht="14.45" hidden="1" customHeight="1" x14ac:dyDescent="0.25">
      <c r="L890"/>
      <c r="M890"/>
      <c r="N890"/>
      <c r="O890"/>
      <c r="P890"/>
      <c r="Q890"/>
      <c r="R890"/>
      <c r="S890"/>
      <c r="T890"/>
      <c r="U890"/>
      <c r="AC890"/>
      <c r="AL890"/>
      <c r="CG890"/>
      <c r="CH890"/>
      <c r="CI890"/>
      <c r="CJ890"/>
      <c r="CP890"/>
      <c r="CQ890"/>
      <c r="CR890"/>
      <c r="CS890"/>
    </row>
    <row r="891" spans="12:97" ht="14.45" hidden="1" customHeight="1" x14ac:dyDescent="0.25">
      <c r="L891"/>
      <c r="M891"/>
      <c r="N891"/>
      <c r="O891"/>
      <c r="P891"/>
      <c r="Q891"/>
      <c r="R891"/>
      <c r="S891"/>
      <c r="T891"/>
      <c r="U891"/>
      <c r="AC891"/>
      <c r="AL891"/>
      <c r="CG891"/>
      <c r="CH891"/>
      <c r="CI891"/>
      <c r="CJ891"/>
      <c r="CP891"/>
      <c r="CQ891"/>
      <c r="CR891"/>
      <c r="CS891"/>
    </row>
    <row r="892" spans="12:97" ht="14.45" hidden="1" customHeight="1" x14ac:dyDescent="0.25">
      <c r="L892"/>
      <c r="M892"/>
      <c r="N892"/>
      <c r="O892"/>
      <c r="P892"/>
      <c r="Q892"/>
      <c r="R892"/>
      <c r="S892"/>
      <c r="T892"/>
      <c r="U892"/>
      <c r="AC892"/>
      <c r="AL892"/>
      <c r="CG892"/>
      <c r="CH892"/>
      <c r="CI892"/>
      <c r="CJ892"/>
      <c r="CP892"/>
      <c r="CQ892"/>
      <c r="CR892"/>
      <c r="CS892"/>
    </row>
    <row r="893" spans="12:97" ht="14.45" hidden="1" customHeight="1" x14ac:dyDescent="0.25">
      <c r="L893"/>
      <c r="M893"/>
      <c r="N893"/>
      <c r="O893"/>
      <c r="P893"/>
      <c r="Q893"/>
      <c r="R893"/>
      <c r="S893"/>
      <c r="T893"/>
      <c r="U893"/>
      <c r="AC893"/>
      <c r="AL893"/>
      <c r="CG893"/>
      <c r="CH893"/>
      <c r="CI893"/>
      <c r="CJ893"/>
      <c r="CP893"/>
      <c r="CQ893"/>
      <c r="CR893"/>
      <c r="CS893"/>
    </row>
    <row r="894" spans="12:97" ht="14.45" hidden="1" customHeight="1" x14ac:dyDescent="0.25">
      <c r="L894"/>
      <c r="M894"/>
      <c r="N894"/>
      <c r="O894"/>
      <c r="P894"/>
      <c r="Q894"/>
      <c r="R894"/>
      <c r="S894"/>
      <c r="T894"/>
      <c r="U894"/>
      <c r="AC894"/>
      <c r="AL894"/>
      <c r="CG894"/>
      <c r="CH894"/>
      <c r="CI894"/>
      <c r="CJ894"/>
      <c r="CP894"/>
      <c r="CQ894"/>
      <c r="CR894"/>
      <c r="CS894"/>
    </row>
    <row r="895" spans="12:97" ht="14.45" hidden="1" customHeight="1" x14ac:dyDescent="0.25">
      <c r="L895"/>
      <c r="M895"/>
      <c r="N895"/>
      <c r="O895"/>
      <c r="P895"/>
      <c r="Q895"/>
      <c r="R895"/>
      <c r="S895"/>
      <c r="T895"/>
      <c r="U895"/>
      <c r="AC895"/>
      <c r="AL895"/>
      <c r="CG895"/>
      <c r="CH895"/>
      <c r="CI895"/>
      <c r="CJ895"/>
      <c r="CP895"/>
      <c r="CQ895"/>
      <c r="CR895"/>
      <c r="CS895"/>
    </row>
    <row r="896" spans="12:97" ht="14.45" hidden="1" customHeight="1" x14ac:dyDescent="0.25">
      <c r="L896"/>
      <c r="M896"/>
      <c r="N896"/>
      <c r="O896"/>
      <c r="P896"/>
      <c r="Q896"/>
      <c r="R896"/>
      <c r="S896"/>
      <c r="T896"/>
      <c r="U896"/>
      <c r="AC896"/>
      <c r="AL896"/>
      <c r="CG896"/>
      <c r="CH896"/>
      <c r="CI896"/>
      <c r="CJ896"/>
      <c r="CP896"/>
      <c r="CQ896"/>
      <c r="CR896"/>
      <c r="CS896"/>
    </row>
    <row r="897" spans="12:97" ht="14.45" hidden="1" customHeight="1" x14ac:dyDescent="0.25">
      <c r="L897"/>
      <c r="M897"/>
      <c r="N897"/>
      <c r="O897"/>
      <c r="P897"/>
      <c r="Q897"/>
      <c r="R897"/>
      <c r="S897"/>
      <c r="T897"/>
      <c r="U897"/>
      <c r="AC897"/>
      <c r="AL897"/>
      <c r="CG897"/>
      <c r="CH897"/>
      <c r="CI897"/>
      <c r="CJ897"/>
      <c r="CP897"/>
      <c r="CQ897"/>
      <c r="CR897"/>
      <c r="CS897"/>
    </row>
    <row r="898" spans="12:97" ht="14.45" hidden="1" customHeight="1" x14ac:dyDescent="0.25">
      <c r="L898"/>
      <c r="M898"/>
      <c r="N898"/>
      <c r="O898"/>
      <c r="P898"/>
      <c r="Q898"/>
      <c r="R898"/>
      <c r="S898"/>
      <c r="T898"/>
      <c r="U898"/>
      <c r="AC898"/>
      <c r="AL898"/>
      <c r="CG898"/>
      <c r="CH898"/>
      <c r="CI898"/>
      <c r="CJ898"/>
      <c r="CP898"/>
      <c r="CQ898"/>
      <c r="CR898"/>
      <c r="CS898"/>
    </row>
    <row r="899" spans="12:97" ht="14.45" hidden="1" customHeight="1" x14ac:dyDescent="0.25">
      <c r="L899"/>
      <c r="M899"/>
      <c r="N899"/>
      <c r="O899"/>
      <c r="P899"/>
      <c r="Q899"/>
      <c r="R899"/>
      <c r="S899"/>
      <c r="T899"/>
      <c r="U899"/>
      <c r="AC899"/>
      <c r="AL899"/>
      <c r="CG899"/>
      <c r="CH899"/>
      <c r="CI899"/>
      <c r="CJ899"/>
      <c r="CP899"/>
      <c r="CQ899"/>
      <c r="CR899"/>
      <c r="CS899"/>
    </row>
    <row r="900" spans="12:97" ht="14.45" hidden="1" customHeight="1" x14ac:dyDescent="0.25">
      <c r="L900"/>
      <c r="M900"/>
      <c r="N900"/>
      <c r="O900"/>
      <c r="P900"/>
      <c r="Q900"/>
      <c r="R900"/>
      <c r="S900"/>
      <c r="T900"/>
      <c r="U900"/>
      <c r="AC900"/>
      <c r="AL900"/>
      <c r="CG900"/>
      <c r="CH900"/>
      <c r="CI900"/>
      <c r="CJ900"/>
      <c r="CP900"/>
      <c r="CQ900"/>
      <c r="CR900"/>
      <c r="CS900"/>
    </row>
    <row r="901" spans="12:97" ht="14.45" hidden="1" customHeight="1" x14ac:dyDescent="0.25">
      <c r="L901"/>
      <c r="M901"/>
      <c r="N901"/>
      <c r="O901"/>
      <c r="P901"/>
      <c r="Q901"/>
      <c r="R901"/>
      <c r="S901"/>
      <c r="T901"/>
      <c r="U901"/>
      <c r="AC901"/>
      <c r="AL901"/>
      <c r="CG901"/>
      <c r="CH901"/>
      <c r="CI901"/>
      <c r="CJ901"/>
      <c r="CP901"/>
      <c r="CQ901"/>
      <c r="CR901"/>
      <c r="CS901"/>
    </row>
    <row r="902" spans="12:97" ht="14.45" hidden="1" customHeight="1" x14ac:dyDescent="0.25">
      <c r="L902"/>
      <c r="M902"/>
      <c r="N902"/>
      <c r="O902"/>
      <c r="P902"/>
      <c r="Q902"/>
      <c r="R902"/>
      <c r="S902"/>
      <c r="T902"/>
      <c r="U902"/>
      <c r="AC902"/>
      <c r="AL902"/>
      <c r="CG902"/>
      <c r="CH902"/>
      <c r="CI902"/>
      <c r="CJ902"/>
      <c r="CP902"/>
      <c r="CQ902"/>
      <c r="CR902"/>
      <c r="CS902"/>
    </row>
    <row r="903" spans="12:97" ht="14.45" hidden="1" customHeight="1" x14ac:dyDescent="0.25">
      <c r="L903"/>
      <c r="M903"/>
      <c r="N903"/>
      <c r="O903"/>
      <c r="P903"/>
      <c r="Q903"/>
      <c r="R903"/>
      <c r="S903"/>
      <c r="T903"/>
      <c r="U903"/>
      <c r="AC903"/>
      <c r="AL903"/>
      <c r="CG903"/>
      <c r="CH903"/>
      <c r="CI903"/>
      <c r="CJ903"/>
      <c r="CP903"/>
      <c r="CQ903"/>
      <c r="CR903"/>
      <c r="CS903"/>
    </row>
    <row r="904" spans="12:97" ht="14.45" hidden="1" customHeight="1" x14ac:dyDescent="0.25">
      <c r="L904"/>
      <c r="M904"/>
      <c r="N904"/>
      <c r="O904"/>
      <c r="P904"/>
      <c r="Q904"/>
      <c r="R904"/>
      <c r="S904"/>
      <c r="T904"/>
      <c r="U904"/>
      <c r="AC904"/>
      <c r="AL904"/>
      <c r="CG904"/>
      <c r="CH904"/>
      <c r="CI904"/>
      <c r="CJ904"/>
      <c r="CP904"/>
      <c r="CQ904"/>
      <c r="CR904"/>
      <c r="CS904"/>
    </row>
    <row r="905" spans="12:97" ht="14.45" hidden="1" customHeight="1" x14ac:dyDescent="0.25">
      <c r="L905"/>
      <c r="M905"/>
      <c r="N905"/>
      <c r="O905"/>
      <c r="P905"/>
      <c r="Q905"/>
      <c r="R905"/>
      <c r="S905"/>
      <c r="T905"/>
      <c r="U905"/>
      <c r="AC905"/>
      <c r="AL905"/>
      <c r="CG905"/>
      <c r="CH905"/>
      <c r="CI905"/>
      <c r="CJ905"/>
      <c r="CP905"/>
      <c r="CQ905"/>
      <c r="CR905"/>
      <c r="CS905"/>
    </row>
    <row r="906" spans="12:97" ht="14.45" hidden="1" customHeight="1" x14ac:dyDescent="0.25">
      <c r="L906"/>
      <c r="M906"/>
      <c r="N906"/>
      <c r="O906"/>
      <c r="P906"/>
      <c r="Q906"/>
      <c r="R906"/>
      <c r="S906"/>
      <c r="T906"/>
      <c r="U906"/>
      <c r="AC906"/>
      <c r="AL906"/>
      <c r="CG906"/>
      <c r="CH906"/>
      <c r="CI906"/>
      <c r="CJ906"/>
      <c r="CP906"/>
      <c r="CQ906"/>
      <c r="CR906"/>
      <c r="CS906"/>
    </row>
    <row r="907" spans="12:97" ht="14.45" hidden="1" customHeight="1" x14ac:dyDescent="0.25">
      <c r="L907"/>
      <c r="M907"/>
      <c r="N907"/>
      <c r="O907"/>
      <c r="P907"/>
      <c r="Q907"/>
      <c r="R907"/>
      <c r="S907"/>
      <c r="T907"/>
      <c r="U907"/>
      <c r="AC907"/>
      <c r="AL907"/>
      <c r="CG907"/>
      <c r="CH907"/>
      <c r="CI907"/>
      <c r="CJ907"/>
      <c r="CP907"/>
      <c r="CQ907"/>
      <c r="CR907"/>
      <c r="CS907"/>
    </row>
    <row r="908" spans="12:97" ht="14.45" hidden="1" customHeight="1" x14ac:dyDescent="0.25">
      <c r="L908"/>
      <c r="M908"/>
      <c r="N908"/>
      <c r="O908"/>
      <c r="P908"/>
      <c r="Q908"/>
      <c r="R908"/>
      <c r="S908"/>
      <c r="T908"/>
      <c r="U908"/>
      <c r="AC908"/>
      <c r="AL908"/>
      <c r="CG908"/>
      <c r="CH908"/>
      <c r="CI908"/>
      <c r="CJ908"/>
      <c r="CP908"/>
      <c r="CQ908"/>
      <c r="CR908"/>
      <c r="CS908"/>
    </row>
    <row r="909" spans="12:97" ht="14.45" hidden="1" customHeight="1" x14ac:dyDescent="0.25">
      <c r="L909"/>
      <c r="M909"/>
      <c r="N909"/>
      <c r="O909"/>
      <c r="P909"/>
      <c r="Q909"/>
      <c r="R909"/>
      <c r="S909"/>
      <c r="T909"/>
      <c r="U909"/>
      <c r="AC909"/>
      <c r="AL909"/>
      <c r="CG909"/>
      <c r="CH909"/>
      <c r="CI909"/>
      <c r="CJ909"/>
      <c r="CP909"/>
      <c r="CQ909"/>
      <c r="CR909"/>
      <c r="CS909"/>
    </row>
    <row r="910" spans="12:97" ht="14.45" hidden="1" customHeight="1" x14ac:dyDescent="0.25">
      <c r="L910"/>
      <c r="M910"/>
      <c r="N910"/>
      <c r="O910"/>
      <c r="P910"/>
      <c r="Q910"/>
      <c r="R910"/>
      <c r="S910"/>
      <c r="T910"/>
      <c r="U910"/>
      <c r="AC910"/>
      <c r="AL910"/>
      <c r="CG910"/>
      <c r="CH910"/>
      <c r="CI910"/>
      <c r="CJ910"/>
      <c r="CP910"/>
      <c r="CQ910"/>
      <c r="CR910"/>
      <c r="CS910"/>
    </row>
    <row r="911" spans="12:97" ht="14.45" hidden="1" customHeight="1" x14ac:dyDescent="0.25">
      <c r="L911"/>
      <c r="M911"/>
      <c r="N911"/>
      <c r="O911"/>
      <c r="P911"/>
      <c r="Q911"/>
      <c r="R911"/>
      <c r="S911"/>
      <c r="T911"/>
      <c r="U911"/>
      <c r="AC911"/>
      <c r="AL911"/>
      <c r="CG911"/>
      <c r="CH911"/>
      <c r="CI911"/>
      <c r="CJ911"/>
      <c r="CP911"/>
      <c r="CQ911"/>
      <c r="CR911"/>
      <c r="CS911"/>
    </row>
    <row r="912" spans="12:97" ht="14.45" hidden="1" customHeight="1" x14ac:dyDescent="0.25">
      <c r="L912"/>
      <c r="M912"/>
      <c r="N912"/>
      <c r="O912"/>
      <c r="P912"/>
      <c r="Q912"/>
      <c r="R912"/>
      <c r="S912"/>
      <c r="T912"/>
      <c r="U912"/>
      <c r="AC912"/>
      <c r="AL912"/>
      <c r="CG912"/>
      <c r="CH912"/>
      <c r="CI912"/>
      <c r="CJ912"/>
      <c r="CP912"/>
      <c r="CQ912"/>
      <c r="CR912"/>
      <c r="CS912"/>
    </row>
    <row r="913" spans="12:97" ht="14.45" hidden="1" customHeight="1" x14ac:dyDescent="0.25">
      <c r="L913"/>
      <c r="M913"/>
      <c r="N913"/>
      <c r="O913"/>
      <c r="P913"/>
      <c r="Q913"/>
      <c r="R913"/>
      <c r="S913"/>
      <c r="T913"/>
      <c r="U913"/>
      <c r="AC913"/>
      <c r="AL913"/>
      <c r="CG913"/>
      <c r="CH913"/>
      <c r="CI913"/>
      <c r="CJ913"/>
      <c r="CP913"/>
      <c r="CQ913"/>
      <c r="CR913"/>
      <c r="CS913"/>
    </row>
    <row r="914" spans="12:97" ht="14.45" hidden="1" customHeight="1" x14ac:dyDescent="0.25">
      <c r="L914"/>
      <c r="M914"/>
      <c r="N914"/>
      <c r="O914"/>
      <c r="P914"/>
      <c r="Q914"/>
      <c r="R914"/>
      <c r="S914"/>
      <c r="T914"/>
      <c r="U914"/>
      <c r="AC914"/>
      <c r="AL914"/>
      <c r="CG914"/>
      <c r="CH914"/>
      <c r="CI914"/>
      <c r="CJ914"/>
      <c r="CP914"/>
      <c r="CQ914"/>
      <c r="CR914"/>
      <c r="CS914"/>
    </row>
    <row r="915" spans="12:97" ht="14.45" hidden="1" customHeight="1" x14ac:dyDescent="0.25">
      <c r="L915"/>
      <c r="M915"/>
      <c r="N915"/>
      <c r="O915"/>
      <c r="P915"/>
      <c r="Q915"/>
      <c r="R915"/>
      <c r="S915"/>
      <c r="T915"/>
      <c r="U915"/>
      <c r="AC915"/>
      <c r="AL915"/>
      <c r="CG915"/>
      <c r="CH915"/>
      <c r="CI915"/>
      <c r="CJ915"/>
      <c r="CP915"/>
      <c r="CQ915"/>
      <c r="CR915"/>
      <c r="CS915"/>
    </row>
    <row r="916" spans="12:97" ht="14.45" hidden="1" customHeight="1" x14ac:dyDescent="0.25">
      <c r="L916"/>
      <c r="M916"/>
      <c r="N916"/>
      <c r="O916"/>
      <c r="P916"/>
      <c r="Q916"/>
      <c r="R916"/>
      <c r="S916"/>
      <c r="T916"/>
      <c r="U916"/>
      <c r="AC916"/>
      <c r="AL916"/>
      <c r="CG916"/>
      <c r="CH916"/>
      <c r="CI916"/>
      <c r="CJ916"/>
      <c r="CP916"/>
      <c r="CQ916"/>
      <c r="CR916"/>
      <c r="CS916"/>
    </row>
    <row r="917" spans="12:97" ht="14.45" hidden="1" customHeight="1" x14ac:dyDescent="0.25">
      <c r="L917"/>
      <c r="M917"/>
      <c r="N917"/>
      <c r="O917"/>
      <c r="P917"/>
      <c r="Q917"/>
      <c r="R917"/>
      <c r="S917"/>
      <c r="T917"/>
      <c r="U917"/>
      <c r="AC917"/>
      <c r="AL917"/>
      <c r="CG917"/>
      <c r="CH917"/>
      <c r="CI917"/>
      <c r="CJ917"/>
      <c r="CP917"/>
      <c r="CQ917"/>
      <c r="CR917"/>
      <c r="CS917"/>
    </row>
    <row r="918" spans="12:97" ht="14.45" hidden="1" customHeight="1" x14ac:dyDescent="0.25">
      <c r="L918"/>
      <c r="M918"/>
      <c r="N918"/>
      <c r="O918"/>
      <c r="P918"/>
      <c r="Q918"/>
      <c r="R918"/>
      <c r="S918"/>
      <c r="T918"/>
      <c r="U918"/>
      <c r="AC918"/>
      <c r="AL918"/>
      <c r="CG918"/>
      <c r="CH918"/>
      <c r="CI918"/>
      <c r="CJ918"/>
      <c r="CP918"/>
      <c r="CQ918"/>
      <c r="CR918"/>
      <c r="CS918"/>
    </row>
    <row r="919" spans="12:97" ht="14.45" hidden="1" customHeight="1" x14ac:dyDescent="0.25">
      <c r="L919"/>
      <c r="M919"/>
      <c r="N919"/>
      <c r="O919"/>
      <c r="P919"/>
      <c r="Q919"/>
      <c r="R919"/>
      <c r="S919"/>
      <c r="T919"/>
      <c r="U919"/>
      <c r="AC919"/>
      <c r="AL919"/>
      <c r="CG919"/>
      <c r="CH919"/>
      <c r="CI919"/>
      <c r="CJ919"/>
      <c r="CP919"/>
      <c r="CQ919"/>
      <c r="CR919"/>
      <c r="CS919"/>
    </row>
    <row r="920" spans="12:97" ht="14.45" hidden="1" customHeight="1" x14ac:dyDescent="0.25">
      <c r="L920"/>
      <c r="M920"/>
      <c r="N920"/>
      <c r="O920"/>
      <c r="P920"/>
      <c r="Q920"/>
      <c r="R920"/>
      <c r="S920"/>
      <c r="T920"/>
      <c r="U920"/>
      <c r="AC920"/>
      <c r="AL920"/>
      <c r="CG920"/>
      <c r="CH920"/>
      <c r="CI920"/>
      <c r="CJ920"/>
      <c r="CP920"/>
      <c r="CQ920"/>
      <c r="CR920"/>
      <c r="CS920"/>
    </row>
    <row r="921" spans="12:97" ht="14.45" hidden="1" customHeight="1" x14ac:dyDescent="0.25">
      <c r="L921"/>
      <c r="M921"/>
      <c r="N921"/>
      <c r="O921"/>
      <c r="P921"/>
      <c r="Q921"/>
      <c r="R921"/>
      <c r="S921"/>
      <c r="T921"/>
      <c r="U921"/>
      <c r="AC921"/>
      <c r="AL921"/>
      <c r="CG921"/>
      <c r="CH921"/>
      <c r="CI921"/>
      <c r="CJ921"/>
      <c r="CP921"/>
      <c r="CQ921"/>
      <c r="CR921"/>
      <c r="CS921"/>
    </row>
    <row r="922" spans="12:97" ht="14.45" hidden="1" customHeight="1" x14ac:dyDescent="0.25">
      <c r="L922"/>
      <c r="M922"/>
      <c r="N922"/>
      <c r="O922"/>
      <c r="P922"/>
      <c r="Q922"/>
      <c r="R922"/>
      <c r="S922"/>
      <c r="T922"/>
      <c r="U922"/>
      <c r="AC922"/>
      <c r="AL922"/>
      <c r="CG922"/>
      <c r="CH922"/>
      <c r="CI922"/>
      <c r="CJ922"/>
      <c r="CP922"/>
      <c r="CQ922"/>
      <c r="CR922"/>
      <c r="CS922"/>
    </row>
    <row r="923" spans="12:97" ht="14.45" hidden="1" customHeight="1" x14ac:dyDescent="0.25">
      <c r="L923"/>
      <c r="M923"/>
      <c r="N923"/>
      <c r="O923"/>
      <c r="P923"/>
      <c r="Q923"/>
      <c r="R923"/>
      <c r="S923"/>
      <c r="T923"/>
      <c r="U923"/>
      <c r="AC923"/>
      <c r="AL923"/>
      <c r="CG923"/>
      <c r="CH923"/>
      <c r="CI923"/>
      <c r="CJ923"/>
      <c r="CP923"/>
      <c r="CQ923"/>
      <c r="CR923"/>
      <c r="CS923"/>
    </row>
    <row r="924" spans="12:97" ht="14.45" hidden="1" customHeight="1" x14ac:dyDescent="0.25">
      <c r="L924"/>
      <c r="M924"/>
      <c r="N924"/>
      <c r="O924"/>
      <c r="P924"/>
      <c r="Q924"/>
      <c r="R924"/>
      <c r="S924"/>
      <c r="T924"/>
      <c r="U924"/>
      <c r="AC924"/>
      <c r="AL924"/>
      <c r="CG924"/>
      <c r="CH924"/>
      <c r="CI924"/>
      <c r="CJ924"/>
      <c r="CP924"/>
      <c r="CQ924"/>
      <c r="CR924"/>
      <c r="CS924"/>
    </row>
    <row r="925" spans="12:97" ht="14.45" hidden="1" customHeight="1" x14ac:dyDescent="0.25">
      <c r="L925"/>
      <c r="M925"/>
      <c r="N925"/>
      <c r="O925"/>
      <c r="P925"/>
      <c r="Q925"/>
      <c r="R925"/>
      <c r="S925"/>
      <c r="T925"/>
      <c r="U925"/>
      <c r="AC925"/>
      <c r="AL925"/>
      <c r="CG925"/>
      <c r="CH925"/>
      <c r="CI925"/>
      <c r="CJ925"/>
      <c r="CP925"/>
      <c r="CQ925"/>
      <c r="CR925"/>
      <c r="CS925"/>
    </row>
    <row r="926" spans="12:97" ht="14.45" hidden="1" customHeight="1" x14ac:dyDescent="0.25">
      <c r="L926"/>
      <c r="M926"/>
      <c r="N926"/>
      <c r="O926"/>
      <c r="P926"/>
      <c r="Q926"/>
      <c r="R926"/>
      <c r="S926"/>
      <c r="T926"/>
      <c r="U926"/>
      <c r="AC926"/>
      <c r="AL926"/>
      <c r="CG926"/>
      <c r="CH926"/>
      <c r="CI926"/>
      <c r="CJ926"/>
      <c r="CP926"/>
      <c r="CQ926"/>
      <c r="CR926"/>
      <c r="CS926"/>
    </row>
    <row r="927" spans="12:97" ht="14.45" hidden="1" customHeight="1" x14ac:dyDescent="0.25">
      <c r="L927"/>
      <c r="M927"/>
      <c r="N927"/>
      <c r="O927"/>
      <c r="P927"/>
      <c r="Q927"/>
      <c r="R927"/>
      <c r="S927"/>
      <c r="T927"/>
      <c r="U927"/>
      <c r="AC927"/>
      <c r="AL927"/>
      <c r="CG927"/>
      <c r="CH927"/>
      <c r="CI927"/>
      <c r="CJ927"/>
      <c r="CP927"/>
      <c r="CQ927"/>
      <c r="CR927"/>
      <c r="CS927"/>
    </row>
    <row r="928" spans="12:97" ht="14.45" hidden="1" customHeight="1" x14ac:dyDescent="0.25">
      <c r="L928"/>
      <c r="M928"/>
      <c r="N928"/>
      <c r="O928"/>
      <c r="P928"/>
      <c r="Q928"/>
      <c r="R928"/>
      <c r="S928"/>
      <c r="T928"/>
      <c r="U928"/>
      <c r="AC928"/>
      <c r="AL928"/>
      <c r="CG928"/>
      <c r="CH928"/>
      <c r="CI928"/>
      <c r="CJ928"/>
      <c r="CP928"/>
      <c r="CQ928"/>
      <c r="CR928"/>
      <c r="CS928"/>
    </row>
    <row r="929" spans="12:97" ht="14.45" hidden="1" customHeight="1" x14ac:dyDescent="0.25">
      <c r="L929"/>
      <c r="M929"/>
      <c r="N929"/>
      <c r="O929"/>
      <c r="P929"/>
      <c r="Q929"/>
      <c r="R929"/>
      <c r="S929"/>
      <c r="T929"/>
      <c r="U929"/>
      <c r="AC929"/>
      <c r="AL929"/>
      <c r="CG929"/>
      <c r="CH929"/>
      <c r="CI929"/>
      <c r="CJ929"/>
      <c r="CP929"/>
      <c r="CQ929"/>
      <c r="CR929"/>
      <c r="CS929"/>
    </row>
    <row r="930" spans="12:97" ht="14.45" hidden="1" customHeight="1" x14ac:dyDescent="0.25">
      <c r="L930"/>
      <c r="M930"/>
      <c r="N930"/>
      <c r="O930"/>
      <c r="P930"/>
      <c r="Q930"/>
      <c r="R930"/>
      <c r="S930"/>
      <c r="T930"/>
      <c r="U930"/>
      <c r="AC930"/>
      <c r="AL930"/>
      <c r="CG930"/>
      <c r="CH930"/>
      <c r="CI930"/>
      <c r="CJ930"/>
      <c r="CP930"/>
      <c r="CQ930"/>
      <c r="CR930"/>
      <c r="CS930"/>
    </row>
    <row r="931" spans="12:97" ht="14.45" hidden="1" customHeight="1" x14ac:dyDescent="0.25">
      <c r="L931"/>
      <c r="M931"/>
      <c r="N931"/>
      <c r="O931"/>
      <c r="P931"/>
      <c r="Q931"/>
      <c r="R931"/>
      <c r="S931"/>
      <c r="T931"/>
      <c r="U931"/>
      <c r="AC931"/>
      <c r="AL931"/>
      <c r="CG931"/>
      <c r="CH931"/>
      <c r="CI931"/>
      <c r="CJ931"/>
      <c r="CP931"/>
      <c r="CQ931"/>
      <c r="CR931"/>
      <c r="CS931"/>
    </row>
    <row r="932" spans="12:97" ht="14.45" hidden="1" customHeight="1" x14ac:dyDescent="0.25">
      <c r="L932"/>
      <c r="M932"/>
      <c r="N932"/>
      <c r="O932"/>
      <c r="P932"/>
      <c r="Q932"/>
      <c r="R932"/>
      <c r="S932"/>
      <c r="T932"/>
      <c r="U932"/>
      <c r="AC932"/>
      <c r="AL932"/>
      <c r="CG932"/>
      <c r="CH932"/>
      <c r="CI932"/>
      <c r="CJ932"/>
      <c r="CP932"/>
      <c r="CQ932"/>
      <c r="CR932"/>
      <c r="CS932"/>
    </row>
    <row r="933" spans="12:97" ht="14.45" hidden="1" customHeight="1" x14ac:dyDescent="0.25">
      <c r="L933"/>
      <c r="M933"/>
      <c r="N933"/>
      <c r="O933"/>
      <c r="P933"/>
      <c r="Q933"/>
      <c r="R933"/>
      <c r="S933"/>
      <c r="T933"/>
      <c r="U933"/>
      <c r="AC933"/>
      <c r="AL933"/>
      <c r="CG933"/>
      <c r="CH933"/>
      <c r="CI933"/>
      <c r="CJ933"/>
      <c r="CP933"/>
      <c r="CQ933"/>
      <c r="CR933"/>
      <c r="CS933"/>
    </row>
    <row r="934" spans="12:97" ht="14.45" hidden="1" customHeight="1" x14ac:dyDescent="0.25">
      <c r="L934"/>
      <c r="M934"/>
      <c r="N934"/>
      <c r="O934"/>
      <c r="P934"/>
      <c r="Q934"/>
      <c r="R934"/>
      <c r="S934"/>
      <c r="T934"/>
      <c r="U934"/>
      <c r="AC934"/>
      <c r="AL934"/>
      <c r="CG934"/>
      <c r="CH934"/>
      <c r="CI934"/>
      <c r="CJ934"/>
      <c r="CP934"/>
      <c r="CQ934"/>
      <c r="CR934"/>
      <c r="CS934"/>
    </row>
    <row r="935" spans="12:97" ht="14.45" hidden="1" customHeight="1" x14ac:dyDescent="0.25">
      <c r="L935"/>
      <c r="M935"/>
      <c r="N935"/>
      <c r="O935"/>
      <c r="P935"/>
      <c r="Q935"/>
      <c r="R935"/>
      <c r="S935"/>
      <c r="T935"/>
      <c r="U935"/>
      <c r="AC935"/>
      <c r="AL935"/>
      <c r="CG935"/>
      <c r="CH935"/>
      <c r="CI935"/>
      <c r="CJ935"/>
      <c r="CP935"/>
      <c r="CQ935"/>
      <c r="CR935"/>
      <c r="CS935"/>
    </row>
    <row r="936" spans="12:97" ht="14.45" hidden="1" customHeight="1" x14ac:dyDescent="0.25">
      <c r="L936"/>
      <c r="M936"/>
      <c r="N936"/>
      <c r="O936"/>
      <c r="P936"/>
      <c r="Q936"/>
      <c r="R936"/>
      <c r="S936"/>
      <c r="T936"/>
      <c r="U936"/>
      <c r="AC936"/>
      <c r="AL936"/>
      <c r="CG936"/>
      <c r="CH936"/>
      <c r="CI936"/>
      <c r="CJ936"/>
      <c r="CP936"/>
      <c r="CQ936"/>
      <c r="CR936"/>
      <c r="CS936"/>
    </row>
    <row r="937" spans="12:97" ht="14.45" hidden="1" customHeight="1" x14ac:dyDescent="0.25">
      <c r="L937"/>
      <c r="M937"/>
      <c r="N937"/>
      <c r="O937"/>
      <c r="P937"/>
      <c r="Q937"/>
      <c r="R937"/>
      <c r="S937"/>
      <c r="T937"/>
      <c r="U937"/>
      <c r="AC937"/>
      <c r="AL937"/>
      <c r="CG937"/>
      <c r="CH937"/>
      <c r="CI937"/>
      <c r="CJ937"/>
      <c r="CP937"/>
      <c r="CQ937"/>
      <c r="CR937"/>
      <c r="CS937"/>
    </row>
    <row r="938" spans="12:97" ht="14.45" hidden="1" customHeight="1" x14ac:dyDescent="0.25">
      <c r="L938"/>
      <c r="M938"/>
      <c r="N938"/>
      <c r="O938"/>
      <c r="P938"/>
      <c r="Q938"/>
      <c r="R938"/>
      <c r="S938"/>
      <c r="T938"/>
      <c r="U938"/>
      <c r="AC938"/>
      <c r="AL938"/>
      <c r="CG938"/>
      <c r="CH938"/>
      <c r="CI938"/>
      <c r="CJ938"/>
      <c r="CP938"/>
      <c r="CQ938"/>
      <c r="CR938"/>
      <c r="CS938"/>
    </row>
    <row r="939" spans="12:97" ht="14.45" hidden="1" customHeight="1" x14ac:dyDescent="0.25">
      <c r="L939"/>
      <c r="M939"/>
      <c r="N939"/>
      <c r="O939"/>
      <c r="P939"/>
      <c r="Q939"/>
      <c r="R939"/>
      <c r="S939"/>
      <c r="T939"/>
      <c r="U939"/>
      <c r="AC939"/>
      <c r="AL939"/>
      <c r="CG939"/>
      <c r="CH939"/>
      <c r="CI939"/>
      <c r="CJ939"/>
      <c r="CP939"/>
      <c r="CQ939"/>
      <c r="CR939"/>
      <c r="CS939"/>
    </row>
    <row r="940" spans="12:97" ht="14.45" hidden="1" customHeight="1" x14ac:dyDescent="0.25">
      <c r="L940"/>
      <c r="M940"/>
      <c r="N940"/>
      <c r="O940"/>
      <c r="P940"/>
      <c r="Q940"/>
      <c r="R940"/>
      <c r="S940"/>
      <c r="T940"/>
      <c r="U940"/>
      <c r="AC940"/>
      <c r="AL940"/>
      <c r="CG940"/>
      <c r="CH940"/>
      <c r="CI940"/>
      <c r="CJ940"/>
      <c r="CP940"/>
      <c r="CQ940"/>
      <c r="CR940"/>
      <c r="CS940"/>
    </row>
    <row r="941" spans="12:97" ht="14.45" hidden="1" customHeight="1" x14ac:dyDescent="0.25">
      <c r="L941"/>
      <c r="M941"/>
      <c r="N941"/>
      <c r="O941"/>
      <c r="P941"/>
      <c r="Q941"/>
      <c r="R941"/>
      <c r="S941"/>
      <c r="T941"/>
      <c r="U941"/>
      <c r="AC941"/>
      <c r="AL941"/>
      <c r="CG941"/>
      <c r="CH941"/>
      <c r="CI941"/>
      <c r="CJ941"/>
      <c r="CP941"/>
      <c r="CQ941"/>
      <c r="CR941"/>
      <c r="CS941"/>
    </row>
    <row r="942" spans="12:97" ht="14.45" hidden="1" customHeight="1" x14ac:dyDescent="0.25">
      <c r="L942"/>
      <c r="M942"/>
      <c r="N942"/>
      <c r="O942"/>
      <c r="P942"/>
      <c r="Q942"/>
      <c r="R942"/>
      <c r="S942"/>
      <c r="T942"/>
      <c r="U942"/>
      <c r="AC942"/>
      <c r="AL942"/>
      <c r="CG942"/>
      <c r="CH942"/>
      <c r="CI942"/>
      <c r="CJ942"/>
      <c r="CP942"/>
      <c r="CQ942"/>
      <c r="CR942"/>
      <c r="CS942"/>
    </row>
    <row r="943" spans="12:97" ht="14.45" hidden="1" customHeight="1" x14ac:dyDescent="0.25">
      <c r="L943"/>
      <c r="M943"/>
      <c r="N943"/>
      <c r="O943"/>
      <c r="P943"/>
      <c r="Q943"/>
      <c r="R943"/>
      <c r="S943"/>
      <c r="T943"/>
      <c r="U943"/>
      <c r="AC943"/>
      <c r="AL943"/>
      <c r="CG943"/>
      <c r="CH943"/>
      <c r="CI943"/>
      <c r="CJ943"/>
      <c r="CP943"/>
      <c r="CQ943"/>
      <c r="CR943"/>
      <c r="CS943"/>
    </row>
    <row r="944" spans="12:97" ht="14.45" hidden="1" customHeight="1" x14ac:dyDescent="0.25">
      <c r="L944"/>
      <c r="M944"/>
      <c r="N944"/>
      <c r="O944"/>
      <c r="P944"/>
      <c r="Q944"/>
      <c r="R944"/>
      <c r="S944"/>
      <c r="T944"/>
      <c r="U944"/>
      <c r="AC944"/>
      <c r="AL944"/>
      <c r="CG944"/>
      <c r="CH944"/>
      <c r="CI944"/>
      <c r="CJ944"/>
      <c r="CP944"/>
      <c r="CQ944"/>
      <c r="CR944"/>
      <c r="CS944"/>
    </row>
    <row r="945" spans="12:97" ht="14.45" hidden="1" customHeight="1" x14ac:dyDescent="0.25">
      <c r="L945"/>
      <c r="M945"/>
      <c r="N945"/>
      <c r="O945"/>
      <c r="P945"/>
      <c r="Q945"/>
      <c r="R945"/>
      <c r="S945"/>
      <c r="T945"/>
      <c r="U945"/>
      <c r="AC945"/>
      <c r="AL945"/>
      <c r="CG945"/>
      <c r="CH945"/>
      <c r="CI945"/>
      <c r="CJ945"/>
      <c r="CP945"/>
      <c r="CQ945"/>
      <c r="CR945"/>
      <c r="CS945"/>
    </row>
    <row r="946" spans="12:97" ht="14.45" hidden="1" customHeight="1" x14ac:dyDescent="0.25">
      <c r="L946"/>
      <c r="M946"/>
      <c r="N946"/>
      <c r="O946"/>
      <c r="P946"/>
      <c r="Q946"/>
      <c r="R946"/>
      <c r="S946"/>
      <c r="T946"/>
      <c r="U946"/>
      <c r="AC946"/>
      <c r="AL946"/>
      <c r="CG946"/>
      <c r="CH946"/>
      <c r="CI946"/>
      <c r="CJ946"/>
      <c r="CP946"/>
      <c r="CQ946"/>
      <c r="CR946"/>
      <c r="CS946"/>
    </row>
    <row r="947" spans="12:97" ht="14.45" hidden="1" customHeight="1" x14ac:dyDescent="0.25">
      <c r="L947"/>
      <c r="M947"/>
      <c r="N947"/>
      <c r="O947"/>
      <c r="P947"/>
      <c r="Q947"/>
      <c r="R947"/>
      <c r="S947"/>
      <c r="T947"/>
      <c r="U947"/>
      <c r="AC947"/>
      <c r="AL947"/>
      <c r="CG947"/>
      <c r="CH947"/>
      <c r="CI947"/>
      <c r="CJ947"/>
      <c r="CP947"/>
      <c r="CQ947"/>
      <c r="CR947"/>
      <c r="CS947"/>
    </row>
    <row r="948" spans="12:97" ht="14.45" hidden="1" customHeight="1" x14ac:dyDescent="0.25">
      <c r="L948"/>
      <c r="M948"/>
      <c r="N948"/>
      <c r="O948"/>
      <c r="P948"/>
      <c r="Q948"/>
      <c r="R948"/>
      <c r="S948"/>
      <c r="T948"/>
      <c r="U948"/>
      <c r="AC948"/>
      <c r="AL948"/>
      <c r="CG948"/>
      <c r="CH948"/>
      <c r="CI948"/>
      <c r="CJ948"/>
      <c r="CP948"/>
      <c r="CQ948"/>
      <c r="CR948"/>
      <c r="CS948"/>
    </row>
    <row r="949" spans="12:97" ht="14.45" hidden="1" customHeight="1" x14ac:dyDescent="0.25">
      <c r="L949"/>
      <c r="M949"/>
      <c r="N949"/>
      <c r="O949"/>
      <c r="P949"/>
      <c r="Q949"/>
      <c r="R949"/>
      <c r="S949"/>
      <c r="T949"/>
      <c r="U949"/>
      <c r="AC949"/>
      <c r="AL949"/>
      <c r="CG949"/>
      <c r="CH949"/>
      <c r="CI949"/>
      <c r="CJ949"/>
      <c r="CP949"/>
      <c r="CQ949"/>
      <c r="CR949"/>
      <c r="CS949"/>
    </row>
    <row r="950" spans="12:97" ht="14.45" hidden="1" customHeight="1" x14ac:dyDescent="0.25">
      <c r="L950"/>
      <c r="M950"/>
      <c r="N950"/>
      <c r="O950"/>
      <c r="P950"/>
      <c r="Q950"/>
      <c r="R950"/>
      <c r="S950"/>
      <c r="T950"/>
      <c r="U950"/>
      <c r="AC950"/>
      <c r="AL950"/>
      <c r="CG950"/>
      <c r="CH950"/>
      <c r="CI950"/>
      <c r="CJ950"/>
      <c r="CP950"/>
      <c r="CQ950"/>
      <c r="CR950"/>
      <c r="CS950"/>
    </row>
    <row r="951" spans="12:97" ht="14.45" hidden="1" customHeight="1" x14ac:dyDescent="0.25">
      <c r="L951"/>
      <c r="M951"/>
      <c r="N951"/>
      <c r="O951"/>
      <c r="P951"/>
      <c r="Q951"/>
      <c r="R951"/>
      <c r="S951"/>
      <c r="T951"/>
      <c r="U951"/>
      <c r="AC951"/>
      <c r="AL951"/>
      <c r="CG951"/>
      <c r="CH951"/>
      <c r="CI951"/>
      <c r="CJ951"/>
      <c r="CP951"/>
      <c r="CQ951"/>
      <c r="CR951"/>
      <c r="CS951"/>
    </row>
    <row r="952" spans="12:97" ht="14.45" hidden="1" customHeight="1" x14ac:dyDescent="0.25">
      <c r="L952"/>
      <c r="M952"/>
      <c r="N952"/>
      <c r="O952"/>
      <c r="P952"/>
      <c r="Q952"/>
      <c r="R952"/>
      <c r="S952"/>
      <c r="T952"/>
      <c r="U952"/>
      <c r="AC952"/>
      <c r="AL952"/>
      <c r="CG952"/>
      <c r="CH952"/>
      <c r="CI952"/>
      <c r="CJ952"/>
      <c r="CP952"/>
      <c r="CQ952"/>
      <c r="CR952"/>
      <c r="CS952"/>
    </row>
    <row r="953" spans="12:97" ht="14.45" hidden="1" customHeight="1" x14ac:dyDescent="0.25">
      <c r="L953"/>
      <c r="M953"/>
      <c r="N953"/>
      <c r="O953"/>
      <c r="P953"/>
      <c r="Q953"/>
      <c r="R953"/>
      <c r="S953"/>
      <c r="T953"/>
      <c r="U953"/>
      <c r="AC953"/>
      <c r="AL953"/>
      <c r="CG953"/>
      <c r="CH953"/>
      <c r="CI953"/>
      <c r="CJ953"/>
      <c r="CP953"/>
      <c r="CQ953"/>
      <c r="CR953"/>
      <c r="CS953"/>
    </row>
    <row r="954" spans="12:97" ht="14.45" hidden="1" customHeight="1" x14ac:dyDescent="0.25">
      <c r="L954"/>
      <c r="M954"/>
      <c r="N954"/>
      <c r="O954"/>
      <c r="P954"/>
      <c r="Q954"/>
      <c r="R954"/>
      <c r="S954"/>
      <c r="T954"/>
      <c r="U954"/>
      <c r="AC954"/>
      <c r="AL954"/>
      <c r="CG954"/>
      <c r="CH954"/>
      <c r="CI954"/>
      <c r="CJ954"/>
      <c r="CP954"/>
      <c r="CQ954"/>
      <c r="CR954"/>
      <c r="CS954"/>
    </row>
    <row r="955" spans="12:97" ht="14.45" hidden="1" customHeight="1" x14ac:dyDescent="0.25">
      <c r="L955"/>
      <c r="M955"/>
      <c r="N955"/>
      <c r="O955"/>
      <c r="P955"/>
      <c r="Q955"/>
      <c r="R955"/>
      <c r="S955"/>
      <c r="T955"/>
      <c r="U955"/>
      <c r="AC955"/>
      <c r="AL955"/>
      <c r="CG955"/>
      <c r="CH955"/>
      <c r="CI955"/>
      <c r="CJ955"/>
      <c r="CP955"/>
      <c r="CQ955"/>
      <c r="CR955"/>
      <c r="CS955"/>
    </row>
    <row r="956" spans="12:97" ht="14.45" hidden="1" customHeight="1" x14ac:dyDescent="0.25">
      <c r="L956"/>
      <c r="M956"/>
      <c r="N956"/>
      <c r="O956"/>
      <c r="P956"/>
      <c r="Q956"/>
      <c r="R956"/>
      <c r="S956"/>
      <c r="T956"/>
      <c r="U956"/>
      <c r="AC956"/>
      <c r="AL956"/>
      <c r="CG956"/>
      <c r="CH956"/>
      <c r="CI956"/>
      <c r="CJ956"/>
      <c r="CP956"/>
      <c r="CQ956"/>
      <c r="CR956"/>
      <c r="CS956"/>
    </row>
    <row r="957" spans="12:97" ht="14.45" hidden="1" customHeight="1" x14ac:dyDescent="0.25">
      <c r="L957"/>
      <c r="M957"/>
      <c r="N957"/>
      <c r="O957"/>
      <c r="P957"/>
      <c r="Q957"/>
      <c r="R957"/>
      <c r="S957"/>
      <c r="T957"/>
      <c r="U957"/>
      <c r="AC957"/>
      <c r="AL957"/>
      <c r="CG957"/>
      <c r="CH957"/>
      <c r="CI957"/>
      <c r="CJ957"/>
      <c r="CP957"/>
      <c r="CQ957"/>
      <c r="CR957"/>
      <c r="CS957"/>
    </row>
    <row r="958" spans="12:97" ht="14.45" hidden="1" customHeight="1" x14ac:dyDescent="0.25">
      <c r="L958"/>
      <c r="M958"/>
      <c r="N958"/>
      <c r="O958"/>
      <c r="P958"/>
      <c r="Q958"/>
      <c r="R958"/>
      <c r="S958"/>
      <c r="T958"/>
      <c r="U958"/>
      <c r="AC958"/>
      <c r="AL958"/>
      <c r="CG958"/>
      <c r="CH958"/>
      <c r="CI958"/>
      <c r="CJ958"/>
      <c r="CP958"/>
      <c r="CQ958"/>
      <c r="CR958"/>
      <c r="CS958"/>
    </row>
    <row r="959" spans="12:97" ht="14.45" hidden="1" customHeight="1" x14ac:dyDescent="0.25">
      <c r="L959"/>
      <c r="M959"/>
      <c r="N959"/>
      <c r="O959"/>
      <c r="P959"/>
      <c r="Q959"/>
      <c r="R959"/>
      <c r="S959"/>
      <c r="T959"/>
      <c r="U959"/>
      <c r="AC959"/>
      <c r="AL959"/>
      <c r="CG959"/>
      <c r="CH959"/>
      <c r="CI959"/>
      <c r="CJ959"/>
      <c r="CP959"/>
      <c r="CQ959"/>
      <c r="CR959"/>
      <c r="CS959"/>
    </row>
    <row r="960" spans="12:97" ht="14.45" hidden="1" customHeight="1" x14ac:dyDescent="0.25">
      <c r="L960"/>
      <c r="M960"/>
      <c r="N960"/>
      <c r="O960"/>
      <c r="P960"/>
      <c r="Q960"/>
      <c r="R960"/>
      <c r="S960"/>
      <c r="T960"/>
      <c r="U960"/>
      <c r="AC960"/>
      <c r="AL960"/>
      <c r="CG960"/>
      <c r="CH960"/>
      <c r="CI960"/>
      <c r="CJ960"/>
      <c r="CP960"/>
      <c r="CQ960"/>
      <c r="CR960"/>
      <c r="CS960"/>
    </row>
    <row r="961" spans="12:97" ht="14.45" hidden="1" customHeight="1" x14ac:dyDescent="0.25">
      <c r="L961"/>
      <c r="M961"/>
      <c r="N961"/>
      <c r="O961"/>
      <c r="P961"/>
      <c r="Q961"/>
      <c r="R961"/>
      <c r="S961"/>
      <c r="T961"/>
      <c r="U961"/>
      <c r="AC961"/>
      <c r="AL961"/>
      <c r="CG961"/>
      <c r="CH961"/>
      <c r="CI961"/>
      <c r="CJ961"/>
      <c r="CP961"/>
      <c r="CQ961"/>
      <c r="CR961"/>
      <c r="CS961"/>
    </row>
    <row r="962" spans="12:97" ht="14.45" hidden="1" customHeight="1" x14ac:dyDescent="0.25">
      <c r="L962"/>
      <c r="M962"/>
      <c r="N962"/>
      <c r="O962"/>
      <c r="P962"/>
      <c r="Q962"/>
      <c r="R962"/>
      <c r="S962"/>
      <c r="T962"/>
      <c r="U962"/>
      <c r="AC962"/>
      <c r="AL962"/>
      <c r="CG962"/>
      <c r="CH962"/>
      <c r="CI962"/>
      <c r="CJ962"/>
      <c r="CP962"/>
      <c r="CQ962"/>
      <c r="CR962"/>
      <c r="CS962"/>
    </row>
    <row r="963" spans="12:97" ht="14.45" hidden="1" customHeight="1" x14ac:dyDescent="0.25">
      <c r="L963"/>
      <c r="M963"/>
      <c r="N963"/>
      <c r="O963"/>
      <c r="P963"/>
      <c r="Q963"/>
      <c r="R963"/>
      <c r="S963"/>
      <c r="T963"/>
      <c r="U963"/>
      <c r="AC963"/>
      <c r="AL963"/>
      <c r="CG963"/>
      <c r="CH963"/>
      <c r="CI963"/>
      <c r="CJ963"/>
      <c r="CP963"/>
      <c r="CQ963"/>
      <c r="CR963"/>
      <c r="CS963"/>
    </row>
    <row r="964" spans="12:97" ht="14.45" hidden="1" customHeight="1" x14ac:dyDescent="0.25">
      <c r="L964"/>
      <c r="M964"/>
      <c r="N964"/>
      <c r="O964"/>
      <c r="P964"/>
      <c r="Q964"/>
      <c r="R964"/>
      <c r="S964"/>
      <c r="T964"/>
      <c r="U964"/>
      <c r="AC964"/>
      <c r="AL964"/>
      <c r="CG964"/>
      <c r="CH964"/>
      <c r="CI964"/>
      <c r="CJ964"/>
      <c r="CP964"/>
      <c r="CQ964"/>
      <c r="CR964"/>
      <c r="CS964"/>
    </row>
    <row r="965" spans="12:97" ht="14.45" hidden="1" customHeight="1" x14ac:dyDescent="0.25">
      <c r="L965"/>
      <c r="M965"/>
      <c r="N965"/>
      <c r="O965"/>
      <c r="P965"/>
      <c r="Q965"/>
      <c r="R965"/>
      <c r="S965"/>
      <c r="T965"/>
      <c r="U965"/>
      <c r="AC965"/>
      <c r="AL965"/>
      <c r="CG965"/>
      <c r="CH965"/>
      <c r="CI965"/>
      <c r="CJ965"/>
      <c r="CP965"/>
      <c r="CQ965"/>
      <c r="CR965"/>
      <c r="CS965"/>
    </row>
    <row r="966" spans="12:97" ht="14.45" hidden="1" customHeight="1" x14ac:dyDescent="0.25">
      <c r="L966"/>
      <c r="M966"/>
      <c r="N966"/>
      <c r="O966"/>
      <c r="P966"/>
      <c r="Q966"/>
      <c r="R966"/>
      <c r="S966"/>
      <c r="T966"/>
      <c r="U966"/>
      <c r="AC966"/>
      <c r="AL966"/>
      <c r="CG966"/>
      <c r="CH966"/>
      <c r="CI966"/>
      <c r="CJ966"/>
      <c r="CP966"/>
      <c r="CQ966"/>
      <c r="CR966"/>
      <c r="CS966"/>
    </row>
    <row r="967" spans="12:97" ht="14.45" hidden="1" customHeight="1" x14ac:dyDescent="0.25">
      <c r="L967"/>
      <c r="M967"/>
      <c r="N967"/>
      <c r="O967"/>
      <c r="P967"/>
      <c r="Q967"/>
      <c r="R967"/>
      <c r="S967"/>
      <c r="T967"/>
      <c r="U967"/>
      <c r="AC967"/>
      <c r="AL967"/>
      <c r="CG967"/>
      <c r="CH967"/>
      <c r="CI967"/>
      <c r="CJ967"/>
      <c r="CP967"/>
      <c r="CQ967"/>
      <c r="CR967"/>
      <c r="CS967"/>
    </row>
    <row r="968" spans="12:97" ht="14.45" hidden="1" customHeight="1" x14ac:dyDescent="0.25">
      <c r="L968"/>
      <c r="M968"/>
      <c r="N968"/>
      <c r="O968"/>
      <c r="P968"/>
      <c r="Q968"/>
      <c r="R968"/>
      <c r="S968"/>
      <c r="T968"/>
      <c r="U968"/>
      <c r="AC968"/>
      <c r="AL968"/>
      <c r="CG968"/>
      <c r="CH968"/>
      <c r="CI968"/>
      <c r="CJ968"/>
      <c r="CP968"/>
      <c r="CQ968"/>
      <c r="CR968"/>
      <c r="CS968"/>
    </row>
    <row r="969" spans="12:97" ht="14.45" hidden="1" customHeight="1" x14ac:dyDescent="0.25">
      <c r="L969"/>
      <c r="M969"/>
      <c r="N969"/>
      <c r="O969"/>
      <c r="P969"/>
      <c r="Q969"/>
      <c r="R969"/>
      <c r="S969"/>
      <c r="T969"/>
      <c r="U969"/>
      <c r="AC969"/>
      <c r="AL969"/>
      <c r="CG969"/>
      <c r="CH969"/>
      <c r="CI969"/>
      <c r="CJ969"/>
      <c r="CP969"/>
      <c r="CQ969"/>
      <c r="CR969"/>
      <c r="CS969"/>
    </row>
    <row r="970" spans="12:97" ht="14.45" hidden="1" customHeight="1" x14ac:dyDescent="0.25">
      <c r="L970"/>
      <c r="M970"/>
      <c r="N970"/>
      <c r="O970"/>
      <c r="P970"/>
      <c r="Q970"/>
      <c r="R970"/>
      <c r="S970"/>
      <c r="T970"/>
      <c r="U970"/>
      <c r="AC970"/>
      <c r="AL970"/>
      <c r="CG970"/>
      <c r="CH970"/>
      <c r="CI970"/>
      <c r="CJ970"/>
      <c r="CP970"/>
      <c r="CQ970"/>
      <c r="CR970"/>
      <c r="CS970"/>
    </row>
    <row r="971" spans="12:97" ht="14.45" hidden="1" customHeight="1" x14ac:dyDescent="0.25">
      <c r="L971"/>
      <c r="M971"/>
      <c r="N971"/>
      <c r="O971"/>
      <c r="P971"/>
      <c r="Q971"/>
      <c r="R971"/>
      <c r="S971"/>
      <c r="T971"/>
      <c r="U971"/>
      <c r="AC971"/>
      <c r="AL971"/>
      <c r="CG971"/>
      <c r="CH971"/>
      <c r="CI971"/>
      <c r="CJ971"/>
      <c r="CP971"/>
      <c r="CQ971"/>
      <c r="CR971"/>
      <c r="CS971"/>
    </row>
    <row r="972" spans="12:97" ht="14.45" hidden="1" customHeight="1" x14ac:dyDescent="0.25">
      <c r="L972"/>
      <c r="M972"/>
      <c r="N972"/>
      <c r="O972"/>
      <c r="P972"/>
      <c r="Q972"/>
      <c r="R972"/>
      <c r="S972"/>
      <c r="T972"/>
      <c r="U972"/>
      <c r="AC972"/>
      <c r="AL972"/>
      <c r="CG972"/>
      <c r="CH972"/>
      <c r="CI972"/>
      <c r="CJ972"/>
      <c r="CP972"/>
      <c r="CQ972"/>
      <c r="CR972"/>
      <c r="CS972"/>
    </row>
    <row r="973" spans="12:97" ht="14.45" hidden="1" customHeight="1" x14ac:dyDescent="0.25">
      <c r="L973"/>
      <c r="M973"/>
      <c r="N973"/>
      <c r="O973"/>
      <c r="P973"/>
      <c r="Q973"/>
      <c r="R973"/>
      <c r="S973"/>
      <c r="T973"/>
      <c r="U973"/>
      <c r="AC973"/>
      <c r="AL973"/>
      <c r="CG973"/>
      <c r="CH973"/>
      <c r="CI973"/>
      <c r="CJ973"/>
      <c r="CP973"/>
      <c r="CQ973"/>
      <c r="CR973"/>
      <c r="CS973"/>
    </row>
    <row r="974" spans="12:97" ht="14.45" hidden="1" customHeight="1" x14ac:dyDescent="0.25">
      <c r="L974"/>
      <c r="M974"/>
      <c r="N974"/>
      <c r="O974"/>
      <c r="P974"/>
      <c r="Q974"/>
      <c r="R974"/>
      <c r="S974"/>
      <c r="T974"/>
      <c r="U974"/>
      <c r="AC974"/>
      <c r="AL974"/>
      <c r="CG974"/>
      <c r="CH974"/>
      <c r="CI974"/>
      <c r="CJ974"/>
      <c r="CP974"/>
      <c r="CQ974"/>
      <c r="CR974"/>
      <c r="CS974"/>
    </row>
    <row r="975" spans="12:97" ht="14.45" hidden="1" customHeight="1" x14ac:dyDescent="0.25">
      <c r="L975"/>
      <c r="M975"/>
      <c r="N975"/>
      <c r="O975"/>
      <c r="P975"/>
      <c r="Q975"/>
      <c r="R975"/>
      <c r="S975"/>
      <c r="T975"/>
      <c r="U975"/>
      <c r="AC975"/>
      <c r="AL975"/>
      <c r="CG975"/>
      <c r="CH975"/>
      <c r="CI975"/>
      <c r="CJ975"/>
      <c r="CP975"/>
      <c r="CQ975"/>
      <c r="CR975"/>
      <c r="CS975"/>
    </row>
    <row r="976" spans="12:97" ht="14.45" hidden="1" customHeight="1" x14ac:dyDescent="0.25">
      <c r="L976"/>
      <c r="M976"/>
      <c r="N976"/>
      <c r="O976"/>
      <c r="P976"/>
      <c r="Q976"/>
      <c r="R976"/>
      <c r="S976"/>
      <c r="T976"/>
      <c r="U976"/>
      <c r="AC976"/>
      <c r="AL976"/>
      <c r="CG976"/>
      <c r="CH976"/>
      <c r="CI976"/>
      <c r="CJ976"/>
      <c r="CP976"/>
      <c r="CQ976"/>
      <c r="CR976"/>
      <c r="CS976"/>
    </row>
    <row r="977" spans="12:97" ht="14.45" hidden="1" customHeight="1" x14ac:dyDescent="0.25">
      <c r="L977"/>
      <c r="M977"/>
      <c r="N977"/>
      <c r="O977"/>
      <c r="P977"/>
      <c r="Q977"/>
      <c r="R977"/>
      <c r="S977"/>
      <c r="T977"/>
      <c r="U977"/>
      <c r="AC977"/>
      <c r="AL977"/>
      <c r="CG977"/>
      <c r="CH977"/>
      <c r="CI977"/>
      <c r="CJ977"/>
      <c r="CP977"/>
      <c r="CQ977"/>
      <c r="CR977"/>
      <c r="CS977"/>
    </row>
    <row r="978" spans="12:97" ht="14.45" hidden="1" customHeight="1" x14ac:dyDescent="0.25">
      <c r="L978"/>
      <c r="M978"/>
      <c r="N978"/>
      <c r="O978"/>
      <c r="P978"/>
      <c r="Q978"/>
      <c r="R978"/>
      <c r="S978"/>
      <c r="T978"/>
      <c r="U978"/>
      <c r="AC978"/>
      <c r="AL978"/>
      <c r="CG978"/>
      <c r="CH978"/>
      <c r="CI978"/>
      <c r="CJ978"/>
      <c r="CP978"/>
      <c r="CQ978"/>
      <c r="CR978"/>
      <c r="CS978"/>
    </row>
    <row r="979" spans="12:97" ht="14.45" hidden="1" customHeight="1" x14ac:dyDescent="0.25">
      <c r="L979"/>
      <c r="M979"/>
      <c r="N979"/>
      <c r="O979"/>
      <c r="P979"/>
      <c r="Q979"/>
      <c r="R979"/>
      <c r="S979"/>
      <c r="T979"/>
      <c r="U979"/>
      <c r="AC979"/>
      <c r="AL979"/>
      <c r="CG979"/>
      <c r="CH979"/>
      <c r="CI979"/>
      <c r="CJ979"/>
      <c r="CP979"/>
      <c r="CQ979"/>
      <c r="CR979"/>
      <c r="CS979"/>
    </row>
    <row r="980" spans="12:97" ht="14.45" hidden="1" customHeight="1" x14ac:dyDescent="0.25">
      <c r="L980"/>
      <c r="M980"/>
      <c r="N980"/>
      <c r="O980"/>
      <c r="P980"/>
      <c r="Q980"/>
      <c r="R980"/>
      <c r="S980"/>
      <c r="T980"/>
      <c r="U980"/>
      <c r="AC980"/>
      <c r="AL980"/>
      <c r="CG980"/>
      <c r="CH980"/>
      <c r="CI980"/>
      <c r="CJ980"/>
      <c r="CP980"/>
      <c r="CQ980"/>
      <c r="CR980"/>
      <c r="CS980"/>
    </row>
    <row r="981" spans="12:97" ht="14.45" hidden="1" customHeight="1" x14ac:dyDescent="0.25">
      <c r="L981"/>
      <c r="M981"/>
      <c r="N981"/>
      <c r="O981"/>
      <c r="P981"/>
      <c r="Q981"/>
      <c r="R981"/>
      <c r="S981"/>
      <c r="T981"/>
      <c r="U981"/>
      <c r="AC981"/>
      <c r="AL981"/>
      <c r="CG981"/>
      <c r="CH981"/>
      <c r="CI981"/>
      <c r="CJ981"/>
      <c r="CP981"/>
      <c r="CQ981"/>
      <c r="CR981"/>
      <c r="CS981"/>
    </row>
    <row r="982" spans="12:97" ht="14.45" hidden="1" customHeight="1" x14ac:dyDescent="0.25">
      <c r="L982"/>
      <c r="M982"/>
      <c r="N982"/>
      <c r="O982"/>
      <c r="P982"/>
      <c r="Q982"/>
      <c r="R982"/>
      <c r="S982"/>
      <c r="T982"/>
      <c r="U982"/>
      <c r="AC982"/>
      <c r="AL982"/>
      <c r="CG982"/>
      <c r="CH982"/>
      <c r="CI982"/>
      <c r="CJ982"/>
      <c r="CP982"/>
      <c r="CQ982"/>
      <c r="CR982"/>
      <c r="CS982"/>
    </row>
    <row r="983" spans="12:97" ht="14.45" hidden="1" customHeight="1" x14ac:dyDescent="0.25">
      <c r="L983"/>
      <c r="M983"/>
      <c r="N983"/>
      <c r="O983"/>
      <c r="P983"/>
      <c r="Q983"/>
      <c r="R983"/>
      <c r="S983"/>
      <c r="T983"/>
      <c r="U983"/>
      <c r="AC983"/>
      <c r="AL983"/>
      <c r="CG983"/>
      <c r="CH983"/>
      <c r="CI983"/>
      <c r="CJ983"/>
      <c r="CP983"/>
      <c r="CQ983"/>
      <c r="CR983"/>
      <c r="CS983"/>
    </row>
    <row r="984" spans="12:97" ht="14.45" hidden="1" customHeight="1" x14ac:dyDescent="0.25">
      <c r="L984"/>
      <c r="M984"/>
      <c r="N984"/>
      <c r="O984"/>
      <c r="P984"/>
      <c r="Q984"/>
      <c r="R984"/>
      <c r="S984"/>
      <c r="T984"/>
      <c r="U984"/>
      <c r="AC984"/>
      <c r="AL984"/>
      <c r="CG984"/>
      <c r="CH984"/>
      <c r="CI984"/>
      <c r="CJ984"/>
      <c r="CP984"/>
      <c r="CQ984"/>
      <c r="CR984"/>
      <c r="CS984"/>
    </row>
    <row r="985" spans="12:97" ht="14.45" hidden="1" customHeight="1" x14ac:dyDescent="0.25">
      <c r="L985"/>
      <c r="M985"/>
      <c r="N985"/>
      <c r="O985"/>
      <c r="P985"/>
      <c r="Q985"/>
      <c r="R985"/>
      <c r="S985"/>
      <c r="T985"/>
      <c r="U985"/>
      <c r="AC985"/>
      <c r="AL985"/>
      <c r="CG985"/>
      <c r="CH985"/>
      <c r="CI985"/>
      <c r="CJ985"/>
      <c r="CP985"/>
      <c r="CQ985"/>
      <c r="CR985"/>
      <c r="CS985"/>
    </row>
    <row r="986" spans="12:97" ht="14.45" hidden="1" customHeight="1" x14ac:dyDescent="0.25">
      <c r="L986"/>
      <c r="M986"/>
      <c r="N986"/>
      <c r="O986"/>
      <c r="P986"/>
      <c r="Q986"/>
      <c r="R986"/>
      <c r="S986"/>
      <c r="T986"/>
      <c r="U986"/>
      <c r="AC986"/>
      <c r="AL986"/>
      <c r="CG986"/>
      <c r="CH986"/>
      <c r="CI986"/>
      <c r="CJ986"/>
      <c r="CP986"/>
      <c r="CQ986"/>
      <c r="CR986"/>
      <c r="CS986"/>
    </row>
    <row r="987" spans="12:97" ht="14.45" hidden="1" customHeight="1" x14ac:dyDescent="0.25">
      <c r="L987"/>
      <c r="M987"/>
      <c r="N987"/>
      <c r="O987"/>
      <c r="P987"/>
      <c r="Q987"/>
      <c r="R987"/>
      <c r="S987"/>
      <c r="T987"/>
      <c r="U987"/>
      <c r="AC987"/>
      <c r="AL987"/>
      <c r="CG987"/>
      <c r="CH987"/>
      <c r="CI987"/>
      <c r="CJ987"/>
      <c r="CP987"/>
      <c r="CQ987"/>
      <c r="CR987"/>
      <c r="CS987"/>
    </row>
    <row r="988" spans="12:97" ht="14.45" hidden="1" customHeight="1" x14ac:dyDescent="0.25">
      <c r="L988"/>
      <c r="M988"/>
      <c r="N988"/>
      <c r="O988"/>
      <c r="P988"/>
      <c r="Q988"/>
      <c r="R988"/>
      <c r="S988"/>
      <c r="T988"/>
      <c r="U988"/>
      <c r="AC988"/>
      <c r="AL988"/>
      <c r="CG988"/>
      <c r="CH988"/>
      <c r="CI988"/>
      <c r="CJ988"/>
      <c r="CP988"/>
      <c r="CQ988"/>
      <c r="CR988"/>
      <c r="CS988"/>
    </row>
    <row r="989" spans="12:97" ht="14.45" hidden="1" customHeight="1" x14ac:dyDescent="0.25">
      <c r="L989"/>
      <c r="M989"/>
      <c r="N989"/>
      <c r="O989"/>
      <c r="P989"/>
      <c r="Q989"/>
      <c r="R989"/>
      <c r="S989"/>
      <c r="T989"/>
      <c r="U989"/>
      <c r="AC989"/>
      <c r="AL989"/>
      <c r="CG989"/>
      <c r="CH989"/>
      <c r="CI989"/>
      <c r="CJ989"/>
      <c r="CP989"/>
      <c r="CQ989"/>
      <c r="CR989"/>
      <c r="CS989"/>
    </row>
    <row r="990" spans="12:97" ht="14.45" hidden="1" customHeight="1" x14ac:dyDescent="0.25">
      <c r="L990"/>
      <c r="M990"/>
      <c r="N990"/>
      <c r="O990"/>
      <c r="P990"/>
      <c r="Q990"/>
      <c r="R990"/>
      <c r="S990"/>
      <c r="T990"/>
      <c r="U990"/>
      <c r="AC990"/>
      <c r="AL990"/>
      <c r="CG990"/>
      <c r="CH990"/>
      <c r="CI990"/>
      <c r="CJ990"/>
      <c r="CP990"/>
      <c r="CQ990"/>
      <c r="CR990"/>
      <c r="CS990"/>
    </row>
    <row r="991" spans="12:97" ht="14.45" hidden="1" customHeight="1" x14ac:dyDescent="0.25">
      <c r="L991"/>
      <c r="M991"/>
      <c r="N991"/>
      <c r="O991"/>
      <c r="P991"/>
      <c r="Q991"/>
      <c r="R991"/>
      <c r="S991"/>
      <c r="T991"/>
      <c r="U991"/>
      <c r="AC991"/>
      <c r="AL991"/>
      <c r="CG991"/>
      <c r="CH991"/>
      <c r="CI991"/>
      <c r="CJ991"/>
      <c r="CP991"/>
      <c r="CQ991"/>
      <c r="CR991"/>
      <c r="CS991"/>
    </row>
    <row r="992" spans="12:97" ht="14.45" hidden="1" customHeight="1" x14ac:dyDescent="0.25">
      <c r="L992"/>
      <c r="M992"/>
      <c r="N992"/>
      <c r="O992"/>
      <c r="P992"/>
      <c r="Q992"/>
      <c r="R992"/>
      <c r="S992"/>
      <c r="T992"/>
      <c r="U992"/>
      <c r="AC992"/>
      <c r="AL992"/>
      <c r="CG992"/>
      <c r="CH992"/>
      <c r="CI992"/>
      <c r="CJ992"/>
      <c r="CP992"/>
      <c r="CQ992"/>
      <c r="CR992"/>
      <c r="CS992"/>
    </row>
    <row r="993" spans="12:97" ht="14.45" hidden="1" customHeight="1" x14ac:dyDescent="0.25">
      <c r="L993"/>
      <c r="M993"/>
      <c r="N993"/>
      <c r="O993"/>
      <c r="P993"/>
      <c r="Q993"/>
      <c r="R993"/>
      <c r="S993"/>
      <c r="T993"/>
      <c r="U993"/>
      <c r="AC993"/>
      <c r="AL993"/>
      <c r="CG993"/>
      <c r="CH993"/>
      <c r="CI993"/>
      <c r="CJ993"/>
      <c r="CP993"/>
      <c r="CQ993"/>
      <c r="CR993"/>
      <c r="CS993"/>
    </row>
    <row r="994" spans="12:97" ht="14.45" hidden="1" customHeight="1" x14ac:dyDescent="0.25">
      <c r="L994"/>
      <c r="M994"/>
      <c r="N994"/>
      <c r="O994"/>
      <c r="P994"/>
      <c r="Q994"/>
      <c r="R994"/>
      <c r="S994"/>
      <c r="T994"/>
      <c r="U994"/>
      <c r="AC994"/>
      <c r="AL994"/>
      <c r="CG994"/>
      <c r="CH994"/>
      <c r="CI994"/>
      <c r="CJ994"/>
      <c r="CP994"/>
      <c r="CQ994"/>
      <c r="CR994"/>
      <c r="CS994"/>
    </row>
    <row r="995" spans="12:97" ht="14.45" hidden="1" customHeight="1" x14ac:dyDescent="0.25">
      <c r="L995"/>
      <c r="M995"/>
      <c r="N995"/>
      <c r="O995"/>
      <c r="P995"/>
      <c r="Q995"/>
      <c r="R995"/>
      <c r="S995"/>
      <c r="T995"/>
      <c r="U995"/>
      <c r="AC995"/>
      <c r="AL995"/>
      <c r="CG995"/>
      <c r="CH995"/>
      <c r="CI995"/>
      <c r="CJ995"/>
      <c r="CP995"/>
      <c r="CQ995"/>
      <c r="CR995"/>
      <c r="CS995"/>
    </row>
    <row r="996" spans="12:97" ht="14.45" hidden="1" customHeight="1" x14ac:dyDescent="0.25">
      <c r="L996"/>
      <c r="M996"/>
      <c r="N996"/>
      <c r="O996"/>
      <c r="P996"/>
      <c r="Q996"/>
      <c r="R996"/>
      <c r="S996"/>
      <c r="T996"/>
      <c r="U996"/>
      <c r="AC996"/>
      <c r="AL996"/>
      <c r="CG996"/>
      <c r="CH996"/>
      <c r="CI996"/>
      <c r="CJ996"/>
      <c r="CP996"/>
      <c r="CQ996"/>
      <c r="CR996"/>
      <c r="CS996"/>
    </row>
    <row r="997" spans="12:97" ht="14.45" hidden="1" customHeight="1" x14ac:dyDescent="0.25">
      <c r="L997"/>
      <c r="M997"/>
      <c r="N997"/>
      <c r="O997"/>
      <c r="P997"/>
      <c r="Q997"/>
      <c r="R997"/>
      <c r="S997"/>
      <c r="T997"/>
      <c r="U997"/>
      <c r="AC997"/>
      <c r="AL997"/>
      <c r="CG997"/>
      <c r="CH997"/>
      <c r="CI997"/>
      <c r="CJ997"/>
      <c r="CP997"/>
      <c r="CQ997"/>
      <c r="CR997"/>
      <c r="CS997"/>
    </row>
    <row r="998" spans="12:97" ht="14.45" hidden="1" customHeight="1" x14ac:dyDescent="0.25">
      <c r="L998"/>
      <c r="M998"/>
      <c r="N998"/>
      <c r="O998"/>
      <c r="P998"/>
      <c r="Q998"/>
      <c r="R998"/>
      <c r="S998"/>
      <c r="T998"/>
      <c r="U998"/>
      <c r="AC998"/>
      <c r="AL998"/>
      <c r="CG998"/>
      <c r="CH998"/>
      <c r="CI998"/>
      <c r="CJ998"/>
      <c r="CP998"/>
      <c r="CQ998"/>
      <c r="CR998"/>
      <c r="CS998"/>
    </row>
    <row r="999" spans="12:97" ht="14.45" hidden="1" customHeight="1" x14ac:dyDescent="0.25">
      <c r="L999"/>
      <c r="M999"/>
      <c r="N999"/>
      <c r="O999"/>
      <c r="P999"/>
      <c r="Q999"/>
      <c r="R999"/>
      <c r="S999"/>
      <c r="T999"/>
      <c r="U999"/>
      <c r="AC999"/>
      <c r="AL999"/>
      <c r="CG999"/>
      <c r="CH999"/>
      <c r="CI999"/>
      <c r="CJ999"/>
      <c r="CP999"/>
      <c r="CQ999"/>
      <c r="CR999"/>
      <c r="CS999"/>
    </row>
    <row r="1000" spans="12:97" ht="14.45" hidden="1" customHeight="1" x14ac:dyDescent="0.25">
      <c r="L1000"/>
      <c r="M1000"/>
      <c r="N1000"/>
      <c r="O1000"/>
      <c r="P1000"/>
      <c r="Q1000"/>
      <c r="R1000"/>
      <c r="S1000"/>
      <c r="T1000"/>
      <c r="U1000"/>
      <c r="AC1000"/>
      <c r="AL1000"/>
      <c r="CG1000"/>
      <c r="CH1000"/>
      <c r="CI1000"/>
      <c r="CJ1000"/>
      <c r="CP1000"/>
      <c r="CQ1000"/>
      <c r="CR1000"/>
      <c r="CS1000"/>
    </row>
    <row r="1001" spans="12:97" ht="14.45" hidden="1" customHeight="1" x14ac:dyDescent="0.25">
      <c r="L1001"/>
      <c r="M1001"/>
      <c r="N1001"/>
      <c r="O1001"/>
      <c r="P1001"/>
      <c r="Q1001"/>
      <c r="R1001"/>
      <c r="S1001"/>
      <c r="T1001"/>
      <c r="U1001"/>
      <c r="AC1001"/>
      <c r="AL1001"/>
      <c r="CG1001"/>
      <c r="CH1001"/>
      <c r="CI1001"/>
      <c r="CJ1001"/>
      <c r="CP1001"/>
      <c r="CQ1001"/>
      <c r="CR1001"/>
      <c r="CS1001"/>
    </row>
    <row r="1002" spans="12:97" ht="14.45" hidden="1" customHeight="1" x14ac:dyDescent="0.25">
      <c r="L1002"/>
      <c r="M1002"/>
      <c r="N1002"/>
      <c r="O1002"/>
      <c r="P1002"/>
      <c r="Q1002"/>
      <c r="R1002"/>
      <c r="S1002"/>
      <c r="T1002"/>
      <c r="U1002"/>
      <c r="AC1002"/>
      <c r="AL1002"/>
      <c r="CG1002"/>
      <c r="CH1002"/>
      <c r="CI1002"/>
      <c r="CJ1002"/>
      <c r="CP1002"/>
      <c r="CQ1002"/>
      <c r="CR1002"/>
      <c r="CS1002"/>
    </row>
    <row r="1003" spans="12:97" ht="14.45" hidden="1" customHeight="1" x14ac:dyDescent="0.25">
      <c r="L1003"/>
      <c r="M1003"/>
      <c r="N1003"/>
      <c r="O1003"/>
      <c r="P1003"/>
      <c r="Q1003"/>
      <c r="R1003"/>
      <c r="S1003"/>
      <c r="T1003"/>
      <c r="U1003"/>
      <c r="AC1003"/>
      <c r="AL1003"/>
      <c r="CG1003"/>
      <c r="CH1003"/>
      <c r="CI1003"/>
      <c r="CJ1003"/>
      <c r="CP1003"/>
      <c r="CQ1003"/>
      <c r="CR1003"/>
      <c r="CS1003"/>
    </row>
    <row r="1004" spans="12:97" ht="14.45" hidden="1" customHeight="1" x14ac:dyDescent="0.25">
      <c r="L1004"/>
      <c r="M1004"/>
      <c r="N1004"/>
      <c r="O1004"/>
      <c r="P1004"/>
      <c r="Q1004"/>
      <c r="R1004"/>
      <c r="S1004"/>
      <c r="T1004"/>
      <c r="U1004"/>
      <c r="AC1004"/>
      <c r="AL1004"/>
      <c r="CG1004"/>
      <c r="CH1004"/>
      <c r="CI1004"/>
      <c r="CJ1004"/>
      <c r="CP1004"/>
      <c r="CQ1004"/>
      <c r="CR1004"/>
      <c r="CS1004"/>
    </row>
    <row r="1005" spans="12:97" ht="14.45" hidden="1" customHeight="1" x14ac:dyDescent="0.25">
      <c r="L1005"/>
      <c r="M1005"/>
      <c r="N1005"/>
      <c r="O1005"/>
      <c r="P1005"/>
      <c r="Q1005"/>
      <c r="R1005"/>
      <c r="S1005"/>
      <c r="T1005"/>
      <c r="U1005"/>
      <c r="AC1005"/>
      <c r="AL1005"/>
      <c r="CG1005"/>
      <c r="CH1005"/>
      <c r="CI1005"/>
      <c r="CJ1005"/>
      <c r="CP1005"/>
      <c r="CQ1005"/>
      <c r="CR1005"/>
      <c r="CS1005"/>
    </row>
    <row r="1006" spans="12:97" ht="14.45" hidden="1" customHeight="1" x14ac:dyDescent="0.25">
      <c r="L1006"/>
      <c r="M1006"/>
      <c r="N1006"/>
      <c r="O1006"/>
      <c r="P1006"/>
      <c r="Q1006"/>
      <c r="R1006"/>
      <c r="S1006"/>
      <c r="T1006"/>
      <c r="U1006"/>
      <c r="AC1006"/>
      <c r="AL1006"/>
      <c r="CG1006"/>
      <c r="CH1006"/>
      <c r="CI1006"/>
      <c r="CJ1006"/>
      <c r="CP1006"/>
      <c r="CQ1006"/>
      <c r="CR1006"/>
      <c r="CS1006"/>
    </row>
    <row r="1007" spans="12:97" ht="14.45" hidden="1" customHeight="1" x14ac:dyDescent="0.25">
      <c r="L1007"/>
      <c r="M1007"/>
      <c r="N1007"/>
      <c r="O1007"/>
      <c r="P1007"/>
      <c r="Q1007"/>
      <c r="R1007"/>
      <c r="S1007"/>
      <c r="T1007"/>
      <c r="U1007"/>
      <c r="AC1007"/>
      <c r="AL1007"/>
      <c r="CG1007"/>
      <c r="CH1007"/>
      <c r="CI1007"/>
      <c r="CJ1007"/>
      <c r="CP1007"/>
      <c r="CQ1007"/>
      <c r="CR1007"/>
      <c r="CS1007"/>
    </row>
    <row r="1008" spans="12:97" ht="14.45" hidden="1" customHeight="1" x14ac:dyDescent="0.25">
      <c r="L1008"/>
      <c r="M1008"/>
      <c r="N1008"/>
      <c r="O1008"/>
      <c r="P1008"/>
      <c r="Q1008"/>
      <c r="R1008"/>
      <c r="S1008"/>
      <c r="T1008"/>
      <c r="U1008"/>
      <c r="AC1008"/>
      <c r="AL1008"/>
      <c r="CG1008"/>
      <c r="CH1008"/>
      <c r="CI1008"/>
      <c r="CJ1008"/>
      <c r="CP1008"/>
      <c r="CQ1008"/>
      <c r="CR1008"/>
      <c r="CS1008"/>
    </row>
    <row r="1009" spans="12:97" ht="14.45" hidden="1" customHeight="1" x14ac:dyDescent="0.25">
      <c r="L1009"/>
      <c r="M1009"/>
      <c r="N1009"/>
      <c r="O1009"/>
      <c r="P1009"/>
      <c r="Q1009"/>
      <c r="R1009"/>
      <c r="S1009"/>
      <c r="T1009"/>
      <c r="U1009"/>
      <c r="AC1009"/>
      <c r="AL1009"/>
      <c r="CG1009"/>
      <c r="CH1009"/>
      <c r="CI1009"/>
      <c r="CJ1009"/>
      <c r="CP1009"/>
      <c r="CQ1009"/>
      <c r="CR1009"/>
      <c r="CS1009"/>
    </row>
    <row r="1010" spans="12:97" ht="14.45" hidden="1" customHeight="1" x14ac:dyDescent="0.25">
      <c r="L1010"/>
      <c r="M1010"/>
      <c r="N1010"/>
      <c r="O1010"/>
      <c r="P1010"/>
      <c r="Q1010"/>
      <c r="R1010"/>
      <c r="S1010"/>
      <c r="T1010"/>
      <c r="U1010"/>
      <c r="AC1010"/>
      <c r="AL1010"/>
      <c r="CG1010"/>
      <c r="CH1010"/>
      <c r="CI1010"/>
      <c r="CJ1010"/>
      <c r="CP1010"/>
      <c r="CQ1010"/>
      <c r="CR1010"/>
      <c r="CS1010"/>
    </row>
    <row r="1011" spans="12:97" ht="14.45" hidden="1" customHeight="1" x14ac:dyDescent="0.25">
      <c r="L1011"/>
      <c r="M1011"/>
      <c r="N1011"/>
      <c r="O1011"/>
      <c r="P1011"/>
      <c r="Q1011"/>
      <c r="R1011"/>
      <c r="S1011"/>
      <c r="T1011"/>
      <c r="U1011"/>
      <c r="AC1011"/>
      <c r="AL1011"/>
      <c r="CG1011"/>
      <c r="CH1011"/>
      <c r="CI1011"/>
      <c r="CJ1011"/>
      <c r="CP1011"/>
      <c r="CQ1011"/>
      <c r="CR1011"/>
      <c r="CS1011"/>
    </row>
    <row r="1012" spans="12:97" ht="14.45" hidden="1" customHeight="1" x14ac:dyDescent="0.25">
      <c r="L1012"/>
      <c r="M1012"/>
      <c r="N1012"/>
      <c r="O1012"/>
      <c r="P1012"/>
      <c r="Q1012"/>
      <c r="R1012"/>
      <c r="S1012"/>
      <c r="T1012"/>
      <c r="U1012"/>
      <c r="AC1012"/>
      <c r="AL1012"/>
      <c r="CG1012"/>
      <c r="CH1012"/>
      <c r="CI1012"/>
      <c r="CJ1012"/>
      <c r="CP1012"/>
      <c r="CQ1012"/>
      <c r="CR1012"/>
      <c r="CS1012"/>
    </row>
    <row r="1013" spans="12:97" ht="14.45" hidden="1" customHeight="1" x14ac:dyDescent="0.25">
      <c r="L1013"/>
      <c r="M1013"/>
      <c r="N1013"/>
      <c r="O1013"/>
      <c r="P1013"/>
      <c r="Q1013"/>
      <c r="R1013"/>
      <c r="S1013"/>
      <c r="T1013"/>
      <c r="U1013"/>
      <c r="AC1013"/>
      <c r="AL1013"/>
      <c r="CG1013"/>
      <c r="CH1013"/>
      <c r="CI1013"/>
      <c r="CJ1013"/>
      <c r="CP1013"/>
      <c r="CQ1013"/>
      <c r="CR1013"/>
      <c r="CS1013"/>
    </row>
    <row r="1014" spans="12:97" ht="14.45" hidden="1" customHeight="1" x14ac:dyDescent="0.25">
      <c r="L1014"/>
      <c r="M1014"/>
      <c r="N1014"/>
      <c r="O1014"/>
      <c r="P1014"/>
      <c r="Q1014"/>
      <c r="R1014"/>
      <c r="S1014"/>
      <c r="T1014"/>
      <c r="U1014"/>
      <c r="AC1014"/>
      <c r="AL1014"/>
      <c r="CG1014"/>
      <c r="CH1014"/>
      <c r="CI1014"/>
      <c r="CJ1014"/>
      <c r="CP1014"/>
      <c r="CQ1014"/>
      <c r="CR1014"/>
      <c r="CS1014"/>
    </row>
    <row r="1015" spans="12:97" ht="14.45" hidden="1" customHeight="1" x14ac:dyDescent="0.25">
      <c r="L1015"/>
      <c r="M1015"/>
      <c r="N1015"/>
      <c r="O1015"/>
      <c r="P1015"/>
      <c r="Q1015"/>
      <c r="R1015"/>
      <c r="S1015"/>
      <c r="T1015"/>
      <c r="U1015"/>
      <c r="AC1015"/>
      <c r="AL1015"/>
      <c r="CG1015"/>
      <c r="CH1015"/>
      <c r="CI1015"/>
      <c r="CJ1015"/>
      <c r="CP1015"/>
      <c r="CQ1015"/>
      <c r="CR1015"/>
      <c r="CS1015"/>
    </row>
    <row r="1016" spans="12:97" ht="14.45" hidden="1" customHeight="1" x14ac:dyDescent="0.25">
      <c r="L1016"/>
      <c r="M1016"/>
      <c r="N1016"/>
      <c r="O1016"/>
      <c r="P1016"/>
      <c r="Q1016"/>
      <c r="R1016"/>
      <c r="S1016"/>
      <c r="T1016"/>
      <c r="U1016"/>
      <c r="AC1016"/>
      <c r="AL1016"/>
      <c r="CG1016"/>
      <c r="CH1016"/>
      <c r="CI1016"/>
      <c r="CJ1016"/>
      <c r="CP1016"/>
      <c r="CQ1016"/>
      <c r="CR1016"/>
      <c r="CS1016"/>
    </row>
    <row r="1017" spans="12:97" ht="14.45" hidden="1" customHeight="1" x14ac:dyDescent="0.25">
      <c r="L1017"/>
      <c r="M1017"/>
      <c r="N1017"/>
      <c r="O1017"/>
      <c r="P1017"/>
      <c r="Q1017"/>
      <c r="R1017"/>
      <c r="S1017"/>
      <c r="T1017"/>
      <c r="U1017"/>
      <c r="AC1017"/>
      <c r="AL1017"/>
      <c r="CG1017"/>
      <c r="CH1017"/>
      <c r="CI1017"/>
      <c r="CJ1017"/>
      <c r="CP1017"/>
      <c r="CQ1017"/>
      <c r="CR1017"/>
      <c r="CS1017"/>
    </row>
    <row r="1018" spans="12:97" ht="14.45" hidden="1" customHeight="1" x14ac:dyDescent="0.25">
      <c r="L1018"/>
      <c r="M1018"/>
      <c r="N1018"/>
      <c r="O1018"/>
      <c r="P1018"/>
      <c r="Q1018"/>
      <c r="R1018"/>
      <c r="S1018"/>
      <c r="T1018"/>
      <c r="U1018"/>
      <c r="AC1018"/>
      <c r="AL1018"/>
      <c r="CG1018"/>
      <c r="CH1018"/>
      <c r="CI1018"/>
      <c r="CJ1018"/>
      <c r="CP1018"/>
      <c r="CQ1018"/>
      <c r="CR1018"/>
      <c r="CS1018"/>
    </row>
    <row r="1019" spans="12:97" ht="14.45" hidden="1" customHeight="1" x14ac:dyDescent="0.25">
      <c r="L1019"/>
      <c r="M1019"/>
      <c r="N1019"/>
      <c r="O1019"/>
      <c r="P1019"/>
      <c r="Q1019"/>
      <c r="R1019"/>
      <c r="S1019"/>
      <c r="T1019"/>
      <c r="U1019"/>
      <c r="AC1019"/>
      <c r="AL1019"/>
      <c r="CG1019"/>
      <c r="CH1019"/>
      <c r="CI1019"/>
      <c r="CJ1019"/>
      <c r="CP1019"/>
      <c r="CQ1019"/>
      <c r="CR1019"/>
      <c r="CS1019"/>
    </row>
    <row r="1020" spans="12:97" ht="14.45" hidden="1" customHeight="1" x14ac:dyDescent="0.25">
      <c r="L1020"/>
      <c r="M1020"/>
      <c r="N1020"/>
      <c r="O1020"/>
      <c r="P1020"/>
      <c r="Q1020"/>
      <c r="R1020"/>
      <c r="S1020"/>
      <c r="T1020"/>
      <c r="U1020"/>
      <c r="AC1020"/>
      <c r="AL1020"/>
      <c r="CG1020"/>
      <c r="CH1020"/>
      <c r="CI1020"/>
      <c r="CJ1020"/>
      <c r="CP1020"/>
      <c r="CQ1020"/>
      <c r="CR1020"/>
      <c r="CS1020"/>
    </row>
    <row r="1021" spans="12:97" ht="14.45" hidden="1" customHeight="1" x14ac:dyDescent="0.25">
      <c r="L1021"/>
      <c r="M1021"/>
      <c r="N1021"/>
      <c r="O1021"/>
      <c r="P1021"/>
      <c r="Q1021"/>
      <c r="R1021"/>
      <c r="S1021"/>
      <c r="T1021"/>
      <c r="U1021"/>
      <c r="AC1021"/>
      <c r="AL1021"/>
      <c r="CG1021"/>
      <c r="CH1021"/>
      <c r="CI1021"/>
      <c r="CJ1021"/>
      <c r="CP1021"/>
      <c r="CQ1021"/>
      <c r="CR1021"/>
      <c r="CS1021"/>
    </row>
    <row r="1022" spans="12:97" ht="14.45" hidden="1" customHeight="1" x14ac:dyDescent="0.25">
      <c r="L1022"/>
      <c r="M1022"/>
      <c r="N1022"/>
      <c r="O1022"/>
      <c r="P1022"/>
      <c r="Q1022"/>
      <c r="R1022"/>
      <c r="S1022"/>
      <c r="T1022"/>
      <c r="U1022"/>
      <c r="AC1022"/>
      <c r="AL1022"/>
      <c r="CG1022"/>
      <c r="CH1022"/>
      <c r="CI1022"/>
      <c r="CJ1022"/>
      <c r="CP1022"/>
      <c r="CQ1022"/>
      <c r="CR1022"/>
      <c r="CS1022"/>
    </row>
    <row r="1023" spans="12:97" ht="14.45" hidden="1" customHeight="1" x14ac:dyDescent="0.25">
      <c r="L1023"/>
      <c r="M1023"/>
      <c r="N1023"/>
      <c r="O1023"/>
      <c r="P1023"/>
      <c r="Q1023"/>
      <c r="R1023"/>
      <c r="S1023"/>
      <c r="T1023"/>
      <c r="U1023"/>
      <c r="AC1023"/>
      <c r="AL1023"/>
      <c r="CG1023"/>
      <c r="CH1023"/>
      <c r="CI1023"/>
      <c r="CJ1023"/>
      <c r="CP1023"/>
      <c r="CQ1023"/>
      <c r="CR1023"/>
      <c r="CS1023"/>
    </row>
    <row r="1024" spans="12:97" ht="14.45" hidden="1" customHeight="1" x14ac:dyDescent="0.25">
      <c r="L1024"/>
      <c r="M1024"/>
      <c r="N1024"/>
      <c r="O1024"/>
      <c r="P1024"/>
      <c r="Q1024"/>
      <c r="R1024"/>
      <c r="S1024"/>
      <c r="T1024"/>
      <c r="U1024"/>
      <c r="AC1024"/>
      <c r="AL1024"/>
      <c r="CG1024"/>
      <c r="CH1024"/>
      <c r="CI1024"/>
      <c r="CJ1024"/>
      <c r="CP1024"/>
      <c r="CQ1024"/>
      <c r="CR1024"/>
      <c r="CS1024"/>
    </row>
    <row r="1025" spans="12:97" ht="14.45" hidden="1" customHeight="1" x14ac:dyDescent="0.25">
      <c r="L1025"/>
      <c r="M1025"/>
      <c r="N1025"/>
      <c r="O1025"/>
      <c r="P1025"/>
      <c r="Q1025"/>
      <c r="R1025"/>
      <c r="S1025"/>
      <c r="T1025"/>
      <c r="U1025"/>
      <c r="AC1025"/>
      <c r="AL1025"/>
      <c r="CG1025"/>
      <c r="CH1025"/>
      <c r="CI1025"/>
      <c r="CJ1025"/>
      <c r="CP1025"/>
      <c r="CQ1025"/>
      <c r="CR1025"/>
      <c r="CS1025"/>
    </row>
    <row r="1026" spans="12:97" ht="14.45" hidden="1" customHeight="1" x14ac:dyDescent="0.25">
      <c r="L1026"/>
      <c r="M1026"/>
      <c r="N1026"/>
      <c r="O1026"/>
      <c r="P1026"/>
      <c r="Q1026"/>
      <c r="R1026"/>
      <c r="S1026"/>
      <c r="T1026"/>
      <c r="U1026"/>
      <c r="AC1026"/>
      <c r="AL1026"/>
      <c r="CG1026"/>
      <c r="CH1026"/>
      <c r="CI1026"/>
      <c r="CJ1026"/>
      <c r="CP1026"/>
      <c r="CQ1026"/>
      <c r="CR1026"/>
      <c r="CS1026"/>
    </row>
    <row r="1027" spans="12:97" ht="14.45" hidden="1" customHeight="1" x14ac:dyDescent="0.25">
      <c r="L1027"/>
      <c r="M1027"/>
      <c r="N1027"/>
      <c r="O1027"/>
      <c r="P1027"/>
      <c r="Q1027"/>
      <c r="R1027"/>
      <c r="S1027"/>
      <c r="T1027"/>
      <c r="U1027"/>
      <c r="AC1027"/>
      <c r="AL1027"/>
      <c r="CG1027"/>
      <c r="CH1027"/>
      <c r="CI1027"/>
      <c r="CJ1027"/>
      <c r="CP1027"/>
      <c r="CQ1027"/>
      <c r="CR1027"/>
      <c r="CS1027"/>
    </row>
    <row r="1028" spans="12:97" ht="14.45" hidden="1" customHeight="1" x14ac:dyDescent="0.25">
      <c r="L1028"/>
      <c r="M1028"/>
      <c r="N1028"/>
      <c r="O1028"/>
      <c r="P1028"/>
      <c r="Q1028"/>
      <c r="R1028"/>
      <c r="S1028"/>
      <c r="T1028"/>
      <c r="U1028"/>
      <c r="AC1028"/>
      <c r="AL1028"/>
      <c r="CG1028"/>
      <c r="CH1028"/>
      <c r="CI1028"/>
      <c r="CJ1028"/>
      <c r="CP1028"/>
      <c r="CQ1028"/>
      <c r="CR1028"/>
      <c r="CS1028"/>
    </row>
    <row r="1029" spans="12:97" ht="14.45" hidden="1" customHeight="1" x14ac:dyDescent="0.25">
      <c r="L1029"/>
      <c r="M1029"/>
      <c r="N1029"/>
      <c r="O1029"/>
      <c r="P1029"/>
      <c r="Q1029"/>
      <c r="R1029"/>
      <c r="S1029"/>
      <c r="T1029"/>
      <c r="U1029"/>
      <c r="AC1029"/>
      <c r="AL1029"/>
      <c r="CG1029"/>
      <c r="CH1029"/>
      <c r="CI1029"/>
      <c r="CJ1029"/>
      <c r="CP1029"/>
      <c r="CQ1029"/>
      <c r="CR1029"/>
      <c r="CS1029"/>
    </row>
    <row r="1030" spans="12:97" ht="14.45" hidden="1" customHeight="1" x14ac:dyDescent="0.25">
      <c r="L1030"/>
      <c r="M1030"/>
      <c r="N1030"/>
      <c r="O1030"/>
      <c r="P1030"/>
      <c r="Q1030"/>
      <c r="R1030"/>
      <c r="S1030"/>
      <c r="T1030"/>
      <c r="U1030"/>
      <c r="AC1030"/>
      <c r="AL1030"/>
      <c r="CG1030"/>
      <c r="CH1030"/>
      <c r="CI1030"/>
      <c r="CJ1030"/>
      <c r="CP1030"/>
      <c r="CQ1030"/>
      <c r="CR1030"/>
      <c r="CS1030"/>
    </row>
    <row r="1031" spans="12:97" ht="14.45" hidden="1" customHeight="1" x14ac:dyDescent="0.25">
      <c r="L1031"/>
      <c r="M1031"/>
      <c r="N1031"/>
      <c r="O1031"/>
      <c r="P1031"/>
      <c r="Q1031"/>
      <c r="R1031"/>
      <c r="S1031"/>
      <c r="T1031"/>
      <c r="U1031"/>
      <c r="AC1031"/>
      <c r="AL1031"/>
      <c r="CG1031"/>
      <c r="CH1031"/>
      <c r="CI1031"/>
      <c r="CJ1031"/>
      <c r="CP1031"/>
      <c r="CQ1031"/>
      <c r="CR1031"/>
      <c r="CS1031"/>
    </row>
    <row r="1032" spans="12:97" ht="14.45" hidden="1" customHeight="1" x14ac:dyDescent="0.25">
      <c r="L1032"/>
      <c r="M1032"/>
      <c r="N1032"/>
      <c r="O1032"/>
      <c r="P1032"/>
      <c r="Q1032"/>
      <c r="R1032"/>
      <c r="S1032"/>
      <c r="T1032"/>
      <c r="U1032"/>
      <c r="AC1032"/>
      <c r="AL1032"/>
      <c r="CG1032"/>
      <c r="CH1032"/>
      <c r="CI1032"/>
      <c r="CJ1032"/>
      <c r="CP1032"/>
      <c r="CQ1032"/>
      <c r="CR1032"/>
      <c r="CS1032"/>
    </row>
    <row r="1033" spans="12:97" ht="14.45" hidden="1" customHeight="1" x14ac:dyDescent="0.25">
      <c r="L1033"/>
      <c r="M1033"/>
      <c r="N1033"/>
      <c r="O1033"/>
      <c r="P1033"/>
      <c r="Q1033"/>
      <c r="R1033"/>
      <c r="S1033"/>
      <c r="T1033"/>
      <c r="U1033"/>
      <c r="AC1033"/>
      <c r="AL1033"/>
      <c r="CG1033"/>
      <c r="CH1033"/>
      <c r="CI1033"/>
      <c r="CJ1033"/>
      <c r="CP1033"/>
      <c r="CQ1033"/>
      <c r="CR1033"/>
      <c r="CS1033"/>
    </row>
    <row r="1034" spans="12:97" ht="14.45" hidden="1" customHeight="1" x14ac:dyDescent="0.25">
      <c r="L1034"/>
      <c r="M1034"/>
      <c r="N1034"/>
      <c r="O1034"/>
      <c r="P1034"/>
      <c r="Q1034"/>
      <c r="R1034"/>
      <c r="S1034"/>
      <c r="T1034"/>
      <c r="U1034"/>
      <c r="AC1034"/>
      <c r="AL1034"/>
      <c r="CG1034"/>
      <c r="CH1034"/>
      <c r="CI1034"/>
      <c r="CJ1034"/>
      <c r="CP1034"/>
      <c r="CQ1034"/>
      <c r="CR1034"/>
      <c r="CS1034"/>
    </row>
    <row r="1035" spans="12:97" ht="14.45" hidden="1" customHeight="1" x14ac:dyDescent="0.25">
      <c r="L1035"/>
      <c r="M1035"/>
      <c r="N1035"/>
      <c r="O1035"/>
      <c r="P1035"/>
      <c r="Q1035"/>
      <c r="R1035"/>
      <c r="S1035"/>
      <c r="T1035"/>
      <c r="U1035"/>
      <c r="AC1035"/>
      <c r="AL1035"/>
      <c r="CG1035"/>
      <c r="CH1035"/>
      <c r="CI1035"/>
      <c r="CJ1035"/>
      <c r="CP1035"/>
      <c r="CQ1035"/>
      <c r="CR1035"/>
      <c r="CS1035"/>
    </row>
    <row r="1036" spans="12:97" ht="14.45" hidden="1" customHeight="1" x14ac:dyDescent="0.25">
      <c r="L1036"/>
      <c r="M1036"/>
      <c r="N1036"/>
      <c r="O1036"/>
      <c r="P1036"/>
      <c r="Q1036"/>
      <c r="R1036"/>
      <c r="S1036"/>
      <c r="T1036"/>
      <c r="U1036"/>
      <c r="AC1036"/>
      <c r="AL1036"/>
      <c r="CG1036"/>
      <c r="CH1036"/>
      <c r="CI1036"/>
      <c r="CJ1036"/>
      <c r="CP1036"/>
      <c r="CQ1036"/>
      <c r="CR1036"/>
      <c r="CS1036"/>
    </row>
    <row r="1037" spans="12:97" ht="14.45" hidden="1" customHeight="1" x14ac:dyDescent="0.25">
      <c r="L1037"/>
      <c r="M1037"/>
      <c r="N1037"/>
      <c r="O1037"/>
      <c r="P1037"/>
      <c r="Q1037"/>
      <c r="R1037"/>
      <c r="S1037"/>
      <c r="T1037"/>
      <c r="U1037"/>
      <c r="AC1037"/>
      <c r="AL1037"/>
      <c r="CG1037"/>
      <c r="CH1037"/>
      <c r="CI1037"/>
      <c r="CJ1037"/>
      <c r="CP1037"/>
      <c r="CQ1037"/>
      <c r="CR1037"/>
      <c r="CS1037"/>
    </row>
    <row r="1038" spans="12:97" ht="14.45" hidden="1" customHeight="1" x14ac:dyDescent="0.25">
      <c r="L1038"/>
      <c r="M1038"/>
      <c r="N1038"/>
      <c r="O1038"/>
      <c r="P1038"/>
      <c r="Q1038"/>
      <c r="R1038"/>
      <c r="S1038"/>
      <c r="T1038"/>
      <c r="U1038"/>
      <c r="AC1038"/>
      <c r="AL1038"/>
      <c r="CG1038"/>
      <c r="CH1038"/>
      <c r="CI1038"/>
      <c r="CJ1038"/>
      <c r="CP1038"/>
      <c r="CQ1038"/>
      <c r="CR1038"/>
      <c r="CS1038"/>
    </row>
    <row r="1039" spans="12:97" ht="14.45" hidden="1" customHeight="1" x14ac:dyDescent="0.25">
      <c r="L1039"/>
      <c r="M1039"/>
      <c r="N1039"/>
      <c r="O1039"/>
      <c r="P1039"/>
      <c r="Q1039"/>
      <c r="R1039"/>
      <c r="S1039"/>
      <c r="T1039"/>
      <c r="U1039"/>
      <c r="AC1039"/>
      <c r="AL1039"/>
      <c r="CG1039"/>
      <c r="CH1039"/>
      <c r="CI1039"/>
      <c r="CJ1039"/>
      <c r="CP1039"/>
      <c r="CQ1039"/>
      <c r="CR1039"/>
      <c r="CS1039"/>
    </row>
    <row r="1040" spans="12:97" ht="14.45" hidden="1" customHeight="1" x14ac:dyDescent="0.25">
      <c r="L1040"/>
      <c r="M1040"/>
      <c r="N1040"/>
      <c r="O1040"/>
      <c r="P1040"/>
      <c r="Q1040"/>
      <c r="R1040"/>
      <c r="S1040"/>
      <c r="T1040"/>
      <c r="U1040"/>
      <c r="AC1040"/>
      <c r="AL1040"/>
      <c r="CG1040"/>
      <c r="CH1040"/>
      <c r="CI1040"/>
      <c r="CJ1040"/>
      <c r="CP1040"/>
      <c r="CQ1040"/>
      <c r="CR1040"/>
      <c r="CS1040"/>
    </row>
    <row r="1041" spans="12:97" ht="14.45" hidden="1" customHeight="1" x14ac:dyDescent="0.25">
      <c r="L1041"/>
      <c r="M1041"/>
      <c r="N1041"/>
      <c r="O1041"/>
      <c r="P1041"/>
      <c r="Q1041"/>
      <c r="R1041"/>
      <c r="S1041"/>
      <c r="T1041"/>
      <c r="U1041"/>
      <c r="AC1041"/>
      <c r="AL1041"/>
      <c r="CG1041"/>
      <c r="CH1041"/>
      <c r="CI1041"/>
      <c r="CJ1041"/>
      <c r="CP1041"/>
      <c r="CQ1041"/>
      <c r="CR1041"/>
      <c r="CS1041"/>
    </row>
    <row r="1042" spans="12:97" ht="14.45" hidden="1" customHeight="1" x14ac:dyDescent="0.25">
      <c r="L1042"/>
      <c r="M1042"/>
      <c r="N1042"/>
      <c r="O1042"/>
      <c r="P1042"/>
      <c r="Q1042"/>
      <c r="R1042"/>
      <c r="S1042"/>
      <c r="T1042"/>
      <c r="U1042"/>
      <c r="AC1042"/>
      <c r="AL1042"/>
      <c r="CG1042"/>
      <c r="CH1042"/>
      <c r="CI1042"/>
      <c r="CJ1042"/>
      <c r="CP1042"/>
      <c r="CQ1042"/>
      <c r="CR1042"/>
      <c r="CS1042"/>
    </row>
    <row r="1043" spans="12:97" ht="14.45" hidden="1" customHeight="1" x14ac:dyDescent="0.25">
      <c r="L1043"/>
      <c r="M1043"/>
      <c r="N1043"/>
      <c r="O1043"/>
      <c r="P1043"/>
      <c r="Q1043"/>
      <c r="R1043"/>
      <c r="S1043"/>
      <c r="T1043"/>
      <c r="U1043"/>
      <c r="AC1043"/>
      <c r="AL1043"/>
      <c r="CG1043"/>
      <c r="CH1043"/>
      <c r="CI1043"/>
      <c r="CJ1043"/>
      <c r="CP1043"/>
      <c r="CQ1043"/>
      <c r="CR1043"/>
      <c r="CS1043"/>
    </row>
    <row r="1044" spans="12:97" ht="14.45" hidden="1" customHeight="1" x14ac:dyDescent="0.25">
      <c r="L1044"/>
      <c r="M1044"/>
      <c r="N1044"/>
      <c r="O1044"/>
      <c r="P1044"/>
      <c r="Q1044"/>
      <c r="R1044"/>
      <c r="S1044"/>
      <c r="T1044"/>
      <c r="U1044"/>
      <c r="AC1044"/>
      <c r="AL1044"/>
      <c r="CG1044"/>
      <c r="CH1044"/>
      <c r="CI1044"/>
      <c r="CJ1044"/>
      <c r="CP1044"/>
      <c r="CQ1044"/>
      <c r="CR1044"/>
      <c r="CS1044"/>
    </row>
    <row r="1045" spans="12:97" ht="14.45" hidden="1" customHeight="1" x14ac:dyDescent="0.25">
      <c r="L1045"/>
      <c r="M1045"/>
      <c r="N1045"/>
      <c r="O1045"/>
      <c r="P1045"/>
      <c r="Q1045"/>
      <c r="R1045"/>
      <c r="S1045"/>
      <c r="T1045"/>
      <c r="U1045"/>
      <c r="AC1045"/>
      <c r="AL1045"/>
      <c r="CG1045"/>
      <c r="CH1045"/>
      <c r="CI1045"/>
      <c r="CJ1045"/>
      <c r="CP1045"/>
      <c r="CQ1045"/>
      <c r="CR1045"/>
      <c r="CS1045"/>
    </row>
    <row r="1046" spans="12:97" ht="14.45" hidden="1" customHeight="1" x14ac:dyDescent="0.25">
      <c r="L1046"/>
      <c r="M1046"/>
      <c r="N1046"/>
      <c r="O1046"/>
      <c r="P1046"/>
      <c r="Q1046"/>
      <c r="R1046"/>
      <c r="S1046"/>
      <c r="T1046"/>
      <c r="U1046"/>
      <c r="AC1046"/>
      <c r="AL1046"/>
      <c r="CG1046"/>
      <c r="CH1046"/>
      <c r="CI1046"/>
      <c r="CJ1046"/>
      <c r="CP1046"/>
      <c r="CQ1046"/>
      <c r="CR1046"/>
      <c r="CS1046"/>
    </row>
    <row r="1047" spans="12:97" ht="14.45" hidden="1" customHeight="1" x14ac:dyDescent="0.25">
      <c r="L1047"/>
      <c r="M1047"/>
      <c r="N1047"/>
      <c r="O1047"/>
      <c r="P1047"/>
      <c r="Q1047"/>
      <c r="R1047"/>
      <c r="S1047"/>
      <c r="T1047"/>
      <c r="U1047"/>
      <c r="AC1047"/>
      <c r="AL1047"/>
      <c r="CG1047"/>
      <c r="CH1047"/>
      <c r="CI1047"/>
      <c r="CJ1047"/>
      <c r="CP1047"/>
      <c r="CQ1047"/>
      <c r="CR1047"/>
      <c r="CS1047"/>
    </row>
    <row r="1048" spans="12:97" ht="14.45" hidden="1" customHeight="1" x14ac:dyDescent="0.25">
      <c r="L1048"/>
      <c r="M1048"/>
      <c r="N1048"/>
      <c r="O1048"/>
      <c r="P1048"/>
      <c r="Q1048"/>
      <c r="R1048"/>
      <c r="S1048"/>
      <c r="T1048"/>
      <c r="U1048"/>
      <c r="AC1048"/>
      <c r="AL1048"/>
      <c r="CG1048"/>
      <c r="CH1048"/>
      <c r="CI1048"/>
      <c r="CJ1048"/>
      <c r="CP1048"/>
      <c r="CQ1048"/>
      <c r="CR1048"/>
      <c r="CS1048"/>
    </row>
    <row r="1049" spans="12:97" ht="14.45" hidden="1" customHeight="1" x14ac:dyDescent="0.25">
      <c r="L1049"/>
      <c r="M1049"/>
      <c r="N1049"/>
      <c r="O1049"/>
      <c r="P1049"/>
      <c r="Q1049"/>
      <c r="R1049"/>
      <c r="S1049"/>
      <c r="T1049"/>
      <c r="U1049"/>
      <c r="AC1049"/>
      <c r="AL1049"/>
      <c r="CG1049"/>
      <c r="CH1049"/>
      <c r="CI1049"/>
      <c r="CJ1049"/>
      <c r="CP1049"/>
      <c r="CQ1049"/>
      <c r="CR1049"/>
      <c r="CS1049"/>
    </row>
    <row r="1050" spans="12:97" ht="14.45" hidden="1" customHeight="1" x14ac:dyDescent="0.25">
      <c r="L1050"/>
      <c r="M1050"/>
      <c r="N1050"/>
      <c r="O1050"/>
      <c r="P1050"/>
      <c r="Q1050"/>
      <c r="R1050"/>
      <c r="S1050"/>
      <c r="T1050"/>
      <c r="U1050"/>
      <c r="AC1050"/>
      <c r="AL1050"/>
      <c r="CG1050"/>
      <c r="CH1050"/>
      <c r="CI1050"/>
      <c r="CJ1050"/>
      <c r="CP1050"/>
      <c r="CQ1050"/>
      <c r="CR1050"/>
      <c r="CS1050"/>
    </row>
    <row r="1051" spans="12:97" ht="14.45" hidden="1" customHeight="1" x14ac:dyDescent="0.25">
      <c r="L1051"/>
      <c r="M1051"/>
      <c r="N1051"/>
      <c r="O1051"/>
      <c r="P1051"/>
      <c r="Q1051"/>
      <c r="R1051"/>
      <c r="S1051"/>
      <c r="T1051"/>
      <c r="U1051"/>
      <c r="AC1051"/>
      <c r="AL1051"/>
      <c r="CG1051"/>
      <c r="CH1051"/>
      <c r="CI1051"/>
      <c r="CJ1051"/>
      <c r="CP1051"/>
      <c r="CQ1051"/>
      <c r="CR1051"/>
      <c r="CS1051"/>
    </row>
    <row r="1052" spans="12:97" ht="14.45" hidden="1" customHeight="1" x14ac:dyDescent="0.25">
      <c r="L1052"/>
      <c r="M1052"/>
      <c r="N1052"/>
      <c r="O1052"/>
      <c r="P1052"/>
      <c r="Q1052"/>
      <c r="R1052"/>
      <c r="S1052"/>
      <c r="T1052"/>
      <c r="U1052"/>
      <c r="AC1052"/>
      <c r="AL1052"/>
      <c r="CG1052"/>
      <c r="CH1052"/>
      <c r="CI1052"/>
      <c r="CJ1052"/>
      <c r="CP1052"/>
      <c r="CQ1052"/>
      <c r="CR1052"/>
      <c r="CS1052"/>
    </row>
    <row r="1053" spans="12:97" ht="14.45" hidden="1" customHeight="1" x14ac:dyDescent="0.25">
      <c r="L1053"/>
      <c r="M1053"/>
      <c r="N1053"/>
      <c r="O1053"/>
      <c r="P1053"/>
      <c r="Q1053"/>
      <c r="R1053"/>
      <c r="S1053"/>
      <c r="T1053"/>
      <c r="U1053"/>
      <c r="AC1053"/>
      <c r="AL1053"/>
      <c r="CG1053"/>
      <c r="CH1053"/>
      <c r="CI1053"/>
      <c r="CJ1053"/>
      <c r="CP1053"/>
      <c r="CQ1053"/>
      <c r="CR1053"/>
      <c r="CS1053"/>
    </row>
    <row r="1054" spans="12:97" ht="14.45" hidden="1" customHeight="1" x14ac:dyDescent="0.25">
      <c r="L1054"/>
      <c r="M1054"/>
      <c r="N1054"/>
      <c r="O1054"/>
      <c r="P1054"/>
      <c r="Q1054"/>
      <c r="R1054"/>
      <c r="S1054"/>
      <c r="T1054"/>
      <c r="U1054"/>
      <c r="AC1054"/>
      <c r="AL1054"/>
      <c r="CG1054"/>
      <c r="CH1054"/>
      <c r="CI1054"/>
      <c r="CJ1054"/>
      <c r="CP1054"/>
      <c r="CQ1054"/>
      <c r="CR1054"/>
      <c r="CS1054"/>
    </row>
    <row r="1055" spans="12:97" ht="14.45" hidden="1" customHeight="1" x14ac:dyDescent="0.25">
      <c r="L1055"/>
      <c r="M1055"/>
      <c r="N1055"/>
      <c r="O1055"/>
      <c r="P1055"/>
      <c r="Q1055"/>
      <c r="R1055"/>
      <c r="S1055"/>
      <c r="T1055"/>
      <c r="U1055"/>
      <c r="AC1055"/>
      <c r="AL1055"/>
      <c r="CG1055"/>
      <c r="CH1055"/>
      <c r="CI1055"/>
      <c r="CJ1055"/>
      <c r="CP1055"/>
      <c r="CQ1055"/>
      <c r="CR1055"/>
      <c r="CS1055"/>
    </row>
    <row r="1056" spans="12:97" ht="14.45" hidden="1" customHeight="1" x14ac:dyDescent="0.25">
      <c r="L1056"/>
      <c r="M1056"/>
      <c r="N1056"/>
      <c r="O1056"/>
      <c r="P1056"/>
      <c r="Q1056"/>
      <c r="R1056"/>
      <c r="S1056"/>
      <c r="T1056"/>
      <c r="U1056"/>
      <c r="AC1056"/>
      <c r="AL1056"/>
      <c r="CG1056"/>
      <c r="CH1056"/>
      <c r="CI1056"/>
      <c r="CJ1056"/>
      <c r="CP1056"/>
      <c r="CQ1056"/>
      <c r="CR1056"/>
      <c r="CS1056"/>
    </row>
    <row r="1057" spans="12:97" ht="14.45" hidden="1" customHeight="1" x14ac:dyDescent="0.25">
      <c r="L1057"/>
      <c r="M1057"/>
      <c r="N1057"/>
      <c r="O1057"/>
      <c r="P1057"/>
      <c r="Q1057"/>
      <c r="R1057"/>
      <c r="S1057"/>
      <c r="T1057"/>
      <c r="U1057"/>
      <c r="AC1057"/>
      <c r="AL1057"/>
      <c r="CG1057"/>
      <c r="CH1057"/>
      <c r="CI1057"/>
      <c r="CJ1057"/>
      <c r="CP1057"/>
      <c r="CQ1057"/>
      <c r="CR1057"/>
      <c r="CS1057"/>
    </row>
    <row r="1058" spans="12:97" ht="14.45" hidden="1" customHeight="1" x14ac:dyDescent="0.25">
      <c r="L1058"/>
      <c r="M1058"/>
      <c r="N1058"/>
      <c r="O1058"/>
      <c r="P1058"/>
      <c r="Q1058"/>
      <c r="R1058"/>
      <c r="S1058"/>
      <c r="T1058"/>
      <c r="U1058"/>
      <c r="AC1058"/>
      <c r="AL1058"/>
      <c r="CG1058"/>
      <c r="CH1058"/>
      <c r="CI1058"/>
      <c r="CJ1058"/>
      <c r="CP1058"/>
      <c r="CQ1058"/>
      <c r="CR1058"/>
      <c r="CS1058"/>
    </row>
    <row r="1059" spans="12:97" ht="14.45" hidden="1" customHeight="1" x14ac:dyDescent="0.25">
      <c r="L1059"/>
      <c r="M1059"/>
      <c r="N1059"/>
      <c r="O1059"/>
      <c r="P1059"/>
      <c r="Q1059"/>
      <c r="R1059"/>
      <c r="S1059"/>
      <c r="T1059"/>
      <c r="U1059"/>
      <c r="AC1059"/>
      <c r="AL1059"/>
      <c r="CG1059"/>
      <c r="CH1059"/>
      <c r="CI1059"/>
      <c r="CJ1059"/>
      <c r="CP1059"/>
      <c r="CQ1059"/>
      <c r="CR1059"/>
      <c r="CS1059"/>
    </row>
    <row r="1060" spans="12:97" ht="14.45" hidden="1" customHeight="1" x14ac:dyDescent="0.25">
      <c r="L1060"/>
      <c r="M1060"/>
      <c r="N1060"/>
      <c r="O1060"/>
      <c r="P1060"/>
      <c r="Q1060"/>
      <c r="R1060"/>
      <c r="S1060"/>
      <c r="T1060"/>
      <c r="U1060"/>
      <c r="AC1060"/>
      <c r="AL1060"/>
      <c r="CG1060"/>
      <c r="CH1060"/>
      <c r="CI1060"/>
      <c r="CJ1060"/>
      <c r="CP1060"/>
      <c r="CQ1060"/>
      <c r="CR1060"/>
      <c r="CS1060"/>
    </row>
    <row r="1061" spans="12:97" ht="14.45" hidden="1" customHeight="1" x14ac:dyDescent="0.25">
      <c r="L1061"/>
      <c r="M1061"/>
      <c r="N1061"/>
      <c r="O1061"/>
      <c r="P1061"/>
      <c r="Q1061"/>
      <c r="R1061"/>
      <c r="S1061"/>
      <c r="T1061"/>
      <c r="U1061"/>
      <c r="AC1061"/>
      <c r="AL1061"/>
      <c r="CG1061"/>
      <c r="CH1061"/>
      <c r="CI1061"/>
      <c r="CJ1061"/>
      <c r="CP1061"/>
      <c r="CQ1061"/>
      <c r="CR1061"/>
      <c r="CS1061"/>
    </row>
    <row r="1062" spans="12:97" ht="14.45" hidden="1" customHeight="1" x14ac:dyDescent="0.25">
      <c r="L1062"/>
      <c r="M1062"/>
      <c r="N1062"/>
      <c r="O1062"/>
      <c r="P1062"/>
      <c r="Q1062"/>
      <c r="R1062"/>
      <c r="S1062"/>
      <c r="T1062"/>
      <c r="U1062"/>
      <c r="AC1062"/>
      <c r="AL1062"/>
      <c r="CG1062"/>
      <c r="CH1062"/>
      <c r="CI1062"/>
      <c r="CJ1062"/>
      <c r="CP1062"/>
      <c r="CQ1062"/>
      <c r="CR1062"/>
      <c r="CS1062"/>
    </row>
    <row r="1063" spans="12:97" ht="14.45" hidden="1" customHeight="1" x14ac:dyDescent="0.25">
      <c r="L1063"/>
      <c r="M1063"/>
      <c r="N1063"/>
      <c r="O1063"/>
      <c r="P1063"/>
      <c r="Q1063"/>
      <c r="R1063"/>
      <c r="S1063"/>
      <c r="T1063"/>
      <c r="U1063"/>
      <c r="AC1063"/>
      <c r="AL1063"/>
      <c r="CG1063"/>
      <c r="CH1063"/>
      <c r="CI1063"/>
      <c r="CJ1063"/>
      <c r="CP1063"/>
      <c r="CQ1063"/>
      <c r="CR1063"/>
      <c r="CS1063"/>
    </row>
    <row r="1064" spans="12:97" ht="14.45" hidden="1" customHeight="1" x14ac:dyDescent="0.25">
      <c r="L1064"/>
      <c r="M1064"/>
      <c r="N1064"/>
      <c r="O1064"/>
      <c r="P1064"/>
      <c r="Q1064"/>
      <c r="R1064"/>
      <c r="S1064"/>
      <c r="T1064"/>
      <c r="U1064"/>
      <c r="AC1064"/>
      <c r="AL1064"/>
      <c r="CG1064"/>
      <c r="CH1064"/>
      <c r="CI1064"/>
      <c r="CJ1064"/>
      <c r="CP1064"/>
      <c r="CQ1064"/>
      <c r="CR1064"/>
      <c r="CS1064"/>
    </row>
    <row r="1065" spans="12:97" ht="14.45" hidden="1" customHeight="1" x14ac:dyDescent="0.25">
      <c r="L1065"/>
      <c r="M1065"/>
      <c r="N1065"/>
      <c r="O1065"/>
      <c r="P1065"/>
      <c r="Q1065"/>
      <c r="R1065"/>
      <c r="S1065"/>
      <c r="T1065"/>
      <c r="U1065"/>
      <c r="AC1065"/>
      <c r="AL1065"/>
      <c r="CG1065"/>
      <c r="CH1065"/>
      <c r="CI1065"/>
      <c r="CJ1065"/>
      <c r="CP1065"/>
      <c r="CQ1065"/>
      <c r="CR1065"/>
      <c r="CS1065"/>
    </row>
    <row r="1066" spans="12:97" ht="14.45" hidden="1" customHeight="1" x14ac:dyDescent="0.25">
      <c r="L1066"/>
      <c r="M1066"/>
      <c r="N1066"/>
      <c r="O1066"/>
      <c r="P1066"/>
      <c r="Q1066"/>
      <c r="R1066"/>
      <c r="S1066"/>
      <c r="T1066"/>
      <c r="U1066"/>
      <c r="AC1066"/>
      <c r="AL1066"/>
      <c r="CG1066"/>
      <c r="CH1066"/>
      <c r="CI1066"/>
      <c r="CJ1066"/>
      <c r="CP1066"/>
      <c r="CQ1066"/>
      <c r="CR1066"/>
      <c r="CS1066"/>
    </row>
    <row r="1067" spans="12:97" ht="14.45" hidden="1" customHeight="1" x14ac:dyDescent="0.25">
      <c r="L1067"/>
      <c r="M1067"/>
      <c r="N1067"/>
      <c r="O1067"/>
      <c r="P1067"/>
      <c r="Q1067"/>
      <c r="R1067"/>
      <c r="S1067"/>
      <c r="T1067"/>
      <c r="U1067"/>
      <c r="AC1067"/>
      <c r="AL1067"/>
      <c r="CG1067"/>
      <c r="CH1067"/>
      <c r="CI1067"/>
      <c r="CJ1067"/>
      <c r="CP1067"/>
      <c r="CQ1067"/>
      <c r="CR1067"/>
      <c r="CS1067"/>
    </row>
    <row r="1068" spans="12:97" ht="14.45" hidden="1" customHeight="1" x14ac:dyDescent="0.25">
      <c r="L1068"/>
      <c r="M1068"/>
      <c r="N1068"/>
      <c r="O1068"/>
      <c r="P1068"/>
      <c r="Q1068"/>
      <c r="R1068"/>
      <c r="S1068"/>
      <c r="T1068"/>
      <c r="U1068"/>
      <c r="AC1068"/>
      <c r="AL1068"/>
      <c r="CG1068"/>
      <c r="CH1068"/>
      <c r="CI1068"/>
      <c r="CJ1068"/>
      <c r="CP1068"/>
      <c r="CQ1068"/>
      <c r="CR1068"/>
      <c r="CS1068"/>
    </row>
    <row r="1069" spans="12:97" ht="14.45" hidden="1" customHeight="1" x14ac:dyDescent="0.25">
      <c r="L1069"/>
      <c r="M1069"/>
      <c r="N1069"/>
      <c r="O1069"/>
      <c r="P1069"/>
      <c r="Q1069"/>
      <c r="R1069"/>
      <c r="S1069"/>
      <c r="T1069"/>
      <c r="U1069"/>
      <c r="AC1069"/>
      <c r="AL1069"/>
      <c r="CG1069"/>
      <c r="CH1069"/>
      <c r="CI1069"/>
      <c r="CJ1069"/>
      <c r="CP1069"/>
      <c r="CQ1069"/>
      <c r="CR1069"/>
      <c r="CS1069"/>
    </row>
    <row r="1070" spans="12:97" ht="14.45" hidden="1" customHeight="1" x14ac:dyDescent="0.25">
      <c r="L1070"/>
      <c r="M1070"/>
      <c r="N1070"/>
      <c r="O1070"/>
      <c r="P1070"/>
      <c r="Q1070"/>
      <c r="R1070"/>
      <c r="S1070"/>
      <c r="T1070"/>
      <c r="U1070"/>
      <c r="AC1070"/>
      <c r="AL1070"/>
      <c r="CG1070"/>
      <c r="CH1070"/>
      <c r="CI1070"/>
      <c r="CJ1070"/>
      <c r="CP1070"/>
      <c r="CQ1070"/>
      <c r="CR1070"/>
      <c r="CS1070"/>
    </row>
    <row r="1071" spans="12:97" ht="14.45" hidden="1" customHeight="1" x14ac:dyDescent="0.25">
      <c r="L1071"/>
      <c r="M1071"/>
      <c r="N1071"/>
      <c r="O1071"/>
      <c r="P1071"/>
      <c r="Q1071"/>
      <c r="R1071"/>
      <c r="S1071"/>
      <c r="T1071"/>
      <c r="U1071"/>
      <c r="AC1071"/>
      <c r="AL1071"/>
      <c r="CG1071"/>
      <c r="CH1071"/>
      <c r="CI1071"/>
      <c r="CJ1071"/>
      <c r="CP1071"/>
      <c r="CQ1071"/>
      <c r="CR1071"/>
      <c r="CS1071"/>
    </row>
    <row r="1072" spans="12:97" ht="14.45" hidden="1" customHeight="1" x14ac:dyDescent="0.25">
      <c r="L1072"/>
      <c r="M1072"/>
      <c r="N1072"/>
      <c r="O1072"/>
      <c r="P1072"/>
      <c r="Q1072"/>
      <c r="R1072"/>
      <c r="S1072"/>
      <c r="T1072"/>
      <c r="U1072"/>
      <c r="AC1072"/>
      <c r="AL1072"/>
      <c r="CG1072"/>
      <c r="CH1072"/>
      <c r="CI1072"/>
      <c r="CJ1072"/>
      <c r="CP1072"/>
      <c r="CQ1072"/>
      <c r="CR1072"/>
      <c r="CS1072"/>
    </row>
    <row r="1073" spans="12:97" ht="14.45" hidden="1" customHeight="1" x14ac:dyDescent="0.25">
      <c r="L1073"/>
      <c r="M1073"/>
      <c r="N1073"/>
      <c r="O1073"/>
      <c r="P1073"/>
      <c r="Q1073"/>
      <c r="R1073"/>
      <c r="S1073"/>
      <c r="T1073"/>
      <c r="U1073"/>
      <c r="AC1073"/>
      <c r="AL1073"/>
      <c r="CG1073"/>
      <c r="CH1073"/>
      <c r="CI1073"/>
      <c r="CJ1073"/>
      <c r="CP1073"/>
      <c r="CQ1073"/>
      <c r="CR1073"/>
      <c r="CS1073"/>
    </row>
    <row r="1074" spans="12:97" ht="14.45" hidden="1" customHeight="1" x14ac:dyDescent="0.25">
      <c r="L1074"/>
      <c r="M1074"/>
      <c r="N1074"/>
      <c r="O1074"/>
      <c r="P1074"/>
      <c r="Q1074"/>
      <c r="R1074"/>
      <c r="S1074"/>
      <c r="T1074"/>
      <c r="U1074"/>
      <c r="AC1074"/>
      <c r="AL1074"/>
      <c r="CG1074"/>
      <c r="CH1074"/>
      <c r="CI1074"/>
      <c r="CJ1074"/>
      <c r="CP1074"/>
      <c r="CQ1074"/>
      <c r="CR1074"/>
      <c r="CS1074"/>
    </row>
    <row r="1075" spans="12:97" ht="14.45" hidden="1" customHeight="1" x14ac:dyDescent="0.25">
      <c r="L1075"/>
      <c r="M1075"/>
      <c r="N1075"/>
      <c r="O1075"/>
      <c r="P1075"/>
      <c r="Q1075"/>
      <c r="R1075"/>
      <c r="S1075"/>
      <c r="T1075"/>
      <c r="U1075"/>
      <c r="AC1075"/>
      <c r="AL1075"/>
      <c r="CG1075"/>
      <c r="CH1075"/>
      <c r="CI1075"/>
      <c r="CJ1075"/>
      <c r="CP1075"/>
      <c r="CQ1075"/>
      <c r="CR1075"/>
      <c r="CS1075"/>
    </row>
    <row r="1076" spans="12:97" ht="14.45" hidden="1" customHeight="1" x14ac:dyDescent="0.25">
      <c r="L1076"/>
      <c r="M1076"/>
      <c r="N1076"/>
      <c r="O1076"/>
      <c r="P1076"/>
      <c r="Q1076"/>
      <c r="R1076"/>
      <c r="S1076"/>
      <c r="T1076"/>
      <c r="U1076"/>
      <c r="AC1076"/>
      <c r="AL1076"/>
      <c r="CG1076"/>
      <c r="CH1076"/>
      <c r="CI1076"/>
      <c r="CJ1076"/>
      <c r="CP1076"/>
      <c r="CQ1076"/>
      <c r="CR1076"/>
      <c r="CS1076"/>
    </row>
    <row r="1077" spans="12:97" ht="14.45" hidden="1" customHeight="1" x14ac:dyDescent="0.25">
      <c r="L1077"/>
      <c r="M1077"/>
      <c r="N1077"/>
      <c r="O1077"/>
      <c r="P1077"/>
      <c r="Q1077"/>
      <c r="R1077"/>
      <c r="S1077"/>
      <c r="T1077"/>
      <c r="U1077"/>
      <c r="AC1077"/>
      <c r="AL1077"/>
      <c r="CG1077"/>
      <c r="CH1077"/>
      <c r="CI1077"/>
      <c r="CJ1077"/>
      <c r="CP1077"/>
      <c r="CQ1077"/>
      <c r="CR1077"/>
      <c r="CS1077"/>
    </row>
    <row r="1078" spans="12:97" ht="14.45" hidden="1" customHeight="1" x14ac:dyDescent="0.25">
      <c r="L1078"/>
      <c r="M1078"/>
      <c r="N1078"/>
      <c r="O1078"/>
      <c r="P1078"/>
      <c r="Q1078"/>
      <c r="R1078"/>
      <c r="S1078"/>
      <c r="T1078"/>
      <c r="U1078"/>
      <c r="AC1078"/>
      <c r="AL1078"/>
      <c r="CG1078"/>
      <c r="CH1078"/>
      <c r="CI1078"/>
      <c r="CJ1078"/>
      <c r="CP1078"/>
      <c r="CQ1078"/>
      <c r="CR1078"/>
      <c r="CS1078"/>
    </row>
    <row r="1079" spans="12:97" ht="14.45" hidden="1" customHeight="1" x14ac:dyDescent="0.25">
      <c r="L1079"/>
      <c r="M1079"/>
      <c r="N1079"/>
      <c r="O1079"/>
      <c r="P1079"/>
      <c r="Q1079"/>
      <c r="R1079"/>
      <c r="S1079"/>
      <c r="T1079"/>
      <c r="U1079"/>
      <c r="AC1079"/>
      <c r="AL1079"/>
      <c r="CG1079"/>
      <c r="CH1079"/>
      <c r="CI1079"/>
      <c r="CJ1079"/>
      <c r="CP1079"/>
      <c r="CQ1079"/>
      <c r="CR1079"/>
      <c r="CS1079"/>
    </row>
    <row r="1080" spans="12:97" ht="14.45" hidden="1" customHeight="1" x14ac:dyDescent="0.25">
      <c r="L1080"/>
      <c r="M1080"/>
      <c r="N1080"/>
      <c r="O1080"/>
      <c r="P1080"/>
      <c r="Q1080"/>
      <c r="R1080"/>
      <c r="S1080"/>
      <c r="T1080"/>
      <c r="U1080"/>
      <c r="AC1080"/>
      <c r="AL1080"/>
      <c r="CG1080"/>
      <c r="CH1080"/>
      <c r="CI1080"/>
      <c r="CJ1080"/>
      <c r="CP1080"/>
      <c r="CQ1080"/>
      <c r="CR1080"/>
      <c r="CS1080"/>
    </row>
    <row r="1081" spans="12:97" ht="14.45" hidden="1" customHeight="1" x14ac:dyDescent="0.25">
      <c r="L1081"/>
      <c r="M1081"/>
      <c r="N1081"/>
      <c r="O1081"/>
      <c r="P1081"/>
      <c r="Q1081"/>
      <c r="R1081"/>
      <c r="S1081"/>
      <c r="T1081"/>
      <c r="U1081"/>
      <c r="AC1081"/>
      <c r="AL1081"/>
      <c r="CG1081"/>
      <c r="CH1081"/>
      <c r="CI1081"/>
      <c r="CJ1081"/>
      <c r="CP1081"/>
      <c r="CQ1081"/>
      <c r="CR1081"/>
      <c r="CS1081"/>
    </row>
    <row r="1082" spans="12:97" ht="14.45" hidden="1" customHeight="1" x14ac:dyDescent="0.25">
      <c r="L1082"/>
      <c r="M1082"/>
      <c r="N1082"/>
      <c r="O1082"/>
      <c r="P1082"/>
      <c r="Q1082"/>
      <c r="R1082"/>
      <c r="S1082"/>
      <c r="T1082"/>
      <c r="U1082"/>
      <c r="AC1082"/>
      <c r="AL1082"/>
      <c r="CG1082"/>
      <c r="CH1082"/>
      <c r="CI1082"/>
      <c r="CJ1082"/>
      <c r="CP1082"/>
      <c r="CQ1082"/>
      <c r="CR1082"/>
      <c r="CS1082"/>
    </row>
    <row r="1083" spans="12:97" ht="14.45" hidden="1" customHeight="1" x14ac:dyDescent="0.25">
      <c r="L1083"/>
      <c r="M1083"/>
      <c r="N1083"/>
      <c r="O1083"/>
      <c r="P1083"/>
      <c r="Q1083"/>
      <c r="R1083"/>
      <c r="S1083"/>
      <c r="T1083"/>
      <c r="U1083"/>
      <c r="AC1083"/>
      <c r="AL1083"/>
      <c r="CG1083"/>
      <c r="CH1083"/>
      <c r="CI1083"/>
      <c r="CJ1083"/>
      <c r="CP1083"/>
      <c r="CQ1083"/>
      <c r="CR1083"/>
      <c r="CS1083"/>
    </row>
    <row r="1084" spans="12:97" ht="14.45" hidden="1" customHeight="1" x14ac:dyDescent="0.25">
      <c r="L1084"/>
      <c r="M1084"/>
      <c r="N1084"/>
      <c r="O1084"/>
      <c r="P1084"/>
      <c r="Q1084"/>
      <c r="R1084"/>
      <c r="S1084"/>
      <c r="T1084"/>
      <c r="U1084"/>
      <c r="AC1084"/>
      <c r="AL1084"/>
      <c r="CG1084"/>
      <c r="CH1084"/>
      <c r="CI1084"/>
      <c r="CJ1084"/>
      <c r="CP1084"/>
      <c r="CQ1084"/>
      <c r="CR1084"/>
      <c r="CS1084"/>
    </row>
    <row r="1085" spans="12:97" ht="14.45" hidden="1" customHeight="1" x14ac:dyDescent="0.25">
      <c r="L1085"/>
      <c r="M1085"/>
      <c r="N1085"/>
      <c r="O1085"/>
      <c r="P1085"/>
      <c r="Q1085"/>
      <c r="R1085"/>
      <c r="S1085"/>
      <c r="T1085"/>
      <c r="U1085"/>
      <c r="AC1085"/>
      <c r="AL1085"/>
      <c r="CG1085"/>
      <c r="CH1085"/>
      <c r="CI1085"/>
      <c r="CJ1085"/>
      <c r="CP1085"/>
      <c r="CQ1085"/>
      <c r="CR1085"/>
      <c r="CS1085"/>
    </row>
    <row r="1086" spans="12:97" ht="14.45" hidden="1" customHeight="1" x14ac:dyDescent="0.25">
      <c r="L1086"/>
      <c r="M1086"/>
      <c r="N1086"/>
      <c r="O1086"/>
      <c r="P1086"/>
      <c r="Q1086"/>
      <c r="R1086"/>
      <c r="S1086"/>
      <c r="T1086"/>
      <c r="U1086"/>
      <c r="AC1086"/>
      <c r="AL1086"/>
      <c r="CG1086"/>
      <c r="CH1086"/>
      <c r="CI1086"/>
      <c r="CJ1086"/>
      <c r="CP1086"/>
      <c r="CQ1086"/>
      <c r="CR1086"/>
      <c r="CS1086"/>
    </row>
    <row r="1087" spans="12:97" ht="14.45" hidden="1" customHeight="1" x14ac:dyDescent="0.25">
      <c r="L1087"/>
      <c r="M1087"/>
      <c r="N1087"/>
      <c r="O1087"/>
      <c r="P1087"/>
      <c r="Q1087"/>
      <c r="R1087"/>
      <c r="S1087"/>
      <c r="T1087"/>
      <c r="U1087"/>
      <c r="AC1087"/>
      <c r="AL1087"/>
      <c r="CG1087"/>
      <c r="CH1087"/>
      <c r="CI1087"/>
      <c r="CJ1087"/>
      <c r="CP1087"/>
      <c r="CQ1087"/>
      <c r="CR1087"/>
      <c r="CS1087"/>
    </row>
    <row r="1088" spans="12:97" ht="14.45" hidden="1" customHeight="1" x14ac:dyDescent="0.25">
      <c r="L1088"/>
      <c r="M1088"/>
      <c r="N1088"/>
      <c r="O1088"/>
      <c r="P1088"/>
      <c r="Q1088"/>
      <c r="R1088"/>
      <c r="S1088"/>
      <c r="T1088"/>
      <c r="U1088"/>
      <c r="AC1088"/>
      <c r="AL1088"/>
      <c r="CG1088"/>
      <c r="CH1088"/>
      <c r="CI1088"/>
      <c r="CJ1088"/>
      <c r="CP1088"/>
      <c r="CQ1088"/>
      <c r="CR1088"/>
      <c r="CS1088"/>
    </row>
    <row r="1089" spans="12:97" ht="14.45" hidden="1" customHeight="1" x14ac:dyDescent="0.25">
      <c r="L1089"/>
      <c r="M1089"/>
      <c r="N1089"/>
      <c r="O1089"/>
      <c r="P1089"/>
      <c r="Q1089"/>
      <c r="R1089"/>
      <c r="S1089"/>
      <c r="T1089"/>
      <c r="U1089"/>
      <c r="AC1089"/>
      <c r="AL1089"/>
      <c r="CG1089"/>
      <c r="CH1089"/>
      <c r="CI1089"/>
      <c r="CJ1089"/>
      <c r="CP1089"/>
      <c r="CQ1089"/>
      <c r="CR1089"/>
      <c r="CS1089"/>
    </row>
    <row r="1090" spans="12:97" ht="14.45" hidden="1" customHeight="1" x14ac:dyDescent="0.25">
      <c r="L1090"/>
      <c r="M1090"/>
      <c r="N1090"/>
      <c r="O1090"/>
      <c r="P1090"/>
      <c r="Q1090"/>
      <c r="R1090"/>
      <c r="S1090"/>
      <c r="T1090"/>
      <c r="U1090"/>
      <c r="AC1090"/>
      <c r="AL1090"/>
      <c r="CG1090"/>
      <c r="CH1090"/>
      <c r="CI1090"/>
      <c r="CJ1090"/>
      <c r="CP1090"/>
      <c r="CQ1090"/>
      <c r="CR1090"/>
      <c r="CS1090"/>
    </row>
    <row r="1091" spans="12:97" ht="14.45" hidden="1" customHeight="1" x14ac:dyDescent="0.25">
      <c r="L1091"/>
      <c r="M1091"/>
      <c r="N1091"/>
      <c r="O1091"/>
      <c r="P1091"/>
      <c r="Q1091"/>
      <c r="R1091"/>
      <c r="S1091"/>
      <c r="T1091"/>
      <c r="U1091"/>
      <c r="AC1091"/>
      <c r="AL1091"/>
      <c r="CG1091"/>
      <c r="CH1091"/>
      <c r="CI1091"/>
      <c r="CJ1091"/>
      <c r="CP1091"/>
      <c r="CQ1091"/>
      <c r="CR1091"/>
      <c r="CS1091"/>
    </row>
    <row r="1092" spans="12:97" ht="14.45" hidden="1" customHeight="1" x14ac:dyDescent="0.25">
      <c r="L1092"/>
      <c r="M1092"/>
      <c r="N1092"/>
      <c r="O1092"/>
      <c r="P1092"/>
      <c r="Q1092"/>
      <c r="R1092"/>
      <c r="S1092"/>
      <c r="T1092"/>
      <c r="U1092"/>
      <c r="AC1092"/>
      <c r="AL1092"/>
      <c r="CG1092"/>
      <c r="CH1092"/>
      <c r="CI1092"/>
      <c r="CJ1092"/>
      <c r="CP1092"/>
      <c r="CQ1092"/>
      <c r="CR1092"/>
      <c r="CS1092"/>
    </row>
    <row r="1093" spans="12:97" ht="14.45" hidden="1" customHeight="1" x14ac:dyDescent="0.25">
      <c r="L1093"/>
      <c r="M1093"/>
      <c r="N1093"/>
      <c r="O1093"/>
      <c r="P1093"/>
      <c r="Q1093"/>
      <c r="R1093"/>
      <c r="S1093"/>
      <c r="T1093"/>
      <c r="U1093"/>
      <c r="AC1093"/>
      <c r="AL1093"/>
      <c r="CG1093"/>
      <c r="CH1093"/>
      <c r="CI1093"/>
      <c r="CJ1093"/>
      <c r="CP1093"/>
      <c r="CQ1093"/>
      <c r="CR1093"/>
      <c r="CS1093"/>
    </row>
    <row r="1094" spans="12:97" ht="14.45" hidden="1" customHeight="1" x14ac:dyDescent="0.25">
      <c r="L1094"/>
      <c r="M1094"/>
      <c r="N1094"/>
      <c r="O1094"/>
      <c r="P1094"/>
      <c r="Q1094"/>
      <c r="R1094"/>
      <c r="S1094"/>
      <c r="T1094"/>
      <c r="U1094"/>
      <c r="AC1094"/>
      <c r="AL1094"/>
      <c r="CG1094"/>
      <c r="CH1094"/>
      <c r="CI1094"/>
      <c r="CJ1094"/>
      <c r="CP1094"/>
      <c r="CQ1094"/>
      <c r="CR1094"/>
      <c r="CS1094"/>
    </row>
    <row r="1095" spans="12:97" ht="14.45" hidden="1" customHeight="1" x14ac:dyDescent="0.25">
      <c r="L1095"/>
      <c r="M1095"/>
      <c r="N1095"/>
      <c r="O1095"/>
      <c r="P1095"/>
      <c r="Q1095"/>
      <c r="R1095"/>
      <c r="S1095"/>
      <c r="T1095"/>
      <c r="U1095"/>
      <c r="AC1095"/>
      <c r="AL1095"/>
      <c r="CG1095"/>
      <c r="CH1095"/>
      <c r="CI1095"/>
      <c r="CJ1095"/>
      <c r="CP1095"/>
      <c r="CQ1095"/>
      <c r="CR1095"/>
      <c r="CS1095"/>
    </row>
    <row r="1096" spans="12:97" ht="14.45" hidden="1" customHeight="1" x14ac:dyDescent="0.25">
      <c r="L1096"/>
      <c r="M1096"/>
      <c r="N1096"/>
      <c r="O1096"/>
      <c r="P1096"/>
      <c r="Q1096"/>
      <c r="R1096"/>
      <c r="S1096"/>
      <c r="T1096"/>
      <c r="U1096"/>
      <c r="AC1096"/>
      <c r="AL1096"/>
      <c r="CG1096"/>
      <c r="CH1096"/>
      <c r="CI1096"/>
      <c r="CJ1096"/>
      <c r="CP1096"/>
      <c r="CQ1096"/>
      <c r="CR1096"/>
      <c r="CS1096"/>
    </row>
    <row r="1097" spans="12:97" ht="14.45" hidden="1" customHeight="1" x14ac:dyDescent="0.25">
      <c r="L1097"/>
      <c r="M1097"/>
      <c r="N1097"/>
      <c r="O1097"/>
      <c r="P1097"/>
      <c r="Q1097"/>
      <c r="R1097"/>
      <c r="S1097"/>
      <c r="T1097"/>
      <c r="U1097"/>
      <c r="AC1097"/>
      <c r="AL1097"/>
      <c r="CG1097"/>
      <c r="CH1097"/>
      <c r="CI1097"/>
      <c r="CJ1097"/>
      <c r="CP1097"/>
      <c r="CQ1097"/>
      <c r="CR1097"/>
      <c r="CS1097"/>
    </row>
    <row r="1098" spans="12:97" ht="14.45" hidden="1" customHeight="1" x14ac:dyDescent="0.25">
      <c r="L1098"/>
      <c r="M1098"/>
      <c r="N1098"/>
      <c r="O1098"/>
      <c r="P1098"/>
      <c r="Q1098"/>
      <c r="R1098"/>
      <c r="S1098"/>
      <c r="T1098"/>
      <c r="U1098"/>
      <c r="AC1098"/>
      <c r="AL1098"/>
      <c r="CG1098"/>
      <c r="CH1098"/>
      <c r="CI1098"/>
      <c r="CJ1098"/>
      <c r="CP1098"/>
      <c r="CQ1098"/>
      <c r="CR1098"/>
      <c r="CS1098"/>
    </row>
    <row r="1099" spans="12:97" ht="14.45" hidden="1" customHeight="1" x14ac:dyDescent="0.25">
      <c r="L1099"/>
      <c r="M1099"/>
      <c r="N1099"/>
      <c r="O1099"/>
      <c r="P1099"/>
      <c r="Q1099"/>
      <c r="R1099"/>
      <c r="S1099"/>
      <c r="T1099"/>
      <c r="U1099"/>
      <c r="AC1099"/>
      <c r="AL1099"/>
      <c r="CG1099"/>
      <c r="CH1099"/>
      <c r="CI1099"/>
      <c r="CJ1099"/>
      <c r="CP1099"/>
      <c r="CQ1099"/>
      <c r="CR1099"/>
      <c r="CS1099"/>
    </row>
    <row r="1100" spans="12:97" ht="14.45" hidden="1" customHeight="1" x14ac:dyDescent="0.25">
      <c r="L1100"/>
      <c r="M1100"/>
      <c r="N1100"/>
      <c r="O1100"/>
      <c r="P1100"/>
      <c r="Q1100"/>
      <c r="R1100"/>
      <c r="S1100"/>
      <c r="T1100"/>
      <c r="U1100"/>
      <c r="AC1100"/>
      <c r="AL1100"/>
      <c r="CG1100"/>
      <c r="CH1100"/>
      <c r="CI1100"/>
      <c r="CJ1100"/>
      <c r="CP1100"/>
      <c r="CQ1100"/>
      <c r="CR1100"/>
      <c r="CS1100"/>
    </row>
    <row r="1101" spans="12:97" ht="14.45" hidden="1" customHeight="1" x14ac:dyDescent="0.25">
      <c r="L1101"/>
      <c r="M1101"/>
      <c r="N1101"/>
      <c r="O1101"/>
      <c r="P1101"/>
      <c r="Q1101"/>
      <c r="R1101"/>
      <c r="S1101"/>
      <c r="T1101"/>
      <c r="U1101"/>
      <c r="AC1101"/>
      <c r="AL1101"/>
      <c r="CG1101"/>
      <c r="CH1101"/>
      <c r="CI1101"/>
      <c r="CJ1101"/>
      <c r="CP1101"/>
      <c r="CQ1101"/>
      <c r="CR1101"/>
      <c r="CS1101"/>
    </row>
    <row r="1102" spans="12:97" ht="14.45" hidden="1" customHeight="1" x14ac:dyDescent="0.25">
      <c r="L1102"/>
      <c r="M1102"/>
      <c r="N1102"/>
      <c r="O1102"/>
      <c r="P1102"/>
      <c r="Q1102"/>
      <c r="R1102"/>
      <c r="S1102"/>
      <c r="T1102"/>
      <c r="U1102"/>
      <c r="AC1102"/>
      <c r="AL1102"/>
      <c r="CG1102"/>
      <c r="CH1102"/>
      <c r="CI1102"/>
      <c r="CJ1102"/>
      <c r="CP1102"/>
      <c r="CQ1102"/>
      <c r="CR1102"/>
      <c r="CS1102"/>
    </row>
    <row r="1103" spans="12:97" ht="14.45" hidden="1" customHeight="1" x14ac:dyDescent="0.25">
      <c r="L1103"/>
      <c r="M1103"/>
      <c r="N1103"/>
      <c r="O1103"/>
      <c r="P1103"/>
      <c r="Q1103"/>
      <c r="R1103"/>
      <c r="S1103"/>
      <c r="T1103"/>
      <c r="U1103"/>
      <c r="AC1103"/>
      <c r="AL1103"/>
      <c r="CG1103"/>
      <c r="CH1103"/>
      <c r="CI1103"/>
      <c r="CJ1103"/>
      <c r="CP1103"/>
      <c r="CQ1103"/>
      <c r="CR1103"/>
      <c r="CS1103"/>
    </row>
    <row r="1104" spans="12:97" ht="14.45" hidden="1" customHeight="1" x14ac:dyDescent="0.25">
      <c r="L1104"/>
      <c r="M1104"/>
      <c r="N1104"/>
      <c r="O1104"/>
      <c r="P1104"/>
      <c r="Q1104"/>
      <c r="R1104"/>
      <c r="S1104"/>
      <c r="T1104"/>
      <c r="U1104"/>
      <c r="AC1104"/>
      <c r="AL1104"/>
      <c r="CG1104"/>
      <c r="CH1104"/>
      <c r="CI1104"/>
      <c r="CJ1104"/>
      <c r="CP1104"/>
      <c r="CQ1104"/>
      <c r="CR1104"/>
      <c r="CS1104"/>
    </row>
    <row r="1105" spans="12:97" ht="14.45" hidden="1" customHeight="1" x14ac:dyDescent="0.25">
      <c r="L1105"/>
      <c r="M1105"/>
      <c r="N1105"/>
      <c r="O1105"/>
      <c r="P1105"/>
      <c r="Q1105"/>
      <c r="R1105"/>
      <c r="S1105"/>
      <c r="T1105"/>
      <c r="U1105"/>
      <c r="AC1105"/>
      <c r="AL1105"/>
      <c r="CG1105"/>
      <c r="CH1105"/>
      <c r="CI1105"/>
      <c r="CJ1105"/>
      <c r="CP1105"/>
      <c r="CQ1105"/>
      <c r="CR1105"/>
      <c r="CS1105"/>
    </row>
    <row r="1106" spans="12:97" ht="14.45" hidden="1" customHeight="1" x14ac:dyDescent="0.25">
      <c r="L1106"/>
      <c r="M1106"/>
      <c r="N1106"/>
      <c r="O1106"/>
      <c r="P1106"/>
      <c r="Q1106"/>
      <c r="R1106"/>
      <c r="S1106"/>
      <c r="T1106"/>
      <c r="U1106"/>
      <c r="AC1106"/>
      <c r="AL1106"/>
      <c r="CG1106"/>
      <c r="CH1106"/>
      <c r="CI1106"/>
      <c r="CJ1106"/>
      <c r="CP1106"/>
      <c r="CQ1106"/>
      <c r="CR1106"/>
      <c r="CS1106"/>
    </row>
    <row r="1107" spans="12:97" ht="14.45" hidden="1" customHeight="1" x14ac:dyDescent="0.25">
      <c r="L1107"/>
      <c r="M1107"/>
      <c r="N1107"/>
      <c r="O1107"/>
      <c r="P1107"/>
      <c r="Q1107"/>
      <c r="R1107"/>
      <c r="S1107"/>
      <c r="T1107"/>
      <c r="U1107"/>
      <c r="AC1107"/>
      <c r="AL1107"/>
      <c r="CG1107"/>
      <c r="CH1107"/>
      <c r="CI1107"/>
      <c r="CJ1107"/>
      <c r="CP1107"/>
      <c r="CQ1107"/>
      <c r="CR1107"/>
      <c r="CS1107"/>
    </row>
    <row r="1108" spans="12:97" ht="14.45" hidden="1" customHeight="1" x14ac:dyDescent="0.25">
      <c r="L1108"/>
      <c r="M1108"/>
      <c r="N1108"/>
      <c r="O1108"/>
      <c r="P1108"/>
      <c r="Q1108"/>
      <c r="R1108"/>
      <c r="S1108"/>
      <c r="T1108"/>
      <c r="U1108"/>
      <c r="AC1108"/>
      <c r="AL1108"/>
      <c r="CG1108"/>
      <c r="CH1108"/>
      <c r="CI1108"/>
      <c r="CJ1108"/>
      <c r="CP1108"/>
      <c r="CQ1108"/>
      <c r="CR1108"/>
      <c r="CS1108"/>
    </row>
    <row r="1109" spans="12:97" ht="14.45" hidden="1" customHeight="1" x14ac:dyDescent="0.25">
      <c r="L1109"/>
      <c r="M1109"/>
      <c r="N1109"/>
      <c r="O1109"/>
      <c r="P1109"/>
      <c r="Q1109"/>
      <c r="R1109"/>
      <c r="S1109"/>
      <c r="T1109"/>
      <c r="U1109"/>
      <c r="AC1109"/>
      <c r="AL1109"/>
      <c r="CG1109"/>
      <c r="CH1109"/>
      <c r="CI1109"/>
      <c r="CJ1109"/>
      <c r="CP1109"/>
      <c r="CQ1109"/>
      <c r="CR1109"/>
      <c r="CS1109"/>
    </row>
    <row r="1110" spans="12:97" ht="14.45" hidden="1" customHeight="1" x14ac:dyDescent="0.25">
      <c r="L1110"/>
      <c r="M1110"/>
      <c r="N1110"/>
      <c r="O1110"/>
      <c r="P1110"/>
      <c r="Q1110"/>
      <c r="R1110"/>
      <c r="S1110"/>
      <c r="T1110"/>
      <c r="U1110"/>
      <c r="AC1110"/>
      <c r="AL1110"/>
      <c r="CG1110"/>
      <c r="CH1110"/>
      <c r="CI1110"/>
      <c r="CJ1110"/>
      <c r="CP1110"/>
      <c r="CQ1110"/>
      <c r="CR1110"/>
      <c r="CS1110"/>
    </row>
    <row r="1111" spans="12:97" ht="14.45" hidden="1" customHeight="1" x14ac:dyDescent="0.25">
      <c r="L1111"/>
      <c r="M1111"/>
      <c r="N1111"/>
      <c r="O1111"/>
      <c r="P1111"/>
      <c r="Q1111"/>
      <c r="R1111"/>
      <c r="S1111"/>
      <c r="T1111"/>
      <c r="U1111"/>
      <c r="AC1111"/>
      <c r="AL1111"/>
      <c r="CG1111"/>
      <c r="CH1111"/>
      <c r="CI1111"/>
      <c r="CJ1111"/>
      <c r="CP1111"/>
      <c r="CQ1111"/>
      <c r="CR1111"/>
      <c r="CS1111"/>
    </row>
    <row r="1112" spans="12:97" ht="14.45" hidden="1" customHeight="1" x14ac:dyDescent="0.25">
      <c r="L1112"/>
      <c r="M1112"/>
      <c r="N1112"/>
      <c r="O1112"/>
      <c r="P1112"/>
      <c r="Q1112"/>
      <c r="R1112"/>
      <c r="S1112"/>
      <c r="T1112"/>
      <c r="U1112"/>
      <c r="AC1112"/>
      <c r="AL1112"/>
      <c r="CG1112"/>
      <c r="CH1112"/>
      <c r="CI1112"/>
      <c r="CJ1112"/>
      <c r="CP1112"/>
      <c r="CQ1112"/>
      <c r="CR1112"/>
      <c r="CS1112"/>
    </row>
    <row r="1113" spans="12:97" ht="14.45" hidden="1" customHeight="1" x14ac:dyDescent="0.25">
      <c r="L1113"/>
      <c r="M1113"/>
      <c r="N1113"/>
      <c r="O1113"/>
      <c r="P1113"/>
      <c r="Q1113"/>
      <c r="R1113"/>
      <c r="S1113"/>
      <c r="T1113"/>
      <c r="U1113"/>
      <c r="AC1113"/>
      <c r="AL1113"/>
      <c r="CG1113"/>
      <c r="CH1113"/>
      <c r="CI1113"/>
      <c r="CJ1113"/>
      <c r="CP1113"/>
      <c r="CQ1113"/>
      <c r="CR1113"/>
      <c r="CS1113"/>
    </row>
    <row r="1114" spans="12:97" ht="14.45" hidden="1" customHeight="1" x14ac:dyDescent="0.25">
      <c r="L1114"/>
      <c r="M1114"/>
      <c r="N1114"/>
      <c r="O1114"/>
      <c r="P1114"/>
      <c r="Q1114"/>
      <c r="R1114"/>
      <c r="S1114"/>
      <c r="T1114"/>
      <c r="U1114"/>
      <c r="AC1114"/>
      <c r="AL1114"/>
      <c r="CG1114"/>
      <c r="CH1114"/>
      <c r="CI1114"/>
      <c r="CJ1114"/>
      <c r="CP1114"/>
      <c r="CQ1114"/>
      <c r="CR1114"/>
      <c r="CS1114"/>
    </row>
    <row r="1115" spans="12:97" ht="14.45" hidden="1" customHeight="1" x14ac:dyDescent="0.25">
      <c r="L1115"/>
      <c r="M1115"/>
      <c r="N1115"/>
      <c r="O1115"/>
      <c r="P1115"/>
      <c r="Q1115"/>
      <c r="R1115"/>
      <c r="S1115"/>
      <c r="T1115"/>
      <c r="U1115"/>
      <c r="AC1115"/>
      <c r="AL1115"/>
      <c r="CG1115"/>
      <c r="CH1115"/>
      <c r="CI1115"/>
      <c r="CJ1115"/>
      <c r="CP1115"/>
      <c r="CQ1115"/>
      <c r="CR1115"/>
      <c r="CS1115"/>
    </row>
    <row r="1116" spans="12:97" ht="14.45" hidden="1" customHeight="1" x14ac:dyDescent="0.25">
      <c r="L1116"/>
      <c r="M1116"/>
      <c r="N1116"/>
      <c r="O1116"/>
      <c r="P1116"/>
      <c r="Q1116"/>
      <c r="R1116"/>
      <c r="S1116"/>
      <c r="T1116"/>
      <c r="U1116"/>
      <c r="AC1116"/>
      <c r="AL1116"/>
      <c r="CG1116"/>
      <c r="CH1116"/>
      <c r="CI1116"/>
      <c r="CJ1116"/>
      <c r="CP1116"/>
      <c r="CQ1116"/>
      <c r="CR1116"/>
      <c r="CS1116"/>
    </row>
    <row r="1117" spans="12:97" ht="14.45" hidden="1" customHeight="1" x14ac:dyDescent="0.25">
      <c r="L1117"/>
      <c r="M1117"/>
      <c r="N1117"/>
      <c r="O1117"/>
      <c r="P1117"/>
      <c r="Q1117"/>
      <c r="R1117"/>
      <c r="S1117"/>
      <c r="T1117"/>
      <c r="U1117"/>
      <c r="AC1117"/>
      <c r="AL1117"/>
      <c r="CG1117"/>
      <c r="CH1117"/>
      <c r="CI1117"/>
      <c r="CJ1117"/>
      <c r="CP1117"/>
      <c r="CQ1117"/>
      <c r="CR1117"/>
      <c r="CS1117"/>
    </row>
    <row r="1118" spans="12:97" ht="14.45" hidden="1" customHeight="1" x14ac:dyDescent="0.25">
      <c r="L1118"/>
      <c r="M1118"/>
      <c r="N1118"/>
      <c r="O1118"/>
      <c r="P1118"/>
      <c r="Q1118"/>
      <c r="R1118"/>
      <c r="S1118"/>
      <c r="T1118"/>
      <c r="U1118"/>
      <c r="AC1118"/>
      <c r="AL1118"/>
      <c r="CG1118"/>
      <c r="CH1118"/>
      <c r="CI1118"/>
      <c r="CJ1118"/>
      <c r="CP1118"/>
      <c r="CQ1118"/>
      <c r="CR1118"/>
      <c r="CS1118"/>
    </row>
    <row r="1119" spans="12:97" ht="14.45" hidden="1" customHeight="1" x14ac:dyDescent="0.25">
      <c r="L1119"/>
      <c r="M1119"/>
      <c r="N1119"/>
      <c r="O1119"/>
      <c r="P1119"/>
      <c r="Q1119"/>
      <c r="R1119"/>
      <c r="S1119"/>
      <c r="T1119"/>
      <c r="U1119"/>
      <c r="AC1119"/>
      <c r="AL1119"/>
      <c r="CG1119"/>
      <c r="CH1119"/>
      <c r="CI1119"/>
      <c r="CJ1119"/>
      <c r="CP1119"/>
      <c r="CQ1119"/>
      <c r="CR1119"/>
      <c r="CS1119"/>
    </row>
    <row r="1120" spans="12:97" ht="14.45" hidden="1" customHeight="1" x14ac:dyDescent="0.25">
      <c r="L1120"/>
      <c r="M1120"/>
      <c r="N1120"/>
      <c r="O1120"/>
      <c r="P1120"/>
      <c r="Q1120"/>
      <c r="R1120"/>
      <c r="S1120"/>
      <c r="T1120"/>
      <c r="U1120"/>
      <c r="AC1120"/>
      <c r="AL1120"/>
      <c r="CG1120"/>
      <c r="CH1120"/>
      <c r="CI1120"/>
      <c r="CJ1120"/>
      <c r="CP1120"/>
      <c r="CQ1120"/>
      <c r="CR1120"/>
      <c r="CS1120"/>
    </row>
    <row r="1121" spans="12:97" ht="14.45" hidden="1" customHeight="1" x14ac:dyDescent="0.25">
      <c r="L1121"/>
      <c r="M1121"/>
      <c r="N1121"/>
      <c r="O1121"/>
      <c r="P1121"/>
      <c r="Q1121"/>
      <c r="R1121"/>
      <c r="S1121"/>
      <c r="T1121"/>
      <c r="U1121"/>
      <c r="AC1121"/>
      <c r="AL1121"/>
      <c r="CG1121"/>
      <c r="CH1121"/>
      <c r="CI1121"/>
      <c r="CJ1121"/>
      <c r="CP1121"/>
      <c r="CQ1121"/>
      <c r="CR1121"/>
      <c r="CS1121"/>
    </row>
    <row r="1122" spans="12:97" ht="14.45" hidden="1" customHeight="1" x14ac:dyDescent="0.25">
      <c r="L1122"/>
      <c r="M1122"/>
      <c r="N1122"/>
      <c r="O1122"/>
      <c r="P1122"/>
      <c r="Q1122"/>
      <c r="R1122"/>
      <c r="S1122"/>
      <c r="T1122"/>
      <c r="U1122"/>
      <c r="AC1122"/>
      <c r="AL1122"/>
      <c r="CG1122"/>
      <c r="CH1122"/>
      <c r="CI1122"/>
      <c r="CJ1122"/>
      <c r="CP1122"/>
      <c r="CQ1122"/>
      <c r="CR1122"/>
      <c r="CS1122"/>
    </row>
    <row r="1123" spans="12:97" ht="14.45" hidden="1" customHeight="1" x14ac:dyDescent="0.25">
      <c r="L1123"/>
      <c r="M1123"/>
      <c r="N1123"/>
      <c r="O1123"/>
      <c r="P1123"/>
      <c r="Q1123"/>
      <c r="R1123"/>
      <c r="S1123"/>
      <c r="T1123"/>
      <c r="U1123"/>
      <c r="AC1123"/>
      <c r="AL1123"/>
      <c r="CG1123"/>
      <c r="CH1123"/>
      <c r="CI1123"/>
      <c r="CJ1123"/>
      <c r="CP1123"/>
      <c r="CQ1123"/>
      <c r="CR1123"/>
      <c r="CS1123"/>
    </row>
    <row r="1124" spans="12:97" ht="14.45" hidden="1" customHeight="1" x14ac:dyDescent="0.25">
      <c r="L1124"/>
      <c r="M1124"/>
      <c r="N1124"/>
      <c r="O1124"/>
      <c r="P1124"/>
      <c r="Q1124"/>
      <c r="R1124"/>
      <c r="S1124"/>
      <c r="T1124"/>
      <c r="U1124"/>
      <c r="AC1124"/>
      <c r="AL1124"/>
      <c r="CG1124"/>
      <c r="CH1124"/>
      <c r="CI1124"/>
      <c r="CJ1124"/>
      <c r="CP1124"/>
      <c r="CQ1124"/>
      <c r="CR1124"/>
      <c r="CS1124"/>
    </row>
    <row r="1125" spans="12:97" ht="14.45" hidden="1" customHeight="1" x14ac:dyDescent="0.25">
      <c r="L1125"/>
      <c r="M1125"/>
      <c r="N1125"/>
      <c r="O1125"/>
      <c r="P1125"/>
      <c r="Q1125"/>
      <c r="R1125"/>
      <c r="S1125"/>
      <c r="T1125"/>
      <c r="U1125"/>
      <c r="AC1125"/>
      <c r="AL1125"/>
      <c r="CG1125"/>
      <c r="CH1125"/>
      <c r="CI1125"/>
      <c r="CJ1125"/>
      <c r="CP1125"/>
      <c r="CQ1125"/>
      <c r="CR1125"/>
      <c r="CS1125"/>
    </row>
    <row r="1126" spans="12:97" ht="14.45" hidden="1" customHeight="1" x14ac:dyDescent="0.25">
      <c r="L1126"/>
      <c r="M1126"/>
      <c r="N1126"/>
      <c r="O1126"/>
      <c r="P1126"/>
      <c r="Q1126"/>
      <c r="R1126"/>
      <c r="S1126"/>
      <c r="T1126"/>
      <c r="U1126"/>
      <c r="AC1126"/>
      <c r="AL1126"/>
      <c r="CG1126"/>
      <c r="CH1126"/>
      <c r="CI1126"/>
      <c r="CJ1126"/>
      <c r="CP1126"/>
      <c r="CQ1126"/>
      <c r="CR1126"/>
      <c r="CS1126"/>
    </row>
    <row r="1127" spans="12:97" ht="14.45" hidden="1" customHeight="1" x14ac:dyDescent="0.25">
      <c r="L1127"/>
      <c r="M1127"/>
      <c r="N1127"/>
      <c r="O1127"/>
      <c r="P1127"/>
      <c r="Q1127"/>
      <c r="R1127"/>
      <c r="S1127"/>
      <c r="T1127"/>
      <c r="U1127"/>
      <c r="AC1127"/>
      <c r="AL1127"/>
      <c r="CG1127"/>
      <c r="CH1127"/>
      <c r="CI1127"/>
      <c r="CJ1127"/>
      <c r="CP1127"/>
      <c r="CQ1127"/>
      <c r="CR1127"/>
      <c r="CS1127"/>
    </row>
    <row r="1128" spans="12:97" ht="14.45" hidden="1" customHeight="1" x14ac:dyDescent="0.25">
      <c r="L1128"/>
      <c r="M1128"/>
      <c r="N1128"/>
      <c r="O1128"/>
      <c r="P1128"/>
      <c r="Q1128"/>
      <c r="R1128"/>
      <c r="S1128"/>
      <c r="T1128"/>
      <c r="U1128"/>
      <c r="AC1128"/>
      <c r="AL1128"/>
      <c r="CG1128"/>
      <c r="CH1128"/>
      <c r="CI1128"/>
      <c r="CJ1128"/>
      <c r="CP1128"/>
      <c r="CQ1128"/>
      <c r="CR1128"/>
      <c r="CS1128"/>
    </row>
    <row r="1129" spans="12:97" ht="14.45" hidden="1" customHeight="1" x14ac:dyDescent="0.25">
      <c r="L1129"/>
      <c r="M1129"/>
      <c r="N1129"/>
      <c r="O1129"/>
      <c r="P1129"/>
      <c r="Q1129"/>
      <c r="R1129"/>
      <c r="S1129"/>
      <c r="T1129"/>
      <c r="U1129"/>
      <c r="AC1129"/>
      <c r="AL1129"/>
      <c r="CG1129"/>
      <c r="CH1129"/>
      <c r="CI1129"/>
      <c r="CJ1129"/>
      <c r="CP1129"/>
      <c r="CQ1129"/>
      <c r="CR1129"/>
      <c r="CS1129"/>
    </row>
    <row r="1130" spans="12:97" ht="14.45" hidden="1" customHeight="1" x14ac:dyDescent="0.25">
      <c r="L1130"/>
      <c r="M1130"/>
      <c r="N1130"/>
      <c r="O1130"/>
      <c r="P1130"/>
      <c r="Q1130"/>
      <c r="R1130"/>
      <c r="S1130"/>
      <c r="T1130"/>
      <c r="U1130"/>
      <c r="AC1130"/>
      <c r="AL1130"/>
      <c r="CG1130"/>
      <c r="CH1130"/>
      <c r="CI1130"/>
      <c r="CJ1130"/>
      <c r="CP1130"/>
      <c r="CQ1130"/>
      <c r="CR1130"/>
      <c r="CS1130"/>
    </row>
    <row r="1131" spans="12:97" ht="14.45" hidden="1" customHeight="1" x14ac:dyDescent="0.25">
      <c r="L1131"/>
      <c r="M1131"/>
      <c r="N1131"/>
      <c r="O1131"/>
      <c r="P1131"/>
      <c r="Q1131"/>
      <c r="R1131"/>
      <c r="S1131"/>
      <c r="T1131"/>
      <c r="U1131"/>
      <c r="AC1131"/>
      <c r="AL1131"/>
      <c r="CG1131"/>
      <c r="CH1131"/>
      <c r="CI1131"/>
      <c r="CJ1131"/>
      <c r="CP1131"/>
      <c r="CQ1131"/>
      <c r="CR1131"/>
      <c r="CS1131"/>
    </row>
    <row r="1132" spans="12:97" ht="14.45" hidden="1" customHeight="1" x14ac:dyDescent="0.25">
      <c r="L1132"/>
      <c r="M1132"/>
      <c r="N1132"/>
      <c r="O1132"/>
      <c r="P1132"/>
      <c r="Q1132"/>
      <c r="R1132"/>
      <c r="S1132"/>
      <c r="T1132"/>
      <c r="U1132"/>
      <c r="AC1132"/>
      <c r="AL1132"/>
      <c r="CG1132"/>
      <c r="CH1132"/>
      <c r="CI1132"/>
      <c r="CJ1132"/>
      <c r="CP1132"/>
      <c r="CQ1132"/>
      <c r="CR1132"/>
      <c r="CS1132"/>
    </row>
    <row r="1133" spans="12:97" ht="14.45" hidden="1" customHeight="1" x14ac:dyDescent="0.25">
      <c r="L1133"/>
      <c r="M1133"/>
      <c r="N1133"/>
      <c r="O1133"/>
      <c r="P1133"/>
      <c r="Q1133"/>
      <c r="R1133"/>
      <c r="S1133"/>
      <c r="T1133"/>
      <c r="U1133"/>
      <c r="AC1133"/>
      <c r="AL1133"/>
      <c r="CG1133"/>
      <c r="CH1133"/>
      <c r="CI1133"/>
      <c r="CJ1133"/>
      <c r="CP1133"/>
      <c r="CQ1133"/>
      <c r="CR1133"/>
      <c r="CS1133"/>
    </row>
    <row r="1134" spans="12:97" ht="14.45" hidden="1" customHeight="1" x14ac:dyDescent="0.25">
      <c r="L1134"/>
      <c r="M1134"/>
      <c r="N1134"/>
      <c r="O1134"/>
      <c r="P1134"/>
      <c r="Q1134"/>
      <c r="R1134"/>
      <c r="S1134"/>
      <c r="T1134"/>
      <c r="U1134"/>
      <c r="AC1134"/>
      <c r="AL1134"/>
      <c r="CG1134"/>
      <c r="CH1134"/>
      <c r="CI1134"/>
      <c r="CJ1134"/>
      <c r="CP1134"/>
      <c r="CQ1134"/>
      <c r="CR1134"/>
      <c r="CS1134"/>
    </row>
    <row r="1135" spans="12:97" ht="14.45" hidden="1" customHeight="1" x14ac:dyDescent="0.25">
      <c r="L1135"/>
      <c r="M1135"/>
      <c r="N1135"/>
      <c r="O1135"/>
      <c r="P1135"/>
      <c r="Q1135"/>
      <c r="R1135"/>
      <c r="S1135"/>
      <c r="T1135"/>
      <c r="U1135"/>
      <c r="AC1135"/>
      <c r="AL1135"/>
      <c r="CG1135"/>
      <c r="CH1135"/>
      <c r="CI1135"/>
      <c r="CJ1135"/>
      <c r="CP1135"/>
      <c r="CQ1135"/>
      <c r="CR1135"/>
      <c r="CS1135"/>
    </row>
    <row r="1136" spans="12:97" ht="14.45" hidden="1" customHeight="1" x14ac:dyDescent="0.25">
      <c r="L1136"/>
      <c r="M1136"/>
      <c r="N1136"/>
      <c r="O1136"/>
      <c r="P1136"/>
      <c r="Q1136"/>
      <c r="R1136"/>
      <c r="S1136"/>
      <c r="T1136"/>
      <c r="U1136"/>
      <c r="AC1136"/>
      <c r="AL1136"/>
      <c r="CG1136"/>
      <c r="CH1136"/>
      <c r="CI1136"/>
      <c r="CJ1136"/>
      <c r="CP1136"/>
      <c r="CQ1136"/>
      <c r="CR1136"/>
      <c r="CS1136"/>
    </row>
    <row r="1137" spans="12:97" ht="14.45" hidden="1" customHeight="1" x14ac:dyDescent="0.25">
      <c r="L1137"/>
      <c r="M1137"/>
      <c r="N1137"/>
      <c r="O1137"/>
      <c r="P1137"/>
      <c r="Q1137"/>
      <c r="R1137"/>
      <c r="S1137"/>
      <c r="T1137"/>
      <c r="U1137"/>
      <c r="AC1137"/>
      <c r="AL1137"/>
      <c r="CG1137"/>
      <c r="CH1137"/>
      <c r="CI1137"/>
      <c r="CJ1137"/>
      <c r="CP1137"/>
      <c r="CQ1137"/>
      <c r="CR1137"/>
      <c r="CS1137"/>
    </row>
    <row r="1138" spans="12:97" ht="14.45" hidden="1" customHeight="1" x14ac:dyDescent="0.25">
      <c r="L1138"/>
      <c r="M1138"/>
      <c r="N1138"/>
      <c r="O1138"/>
      <c r="P1138"/>
      <c r="Q1138"/>
      <c r="R1138"/>
      <c r="S1138"/>
      <c r="T1138"/>
      <c r="U1138"/>
      <c r="AC1138"/>
      <c r="AL1138"/>
      <c r="CG1138"/>
      <c r="CH1138"/>
      <c r="CI1138"/>
      <c r="CJ1138"/>
      <c r="CP1138"/>
      <c r="CQ1138"/>
      <c r="CR1138"/>
      <c r="CS1138"/>
    </row>
    <row r="1139" spans="12:97" ht="14.45" hidden="1" customHeight="1" x14ac:dyDescent="0.25">
      <c r="L1139"/>
      <c r="M1139"/>
      <c r="N1139"/>
      <c r="O1139"/>
      <c r="P1139"/>
      <c r="Q1139"/>
      <c r="R1139"/>
      <c r="S1139"/>
      <c r="T1139"/>
      <c r="U1139"/>
      <c r="AC1139"/>
      <c r="AL1139"/>
      <c r="CG1139"/>
      <c r="CH1139"/>
      <c r="CI1139"/>
      <c r="CJ1139"/>
      <c r="CP1139"/>
      <c r="CQ1139"/>
      <c r="CR1139"/>
      <c r="CS1139"/>
    </row>
    <row r="1140" spans="12:97" ht="14.45" hidden="1" customHeight="1" x14ac:dyDescent="0.25">
      <c r="L1140"/>
      <c r="M1140"/>
      <c r="N1140"/>
      <c r="O1140"/>
      <c r="P1140"/>
      <c r="Q1140"/>
      <c r="R1140"/>
      <c r="S1140"/>
      <c r="T1140"/>
      <c r="U1140"/>
      <c r="AC1140"/>
      <c r="AL1140"/>
      <c r="CG1140"/>
      <c r="CH1140"/>
      <c r="CI1140"/>
      <c r="CJ1140"/>
      <c r="CP1140"/>
      <c r="CQ1140"/>
      <c r="CR1140"/>
      <c r="CS1140"/>
    </row>
    <row r="1141" spans="12:97" ht="14.45" hidden="1" customHeight="1" x14ac:dyDescent="0.25">
      <c r="L1141"/>
      <c r="M1141"/>
      <c r="N1141"/>
      <c r="O1141"/>
      <c r="P1141"/>
      <c r="Q1141"/>
      <c r="R1141"/>
      <c r="S1141"/>
      <c r="T1141"/>
      <c r="U1141"/>
      <c r="AC1141"/>
      <c r="AL1141"/>
      <c r="CG1141"/>
      <c r="CH1141"/>
      <c r="CI1141"/>
      <c r="CJ1141"/>
      <c r="CP1141"/>
      <c r="CQ1141"/>
      <c r="CR1141"/>
      <c r="CS1141"/>
    </row>
    <row r="1142" spans="12:97" ht="14.45" hidden="1" customHeight="1" x14ac:dyDescent="0.25">
      <c r="L1142"/>
      <c r="M1142"/>
      <c r="N1142"/>
      <c r="O1142"/>
      <c r="P1142"/>
      <c r="Q1142"/>
      <c r="R1142"/>
      <c r="S1142"/>
      <c r="T1142"/>
      <c r="U1142"/>
      <c r="AC1142"/>
      <c r="AL1142"/>
      <c r="CG1142"/>
      <c r="CH1142"/>
      <c r="CI1142"/>
      <c r="CJ1142"/>
      <c r="CP1142"/>
      <c r="CQ1142"/>
      <c r="CR1142"/>
      <c r="CS1142"/>
    </row>
    <row r="1143" spans="12:97" ht="14.45" hidden="1" customHeight="1" x14ac:dyDescent="0.25">
      <c r="L1143"/>
      <c r="M1143"/>
      <c r="N1143"/>
      <c r="O1143"/>
      <c r="P1143"/>
      <c r="Q1143"/>
      <c r="R1143"/>
      <c r="S1143"/>
      <c r="T1143"/>
      <c r="U1143"/>
      <c r="AC1143"/>
      <c r="AL1143"/>
      <c r="CG1143"/>
      <c r="CH1143"/>
      <c r="CI1143"/>
      <c r="CJ1143"/>
      <c r="CP1143"/>
      <c r="CQ1143"/>
      <c r="CR1143"/>
      <c r="CS1143"/>
    </row>
    <row r="1144" spans="12:97" ht="14.45" hidden="1" customHeight="1" x14ac:dyDescent="0.25">
      <c r="L1144"/>
      <c r="M1144"/>
      <c r="N1144"/>
      <c r="O1144"/>
      <c r="P1144"/>
      <c r="Q1144"/>
      <c r="R1144"/>
      <c r="S1144"/>
      <c r="T1144"/>
      <c r="U1144"/>
      <c r="AC1144"/>
      <c r="AL1144"/>
      <c r="CG1144"/>
      <c r="CH1144"/>
      <c r="CI1144"/>
      <c r="CJ1144"/>
      <c r="CP1144"/>
      <c r="CQ1144"/>
      <c r="CR1144"/>
      <c r="CS1144"/>
    </row>
    <row r="1145" spans="12:97" ht="14.45" hidden="1" customHeight="1" x14ac:dyDescent="0.25">
      <c r="L1145"/>
      <c r="M1145"/>
      <c r="N1145"/>
      <c r="O1145"/>
      <c r="P1145"/>
      <c r="Q1145"/>
      <c r="R1145"/>
      <c r="S1145"/>
      <c r="T1145"/>
      <c r="U1145"/>
      <c r="AC1145"/>
      <c r="AL1145"/>
      <c r="CG1145"/>
      <c r="CH1145"/>
      <c r="CI1145"/>
      <c r="CJ1145"/>
      <c r="CP1145"/>
      <c r="CQ1145"/>
      <c r="CR1145"/>
      <c r="CS1145"/>
    </row>
    <row r="1146" spans="12:97" ht="14.45" hidden="1" customHeight="1" x14ac:dyDescent="0.25">
      <c r="L1146"/>
      <c r="M1146"/>
      <c r="N1146"/>
      <c r="O1146"/>
      <c r="P1146"/>
      <c r="Q1146"/>
      <c r="R1146"/>
      <c r="S1146"/>
      <c r="T1146"/>
      <c r="U1146"/>
      <c r="AC1146"/>
      <c r="AL1146"/>
      <c r="CG1146"/>
      <c r="CH1146"/>
      <c r="CI1146"/>
      <c r="CJ1146"/>
      <c r="CP1146"/>
      <c r="CQ1146"/>
      <c r="CR1146"/>
      <c r="CS1146"/>
    </row>
    <row r="1147" spans="12:97" ht="14.45" hidden="1" customHeight="1" x14ac:dyDescent="0.25">
      <c r="L1147"/>
      <c r="M1147"/>
      <c r="N1147"/>
      <c r="O1147"/>
      <c r="P1147"/>
      <c r="Q1147"/>
      <c r="R1147"/>
      <c r="S1147"/>
      <c r="T1147"/>
      <c r="U1147"/>
      <c r="AC1147"/>
      <c r="AL1147"/>
      <c r="CG1147"/>
      <c r="CH1147"/>
      <c r="CI1147"/>
      <c r="CJ1147"/>
      <c r="CP1147"/>
      <c r="CQ1147"/>
      <c r="CR1147"/>
      <c r="CS1147"/>
    </row>
    <row r="1148" spans="12:97" ht="14.45" hidden="1" customHeight="1" x14ac:dyDescent="0.25">
      <c r="L1148"/>
      <c r="M1148"/>
      <c r="N1148"/>
      <c r="O1148"/>
      <c r="P1148"/>
      <c r="Q1148"/>
      <c r="R1148"/>
      <c r="S1148"/>
      <c r="T1148"/>
      <c r="U1148"/>
      <c r="AC1148"/>
      <c r="AL1148"/>
      <c r="CG1148"/>
      <c r="CH1148"/>
      <c r="CI1148"/>
      <c r="CJ1148"/>
      <c r="CP1148"/>
      <c r="CQ1148"/>
      <c r="CR1148"/>
      <c r="CS1148"/>
    </row>
    <row r="1149" spans="12:97" ht="14.45" hidden="1" customHeight="1" x14ac:dyDescent="0.25">
      <c r="L1149"/>
      <c r="M1149"/>
      <c r="N1149"/>
      <c r="O1149"/>
      <c r="P1149"/>
      <c r="Q1149"/>
      <c r="R1149"/>
      <c r="S1149"/>
      <c r="T1149"/>
      <c r="U1149"/>
      <c r="AC1149"/>
      <c r="AL1149"/>
      <c r="CG1149"/>
      <c r="CH1149"/>
      <c r="CI1149"/>
      <c r="CJ1149"/>
      <c r="CP1149"/>
      <c r="CQ1149"/>
      <c r="CR1149"/>
      <c r="CS1149"/>
    </row>
    <row r="1150" spans="12:97" ht="14.45" hidden="1" customHeight="1" x14ac:dyDescent="0.25">
      <c r="L1150"/>
      <c r="M1150"/>
      <c r="N1150"/>
      <c r="O1150"/>
      <c r="P1150"/>
      <c r="Q1150"/>
      <c r="R1150"/>
      <c r="S1150"/>
      <c r="T1150"/>
      <c r="U1150"/>
      <c r="AC1150"/>
      <c r="AL1150"/>
      <c r="CG1150"/>
      <c r="CH1150"/>
      <c r="CI1150"/>
      <c r="CJ1150"/>
      <c r="CP1150"/>
      <c r="CQ1150"/>
      <c r="CR1150"/>
      <c r="CS1150"/>
    </row>
    <row r="1151" spans="12:97" ht="14.45" hidden="1" customHeight="1" x14ac:dyDescent="0.25">
      <c r="L1151"/>
      <c r="M1151"/>
      <c r="N1151"/>
      <c r="O1151"/>
      <c r="P1151"/>
      <c r="Q1151"/>
      <c r="R1151"/>
      <c r="S1151"/>
      <c r="T1151"/>
      <c r="U1151"/>
      <c r="AC1151"/>
      <c r="AL1151"/>
      <c r="CG1151"/>
      <c r="CH1151"/>
      <c r="CI1151"/>
      <c r="CJ1151"/>
      <c r="CP1151"/>
      <c r="CQ1151"/>
      <c r="CR1151"/>
      <c r="CS1151"/>
    </row>
    <row r="1152" spans="12:97" ht="14.45" hidden="1" customHeight="1" x14ac:dyDescent="0.25">
      <c r="L1152"/>
      <c r="M1152"/>
      <c r="N1152"/>
      <c r="O1152"/>
      <c r="P1152"/>
      <c r="Q1152"/>
      <c r="R1152"/>
      <c r="S1152"/>
      <c r="T1152"/>
      <c r="U1152"/>
      <c r="AC1152"/>
      <c r="AL1152"/>
      <c r="CG1152"/>
      <c r="CH1152"/>
      <c r="CI1152"/>
      <c r="CJ1152"/>
      <c r="CP1152"/>
      <c r="CQ1152"/>
      <c r="CR1152"/>
      <c r="CS1152"/>
    </row>
    <row r="1153" spans="12:97" ht="14.45" hidden="1" customHeight="1" x14ac:dyDescent="0.25">
      <c r="L1153"/>
      <c r="M1153"/>
      <c r="N1153"/>
      <c r="O1153"/>
      <c r="P1153"/>
      <c r="Q1153"/>
      <c r="R1153"/>
      <c r="S1153"/>
      <c r="T1153"/>
      <c r="U1153"/>
      <c r="AC1153"/>
      <c r="AL1153"/>
      <c r="CG1153"/>
      <c r="CH1153"/>
      <c r="CI1153"/>
      <c r="CJ1153"/>
      <c r="CP1153"/>
      <c r="CQ1153"/>
      <c r="CR1153"/>
      <c r="CS1153"/>
    </row>
    <row r="1154" spans="12:97" ht="14.45" hidden="1" customHeight="1" x14ac:dyDescent="0.25">
      <c r="L1154"/>
      <c r="M1154"/>
      <c r="N1154"/>
      <c r="O1154"/>
      <c r="P1154"/>
      <c r="Q1154"/>
      <c r="R1154"/>
      <c r="S1154"/>
      <c r="T1154"/>
      <c r="U1154"/>
      <c r="AC1154"/>
      <c r="AL1154"/>
      <c r="CG1154"/>
      <c r="CH1154"/>
      <c r="CI1154"/>
      <c r="CJ1154"/>
      <c r="CP1154"/>
      <c r="CQ1154"/>
      <c r="CR1154"/>
      <c r="CS1154"/>
    </row>
    <row r="1155" spans="12:97" ht="14.45" hidden="1" customHeight="1" x14ac:dyDescent="0.25">
      <c r="L1155"/>
      <c r="M1155"/>
      <c r="N1155"/>
      <c r="O1155"/>
      <c r="P1155"/>
      <c r="Q1155"/>
      <c r="R1155"/>
      <c r="S1155"/>
      <c r="T1155"/>
      <c r="U1155"/>
      <c r="AC1155"/>
      <c r="AL1155"/>
      <c r="CG1155"/>
      <c r="CH1155"/>
      <c r="CI1155"/>
      <c r="CJ1155"/>
      <c r="CP1155"/>
      <c r="CQ1155"/>
      <c r="CR1155"/>
      <c r="CS1155"/>
    </row>
    <row r="1156" spans="12:97" ht="14.45" hidden="1" customHeight="1" x14ac:dyDescent="0.25">
      <c r="L1156"/>
      <c r="M1156"/>
      <c r="N1156"/>
      <c r="O1156"/>
      <c r="P1156"/>
      <c r="Q1156"/>
      <c r="R1156"/>
      <c r="S1156"/>
      <c r="T1156"/>
      <c r="U1156"/>
      <c r="AC1156"/>
      <c r="AL1156"/>
      <c r="CG1156"/>
      <c r="CH1156"/>
      <c r="CI1156"/>
      <c r="CJ1156"/>
      <c r="CP1156"/>
      <c r="CQ1156"/>
      <c r="CR1156"/>
      <c r="CS1156"/>
    </row>
    <row r="1157" spans="12:97" ht="14.45" hidden="1" customHeight="1" x14ac:dyDescent="0.25">
      <c r="L1157"/>
      <c r="M1157"/>
      <c r="N1157"/>
      <c r="O1157"/>
      <c r="P1157"/>
      <c r="Q1157"/>
      <c r="R1157"/>
      <c r="S1157"/>
      <c r="T1157"/>
      <c r="U1157"/>
      <c r="AC1157"/>
      <c r="AL1157"/>
      <c r="CG1157"/>
      <c r="CH1157"/>
      <c r="CI1157"/>
      <c r="CJ1157"/>
      <c r="CP1157"/>
      <c r="CQ1157"/>
      <c r="CR1157"/>
      <c r="CS1157"/>
    </row>
    <row r="1158" spans="12:97" ht="14.45" hidden="1" customHeight="1" x14ac:dyDescent="0.25">
      <c r="L1158"/>
      <c r="M1158"/>
      <c r="N1158"/>
      <c r="O1158"/>
      <c r="P1158"/>
      <c r="Q1158"/>
      <c r="R1158"/>
      <c r="S1158"/>
      <c r="T1158"/>
      <c r="U1158"/>
      <c r="AC1158"/>
      <c r="AL1158"/>
      <c r="CG1158"/>
      <c r="CH1158"/>
      <c r="CI1158"/>
      <c r="CJ1158"/>
      <c r="CP1158"/>
      <c r="CQ1158"/>
      <c r="CR1158"/>
      <c r="CS1158"/>
    </row>
    <row r="1159" spans="12:97" ht="14.45" hidden="1" customHeight="1" x14ac:dyDescent="0.25">
      <c r="L1159"/>
      <c r="M1159"/>
      <c r="N1159"/>
      <c r="O1159"/>
      <c r="P1159"/>
      <c r="Q1159"/>
      <c r="R1159"/>
      <c r="S1159"/>
      <c r="T1159"/>
      <c r="U1159"/>
      <c r="AC1159"/>
      <c r="AL1159"/>
      <c r="CG1159"/>
      <c r="CH1159"/>
      <c r="CI1159"/>
      <c r="CJ1159"/>
      <c r="CP1159"/>
      <c r="CQ1159"/>
      <c r="CR1159"/>
      <c r="CS1159"/>
    </row>
    <row r="1160" spans="12:97" ht="14.45" hidden="1" customHeight="1" x14ac:dyDescent="0.25">
      <c r="L1160"/>
      <c r="M1160"/>
      <c r="N1160"/>
      <c r="O1160"/>
      <c r="P1160"/>
      <c r="Q1160"/>
      <c r="R1160"/>
      <c r="S1160"/>
      <c r="T1160"/>
      <c r="U1160"/>
      <c r="AC1160"/>
      <c r="AL1160"/>
      <c r="CG1160"/>
      <c r="CH1160"/>
      <c r="CI1160"/>
      <c r="CJ1160"/>
      <c r="CP1160"/>
      <c r="CQ1160"/>
      <c r="CR1160"/>
      <c r="CS1160"/>
    </row>
    <row r="1161" spans="12:97" ht="14.45" hidden="1" customHeight="1" x14ac:dyDescent="0.25">
      <c r="L1161"/>
      <c r="M1161"/>
      <c r="N1161"/>
      <c r="O1161"/>
      <c r="P1161"/>
      <c r="Q1161"/>
      <c r="R1161"/>
      <c r="S1161"/>
      <c r="T1161"/>
      <c r="U1161"/>
      <c r="AC1161"/>
      <c r="AL1161"/>
      <c r="CG1161"/>
      <c r="CH1161"/>
      <c r="CI1161"/>
      <c r="CJ1161"/>
      <c r="CP1161"/>
      <c r="CQ1161"/>
      <c r="CR1161"/>
      <c r="CS1161"/>
    </row>
    <row r="1162" spans="12:97" ht="14.45" hidden="1" customHeight="1" x14ac:dyDescent="0.25">
      <c r="L1162"/>
      <c r="M1162"/>
      <c r="N1162"/>
      <c r="O1162"/>
      <c r="P1162"/>
      <c r="Q1162"/>
      <c r="R1162"/>
      <c r="S1162"/>
      <c r="T1162"/>
      <c r="U1162"/>
      <c r="AC1162"/>
      <c r="AL1162"/>
      <c r="CG1162"/>
      <c r="CH1162"/>
      <c r="CI1162"/>
      <c r="CJ1162"/>
      <c r="CP1162"/>
      <c r="CQ1162"/>
      <c r="CR1162"/>
      <c r="CS1162"/>
    </row>
    <row r="1163" spans="12:97" ht="14.45" hidden="1" customHeight="1" x14ac:dyDescent="0.25">
      <c r="L1163"/>
      <c r="M1163"/>
      <c r="N1163"/>
      <c r="O1163"/>
      <c r="P1163"/>
      <c r="Q1163"/>
      <c r="R1163"/>
      <c r="S1163"/>
      <c r="T1163"/>
      <c r="U1163"/>
      <c r="AC1163"/>
      <c r="AL1163"/>
      <c r="CG1163"/>
      <c r="CH1163"/>
      <c r="CI1163"/>
      <c r="CJ1163"/>
      <c r="CP1163"/>
      <c r="CQ1163"/>
      <c r="CR1163"/>
      <c r="CS1163"/>
    </row>
    <row r="1164" spans="12:97" ht="14.45" hidden="1" customHeight="1" x14ac:dyDescent="0.25">
      <c r="L1164"/>
      <c r="M1164"/>
      <c r="N1164"/>
      <c r="O1164"/>
      <c r="P1164"/>
      <c r="Q1164"/>
      <c r="R1164"/>
      <c r="S1164"/>
      <c r="T1164"/>
      <c r="U1164"/>
      <c r="AC1164"/>
      <c r="AL1164"/>
      <c r="CG1164"/>
      <c r="CH1164"/>
      <c r="CI1164"/>
      <c r="CJ1164"/>
      <c r="CP1164"/>
      <c r="CQ1164"/>
      <c r="CR1164"/>
      <c r="CS1164"/>
    </row>
    <row r="1165" spans="12:97" ht="14.45" hidden="1" customHeight="1" x14ac:dyDescent="0.25">
      <c r="L1165"/>
      <c r="M1165"/>
      <c r="N1165"/>
      <c r="O1165"/>
      <c r="P1165"/>
      <c r="Q1165"/>
      <c r="R1165"/>
      <c r="S1165"/>
      <c r="T1165"/>
      <c r="U1165"/>
      <c r="AC1165"/>
      <c r="AL1165"/>
      <c r="CG1165"/>
      <c r="CH1165"/>
      <c r="CI1165"/>
      <c r="CJ1165"/>
      <c r="CP1165"/>
      <c r="CQ1165"/>
      <c r="CR1165"/>
      <c r="CS1165"/>
    </row>
    <row r="1166" spans="12:97" ht="14.45" hidden="1" customHeight="1" x14ac:dyDescent="0.25">
      <c r="L1166"/>
      <c r="M1166"/>
      <c r="N1166"/>
      <c r="O1166"/>
      <c r="P1166"/>
      <c r="Q1166"/>
      <c r="R1166"/>
      <c r="S1166"/>
      <c r="T1166"/>
      <c r="U1166"/>
      <c r="AC1166"/>
      <c r="AL1166"/>
      <c r="CG1166"/>
      <c r="CH1166"/>
      <c r="CI1166"/>
      <c r="CJ1166"/>
      <c r="CP1166"/>
      <c r="CQ1166"/>
      <c r="CR1166"/>
      <c r="CS1166"/>
    </row>
    <row r="1167" spans="12:97" ht="14.45" hidden="1" customHeight="1" x14ac:dyDescent="0.25">
      <c r="L1167"/>
      <c r="M1167"/>
      <c r="N1167"/>
      <c r="O1167"/>
      <c r="P1167"/>
      <c r="Q1167"/>
      <c r="R1167"/>
      <c r="S1167"/>
      <c r="T1167"/>
      <c r="U1167"/>
      <c r="AC1167"/>
      <c r="AL1167"/>
      <c r="CG1167"/>
      <c r="CH1167"/>
      <c r="CI1167"/>
      <c r="CJ1167"/>
      <c r="CP1167"/>
      <c r="CQ1167"/>
      <c r="CR1167"/>
      <c r="CS1167"/>
    </row>
    <row r="1168" spans="12:97" ht="14.45" hidden="1" customHeight="1" x14ac:dyDescent="0.25">
      <c r="L1168"/>
      <c r="M1168"/>
      <c r="N1168"/>
      <c r="O1168"/>
      <c r="P1168"/>
      <c r="Q1168"/>
      <c r="R1168"/>
      <c r="S1168"/>
      <c r="T1168"/>
      <c r="U1168"/>
      <c r="AC1168"/>
      <c r="AL1168"/>
      <c r="CG1168"/>
      <c r="CH1168"/>
      <c r="CI1168"/>
      <c r="CJ1168"/>
      <c r="CP1168"/>
      <c r="CQ1168"/>
      <c r="CR1168"/>
      <c r="CS1168"/>
    </row>
    <row r="1169" spans="12:97" ht="14.45" hidden="1" customHeight="1" x14ac:dyDescent="0.25">
      <c r="L1169"/>
      <c r="M1169"/>
      <c r="N1169"/>
      <c r="O1169"/>
      <c r="P1169"/>
      <c r="Q1169"/>
      <c r="R1169"/>
      <c r="S1169"/>
      <c r="T1169"/>
      <c r="U1169"/>
      <c r="AC1169"/>
      <c r="AL1169"/>
      <c r="CG1169"/>
      <c r="CH1169"/>
      <c r="CI1169"/>
      <c r="CJ1169"/>
      <c r="CP1169"/>
      <c r="CQ1169"/>
      <c r="CR1169"/>
      <c r="CS1169"/>
    </row>
    <row r="1170" spans="12:97" ht="14.45" hidden="1" customHeight="1" x14ac:dyDescent="0.25">
      <c r="L1170"/>
      <c r="M1170"/>
      <c r="N1170"/>
      <c r="O1170"/>
      <c r="P1170"/>
      <c r="Q1170"/>
      <c r="R1170"/>
      <c r="S1170"/>
      <c r="T1170"/>
      <c r="U1170"/>
      <c r="AC1170"/>
      <c r="AL1170"/>
      <c r="CG1170"/>
      <c r="CH1170"/>
      <c r="CI1170"/>
      <c r="CJ1170"/>
      <c r="CP1170"/>
      <c r="CQ1170"/>
      <c r="CR1170"/>
      <c r="CS1170"/>
    </row>
    <row r="1171" spans="12:97" ht="14.45" hidden="1" customHeight="1" x14ac:dyDescent="0.25">
      <c r="L1171"/>
      <c r="M1171"/>
      <c r="N1171"/>
      <c r="O1171"/>
      <c r="P1171"/>
      <c r="Q1171"/>
      <c r="R1171"/>
      <c r="S1171"/>
      <c r="T1171"/>
      <c r="U1171"/>
      <c r="AC1171"/>
      <c r="AL1171"/>
      <c r="CG1171"/>
      <c r="CH1171"/>
      <c r="CI1171"/>
      <c r="CJ1171"/>
      <c r="CP1171"/>
      <c r="CQ1171"/>
      <c r="CR1171"/>
      <c r="CS1171"/>
    </row>
    <row r="1172" spans="12:97" ht="14.45" hidden="1" customHeight="1" x14ac:dyDescent="0.25">
      <c r="L1172"/>
      <c r="M1172"/>
      <c r="N1172"/>
      <c r="O1172"/>
      <c r="P1172"/>
      <c r="Q1172"/>
      <c r="R1172"/>
      <c r="S1172"/>
      <c r="T1172"/>
      <c r="U1172"/>
      <c r="AC1172"/>
      <c r="AL1172"/>
      <c r="CG1172"/>
      <c r="CH1172"/>
      <c r="CI1172"/>
      <c r="CJ1172"/>
      <c r="CP1172"/>
      <c r="CQ1172"/>
      <c r="CR1172"/>
      <c r="CS1172"/>
    </row>
    <row r="1173" spans="12:97" ht="14.45" hidden="1" customHeight="1" x14ac:dyDescent="0.25">
      <c r="L1173"/>
      <c r="M1173"/>
      <c r="N1173"/>
      <c r="O1173"/>
      <c r="P1173"/>
      <c r="Q1173"/>
      <c r="R1173"/>
      <c r="S1173"/>
      <c r="T1173"/>
      <c r="U1173"/>
      <c r="AC1173"/>
      <c r="AL1173"/>
      <c r="CG1173"/>
      <c r="CH1173"/>
      <c r="CI1173"/>
      <c r="CJ1173"/>
      <c r="CP1173"/>
      <c r="CQ1173"/>
      <c r="CR1173"/>
      <c r="CS1173"/>
    </row>
    <row r="1174" spans="12:97" ht="14.45" hidden="1" customHeight="1" x14ac:dyDescent="0.25">
      <c r="L1174"/>
      <c r="M1174"/>
      <c r="N1174"/>
      <c r="O1174"/>
      <c r="P1174"/>
      <c r="Q1174"/>
      <c r="R1174"/>
      <c r="S1174"/>
      <c r="T1174"/>
      <c r="U1174"/>
      <c r="AC1174"/>
      <c r="AL1174"/>
      <c r="CG1174"/>
      <c r="CH1174"/>
      <c r="CI1174"/>
      <c r="CJ1174"/>
      <c r="CP1174"/>
      <c r="CQ1174"/>
      <c r="CR1174"/>
      <c r="CS1174"/>
    </row>
    <row r="1175" spans="12:97" ht="14.45" hidden="1" customHeight="1" x14ac:dyDescent="0.25">
      <c r="L1175"/>
      <c r="M1175"/>
      <c r="N1175"/>
      <c r="O1175"/>
      <c r="P1175"/>
      <c r="Q1175"/>
      <c r="R1175"/>
      <c r="S1175"/>
      <c r="T1175"/>
      <c r="U1175"/>
      <c r="AC1175"/>
      <c r="AL1175"/>
      <c r="CG1175"/>
      <c r="CH1175"/>
      <c r="CI1175"/>
      <c r="CJ1175"/>
      <c r="CP1175"/>
      <c r="CQ1175"/>
      <c r="CR1175"/>
      <c r="CS1175"/>
    </row>
    <row r="1176" spans="12:97" ht="14.45" hidden="1" customHeight="1" x14ac:dyDescent="0.25">
      <c r="L1176"/>
      <c r="M1176"/>
      <c r="N1176"/>
      <c r="O1176"/>
      <c r="P1176"/>
      <c r="Q1176"/>
      <c r="R1176"/>
      <c r="S1176"/>
      <c r="T1176"/>
      <c r="U1176"/>
      <c r="AC1176"/>
      <c r="AL1176"/>
      <c r="CG1176"/>
      <c r="CH1176"/>
      <c r="CI1176"/>
      <c r="CJ1176"/>
      <c r="CP1176"/>
      <c r="CQ1176"/>
      <c r="CR1176"/>
      <c r="CS1176"/>
    </row>
    <row r="1177" spans="12:97" ht="14.45" hidden="1" customHeight="1" x14ac:dyDescent="0.25">
      <c r="L1177"/>
      <c r="M1177"/>
      <c r="N1177"/>
      <c r="O1177"/>
      <c r="P1177"/>
      <c r="Q1177"/>
      <c r="R1177"/>
      <c r="S1177"/>
      <c r="T1177"/>
      <c r="U1177"/>
      <c r="AC1177"/>
      <c r="AL1177"/>
      <c r="CG1177"/>
      <c r="CH1177"/>
      <c r="CI1177"/>
      <c r="CJ1177"/>
      <c r="CP1177"/>
      <c r="CQ1177"/>
      <c r="CR1177"/>
      <c r="CS1177"/>
    </row>
    <row r="1178" spans="12:97" ht="14.45" hidden="1" customHeight="1" x14ac:dyDescent="0.25">
      <c r="L1178"/>
      <c r="M1178"/>
      <c r="N1178"/>
      <c r="O1178"/>
      <c r="P1178"/>
      <c r="Q1178"/>
      <c r="R1178"/>
      <c r="S1178"/>
      <c r="T1178"/>
      <c r="U1178"/>
      <c r="AC1178"/>
      <c r="AL1178"/>
      <c r="CG1178"/>
      <c r="CH1178"/>
      <c r="CI1178"/>
      <c r="CJ1178"/>
      <c r="CP1178"/>
      <c r="CQ1178"/>
      <c r="CR1178"/>
      <c r="CS1178"/>
    </row>
    <row r="1179" spans="12:97" ht="14.45" hidden="1" customHeight="1" x14ac:dyDescent="0.25">
      <c r="L1179"/>
      <c r="M1179"/>
      <c r="N1179"/>
      <c r="O1179"/>
      <c r="P1179"/>
      <c r="Q1179"/>
      <c r="R1179"/>
      <c r="S1179"/>
      <c r="T1179"/>
      <c r="U1179"/>
      <c r="AC1179"/>
      <c r="AL1179"/>
      <c r="CG1179"/>
      <c r="CH1179"/>
      <c r="CI1179"/>
      <c r="CJ1179"/>
      <c r="CP1179"/>
      <c r="CQ1179"/>
      <c r="CR1179"/>
      <c r="CS1179"/>
    </row>
    <row r="1180" spans="12:97" ht="14.45" hidden="1" customHeight="1" x14ac:dyDescent="0.25">
      <c r="L1180"/>
      <c r="M1180"/>
      <c r="N1180"/>
      <c r="O1180"/>
      <c r="P1180"/>
      <c r="Q1180"/>
      <c r="R1180"/>
      <c r="S1180"/>
      <c r="T1180"/>
      <c r="U1180"/>
      <c r="AC1180"/>
      <c r="AL1180"/>
      <c r="CG1180"/>
      <c r="CH1180"/>
      <c r="CI1180"/>
      <c r="CJ1180"/>
      <c r="CP1180"/>
      <c r="CQ1180"/>
      <c r="CR1180"/>
      <c r="CS1180"/>
    </row>
    <row r="1181" spans="12:97" ht="14.45" hidden="1" customHeight="1" x14ac:dyDescent="0.25">
      <c r="L1181"/>
      <c r="M1181"/>
      <c r="N1181"/>
      <c r="O1181"/>
      <c r="P1181"/>
      <c r="Q1181"/>
      <c r="R1181"/>
      <c r="S1181"/>
      <c r="T1181"/>
      <c r="U1181"/>
      <c r="AC1181"/>
      <c r="AL1181"/>
      <c r="CG1181"/>
      <c r="CH1181"/>
      <c r="CI1181"/>
      <c r="CJ1181"/>
      <c r="CP1181"/>
      <c r="CQ1181"/>
      <c r="CR1181"/>
      <c r="CS1181"/>
    </row>
    <row r="1182" spans="12:97" ht="14.45" hidden="1" customHeight="1" x14ac:dyDescent="0.25">
      <c r="L1182"/>
      <c r="M1182"/>
      <c r="N1182"/>
      <c r="O1182"/>
      <c r="P1182"/>
      <c r="Q1182"/>
      <c r="R1182"/>
      <c r="S1182"/>
      <c r="T1182"/>
      <c r="U1182"/>
      <c r="AC1182"/>
      <c r="AL1182"/>
      <c r="CG1182"/>
      <c r="CH1182"/>
      <c r="CI1182"/>
      <c r="CJ1182"/>
      <c r="CP1182"/>
      <c r="CQ1182"/>
      <c r="CR1182"/>
      <c r="CS1182"/>
    </row>
    <row r="1183" spans="12:97" ht="14.45" hidden="1" customHeight="1" x14ac:dyDescent="0.25">
      <c r="L1183"/>
      <c r="M1183"/>
      <c r="N1183"/>
      <c r="O1183"/>
      <c r="P1183"/>
      <c r="Q1183"/>
      <c r="R1183"/>
      <c r="S1183"/>
      <c r="T1183"/>
      <c r="U1183"/>
      <c r="AC1183"/>
      <c r="AL1183"/>
      <c r="CG1183"/>
      <c r="CH1183"/>
      <c r="CI1183"/>
      <c r="CJ1183"/>
      <c r="CP1183"/>
      <c r="CQ1183"/>
      <c r="CR1183"/>
      <c r="CS1183"/>
    </row>
    <row r="1184" spans="12:97" ht="14.45" hidden="1" customHeight="1" x14ac:dyDescent="0.25">
      <c r="L1184"/>
      <c r="M1184"/>
      <c r="N1184"/>
      <c r="O1184"/>
      <c r="P1184"/>
      <c r="Q1184"/>
      <c r="R1184"/>
      <c r="S1184"/>
      <c r="T1184"/>
      <c r="U1184"/>
      <c r="AC1184"/>
      <c r="AL1184"/>
      <c r="CG1184"/>
      <c r="CH1184"/>
      <c r="CI1184"/>
      <c r="CJ1184"/>
      <c r="CP1184"/>
      <c r="CQ1184"/>
      <c r="CR1184"/>
      <c r="CS1184"/>
    </row>
    <row r="1185" spans="12:97" ht="14.45" hidden="1" customHeight="1" x14ac:dyDescent="0.25">
      <c r="L1185"/>
      <c r="M1185"/>
      <c r="N1185"/>
      <c r="O1185"/>
      <c r="P1185"/>
      <c r="Q1185"/>
      <c r="R1185"/>
      <c r="S1185"/>
      <c r="T1185"/>
      <c r="U1185"/>
      <c r="AC1185"/>
      <c r="AL1185"/>
      <c r="CG1185"/>
      <c r="CH1185"/>
      <c r="CI1185"/>
      <c r="CJ1185"/>
      <c r="CP1185"/>
      <c r="CQ1185"/>
      <c r="CR1185"/>
      <c r="CS1185"/>
    </row>
    <row r="1186" spans="12:97" ht="14.45" hidden="1" customHeight="1" x14ac:dyDescent="0.25">
      <c r="L1186"/>
      <c r="M1186"/>
      <c r="N1186"/>
      <c r="O1186"/>
      <c r="P1186"/>
      <c r="Q1186"/>
      <c r="R1186"/>
      <c r="S1186"/>
      <c r="T1186"/>
      <c r="U1186"/>
      <c r="AC1186"/>
      <c r="AL1186"/>
      <c r="CG1186"/>
      <c r="CH1186"/>
      <c r="CI1186"/>
      <c r="CJ1186"/>
      <c r="CP1186"/>
      <c r="CQ1186"/>
      <c r="CR1186"/>
      <c r="CS1186"/>
    </row>
    <row r="1187" spans="12:97" ht="14.45" hidden="1" customHeight="1" x14ac:dyDescent="0.25">
      <c r="L1187"/>
      <c r="M1187"/>
      <c r="N1187"/>
      <c r="O1187"/>
      <c r="P1187"/>
      <c r="Q1187"/>
      <c r="R1187"/>
      <c r="S1187"/>
      <c r="T1187"/>
      <c r="U1187"/>
      <c r="AC1187"/>
      <c r="AL1187"/>
      <c r="CG1187"/>
      <c r="CH1187"/>
      <c r="CI1187"/>
      <c r="CJ1187"/>
      <c r="CP1187"/>
      <c r="CQ1187"/>
      <c r="CR1187"/>
      <c r="CS1187"/>
    </row>
    <row r="1188" spans="12:97" ht="14.45" hidden="1" customHeight="1" x14ac:dyDescent="0.25">
      <c r="L1188"/>
      <c r="M1188"/>
      <c r="N1188"/>
      <c r="O1188"/>
      <c r="P1188"/>
      <c r="Q1188"/>
      <c r="R1188"/>
      <c r="S1188"/>
      <c r="T1188"/>
      <c r="U1188"/>
      <c r="AC1188"/>
      <c r="AL1188"/>
      <c r="CG1188"/>
      <c r="CH1188"/>
      <c r="CI1188"/>
      <c r="CJ1188"/>
      <c r="CP1188"/>
      <c r="CQ1188"/>
      <c r="CR1188"/>
      <c r="CS1188"/>
    </row>
    <row r="1189" spans="12:97" ht="14.45" hidden="1" customHeight="1" x14ac:dyDescent="0.25">
      <c r="L1189"/>
      <c r="M1189"/>
      <c r="N1189"/>
      <c r="O1189"/>
      <c r="P1189"/>
      <c r="Q1189"/>
      <c r="R1189"/>
      <c r="S1189"/>
      <c r="T1189"/>
      <c r="U1189"/>
      <c r="AC1189"/>
      <c r="AL1189"/>
      <c r="CG1189"/>
      <c r="CH1189"/>
      <c r="CI1189"/>
      <c r="CJ1189"/>
      <c r="CP1189"/>
      <c r="CQ1189"/>
      <c r="CR1189"/>
      <c r="CS1189"/>
    </row>
    <row r="1190" spans="12:97" ht="14.45" hidden="1" customHeight="1" x14ac:dyDescent="0.25">
      <c r="L1190"/>
      <c r="M1190"/>
      <c r="N1190"/>
      <c r="O1190"/>
      <c r="P1190"/>
      <c r="Q1190"/>
      <c r="R1190"/>
      <c r="S1190"/>
      <c r="T1190"/>
      <c r="U1190"/>
      <c r="AC1190"/>
      <c r="AL1190"/>
      <c r="CG1190"/>
      <c r="CH1190"/>
      <c r="CI1190"/>
      <c r="CJ1190"/>
      <c r="CP1190"/>
      <c r="CQ1190"/>
      <c r="CR1190"/>
      <c r="CS1190"/>
    </row>
    <row r="1191" spans="12:97" ht="14.45" hidden="1" customHeight="1" x14ac:dyDescent="0.25">
      <c r="L1191"/>
      <c r="M1191"/>
      <c r="N1191"/>
      <c r="O1191"/>
      <c r="P1191"/>
      <c r="Q1191"/>
      <c r="R1191"/>
      <c r="S1191"/>
      <c r="T1191"/>
      <c r="U1191"/>
      <c r="AC1191"/>
      <c r="AL1191"/>
      <c r="CG1191"/>
      <c r="CH1191"/>
      <c r="CI1191"/>
      <c r="CJ1191"/>
      <c r="CP1191"/>
      <c r="CQ1191"/>
      <c r="CR1191"/>
      <c r="CS1191"/>
    </row>
    <row r="1192" spans="12:97" ht="14.45" hidden="1" customHeight="1" x14ac:dyDescent="0.25">
      <c r="L1192"/>
      <c r="M1192"/>
      <c r="N1192"/>
      <c r="O1192"/>
      <c r="P1192"/>
      <c r="Q1192"/>
      <c r="R1192"/>
      <c r="S1192"/>
      <c r="T1192"/>
      <c r="U1192"/>
      <c r="AC1192"/>
      <c r="AL1192"/>
      <c r="CG1192"/>
      <c r="CH1192"/>
      <c r="CI1192"/>
      <c r="CJ1192"/>
      <c r="CP1192"/>
      <c r="CQ1192"/>
      <c r="CR1192"/>
      <c r="CS1192"/>
    </row>
    <row r="1193" spans="12:97" ht="14.45" hidden="1" customHeight="1" x14ac:dyDescent="0.25">
      <c r="L1193"/>
      <c r="M1193"/>
      <c r="N1193"/>
      <c r="O1193"/>
      <c r="P1193"/>
      <c r="Q1193"/>
      <c r="R1193"/>
      <c r="S1193"/>
      <c r="T1193"/>
      <c r="U1193"/>
      <c r="AC1193"/>
      <c r="AL1193"/>
      <c r="CG1193"/>
      <c r="CH1193"/>
      <c r="CI1193"/>
      <c r="CJ1193"/>
      <c r="CP1193"/>
      <c r="CQ1193"/>
      <c r="CR1193"/>
      <c r="CS1193"/>
    </row>
    <row r="1194" spans="12:97" ht="14.45" hidden="1" customHeight="1" x14ac:dyDescent="0.25">
      <c r="L1194"/>
      <c r="M1194"/>
      <c r="N1194"/>
      <c r="O1194"/>
      <c r="P1194"/>
      <c r="Q1194"/>
      <c r="R1194"/>
      <c r="S1194"/>
      <c r="T1194"/>
      <c r="U1194"/>
      <c r="AC1194"/>
      <c r="AL1194"/>
      <c r="CG1194"/>
      <c r="CH1194"/>
      <c r="CI1194"/>
      <c r="CJ1194"/>
      <c r="CP1194"/>
      <c r="CQ1194"/>
      <c r="CR1194"/>
      <c r="CS1194"/>
    </row>
    <row r="1195" spans="12:97" ht="14.45" hidden="1" customHeight="1" x14ac:dyDescent="0.25">
      <c r="L1195"/>
      <c r="M1195"/>
      <c r="N1195"/>
      <c r="O1195"/>
      <c r="P1195"/>
      <c r="Q1195"/>
      <c r="R1195"/>
      <c r="S1195"/>
      <c r="T1195"/>
      <c r="U1195"/>
      <c r="AC1195"/>
      <c r="AL1195"/>
      <c r="CG1195"/>
      <c r="CH1195"/>
      <c r="CI1195"/>
      <c r="CJ1195"/>
      <c r="CP1195"/>
      <c r="CQ1195"/>
      <c r="CR1195"/>
      <c r="CS1195"/>
    </row>
    <row r="1196" spans="12:97" ht="14.45" hidden="1" customHeight="1" x14ac:dyDescent="0.25">
      <c r="L1196"/>
      <c r="M1196"/>
      <c r="N1196"/>
      <c r="O1196"/>
      <c r="P1196"/>
      <c r="Q1196"/>
      <c r="R1196"/>
      <c r="S1196"/>
      <c r="T1196"/>
      <c r="U1196"/>
      <c r="AC1196"/>
      <c r="AL1196"/>
      <c r="CG1196"/>
      <c r="CH1196"/>
      <c r="CI1196"/>
      <c r="CJ1196"/>
      <c r="CP1196"/>
      <c r="CQ1196"/>
      <c r="CR1196"/>
      <c r="CS1196"/>
    </row>
    <row r="1197" spans="12:97" ht="14.45" hidden="1" customHeight="1" x14ac:dyDescent="0.25">
      <c r="L1197"/>
      <c r="M1197"/>
      <c r="N1197"/>
      <c r="O1197"/>
      <c r="P1197"/>
      <c r="Q1197"/>
      <c r="R1197"/>
      <c r="S1197"/>
      <c r="T1197"/>
      <c r="U1197"/>
      <c r="AC1197"/>
      <c r="AL1197"/>
      <c r="CG1197"/>
      <c r="CH1197"/>
      <c r="CI1197"/>
      <c r="CJ1197"/>
      <c r="CP1197"/>
      <c r="CQ1197"/>
      <c r="CR1197"/>
      <c r="CS1197"/>
    </row>
    <row r="1198" spans="12:97" ht="14.45" hidden="1" customHeight="1" x14ac:dyDescent="0.25">
      <c r="L1198"/>
      <c r="M1198"/>
      <c r="N1198"/>
      <c r="O1198"/>
      <c r="P1198"/>
      <c r="Q1198"/>
      <c r="R1198"/>
      <c r="S1198"/>
      <c r="T1198"/>
      <c r="U1198"/>
      <c r="AC1198"/>
      <c r="AL1198"/>
      <c r="CG1198"/>
      <c r="CH1198"/>
      <c r="CI1198"/>
      <c r="CJ1198"/>
      <c r="CP1198"/>
      <c r="CQ1198"/>
      <c r="CR1198"/>
      <c r="CS1198"/>
    </row>
    <row r="1199" spans="12:97" ht="14.45" hidden="1" customHeight="1" x14ac:dyDescent="0.25">
      <c r="L1199"/>
      <c r="M1199"/>
      <c r="N1199"/>
      <c r="O1199"/>
      <c r="P1199"/>
      <c r="Q1199"/>
      <c r="R1199"/>
      <c r="S1199"/>
      <c r="T1199"/>
      <c r="U1199"/>
      <c r="AC1199"/>
      <c r="AL1199"/>
      <c r="CG1199"/>
      <c r="CH1199"/>
      <c r="CI1199"/>
      <c r="CJ1199"/>
      <c r="CP1199"/>
      <c r="CQ1199"/>
      <c r="CR1199"/>
      <c r="CS1199"/>
    </row>
    <row r="1200" spans="12:97" ht="14.45" hidden="1" customHeight="1" x14ac:dyDescent="0.25">
      <c r="L1200"/>
      <c r="M1200"/>
      <c r="N1200"/>
      <c r="O1200"/>
      <c r="P1200"/>
      <c r="Q1200"/>
      <c r="R1200"/>
      <c r="S1200"/>
      <c r="T1200"/>
      <c r="U1200"/>
      <c r="AC1200"/>
      <c r="AL1200"/>
      <c r="CG1200"/>
      <c r="CH1200"/>
      <c r="CI1200"/>
      <c r="CJ1200"/>
      <c r="CP1200"/>
      <c r="CQ1200"/>
      <c r="CR1200"/>
      <c r="CS1200"/>
    </row>
    <row r="1201" spans="12:97" ht="14.45" hidden="1" customHeight="1" x14ac:dyDescent="0.25">
      <c r="L1201"/>
      <c r="M1201"/>
      <c r="N1201"/>
      <c r="O1201"/>
      <c r="P1201"/>
      <c r="Q1201"/>
      <c r="R1201"/>
      <c r="S1201"/>
      <c r="T1201"/>
      <c r="U1201"/>
      <c r="AC1201"/>
      <c r="AL1201"/>
      <c r="CG1201"/>
      <c r="CH1201"/>
      <c r="CI1201"/>
      <c r="CJ1201"/>
      <c r="CP1201"/>
      <c r="CQ1201"/>
      <c r="CR1201"/>
      <c r="CS1201"/>
    </row>
    <row r="1202" spans="12:97" ht="14.45" hidden="1" customHeight="1" x14ac:dyDescent="0.25">
      <c r="L1202"/>
      <c r="M1202"/>
      <c r="N1202"/>
      <c r="O1202"/>
      <c r="P1202"/>
      <c r="Q1202"/>
      <c r="R1202"/>
      <c r="S1202"/>
      <c r="T1202"/>
      <c r="U1202"/>
      <c r="AC1202"/>
      <c r="AL1202"/>
      <c r="CG1202"/>
      <c r="CH1202"/>
      <c r="CI1202"/>
      <c r="CJ1202"/>
      <c r="CP1202"/>
      <c r="CQ1202"/>
      <c r="CR1202"/>
      <c r="CS1202"/>
    </row>
    <row r="1203" spans="12:97" ht="14.45" hidden="1" customHeight="1" x14ac:dyDescent="0.25">
      <c r="L1203"/>
      <c r="M1203"/>
      <c r="N1203"/>
      <c r="O1203"/>
      <c r="P1203"/>
      <c r="Q1203"/>
      <c r="R1203"/>
      <c r="S1203"/>
      <c r="T1203"/>
      <c r="U1203"/>
      <c r="AC1203"/>
      <c r="AL1203"/>
      <c r="CG1203"/>
      <c r="CH1203"/>
      <c r="CI1203"/>
      <c r="CJ1203"/>
      <c r="CP1203"/>
      <c r="CQ1203"/>
      <c r="CR1203"/>
      <c r="CS1203"/>
    </row>
    <row r="1204" spans="12:97" ht="14.45" hidden="1" customHeight="1" x14ac:dyDescent="0.25">
      <c r="L1204"/>
      <c r="M1204"/>
      <c r="N1204"/>
      <c r="O1204"/>
      <c r="P1204"/>
      <c r="Q1204"/>
      <c r="R1204"/>
      <c r="S1204"/>
      <c r="T1204"/>
      <c r="U1204"/>
      <c r="AC1204"/>
      <c r="AL1204"/>
      <c r="CG1204"/>
      <c r="CH1204"/>
      <c r="CI1204"/>
      <c r="CJ1204"/>
      <c r="CP1204"/>
      <c r="CQ1204"/>
      <c r="CR1204"/>
      <c r="CS1204"/>
    </row>
    <row r="1205" spans="12:97" ht="14.45" hidden="1" customHeight="1" x14ac:dyDescent="0.25">
      <c r="L1205"/>
      <c r="M1205"/>
      <c r="N1205"/>
      <c r="O1205"/>
      <c r="P1205"/>
      <c r="Q1205"/>
      <c r="R1205"/>
      <c r="S1205"/>
      <c r="T1205"/>
      <c r="U1205"/>
      <c r="AC1205"/>
      <c r="AL1205"/>
      <c r="CG1205"/>
      <c r="CH1205"/>
      <c r="CI1205"/>
      <c r="CJ1205"/>
      <c r="CP1205"/>
      <c r="CQ1205"/>
      <c r="CR1205"/>
      <c r="CS1205"/>
    </row>
    <row r="1206" spans="12:97" ht="14.45" hidden="1" customHeight="1" x14ac:dyDescent="0.25">
      <c r="L1206"/>
      <c r="M1206"/>
      <c r="N1206"/>
      <c r="O1206"/>
      <c r="P1206"/>
      <c r="Q1206"/>
      <c r="R1206"/>
      <c r="S1206"/>
      <c r="T1206"/>
      <c r="U1206"/>
      <c r="AC1206"/>
      <c r="AL1206"/>
      <c r="CG1206"/>
      <c r="CH1206"/>
      <c r="CI1206"/>
      <c r="CJ1206"/>
      <c r="CP1206"/>
      <c r="CQ1206"/>
      <c r="CR1206"/>
      <c r="CS1206"/>
    </row>
    <row r="1207" spans="12:97" ht="14.45" hidden="1" customHeight="1" x14ac:dyDescent="0.25">
      <c r="L1207"/>
      <c r="M1207"/>
      <c r="N1207"/>
      <c r="O1207"/>
      <c r="P1207"/>
      <c r="Q1207"/>
      <c r="R1207"/>
      <c r="S1207"/>
      <c r="T1207"/>
      <c r="U1207"/>
      <c r="AC1207"/>
      <c r="AL1207"/>
      <c r="CG1207"/>
      <c r="CH1207"/>
      <c r="CI1207"/>
      <c r="CJ1207"/>
      <c r="CP1207"/>
      <c r="CQ1207"/>
      <c r="CR1207"/>
      <c r="CS1207"/>
    </row>
    <row r="1208" spans="12:97" ht="14.45" hidden="1" customHeight="1" x14ac:dyDescent="0.25">
      <c r="L1208"/>
      <c r="M1208"/>
      <c r="N1208"/>
      <c r="O1208"/>
      <c r="P1208"/>
      <c r="Q1208"/>
      <c r="R1208"/>
      <c r="S1208"/>
      <c r="T1208"/>
      <c r="U1208"/>
      <c r="AC1208"/>
      <c r="AL1208"/>
      <c r="CG1208"/>
      <c r="CH1208"/>
      <c r="CI1208"/>
      <c r="CJ1208"/>
      <c r="CP1208"/>
      <c r="CQ1208"/>
      <c r="CR1208"/>
      <c r="CS1208"/>
    </row>
    <row r="1209" spans="12:97" ht="14.45" hidden="1" customHeight="1" x14ac:dyDescent="0.25">
      <c r="L1209"/>
      <c r="M1209"/>
      <c r="N1209"/>
      <c r="O1209"/>
      <c r="P1209"/>
      <c r="Q1209"/>
      <c r="R1209"/>
      <c r="S1209"/>
      <c r="T1209"/>
      <c r="U1209"/>
      <c r="AC1209"/>
      <c r="AL1209"/>
      <c r="CG1209"/>
      <c r="CH1209"/>
      <c r="CI1209"/>
      <c r="CJ1209"/>
      <c r="CP1209"/>
      <c r="CQ1209"/>
      <c r="CR1209"/>
      <c r="CS1209"/>
    </row>
    <row r="1210" spans="12:97" ht="14.45" hidden="1" customHeight="1" x14ac:dyDescent="0.25">
      <c r="L1210"/>
      <c r="M1210"/>
      <c r="N1210"/>
      <c r="O1210"/>
      <c r="P1210"/>
      <c r="Q1210"/>
      <c r="R1210"/>
      <c r="S1210"/>
      <c r="T1210"/>
      <c r="U1210"/>
      <c r="AC1210"/>
      <c r="AL1210"/>
      <c r="CG1210"/>
      <c r="CH1210"/>
      <c r="CI1210"/>
      <c r="CJ1210"/>
      <c r="CP1210"/>
      <c r="CQ1210"/>
      <c r="CR1210"/>
      <c r="CS1210"/>
    </row>
    <row r="1211" spans="12:97" ht="14.45" hidden="1" customHeight="1" x14ac:dyDescent="0.25">
      <c r="L1211"/>
      <c r="M1211"/>
      <c r="N1211"/>
      <c r="O1211"/>
      <c r="P1211"/>
      <c r="Q1211"/>
      <c r="R1211"/>
      <c r="S1211"/>
      <c r="T1211"/>
      <c r="U1211"/>
      <c r="AC1211"/>
      <c r="AL1211"/>
      <c r="CG1211"/>
      <c r="CH1211"/>
      <c r="CI1211"/>
      <c r="CJ1211"/>
      <c r="CP1211"/>
      <c r="CQ1211"/>
      <c r="CR1211"/>
      <c r="CS1211"/>
    </row>
    <row r="1212" spans="12:97" ht="14.45" hidden="1" customHeight="1" x14ac:dyDescent="0.25">
      <c r="L1212"/>
      <c r="M1212"/>
      <c r="N1212"/>
      <c r="O1212"/>
      <c r="P1212"/>
      <c r="Q1212"/>
      <c r="R1212"/>
      <c r="S1212"/>
      <c r="T1212"/>
      <c r="U1212"/>
      <c r="AC1212"/>
      <c r="AL1212"/>
      <c r="CG1212"/>
      <c r="CH1212"/>
      <c r="CI1212"/>
      <c r="CJ1212"/>
      <c r="CP1212"/>
      <c r="CQ1212"/>
      <c r="CR1212"/>
      <c r="CS1212"/>
    </row>
    <row r="1213" spans="12:97" ht="14.45" hidden="1" customHeight="1" x14ac:dyDescent="0.25">
      <c r="L1213"/>
      <c r="M1213"/>
      <c r="N1213"/>
      <c r="O1213"/>
      <c r="P1213"/>
      <c r="Q1213"/>
      <c r="R1213"/>
      <c r="S1213"/>
      <c r="T1213"/>
      <c r="U1213"/>
      <c r="AC1213"/>
      <c r="AL1213"/>
      <c r="CG1213"/>
      <c r="CH1213"/>
      <c r="CI1213"/>
      <c r="CJ1213"/>
      <c r="CP1213"/>
      <c r="CQ1213"/>
      <c r="CR1213"/>
      <c r="CS1213"/>
    </row>
    <row r="1214" spans="12:97" ht="14.45" hidden="1" customHeight="1" x14ac:dyDescent="0.25">
      <c r="L1214"/>
      <c r="M1214"/>
      <c r="N1214"/>
      <c r="O1214"/>
      <c r="P1214"/>
      <c r="Q1214"/>
      <c r="R1214"/>
      <c r="S1214"/>
      <c r="T1214"/>
      <c r="U1214"/>
      <c r="AC1214"/>
      <c r="AL1214"/>
      <c r="CG1214"/>
      <c r="CH1214"/>
      <c r="CI1214"/>
      <c r="CJ1214"/>
      <c r="CP1214"/>
      <c r="CQ1214"/>
      <c r="CR1214"/>
      <c r="CS1214"/>
    </row>
    <row r="1215" spans="12:97" ht="14.45" hidden="1" customHeight="1" x14ac:dyDescent="0.25">
      <c r="L1215"/>
      <c r="M1215"/>
      <c r="N1215"/>
      <c r="O1215"/>
      <c r="P1215"/>
      <c r="Q1215"/>
      <c r="R1215"/>
      <c r="S1215"/>
      <c r="T1215"/>
      <c r="U1215"/>
      <c r="AC1215"/>
      <c r="AL1215"/>
      <c r="CG1215"/>
      <c r="CH1215"/>
      <c r="CI1215"/>
      <c r="CJ1215"/>
      <c r="CP1215"/>
      <c r="CQ1215"/>
      <c r="CR1215"/>
      <c r="CS1215"/>
    </row>
    <row r="1216" spans="12:97" ht="14.45" hidden="1" customHeight="1" x14ac:dyDescent="0.25">
      <c r="L1216"/>
      <c r="M1216"/>
      <c r="N1216"/>
      <c r="O1216"/>
      <c r="P1216"/>
      <c r="Q1216"/>
      <c r="R1216"/>
      <c r="S1216"/>
      <c r="T1216"/>
      <c r="U1216"/>
      <c r="AC1216"/>
      <c r="AL1216"/>
      <c r="CG1216"/>
      <c r="CH1216"/>
      <c r="CI1216"/>
      <c r="CJ1216"/>
      <c r="CP1216"/>
      <c r="CQ1216"/>
      <c r="CR1216"/>
      <c r="CS1216"/>
    </row>
    <row r="1217" spans="12:97" ht="14.45" hidden="1" customHeight="1" x14ac:dyDescent="0.25">
      <c r="L1217"/>
      <c r="M1217"/>
      <c r="N1217"/>
      <c r="O1217"/>
      <c r="P1217"/>
      <c r="Q1217"/>
      <c r="R1217"/>
      <c r="S1217"/>
      <c r="T1217"/>
      <c r="U1217"/>
      <c r="AC1217"/>
      <c r="AL1217"/>
      <c r="CG1217"/>
      <c r="CH1217"/>
      <c r="CI1217"/>
      <c r="CJ1217"/>
      <c r="CP1217"/>
      <c r="CQ1217"/>
      <c r="CR1217"/>
      <c r="CS1217"/>
    </row>
    <row r="1218" spans="12:97" ht="14.45" hidden="1" customHeight="1" x14ac:dyDescent="0.25">
      <c r="L1218"/>
      <c r="M1218"/>
      <c r="N1218"/>
      <c r="O1218"/>
      <c r="P1218"/>
      <c r="Q1218"/>
      <c r="R1218"/>
      <c r="S1218"/>
      <c r="T1218"/>
      <c r="U1218"/>
      <c r="AC1218"/>
      <c r="AL1218"/>
      <c r="CG1218"/>
      <c r="CH1218"/>
      <c r="CI1218"/>
      <c r="CJ1218"/>
      <c r="CP1218"/>
      <c r="CQ1218"/>
      <c r="CR1218"/>
      <c r="CS1218"/>
    </row>
    <row r="1219" spans="12:97" ht="14.45" hidden="1" customHeight="1" x14ac:dyDescent="0.25">
      <c r="L1219"/>
      <c r="M1219"/>
      <c r="N1219"/>
      <c r="O1219"/>
      <c r="P1219"/>
      <c r="Q1219"/>
      <c r="R1219"/>
      <c r="S1219"/>
      <c r="T1219"/>
      <c r="U1219"/>
      <c r="AC1219"/>
      <c r="AL1219"/>
      <c r="CG1219"/>
      <c r="CH1219"/>
      <c r="CI1219"/>
      <c r="CJ1219"/>
      <c r="CP1219"/>
      <c r="CQ1219"/>
      <c r="CR1219"/>
      <c r="CS1219"/>
    </row>
    <row r="1220" spans="12:97" ht="14.45" hidden="1" customHeight="1" x14ac:dyDescent="0.25">
      <c r="L1220"/>
      <c r="M1220"/>
      <c r="N1220"/>
      <c r="O1220"/>
      <c r="P1220"/>
      <c r="Q1220"/>
      <c r="R1220"/>
      <c r="S1220"/>
      <c r="T1220"/>
      <c r="U1220"/>
      <c r="AC1220"/>
      <c r="AL1220"/>
      <c r="CG1220"/>
      <c r="CH1220"/>
      <c r="CI1220"/>
      <c r="CJ1220"/>
      <c r="CP1220"/>
      <c r="CQ1220"/>
      <c r="CR1220"/>
      <c r="CS1220"/>
    </row>
    <row r="1221" spans="12:97" ht="14.45" hidden="1" customHeight="1" x14ac:dyDescent="0.25">
      <c r="L1221"/>
      <c r="M1221"/>
      <c r="N1221"/>
      <c r="O1221"/>
      <c r="P1221"/>
      <c r="Q1221"/>
      <c r="R1221"/>
      <c r="S1221"/>
      <c r="T1221"/>
      <c r="U1221"/>
      <c r="AC1221"/>
      <c r="AL1221"/>
      <c r="CG1221"/>
      <c r="CH1221"/>
      <c r="CI1221"/>
      <c r="CJ1221"/>
      <c r="CP1221"/>
      <c r="CQ1221"/>
      <c r="CR1221"/>
      <c r="CS1221"/>
    </row>
    <row r="1222" spans="12:97" ht="14.45" hidden="1" customHeight="1" x14ac:dyDescent="0.25">
      <c r="L1222"/>
      <c r="M1222"/>
      <c r="N1222"/>
      <c r="O1222"/>
      <c r="P1222"/>
      <c r="Q1222"/>
      <c r="R1222"/>
      <c r="S1222"/>
      <c r="T1222"/>
      <c r="U1222"/>
      <c r="AC1222"/>
      <c r="AL1222"/>
      <c r="CG1222"/>
      <c r="CH1222"/>
      <c r="CI1222"/>
      <c r="CJ1222"/>
      <c r="CP1222"/>
      <c r="CQ1222"/>
      <c r="CR1222"/>
      <c r="CS1222"/>
    </row>
    <row r="1223" spans="12:97" ht="14.45" hidden="1" customHeight="1" x14ac:dyDescent="0.25">
      <c r="L1223"/>
      <c r="M1223"/>
      <c r="N1223"/>
      <c r="O1223"/>
      <c r="P1223"/>
      <c r="Q1223"/>
      <c r="R1223"/>
      <c r="S1223"/>
      <c r="T1223"/>
      <c r="U1223"/>
      <c r="AC1223"/>
      <c r="AL1223"/>
      <c r="CG1223"/>
      <c r="CH1223"/>
      <c r="CI1223"/>
      <c r="CJ1223"/>
      <c r="CP1223"/>
      <c r="CQ1223"/>
      <c r="CR1223"/>
      <c r="CS1223"/>
    </row>
    <row r="1224" spans="12:97" ht="14.45" hidden="1" customHeight="1" x14ac:dyDescent="0.25">
      <c r="L1224"/>
      <c r="M1224"/>
      <c r="N1224"/>
      <c r="O1224"/>
      <c r="P1224"/>
      <c r="Q1224"/>
      <c r="R1224"/>
      <c r="S1224"/>
      <c r="T1224"/>
      <c r="U1224"/>
      <c r="AC1224"/>
      <c r="AL1224"/>
      <c r="CG1224"/>
      <c r="CH1224"/>
      <c r="CI1224"/>
      <c r="CJ1224"/>
      <c r="CP1224"/>
      <c r="CQ1224"/>
      <c r="CR1224"/>
      <c r="CS1224"/>
    </row>
    <row r="1225" spans="12:97" ht="14.45" hidden="1" customHeight="1" x14ac:dyDescent="0.25">
      <c r="L1225"/>
      <c r="M1225"/>
      <c r="N1225"/>
      <c r="O1225"/>
      <c r="P1225"/>
      <c r="Q1225"/>
      <c r="R1225"/>
      <c r="S1225"/>
      <c r="T1225"/>
      <c r="U1225"/>
      <c r="AC1225"/>
      <c r="AL1225"/>
      <c r="CG1225"/>
      <c r="CH1225"/>
      <c r="CI1225"/>
      <c r="CJ1225"/>
      <c r="CP1225"/>
      <c r="CQ1225"/>
      <c r="CR1225"/>
      <c r="CS1225"/>
    </row>
    <row r="1226" spans="12:97" ht="14.45" hidden="1" customHeight="1" x14ac:dyDescent="0.25">
      <c r="L1226"/>
      <c r="M1226"/>
      <c r="N1226"/>
      <c r="O1226"/>
      <c r="P1226"/>
      <c r="Q1226"/>
      <c r="R1226"/>
      <c r="S1226"/>
      <c r="T1226"/>
      <c r="U1226"/>
      <c r="AC1226"/>
      <c r="AL1226"/>
      <c r="CG1226"/>
      <c r="CH1226"/>
      <c r="CI1226"/>
      <c r="CJ1226"/>
      <c r="CP1226"/>
      <c r="CQ1226"/>
      <c r="CR1226"/>
      <c r="CS1226"/>
    </row>
    <row r="1227" spans="12:97" ht="14.45" hidden="1" customHeight="1" x14ac:dyDescent="0.25">
      <c r="L1227"/>
      <c r="M1227"/>
      <c r="N1227"/>
      <c r="O1227"/>
      <c r="P1227"/>
      <c r="Q1227"/>
      <c r="R1227"/>
      <c r="S1227"/>
      <c r="T1227"/>
      <c r="U1227"/>
      <c r="AC1227"/>
      <c r="AL1227"/>
      <c r="CG1227"/>
      <c r="CH1227"/>
      <c r="CI1227"/>
      <c r="CJ1227"/>
      <c r="CP1227"/>
      <c r="CQ1227"/>
      <c r="CR1227"/>
      <c r="CS1227"/>
    </row>
    <row r="1228" spans="12:97" ht="14.45" hidden="1" customHeight="1" x14ac:dyDescent="0.25">
      <c r="L1228"/>
      <c r="M1228"/>
      <c r="N1228"/>
      <c r="O1228"/>
      <c r="P1228"/>
      <c r="Q1228"/>
      <c r="R1228"/>
      <c r="S1228"/>
      <c r="T1228"/>
      <c r="U1228"/>
      <c r="AC1228"/>
      <c r="AL1228"/>
      <c r="CG1228"/>
      <c r="CH1228"/>
      <c r="CI1228"/>
      <c r="CJ1228"/>
      <c r="CP1228"/>
      <c r="CQ1228"/>
      <c r="CR1228"/>
      <c r="CS1228"/>
    </row>
    <row r="1229" spans="12:97" ht="14.45" hidden="1" customHeight="1" x14ac:dyDescent="0.25">
      <c r="L1229"/>
      <c r="M1229"/>
      <c r="N1229"/>
      <c r="O1229"/>
      <c r="P1229"/>
      <c r="Q1229"/>
      <c r="R1229"/>
      <c r="S1229"/>
      <c r="T1229"/>
      <c r="U1229"/>
      <c r="AC1229"/>
      <c r="AL1229"/>
      <c r="CG1229"/>
      <c r="CH1229"/>
      <c r="CI1229"/>
      <c r="CJ1229"/>
      <c r="CP1229"/>
      <c r="CQ1229"/>
      <c r="CR1229"/>
      <c r="CS1229"/>
    </row>
    <row r="1230" spans="12:97" ht="14.45" hidden="1" customHeight="1" x14ac:dyDescent="0.25">
      <c r="L1230"/>
      <c r="M1230"/>
      <c r="N1230"/>
      <c r="O1230"/>
      <c r="P1230"/>
      <c r="Q1230"/>
      <c r="R1230"/>
      <c r="S1230"/>
      <c r="T1230"/>
      <c r="U1230"/>
      <c r="AC1230"/>
      <c r="AL1230"/>
      <c r="CG1230"/>
      <c r="CH1230"/>
      <c r="CI1230"/>
      <c r="CJ1230"/>
      <c r="CP1230"/>
      <c r="CQ1230"/>
      <c r="CR1230"/>
      <c r="CS1230"/>
    </row>
    <row r="1231" spans="12:97" ht="14.45" hidden="1" customHeight="1" x14ac:dyDescent="0.25">
      <c r="L1231"/>
      <c r="M1231"/>
      <c r="N1231"/>
      <c r="O1231"/>
      <c r="P1231"/>
      <c r="Q1231"/>
      <c r="R1231"/>
      <c r="S1231"/>
      <c r="T1231"/>
      <c r="U1231"/>
      <c r="AC1231"/>
      <c r="AL1231"/>
      <c r="CG1231"/>
      <c r="CH1231"/>
      <c r="CI1231"/>
      <c r="CJ1231"/>
      <c r="CP1231"/>
      <c r="CQ1231"/>
      <c r="CR1231"/>
      <c r="CS1231"/>
    </row>
    <row r="1232" spans="12:97" ht="14.45" hidden="1" customHeight="1" x14ac:dyDescent="0.25">
      <c r="L1232"/>
      <c r="M1232"/>
      <c r="N1232"/>
      <c r="O1232"/>
      <c r="P1232"/>
      <c r="Q1232"/>
      <c r="R1232"/>
      <c r="S1232"/>
      <c r="T1232"/>
      <c r="U1232"/>
      <c r="AC1232"/>
      <c r="AL1232"/>
      <c r="CG1232"/>
      <c r="CH1232"/>
      <c r="CI1232"/>
      <c r="CJ1232"/>
      <c r="CP1232"/>
      <c r="CQ1232"/>
      <c r="CR1232"/>
      <c r="CS1232"/>
    </row>
    <row r="1233" spans="12:97" ht="14.45" hidden="1" customHeight="1" x14ac:dyDescent="0.25">
      <c r="L1233"/>
      <c r="M1233"/>
      <c r="N1233"/>
      <c r="O1233"/>
      <c r="P1233"/>
      <c r="Q1233"/>
      <c r="R1233"/>
      <c r="S1233"/>
      <c r="T1233"/>
      <c r="U1233"/>
      <c r="AC1233"/>
      <c r="AL1233"/>
      <c r="CG1233"/>
      <c r="CH1233"/>
      <c r="CI1233"/>
      <c r="CJ1233"/>
      <c r="CP1233"/>
      <c r="CQ1233"/>
      <c r="CR1233"/>
      <c r="CS1233"/>
    </row>
    <row r="1234" spans="12:97" ht="14.45" hidden="1" customHeight="1" x14ac:dyDescent="0.25">
      <c r="L1234"/>
      <c r="M1234"/>
      <c r="N1234"/>
      <c r="O1234"/>
      <c r="P1234"/>
      <c r="Q1234"/>
      <c r="R1234"/>
      <c r="S1234"/>
      <c r="T1234"/>
      <c r="U1234"/>
      <c r="AC1234"/>
      <c r="AL1234"/>
      <c r="CG1234"/>
      <c r="CH1234"/>
      <c r="CI1234"/>
      <c r="CJ1234"/>
      <c r="CP1234"/>
      <c r="CQ1234"/>
      <c r="CR1234"/>
      <c r="CS1234"/>
    </row>
    <row r="1235" spans="12:97" ht="14.45" hidden="1" customHeight="1" x14ac:dyDescent="0.25">
      <c r="L1235"/>
      <c r="M1235"/>
      <c r="N1235"/>
      <c r="O1235"/>
      <c r="P1235"/>
      <c r="Q1235"/>
      <c r="R1235"/>
      <c r="S1235"/>
      <c r="T1235"/>
      <c r="U1235"/>
      <c r="AC1235"/>
      <c r="AL1235"/>
      <c r="CG1235"/>
      <c r="CH1235"/>
      <c r="CI1235"/>
      <c r="CJ1235"/>
      <c r="CP1235"/>
      <c r="CQ1235"/>
      <c r="CR1235"/>
      <c r="CS1235"/>
    </row>
    <row r="1236" spans="12:97" ht="14.45" hidden="1" customHeight="1" x14ac:dyDescent="0.25">
      <c r="L1236"/>
      <c r="M1236"/>
      <c r="N1236"/>
      <c r="O1236"/>
      <c r="P1236"/>
      <c r="Q1236"/>
      <c r="R1236"/>
      <c r="S1236"/>
      <c r="T1236"/>
      <c r="U1236"/>
      <c r="AC1236"/>
      <c r="AL1236"/>
      <c r="CG1236"/>
      <c r="CH1236"/>
      <c r="CI1236"/>
      <c r="CJ1236"/>
      <c r="CP1236"/>
      <c r="CQ1236"/>
      <c r="CR1236"/>
      <c r="CS1236"/>
    </row>
    <row r="1237" spans="12:97" ht="14.45" hidden="1" customHeight="1" x14ac:dyDescent="0.25">
      <c r="L1237"/>
      <c r="M1237"/>
      <c r="N1237"/>
      <c r="O1237"/>
      <c r="P1237"/>
      <c r="Q1237"/>
      <c r="R1237"/>
      <c r="S1237"/>
      <c r="T1237"/>
      <c r="U1237"/>
      <c r="AC1237"/>
      <c r="AL1237"/>
      <c r="CG1237"/>
      <c r="CH1237"/>
      <c r="CI1237"/>
      <c r="CJ1237"/>
      <c r="CP1237"/>
      <c r="CQ1237"/>
      <c r="CR1237"/>
      <c r="CS1237"/>
    </row>
    <row r="1238" spans="12:97" ht="14.45" hidden="1" customHeight="1" x14ac:dyDescent="0.25">
      <c r="L1238"/>
      <c r="M1238"/>
      <c r="N1238"/>
      <c r="O1238"/>
      <c r="P1238"/>
      <c r="Q1238"/>
      <c r="R1238"/>
      <c r="S1238"/>
      <c r="T1238"/>
      <c r="U1238"/>
      <c r="AC1238"/>
      <c r="AL1238"/>
      <c r="CG1238"/>
      <c r="CH1238"/>
      <c r="CI1238"/>
      <c r="CJ1238"/>
      <c r="CP1238"/>
      <c r="CQ1238"/>
      <c r="CR1238"/>
      <c r="CS1238"/>
    </row>
    <row r="1239" spans="12:97" ht="14.45" hidden="1" customHeight="1" x14ac:dyDescent="0.25">
      <c r="L1239"/>
      <c r="M1239"/>
      <c r="N1239"/>
      <c r="O1239"/>
      <c r="P1239"/>
      <c r="Q1239"/>
      <c r="R1239"/>
      <c r="S1239"/>
      <c r="T1239"/>
      <c r="U1239"/>
      <c r="AC1239"/>
      <c r="AL1239"/>
      <c r="CG1239"/>
      <c r="CH1239"/>
      <c r="CI1239"/>
      <c r="CJ1239"/>
      <c r="CP1239"/>
      <c r="CQ1239"/>
      <c r="CR1239"/>
      <c r="CS1239"/>
    </row>
    <row r="1240" spans="12:97" ht="14.45" hidden="1" customHeight="1" x14ac:dyDescent="0.25">
      <c r="L1240"/>
      <c r="M1240"/>
      <c r="N1240"/>
      <c r="O1240"/>
      <c r="P1240"/>
      <c r="Q1240"/>
      <c r="R1240"/>
      <c r="S1240"/>
      <c r="T1240"/>
      <c r="U1240"/>
      <c r="AC1240"/>
      <c r="AL1240"/>
      <c r="CG1240"/>
      <c r="CH1240"/>
      <c r="CI1240"/>
      <c r="CJ1240"/>
      <c r="CP1240"/>
      <c r="CQ1240"/>
      <c r="CR1240"/>
      <c r="CS1240"/>
    </row>
    <row r="1241" spans="12:97" ht="14.45" hidden="1" customHeight="1" x14ac:dyDescent="0.25">
      <c r="L1241"/>
      <c r="M1241"/>
      <c r="N1241"/>
      <c r="O1241"/>
      <c r="P1241"/>
      <c r="Q1241"/>
      <c r="R1241"/>
      <c r="S1241"/>
      <c r="T1241"/>
      <c r="U1241"/>
      <c r="AC1241"/>
      <c r="AL1241"/>
      <c r="CG1241"/>
      <c r="CH1241"/>
      <c r="CI1241"/>
      <c r="CJ1241"/>
      <c r="CP1241"/>
      <c r="CQ1241"/>
      <c r="CR1241"/>
      <c r="CS1241"/>
    </row>
    <row r="1242" spans="12:97" ht="14.45" hidden="1" customHeight="1" x14ac:dyDescent="0.25">
      <c r="L1242"/>
      <c r="M1242"/>
      <c r="N1242"/>
      <c r="O1242"/>
      <c r="P1242"/>
      <c r="Q1242"/>
      <c r="R1242"/>
      <c r="S1242"/>
      <c r="T1242"/>
      <c r="U1242"/>
      <c r="AC1242"/>
      <c r="AL1242"/>
      <c r="CG1242"/>
      <c r="CH1242"/>
      <c r="CI1242"/>
      <c r="CJ1242"/>
      <c r="CP1242"/>
      <c r="CQ1242"/>
      <c r="CR1242"/>
      <c r="CS1242"/>
    </row>
    <row r="1243" spans="12:97" ht="14.45" hidden="1" customHeight="1" x14ac:dyDescent="0.25">
      <c r="L1243"/>
      <c r="M1243"/>
      <c r="N1243"/>
      <c r="O1243"/>
      <c r="P1243"/>
      <c r="Q1243"/>
      <c r="R1243"/>
      <c r="S1243"/>
      <c r="T1243"/>
      <c r="U1243"/>
      <c r="AC1243"/>
      <c r="AL1243"/>
      <c r="CG1243"/>
      <c r="CH1243"/>
      <c r="CI1243"/>
      <c r="CJ1243"/>
      <c r="CP1243"/>
      <c r="CQ1243"/>
      <c r="CR1243"/>
      <c r="CS1243"/>
    </row>
    <row r="1244" spans="12:97" ht="14.45" hidden="1" customHeight="1" x14ac:dyDescent="0.25">
      <c r="L1244"/>
      <c r="M1244"/>
      <c r="N1244"/>
      <c r="O1244"/>
      <c r="P1244"/>
      <c r="Q1244"/>
      <c r="R1244"/>
      <c r="S1244"/>
      <c r="T1244"/>
      <c r="U1244"/>
      <c r="AC1244"/>
      <c r="AL1244"/>
      <c r="CG1244"/>
      <c r="CH1244"/>
      <c r="CI1244"/>
      <c r="CJ1244"/>
      <c r="CP1244"/>
      <c r="CQ1244"/>
      <c r="CR1244"/>
      <c r="CS1244"/>
    </row>
    <row r="1245" spans="12:97" ht="14.45" hidden="1" customHeight="1" x14ac:dyDescent="0.25">
      <c r="L1245"/>
      <c r="M1245"/>
      <c r="N1245"/>
      <c r="O1245"/>
      <c r="P1245"/>
      <c r="Q1245"/>
      <c r="R1245"/>
      <c r="S1245"/>
      <c r="T1245"/>
      <c r="U1245"/>
      <c r="AC1245"/>
      <c r="AL1245"/>
      <c r="CG1245"/>
      <c r="CH1245"/>
      <c r="CI1245"/>
      <c r="CJ1245"/>
      <c r="CP1245"/>
      <c r="CQ1245"/>
      <c r="CR1245"/>
      <c r="CS1245"/>
    </row>
    <row r="1246" spans="12:97" ht="14.45" hidden="1" customHeight="1" x14ac:dyDescent="0.25">
      <c r="L1246"/>
      <c r="M1246"/>
      <c r="N1246"/>
      <c r="O1246"/>
      <c r="P1246"/>
      <c r="Q1246"/>
      <c r="R1246"/>
      <c r="S1246"/>
      <c r="T1246"/>
      <c r="U1246"/>
      <c r="AC1246"/>
      <c r="AL1246"/>
      <c r="CG1246"/>
      <c r="CH1246"/>
      <c r="CI1246"/>
      <c r="CJ1246"/>
      <c r="CP1246"/>
      <c r="CQ1246"/>
      <c r="CR1246"/>
      <c r="CS1246"/>
    </row>
    <row r="1247" spans="12:97" ht="14.45" hidden="1" customHeight="1" x14ac:dyDescent="0.25">
      <c r="L1247"/>
      <c r="M1247"/>
      <c r="N1247"/>
      <c r="O1247"/>
      <c r="P1247"/>
      <c r="Q1247"/>
      <c r="R1247"/>
      <c r="S1247"/>
      <c r="T1247"/>
      <c r="U1247"/>
      <c r="AC1247"/>
      <c r="AL1247"/>
      <c r="CG1247"/>
      <c r="CH1247"/>
      <c r="CI1247"/>
      <c r="CJ1247"/>
      <c r="CP1247"/>
      <c r="CQ1247"/>
      <c r="CR1247"/>
      <c r="CS1247"/>
    </row>
    <row r="1248" spans="12:97" ht="14.45" hidden="1" customHeight="1" x14ac:dyDescent="0.25">
      <c r="L1248"/>
      <c r="M1248"/>
      <c r="N1248"/>
      <c r="O1248"/>
      <c r="P1248"/>
      <c r="Q1248"/>
      <c r="R1248"/>
      <c r="S1248"/>
      <c r="T1248"/>
      <c r="U1248"/>
      <c r="AC1248"/>
      <c r="AL1248"/>
      <c r="CG1248"/>
      <c r="CH1248"/>
      <c r="CI1248"/>
      <c r="CJ1248"/>
      <c r="CP1248"/>
      <c r="CQ1248"/>
      <c r="CR1248"/>
      <c r="CS1248"/>
    </row>
    <row r="1249" spans="12:97" ht="14.45" hidden="1" customHeight="1" x14ac:dyDescent="0.25">
      <c r="L1249"/>
      <c r="M1249"/>
      <c r="N1249"/>
      <c r="O1249"/>
      <c r="P1249"/>
      <c r="Q1249"/>
      <c r="R1249"/>
      <c r="S1249"/>
      <c r="T1249"/>
      <c r="U1249"/>
      <c r="AC1249"/>
      <c r="AL1249"/>
      <c r="CG1249"/>
      <c r="CH1249"/>
      <c r="CI1249"/>
      <c r="CJ1249"/>
      <c r="CP1249"/>
      <c r="CQ1249"/>
      <c r="CR1249"/>
      <c r="CS1249"/>
    </row>
    <row r="1250" spans="12:97" ht="14.45" hidden="1" customHeight="1" x14ac:dyDescent="0.25">
      <c r="L1250"/>
      <c r="M1250"/>
      <c r="N1250"/>
      <c r="O1250"/>
      <c r="P1250"/>
      <c r="Q1250"/>
      <c r="R1250"/>
      <c r="S1250"/>
      <c r="T1250"/>
      <c r="U1250"/>
      <c r="AC1250"/>
      <c r="AL1250"/>
      <c r="CG1250"/>
      <c r="CH1250"/>
      <c r="CI1250"/>
      <c r="CJ1250"/>
      <c r="CP1250"/>
      <c r="CQ1250"/>
      <c r="CR1250"/>
      <c r="CS1250"/>
    </row>
    <row r="1251" spans="12:97" ht="14.45" hidden="1" customHeight="1" x14ac:dyDescent="0.25">
      <c r="L1251"/>
      <c r="M1251"/>
      <c r="N1251"/>
      <c r="O1251"/>
      <c r="P1251"/>
      <c r="Q1251"/>
      <c r="R1251"/>
      <c r="S1251"/>
      <c r="T1251"/>
      <c r="U1251"/>
      <c r="AC1251"/>
      <c r="AL1251"/>
      <c r="CG1251"/>
      <c r="CH1251"/>
      <c r="CI1251"/>
      <c r="CJ1251"/>
      <c r="CP1251"/>
      <c r="CQ1251"/>
      <c r="CR1251"/>
      <c r="CS1251"/>
    </row>
    <row r="1252" spans="12:97" ht="14.45" hidden="1" customHeight="1" x14ac:dyDescent="0.25">
      <c r="L1252"/>
      <c r="M1252"/>
      <c r="N1252"/>
      <c r="O1252"/>
      <c r="P1252"/>
      <c r="Q1252"/>
      <c r="R1252"/>
      <c r="S1252"/>
      <c r="T1252"/>
      <c r="U1252"/>
      <c r="AC1252"/>
      <c r="AL1252"/>
      <c r="CG1252"/>
      <c r="CH1252"/>
      <c r="CI1252"/>
      <c r="CJ1252"/>
      <c r="CP1252"/>
      <c r="CQ1252"/>
      <c r="CR1252"/>
      <c r="CS1252"/>
    </row>
    <row r="1253" spans="12:97" ht="14.45" hidden="1" customHeight="1" x14ac:dyDescent="0.25">
      <c r="L1253"/>
      <c r="M1253"/>
      <c r="N1253"/>
      <c r="O1253"/>
      <c r="P1253"/>
      <c r="Q1253"/>
      <c r="R1253"/>
      <c r="S1253"/>
      <c r="T1253"/>
      <c r="U1253"/>
      <c r="AC1253"/>
      <c r="AL1253"/>
      <c r="CG1253"/>
      <c r="CH1253"/>
      <c r="CI1253"/>
      <c r="CJ1253"/>
      <c r="CP1253"/>
      <c r="CQ1253"/>
      <c r="CR1253"/>
      <c r="CS1253"/>
    </row>
    <row r="1254" spans="12:97" ht="14.45" hidden="1" customHeight="1" x14ac:dyDescent="0.25">
      <c r="L1254"/>
      <c r="M1254"/>
      <c r="N1254"/>
      <c r="O1254"/>
      <c r="P1254"/>
      <c r="Q1254"/>
      <c r="R1254"/>
      <c r="S1254"/>
      <c r="T1254"/>
      <c r="U1254"/>
      <c r="AC1254"/>
      <c r="AL1254"/>
      <c r="CG1254"/>
      <c r="CH1254"/>
      <c r="CI1254"/>
      <c r="CJ1254"/>
      <c r="CP1254"/>
      <c r="CQ1254"/>
      <c r="CR1254"/>
      <c r="CS1254"/>
    </row>
    <row r="1255" spans="12:97" ht="14.45" hidden="1" customHeight="1" x14ac:dyDescent="0.25">
      <c r="L1255"/>
      <c r="M1255"/>
      <c r="N1255"/>
      <c r="O1255"/>
      <c r="P1255"/>
      <c r="Q1255"/>
      <c r="R1255"/>
      <c r="S1255"/>
      <c r="T1255"/>
      <c r="U1255"/>
      <c r="AC1255"/>
      <c r="AL1255"/>
      <c r="CG1255"/>
      <c r="CH1255"/>
      <c r="CI1255"/>
      <c r="CJ1255"/>
      <c r="CP1255"/>
      <c r="CQ1255"/>
      <c r="CR1255"/>
      <c r="CS1255"/>
    </row>
    <row r="1256" spans="12:97" ht="14.45" hidden="1" customHeight="1" x14ac:dyDescent="0.25">
      <c r="L1256"/>
      <c r="M1256"/>
      <c r="N1256"/>
      <c r="O1256"/>
      <c r="P1256"/>
      <c r="Q1256"/>
      <c r="R1256"/>
      <c r="S1256"/>
      <c r="T1256"/>
      <c r="U1256"/>
      <c r="AC1256"/>
      <c r="AL1256"/>
      <c r="CG1256"/>
      <c r="CH1256"/>
      <c r="CI1256"/>
      <c r="CJ1256"/>
      <c r="CP1256"/>
      <c r="CQ1256"/>
      <c r="CR1256"/>
      <c r="CS1256"/>
    </row>
    <row r="1257" spans="12:97" ht="14.45" hidden="1" customHeight="1" x14ac:dyDescent="0.25">
      <c r="L1257"/>
      <c r="M1257"/>
      <c r="N1257"/>
      <c r="O1257"/>
      <c r="P1257"/>
      <c r="Q1257"/>
      <c r="R1257"/>
      <c r="S1257"/>
      <c r="T1257"/>
      <c r="U1257"/>
      <c r="AC1257"/>
      <c r="AL1257"/>
      <c r="CG1257"/>
      <c r="CH1257"/>
      <c r="CI1257"/>
      <c r="CJ1257"/>
      <c r="CP1257"/>
      <c r="CQ1257"/>
      <c r="CR1257"/>
      <c r="CS1257"/>
    </row>
    <row r="1258" spans="12:97" ht="14.45" hidden="1" customHeight="1" x14ac:dyDescent="0.25">
      <c r="L1258"/>
      <c r="M1258"/>
      <c r="N1258"/>
      <c r="O1258"/>
      <c r="P1258"/>
      <c r="Q1258"/>
      <c r="R1258"/>
      <c r="S1258"/>
      <c r="T1258"/>
      <c r="U1258"/>
      <c r="AC1258"/>
      <c r="AL1258"/>
      <c r="CG1258"/>
      <c r="CH1258"/>
      <c r="CI1258"/>
      <c r="CJ1258"/>
      <c r="CP1258"/>
      <c r="CQ1258"/>
      <c r="CR1258"/>
      <c r="CS1258"/>
    </row>
    <row r="1259" spans="12:97" ht="14.45" hidden="1" customHeight="1" x14ac:dyDescent="0.25">
      <c r="L1259"/>
      <c r="M1259"/>
      <c r="N1259"/>
      <c r="O1259"/>
      <c r="P1259"/>
      <c r="Q1259"/>
      <c r="R1259"/>
      <c r="S1259"/>
      <c r="T1259"/>
      <c r="U1259"/>
      <c r="AC1259"/>
      <c r="AL1259"/>
      <c r="CG1259"/>
      <c r="CH1259"/>
      <c r="CI1259"/>
      <c r="CJ1259"/>
      <c r="CP1259"/>
      <c r="CQ1259"/>
      <c r="CR1259"/>
      <c r="CS1259"/>
    </row>
    <row r="1260" spans="12:97" ht="14.45" hidden="1" customHeight="1" x14ac:dyDescent="0.25">
      <c r="L1260"/>
      <c r="M1260"/>
      <c r="N1260"/>
      <c r="O1260"/>
      <c r="P1260"/>
      <c r="Q1260"/>
      <c r="R1260"/>
      <c r="S1260"/>
      <c r="T1260"/>
      <c r="U1260"/>
      <c r="AC1260"/>
      <c r="AL1260"/>
      <c r="CG1260"/>
      <c r="CH1260"/>
      <c r="CI1260"/>
      <c r="CJ1260"/>
      <c r="CP1260"/>
      <c r="CQ1260"/>
      <c r="CR1260"/>
      <c r="CS1260"/>
    </row>
    <row r="1261" spans="12:97" ht="14.45" hidden="1" customHeight="1" x14ac:dyDescent="0.25">
      <c r="L1261"/>
      <c r="M1261"/>
      <c r="N1261"/>
      <c r="O1261"/>
      <c r="P1261"/>
      <c r="Q1261"/>
      <c r="R1261"/>
      <c r="S1261"/>
      <c r="T1261"/>
      <c r="U1261"/>
      <c r="AC1261"/>
      <c r="AL1261"/>
      <c r="CG1261"/>
      <c r="CH1261"/>
      <c r="CI1261"/>
      <c r="CJ1261"/>
      <c r="CP1261"/>
      <c r="CQ1261"/>
      <c r="CR1261"/>
      <c r="CS1261"/>
    </row>
    <row r="1262" spans="12:97" ht="14.45" hidden="1" customHeight="1" x14ac:dyDescent="0.25">
      <c r="L1262"/>
      <c r="M1262"/>
      <c r="N1262"/>
      <c r="O1262"/>
      <c r="P1262"/>
      <c r="Q1262"/>
      <c r="R1262"/>
      <c r="S1262"/>
      <c r="T1262"/>
      <c r="U1262"/>
      <c r="AC1262"/>
      <c r="AL1262"/>
      <c r="CG1262"/>
      <c r="CH1262"/>
      <c r="CI1262"/>
      <c r="CJ1262"/>
      <c r="CP1262"/>
      <c r="CQ1262"/>
      <c r="CR1262"/>
      <c r="CS1262"/>
    </row>
    <row r="1263" spans="12:97" ht="14.45" hidden="1" customHeight="1" x14ac:dyDescent="0.25">
      <c r="L1263"/>
      <c r="M1263"/>
      <c r="N1263"/>
      <c r="O1263"/>
      <c r="P1263"/>
      <c r="Q1263"/>
      <c r="R1263"/>
      <c r="S1263"/>
      <c r="T1263"/>
      <c r="U1263"/>
      <c r="AC1263"/>
      <c r="AL1263"/>
      <c r="CG1263"/>
      <c r="CH1263"/>
      <c r="CI1263"/>
      <c r="CJ1263"/>
      <c r="CP1263"/>
      <c r="CQ1263"/>
      <c r="CR1263"/>
      <c r="CS1263"/>
    </row>
    <row r="1264" spans="12:97" ht="14.45" hidden="1" customHeight="1" x14ac:dyDescent="0.25">
      <c r="L1264"/>
      <c r="M1264"/>
      <c r="N1264"/>
      <c r="O1264"/>
      <c r="P1264"/>
      <c r="Q1264"/>
      <c r="R1264"/>
      <c r="S1264"/>
      <c r="T1264"/>
      <c r="U1264"/>
      <c r="AC1264"/>
      <c r="AL1264"/>
      <c r="CG1264"/>
      <c r="CH1264"/>
      <c r="CI1264"/>
      <c r="CJ1264"/>
      <c r="CP1264"/>
      <c r="CQ1264"/>
      <c r="CR1264"/>
      <c r="CS1264"/>
    </row>
    <row r="1265" spans="12:97" ht="14.45" hidden="1" customHeight="1" x14ac:dyDescent="0.25">
      <c r="L1265"/>
      <c r="M1265"/>
      <c r="N1265"/>
      <c r="O1265"/>
      <c r="P1265"/>
      <c r="Q1265"/>
      <c r="R1265"/>
      <c r="S1265"/>
      <c r="T1265"/>
      <c r="U1265"/>
      <c r="AC1265"/>
      <c r="AL1265"/>
      <c r="CG1265"/>
      <c r="CH1265"/>
      <c r="CI1265"/>
      <c r="CJ1265"/>
      <c r="CP1265"/>
      <c r="CQ1265"/>
      <c r="CR1265"/>
      <c r="CS1265"/>
    </row>
    <row r="1266" spans="12:97" ht="14.45" hidden="1" customHeight="1" x14ac:dyDescent="0.25">
      <c r="L1266"/>
      <c r="M1266"/>
      <c r="N1266"/>
      <c r="O1266"/>
      <c r="P1266"/>
      <c r="Q1266"/>
      <c r="R1266"/>
      <c r="S1266"/>
      <c r="T1266"/>
      <c r="U1266"/>
      <c r="AC1266"/>
      <c r="AL1266"/>
      <c r="CG1266"/>
      <c r="CH1266"/>
      <c r="CI1266"/>
      <c r="CJ1266"/>
      <c r="CP1266"/>
      <c r="CQ1266"/>
      <c r="CR1266"/>
      <c r="CS1266"/>
    </row>
    <row r="1267" spans="12:97" ht="14.45" hidden="1" customHeight="1" x14ac:dyDescent="0.25">
      <c r="L1267"/>
      <c r="M1267"/>
      <c r="N1267"/>
      <c r="O1267"/>
      <c r="P1267"/>
      <c r="Q1267"/>
      <c r="R1267"/>
      <c r="S1267"/>
      <c r="T1267"/>
      <c r="U1267"/>
      <c r="AC1267"/>
      <c r="AL1267"/>
      <c r="CG1267"/>
      <c r="CH1267"/>
      <c r="CI1267"/>
      <c r="CJ1267"/>
      <c r="CP1267"/>
      <c r="CQ1267"/>
      <c r="CR1267"/>
      <c r="CS1267"/>
    </row>
    <row r="1268" spans="12:97" ht="14.45" hidden="1" customHeight="1" x14ac:dyDescent="0.25">
      <c r="L1268"/>
      <c r="M1268"/>
      <c r="N1268"/>
      <c r="O1268"/>
      <c r="P1268"/>
      <c r="Q1268"/>
      <c r="R1268"/>
      <c r="S1268"/>
      <c r="T1268"/>
      <c r="U1268"/>
      <c r="AC1268"/>
      <c r="AL1268"/>
      <c r="CG1268"/>
      <c r="CH1268"/>
      <c r="CI1268"/>
      <c r="CJ1268"/>
      <c r="CP1268"/>
      <c r="CQ1268"/>
      <c r="CR1268"/>
      <c r="CS1268"/>
    </row>
    <row r="1269" spans="12:97" ht="14.45" hidden="1" customHeight="1" x14ac:dyDescent="0.25">
      <c r="L1269"/>
      <c r="M1269"/>
      <c r="N1269"/>
      <c r="O1269"/>
      <c r="P1269"/>
      <c r="Q1269"/>
      <c r="R1269"/>
      <c r="S1269"/>
      <c r="T1269"/>
      <c r="U1269"/>
      <c r="AC1269"/>
      <c r="AL1269"/>
      <c r="CG1269"/>
      <c r="CH1269"/>
      <c r="CI1269"/>
      <c r="CJ1269"/>
      <c r="CP1269"/>
      <c r="CQ1269"/>
      <c r="CR1269"/>
      <c r="CS1269"/>
    </row>
    <row r="1270" spans="12:97" ht="14.45" hidden="1" customHeight="1" x14ac:dyDescent="0.25">
      <c r="L1270"/>
      <c r="M1270"/>
      <c r="N1270"/>
      <c r="O1270"/>
      <c r="P1270"/>
      <c r="Q1270"/>
      <c r="R1270"/>
      <c r="S1270"/>
      <c r="T1270"/>
      <c r="U1270"/>
      <c r="AC1270"/>
      <c r="AL1270"/>
      <c r="CG1270"/>
      <c r="CH1270"/>
      <c r="CI1270"/>
      <c r="CJ1270"/>
      <c r="CP1270"/>
      <c r="CQ1270"/>
      <c r="CR1270"/>
      <c r="CS1270"/>
    </row>
    <row r="1271" spans="12:97" ht="14.45" hidden="1" customHeight="1" x14ac:dyDescent="0.25">
      <c r="L1271"/>
      <c r="M1271"/>
      <c r="N1271"/>
      <c r="O1271"/>
      <c r="P1271"/>
      <c r="Q1271"/>
      <c r="R1271"/>
      <c r="S1271"/>
      <c r="T1271"/>
      <c r="U1271"/>
      <c r="AC1271"/>
      <c r="AL1271"/>
      <c r="CG1271"/>
      <c r="CH1271"/>
      <c r="CI1271"/>
      <c r="CJ1271"/>
      <c r="CP1271"/>
      <c r="CQ1271"/>
      <c r="CR1271"/>
      <c r="CS1271"/>
    </row>
    <row r="1272" spans="12:97" ht="14.45" hidden="1" customHeight="1" x14ac:dyDescent="0.25">
      <c r="L1272"/>
      <c r="M1272"/>
      <c r="N1272"/>
      <c r="O1272"/>
      <c r="P1272"/>
      <c r="Q1272"/>
      <c r="R1272"/>
      <c r="S1272"/>
      <c r="T1272"/>
      <c r="U1272"/>
      <c r="AC1272"/>
      <c r="AL1272"/>
      <c r="CG1272"/>
      <c r="CH1272"/>
      <c r="CI1272"/>
      <c r="CJ1272"/>
      <c r="CP1272"/>
      <c r="CQ1272"/>
      <c r="CR1272"/>
      <c r="CS1272"/>
    </row>
    <row r="1273" spans="12:97" ht="14.45" hidden="1" customHeight="1" x14ac:dyDescent="0.25">
      <c r="L1273"/>
      <c r="M1273"/>
      <c r="N1273"/>
      <c r="O1273"/>
      <c r="P1273"/>
      <c r="Q1273"/>
      <c r="R1273"/>
      <c r="S1273"/>
      <c r="T1273"/>
      <c r="U1273"/>
      <c r="AC1273"/>
      <c r="AL1273"/>
      <c r="CG1273"/>
      <c r="CH1273"/>
      <c r="CI1273"/>
      <c r="CJ1273"/>
      <c r="CP1273"/>
      <c r="CQ1273"/>
      <c r="CR1273"/>
      <c r="CS1273"/>
    </row>
    <row r="1274" spans="12:97" ht="14.45" hidden="1" customHeight="1" x14ac:dyDescent="0.25">
      <c r="L1274"/>
      <c r="M1274"/>
      <c r="N1274"/>
      <c r="O1274"/>
      <c r="P1274"/>
      <c r="Q1274"/>
      <c r="R1274"/>
      <c r="S1274"/>
      <c r="T1274"/>
      <c r="U1274"/>
      <c r="AC1274"/>
      <c r="AL1274"/>
      <c r="CG1274"/>
      <c r="CH1274"/>
      <c r="CI1274"/>
      <c r="CJ1274"/>
      <c r="CP1274"/>
      <c r="CQ1274"/>
      <c r="CR1274"/>
      <c r="CS1274"/>
    </row>
    <row r="1275" spans="12:97" ht="14.45" hidden="1" customHeight="1" x14ac:dyDescent="0.25">
      <c r="L1275"/>
      <c r="M1275"/>
      <c r="N1275"/>
      <c r="O1275"/>
      <c r="P1275"/>
      <c r="Q1275"/>
      <c r="R1275"/>
      <c r="S1275"/>
      <c r="T1275"/>
      <c r="U1275"/>
      <c r="AC1275"/>
      <c r="AL1275"/>
      <c r="CG1275"/>
      <c r="CH1275"/>
      <c r="CI1275"/>
      <c r="CJ1275"/>
      <c r="CP1275"/>
      <c r="CQ1275"/>
      <c r="CR1275"/>
      <c r="CS1275"/>
    </row>
    <row r="1276" spans="12:97" ht="14.45" hidden="1" customHeight="1" x14ac:dyDescent="0.25">
      <c r="L1276"/>
      <c r="M1276"/>
      <c r="N1276"/>
      <c r="O1276"/>
      <c r="P1276"/>
      <c r="Q1276"/>
      <c r="R1276"/>
      <c r="S1276"/>
      <c r="T1276"/>
      <c r="U1276"/>
      <c r="AC1276"/>
      <c r="AL1276"/>
      <c r="CG1276"/>
      <c r="CH1276"/>
      <c r="CI1276"/>
      <c r="CJ1276"/>
      <c r="CP1276"/>
      <c r="CQ1276"/>
      <c r="CR1276"/>
      <c r="CS1276"/>
    </row>
    <row r="1277" spans="12:97" ht="14.45" hidden="1" customHeight="1" x14ac:dyDescent="0.25">
      <c r="L1277"/>
      <c r="M1277"/>
      <c r="N1277"/>
      <c r="O1277"/>
      <c r="P1277"/>
      <c r="Q1277"/>
      <c r="R1277"/>
      <c r="S1277"/>
      <c r="T1277"/>
      <c r="U1277"/>
      <c r="AC1277"/>
      <c r="AL1277"/>
      <c r="CG1277"/>
      <c r="CH1277"/>
      <c r="CI1277"/>
      <c r="CJ1277"/>
      <c r="CP1277"/>
      <c r="CQ1277"/>
      <c r="CR1277"/>
      <c r="CS1277"/>
    </row>
    <row r="1278" spans="12:97" ht="14.45" hidden="1" customHeight="1" x14ac:dyDescent="0.25">
      <c r="L1278"/>
      <c r="M1278"/>
      <c r="N1278"/>
      <c r="O1278"/>
      <c r="P1278"/>
      <c r="Q1278"/>
      <c r="R1278"/>
      <c r="S1278"/>
      <c r="T1278"/>
      <c r="U1278"/>
      <c r="AC1278"/>
      <c r="AL1278"/>
      <c r="CG1278"/>
      <c r="CH1278"/>
      <c r="CI1278"/>
      <c r="CJ1278"/>
      <c r="CP1278"/>
      <c r="CQ1278"/>
      <c r="CR1278"/>
      <c r="CS1278"/>
    </row>
    <row r="1279" spans="12:97" ht="14.45" hidden="1" customHeight="1" x14ac:dyDescent="0.25">
      <c r="L1279"/>
      <c r="M1279"/>
      <c r="N1279"/>
      <c r="O1279"/>
      <c r="P1279"/>
      <c r="Q1279"/>
      <c r="R1279"/>
      <c r="S1279"/>
      <c r="T1279"/>
      <c r="U1279"/>
      <c r="AC1279"/>
      <c r="AL1279"/>
      <c r="CG1279"/>
      <c r="CH1279"/>
      <c r="CI1279"/>
      <c r="CJ1279"/>
      <c r="CP1279"/>
      <c r="CQ1279"/>
      <c r="CR1279"/>
      <c r="CS1279"/>
    </row>
    <row r="1280" spans="12:97" ht="14.45" hidden="1" customHeight="1" x14ac:dyDescent="0.25">
      <c r="L1280"/>
      <c r="M1280"/>
      <c r="N1280"/>
      <c r="O1280"/>
      <c r="P1280"/>
      <c r="Q1280"/>
      <c r="R1280"/>
      <c r="S1280"/>
      <c r="T1280"/>
      <c r="U1280"/>
      <c r="AC1280"/>
      <c r="AL1280"/>
      <c r="CG1280"/>
      <c r="CH1280"/>
      <c r="CI1280"/>
      <c r="CJ1280"/>
      <c r="CP1280"/>
      <c r="CQ1280"/>
      <c r="CR1280"/>
      <c r="CS1280"/>
    </row>
    <row r="1281" spans="12:97" ht="14.45" hidden="1" customHeight="1" x14ac:dyDescent="0.25">
      <c r="L1281"/>
      <c r="M1281"/>
      <c r="N1281"/>
      <c r="O1281"/>
      <c r="P1281"/>
      <c r="Q1281"/>
      <c r="R1281"/>
      <c r="S1281"/>
      <c r="T1281"/>
      <c r="U1281"/>
      <c r="AC1281"/>
      <c r="AL1281"/>
      <c r="CG1281"/>
      <c r="CH1281"/>
      <c r="CI1281"/>
      <c r="CJ1281"/>
      <c r="CP1281"/>
      <c r="CQ1281"/>
      <c r="CR1281"/>
      <c r="CS1281"/>
    </row>
    <row r="1282" spans="12:97" ht="14.45" hidden="1" customHeight="1" x14ac:dyDescent="0.25">
      <c r="L1282"/>
      <c r="M1282"/>
      <c r="N1282"/>
      <c r="O1282"/>
      <c r="P1282"/>
      <c r="Q1282"/>
      <c r="R1282"/>
      <c r="S1282"/>
      <c r="T1282"/>
      <c r="U1282"/>
      <c r="AC1282"/>
      <c r="AL1282"/>
      <c r="CG1282"/>
      <c r="CH1282"/>
      <c r="CI1282"/>
      <c r="CJ1282"/>
      <c r="CP1282"/>
      <c r="CQ1282"/>
      <c r="CR1282"/>
      <c r="CS1282"/>
    </row>
    <row r="1283" spans="12:97" ht="14.45" hidden="1" customHeight="1" x14ac:dyDescent="0.25">
      <c r="L1283"/>
      <c r="M1283"/>
      <c r="N1283"/>
      <c r="O1283"/>
      <c r="P1283"/>
      <c r="Q1283"/>
      <c r="R1283"/>
      <c r="S1283"/>
      <c r="T1283"/>
      <c r="U1283"/>
      <c r="AC1283"/>
      <c r="AL1283"/>
      <c r="CG1283"/>
      <c r="CH1283"/>
      <c r="CI1283"/>
      <c r="CJ1283"/>
      <c r="CP1283"/>
      <c r="CQ1283"/>
      <c r="CR1283"/>
      <c r="CS1283"/>
    </row>
    <row r="1284" spans="12:97" ht="14.45" hidden="1" customHeight="1" x14ac:dyDescent="0.25">
      <c r="L1284"/>
      <c r="M1284"/>
      <c r="N1284"/>
      <c r="O1284"/>
      <c r="P1284"/>
      <c r="Q1284"/>
      <c r="R1284"/>
      <c r="S1284"/>
      <c r="T1284"/>
      <c r="U1284"/>
      <c r="AC1284"/>
      <c r="AL1284"/>
      <c r="CG1284"/>
      <c r="CH1284"/>
      <c r="CI1284"/>
      <c r="CJ1284"/>
      <c r="CP1284"/>
      <c r="CQ1284"/>
      <c r="CR1284"/>
      <c r="CS1284"/>
    </row>
    <row r="1285" spans="12:97" ht="14.45" hidden="1" customHeight="1" x14ac:dyDescent="0.25">
      <c r="L1285"/>
      <c r="M1285"/>
      <c r="N1285"/>
      <c r="O1285"/>
      <c r="P1285"/>
      <c r="Q1285"/>
      <c r="R1285"/>
      <c r="S1285"/>
      <c r="T1285"/>
      <c r="U1285"/>
      <c r="AC1285"/>
      <c r="AL1285"/>
      <c r="CG1285"/>
      <c r="CH1285"/>
      <c r="CI1285"/>
      <c r="CJ1285"/>
      <c r="CP1285"/>
      <c r="CQ1285"/>
      <c r="CR1285"/>
      <c r="CS1285"/>
    </row>
    <row r="1286" spans="12:97" ht="14.45" hidden="1" customHeight="1" x14ac:dyDescent="0.25">
      <c r="L1286"/>
      <c r="M1286"/>
      <c r="N1286"/>
      <c r="O1286"/>
      <c r="P1286"/>
      <c r="Q1286"/>
      <c r="R1286"/>
      <c r="S1286"/>
      <c r="T1286"/>
      <c r="U1286"/>
      <c r="AC1286"/>
      <c r="AL1286"/>
      <c r="CG1286"/>
      <c r="CH1286"/>
      <c r="CI1286"/>
      <c r="CJ1286"/>
      <c r="CP1286"/>
      <c r="CQ1286"/>
      <c r="CR1286"/>
      <c r="CS1286"/>
    </row>
    <row r="1287" spans="12:97" ht="14.45" hidden="1" customHeight="1" x14ac:dyDescent="0.25">
      <c r="L1287"/>
      <c r="M1287"/>
      <c r="N1287"/>
      <c r="O1287"/>
      <c r="P1287"/>
      <c r="Q1287"/>
      <c r="R1287"/>
      <c r="S1287"/>
      <c r="T1287"/>
      <c r="U1287"/>
      <c r="AC1287"/>
      <c r="AL1287"/>
      <c r="CG1287"/>
      <c r="CH1287"/>
      <c r="CI1287"/>
      <c r="CJ1287"/>
      <c r="CP1287"/>
      <c r="CQ1287"/>
      <c r="CR1287"/>
      <c r="CS1287"/>
    </row>
    <row r="1288" spans="12:97" ht="14.45" hidden="1" customHeight="1" x14ac:dyDescent="0.25">
      <c r="L1288"/>
      <c r="M1288"/>
      <c r="N1288"/>
      <c r="O1288"/>
      <c r="P1288"/>
      <c r="Q1288"/>
      <c r="R1288"/>
      <c r="S1288"/>
      <c r="T1288"/>
      <c r="U1288"/>
      <c r="AC1288"/>
      <c r="AL1288"/>
      <c r="CG1288"/>
      <c r="CH1288"/>
      <c r="CI1288"/>
      <c r="CJ1288"/>
      <c r="CP1288"/>
      <c r="CQ1288"/>
      <c r="CR1288"/>
      <c r="CS1288"/>
    </row>
    <row r="1289" spans="12:97" ht="14.45" hidden="1" customHeight="1" x14ac:dyDescent="0.25">
      <c r="L1289"/>
      <c r="M1289"/>
      <c r="N1289"/>
      <c r="O1289"/>
      <c r="P1289"/>
      <c r="Q1289"/>
      <c r="R1289"/>
      <c r="S1289"/>
      <c r="T1289"/>
      <c r="U1289"/>
      <c r="AC1289"/>
      <c r="AL1289"/>
      <c r="CG1289"/>
      <c r="CH1289"/>
      <c r="CI1289"/>
      <c r="CJ1289"/>
      <c r="CP1289"/>
      <c r="CQ1289"/>
      <c r="CR1289"/>
      <c r="CS1289"/>
    </row>
    <row r="1290" spans="12:97" ht="14.45" hidden="1" customHeight="1" x14ac:dyDescent="0.25">
      <c r="L1290"/>
      <c r="M1290"/>
      <c r="N1290"/>
      <c r="O1290"/>
      <c r="P1290"/>
      <c r="Q1290"/>
      <c r="R1290"/>
      <c r="S1290"/>
      <c r="T1290"/>
      <c r="U1290"/>
      <c r="AC1290"/>
      <c r="AL1290"/>
      <c r="CG1290"/>
      <c r="CH1290"/>
      <c r="CI1290"/>
      <c r="CJ1290"/>
      <c r="CP1290"/>
      <c r="CQ1290"/>
      <c r="CR1290"/>
      <c r="CS1290"/>
    </row>
    <row r="1291" spans="12:97" ht="14.45" hidden="1" customHeight="1" x14ac:dyDescent="0.25">
      <c r="L1291"/>
      <c r="M1291"/>
      <c r="N1291"/>
      <c r="O1291"/>
      <c r="P1291"/>
      <c r="Q1291"/>
      <c r="R1291"/>
      <c r="S1291"/>
      <c r="T1291"/>
      <c r="U1291"/>
      <c r="AC1291"/>
      <c r="AL1291"/>
      <c r="CG1291"/>
      <c r="CH1291"/>
      <c r="CI1291"/>
      <c r="CJ1291"/>
      <c r="CP1291"/>
      <c r="CQ1291"/>
      <c r="CR1291"/>
      <c r="CS1291"/>
    </row>
    <row r="1292" spans="12:97" ht="14.45" hidden="1" customHeight="1" x14ac:dyDescent="0.25">
      <c r="L1292"/>
      <c r="M1292"/>
      <c r="N1292"/>
      <c r="O1292"/>
      <c r="P1292"/>
      <c r="Q1292"/>
      <c r="R1292"/>
      <c r="S1292"/>
      <c r="T1292"/>
      <c r="U1292"/>
      <c r="AC1292"/>
      <c r="AL1292"/>
      <c r="CG1292"/>
      <c r="CH1292"/>
      <c r="CI1292"/>
      <c r="CJ1292"/>
      <c r="CP1292"/>
      <c r="CQ1292"/>
      <c r="CR1292"/>
      <c r="CS1292"/>
    </row>
    <row r="1293" spans="12:97" ht="14.45" hidden="1" customHeight="1" x14ac:dyDescent="0.25">
      <c r="L1293"/>
      <c r="M1293"/>
      <c r="N1293"/>
      <c r="O1293"/>
      <c r="P1293"/>
      <c r="Q1293"/>
      <c r="R1293"/>
      <c r="S1293"/>
      <c r="T1293"/>
      <c r="U1293"/>
      <c r="AC1293"/>
      <c r="AL1293"/>
      <c r="CG1293"/>
      <c r="CH1293"/>
      <c r="CI1293"/>
      <c r="CJ1293"/>
      <c r="CP1293"/>
      <c r="CQ1293"/>
      <c r="CR1293"/>
      <c r="CS1293"/>
    </row>
    <row r="1294" spans="12:97" ht="14.45" hidden="1" customHeight="1" x14ac:dyDescent="0.25">
      <c r="L1294"/>
      <c r="M1294"/>
      <c r="N1294"/>
      <c r="O1294"/>
      <c r="P1294"/>
      <c r="Q1294"/>
      <c r="R1294"/>
      <c r="S1294"/>
      <c r="T1294"/>
      <c r="U1294"/>
      <c r="AC1294"/>
      <c r="AL1294"/>
      <c r="CG1294"/>
      <c r="CH1294"/>
      <c r="CI1294"/>
      <c r="CJ1294"/>
      <c r="CP1294"/>
      <c r="CQ1294"/>
      <c r="CR1294"/>
      <c r="CS1294"/>
    </row>
    <row r="1295" spans="12:97" ht="14.45" hidden="1" customHeight="1" x14ac:dyDescent="0.25">
      <c r="L1295"/>
      <c r="M1295"/>
      <c r="N1295"/>
      <c r="O1295"/>
      <c r="P1295"/>
      <c r="Q1295"/>
      <c r="R1295"/>
      <c r="S1295"/>
      <c r="T1295"/>
      <c r="U1295"/>
      <c r="AC1295"/>
      <c r="AL1295"/>
      <c r="CG1295"/>
      <c r="CH1295"/>
      <c r="CI1295"/>
      <c r="CJ1295"/>
      <c r="CP1295"/>
      <c r="CQ1295"/>
      <c r="CR1295"/>
      <c r="CS1295"/>
    </row>
    <row r="1296" spans="12:97" ht="14.45" hidden="1" customHeight="1" x14ac:dyDescent="0.25">
      <c r="L1296"/>
      <c r="M1296"/>
      <c r="N1296"/>
      <c r="O1296"/>
      <c r="P1296"/>
      <c r="Q1296"/>
      <c r="R1296"/>
      <c r="S1296"/>
      <c r="T1296"/>
      <c r="U1296"/>
      <c r="AC1296"/>
      <c r="AL1296"/>
      <c r="CG1296"/>
      <c r="CH1296"/>
      <c r="CI1296"/>
      <c r="CJ1296"/>
      <c r="CP1296"/>
      <c r="CQ1296"/>
      <c r="CR1296"/>
      <c r="CS1296"/>
    </row>
    <row r="1297" spans="12:97" ht="14.45" hidden="1" customHeight="1" x14ac:dyDescent="0.25">
      <c r="L1297"/>
      <c r="M1297"/>
      <c r="N1297"/>
      <c r="O1297"/>
      <c r="P1297"/>
      <c r="Q1297"/>
      <c r="R1297"/>
      <c r="S1297"/>
      <c r="T1297"/>
      <c r="U1297"/>
      <c r="AC1297"/>
      <c r="AL1297"/>
      <c r="CG1297"/>
      <c r="CH1297"/>
      <c r="CI1297"/>
      <c r="CJ1297"/>
      <c r="CP1297"/>
      <c r="CQ1297"/>
      <c r="CR1297"/>
      <c r="CS1297"/>
    </row>
    <row r="1298" spans="12:97" ht="14.45" hidden="1" customHeight="1" x14ac:dyDescent="0.25">
      <c r="L1298"/>
      <c r="M1298"/>
      <c r="N1298"/>
      <c r="O1298"/>
      <c r="P1298"/>
      <c r="Q1298"/>
      <c r="R1298"/>
      <c r="S1298"/>
      <c r="T1298"/>
      <c r="U1298"/>
      <c r="AC1298"/>
      <c r="AL1298"/>
      <c r="CG1298"/>
      <c r="CH1298"/>
      <c r="CI1298"/>
      <c r="CJ1298"/>
      <c r="CP1298"/>
      <c r="CQ1298"/>
      <c r="CR1298"/>
      <c r="CS1298"/>
    </row>
    <row r="1299" spans="12:97" ht="14.45" hidden="1" customHeight="1" x14ac:dyDescent="0.25">
      <c r="L1299"/>
      <c r="M1299"/>
      <c r="N1299"/>
      <c r="O1299"/>
      <c r="P1299"/>
      <c r="Q1299"/>
      <c r="R1299"/>
      <c r="S1299"/>
      <c r="T1299"/>
      <c r="U1299"/>
      <c r="AC1299"/>
      <c r="AL1299"/>
      <c r="CG1299"/>
      <c r="CH1299"/>
      <c r="CI1299"/>
      <c r="CJ1299"/>
      <c r="CP1299"/>
      <c r="CQ1299"/>
      <c r="CR1299"/>
      <c r="CS1299"/>
    </row>
    <row r="1300" spans="12:97" ht="14.45" hidden="1" customHeight="1" x14ac:dyDescent="0.25">
      <c r="L1300"/>
      <c r="M1300"/>
      <c r="N1300"/>
      <c r="O1300"/>
      <c r="P1300"/>
      <c r="Q1300"/>
      <c r="R1300"/>
      <c r="S1300"/>
      <c r="T1300"/>
      <c r="U1300"/>
      <c r="AC1300"/>
      <c r="AL1300"/>
      <c r="CG1300"/>
      <c r="CH1300"/>
      <c r="CI1300"/>
      <c r="CJ1300"/>
      <c r="CP1300"/>
      <c r="CQ1300"/>
      <c r="CR1300"/>
      <c r="CS1300"/>
    </row>
    <row r="1301" spans="12:97" ht="14.45" hidden="1" customHeight="1" x14ac:dyDescent="0.25">
      <c r="L1301"/>
      <c r="M1301"/>
      <c r="N1301"/>
      <c r="O1301"/>
      <c r="P1301"/>
      <c r="Q1301"/>
      <c r="R1301"/>
      <c r="S1301"/>
      <c r="T1301"/>
      <c r="U1301"/>
      <c r="AC1301"/>
      <c r="AL1301"/>
      <c r="CG1301"/>
      <c r="CH1301"/>
      <c r="CI1301"/>
      <c r="CJ1301"/>
      <c r="CP1301"/>
      <c r="CQ1301"/>
      <c r="CR1301"/>
      <c r="CS1301"/>
    </row>
    <row r="1302" spans="12:97" ht="14.45" hidden="1" customHeight="1" x14ac:dyDescent="0.25">
      <c r="L1302"/>
      <c r="M1302"/>
      <c r="N1302"/>
      <c r="O1302"/>
      <c r="P1302"/>
      <c r="Q1302"/>
      <c r="R1302"/>
      <c r="S1302"/>
      <c r="T1302"/>
      <c r="U1302"/>
      <c r="AC1302"/>
      <c r="AL1302"/>
      <c r="CG1302"/>
      <c r="CH1302"/>
      <c r="CI1302"/>
      <c r="CJ1302"/>
      <c r="CP1302"/>
      <c r="CQ1302"/>
      <c r="CR1302"/>
      <c r="CS1302"/>
    </row>
    <row r="1303" spans="12:97" ht="14.45" hidden="1" customHeight="1" x14ac:dyDescent="0.25">
      <c r="L1303"/>
      <c r="M1303"/>
      <c r="N1303"/>
      <c r="O1303"/>
      <c r="P1303"/>
      <c r="Q1303"/>
      <c r="R1303"/>
      <c r="S1303"/>
      <c r="T1303"/>
      <c r="U1303"/>
      <c r="AC1303"/>
      <c r="AL1303"/>
      <c r="CG1303"/>
      <c r="CH1303"/>
      <c r="CI1303"/>
      <c r="CJ1303"/>
      <c r="CP1303"/>
      <c r="CQ1303"/>
      <c r="CR1303"/>
      <c r="CS1303"/>
    </row>
    <row r="1304" spans="12:97" ht="14.45" hidden="1" customHeight="1" x14ac:dyDescent="0.25">
      <c r="L1304"/>
      <c r="M1304"/>
      <c r="N1304"/>
      <c r="O1304"/>
      <c r="P1304"/>
      <c r="Q1304"/>
      <c r="R1304"/>
      <c r="S1304"/>
      <c r="T1304"/>
      <c r="U1304"/>
      <c r="AC1304"/>
      <c r="AL1304"/>
      <c r="CG1304"/>
      <c r="CH1304"/>
      <c r="CI1304"/>
      <c r="CJ1304"/>
      <c r="CP1304"/>
      <c r="CQ1304"/>
      <c r="CR1304"/>
      <c r="CS1304"/>
    </row>
    <row r="1305" spans="12:97" ht="14.45" hidden="1" customHeight="1" x14ac:dyDescent="0.25">
      <c r="L1305"/>
      <c r="M1305"/>
      <c r="N1305"/>
      <c r="O1305"/>
      <c r="P1305"/>
      <c r="Q1305"/>
      <c r="R1305"/>
      <c r="S1305"/>
      <c r="T1305"/>
      <c r="U1305"/>
      <c r="AC1305"/>
      <c r="AL1305"/>
      <c r="CG1305"/>
      <c r="CH1305"/>
      <c r="CI1305"/>
      <c r="CJ1305"/>
      <c r="CP1305"/>
      <c r="CQ1305"/>
      <c r="CR1305"/>
      <c r="CS1305"/>
    </row>
    <row r="1306" spans="12:97" ht="14.45" hidden="1" customHeight="1" x14ac:dyDescent="0.25">
      <c r="L1306"/>
      <c r="M1306"/>
      <c r="N1306"/>
      <c r="O1306"/>
      <c r="P1306"/>
      <c r="Q1306"/>
      <c r="R1306"/>
      <c r="S1306"/>
      <c r="T1306"/>
      <c r="U1306"/>
      <c r="AC1306"/>
      <c r="AL1306"/>
      <c r="CG1306"/>
      <c r="CH1306"/>
      <c r="CI1306"/>
      <c r="CJ1306"/>
      <c r="CP1306"/>
      <c r="CQ1306"/>
      <c r="CR1306"/>
      <c r="CS1306"/>
    </row>
    <row r="1307" spans="12:97" ht="14.45" hidden="1" customHeight="1" x14ac:dyDescent="0.25">
      <c r="L1307"/>
      <c r="M1307"/>
      <c r="N1307"/>
      <c r="O1307"/>
      <c r="P1307"/>
      <c r="Q1307"/>
      <c r="R1307"/>
      <c r="S1307"/>
      <c r="T1307"/>
      <c r="U1307"/>
      <c r="AC1307"/>
      <c r="AL1307"/>
      <c r="CG1307"/>
      <c r="CH1307"/>
      <c r="CI1307"/>
      <c r="CJ1307"/>
      <c r="CP1307"/>
      <c r="CQ1307"/>
      <c r="CR1307"/>
      <c r="CS1307"/>
    </row>
    <row r="1308" spans="12:97" ht="14.45" hidden="1" customHeight="1" x14ac:dyDescent="0.25">
      <c r="L1308"/>
      <c r="M1308"/>
      <c r="N1308"/>
      <c r="O1308"/>
      <c r="P1308"/>
      <c r="Q1308"/>
      <c r="R1308"/>
      <c r="S1308"/>
      <c r="T1308"/>
      <c r="U1308"/>
      <c r="AC1308"/>
      <c r="AL1308"/>
      <c r="CG1308"/>
      <c r="CH1308"/>
      <c r="CI1308"/>
      <c r="CJ1308"/>
      <c r="CP1308"/>
      <c r="CQ1308"/>
      <c r="CR1308"/>
      <c r="CS1308"/>
    </row>
    <row r="1309" spans="12:97" ht="14.45" hidden="1" customHeight="1" x14ac:dyDescent="0.25">
      <c r="L1309"/>
      <c r="M1309"/>
      <c r="N1309"/>
      <c r="O1309"/>
      <c r="P1309"/>
      <c r="Q1309"/>
      <c r="R1309"/>
      <c r="S1309"/>
      <c r="T1309"/>
      <c r="U1309"/>
      <c r="AC1309"/>
      <c r="AL1309"/>
      <c r="CG1309"/>
      <c r="CH1309"/>
      <c r="CI1309"/>
      <c r="CJ1309"/>
      <c r="CP1309"/>
      <c r="CQ1309"/>
      <c r="CR1309"/>
      <c r="CS1309"/>
    </row>
    <row r="1310" spans="12:97" ht="14.45" hidden="1" customHeight="1" x14ac:dyDescent="0.25">
      <c r="L1310"/>
      <c r="M1310"/>
      <c r="N1310"/>
      <c r="O1310"/>
      <c r="P1310"/>
      <c r="Q1310"/>
      <c r="R1310"/>
      <c r="S1310"/>
      <c r="T1310"/>
      <c r="U1310"/>
      <c r="AC1310"/>
      <c r="AL1310"/>
      <c r="CG1310"/>
      <c r="CH1310"/>
      <c r="CI1310"/>
      <c r="CJ1310"/>
      <c r="CP1310"/>
      <c r="CQ1310"/>
      <c r="CR1310"/>
      <c r="CS1310"/>
    </row>
    <row r="1311" spans="12:97" ht="14.45" hidden="1" customHeight="1" x14ac:dyDescent="0.25">
      <c r="L1311"/>
      <c r="M1311"/>
      <c r="N1311"/>
      <c r="O1311"/>
      <c r="P1311"/>
      <c r="Q1311"/>
      <c r="R1311"/>
      <c r="S1311"/>
      <c r="T1311"/>
      <c r="U1311"/>
      <c r="AC1311"/>
      <c r="AL1311"/>
      <c r="CG1311"/>
      <c r="CH1311"/>
      <c r="CI1311"/>
      <c r="CJ1311"/>
      <c r="CP1311"/>
      <c r="CQ1311"/>
      <c r="CR1311"/>
      <c r="CS1311"/>
    </row>
    <row r="1312" spans="12:97" ht="14.45" hidden="1" customHeight="1" x14ac:dyDescent="0.25">
      <c r="L1312"/>
      <c r="M1312"/>
      <c r="N1312"/>
      <c r="O1312"/>
      <c r="P1312"/>
      <c r="Q1312"/>
      <c r="R1312"/>
      <c r="S1312"/>
      <c r="T1312"/>
      <c r="U1312"/>
      <c r="AC1312"/>
      <c r="AL1312"/>
      <c r="CG1312"/>
      <c r="CH1312"/>
      <c r="CI1312"/>
      <c r="CJ1312"/>
      <c r="CP1312"/>
      <c r="CQ1312"/>
      <c r="CR1312"/>
      <c r="CS1312"/>
    </row>
    <row r="1313" spans="12:97" ht="14.45" hidden="1" customHeight="1" x14ac:dyDescent="0.25">
      <c r="L1313"/>
      <c r="M1313"/>
      <c r="N1313"/>
      <c r="O1313"/>
      <c r="P1313"/>
      <c r="Q1313"/>
      <c r="R1313"/>
      <c r="S1313"/>
      <c r="T1313"/>
      <c r="U1313"/>
      <c r="AC1313"/>
      <c r="AL1313"/>
      <c r="CG1313"/>
      <c r="CH1313"/>
      <c r="CI1313"/>
      <c r="CJ1313"/>
      <c r="CP1313"/>
      <c r="CQ1313"/>
      <c r="CR1313"/>
      <c r="CS1313"/>
    </row>
    <row r="1314" spans="12:97" ht="14.45" hidden="1" customHeight="1" x14ac:dyDescent="0.25">
      <c r="L1314"/>
      <c r="M1314"/>
      <c r="N1314"/>
      <c r="O1314"/>
      <c r="P1314"/>
      <c r="Q1314"/>
      <c r="R1314"/>
      <c r="S1314"/>
      <c r="T1314"/>
      <c r="U1314"/>
      <c r="AC1314"/>
      <c r="AL1314"/>
      <c r="CG1314"/>
      <c r="CH1314"/>
      <c r="CI1314"/>
      <c r="CJ1314"/>
      <c r="CP1314"/>
      <c r="CQ1314"/>
      <c r="CR1314"/>
      <c r="CS1314"/>
    </row>
    <row r="1315" spans="12:97" ht="14.45" hidden="1" customHeight="1" x14ac:dyDescent="0.25">
      <c r="L1315"/>
      <c r="M1315"/>
      <c r="N1315"/>
      <c r="O1315"/>
      <c r="P1315"/>
      <c r="Q1315"/>
      <c r="R1315"/>
      <c r="S1315"/>
      <c r="T1315"/>
      <c r="U1315"/>
      <c r="AC1315"/>
      <c r="AL1315"/>
      <c r="CG1315"/>
      <c r="CH1315"/>
      <c r="CI1315"/>
      <c r="CJ1315"/>
      <c r="CP1315"/>
      <c r="CQ1315"/>
      <c r="CR1315"/>
      <c r="CS1315"/>
    </row>
    <row r="1316" spans="12:97" ht="14.45" hidden="1" customHeight="1" x14ac:dyDescent="0.25">
      <c r="L1316"/>
      <c r="M1316"/>
      <c r="N1316"/>
      <c r="O1316"/>
      <c r="P1316"/>
      <c r="Q1316"/>
      <c r="R1316"/>
      <c r="S1316"/>
      <c r="T1316"/>
      <c r="U1316"/>
      <c r="AC1316"/>
      <c r="AL1316"/>
      <c r="CG1316"/>
      <c r="CH1316"/>
      <c r="CI1316"/>
      <c r="CJ1316"/>
      <c r="CP1316"/>
      <c r="CQ1316"/>
      <c r="CR1316"/>
      <c r="CS1316"/>
    </row>
    <row r="1317" spans="12:97" ht="14.45" hidden="1" customHeight="1" x14ac:dyDescent="0.25">
      <c r="L1317"/>
      <c r="M1317"/>
      <c r="N1317"/>
      <c r="O1317"/>
      <c r="P1317"/>
      <c r="Q1317"/>
      <c r="R1317"/>
      <c r="S1317"/>
      <c r="T1317"/>
      <c r="U1317"/>
      <c r="AC1317"/>
      <c r="AL1317"/>
      <c r="CG1317"/>
      <c r="CH1317"/>
      <c r="CI1317"/>
      <c r="CJ1317"/>
      <c r="CP1317"/>
      <c r="CQ1317"/>
      <c r="CR1317"/>
      <c r="CS1317"/>
    </row>
    <row r="1318" spans="12:97" ht="14.45" hidden="1" customHeight="1" x14ac:dyDescent="0.25">
      <c r="L1318"/>
      <c r="M1318"/>
      <c r="N1318"/>
      <c r="O1318"/>
      <c r="P1318"/>
      <c r="Q1318"/>
      <c r="R1318"/>
      <c r="S1318"/>
      <c r="T1318"/>
      <c r="U1318"/>
      <c r="AC1318"/>
      <c r="AL1318"/>
      <c r="CG1318"/>
      <c r="CH1318"/>
      <c r="CI1318"/>
      <c r="CJ1318"/>
      <c r="CP1318"/>
      <c r="CQ1318"/>
      <c r="CR1318"/>
      <c r="CS1318"/>
    </row>
    <row r="1319" spans="12:97" ht="14.45" hidden="1" customHeight="1" x14ac:dyDescent="0.25">
      <c r="L1319"/>
      <c r="M1319"/>
      <c r="N1319"/>
      <c r="O1319"/>
      <c r="P1319"/>
      <c r="Q1319"/>
      <c r="R1319"/>
      <c r="S1319"/>
      <c r="T1319"/>
      <c r="U1319"/>
      <c r="AC1319"/>
      <c r="AL1319"/>
      <c r="CG1319"/>
      <c r="CH1319"/>
      <c r="CI1319"/>
      <c r="CJ1319"/>
      <c r="CP1319"/>
      <c r="CQ1319"/>
      <c r="CR1319"/>
      <c r="CS1319"/>
    </row>
    <row r="1320" spans="12:97" ht="14.45" hidden="1" customHeight="1" x14ac:dyDescent="0.25">
      <c r="L1320"/>
      <c r="M1320"/>
      <c r="N1320"/>
      <c r="O1320"/>
      <c r="P1320"/>
      <c r="Q1320"/>
      <c r="R1320"/>
      <c r="S1320"/>
      <c r="T1320"/>
      <c r="U1320"/>
      <c r="AC1320"/>
      <c r="AL1320"/>
      <c r="CG1320"/>
      <c r="CH1320"/>
      <c r="CI1320"/>
      <c r="CJ1320"/>
      <c r="CP1320"/>
      <c r="CQ1320"/>
      <c r="CR1320"/>
      <c r="CS1320"/>
    </row>
    <row r="1321" spans="12:97" ht="14.45" hidden="1" customHeight="1" x14ac:dyDescent="0.25">
      <c r="L1321"/>
      <c r="M1321"/>
      <c r="N1321"/>
      <c r="O1321"/>
      <c r="P1321"/>
      <c r="Q1321"/>
      <c r="R1321"/>
      <c r="S1321"/>
      <c r="T1321"/>
      <c r="U1321"/>
      <c r="AC1321"/>
      <c r="AL1321"/>
      <c r="CG1321"/>
      <c r="CH1321"/>
      <c r="CI1321"/>
      <c r="CJ1321"/>
      <c r="CP1321"/>
      <c r="CQ1321"/>
      <c r="CR1321"/>
      <c r="CS1321"/>
    </row>
    <row r="1322" spans="12:97" ht="14.45" hidden="1" customHeight="1" x14ac:dyDescent="0.25">
      <c r="L1322"/>
      <c r="M1322"/>
      <c r="N1322"/>
      <c r="O1322"/>
      <c r="P1322"/>
      <c r="Q1322"/>
      <c r="R1322"/>
      <c r="S1322"/>
      <c r="T1322"/>
      <c r="U1322"/>
      <c r="AC1322"/>
      <c r="AL1322"/>
      <c r="CG1322"/>
      <c r="CH1322"/>
      <c r="CI1322"/>
      <c r="CJ1322"/>
      <c r="CP1322"/>
      <c r="CQ1322"/>
      <c r="CR1322"/>
      <c r="CS1322"/>
    </row>
    <row r="1323" spans="12:97" ht="14.45" hidden="1" customHeight="1" x14ac:dyDescent="0.25">
      <c r="L1323"/>
      <c r="M1323"/>
      <c r="N1323"/>
      <c r="O1323"/>
      <c r="P1323"/>
      <c r="Q1323"/>
      <c r="R1323"/>
      <c r="S1323"/>
      <c r="T1323"/>
      <c r="U1323"/>
      <c r="AC1323"/>
      <c r="AL1323"/>
      <c r="CG1323"/>
      <c r="CH1323"/>
      <c r="CI1323"/>
      <c r="CJ1323"/>
      <c r="CP1323"/>
      <c r="CQ1323"/>
      <c r="CR1323"/>
      <c r="CS1323"/>
    </row>
    <row r="1324" spans="12:97" ht="14.45" hidden="1" customHeight="1" x14ac:dyDescent="0.25">
      <c r="P1324"/>
      <c r="Q1324"/>
      <c r="R1324"/>
      <c r="S1324"/>
      <c r="T1324"/>
      <c r="AC1324"/>
      <c r="AL1324"/>
    </row>
    <row r="1325" spans="12:97" ht="14.45" hidden="1" customHeight="1" x14ac:dyDescent="0.25">
      <c r="P1325"/>
      <c r="Q1325"/>
      <c r="R1325"/>
      <c r="S1325"/>
      <c r="T1325"/>
      <c r="AC1325"/>
      <c r="AL1325"/>
    </row>
    <row r="1326" spans="12:97" ht="14.45" hidden="1" customHeight="1" x14ac:dyDescent="0.25">
      <c r="P1326"/>
      <c r="Q1326"/>
      <c r="R1326"/>
      <c r="S1326"/>
      <c r="T1326"/>
      <c r="AC1326"/>
      <c r="AL1326"/>
    </row>
    <row r="1327" spans="12:97" ht="14.45" hidden="1" customHeight="1" x14ac:dyDescent="0.25">
      <c r="P1327"/>
      <c r="Q1327"/>
      <c r="R1327"/>
      <c r="S1327"/>
      <c r="T1327"/>
      <c r="AC1327"/>
      <c r="AL1327"/>
    </row>
    <row r="1328" spans="12:97" ht="14.45" hidden="1" customHeight="1" x14ac:dyDescent="0.25">
      <c r="P1328"/>
      <c r="Q1328"/>
      <c r="R1328"/>
      <c r="S1328"/>
      <c r="T1328"/>
      <c r="AC1328"/>
      <c r="AL1328"/>
    </row>
    <row r="1329" spans="16:38" ht="14.45" hidden="1" customHeight="1" x14ac:dyDescent="0.25">
      <c r="P1329"/>
      <c r="Q1329"/>
      <c r="R1329"/>
      <c r="S1329"/>
      <c r="T1329"/>
      <c r="AC1329"/>
      <c r="AL1329"/>
    </row>
    <row r="1330" spans="16:38" ht="14.45" hidden="1" customHeight="1" x14ac:dyDescent="0.25">
      <c r="R1330" s="543"/>
      <c r="S1330" s="543"/>
      <c r="T1330" s="543"/>
    </row>
    <row r="1331" spans="16:38" ht="14.45" hidden="1" customHeight="1" x14ac:dyDescent="0.25">
      <c r="R1331" s="543"/>
      <c r="S1331" s="543"/>
      <c r="T1331" s="543"/>
    </row>
    <row r="1332" spans="16:38" ht="14.45" hidden="1" customHeight="1" x14ac:dyDescent="0.25">
      <c r="R1332" s="543"/>
      <c r="S1332" s="543"/>
      <c r="T1332" s="543"/>
    </row>
    <row r="1333" spans="16:38" ht="14.45" hidden="1" customHeight="1" x14ac:dyDescent="0.25">
      <c r="R1333" s="543"/>
      <c r="S1333" s="543"/>
      <c r="T1333" s="543"/>
    </row>
    <row r="1334" spans="16:38" ht="14.45" hidden="1" customHeight="1" x14ac:dyDescent="0.25"/>
    <row r="1335" spans="16:38" ht="14.45" hidden="1" customHeight="1" x14ac:dyDescent="0.25"/>
    <row r="1336" spans="16:38" ht="14.45" hidden="1" customHeight="1" x14ac:dyDescent="0.25"/>
    <row r="1337" spans="16:38" ht="14.45" hidden="1" customHeight="1" x14ac:dyDescent="0.25"/>
    <row r="1338" spans="16:38" ht="14.45" hidden="1" customHeight="1" x14ac:dyDescent="0.25"/>
    <row r="1339" spans="16:38" ht="14.45" hidden="1" customHeight="1" x14ac:dyDescent="0.25"/>
    <row r="1340" spans="16:38" ht="14.45" hidden="1" customHeight="1" x14ac:dyDescent="0.25"/>
    <row r="1341" spans="16:38" ht="14.45" hidden="1" customHeight="1" x14ac:dyDescent="0.25"/>
    <row r="1342" spans="16:38" ht="14.45" hidden="1" customHeight="1" x14ac:dyDescent="0.25"/>
    <row r="1343" spans="16:38" ht="14.45" hidden="1" customHeight="1" x14ac:dyDescent="0.25"/>
    <row r="1344" spans="16:38" ht="14.45" hidden="1" customHeight="1" x14ac:dyDescent="0.25"/>
    <row r="1345" ht="14.45" hidden="1" customHeight="1" x14ac:dyDescent="0.25"/>
    <row r="1346" ht="14.45" hidden="1" customHeight="1" x14ac:dyDescent="0.25"/>
    <row r="1347" ht="14.45" hidden="1" customHeight="1" x14ac:dyDescent="0.25"/>
    <row r="1348" ht="14.45" hidden="1" customHeight="1" x14ac:dyDescent="0.25"/>
    <row r="1349" ht="14.45" hidden="1" customHeight="1" x14ac:dyDescent="0.25"/>
    <row r="1350" ht="14.45" hidden="1" customHeight="1" x14ac:dyDescent="0.25"/>
    <row r="1351" ht="14.45" hidden="1" customHeight="1" x14ac:dyDescent="0.25"/>
    <row r="1352" ht="14.45" hidden="1" customHeight="1" x14ac:dyDescent="0.25"/>
    <row r="1353" ht="14.45" hidden="1" customHeight="1" x14ac:dyDescent="0.25"/>
    <row r="1354" ht="14.45" hidden="1" customHeight="1" x14ac:dyDescent="0.25"/>
    <row r="1355" ht="14.45" hidden="1" customHeight="1" x14ac:dyDescent="0.25"/>
    <row r="1356" ht="14.45" hidden="1" customHeight="1" x14ac:dyDescent="0.25"/>
    <row r="1357" ht="14.45" hidden="1" customHeight="1" x14ac:dyDescent="0.25"/>
    <row r="1358" ht="14.45" hidden="1" customHeight="1" x14ac:dyDescent="0.25"/>
    <row r="1359" ht="14.45" hidden="1" customHeight="1" x14ac:dyDescent="0.25"/>
    <row r="1360" ht="14.45" hidden="1" customHeight="1" x14ac:dyDescent="0.25"/>
    <row r="1361" ht="14.45" hidden="1" customHeight="1" x14ac:dyDescent="0.25"/>
    <row r="1362" ht="14.45" hidden="1" customHeight="1" x14ac:dyDescent="0.25"/>
    <row r="1363" ht="14.45" hidden="1" customHeight="1" x14ac:dyDescent="0.25"/>
    <row r="1364" ht="14.45" hidden="1" customHeight="1" x14ac:dyDescent="0.25"/>
    <row r="1365" ht="14.45" hidden="1" customHeight="1" x14ac:dyDescent="0.25"/>
    <row r="1366" ht="14.45" hidden="1" customHeight="1" x14ac:dyDescent="0.25"/>
    <row r="1367" ht="14.45" hidden="1" customHeight="1" x14ac:dyDescent="0.25"/>
    <row r="1368" ht="14.45" hidden="1" customHeight="1" x14ac:dyDescent="0.25"/>
    <row r="1369" ht="14.45" hidden="1" customHeight="1" x14ac:dyDescent="0.25"/>
    <row r="1370" ht="14.45" hidden="1" customHeight="1" x14ac:dyDescent="0.25"/>
    <row r="1371" ht="14.45" hidden="1" customHeight="1" x14ac:dyDescent="0.25"/>
    <row r="1372" ht="14.45" hidden="1" customHeight="1" x14ac:dyDescent="0.25"/>
    <row r="1373" ht="14.45" hidden="1" customHeight="1" x14ac:dyDescent="0.25"/>
    <row r="1374" ht="14.45" hidden="1" customHeight="1" x14ac:dyDescent="0.25"/>
    <row r="1375" ht="14.45" hidden="1" customHeight="1" x14ac:dyDescent="0.25"/>
    <row r="1376" ht="14.45" hidden="1" customHeight="1" x14ac:dyDescent="0.25"/>
    <row r="1377" ht="14.45" hidden="1" customHeight="1" x14ac:dyDescent="0.25"/>
    <row r="1378" ht="14.45" hidden="1" customHeight="1" x14ac:dyDescent="0.25"/>
    <row r="1379" ht="14.45" hidden="1" customHeight="1" x14ac:dyDescent="0.25"/>
    <row r="1380" ht="14.45" hidden="1" customHeight="1" x14ac:dyDescent="0.25"/>
    <row r="1381" ht="14.45" hidden="1" customHeight="1" x14ac:dyDescent="0.25"/>
    <row r="1382" ht="14.45" hidden="1" customHeight="1" x14ac:dyDescent="0.25"/>
    <row r="1383" hidden="1" x14ac:dyDescent="0.25"/>
    <row r="1384" hidden="1" x14ac:dyDescent="0.25"/>
    <row r="1385" hidden="1" x14ac:dyDescent="0.25"/>
    <row r="1386" hidden="1" x14ac:dyDescent="0.25"/>
    <row r="1387" hidden="1" x14ac:dyDescent="0.25"/>
    <row r="1388" hidden="1" x14ac:dyDescent="0.25"/>
    <row r="1389" hidden="1" x14ac:dyDescent="0.25"/>
    <row r="1390" hidden="1" x14ac:dyDescent="0.25"/>
    <row r="1391" hidden="1" x14ac:dyDescent="0.25"/>
    <row r="1392" hidden="1" x14ac:dyDescent="0.25"/>
    <row r="1393" hidden="1" x14ac:dyDescent="0.25"/>
    <row r="1394" hidden="1" x14ac:dyDescent="0.25"/>
    <row r="1395" hidden="1" x14ac:dyDescent="0.25"/>
    <row r="1396" hidden="1" x14ac:dyDescent="0.25"/>
    <row r="1397" hidden="1" x14ac:dyDescent="0.25"/>
    <row r="1398" hidden="1" x14ac:dyDescent="0.25"/>
    <row r="1399" hidden="1" x14ac:dyDescent="0.25"/>
    <row r="1400" hidden="1" x14ac:dyDescent="0.25"/>
    <row r="1401" hidden="1" x14ac:dyDescent="0.25"/>
    <row r="1402" hidden="1" x14ac:dyDescent="0.25"/>
    <row r="1403" hidden="1" x14ac:dyDescent="0.25"/>
    <row r="1404" hidden="1" x14ac:dyDescent="0.25"/>
    <row r="1405" hidden="1" x14ac:dyDescent="0.25"/>
    <row r="1406" hidden="1" x14ac:dyDescent="0.25"/>
    <row r="1407" hidden="1" x14ac:dyDescent="0.25"/>
    <row r="1408" hidden="1" x14ac:dyDescent="0.25"/>
    <row r="1409" hidden="1" x14ac:dyDescent="0.25"/>
    <row r="1410" hidden="1" x14ac:dyDescent="0.25"/>
    <row r="1411" hidden="1" x14ac:dyDescent="0.25"/>
    <row r="1412" hidden="1" x14ac:dyDescent="0.25"/>
    <row r="1413" hidden="1" x14ac:dyDescent="0.25"/>
    <row r="1414" hidden="1" x14ac:dyDescent="0.25"/>
    <row r="1415" hidden="1" x14ac:dyDescent="0.25"/>
    <row r="1416" hidden="1" x14ac:dyDescent="0.25"/>
    <row r="1417" hidden="1" x14ac:dyDescent="0.25"/>
    <row r="1418" hidden="1" x14ac:dyDescent="0.25"/>
    <row r="1419" hidden="1" x14ac:dyDescent="0.25"/>
    <row r="1420" hidden="1" x14ac:dyDescent="0.25"/>
    <row r="1421" hidden="1" x14ac:dyDescent="0.25"/>
    <row r="1422" hidden="1" x14ac:dyDescent="0.25"/>
    <row r="1423" hidden="1" x14ac:dyDescent="0.25"/>
    <row r="1424" hidden="1" x14ac:dyDescent="0.25"/>
    <row r="1425" hidden="1" x14ac:dyDescent="0.25"/>
    <row r="1426" hidden="1" x14ac:dyDescent="0.25"/>
    <row r="1427" hidden="1" x14ac:dyDescent="0.25"/>
    <row r="1428" hidden="1" x14ac:dyDescent="0.25"/>
    <row r="1429" hidden="1" x14ac:dyDescent="0.25"/>
    <row r="1430" hidden="1" x14ac:dyDescent="0.25"/>
    <row r="1431" hidden="1" x14ac:dyDescent="0.25"/>
    <row r="1432" hidden="1" x14ac:dyDescent="0.25"/>
    <row r="1433" hidden="1" x14ac:dyDescent="0.25"/>
    <row r="1434" hidden="1" x14ac:dyDescent="0.25"/>
    <row r="1435" hidden="1" x14ac:dyDescent="0.25"/>
    <row r="1436" hidden="1" x14ac:dyDescent="0.25"/>
    <row r="1437" hidden="1" x14ac:dyDescent="0.25"/>
    <row r="1438" hidden="1" x14ac:dyDescent="0.25"/>
    <row r="1439" hidden="1" x14ac:dyDescent="0.25"/>
    <row r="1440" hidden="1" x14ac:dyDescent="0.25"/>
    <row r="1441" hidden="1" x14ac:dyDescent="0.25"/>
    <row r="1442" hidden="1" x14ac:dyDescent="0.25"/>
    <row r="1443" hidden="1" x14ac:dyDescent="0.25"/>
    <row r="1444" hidden="1" x14ac:dyDescent="0.25"/>
    <row r="1445" hidden="1" x14ac:dyDescent="0.25"/>
    <row r="1446" hidden="1" x14ac:dyDescent="0.25"/>
    <row r="1447" hidden="1" x14ac:dyDescent="0.25"/>
    <row r="1448" hidden="1" x14ac:dyDescent="0.25"/>
    <row r="1449" hidden="1" x14ac:dyDescent="0.25"/>
    <row r="1450" hidden="1" x14ac:dyDescent="0.25"/>
    <row r="1451" hidden="1" x14ac:dyDescent="0.25"/>
    <row r="1452" hidden="1" x14ac:dyDescent="0.25"/>
    <row r="1453" hidden="1" x14ac:dyDescent="0.25"/>
    <row r="1454" hidden="1" x14ac:dyDescent="0.25"/>
    <row r="1455" hidden="1" x14ac:dyDescent="0.25"/>
    <row r="1456" hidden="1" x14ac:dyDescent="0.25"/>
    <row r="1457" hidden="1" x14ac:dyDescent="0.25"/>
    <row r="1458" hidden="1" x14ac:dyDescent="0.25"/>
    <row r="1459" hidden="1" x14ac:dyDescent="0.25"/>
    <row r="1460" hidden="1" x14ac:dyDescent="0.25"/>
    <row r="1461" hidden="1" x14ac:dyDescent="0.25"/>
    <row r="1462" hidden="1" x14ac:dyDescent="0.25"/>
    <row r="1463" hidden="1" x14ac:dyDescent="0.25"/>
    <row r="1464" hidden="1" x14ac:dyDescent="0.25"/>
    <row r="1465" hidden="1" x14ac:dyDescent="0.25"/>
    <row r="1466" hidden="1" x14ac:dyDescent="0.25"/>
    <row r="1467" hidden="1" x14ac:dyDescent="0.25"/>
    <row r="1468" hidden="1" x14ac:dyDescent="0.25"/>
    <row r="1469" hidden="1" x14ac:dyDescent="0.25"/>
    <row r="1470" hidden="1" x14ac:dyDescent="0.25"/>
    <row r="1471" hidden="1" x14ac:dyDescent="0.25"/>
    <row r="1472" hidden="1" x14ac:dyDescent="0.25"/>
    <row r="1473" hidden="1" x14ac:dyDescent="0.25"/>
    <row r="1474" hidden="1" x14ac:dyDescent="0.25"/>
    <row r="1475" hidden="1" x14ac:dyDescent="0.25"/>
    <row r="1476" hidden="1" x14ac:dyDescent="0.25"/>
    <row r="1477" hidden="1" x14ac:dyDescent="0.25"/>
    <row r="1478" hidden="1" x14ac:dyDescent="0.25"/>
    <row r="1479" hidden="1" x14ac:dyDescent="0.25"/>
    <row r="1480" hidden="1" x14ac:dyDescent="0.25"/>
    <row r="1481" hidden="1" x14ac:dyDescent="0.25"/>
    <row r="1482" hidden="1" x14ac:dyDescent="0.25"/>
    <row r="1483" hidden="1" x14ac:dyDescent="0.25"/>
    <row r="1484" hidden="1" x14ac:dyDescent="0.25"/>
    <row r="1485" hidden="1" x14ac:dyDescent="0.25"/>
    <row r="1486" hidden="1" x14ac:dyDescent="0.25"/>
    <row r="1487" hidden="1" x14ac:dyDescent="0.25"/>
    <row r="1488" hidden="1" x14ac:dyDescent="0.25"/>
    <row r="1489" hidden="1" x14ac:dyDescent="0.25"/>
    <row r="1490" hidden="1" x14ac:dyDescent="0.25"/>
    <row r="1491" hidden="1" x14ac:dyDescent="0.25"/>
    <row r="1492" hidden="1" x14ac:dyDescent="0.25"/>
    <row r="1493" hidden="1" x14ac:dyDescent="0.25"/>
    <row r="1494" hidden="1" x14ac:dyDescent="0.25"/>
    <row r="1495" hidden="1" x14ac:dyDescent="0.25"/>
    <row r="1496" hidden="1" x14ac:dyDescent="0.25"/>
    <row r="1497" hidden="1" x14ac:dyDescent="0.25"/>
    <row r="1498" hidden="1" x14ac:dyDescent="0.25"/>
    <row r="1499" hidden="1" x14ac:dyDescent="0.25"/>
    <row r="1500" hidden="1" x14ac:dyDescent="0.25"/>
    <row r="1501" hidden="1" x14ac:dyDescent="0.25"/>
    <row r="1502" hidden="1" x14ac:dyDescent="0.25"/>
    <row r="1503" hidden="1" x14ac:dyDescent="0.25"/>
    <row r="1504" hidden="1" x14ac:dyDescent="0.25"/>
    <row r="1505" hidden="1" x14ac:dyDescent="0.25"/>
    <row r="1506" hidden="1" x14ac:dyDescent="0.25"/>
    <row r="1507" hidden="1" x14ac:dyDescent="0.25"/>
    <row r="1508" hidden="1" x14ac:dyDescent="0.25"/>
    <row r="1509" hidden="1" x14ac:dyDescent="0.25"/>
    <row r="1510" hidden="1" x14ac:dyDescent="0.25"/>
    <row r="1511" hidden="1" x14ac:dyDescent="0.25"/>
    <row r="1512" hidden="1" x14ac:dyDescent="0.25"/>
    <row r="1513" hidden="1" x14ac:dyDescent="0.25"/>
    <row r="1514" hidden="1" x14ac:dyDescent="0.25"/>
    <row r="1515" hidden="1" x14ac:dyDescent="0.25"/>
    <row r="1516" hidden="1" x14ac:dyDescent="0.25"/>
    <row r="1517" hidden="1" x14ac:dyDescent="0.25"/>
    <row r="1518" hidden="1" x14ac:dyDescent="0.25"/>
    <row r="1519" hidden="1" x14ac:dyDescent="0.25"/>
    <row r="1520" hidden="1" x14ac:dyDescent="0.25"/>
    <row r="1521" hidden="1" x14ac:dyDescent="0.25"/>
    <row r="1522" hidden="1" x14ac:dyDescent="0.25"/>
    <row r="1523" hidden="1" x14ac:dyDescent="0.25"/>
    <row r="1524" hidden="1" x14ac:dyDescent="0.25"/>
    <row r="1525" hidden="1" x14ac:dyDescent="0.25"/>
    <row r="1526" hidden="1" x14ac:dyDescent="0.25"/>
    <row r="1527" hidden="1" x14ac:dyDescent="0.25"/>
    <row r="1528" hidden="1" x14ac:dyDescent="0.25"/>
    <row r="1529" hidden="1" x14ac:dyDescent="0.25"/>
    <row r="1530" hidden="1" x14ac:dyDescent="0.25"/>
    <row r="1531" hidden="1" x14ac:dyDescent="0.25"/>
    <row r="1532" hidden="1" x14ac:dyDescent="0.25"/>
    <row r="1533" hidden="1" x14ac:dyDescent="0.25"/>
    <row r="1534" hidden="1" x14ac:dyDescent="0.25"/>
    <row r="1535" hidden="1" x14ac:dyDescent="0.25"/>
    <row r="1536" hidden="1" x14ac:dyDescent="0.25"/>
    <row r="1537" hidden="1" x14ac:dyDescent="0.25"/>
    <row r="1538" hidden="1" x14ac:dyDescent="0.25"/>
    <row r="1539" hidden="1" x14ac:dyDescent="0.25"/>
    <row r="1540" hidden="1" x14ac:dyDescent="0.25"/>
    <row r="1541" hidden="1" x14ac:dyDescent="0.25"/>
    <row r="1542" hidden="1" x14ac:dyDescent="0.25"/>
    <row r="1543" hidden="1" x14ac:dyDescent="0.25"/>
    <row r="1544" hidden="1" x14ac:dyDescent="0.25"/>
    <row r="1545" hidden="1" x14ac:dyDescent="0.25"/>
    <row r="1546" hidden="1" x14ac:dyDescent="0.25"/>
    <row r="1547" hidden="1" x14ac:dyDescent="0.25"/>
    <row r="1548" hidden="1" x14ac:dyDescent="0.25"/>
    <row r="1549" hidden="1" x14ac:dyDescent="0.25"/>
    <row r="1550" hidden="1" x14ac:dyDescent="0.25"/>
    <row r="1551" hidden="1" x14ac:dyDescent="0.25"/>
    <row r="1552" hidden="1" x14ac:dyDescent="0.25"/>
    <row r="1553" hidden="1" x14ac:dyDescent="0.25"/>
    <row r="1554" hidden="1" x14ac:dyDescent="0.25"/>
    <row r="1555" hidden="1" x14ac:dyDescent="0.25"/>
    <row r="1556" hidden="1" x14ac:dyDescent="0.25"/>
    <row r="1557" hidden="1" x14ac:dyDescent="0.25"/>
    <row r="1558" hidden="1" x14ac:dyDescent="0.25"/>
    <row r="1559" hidden="1" x14ac:dyDescent="0.25"/>
    <row r="1560" hidden="1" x14ac:dyDescent="0.25"/>
    <row r="1561" hidden="1" x14ac:dyDescent="0.25"/>
    <row r="1562" hidden="1" x14ac:dyDescent="0.25"/>
    <row r="1563" hidden="1" x14ac:dyDescent="0.25"/>
    <row r="1564" hidden="1" x14ac:dyDescent="0.25"/>
    <row r="1565" hidden="1" x14ac:dyDescent="0.25"/>
    <row r="1566" hidden="1" x14ac:dyDescent="0.25"/>
    <row r="1567" hidden="1" x14ac:dyDescent="0.25"/>
    <row r="1568" hidden="1" x14ac:dyDescent="0.25"/>
    <row r="1569" hidden="1" x14ac:dyDescent="0.25"/>
    <row r="1570" hidden="1" x14ac:dyDescent="0.25"/>
    <row r="1571" hidden="1" x14ac:dyDescent="0.25"/>
    <row r="1572" hidden="1" x14ac:dyDescent="0.25"/>
    <row r="1573" hidden="1" x14ac:dyDescent="0.25"/>
    <row r="1574" hidden="1" x14ac:dyDescent="0.25"/>
    <row r="1575" hidden="1" x14ac:dyDescent="0.25"/>
    <row r="1576" hidden="1" x14ac:dyDescent="0.25"/>
    <row r="1577" hidden="1" x14ac:dyDescent="0.25"/>
    <row r="1578" hidden="1" x14ac:dyDescent="0.25"/>
    <row r="1579" hidden="1" x14ac:dyDescent="0.25"/>
    <row r="1580" hidden="1" x14ac:dyDescent="0.25"/>
    <row r="1581" hidden="1" x14ac:dyDescent="0.25"/>
    <row r="1582" hidden="1" x14ac:dyDescent="0.25"/>
    <row r="1583" hidden="1" x14ac:dyDescent="0.25"/>
    <row r="1584" hidden="1" x14ac:dyDescent="0.25"/>
    <row r="1585" hidden="1" x14ac:dyDescent="0.25"/>
    <row r="1586" hidden="1" x14ac:dyDescent="0.25"/>
    <row r="1587" hidden="1" x14ac:dyDescent="0.25"/>
    <row r="1588" hidden="1" x14ac:dyDescent="0.25"/>
    <row r="1589" hidden="1" x14ac:dyDescent="0.25"/>
    <row r="1590" hidden="1" x14ac:dyDescent="0.25"/>
    <row r="1591" hidden="1" x14ac:dyDescent="0.25"/>
    <row r="1592" hidden="1" x14ac:dyDescent="0.25"/>
    <row r="1593" hidden="1" x14ac:dyDescent="0.25"/>
    <row r="1594" hidden="1" x14ac:dyDescent="0.25"/>
    <row r="1595" hidden="1" x14ac:dyDescent="0.25"/>
    <row r="1596" hidden="1" x14ac:dyDescent="0.25"/>
    <row r="1597" hidden="1" x14ac:dyDescent="0.25"/>
    <row r="1598" hidden="1" x14ac:dyDescent="0.25"/>
    <row r="1599" hidden="1" x14ac:dyDescent="0.25"/>
    <row r="1600" hidden="1" x14ac:dyDescent="0.25"/>
    <row r="1601" hidden="1" x14ac:dyDescent="0.25"/>
    <row r="1602" hidden="1" x14ac:dyDescent="0.25"/>
    <row r="1603" hidden="1" x14ac:dyDescent="0.25"/>
    <row r="1604" hidden="1" x14ac:dyDescent="0.25"/>
    <row r="1605" hidden="1" x14ac:dyDescent="0.25"/>
    <row r="1606" hidden="1" x14ac:dyDescent="0.25"/>
    <row r="1607" hidden="1" x14ac:dyDescent="0.25"/>
    <row r="1608" hidden="1" x14ac:dyDescent="0.25"/>
    <row r="1609" hidden="1" x14ac:dyDescent="0.25"/>
    <row r="1610" hidden="1" x14ac:dyDescent="0.25"/>
    <row r="1611" hidden="1" x14ac:dyDescent="0.25"/>
    <row r="1612" hidden="1" x14ac:dyDescent="0.25"/>
    <row r="1613" hidden="1" x14ac:dyDescent="0.25"/>
    <row r="1614" hidden="1" x14ac:dyDescent="0.25"/>
    <row r="1615" hidden="1" x14ac:dyDescent="0.25"/>
    <row r="1616" hidden="1" x14ac:dyDescent="0.25"/>
    <row r="1617" hidden="1" x14ac:dyDescent="0.25"/>
    <row r="1618" hidden="1" x14ac:dyDescent="0.25"/>
    <row r="1619" hidden="1" x14ac:dyDescent="0.25"/>
    <row r="1620" hidden="1" x14ac:dyDescent="0.25"/>
    <row r="1621" hidden="1" x14ac:dyDescent="0.25"/>
    <row r="1622" hidden="1" x14ac:dyDescent="0.25"/>
    <row r="1623" hidden="1" x14ac:dyDescent="0.25"/>
    <row r="1624" hidden="1" x14ac:dyDescent="0.25"/>
    <row r="1625" hidden="1" x14ac:dyDescent="0.25"/>
    <row r="1626" hidden="1" x14ac:dyDescent="0.25"/>
    <row r="1627" hidden="1" x14ac:dyDescent="0.25"/>
    <row r="1628" hidden="1" x14ac:dyDescent="0.25"/>
    <row r="1629" hidden="1" x14ac:dyDescent="0.25"/>
    <row r="1630" hidden="1" x14ac:dyDescent="0.25"/>
  </sheetData>
  <sheetProtection algorithmName="SHA-512" hashValue="IeRHxi6DWsQHT7eLt5LaueEYYOHF5wzoo60r2dtDMpsKXmu9ZEKkWkHTmcMmhKRAWYFO4Pc8HEuUEUjgNKEJBw==" saltValue="BwrKw4QMjFTmMafLuYqXDA==" spinCount="100000" sheet="1" formatCells="0"/>
  <dataConsolidate link="1"/>
  <mergeCells count="4140">
    <mergeCell ref="AF540:AH540"/>
    <mergeCell ref="AF541:AH541"/>
    <mergeCell ref="AF542:AH542"/>
    <mergeCell ref="AF543:AH543"/>
    <mergeCell ref="AF544:AH544"/>
    <mergeCell ref="AF545:AH545"/>
    <mergeCell ref="AF485:AH485"/>
    <mergeCell ref="AF558:AH558"/>
    <mergeCell ref="AF559:AH559"/>
    <mergeCell ref="AF610:AH610"/>
    <mergeCell ref="AF514:AH514"/>
    <mergeCell ref="AF515:AH515"/>
    <mergeCell ref="AF516:AH516"/>
    <mergeCell ref="AF555:AH555"/>
    <mergeCell ref="L4:N5"/>
    <mergeCell ref="AF679:AH679"/>
    <mergeCell ref="AF626:AH626"/>
    <mergeCell ref="AF627:AH627"/>
    <mergeCell ref="AF628:AH628"/>
    <mergeCell ref="AF629:AH629"/>
    <mergeCell ref="AF630:AH630"/>
    <mergeCell ref="AF631:AH631"/>
    <mergeCell ref="AF632:AH632"/>
    <mergeCell ref="AF633:AH633"/>
    <mergeCell ref="AF634:AH634"/>
    <mergeCell ref="AF635:AH635"/>
    <mergeCell ref="AF636:AH636"/>
    <mergeCell ref="AF651:AH651"/>
    <mergeCell ref="AF652:AH652"/>
    <mergeCell ref="AF653:AH653"/>
    <mergeCell ref="AG13:AH13"/>
    <mergeCell ref="AG14:AH14"/>
    <mergeCell ref="AF520:AH520"/>
    <mergeCell ref="AF521:AH521"/>
    <mergeCell ref="AF522:AH522"/>
    <mergeCell ref="AF523:AH523"/>
    <mergeCell ref="AF524:AH524"/>
    <mergeCell ref="AF525:AH525"/>
    <mergeCell ref="AF539:AH539"/>
    <mergeCell ref="AF549:AH549"/>
    <mergeCell ref="AF550:AH550"/>
    <mergeCell ref="AF551:AH551"/>
    <mergeCell ref="AF552:AH552"/>
    <mergeCell ref="AF553:AH553"/>
    <mergeCell ref="AF554:AH554"/>
    <mergeCell ref="AF486:AH486"/>
    <mergeCell ref="AG2:AH3"/>
    <mergeCell ref="AE22:AE23"/>
    <mergeCell ref="AF668:AH668"/>
    <mergeCell ref="AF488:AH488"/>
    <mergeCell ref="AF489:AH489"/>
    <mergeCell ref="AF490:AH490"/>
    <mergeCell ref="AF491:AH491"/>
    <mergeCell ref="AF492:AH492"/>
    <mergeCell ref="AF497:AH497"/>
    <mergeCell ref="AF339:AH339"/>
    <mergeCell ref="AF340:AH340"/>
    <mergeCell ref="AF341:AH341"/>
    <mergeCell ref="AF342:AH342"/>
    <mergeCell ref="AF343:AH343"/>
    <mergeCell ref="AF344:AH344"/>
    <mergeCell ref="AF345:AH345"/>
    <mergeCell ref="AF346:AH346"/>
    <mergeCell ref="AF347:AH347"/>
    <mergeCell ref="AF669:AH669"/>
    <mergeCell ref="AF670:AH670"/>
    <mergeCell ref="AF671:AH671"/>
    <mergeCell ref="AF672:AH672"/>
    <mergeCell ref="AF603:AH603"/>
    <mergeCell ref="AF604:AH604"/>
    <mergeCell ref="AF605:AH605"/>
    <mergeCell ref="AF606:AH606"/>
    <mergeCell ref="AF608:AH608"/>
    <mergeCell ref="AF609:AH609"/>
    <mergeCell ref="AF556:AH556"/>
    <mergeCell ref="AF590:AH590"/>
    <mergeCell ref="AF591:AH591"/>
    <mergeCell ref="AF592:AH592"/>
    <mergeCell ref="AF593:AH593"/>
    <mergeCell ref="AF594:AH594"/>
    <mergeCell ref="AF595:AH595"/>
    <mergeCell ref="AF596:AH596"/>
    <mergeCell ref="AF597:AH597"/>
    <mergeCell ref="AF598:AH598"/>
    <mergeCell ref="AF599:AH599"/>
    <mergeCell ref="AF557:AH557"/>
    <mergeCell ref="AF588:AH588"/>
    <mergeCell ref="AF583:AH583"/>
    <mergeCell ref="AF673:AH673"/>
    <mergeCell ref="AF674:AH674"/>
    <mergeCell ref="AF675:AH675"/>
    <mergeCell ref="AF676:AH676"/>
    <mergeCell ref="AF677:AH677"/>
    <mergeCell ref="AF678:AH678"/>
    <mergeCell ref="AF681:AH681"/>
    <mergeCell ref="AF682:AH682"/>
    <mergeCell ref="AG4:AH4"/>
    <mergeCell ref="AG5:AH5"/>
    <mergeCell ref="AG6:AH6"/>
    <mergeCell ref="AG7:AH7"/>
    <mergeCell ref="AG8:AH8"/>
    <mergeCell ref="AG9:AH9"/>
    <mergeCell ref="AF637:AH637"/>
    <mergeCell ref="AF638:AH638"/>
    <mergeCell ref="AF639:AH639"/>
    <mergeCell ref="AF640:AH640"/>
    <mergeCell ref="AF641:AH641"/>
    <mergeCell ref="AF642:AH642"/>
    <mergeCell ref="AF643:AH643"/>
    <mergeCell ref="AF644:AH644"/>
    <mergeCell ref="AF645:AH645"/>
    <mergeCell ref="AF646:AH646"/>
    <mergeCell ref="AF647:AH647"/>
    <mergeCell ref="AF648:AH648"/>
    <mergeCell ref="AF649:AH649"/>
    <mergeCell ref="AF650:AH650"/>
    <mergeCell ref="AF546:AH546"/>
    <mergeCell ref="AF547:AH547"/>
    <mergeCell ref="AF548:AH548"/>
    <mergeCell ref="AF487:AH487"/>
    <mergeCell ref="AF680:AH680"/>
    <mergeCell ref="AF560:AH560"/>
    <mergeCell ref="AF561:AH561"/>
    <mergeCell ref="AF562:AH562"/>
    <mergeCell ref="AF563:AH563"/>
    <mergeCell ref="AF564:AH564"/>
    <mergeCell ref="AF565:AH565"/>
    <mergeCell ref="AF566:AH566"/>
    <mergeCell ref="AF567:AH567"/>
    <mergeCell ref="AF568:AH568"/>
    <mergeCell ref="AF569:AH569"/>
    <mergeCell ref="AF570:AH570"/>
    <mergeCell ref="AF578:AH578"/>
    <mergeCell ref="AF579:AH579"/>
    <mergeCell ref="AF580:AH580"/>
    <mergeCell ref="AF581:AH581"/>
    <mergeCell ref="AF582:AH582"/>
    <mergeCell ref="AF589:AH589"/>
    <mergeCell ref="AF602:AH602"/>
    <mergeCell ref="AF620:AH620"/>
    <mergeCell ref="AF621:AH621"/>
    <mergeCell ref="AF622:AH622"/>
    <mergeCell ref="AF623:AH623"/>
    <mergeCell ref="AF624:AH624"/>
    <mergeCell ref="AF625:AH625"/>
    <mergeCell ref="AF571:AH571"/>
    <mergeCell ref="AF572:AH572"/>
    <mergeCell ref="AF573:AH573"/>
    <mergeCell ref="AF574:AH574"/>
    <mergeCell ref="AF575:AH575"/>
    <mergeCell ref="AF576:AH576"/>
    <mergeCell ref="AF577:AH577"/>
    <mergeCell ref="AF348:AH348"/>
    <mergeCell ref="AF320:AH320"/>
    <mergeCell ref="AF321:AH321"/>
    <mergeCell ref="AF328:AH328"/>
    <mergeCell ref="AF332:AH332"/>
    <mergeCell ref="AF333:AH333"/>
    <mergeCell ref="AF498:AH498"/>
    <mergeCell ref="AF499:AH499"/>
    <mergeCell ref="AF455:AH455"/>
    <mergeCell ref="AF473:AH473"/>
    <mergeCell ref="AF459:AH459"/>
    <mergeCell ref="AF460:AH460"/>
    <mergeCell ref="AF461:AH461"/>
    <mergeCell ref="AF462:AH462"/>
    <mergeCell ref="AF467:AH467"/>
    <mergeCell ref="AF468:AH468"/>
    <mergeCell ref="AF469:AH469"/>
    <mergeCell ref="AF470:AH470"/>
    <mergeCell ref="AF471:AH471"/>
    <mergeCell ref="AF457:AH457"/>
    <mergeCell ref="AF458:AH458"/>
    <mergeCell ref="AF464:AH464"/>
    <mergeCell ref="AF465:AH465"/>
    <mergeCell ref="AF322:AH322"/>
    <mergeCell ref="AF323:AH323"/>
    <mergeCell ref="AF324:AH324"/>
    <mergeCell ref="AF325:AH325"/>
    <mergeCell ref="AF326:AH326"/>
    <mergeCell ref="AF336:AH336"/>
    <mergeCell ref="AF337:AH337"/>
    <mergeCell ref="AF338:AH338"/>
    <mergeCell ref="AF387:AH387"/>
    <mergeCell ref="AF300:AH300"/>
    <mergeCell ref="AF301:AH301"/>
    <mergeCell ref="AF302:AH302"/>
    <mergeCell ref="AF303:AH303"/>
    <mergeCell ref="AF304:AH304"/>
    <mergeCell ref="AF305:AH305"/>
    <mergeCell ref="AF281:AH281"/>
    <mergeCell ref="AF282:AH282"/>
    <mergeCell ref="AF283:AH283"/>
    <mergeCell ref="AF284:AH284"/>
    <mergeCell ref="AF285:AH285"/>
    <mergeCell ref="AF299:AH299"/>
    <mergeCell ref="AF315:AH315"/>
    <mergeCell ref="AF316:AH316"/>
    <mergeCell ref="AF317:AH317"/>
    <mergeCell ref="AF318:AH318"/>
    <mergeCell ref="AF319:AH319"/>
    <mergeCell ref="AF239:AH239"/>
    <mergeCell ref="AF240:AH240"/>
    <mergeCell ref="AF241:AH241"/>
    <mergeCell ref="AF262:AH262"/>
    <mergeCell ref="AF298:AH298"/>
    <mergeCell ref="AF276:AH276"/>
    <mergeCell ref="AF277:AH277"/>
    <mergeCell ref="AF278:AH278"/>
    <mergeCell ref="AF257:AH257"/>
    <mergeCell ref="AF258:AH258"/>
    <mergeCell ref="AF274:AH274"/>
    <mergeCell ref="AF275:AH275"/>
    <mergeCell ref="AF291:AH291"/>
    <mergeCell ref="AF292:AH292"/>
    <mergeCell ref="AF293:AH293"/>
    <mergeCell ref="AF294:AH294"/>
    <mergeCell ref="AF295:AH295"/>
    <mergeCell ref="AF296:AH296"/>
    <mergeCell ref="AF297:AH297"/>
    <mergeCell ref="AF270:AH270"/>
    <mergeCell ref="AF237:AH237"/>
    <mergeCell ref="AF238:AH238"/>
    <mergeCell ref="AF221:AH221"/>
    <mergeCell ref="AF254:AH254"/>
    <mergeCell ref="AF255:AH255"/>
    <mergeCell ref="AF242:AH242"/>
    <mergeCell ref="AF243:AH243"/>
    <mergeCell ref="AF244:AH244"/>
    <mergeCell ref="AF245:AH245"/>
    <mergeCell ref="AF246:AH246"/>
    <mergeCell ref="AF247:AH247"/>
    <mergeCell ref="AF286:AH286"/>
    <mergeCell ref="AF287:AH287"/>
    <mergeCell ref="AF288:AH288"/>
    <mergeCell ref="AF290:AH290"/>
    <mergeCell ref="AF231:AH231"/>
    <mergeCell ref="AF232:AH232"/>
    <mergeCell ref="AF259:AH259"/>
    <mergeCell ref="AF260:AH260"/>
    <mergeCell ref="AF261:AH261"/>
    <mergeCell ref="AF222:AH222"/>
    <mergeCell ref="AF223:AH223"/>
    <mergeCell ref="AF224:AH224"/>
    <mergeCell ref="AF225:AH225"/>
    <mergeCell ref="AF226:AH226"/>
    <mergeCell ref="AF227:AH227"/>
    <mergeCell ref="AF228:AH228"/>
    <mergeCell ref="AF229:AH229"/>
    <mergeCell ref="AF230:AH230"/>
    <mergeCell ref="AF233:AH233"/>
    <mergeCell ref="AF252:AH252"/>
    <mergeCell ref="AF253:AH253"/>
    <mergeCell ref="AF167:AH167"/>
    <mergeCell ref="AF168:AH168"/>
    <mergeCell ref="AF169:AH169"/>
    <mergeCell ref="AF170:AH170"/>
    <mergeCell ref="AF171:AH171"/>
    <mergeCell ref="AF172:AH172"/>
    <mergeCell ref="AF177:AH177"/>
    <mergeCell ref="AF178:AH178"/>
    <mergeCell ref="AF179:AH179"/>
    <mergeCell ref="AF180:AH180"/>
    <mergeCell ref="AF181:AH181"/>
    <mergeCell ref="AF187:AH187"/>
    <mergeCell ref="AF188:AH188"/>
    <mergeCell ref="AF184:AH184"/>
    <mergeCell ref="AF153:AH153"/>
    <mergeCell ref="AF154:AH154"/>
    <mergeCell ref="AF155:AH155"/>
    <mergeCell ref="AF156:AH156"/>
    <mergeCell ref="AF157:AH157"/>
    <mergeCell ref="AF158:AH158"/>
    <mergeCell ref="AF159:AH159"/>
    <mergeCell ref="AF160:AH160"/>
    <mergeCell ref="AF161:AH161"/>
    <mergeCell ref="AF162:AH162"/>
    <mergeCell ref="AF163:AH163"/>
    <mergeCell ref="AF164:AH164"/>
    <mergeCell ref="AF183:AH183"/>
    <mergeCell ref="AF182:AH182"/>
    <mergeCell ref="AF122:AH122"/>
    <mergeCell ref="AF123:AH123"/>
    <mergeCell ref="AF124:AH124"/>
    <mergeCell ref="AF125:AH125"/>
    <mergeCell ref="AF126:AH126"/>
    <mergeCell ref="AF127:AH127"/>
    <mergeCell ref="AF128:AH128"/>
    <mergeCell ref="AF129:AH129"/>
    <mergeCell ref="AF150:AH150"/>
    <mergeCell ref="AF151:AH151"/>
    <mergeCell ref="AF152:AH152"/>
    <mergeCell ref="AF130:AH130"/>
    <mergeCell ref="AF131:AH131"/>
    <mergeCell ref="AF132:AH132"/>
    <mergeCell ref="AF133:AH133"/>
    <mergeCell ref="AF134:AH134"/>
    <mergeCell ref="AF135:AH135"/>
    <mergeCell ref="AF136:AH136"/>
    <mergeCell ref="AF137:AH137"/>
    <mergeCell ref="AF138:AH138"/>
    <mergeCell ref="AF139:AH139"/>
    <mergeCell ref="AF140:AH140"/>
    <mergeCell ref="AF141:AH141"/>
    <mergeCell ref="AF142:AH142"/>
    <mergeCell ref="AF143:AH143"/>
    <mergeCell ref="AF144:AH144"/>
    <mergeCell ref="AF145:AH145"/>
    <mergeCell ref="AF146:AH146"/>
    <mergeCell ref="AF147:AH147"/>
    <mergeCell ref="AF101:AH101"/>
    <mergeCell ref="AF106:AH106"/>
    <mergeCell ref="AF107:AH107"/>
    <mergeCell ref="AF108:AH108"/>
    <mergeCell ref="AF109:AH109"/>
    <mergeCell ref="AF110:AH110"/>
    <mergeCell ref="AF111:AH111"/>
    <mergeCell ref="AF112:AH112"/>
    <mergeCell ref="AF113:AH113"/>
    <mergeCell ref="AF114:AH114"/>
    <mergeCell ref="AF115:AH115"/>
    <mergeCell ref="AF116:AH116"/>
    <mergeCell ref="AF117:AH117"/>
    <mergeCell ref="AF118:AH118"/>
    <mergeCell ref="AF119:AH119"/>
    <mergeCell ref="AF120:AH120"/>
    <mergeCell ref="AF121:AH121"/>
    <mergeCell ref="AF47:AH47"/>
    <mergeCell ref="AF48:AH48"/>
    <mergeCell ref="AF49:AH49"/>
    <mergeCell ref="AF50:AH50"/>
    <mergeCell ref="AF51:AH51"/>
    <mergeCell ref="AF52:AH52"/>
    <mergeCell ref="AF53:AH53"/>
    <mergeCell ref="AF56:AH56"/>
    <mergeCell ref="AF57:AH57"/>
    <mergeCell ref="AF58:AH58"/>
    <mergeCell ref="AF59:AH59"/>
    <mergeCell ref="AH28:AH29"/>
    <mergeCell ref="AH30:AH31"/>
    <mergeCell ref="AF24:AF25"/>
    <mergeCell ref="AF26:AF27"/>
    <mergeCell ref="AF28:AF29"/>
    <mergeCell ref="AF30:AF31"/>
    <mergeCell ref="AE13:AE14"/>
    <mergeCell ref="AE15:AE16"/>
    <mergeCell ref="AE17:AE18"/>
    <mergeCell ref="AE19:AE20"/>
    <mergeCell ref="AD34:AH34"/>
    <mergeCell ref="AF35:AH35"/>
    <mergeCell ref="AF36:AH36"/>
    <mergeCell ref="AF37:AH37"/>
    <mergeCell ref="AF38:AH38"/>
    <mergeCell ref="AF39:AH39"/>
    <mergeCell ref="AF40:AH40"/>
    <mergeCell ref="AF41:AH41"/>
    <mergeCell ref="AD35:AE35"/>
    <mergeCell ref="AG28:AG29"/>
    <mergeCell ref="AG30:AG31"/>
    <mergeCell ref="AF22:AF23"/>
    <mergeCell ref="AC41:AC46"/>
    <mergeCell ref="AF42:AH42"/>
    <mergeCell ref="AF43:AH43"/>
    <mergeCell ref="AD37:AE37"/>
    <mergeCell ref="AD38:AE38"/>
    <mergeCell ref="AD39:AE39"/>
    <mergeCell ref="AD40:AE40"/>
    <mergeCell ref="AD36:AE36"/>
    <mergeCell ref="AG22:AG23"/>
    <mergeCell ref="AG24:AG25"/>
    <mergeCell ref="AG26:AG27"/>
    <mergeCell ref="AF44:AH44"/>
    <mergeCell ref="AF45:AH45"/>
    <mergeCell ref="AF46:AH46"/>
    <mergeCell ref="AC15:AD16"/>
    <mergeCell ref="AC17:AD18"/>
    <mergeCell ref="M47:M52"/>
    <mergeCell ref="P47:P58"/>
    <mergeCell ref="E17:H17"/>
    <mergeCell ref="AC19:AD20"/>
    <mergeCell ref="AD48:AE48"/>
    <mergeCell ref="AD44:AE44"/>
    <mergeCell ref="AD60:AE60"/>
    <mergeCell ref="AD61:AE61"/>
    <mergeCell ref="AD62:AE62"/>
    <mergeCell ref="Q17:R17"/>
    <mergeCell ref="AD41:AE41"/>
    <mergeCell ref="AD42:AE42"/>
    <mergeCell ref="AC35:AC40"/>
    <mergeCell ref="AD22:AD23"/>
    <mergeCell ref="AD55:AE55"/>
    <mergeCell ref="AD56:AE56"/>
    <mergeCell ref="AD57:AE57"/>
    <mergeCell ref="AD58:AE58"/>
    <mergeCell ref="AD59:AE59"/>
    <mergeCell ref="AD45:AE45"/>
    <mergeCell ref="AD46:AE46"/>
    <mergeCell ref="AD47:AE47"/>
    <mergeCell ref="AD49:AE49"/>
    <mergeCell ref="AD50:AE50"/>
    <mergeCell ref="AD51:AE51"/>
    <mergeCell ref="AD52:AE52"/>
    <mergeCell ref="AD53:AE53"/>
    <mergeCell ref="AD54:AE54"/>
    <mergeCell ref="W41:W46"/>
    <mergeCell ref="AD43:AE43"/>
    <mergeCell ref="J55:K58"/>
    <mergeCell ref="L24:N24"/>
    <mergeCell ref="L25:N25"/>
    <mergeCell ref="L59:L64"/>
    <mergeCell ref="B6:R7"/>
    <mergeCell ref="M13:N13"/>
    <mergeCell ref="J59:K62"/>
    <mergeCell ref="R47:R58"/>
    <mergeCell ref="I47:I58"/>
    <mergeCell ref="AB59:AB64"/>
    <mergeCell ref="AB77:AB82"/>
    <mergeCell ref="B15:D15"/>
    <mergeCell ref="L41:L46"/>
    <mergeCell ref="M41:M46"/>
    <mergeCell ref="N41:N46"/>
    <mergeCell ref="B34:D34"/>
    <mergeCell ref="B35:D40"/>
    <mergeCell ref="B41:D46"/>
    <mergeCell ref="B12:D12"/>
    <mergeCell ref="B13:D13"/>
    <mergeCell ref="B14:D14"/>
    <mergeCell ref="E47:G58"/>
    <mergeCell ref="E59:G70"/>
    <mergeCell ref="E34:G34"/>
    <mergeCell ref="E15:H15"/>
    <mergeCell ref="B17:D17"/>
    <mergeCell ref="Z41:Z46"/>
    <mergeCell ref="Q59:Q70"/>
    <mergeCell ref="I59:I70"/>
    <mergeCell ref="B47:D52"/>
    <mergeCell ref="B53:D58"/>
    <mergeCell ref="B59:D64"/>
    <mergeCell ref="O11:R11"/>
    <mergeCell ref="J18:R23"/>
    <mergeCell ref="O13:P13"/>
    <mergeCell ref="O17:P17"/>
    <mergeCell ref="H4:I4"/>
    <mergeCell ref="H5:I5"/>
    <mergeCell ref="S34:T34"/>
    <mergeCell ref="S35:T46"/>
    <mergeCell ref="O3:R3"/>
    <mergeCell ref="F14:G14"/>
    <mergeCell ref="E18:F18"/>
    <mergeCell ref="I35:I46"/>
    <mergeCell ref="L65:L70"/>
    <mergeCell ref="J34:K34"/>
    <mergeCell ref="H35:H46"/>
    <mergeCell ref="H47:H58"/>
    <mergeCell ref="H59:H70"/>
    <mergeCell ref="O4:R5"/>
    <mergeCell ref="E11:G11"/>
    <mergeCell ref="E10:H10"/>
    <mergeCell ref="E12:H12"/>
    <mergeCell ref="K15:L15"/>
    <mergeCell ref="O16:P16"/>
    <mergeCell ref="M16:N16"/>
    <mergeCell ref="J10:R10"/>
    <mergeCell ref="E35:G46"/>
    <mergeCell ref="Q47:Q58"/>
    <mergeCell ref="M53:M58"/>
    <mergeCell ref="D5:G5"/>
    <mergeCell ref="P31:Q32"/>
    <mergeCell ref="J47:K50"/>
    <mergeCell ref="J51:K54"/>
    <mergeCell ref="J131:K134"/>
    <mergeCell ref="I143:I154"/>
    <mergeCell ref="H179:H190"/>
    <mergeCell ref="J383:K386"/>
    <mergeCell ref="J403:K406"/>
    <mergeCell ref="L341:L346"/>
    <mergeCell ref="L323:L328"/>
    <mergeCell ref="L359:L364"/>
    <mergeCell ref="AC2:AE2"/>
    <mergeCell ref="AC3:AE3"/>
    <mergeCell ref="Y47:Y52"/>
    <mergeCell ref="J79:K82"/>
    <mergeCell ref="E83:G94"/>
    <mergeCell ref="E95:G106"/>
    <mergeCell ref="E107:G118"/>
    <mergeCell ref="E119:G130"/>
    <mergeCell ref="E131:G142"/>
    <mergeCell ref="E143:G154"/>
    <mergeCell ref="E155:G166"/>
    <mergeCell ref="D4:G4"/>
    <mergeCell ref="AC8:AC9"/>
    <mergeCell ref="AD8:AD9"/>
    <mergeCell ref="Q13:R13"/>
    <mergeCell ref="Q14:R14"/>
    <mergeCell ref="Q15:R15"/>
    <mergeCell ref="Q16:R16"/>
    <mergeCell ref="O2:P2"/>
    <mergeCell ref="E71:G82"/>
    <mergeCell ref="W53:W58"/>
    <mergeCell ref="L26:N26"/>
    <mergeCell ref="O12:P12"/>
    <mergeCell ref="Q12:R12"/>
    <mergeCell ref="J139:K142"/>
    <mergeCell ref="J143:K146"/>
    <mergeCell ref="L161:L166"/>
    <mergeCell ref="I275:I286"/>
    <mergeCell ref="H203:H214"/>
    <mergeCell ref="L335:L340"/>
    <mergeCell ref="L353:L358"/>
    <mergeCell ref="L329:L334"/>
    <mergeCell ref="J211:K214"/>
    <mergeCell ref="J259:K262"/>
    <mergeCell ref="L377:L382"/>
    <mergeCell ref="J359:K362"/>
    <mergeCell ref="J363:K366"/>
    <mergeCell ref="J367:K370"/>
    <mergeCell ref="J371:K374"/>
    <mergeCell ref="J375:K378"/>
    <mergeCell ref="J379:K382"/>
    <mergeCell ref="L371:L376"/>
    <mergeCell ref="H227:H238"/>
    <mergeCell ref="L191:L196"/>
    <mergeCell ref="I287:I298"/>
    <mergeCell ref="I299:I310"/>
    <mergeCell ref="M293:M298"/>
    <mergeCell ref="L287:L292"/>
    <mergeCell ref="J279:K282"/>
    <mergeCell ref="J263:K266"/>
    <mergeCell ref="M329:M334"/>
    <mergeCell ref="J491:K494"/>
    <mergeCell ref="J495:K498"/>
    <mergeCell ref="I383:I394"/>
    <mergeCell ref="H395:H406"/>
    <mergeCell ref="H407:H418"/>
    <mergeCell ref="H419:H430"/>
    <mergeCell ref="H431:H442"/>
    <mergeCell ref="H443:H454"/>
    <mergeCell ref="L347:L352"/>
    <mergeCell ref="H143:H154"/>
    <mergeCell ref="L149:L154"/>
    <mergeCell ref="I503:I514"/>
    <mergeCell ref="I371:I382"/>
    <mergeCell ref="I407:I418"/>
    <mergeCell ref="E323:G334"/>
    <mergeCell ref="H671:H682"/>
    <mergeCell ref="H575:H586"/>
    <mergeCell ref="H587:H598"/>
    <mergeCell ref="H623:H634"/>
    <mergeCell ref="H635:H646"/>
    <mergeCell ref="H647:H658"/>
    <mergeCell ref="H659:H670"/>
    <mergeCell ref="E623:G634"/>
    <mergeCell ref="E635:G646"/>
    <mergeCell ref="E491:G502"/>
    <mergeCell ref="E503:G514"/>
    <mergeCell ref="E515:G526"/>
    <mergeCell ref="E527:G538"/>
    <mergeCell ref="E539:G550"/>
    <mergeCell ref="E551:G562"/>
    <mergeCell ref="E563:G574"/>
    <mergeCell ref="E575:G586"/>
    <mergeCell ref="E587:G598"/>
    <mergeCell ref="H611:H622"/>
    <mergeCell ref="E647:G658"/>
    <mergeCell ref="E659:G670"/>
    <mergeCell ref="E671:G682"/>
    <mergeCell ref="I527:I538"/>
    <mergeCell ref="H323:H334"/>
    <mergeCell ref="I431:I442"/>
    <mergeCell ref="L389:L394"/>
    <mergeCell ref="L401:L406"/>
    <mergeCell ref="J195:K198"/>
    <mergeCell ref="L185:L190"/>
    <mergeCell ref="B10:D10"/>
    <mergeCell ref="B11:D11"/>
    <mergeCell ref="J63:K66"/>
    <mergeCell ref="J67:K70"/>
    <mergeCell ref="B30:R30"/>
    <mergeCell ref="E611:G622"/>
    <mergeCell ref="E467:G478"/>
    <mergeCell ref="E479:G490"/>
    <mergeCell ref="I491:I502"/>
    <mergeCell ref="I335:I346"/>
    <mergeCell ref="I359:I370"/>
    <mergeCell ref="I347:I358"/>
    <mergeCell ref="H455:H466"/>
    <mergeCell ref="I587:I598"/>
    <mergeCell ref="E263:G274"/>
    <mergeCell ref="I467:I478"/>
    <mergeCell ref="H383:H394"/>
    <mergeCell ref="H275:H286"/>
    <mergeCell ref="H287:H298"/>
    <mergeCell ref="I599:I610"/>
    <mergeCell ref="I575:I586"/>
    <mergeCell ref="E419:G430"/>
    <mergeCell ref="E431:G442"/>
    <mergeCell ref="E443:G454"/>
    <mergeCell ref="E455:G466"/>
    <mergeCell ref="E599:G610"/>
    <mergeCell ref="I323:I334"/>
    <mergeCell ref="AC329:AC334"/>
    <mergeCell ref="AD394:AE394"/>
    <mergeCell ref="AD386:AE386"/>
    <mergeCell ref="AB389:AB394"/>
    <mergeCell ref="AB383:AB388"/>
    <mergeCell ref="E13:H13"/>
    <mergeCell ref="E335:G346"/>
    <mergeCell ref="E347:G358"/>
    <mergeCell ref="E359:G370"/>
    <mergeCell ref="E371:G382"/>
    <mergeCell ref="E383:G394"/>
    <mergeCell ref="H215:H226"/>
    <mergeCell ref="J231:K234"/>
    <mergeCell ref="J235:K238"/>
    <mergeCell ref="I203:I214"/>
    <mergeCell ref="I215:I226"/>
    <mergeCell ref="J247:K250"/>
    <mergeCell ref="J251:K254"/>
    <mergeCell ref="J255:K258"/>
    <mergeCell ref="H167:H178"/>
    <mergeCell ref="J127:K130"/>
    <mergeCell ref="H371:H382"/>
    <mergeCell ref="I311:I322"/>
    <mergeCell ref="L317:L322"/>
    <mergeCell ref="M317:M322"/>
    <mergeCell ref="L239:L244"/>
    <mergeCell ref="J239:K242"/>
    <mergeCell ref="J243:K246"/>
    <mergeCell ref="J271:K274"/>
    <mergeCell ref="J275:K278"/>
    <mergeCell ref="J267:K270"/>
    <mergeCell ref="M371:M376"/>
    <mergeCell ref="AB299:AB304"/>
    <mergeCell ref="AB317:AB322"/>
    <mergeCell ref="AB311:AB316"/>
    <mergeCell ref="AB281:AB286"/>
    <mergeCell ref="AC299:AC304"/>
    <mergeCell ref="AC281:AC286"/>
    <mergeCell ref="AB341:AB346"/>
    <mergeCell ref="AB335:AB340"/>
    <mergeCell ref="AB407:AB412"/>
    <mergeCell ref="AB401:AB406"/>
    <mergeCell ref="AC245:AC250"/>
    <mergeCell ref="AC227:AC232"/>
    <mergeCell ref="AD229:AE229"/>
    <mergeCell ref="AD230:AE230"/>
    <mergeCell ref="AB245:AB250"/>
    <mergeCell ref="AB239:AB244"/>
    <mergeCell ref="AB233:AB238"/>
    <mergeCell ref="AD241:AE241"/>
    <mergeCell ref="AD279:AE279"/>
    <mergeCell ref="AD237:AE237"/>
    <mergeCell ref="AD238:AE238"/>
    <mergeCell ref="AD239:AE239"/>
    <mergeCell ref="AB275:AB280"/>
    <mergeCell ref="AD307:AE307"/>
    <mergeCell ref="AD242:AE242"/>
    <mergeCell ref="AD243:AE243"/>
    <mergeCell ref="AD244:AE244"/>
    <mergeCell ref="AD240:AE240"/>
    <mergeCell ref="AD330:AE330"/>
    <mergeCell ref="AD335:AE335"/>
    <mergeCell ref="AC305:AC310"/>
    <mergeCell ref="AC317:AC322"/>
    <mergeCell ref="AB491:AB496"/>
    <mergeCell ref="AC455:AC460"/>
    <mergeCell ref="AB485:AB490"/>
    <mergeCell ref="AB479:AB484"/>
    <mergeCell ref="AB473:AB478"/>
    <mergeCell ref="AB467:AB472"/>
    <mergeCell ref="AC485:AC490"/>
    <mergeCell ref="AC491:AC496"/>
    <mergeCell ref="AC461:AC466"/>
    <mergeCell ref="AC467:AC472"/>
    <mergeCell ref="AC509:AC514"/>
    <mergeCell ref="AB461:AB466"/>
    <mergeCell ref="AB455:AB460"/>
    <mergeCell ref="AC479:AC484"/>
    <mergeCell ref="AB575:AB580"/>
    <mergeCell ref="AB569:AB574"/>
    <mergeCell ref="AC539:AC544"/>
    <mergeCell ref="AC563:AC568"/>
    <mergeCell ref="AB563:AB568"/>
    <mergeCell ref="AB557:AB562"/>
    <mergeCell ref="AB509:AB514"/>
    <mergeCell ref="AB551:AB556"/>
    <mergeCell ref="AB545:AB550"/>
    <mergeCell ref="AB539:AB544"/>
    <mergeCell ref="AC473:AC478"/>
    <mergeCell ref="AC503:AC508"/>
    <mergeCell ref="AC497:AC502"/>
    <mergeCell ref="AD668:AE668"/>
    <mergeCell ref="AD585:AE585"/>
    <mergeCell ref="AD590:AE590"/>
    <mergeCell ref="AD562:AE562"/>
    <mergeCell ref="AD563:AE563"/>
    <mergeCell ref="AD570:AE570"/>
    <mergeCell ref="AD571:AE571"/>
    <mergeCell ref="AD637:AE637"/>
    <mergeCell ref="AD638:AE638"/>
    <mergeCell ref="AD594:AE594"/>
    <mergeCell ref="AD595:AE595"/>
    <mergeCell ref="AD596:AE596"/>
    <mergeCell ref="AD597:AE597"/>
    <mergeCell ref="AD598:AE598"/>
    <mergeCell ref="AD667:AE667"/>
    <mergeCell ref="AB593:AB598"/>
    <mergeCell ref="AB587:AB592"/>
    <mergeCell ref="AB581:AB586"/>
    <mergeCell ref="AD647:AE647"/>
    <mergeCell ref="AD648:AE648"/>
    <mergeCell ref="AD649:AE649"/>
    <mergeCell ref="AD650:AE650"/>
    <mergeCell ref="AD651:AE651"/>
    <mergeCell ref="AD652:AE652"/>
    <mergeCell ref="AD653:AE653"/>
    <mergeCell ref="AD655:AE655"/>
    <mergeCell ref="AD623:AE623"/>
    <mergeCell ref="AD624:AE624"/>
    <mergeCell ref="AD625:AE625"/>
    <mergeCell ref="AC611:AC616"/>
    <mergeCell ref="AD659:AE659"/>
    <mergeCell ref="AD660:AE660"/>
    <mergeCell ref="AD673:AE673"/>
    <mergeCell ref="AD674:AE674"/>
    <mergeCell ref="AD669:AE669"/>
    <mergeCell ref="AC521:AC526"/>
    <mergeCell ref="AC515:AC520"/>
    <mergeCell ref="AB521:AB526"/>
    <mergeCell ref="AB515:AB520"/>
    <mergeCell ref="AD627:AE627"/>
    <mergeCell ref="AD628:AE628"/>
    <mergeCell ref="AD658:AE658"/>
    <mergeCell ref="AD645:AE645"/>
    <mergeCell ref="AD646:AE646"/>
    <mergeCell ref="AC665:AC670"/>
    <mergeCell ref="AD629:AE629"/>
    <mergeCell ref="AD630:AE630"/>
    <mergeCell ref="AD631:AE631"/>
    <mergeCell ref="AD632:AE632"/>
    <mergeCell ref="AB653:AB658"/>
    <mergeCell ref="AB647:AB652"/>
    <mergeCell ref="AB629:AB634"/>
    <mergeCell ref="AB623:AB628"/>
    <mergeCell ref="AB617:AB622"/>
    <mergeCell ref="AD626:AE626"/>
    <mergeCell ref="AD639:AE639"/>
    <mergeCell ref="AD661:AE661"/>
    <mergeCell ref="AB665:AB670"/>
    <mergeCell ref="AD665:AE665"/>
    <mergeCell ref="AD666:AE666"/>
    <mergeCell ref="AD670:AE670"/>
    <mergeCell ref="AD640:AE640"/>
    <mergeCell ref="AB659:AB664"/>
    <mergeCell ref="AD672:AE672"/>
    <mergeCell ref="AD592:AE592"/>
    <mergeCell ref="AD593:AE593"/>
    <mergeCell ref="AD577:AE577"/>
    <mergeCell ref="AD578:AE578"/>
    <mergeCell ref="AD579:AE579"/>
    <mergeCell ref="AD582:AE582"/>
    <mergeCell ref="AD583:AE583"/>
    <mergeCell ref="AD586:AE586"/>
    <mergeCell ref="AD588:AE588"/>
    <mergeCell ref="AD589:AE589"/>
    <mergeCell ref="AD565:AE565"/>
    <mergeCell ref="AD534:AE534"/>
    <mergeCell ref="AD535:AE535"/>
    <mergeCell ref="AD536:AE536"/>
    <mergeCell ref="AD366:AE366"/>
    <mergeCell ref="AD493:AE493"/>
    <mergeCell ref="AD494:AE494"/>
    <mergeCell ref="AD495:AE495"/>
    <mergeCell ref="AD421:AE421"/>
    <mergeCell ref="AD555:AE555"/>
    <mergeCell ref="AB677:AB682"/>
    <mergeCell ref="AB671:AB676"/>
    <mergeCell ref="AD657:AE657"/>
    <mergeCell ref="AD675:AE675"/>
    <mergeCell ref="AD676:AE676"/>
    <mergeCell ref="AD677:AE677"/>
    <mergeCell ref="AD678:AE678"/>
    <mergeCell ref="AD679:AE679"/>
    <mergeCell ref="AD680:AE680"/>
    <mergeCell ref="AD681:AE681"/>
    <mergeCell ref="AD682:AE682"/>
    <mergeCell ref="AC677:AC682"/>
    <mergeCell ref="AD605:AE605"/>
    <mergeCell ref="AD606:AE606"/>
    <mergeCell ref="AD607:AE607"/>
    <mergeCell ref="AD633:AE633"/>
    <mergeCell ref="AD634:AE634"/>
    <mergeCell ref="AD635:AE635"/>
    <mergeCell ref="AD636:AE636"/>
    <mergeCell ref="AB641:AB646"/>
    <mergeCell ref="AB635:AB640"/>
    <mergeCell ref="AD611:AE611"/>
    <mergeCell ref="AD612:AE612"/>
    <mergeCell ref="AD613:AE613"/>
    <mergeCell ref="AD614:AE614"/>
    <mergeCell ref="AD615:AE615"/>
    <mergeCell ref="AD671:AE671"/>
    <mergeCell ref="AC623:AC628"/>
    <mergeCell ref="AD656:AE656"/>
    <mergeCell ref="AD662:AE662"/>
    <mergeCell ref="AD663:AE663"/>
    <mergeCell ref="AD664:AE664"/>
    <mergeCell ref="AD316:AE316"/>
    <mergeCell ref="AD620:AE620"/>
    <mergeCell ref="AD601:AE601"/>
    <mergeCell ref="AD602:AE602"/>
    <mergeCell ref="AD603:AE603"/>
    <mergeCell ref="AD604:AE604"/>
    <mergeCell ref="AD616:AE616"/>
    <mergeCell ref="AD339:AE339"/>
    <mergeCell ref="AD359:AE359"/>
    <mergeCell ref="AD293:AE293"/>
    <mergeCell ref="AD319:AE319"/>
    <mergeCell ref="AD320:AE320"/>
    <mergeCell ref="AC383:AC388"/>
    <mergeCell ref="AC593:AC598"/>
    <mergeCell ref="AC617:AC622"/>
    <mergeCell ref="AD539:AE539"/>
    <mergeCell ref="AD540:AE540"/>
    <mergeCell ref="AD541:AE541"/>
    <mergeCell ref="AD542:AE542"/>
    <mergeCell ref="AD543:AE543"/>
    <mergeCell ref="AD544:AE544"/>
    <mergeCell ref="AD584:AE584"/>
    <mergeCell ref="AD362:AE362"/>
    <mergeCell ref="AD360:AE360"/>
    <mergeCell ref="AD361:AE361"/>
    <mergeCell ref="AD364:AE364"/>
    <mergeCell ref="AD365:AE365"/>
    <mergeCell ref="AD550:AE550"/>
    <mergeCell ref="AD419:AE419"/>
    <mergeCell ref="AD395:AE395"/>
    <mergeCell ref="AD414:AE414"/>
    <mergeCell ref="AD415:AE415"/>
    <mergeCell ref="AD173:AE173"/>
    <mergeCell ref="AC173:AC178"/>
    <mergeCell ref="AC179:AC184"/>
    <mergeCell ref="AD179:AE179"/>
    <mergeCell ref="AD180:AE180"/>
    <mergeCell ref="AD216:AE216"/>
    <mergeCell ref="AD231:AE231"/>
    <mergeCell ref="AD232:AE232"/>
    <mergeCell ref="AD233:AE233"/>
    <mergeCell ref="AC221:AC226"/>
    <mergeCell ref="AC293:AC298"/>
    <mergeCell ref="AD268:AE268"/>
    <mergeCell ref="AD251:AE251"/>
    <mergeCell ref="AD260:AE260"/>
    <mergeCell ref="AD271:AE271"/>
    <mergeCell ref="AD274:AE274"/>
    <mergeCell ref="AD291:AE291"/>
    <mergeCell ref="AD272:AE272"/>
    <mergeCell ref="AC251:AC256"/>
    <mergeCell ref="AC209:AC214"/>
    <mergeCell ref="AD286:AE286"/>
    <mergeCell ref="AD287:AE287"/>
    <mergeCell ref="AD288:AE288"/>
    <mergeCell ref="AC269:AC274"/>
    <mergeCell ref="AC275:AC280"/>
    <mergeCell ref="AC287:AC292"/>
    <mergeCell ref="AC257:AC262"/>
    <mergeCell ref="AC233:AC238"/>
    <mergeCell ref="AD254:AE254"/>
    <mergeCell ref="AD255:AE255"/>
    <mergeCell ref="AD71:AE71"/>
    <mergeCell ref="AD102:AE102"/>
    <mergeCell ref="AD103:AE103"/>
    <mergeCell ref="AD104:AE104"/>
    <mergeCell ref="AA107:AA118"/>
    <mergeCell ref="AC149:AC154"/>
    <mergeCell ref="AD269:AE269"/>
    <mergeCell ref="AD289:AE289"/>
    <mergeCell ref="AD290:AE290"/>
    <mergeCell ref="AD141:AE141"/>
    <mergeCell ref="AD142:AE142"/>
    <mergeCell ref="AD154:AE154"/>
    <mergeCell ref="AD143:AE143"/>
    <mergeCell ref="AD144:AE144"/>
    <mergeCell ref="AD145:AE145"/>
    <mergeCell ref="AD250:AE250"/>
    <mergeCell ref="AD256:AE256"/>
    <mergeCell ref="AD258:AE258"/>
    <mergeCell ref="AD259:AE259"/>
    <mergeCell ref="AB227:AB232"/>
    <mergeCell ref="AC77:AC82"/>
    <mergeCell ref="AC71:AC76"/>
    <mergeCell ref="AD95:AE95"/>
    <mergeCell ref="AD107:AE107"/>
    <mergeCell ref="AD247:AE247"/>
    <mergeCell ref="AD248:AE248"/>
    <mergeCell ref="AD249:AE249"/>
    <mergeCell ref="AD262:AE262"/>
    <mergeCell ref="AD263:AE263"/>
    <mergeCell ref="AD264:AE264"/>
    <mergeCell ref="AD265:AE265"/>
    <mergeCell ref="AD266:AE266"/>
    <mergeCell ref="AD87:AE87"/>
    <mergeCell ref="AD105:AE105"/>
    <mergeCell ref="AD106:AE106"/>
    <mergeCell ref="AD89:AE89"/>
    <mergeCell ref="AD90:AE90"/>
    <mergeCell ref="AD91:AE91"/>
    <mergeCell ref="AC113:AC118"/>
    <mergeCell ref="AC125:AC130"/>
    <mergeCell ref="AC131:AC136"/>
    <mergeCell ref="AD120:AE120"/>
    <mergeCell ref="AD121:AE121"/>
    <mergeCell ref="AD124:AE124"/>
    <mergeCell ref="AC119:AC124"/>
    <mergeCell ref="AD73:AE73"/>
    <mergeCell ref="AD135:AE135"/>
    <mergeCell ref="AD96:AE96"/>
    <mergeCell ref="AD97:AE97"/>
    <mergeCell ref="AD100:AE100"/>
    <mergeCell ref="AD119:AE119"/>
    <mergeCell ref="AD83:AE83"/>
    <mergeCell ref="AD84:AE84"/>
    <mergeCell ref="AC107:AC112"/>
    <mergeCell ref="AD92:AE92"/>
    <mergeCell ref="AD98:AE98"/>
    <mergeCell ref="AD99:AE99"/>
    <mergeCell ref="AD101:AE101"/>
    <mergeCell ref="AD114:AE114"/>
    <mergeCell ref="AD115:AE115"/>
    <mergeCell ref="AD116:AE116"/>
    <mergeCell ref="AD118:AE118"/>
    <mergeCell ref="AD112:AE112"/>
    <mergeCell ref="AD82:AE82"/>
    <mergeCell ref="AC167:AC172"/>
    <mergeCell ref="AD181:AE181"/>
    <mergeCell ref="AC185:AC190"/>
    <mergeCell ref="AD187:AE187"/>
    <mergeCell ref="AD188:AE188"/>
    <mergeCell ref="AD174:AE174"/>
    <mergeCell ref="AD185:AE185"/>
    <mergeCell ref="AD191:AE191"/>
    <mergeCell ref="AD192:AE192"/>
    <mergeCell ref="AD193:AE193"/>
    <mergeCell ref="AD194:AE194"/>
    <mergeCell ref="AD189:AE189"/>
    <mergeCell ref="AD198:AE198"/>
    <mergeCell ref="AD199:AE199"/>
    <mergeCell ref="S203:T214"/>
    <mergeCell ref="Z173:Z178"/>
    <mergeCell ref="W167:W172"/>
    <mergeCell ref="AD190:AE190"/>
    <mergeCell ref="AD186:AE186"/>
    <mergeCell ref="AD209:AE209"/>
    <mergeCell ref="AD210:AE210"/>
    <mergeCell ref="AB209:AB214"/>
    <mergeCell ref="AC203:AC208"/>
    <mergeCell ref="U167:U178"/>
    <mergeCell ref="V167:V178"/>
    <mergeCell ref="X167:X178"/>
    <mergeCell ref="Y203:Y208"/>
    <mergeCell ref="AD212:AE212"/>
    <mergeCell ref="AD213:AE213"/>
    <mergeCell ref="AD214:AE214"/>
    <mergeCell ref="W173:W178"/>
    <mergeCell ref="Y197:Y202"/>
    <mergeCell ref="Q191:Q202"/>
    <mergeCell ref="AB191:AB196"/>
    <mergeCell ref="AB197:AB202"/>
    <mergeCell ref="AD196:AE196"/>
    <mergeCell ref="AD197:AE197"/>
    <mergeCell ref="AD195:AE195"/>
    <mergeCell ref="AD175:AE175"/>
    <mergeCell ref="AD184:AE184"/>
    <mergeCell ref="AB269:AB274"/>
    <mergeCell ref="AC263:AC268"/>
    <mergeCell ref="AD322:AE322"/>
    <mergeCell ref="AD297:AE297"/>
    <mergeCell ref="AD298:AE298"/>
    <mergeCell ref="AD310:AE310"/>
    <mergeCell ref="AD267:AE267"/>
    <mergeCell ref="AD308:AE308"/>
    <mergeCell ref="AD299:AE299"/>
    <mergeCell ref="AD300:AE300"/>
    <mergeCell ref="AD292:AE292"/>
    <mergeCell ref="AD312:AE312"/>
    <mergeCell ref="AD313:AE313"/>
    <mergeCell ref="AD314:AE314"/>
    <mergeCell ref="AD294:AE294"/>
    <mergeCell ref="AD303:AE303"/>
    <mergeCell ref="AD304:AE304"/>
    <mergeCell ref="AD296:AE296"/>
    <mergeCell ref="AD252:AE252"/>
    <mergeCell ref="AC311:AC316"/>
    <mergeCell ref="AD306:AE306"/>
    <mergeCell ref="AD311:AE311"/>
    <mergeCell ref="AD302:AE302"/>
    <mergeCell ref="AD321:AE321"/>
    <mergeCell ref="AD556:AE556"/>
    <mergeCell ref="AD557:AE557"/>
    <mergeCell ref="AD444:AE444"/>
    <mergeCell ref="AD426:AE426"/>
    <mergeCell ref="AD427:AE427"/>
    <mergeCell ref="AD422:AE422"/>
    <mergeCell ref="AD521:AE521"/>
    <mergeCell ref="AD496:AE496"/>
    <mergeCell ref="AD497:AE497"/>
    <mergeCell ref="AD400:AE400"/>
    <mergeCell ref="AD449:AE449"/>
    <mergeCell ref="AD436:AE436"/>
    <mergeCell ref="AD437:AE437"/>
    <mergeCell ref="AD442:AE442"/>
    <mergeCell ref="AD374:AE374"/>
    <mergeCell ref="AD450:AE450"/>
    <mergeCell ref="AD451:AE451"/>
    <mergeCell ref="AD445:AE445"/>
    <mergeCell ref="AD385:AE385"/>
    <mergeCell ref="AD514:AE514"/>
    <mergeCell ref="AD455:AE455"/>
    <mergeCell ref="AD488:AE488"/>
    <mergeCell ref="AD489:AE489"/>
    <mergeCell ref="AD490:AE490"/>
    <mergeCell ref="AD423:AE423"/>
    <mergeCell ref="AI492:AJ492"/>
    <mergeCell ref="AI493:AJ493"/>
    <mergeCell ref="AI494:AJ494"/>
    <mergeCell ref="AD528:AE528"/>
    <mergeCell ref="AD529:AE529"/>
    <mergeCell ref="AD530:AE530"/>
    <mergeCell ref="AD531:AE531"/>
    <mergeCell ref="AD532:AE532"/>
    <mergeCell ref="AF472:AH472"/>
    <mergeCell ref="AF430:AH430"/>
    <mergeCell ref="AF431:AH431"/>
    <mergeCell ref="AF432:AH432"/>
    <mergeCell ref="AF418:AH418"/>
    <mergeCell ref="AF434:AH434"/>
    <mergeCell ref="AF435:AH435"/>
    <mergeCell ref="AF436:AH436"/>
    <mergeCell ref="AF437:AH437"/>
    <mergeCell ref="AF438:AH438"/>
    <mergeCell ref="AF439:AH439"/>
    <mergeCell ref="AF440:AH440"/>
    <mergeCell ref="AF441:AH441"/>
    <mergeCell ref="AI495:AJ495"/>
    <mergeCell ref="AI513:AJ513"/>
    <mergeCell ref="AI496:AJ496"/>
    <mergeCell ref="AI497:AJ497"/>
    <mergeCell ref="AD428:AE428"/>
    <mergeCell ref="AD429:AE429"/>
    <mergeCell ref="AD430:AE430"/>
    <mergeCell ref="AD431:AE431"/>
    <mergeCell ref="AI531:AJ531"/>
    <mergeCell ref="AD448:AE448"/>
    <mergeCell ref="AD446:AE446"/>
    <mergeCell ref="AD558:AE558"/>
    <mergeCell ref="AD559:AE559"/>
    <mergeCell ref="AD424:AE424"/>
    <mergeCell ref="AD425:AE425"/>
    <mergeCell ref="AD432:AE432"/>
    <mergeCell ref="AD433:AE433"/>
    <mergeCell ref="AD434:AE434"/>
    <mergeCell ref="AD435:AE435"/>
    <mergeCell ref="AD443:AE443"/>
    <mergeCell ref="AD473:AE473"/>
    <mergeCell ref="AD474:AE474"/>
    <mergeCell ref="AD515:AE515"/>
    <mergeCell ref="AD560:AE560"/>
    <mergeCell ref="AF442:AH442"/>
    <mergeCell ref="AF443:AH443"/>
    <mergeCell ref="AF444:AH444"/>
    <mergeCell ref="AF445:AH445"/>
    <mergeCell ref="AF446:AH446"/>
    <mergeCell ref="AF493:AH493"/>
    <mergeCell ref="AF494:AH494"/>
    <mergeCell ref="AF495:AH495"/>
    <mergeCell ref="AF496:AH496"/>
    <mergeCell ref="AD537:AE537"/>
    <mergeCell ref="AD538:AE538"/>
    <mergeCell ref="AD461:AE461"/>
    <mergeCell ref="AD462:AE462"/>
    <mergeCell ref="AD463:AE463"/>
    <mergeCell ref="AD464:AE464"/>
    <mergeCell ref="AD465:AE465"/>
    <mergeCell ref="AD511:AE511"/>
    <mergeCell ref="AD512:AE512"/>
    <mergeCell ref="AD513:AE513"/>
    <mergeCell ref="AI579:AJ579"/>
    <mergeCell ref="AI580:AJ580"/>
    <mergeCell ref="AI551:AJ551"/>
    <mergeCell ref="AI552:AJ552"/>
    <mergeCell ref="AI553:AJ553"/>
    <mergeCell ref="AI554:AJ554"/>
    <mergeCell ref="AI555:AJ555"/>
    <mergeCell ref="AI558:AJ558"/>
    <mergeCell ref="AI583:AJ583"/>
    <mergeCell ref="AI584:AJ584"/>
    <mergeCell ref="AI587:AJ587"/>
    <mergeCell ref="AI559:AJ559"/>
    <mergeCell ref="AI560:AJ560"/>
    <mergeCell ref="AI561:AJ561"/>
    <mergeCell ref="AI567:AJ567"/>
    <mergeCell ref="AD609:AE609"/>
    <mergeCell ref="AD610:AE610"/>
    <mergeCell ref="AF584:AH584"/>
    <mergeCell ref="AF585:AH585"/>
    <mergeCell ref="AF607:AH607"/>
    <mergeCell ref="AF586:AH586"/>
    <mergeCell ref="AF587:AH587"/>
    <mergeCell ref="AI589:AJ589"/>
    <mergeCell ref="AI590:AJ590"/>
    <mergeCell ref="AI591:AJ591"/>
    <mergeCell ref="AI592:AJ592"/>
    <mergeCell ref="AI593:AJ593"/>
    <mergeCell ref="AI594:AJ594"/>
    <mergeCell ref="AF600:AH600"/>
    <mergeCell ref="AD599:AE599"/>
    <mergeCell ref="AI598:AJ598"/>
    <mergeCell ref="AI599:AJ599"/>
    <mergeCell ref="AI521:AJ521"/>
    <mergeCell ref="AI545:AJ545"/>
    <mergeCell ref="AD340:AE340"/>
    <mergeCell ref="AD341:AE341"/>
    <mergeCell ref="AD342:AE342"/>
    <mergeCell ref="AD343:AE343"/>
    <mergeCell ref="AD344:AE344"/>
    <mergeCell ref="AD345:AE345"/>
    <mergeCell ref="AD336:AE336"/>
    <mergeCell ref="AD337:AE337"/>
    <mergeCell ref="AD338:AE338"/>
    <mergeCell ref="AI524:AJ524"/>
    <mergeCell ref="AI525:AJ525"/>
    <mergeCell ref="AI526:AJ526"/>
    <mergeCell ref="AI527:AJ527"/>
    <mergeCell ref="AI528:AJ528"/>
    <mergeCell ref="AI529:AJ529"/>
    <mergeCell ref="AI468:AJ468"/>
    <mergeCell ref="AI469:AJ469"/>
    <mergeCell ref="AI470:AJ470"/>
    <mergeCell ref="AI471:AJ471"/>
    <mergeCell ref="AI472:AJ472"/>
    <mergeCell ref="AI473:AJ473"/>
    <mergeCell ref="AI474:AJ474"/>
    <mergeCell ref="AI475:AJ475"/>
    <mergeCell ref="AI476:AJ476"/>
    <mergeCell ref="AI477:AJ477"/>
    <mergeCell ref="AI480:AJ480"/>
    <mergeCell ref="AI482:AJ482"/>
    <mergeCell ref="AI447:AJ447"/>
    <mergeCell ref="AI453:AJ453"/>
    <mergeCell ref="AI454:AJ454"/>
    <mergeCell ref="AI350:AJ350"/>
    <mergeCell ref="AI351:AJ351"/>
    <mergeCell ref="AF350:AH350"/>
    <mergeCell ref="AF351:AH351"/>
    <mergeCell ref="AD351:AE351"/>
    <mergeCell ref="AF361:AH361"/>
    <mergeCell ref="AF362:AH362"/>
    <mergeCell ref="AF363:AH363"/>
    <mergeCell ref="AF364:AH364"/>
    <mergeCell ref="AF365:AH365"/>
    <mergeCell ref="AF366:AH366"/>
    <mergeCell ref="AI363:AJ363"/>
    <mergeCell ref="AI353:AJ353"/>
    <mergeCell ref="AI400:AJ400"/>
    <mergeCell ref="AD398:AE398"/>
    <mergeCell ref="AD399:AE399"/>
    <mergeCell ref="AI629:AJ629"/>
    <mergeCell ref="AI605:AJ605"/>
    <mergeCell ref="AI586:AJ586"/>
    <mergeCell ref="AI623:AJ623"/>
    <mergeCell ref="AI603:AJ603"/>
    <mergeCell ref="AI604:AJ604"/>
    <mergeCell ref="AI613:AJ613"/>
    <mergeCell ref="AI619:AJ619"/>
    <mergeCell ref="AI620:AJ620"/>
    <mergeCell ref="AI621:AJ621"/>
    <mergeCell ref="AI582:AJ582"/>
    <mergeCell ref="AI498:AJ498"/>
    <mergeCell ref="AI499:AJ499"/>
    <mergeCell ref="AI500:AJ500"/>
    <mergeCell ref="AI501:AJ501"/>
    <mergeCell ref="AI502:AJ502"/>
    <mergeCell ref="AI357:AJ357"/>
    <mergeCell ref="AI358:AJ358"/>
    <mergeCell ref="AI359:AJ359"/>
    <mergeCell ref="AF502:AH502"/>
    <mergeCell ref="AF503:AH503"/>
    <mergeCell ref="AF504:AH504"/>
    <mergeCell ref="AF505:AH505"/>
    <mergeCell ref="AF518:AH518"/>
    <mergeCell ref="AF519:AH519"/>
    <mergeCell ref="AF513:AH513"/>
    <mergeCell ref="AD518:AE518"/>
    <mergeCell ref="AD519:AE519"/>
    <mergeCell ref="AD520:AE520"/>
    <mergeCell ref="AD516:AE516"/>
    <mergeCell ref="AD517:AE517"/>
    <mergeCell ref="AD498:AE498"/>
    <mergeCell ref="AD499:AE499"/>
    <mergeCell ref="AF517:AH517"/>
    <mergeCell ref="AI486:AJ486"/>
    <mergeCell ref="AI503:AJ503"/>
    <mergeCell ref="AI504:AJ504"/>
    <mergeCell ref="AI510:AJ510"/>
    <mergeCell ref="AI511:AJ511"/>
    <mergeCell ref="AI512:AJ512"/>
    <mergeCell ref="AI518:AJ518"/>
    <mergeCell ref="AI519:AJ519"/>
    <mergeCell ref="AI520:AJ520"/>
    <mergeCell ref="AI451:AJ451"/>
    <mergeCell ref="AI452:AJ452"/>
    <mergeCell ref="AI448:AJ448"/>
    <mergeCell ref="AI449:AJ449"/>
    <mergeCell ref="AI450:AJ450"/>
    <mergeCell ref="AI517:AJ517"/>
    <mergeCell ref="AI370:AJ370"/>
    <mergeCell ref="AI425:AJ425"/>
    <mergeCell ref="AI426:AJ426"/>
    <mergeCell ref="AI427:AJ427"/>
    <mergeCell ref="AI428:AJ428"/>
    <mergeCell ref="AI429:AJ429"/>
    <mergeCell ref="AI430:AJ430"/>
    <mergeCell ref="AI431:AJ431"/>
    <mergeCell ref="AI432:AJ432"/>
    <mergeCell ref="AI433:AJ433"/>
    <mergeCell ref="AI434:AJ434"/>
    <mergeCell ref="AI435:AJ435"/>
    <mergeCell ref="AI436:AJ436"/>
    <mergeCell ref="AI437:AJ437"/>
    <mergeCell ref="AI424:AJ424"/>
    <mergeCell ref="AI488:AJ488"/>
    <mergeCell ref="AI489:AJ489"/>
    <mergeCell ref="AI490:AJ490"/>
    <mergeCell ref="AI481:AJ481"/>
    <mergeCell ref="AI479:AJ479"/>
    <mergeCell ref="AI387:AJ387"/>
    <mergeCell ref="AI388:AJ388"/>
    <mergeCell ref="AI389:AJ389"/>
    <mergeCell ref="AI390:AJ390"/>
    <mergeCell ref="AI396:AJ396"/>
    <mergeCell ref="AI442:AJ442"/>
    <mergeCell ref="AI438:AJ438"/>
    <mergeCell ref="AI439:AJ439"/>
    <mergeCell ref="AI440:AJ440"/>
    <mergeCell ref="AI441:AJ441"/>
    <mergeCell ref="AI491:AJ491"/>
    <mergeCell ref="AI300:AJ300"/>
    <mergeCell ref="AI301:AJ301"/>
    <mergeCell ref="AI302:AJ302"/>
    <mergeCell ref="AI303:AJ303"/>
    <mergeCell ref="AI304:AJ304"/>
    <mergeCell ref="AI322:AJ322"/>
    <mergeCell ref="AI333:AJ333"/>
    <mergeCell ref="AI324:AJ324"/>
    <mergeCell ref="AI327:AJ327"/>
    <mergeCell ref="AI349:AJ349"/>
    <mergeCell ref="AI345:AJ345"/>
    <mergeCell ref="AI346:AJ346"/>
    <mergeCell ref="AI347:AJ347"/>
    <mergeCell ref="AI348:AJ348"/>
    <mergeCell ref="AI320:AJ320"/>
    <mergeCell ref="AI321:AJ321"/>
    <mergeCell ref="AI334:AJ334"/>
    <mergeCell ref="AI323:AJ323"/>
    <mergeCell ref="AI336:AJ336"/>
    <mergeCell ref="AI335:AJ335"/>
    <mergeCell ref="AI339:AJ339"/>
    <mergeCell ref="AI340:AJ340"/>
    <mergeCell ref="AI341:AJ341"/>
    <mergeCell ref="AI342:AJ342"/>
    <mergeCell ref="AI343:AJ343"/>
    <mergeCell ref="AI344:AJ344"/>
    <mergeCell ref="AI176:AJ176"/>
    <mergeCell ref="AI177:AJ177"/>
    <mergeCell ref="AI178:AJ178"/>
    <mergeCell ref="AI179:AJ179"/>
    <mergeCell ref="AI171:AJ171"/>
    <mergeCell ref="AI172:AJ172"/>
    <mergeCell ref="AI173:AJ173"/>
    <mergeCell ref="AI184:AJ184"/>
    <mergeCell ref="AI183:AJ183"/>
    <mergeCell ref="AI191:AJ191"/>
    <mergeCell ref="AI192:AJ192"/>
    <mergeCell ref="AI193:AJ193"/>
    <mergeCell ref="AI185:AJ185"/>
    <mergeCell ref="AI211:AJ211"/>
    <mergeCell ref="AI330:AJ330"/>
    <mergeCell ref="AI198:AJ198"/>
    <mergeCell ref="AI223:AJ223"/>
    <mergeCell ref="AI235:AJ235"/>
    <mergeCell ref="AI234:AJ234"/>
    <mergeCell ref="AI242:AJ242"/>
    <mergeCell ref="AI258:AJ258"/>
    <mergeCell ref="AI276:AJ276"/>
    <mergeCell ref="AI259:AJ259"/>
    <mergeCell ref="AI260:AJ260"/>
    <mergeCell ref="AI261:AJ261"/>
    <mergeCell ref="AI246:AJ246"/>
    <mergeCell ref="AI247:AJ247"/>
    <mergeCell ref="AI248:AJ248"/>
    <mergeCell ref="AI249:AJ249"/>
    <mergeCell ref="AI250:AJ250"/>
    <mergeCell ref="AI272:AJ272"/>
    <mergeCell ref="AI299:AJ299"/>
    <mergeCell ref="BZ647:BZ658"/>
    <mergeCell ref="BZ659:BZ670"/>
    <mergeCell ref="BZ671:BZ682"/>
    <mergeCell ref="BZ443:BZ454"/>
    <mergeCell ref="BZ455:BZ466"/>
    <mergeCell ref="BZ467:BZ478"/>
    <mergeCell ref="BZ479:BZ490"/>
    <mergeCell ref="BZ491:BZ502"/>
    <mergeCell ref="BZ503:BZ514"/>
    <mergeCell ref="BZ515:BZ526"/>
    <mergeCell ref="BZ527:BZ538"/>
    <mergeCell ref="BZ539:BZ550"/>
    <mergeCell ref="BZ551:BZ562"/>
    <mergeCell ref="BZ563:BZ574"/>
    <mergeCell ref="BZ575:BZ586"/>
    <mergeCell ref="BZ587:BZ598"/>
    <mergeCell ref="BZ599:BZ610"/>
    <mergeCell ref="BZ611:BZ622"/>
    <mergeCell ref="BZ623:BZ634"/>
    <mergeCell ref="BZ635:BZ646"/>
    <mergeCell ref="BZ395:BZ406"/>
    <mergeCell ref="BZ407:BZ418"/>
    <mergeCell ref="BZ419:BZ430"/>
    <mergeCell ref="BZ431:BZ442"/>
    <mergeCell ref="BZ35:BZ46"/>
    <mergeCell ref="BZ47:BZ58"/>
    <mergeCell ref="BZ59:BZ70"/>
    <mergeCell ref="BZ71:BZ82"/>
    <mergeCell ref="BZ83:BZ94"/>
    <mergeCell ref="BZ95:BZ106"/>
    <mergeCell ref="BZ107:BZ118"/>
    <mergeCell ref="BZ119:BZ130"/>
    <mergeCell ref="BZ131:BZ142"/>
    <mergeCell ref="BZ143:BZ154"/>
    <mergeCell ref="BZ155:BZ166"/>
    <mergeCell ref="BZ167:BZ178"/>
    <mergeCell ref="BZ179:BZ190"/>
    <mergeCell ref="BZ191:BZ202"/>
    <mergeCell ref="BZ203:BZ214"/>
    <mergeCell ref="BZ215:BZ226"/>
    <mergeCell ref="BZ227:BZ238"/>
    <mergeCell ref="BZ383:BZ394"/>
    <mergeCell ref="BZ239:BZ250"/>
    <mergeCell ref="BZ251:BZ262"/>
    <mergeCell ref="BZ263:BZ274"/>
    <mergeCell ref="BZ275:BZ286"/>
    <mergeCell ref="BZ287:BZ298"/>
    <mergeCell ref="BZ299:BZ310"/>
    <mergeCell ref="BZ311:BZ322"/>
    <mergeCell ref="BZ371:BZ382"/>
    <mergeCell ref="BZ323:BZ334"/>
    <mergeCell ref="BZ335:BZ346"/>
    <mergeCell ref="AI53:AJ53"/>
    <mergeCell ref="AI54:AJ54"/>
    <mergeCell ref="AI55:AJ55"/>
    <mergeCell ref="AI56:AJ56"/>
    <mergeCell ref="AI108:AJ108"/>
    <mergeCell ref="AI109:AJ109"/>
    <mergeCell ref="AI70:AJ70"/>
    <mergeCell ref="AI68:AJ68"/>
    <mergeCell ref="AI47:AJ47"/>
    <mergeCell ref="AD70:AE70"/>
    <mergeCell ref="AI190:AJ190"/>
    <mergeCell ref="AI187:AJ187"/>
    <mergeCell ref="AI188:AJ188"/>
    <mergeCell ref="AI189:AJ189"/>
    <mergeCell ref="AI180:AJ180"/>
    <mergeCell ref="AI181:AJ181"/>
    <mergeCell ref="AI182:AJ182"/>
    <mergeCell ref="AI130:AJ130"/>
    <mergeCell ref="AI57:AJ57"/>
    <mergeCell ref="AI118:AJ118"/>
    <mergeCell ref="AI83:AJ83"/>
    <mergeCell ref="AI84:AJ84"/>
    <mergeCell ref="AI85:AJ85"/>
    <mergeCell ref="AI110:AJ110"/>
    <mergeCell ref="AI106:AJ106"/>
    <mergeCell ref="AI107:AJ107"/>
    <mergeCell ref="AI163:AJ163"/>
    <mergeCell ref="AI120:AJ120"/>
    <mergeCell ref="AI136:AJ136"/>
    <mergeCell ref="AI137:AJ137"/>
    <mergeCell ref="AI138:AJ138"/>
    <mergeCell ref="AI168:AJ168"/>
    <mergeCell ref="BZ347:BZ358"/>
    <mergeCell ref="BZ359:BZ370"/>
    <mergeCell ref="AI131:AJ131"/>
    <mergeCell ref="AI132:AJ132"/>
    <mergeCell ref="AI133:AJ133"/>
    <mergeCell ref="AI134:AJ134"/>
    <mergeCell ref="AI135:AJ135"/>
    <mergeCell ref="AI81:AJ81"/>
    <mergeCell ref="AI125:AJ125"/>
    <mergeCell ref="AI126:AJ126"/>
    <mergeCell ref="AI164:AJ164"/>
    <mergeCell ref="AI165:AJ165"/>
    <mergeCell ref="AI166:AJ166"/>
    <mergeCell ref="AI155:AJ155"/>
    <mergeCell ref="AI156:AJ156"/>
    <mergeCell ref="AI229:AJ229"/>
    <mergeCell ref="AI230:AJ230"/>
    <mergeCell ref="AI231:AJ231"/>
    <mergeCell ref="AI232:AJ232"/>
    <mergeCell ref="AI243:AJ243"/>
    <mergeCell ref="AI275:AJ275"/>
    <mergeCell ref="AI296:AJ296"/>
    <mergeCell ref="AI167:AJ167"/>
    <mergeCell ref="AI96:AJ96"/>
    <mergeCell ref="AI294:AJ294"/>
    <mergeCell ref="AI295:AJ295"/>
    <mergeCell ref="AI227:AJ227"/>
    <mergeCell ref="AI226:AJ226"/>
    <mergeCell ref="AI236:AJ236"/>
    <mergeCell ref="AI221:AJ221"/>
    <mergeCell ref="AI116:AJ116"/>
    <mergeCell ref="AI174:AJ174"/>
    <mergeCell ref="CZ34:DD34"/>
    <mergeCell ref="CK34:CO34"/>
    <mergeCell ref="CA34:CE34"/>
    <mergeCell ref="CF34:CJ34"/>
    <mergeCell ref="CP34:CT34"/>
    <mergeCell ref="AL35:AL40"/>
    <mergeCell ref="W65:W70"/>
    <mergeCell ref="CU34:CY34"/>
    <mergeCell ref="AI34:AJ34"/>
    <mergeCell ref="AI35:AJ35"/>
    <mergeCell ref="AI36:AJ36"/>
    <mergeCell ref="AI37:AJ37"/>
    <mergeCell ref="AI38:AJ38"/>
    <mergeCell ref="AI39:AJ39"/>
    <mergeCell ref="AI40:AJ40"/>
    <mergeCell ref="AI59:AJ59"/>
    <mergeCell ref="AL47:AL52"/>
    <mergeCell ref="AL65:AL70"/>
    <mergeCell ref="AI43:AJ43"/>
    <mergeCell ref="AI44:AJ44"/>
    <mergeCell ref="AI45:AJ45"/>
    <mergeCell ref="AI46:AJ46"/>
    <mergeCell ref="AL53:AL58"/>
    <mergeCell ref="AC59:AC64"/>
    <mergeCell ref="AF54:AH54"/>
    <mergeCell ref="AF55:AH55"/>
    <mergeCell ref="Z53:Z58"/>
    <mergeCell ref="AI48:AJ48"/>
    <mergeCell ref="AI49:AJ49"/>
    <mergeCell ref="AI50:AJ50"/>
    <mergeCell ref="AI51:AJ51"/>
    <mergeCell ref="AI52:AJ52"/>
    <mergeCell ref="AD64:AE64"/>
    <mergeCell ref="AD65:AE65"/>
    <mergeCell ref="AD66:AE66"/>
    <mergeCell ref="AD67:AE67"/>
    <mergeCell ref="AD72:AE72"/>
    <mergeCell ref="Z59:Z64"/>
    <mergeCell ref="Y71:Y76"/>
    <mergeCell ref="W131:W136"/>
    <mergeCell ref="Z125:Z130"/>
    <mergeCell ref="Y113:Y118"/>
    <mergeCell ref="Y59:Y64"/>
    <mergeCell ref="AD74:AE74"/>
    <mergeCell ref="AD75:AE75"/>
    <mergeCell ref="AD76:AE76"/>
    <mergeCell ref="AD77:AE77"/>
    <mergeCell ref="AD78:AE78"/>
    <mergeCell ref="AD79:AE79"/>
    <mergeCell ref="AD80:AE80"/>
    <mergeCell ref="AD81:AE81"/>
    <mergeCell ref="AD94:AE94"/>
    <mergeCell ref="AD93:AE93"/>
    <mergeCell ref="AD108:AE108"/>
    <mergeCell ref="AD109:AE109"/>
    <mergeCell ref="AD88:AE88"/>
    <mergeCell ref="Y89:Y94"/>
    <mergeCell ref="W113:W118"/>
    <mergeCell ref="Y119:Y124"/>
    <mergeCell ref="W71:W76"/>
    <mergeCell ref="AB65:AB70"/>
    <mergeCell ref="AD110:AE110"/>
    <mergeCell ref="AD85:AE85"/>
    <mergeCell ref="AD86:AE86"/>
    <mergeCell ref="AL59:AL64"/>
    <mergeCell ref="AL83:AL88"/>
    <mergeCell ref="AI77:AJ77"/>
    <mergeCell ref="AF60:AH60"/>
    <mergeCell ref="AF61:AH61"/>
    <mergeCell ref="AF62:AH62"/>
    <mergeCell ref="AF63:AH63"/>
    <mergeCell ref="AF64:AH64"/>
    <mergeCell ref="AF65:AH65"/>
    <mergeCell ref="AF66:AH66"/>
    <mergeCell ref="AF67:AH67"/>
    <mergeCell ref="AF68:AH68"/>
    <mergeCell ref="AF69:AH69"/>
    <mergeCell ref="AF70:AH70"/>
    <mergeCell ref="AF71:AH71"/>
    <mergeCell ref="AF72:AH72"/>
    <mergeCell ref="AF73:AH73"/>
    <mergeCell ref="AF74:AH74"/>
    <mergeCell ref="AF75:AH75"/>
    <mergeCell ref="AF85:AH85"/>
    <mergeCell ref="AF86:AH86"/>
    <mergeCell ref="AF87:AH87"/>
    <mergeCell ref="AF88:AH88"/>
    <mergeCell ref="AI69:AJ69"/>
    <mergeCell ref="AI78:AJ78"/>
    <mergeCell ref="AI58:AJ58"/>
    <mergeCell ref="AI71:AJ71"/>
    <mergeCell ref="AI82:AJ82"/>
    <mergeCell ref="AD137:AE137"/>
    <mergeCell ref="AD138:AE138"/>
    <mergeCell ref="AD139:AE139"/>
    <mergeCell ref="AD122:AE122"/>
    <mergeCell ref="AD68:AE68"/>
    <mergeCell ref="AD69:AE69"/>
    <mergeCell ref="AF76:AH76"/>
    <mergeCell ref="AF77:AH77"/>
    <mergeCell ref="AF78:AH78"/>
    <mergeCell ref="AF79:AH79"/>
    <mergeCell ref="AF80:AH80"/>
    <mergeCell ref="AF81:AH81"/>
    <mergeCell ref="AF82:AH82"/>
    <mergeCell ref="AF83:AH83"/>
    <mergeCell ref="AF84:AH84"/>
    <mergeCell ref="AI64:AJ64"/>
    <mergeCell ref="AI65:AJ65"/>
    <mergeCell ref="AI66:AJ66"/>
    <mergeCell ref="AI67:AJ67"/>
    <mergeCell ref="AI79:AJ79"/>
    <mergeCell ref="AI80:AJ80"/>
    <mergeCell ref="AI60:AJ60"/>
    <mergeCell ref="AI61:AJ61"/>
    <mergeCell ref="AI62:AJ62"/>
    <mergeCell ref="AI63:AJ63"/>
    <mergeCell ref="AD63:AE63"/>
    <mergeCell ref="AI127:AJ127"/>
    <mergeCell ref="AI128:AJ128"/>
    <mergeCell ref="AI129:AJ129"/>
    <mergeCell ref="AL149:AL154"/>
    <mergeCell ref="AL107:AL112"/>
    <mergeCell ref="AL101:AL106"/>
    <mergeCell ref="AL113:AL118"/>
    <mergeCell ref="AL119:AL124"/>
    <mergeCell ref="AF102:AH102"/>
    <mergeCell ref="AI72:AJ72"/>
    <mergeCell ref="AI73:AJ73"/>
    <mergeCell ref="AI74:AJ74"/>
    <mergeCell ref="AI75:AJ75"/>
    <mergeCell ref="AI76:AJ76"/>
    <mergeCell ref="AI142:AJ142"/>
    <mergeCell ref="AI143:AJ143"/>
    <mergeCell ref="AI144:AJ144"/>
    <mergeCell ref="AI145:AJ145"/>
    <mergeCell ref="AI104:AJ104"/>
    <mergeCell ref="AI121:AJ121"/>
    <mergeCell ref="AL77:AL82"/>
    <mergeCell ref="AL89:AL94"/>
    <mergeCell ref="AL71:AL76"/>
    <mergeCell ref="AF89:AH89"/>
    <mergeCell ref="AF90:AH90"/>
    <mergeCell ref="AF91:AH91"/>
    <mergeCell ref="AF92:AH92"/>
    <mergeCell ref="AF93:AH93"/>
    <mergeCell ref="AF94:AH94"/>
    <mergeCell ref="AF95:AH95"/>
    <mergeCell ref="AF96:AH96"/>
    <mergeCell ref="AF97:AH97"/>
    <mergeCell ref="AF98:AH98"/>
    <mergeCell ref="AF99:AH99"/>
    <mergeCell ref="AF100:AH100"/>
    <mergeCell ref="AI160:AJ160"/>
    <mergeCell ref="AI97:AJ97"/>
    <mergeCell ref="AI98:AJ98"/>
    <mergeCell ref="AI99:AJ99"/>
    <mergeCell ref="AI100:AJ100"/>
    <mergeCell ref="AI101:AJ101"/>
    <mergeCell ref="AI102:AJ102"/>
    <mergeCell ref="AI140:AJ140"/>
    <mergeCell ref="AI141:AJ141"/>
    <mergeCell ref="AI105:AJ105"/>
    <mergeCell ref="AI152:AJ152"/>
    <mergeCell ref="AI153:AJ153"/>
    <mergeCell ref="AI157:AJ157"/>
    <mergeCell ref="AI158:AJ158"/>
    <mergeCell ref="AI154:AJ154"/>
    <mergeCell ref="AI151:AJ151"/>
    <mergeCell ref="AI124:AJ124"/>
    <mergeCell ref="AI111:AJ111"/>
    <mergeCell ref="AI112:AJ112"/>
    <mergeCell ref="AI113:AJ113"/>
    <mergeCell ref="AI114:AJ114"/>
    <mergeCell ref="AI146:AJ146"/>
    <mergeCell ref="AI147:AJ147"/>
    <mergeCell ref="Y173:Y178"/>
    <mergeCell ref="AD147:AE147"/>
    <mergeCell ref="AD148:AE148"/>
    <mergeCell ref="AD176:AE176"/>
    <mergeCell ref="AB173:AB178"/>
    <mergeCell ref="W107:W112"/>
    <mergeCell ref="AA131:AA142"/>
    <mergeCell ref="AD123:AE123"/>
    <mergeCell ref="AD136:AE136"/>
    <mergeCell ref="AL161:AL166"/>
    <mergeCell ref="AI122:AJ122"/>
    <mergeCell ref="AD117:AE117"/>
    <mergeCell ref="AI86:AJ86"/>
    <mergeCell ref="AI87:AJ87"/>
    <mergeCell ref="AI88:AJ88"/>
    <mergeCell ref="AI89:AJ89"/>
    <mergeCell ref="AI90:AJ90"/>
    <mergeCell ref="AI91:AJ91"/>
    <mergeCell ref="AI92:AJ92"/>
    <mergeCell ref="AI93:AJ93"/>
    <mergeCell ref="AI94:AJ94"/>
    <mergeCell ref="AI95:AJ95"/>
    <mergeCell ref="AL125:AL130"/>
    <mergeCell ref="AI139:AJ139"/>
    <mergeCell ref="AI119:AJ119"/>
    <mergeCell ref="AI123:AJ123"/>
    <mergeCell ref="AD128:AE128"/>
    <mergeCell ref="AD129:AE129"/>
    <mergeCell ref="AL95:AL100"/>
    <mergeCell ref="AL143:AL148"/>
    <mergeCell ref="AL155:AL160"/>
    <mergeCell ref="AI103:AJ103"/>
    <mergeCell ref="AD131:AE131"/>
    <mergeCell ref="AD134:AE134"/>
    <mergeCell ref="AD125:AE125"/>
    <mergeCell ref="AD126:AE126"/>
    <mergeCell ref="AD127:AE127"/>
    <mergeCell ref="Z107:Z112"/>
    <mergeCell ref="AB185:AB190"/>
    <mergeCell ref="AF185:AH185"/>
    <mergeCell ref="AF186:AH186"/>
    <mergeCell ref="AI115:AJ115"/>
    <mergeCell ref="AD155:AE155"/>
    <mergeCell ref="AD156:AE156"/>
    <mergeCell ref="AD182:AE182"/>
    <mergeCell ref="AD183:AE183"/>
    <mergeCell ref="AD167:AE167"/>
    <mergeCell ref="AD171:AE171"/>
    <mergeCell ref="AD172:AE172"/>
    <mergeCell ref="AB131:AB136"/>
    <mergeCell ref="AB113:AB118"/>
    <mergeCell ref="AB119:AB124"/>
    <mergeCell ref="Z113:Z118"/>
    <mergeCell ref="AD111:AE111"/>
    <mergeCell ref="AD113:AE113"/>
    <mergeCell ref="AD130:AE130"/>
    <mergeCell ref="AB125:AB130"/>
    <mergeCell ref="AD140:AE140"/>
    <mergeCell ref="Z143:Z148"/>
    <mergeCell ref="AB143:AB148"/>
    <mergeCell ref="AI175:AJ175"/>
    <mergeCell ref="AI148:AJ148"/>
    <mergeCell ref="AI149:AJ149"/>
    <mergeCell ref="AI159:AJ159"/>
    <mergeCell ref="AF191:AH191"/>
    <mergeCell ref="AF192:AH192"/>
    <mergeCell ref="AF193:AH193"/>
    <mergeCell ref="AF194:AH194"/>
    <mergeCell ref="AF195:AH195"/>
    <mergeCell ref="AF196:AH196"/>
    <mergeCell ref="AI208:AJ208"/>
    <mergeCell ref="AI197:AJ197"/>
    <mergeCell ref="AF199:AH199"/>
    <mergeCell ref="AF200:AH200"/>
    <mergeCell ref="AF201:AH201"/>
    <mergeCell ref="AF202:AH202"/>
    <mergeCell ref="AF204:AH204"/>
    <mergeCell ref="AF205:AH205"/>
    <mergeCell ref="AF206:AH206"/>
    <mergeCell ref="AF198:AH198"/>
    <mergeCell ref="S287:T298"/>
    <mergeCell ref="AB257:AB262"/>
    <mergeCell ref="AB263:AB268"/>
    <mergeCell ref="AI264:AJ264"/>
    <mergeCell ref="AF280:AH280"/>
    <mergeCell ref="AI239:AJ239"/>
    <mergeCell ref="AI262:AJ262"/>
    <mergeCell ref="AD261:AE261"/>
    <mergeCell ref="AI241:AJ241"/>
    <mergeCell ref="AB251:AB256"/>
    <mergeCell ref="AC239:AC244"/>
    <mergeCell ref="AI277:AJ277"/>
    <mergeCell ref="AI256:AJ256"/>
    <mergeCell ref="AF256:AH256"/>
    <mergeCell ref="AF271:AH271"/>
    <mergeCell ref="AI269:AJ269"/>
    <mergeCell ref="W227:W232"/>
    <mergeCell ref="W251:W256"/>
    <mergeCell ref="W101:W106"/>
    <mergeCell ref="N317:N322"/>
    <mergeCell ref="P299:P310"/>
    <mergeCell ref="S119:T130"/>
    <mergeCell ref="S131:T142"/>
    <mergeCell ref="P143:P154"/>
    <mergeCell ref="P95:P106"/>
    <mergeCell ref="W269:W274"/>
    <mergeCell ref="W293:W298"/>
    <mergeCell ref="S239:T250"/>
    <mergeCell ref="U131:U142"/>
    <mergeCell ref="V131:V142"/>
    <mergeCell ref="S167:T178"/>
    <mergeCell ref="S179:T190"/>
    <mergeCell ref="Q167:Q178"/>
    <mergeCell ref="S311:T322"/>
    <mergeCell ref="N119:N124"/>
    <mergeCell ref="P107:P118"/>
    <mergeCell ref="N173:N178"/>
    <mergeCell ref="R191:R202"/>
    <mergeCell ref="N263:N268"/>
    <mergeCell ref="Q215:Q226"/>
    <mergeCell ref="W287:W292"/>
    <mergeCell ref="P119:P130"/>
    <mergeCell ref="W245:W250"/>
    <mergeCell ref="R203:R214"/>
    <mergeCell ref="R215:R226"/>
    <mergeCell ref="R227:R238"/>
    <mergeCell ref="S263:T274"/>
    <mergeCell ref="S227:T238"/>
    <mergeCell ref="AB137:AB142"/>
    <mergeCell ref="AA95:AA106"/>
    <mergeCell ref="AB95:AB100"/>
    <mergeCell ref="Z137:Z142"/>
    <mergeCell ref="AD132:AE132"/>
    <mergeCell ref="AD133:AE133"/>
    <mergeCell ref="AD146:AE146"/>
    <mergeCell ref="AB107:AB112"/>
    <mergeCell ref="AB101:AB106"/>
    <mergeCell ref="Z119:Z124"/>
    <mergeCell ref="AI150:AJ150"/>
    <mergeCell ref="AI161:AJ161"/>
    <mergeCell ref="S275:T286"/>
    <mergeCell ref="AF103:AH103"/>
    <mergeCell ref="AF104:AH104"/>
    <mergeCell ref="AF105:AH105"/>
    <mergeCell ref="AF189:AH189"/>
    <mergeCell ref="AF190:AH190"/>
    <mergeCell ref="AF197:AH197"/>
    <mergeCell ref="AF210:AH210"/>
    <mergeCell ref="AF211:AH211"/>
    <mergeCell ref="AF212:AH212"/>
    <mergeCell ref="AF213:AH213"/>
    <mergeCell ref="AF214:AH214"/>
    <mergeCell ref="AF208:AH208"/>
    <mergeCell ref="AC191:AC196"/>
    <mergeCell ref="AI186:AJ186"/>
    <mergeCell ref="AC197:AC202"/>
    <mergeCell ref="AI162:AJ162"/>
    <mergeCell ref="AD158:AE158"/>
    <mergeCell ref="AD159:AE159"/>
    <mergeCell ref="AD160:AE160"/>
    <mergeCell ref="Z155:Z160"/>
    <mergeCell ref="W149:W154"/>
    <mergeCell ref="AB155:AB160"/>
    <mergeCell ref="AC155:AC160"/>
    <mergeCell ref="Z149:Z154"/>
    <mergeCell ref="AB149:AB154"/>
    <mergeCell ref="AD151:AE151"/>
    <mergeCell ref="AD163:AE163"/>
    <mergeCell ref="AD164:AE164"/>
    <mergeCell ref="Z161:Z166"/>
    <mergeCell ref="AC161:AC166"/>
    <mergeCell ref="AD157:AE157"/>
    <mergeCell ref="AD162:AE162"/>
    <mergeCell ref="AD150:AE150"/>
    <mergeCell ref="AD153:AE153"/>
    <mergeCell ref="AD152:AE152"/>
    <mergeCell ref="AB161:AB166"/>
    <mergeCell ref="AD161:AE161"/>
    <mergeCell ref="AA143:AA154"/>
    <mergeCell ref="AA155:AA166"/>
    <mergeCell ref="AD149:AE149"/>
    <mergeCell ref="AI169:AJ169"/>
    <mergeCell ref="AI170:AJ170"/>
    <mergeCell ref="AB167:AB172"/>
    <mergeCell ref="AF148:AH148"/>
    <mergeCell ref="AF149:AH149"/>
    <mergeCell ref="AF165:AH165"/>
    <mergeCell ref="AF166:AH166"/>
    <mergeCell ref="AL167:AL172"/>
    <mergeCell ref="AI199:AJ199"/>
    <mergeCell ref="AI200:AJ200"/>
    <mergeCell ref="AI201:AJ201"/>
    <mergeCell ref="AI202:AJ202"/>
    <mergeCell ref="AI203:AJ203"/>
    <mergeCell ref="AI204:AJ204"/>
    <mergeCell ref="AI205:AJ205"/>
    <mergeCell ref="AI206:AJ206"/>
    <mergeCell ref="AI207:AJ207"/>
    <mergeCell ref="AD168:AE168"/>
    <mergeCell ref="AD169:AE169"/>
    <mergeCell ref="AD170:AE170"/>
    <mergeCell ref="AI194:AJ194"/>
    <mergeCell ref="AI195:AJ195"/>
    <mergeCell ref="AI196:AJ196"/>
    <mergeCell ref="AD165:AE165"/>
    <mergeCell ref="AD166:AE166"/>
    <mergeCell ref="AD177:AE177"/>
    <mergeCell ref="AD178:AE178"/>
    <mergeCell ref="AF173:AH173"/>
    <mergeCell ref="AF174:AH174"/>
    <mergeCell ref="AF175:AH175"/>
    <mergeCell ref="AF176:AH176"/>
    <mergeCell ref="AF203:AH203"/>
    <mergeCell ref="AL191:AL196"/>
    <mergeCell ref="AL179:AL184"/>
    <mergeCell ref="AL173:AL178"/>
    <mergeCell ref="AL185:AL190"/>
    <mergeCell ref="M215:M220"/>
    <mergeCell ref="W215:W220"/>
    <mergeCell ref="P203:P214"/>
    <mergeCell ref="Q203:Q214"/>
    <mergeCell ref="AB203:AB208"/>
    <mergeCell ref="W191:W196"/>
    <mergeCell ref="Z191:Z196"/>
    <mergeCell ref="AI209:AJ209"/>
    <mergeCell ref="AI210:AJ210"/>
    <mergeCell ref="AF217:AH217"/>
    <mergeCell ref="AF218:AH218"/>
    <mergeCell ref="AF219:AH219"/>
    <mergeCell ref="AF220:AH220"/>
    <mergeCell ref="AC215:AC220"/>
    <mergeCell ref="P215:P226"/>
    <mergeCell ref="AD207:AE207"/>
    <mergeCell ref="AF209:AH209"/>
    <mergeCell ref="AI220:AJ220"/>
    <mergeCell ref="AD221:AE221"/>
    <mergeCell ref="Z221:Z226"/>
    <mergeCell ref="N215:N220"/>
    <mergeCell ref="N221:N226"/>
    <mergeCell ref="U191:U202"/>
    <mergeCell ref="V191:V202"/>
    <mergeCell ref="X191:X202"/>
    <mergeCell ref="AD200:AE200"/>
    <mergeCell ref="AB221:AB226"/>
    <mergeCell ref="AD201:AE201"/>
    <mergeCell ref="AL233:AL238"/>
    <mergeCell ref="AI233:AJ233"/>
    <mergeCell ref="AL215:AL220"/>
    <mergeCell ref="AL197:AL202"/>
    <mergeCell ref="AL239:AL244"/>
    <mergeCell ref="AI240:AJ240"/>
    <mergeCell ref="AD234:AE234"/>
    <mergeCell ref="AD235:AE235"/>
    <mergeCell ref="AD236:AE236"/>
    <mergeCell ref="AD223:AE223"/>
    <mergeCell ref="AD225:AE225"/>
    <mergeCell ref="AD226:AE226"/>
    <mergeCell ref="AD227:AE227"/>
    <mergeCell ref="AD228:AE228"/>
    <mergeCell ref="AD218:AE218"/>
    <mergeCell ref="AD219:AE219"/>
    <mergeCell ref="AD220:AE220"/>
    <mergeCell ref="AF234:AH234"/>
    <mergeCell ref="AF235:AH235"/>
    <mergeCell ref="AF236:AH236"/>
    <mergeCell ref="AD224:AE224"/>
    <mergeCell ref="AD211:AE211"/>
    <mergeCell ref="AL221:AL226"/>
    <mergeCell ref="AL209:AL214"/>
    <mergeCell ref="AI212:AJ212"/>
    <mergeCell ref="AI213:AJ213"/>
    <mergeCell ref="AI214:AJ214"/>
    <mergeCell ref="AI215:AJ215"/>
    <mergeCell ref="AI216:AJ216"/>
    <mergeCell ref="AI237:AJ237"/>
    <mergeCell ref="AI238:AJ238"/>
    <mergeCell ref="AD222:AE222"/>
    <mergeCell ref="AL203:AL208"/>
    <mergeCell ref="AD202:AE202"/>
    <mergeCell ref="AL227:AL232"/>
    <mergeCell ref="AI224:AJ224"/>
    <mergeCell ref="AI225:AJ225"/>
    <mergeCell ref="AD203:AE203"/>
    <mergeCell ref="AD204:AE204"/>
    <mergeCell ref="AD205:AE205"/>
    <mergeCell ref="AD206:AE206"/>
    <mergeCell ref="AD217:AE217"/>
    <mergeCell ref="AI217:AJ217"/>
    <mergeCell ref="AI228:AJ228"/>
    <mergeCell ref="AI218:AJ218"/>
    <mergeCell ref="AF215:AH215"/>
    <mergeCell ref="AF216:AH216"/>
    <mergeCell ref="AD208:AE208"/>
    <mergeCell ref="AF207:AH207"/>
    <mergeCell ref="AI219:AJ219"/>
    <mergeCell ref="AI222:AJ222"/>
    <mergeCell ref="AD215:AE215"/>
    <mergeCell ref="AI244:AJ244"/>
    <mergeCell ref="AI245:AJ245"/>
    <mergeCell ref="AD280:AE280"/>
    <mergeCell ref="AD281:AE281"/>
    <mergeCell ref="AD282:AE282"/>
    <mergeCell ref="AD283:AE283"/>
    <mergeCell ref="AD284:AE284"/>
    <mergeCell ref="AD285:AE285"/>
    <mergeCell ref="AI263:AJ263"/>
    <mergeCell ref="AF248:AH248"/>
    <mergeCell ref="AD277:AE277"/>
    <mergeCell ref="AD278:AE278"/>
    <mergeCell ref="AD270:AE270"/>
    <mergeCell ref="AD273:AE273"/>
    <mergeCell ref="AD245:AE245"/>
    <mergeCell ref="AD246:AE246"/>
    <mergeCell ref="AI251:AJ251"/>
    <mergeCell ref="AI252:AJ252"/>
    <mergeCell ref="AD253:AE253"/>
    <mergeCell ref="AI265:AJ265"/>
    <mergeCell ref="AI266:AJ266"/>
    <mergeCell ref="AI267:AJ267"/>
    <mergeCell ref="AI268:AJ268"/>
    <mergeCell ref="AL263:AL268"/>
    <mergeCell ref="AD275:AE275"/>
    <mergeCell ref="AD276:AE276"/>
    <mergeCell ref="AI278:AJ278"/>
    <mergeCell ref="AL257:AL262"/>
    <mergeCell ref="AI254:AJ254"/>
    <mergeCell ref="AI255:AJ255"/>
    <mergeCell ref="AF273:AH273"/>
    <mergeCell ref="AI257:AJ257"/>
    <mergeCell ref="AI270:AJ270"/>
    <mergeCell ref="AI271:AJ271"/>
    <mergeCell ref="AL275:AL280"/>
    <mergeCell ref="AL269:AL274"/>
    <mergeCell ref="AF269:AH269"/>
    <mergeCell ref="AF272:AH272"/>
    <mergeCell ref="AL245:AL250"/>
    <mergeCell ref="AL251:AL256"/>
    <mergeCell ref="AD257:AE257"/>
    <mergeCell ref="AF249:AH249"/>
    <mergeCell ref="AF250:AH250"/>
    <mergeCell ref="AF251:AH251"/>
    <mergeCell ref="AI273:AJ273"/>
    <mergeCell ref="AI274:AJ274"/>
    <mergeCell ref="AF263:AH263"/>
    <mergeCell ref="AF264:AH264"/>
    <mergeCell ref="AF265:AH265"/>
    <mergeCell ref="AF266:AH266"/>
    <mergeCell ref="AF267:AH267"/>
    <mergeCell ref="AF268:AH268"/>
    <mergeCell ref="AI253:AJ253"/>
    <mergeCell ref="AI298:AJ298"/>
    <mergeCell ref="AI297:AJ297"/>
    <mergeCell ref="Z293:Z298"/>
    <mergeCell ref="AI283:AJ283"/>
    <mergeCell ref="AI284:AJ284"/>
    <mergeCell ref="AI285:AJ285"/>
    <mergeCell ref="AI286:AJ286"/>
    <mergeCell ref="AI287:AJ287"/>
    <mergeCell ref="AI288:AJ288"/>
    <mergeCell ref="AL293:AL298"/>
    <mergeCell ref="Y293:Y298"/>
    <mergeCell ref="AI279:AJ279"/>
    <mergeCell ref="AI280:AJ280"/>
    <mergeCell ref="AI281:AJ281"/>
    <mergeCell ref="AI282:AJ282"/>
    <mergeCell ref="AL287:AL292"/>
    <mergeCell ref="AI291:AJ291"/>
    <mergeCell ref="AI292:AJ292"/>
    <mergeCell ref="AI293:AJ293"/>
    <mergeCell ref="AI289:AJ289"/>
    <mergeCell ref="AL281:AL286"/>
    <mergeCell ref="AI290:AJ290"/>
    <mergeCell ref="AF279:AH279"/>
    <mergeCell ref="AF289:AH289"/>
    <mergeCell ref="AB293:AB298"/>
    <mergeCell ref="AB287:AB292"/>
    <mergeCell ref="AD295:AE295"/>
    <mergeCell ref="Z275:Z280"/>
    <mergeCell ref="AD317:AE317"/>
    <mergeCell ref="AD318:AE318"/>
    <mergeCell ref="AL353:AL358"/>
    <mergeCell ref="Y311:Y316"/>
    <mergeCell ref="S299:T310"/>
    <mergeCell ref="AI305:AJ305"/>
    <mergeCell ref="AI306:AJ306"/>
    <mergeCell ref="AI307:AJ307"/>
    <mergeCell ref="AI308:AJ308"/>
    <mergeCell ref="AI309:AJ309"/>
    <mergeCell ref="AI310:AJ310"/>
    <mergeCell ref="AF327:AH327"/>
    <mergeCell ref="AL299:AL304"/>
    <mergeCell ref="AI328:AJ328"/>
    <mergeCell ref="AI329:AJ329"/>
    <mergeCell ref="Y299:Y304"/>
    <mergeCell ref="AI311:AJ311"/>
    <mergeCell ref="AI312:AJ312"/>
    <mergeCell ref="AI313:AJ313"/>
    <mergeCell ref="AI314:AJ314"/>
    <mergeCell ref="AI315:AJ315"/>
    <mergeCell ref="AI316:AJ316"/>
    <mergeCell ref="AI317:AJ317"/>
    <mergeCell ref="AI318:AJ318"/>
    <mergeCell ref="AI319:AJ319"/>
    <mergeCell ref="AD329:AE329"/>
    <mergeCell ref="AI325:AJ325"/>
    <mergeCell ref="AD301:AE301"/>
    <mergeCell ref="AD354:AE354"/>
    <mergeCell ref="AL335:AL340"/>
    <mergeCell ref="AL311:AL316"/>
    <mergeCell ref="AD305:AE305"/>
    <mergeCell ref="M323:M328"/>
    <mergeCell ref="M353:M358"/>
    <mergeCell ref="AL323:AL328"/>
    <mergeCell ref="W323:W328"/>
    <mergeCell ref="Y323:Y328"/>
    <mergeCell ref="AD327:AE327"/>
    <mergeCell ref="AD346:AE346"/>
    <mergeCell ref="AB305:AB310"/>
    <mergeCell ref="AF306:AH306"/>
    <mergeCell ref="AF307:AH307"/>
    <mergeCell ref="AF308:AH308"/>
    <mergeCell ref="AF310:AH310"/>
    <mergeCell ref="AF311:AH311"/>
    <mergeCell ref="AF312:AH312"/>
    <mergeCell ref="AB329:AB334"/>
    <mergeCell ref="AD309:AE309"/>
    <mergeCell ref="AD323:AE323"/>
    <mergeCell ref="AD324:AE324"/>
    <mergeCell ref="AD325:AE325"/>
    <mergeCell ref="AD326:AE326"/>
    <mergeCell ref="AF313:AH313"/>
    <mergeCell ref="AF314:AH314"/>
    <mergeCell ref="AF309:AH309"/>
    <mergeCell ref="AI337:AJ337"/>
    <mergeCell ref="AI338:AJ338"/>
    <mergeCell ref="AD331:AE331"/>
    <mergeCell ref="AI331:AJ331"/>
    <mergeCell ref="AF334:AH334"/>
    <mergeCell ref="AF335:AH335"/>
    <mergeCell ref="AL341:AL346"/>
    <mergeCell ref="AL305:AL310"/>
    <mergeCell ref="AD315:AE315"/>
    <mergeCell ref="AA335:AA346"/>
    <mergeCell ref="AB353:AB358"/>
    <mergeCell ref="AB347:AB352"/>
    <mergeCell ref="AC353:AC358"/>
    <mergeCell ref="N323:N328"/>
    <mergeCell ref="AF353:AH353"/>
    <mergeCell ref="AF354:AH354"/>
    <mergeCell ref="N353:N358"/>
    <mergeCell ref="AD333:AE333"/>
    <mergeCell ref="AD334:AE334"/>
    <mergeCell ref="AF358:AH358"/>
    <mergeCell ref="AD347:AE347"/>
    <mergeCell ref="AD353:AE353"/>
    <mergeCell ref="AB323:AB328"/>
    <mergeCell ref="W341:W346"/>
    <mergeCell ref="Y341:Y346"/>
    <mergeCell ref="AD352:AE352"/>
    <mergeCell ref="AD332:AE332"/>
    <mergeCell ref="AD350:AE350"/>
    <mergeCell ref="AC323:AC328"/>
    <mergeCell ref="AF356:AH356"/>
    <mergeCell ref="AF357:AH357"/>
    <mergeCell ref="O323:O334"/>
    <mergeCell ref="Y335:Y340"/>
    <mergeCell ref="P323:P334"/>
    <mergeCell ref="Z341:Z346"/>
    <mergeCell ref="AF329:AH329"/>
    <mergeCell ref="AF330:AH330"/>
    <mergeCell ref="AF331:AH331"/>
    <mergeCell ref="AD356:AE356"/>
    <mergeCell ref="AD357:AE357"/>
    <mergeCell ref="AD328:AE328"/>
    <mergeCell ref="M359:M364"/>
    <mergeCell ref="W359:W364"/>
    <mergeCell ref="W347:W352"/>
    <mergeCell ref="M347:M352"/>
    <mergeCell ref="R347:R358"/>
    <mergeCell ref="AC347:AC352"/>
    <mergeCell ref="AC341:AC346"/>
    <mergeCell ref="W353:W358"/>
    <mergeCell ref="Z359:Z364"/>
    <mergeCell ref="AA347:AA358"/>
    <mergeCell ref="U359:U370"/>
    <mergeCell ref="U347:U358"/>
    <mergeCell ref="Z335:Z340"/>
    <mergeCell ref="Q323:Q334"/>
    <mergeCell ref="N329:N334"/>
    <mergeCell ref="N335:N340"/>
    <mergeCell ref="N341:N346"/>
    <mergeCell ref="P335:P346"/>
    <mergeCell ref="Q335:Q346"/>
    <mergeCell ref="P359:P370"/>
    <mergeCell ref="Q359:Q370"/>
    <mergeCell ref="R359:R370"/>
    <mergeCell ref="N365:N370"/>
    <mergeCell ref="N347:N352"/>
    <mergeCell ref="Q347:Q358"/>
    <mergeCell ref="U335:U346"/>
    <mergeCell ref="S323:T334"/>
    <mergeCell ref="M341:M346"/>
    <mergeCell ref="AC335:AC340"/>
    <mergeCell ref="O335:O346"/>
    <mergeCell ref="M335:M340"/>
    <mergeCell ref="S335:T346"/>
    <mergeCell ref="Z347:Z352"/>
    <mergeCell ref="V335:V346"/>
    <mergeCell ref="AI326:AJ326"/>
    <mergeCell ref="AI360:AJ360"/>
    <mergeCell ref="AI361:AJ361"/>
    <mergeCell ref="AI362:AJ362"/>
    <mergeCell ref="AI332:AJ332"/>
    <mergeCell ref="AI354:AJ354"/>
    <mergeCell ref="AI355:AJ355"/>
    <mergeCell ref="AI356:AJ356"/>
    <mergeCell ref="AD349:AE349"/>
    <mergeCell ref="AB359:AB364"/>
    <mergeCell ref="AD348:AE348"/>
    <mergeCell ref="W335:W340"/>
    <mergeCell ref="AI395:AJ395"/>
    <mergeCell ref="AI368:AJ368"/>
    <mergeCell ref="AI369:AJ369"/>
    <mergeCell ref="AD389:AE389"/>
    <mergeCell ref="AD376:AE376"/>
    <mergeCell ref="AD377:AE377"/>
    <mergeCell ref="AD378:AE378"/>
    <mergeCell ref="AI379:AJ379"/>
    <mergeCell ref="AI380:AJ380"/>
    <mergeCell ref="AF380:AH380"/>
    <mergeCell ref="AD381:AE381"/>
    <mergeCell ref="AD382:AE382"/>
    <mergeCell ref="AD383:AE383"/>
    <mergeCell ref="AD384:AE384"/>
    <mergeCell ref="AB365:AB370"/>
    <mergeCell ref="AI394:AJ394"/>
    <mergeCell ref="AD355:AE355"/>
    <mergeCell ref="X335:X346"/>
    <mergeCell ref="AI366:AJ366"/>
    <mergeCell ref="AI367:AJ367"/>
    <mergeCell ref="AC377:AC382"/>
    <mergeCell ref="AB377:AB382"/>
    <mergeCell ref="AF359:AH359"/>
    <mergeCell ref="AF379:AH379"/>
    <mergeCell ref="AI391:AJ391"/>
    <mergeCell ref="AI392:AJ392"/>
    <mergeCell ref="AI393:AJ393"/>
    <mergeCell ref="AF391:AH391"/>
    <mergeCell ref="AF392:AH392"/>
    <mergeCell ref="AF393:AH393"/>
    <mergeCell ref="R371:R382"/>
    <mergeCell ref="U371:U382"/>
    <mergeCell ref="V371:V382"/>
    <mergeCell ref="U383:U394"/>
    <mergeCell ref="V383:V394"/>
    <mergeCell ref="AC365:AC370"/>
    <mergeCell ref="AI364:AJ364"/>
    <mergeCell ref="AI365:AJ365"/>
    <mergeCell ref="AI373:AJ373"/>
    <mergeCell ref="AF360:AH360"/>
    <mergeCell ref="AI375:AJ375"/>
    <mergeCell ref="Y371:Y376"/>
    <mergeCell ref="AD367:AE367"/>
    <mergeCell ref="AD368:AE368"/>
    <mergeCell ref="AD369:AE369"/>
    <mergeCell ref="AD370:AE370"/>
    <mergeCell ref="AF388:AH388"/>
    <mergeCell ref="AF386:AH386"/>
    <mergeCell ref="AI376:AJ376"/>
    <mergeCell ref="AF377:AH377"/>
    <mergeCell ref="AL371:AL376"/>
    <mergeCell ref="AL377:AL382"/>
    <mergeCell ref="AI382:AJ382"/>
    <mergeCell ref="AD379:AE379"/>
    <mergeCell ref="AL383:AL388"/>
    <mergeCell ref="AI383:AJ383"/>
    <mergeCell ref="AI386:AJ386"/>
    <mergeCell ref="AD371:AE371"/>
    <mergeCell ref="AD372:AE372"/>
    <mergeCell ref="AD387:AE387"/>
    <mergeCell ref="AD388:AE388"/>
    <mergeCell ref="AD380:AE380"/>
    <mergeCell ref="AI385:AJ385"/>
    <mergeCell ref="AF381:AH381"/>
    <mergeCell ref="AF382:AH382"/>
    <mergeCell ref="AF383:AH383"/>
    <mergeCell ref="AF384:AH384"/>
    <mergeCell ref="AF378:AH378"/>
    <mergeCell ref="AI377:AJ377"/>
    <mergeCell ref="AI378:AJ378"/>
    <mergeCell ref="AL365:AL370"/>
    <mergeCell ref="AI381:AJ381"/>
    <mergeCell ref="AC371:AC376"/>
    <mergeCell ref="AI352:AJ352"/>
    <mergeCell ref="AI371:AJ371"/>
    <mergeCell ref="AL389:AL394"/>
    <mergeCell ref="Z365:Z370"/>
    <mergeCell ref="Y359:Y364"/>
    <mergeCell ref="Y347:Y352"/>
    <mergeCell ref="W383:W388"/>
    <mergeCell ref="Y377:Y382"/>
    <mergeCell ref="Z353:Z358"/>
    <mergeCell ref="Z371:Z376"/>
    <mergeCell ref="V347:V358"/>
    <mergeCell ref="X347:X358"/>
    <mergeCell ref="AF394:AH394"/>
    <mergeCell ref="Y383:Y388"/>
    <mergeCell ref="W365:W370"/>
    <mergeCell ref="Z377:Z382"/>
    <mergeCell ref="W371:W376"/>
    <mergeCell ref="Z383:Z388"/>
    <mergeCell ref="AD390:AE390"/>
    <mergeCell ref="AD391:AE391"/>
    <mergeCell ref="AC389:AC394"/>
    <mergeCell ref="X371:X382"/>
    <mergeCell ref="AA371:AA382"/>
    <mergeCell ref="X383:X394"/>
    <mergeCell ref="AA383:AA394"/>
    <mergeCell ref="Y389:Y394"/>
    <mergeCell ref="W377:W382"/>
    <mergeCell ref="AF375:AH375"/>
    <mergeCell ref="AF376:AH376"/>
    <mergeCell ref="AF390:AH390"/>
    <mergeCell ref="AI374:AJ374"/>
    <mergeCell ref="M389:M394"/>
    <mergeCell ref="N383:N388"/>
    <mergeCell ref="AD373:AE373"/>
    <mergeCell ref="AF367:AH367"/>
    <mergeCell ref="AF368:AH368"/>
    <mergeCell ref="AF355:AH355"/>
    <mergeCell ref="AD363:AE363"/>
    <mergeCell ref="O347:O358"/>
    <mergeCell ref="N389:N394"/>
    <mergeCell ref="AF349:AH349"/>
    <mergeCell ref="AC359:AC364"/>
    <mergeCell ref="AF352:AH352"/>
    <mergeCell ref="N377:N382"/>
    <mergeCell ref="S383:T394"/>
    <mergeCell ref="Q371:Q382"/>
    <mergeCell ref="AD375:AE375"/>
    <mergeCell ref="AF369:AH369"/>
    <mergeCell ref="AF370:AH370"/>
    <mergeCell ref="AF371:AH371"/>
    <mergeCell ref="AF389:AH389"/>
    <mergeCell ref="AF385:AH385"/>
    <mergeCell ref="AF372:AH372"/>
    <mergeCell ref="Y365:Y370"/>
    <mergeCell ref="W389:W394"/>
    <mergeCell ref="AD358:AE358"/>
    <mergeCell ref="O359:O370"/>
    <mergeCell ref="AD392:AE392"/>
    <mergeCell ref="AD393:AE393"/>
    <mergeCell ref="V359:V370"/>
    <mergeCell ref="X359:X370"/>
    <mergeCell ref="AA359:AA370"/>
    <mergeCell ref="AB371:AB376"/>
    <mergeCell ref="Z389:Z394"/>
    <mergeCell ref="L383:L388"/>
    <mergeCell ref="M383:M388"/>
    <mergeCell ref="AI384:AJ384"/>
    <mergeCell ref="AI372:AJ372"/>
    <mergeCell ref="N395:N400"/>
    <mergeCell ref="M395:M400"/>
    <mergeCell ref="AB431:AB436"/>
    <mergeCell ref="AC437:AC442"/>
    <mergeCell ref="AC443:AC448"/>
    <mergeCell ref="AD402:AE402"/>
    <mergeCell ref="N413:N418"/>
    <mergeCell ref="N419:N424"/>
    <mergeCell ref="Y431:Y436"/>
    <mergeCell ref="S431:T442"/>
    <mergeCell ref="S443:T454"/>
    <mergeCell ref="AD413:AE413"/>
    <mergeCell ref="AF406:AH406"/>
    <mergeCell ref="AD401:AE401"/>
    <mergeCell ref="AF416:AH416"/>
    <mergeCell ref="AF417:AH417"/>
    <mergeCell ref="AF413:AH413"/>
    <mergeCell ref="AD404:AE404"/>
    <mergeCell ref="AD411:AE411"/>
    <mergeCell ref="AD412:AE412"/>
    <mergeCell ref="AD417:AE417"/>
    <mergeCell ref="AC395:AC400"/>
    <mergeCell ref="Z419:Z424"/>
    <mergeCell ref="AF412:AH412"/>
    <mergeCell ref="U407:U418"/>
    <mergeCell ref="W395:W400"/>
    <mergeCell ref="P395:P406"/>
    <mergeCell ref="Q395:Q406"/>
    <mergeCell ref="S419:T430"/>
    <mergeCell ref="W419:W424"/>
    <mergeCell ref="W401:W406"/>
    <mergeCell ref="P407:P418"/>
    <mergeCell ref="S407:T418"/>
    <mergeCell ref="U395:U406"/>
    <mergeCell ref="V395:V406"/>
    <mergeCell ref="X395:X406"/>
    <mergeCell ref="AD397:AE397"/>
    <mergeCell ref="AD420:AE420"/>
    <mergeCell ref="AB419:AB424"/>
    <mergeCell ref="AB425:AB430"/>
    <mergeCell ref="AD438:AE438"/>
    <mergeCell ref="AD439:AE439"/>
    <mergeCell ref="U419:U430"/>
    <mergeCell ref="V419:V430"/>
    <mergeCell ref="X419:X430"/>
    <mergeCell ref="U431:U442"/>
    <mergeCell ref="V431:V442"/>
    <mergeCell ref="X431:X442"/>
    <mergeCell ref="AC431:AC436"/>
    <mergeCell ref="AC401:AC406"/>
    <mergeCell ref="AB413:AB418"/>
    <mergeCell ref="AB437:AB442"/>
    <mergeCell ref="AD405:AE405"/>
    <mergeCell ref="AI443:AJ443"/>
    <mergeCell ref="AI444:AJ444"/>
    <mergeCell ref="AI445:AJ445"/>
    <mergeCell ref="AI446:AJ446"/>
    <mergeCell ref="AF433:AH433"/>
    <mergeCell ref="AF415:AH415"/>
    <mergeCell ref="AI408:AJ408"/>
    <mergeCell ref="AI421:AJ421"/>
    <mergeCell ref="AF407:AH407"/>
    <mergeCell ref="V407:V418"/>
    <mergeCell ref="W413:W418"/>
    <mergeCell ref="W407:W412"/>
    <mergeCell ref="Y407:Y412"/>
    <mergeCell ref="Q431:Q442"/>
    <mergeCell ref="P443:P454"/>
    <mergeCell ref="AD416:AE416"/>
    <mergeCell ref="AD440:AE440"/>
    <mergeCell ref="AD441:AE441"/>
    <mergeCell ref="AB449:AB454"/>
    <mergeCell ref="AB443:AB448"/>
    <mergeCell ref="AC449:AC454"/>
    <mergeCell ref="Y413:Y418"/>
    <mergeCell ref="AI409:AJ409"/>
    <mergeCell ref="AI410:AJ410"/>
    <mergeCell ref="AI411:AJ411"/>
    <mergeCell ref="AI412:AJ412"/>
    <mergeCell ref="AI407:AJ407"/>
    <mergeCell ref="AF414:AH414"/>
    <mergeCell ref="AI397:AJ397"/>
    <mergeCell ref="AI398:AJ398"/>
    <mergeCell ref="AI399:AJ399"/>
    <mergeCell ref="AA431:AA442"/>
    <mergeCell ref="U443:U454"/>
    <mergeCell ref="AB395:AB400"/>
    <mergeCell ref="AI403:AJ403"/>
    <mergeCell ref="AI404:AJ404"/>
    <mergeCell ref="AD407:AE407"/>
    <mergeCell ref="AD403:AE403"/>
    <mergeCell ref="AF419:AH419"/>
    <mergeCell ref="AF420:AH420"/>
    <mergeCell ref="AF421:AH421"/>
    <mergeCell ref="AF422:AH422"/>
    <mergeCell ref="AF423:AH423"/>
    <mergeCell ref="AF424:AH424"/>
    <mergeCell ref="AF425:AH425"/>
    <mergeCell ref="AF426:AH426"/>
    <mergeCell ref="Z395:Z400"/>
    <mergeCell ref="Z401:Z406"/>
    <mergeCell ref="Z407:Z412"/>
    <mergeCell ref="AD396:AE396"/>
    <mergeCell ref="AA419:AA430"/>
    <mergeCell ref="AI406:AJ406"/>
    <mergeCell ref="AD406:AE406"/>
    <mergeCell ref="AF449:AH449"/>
    <mergeCell ref="AF450:AH450"/>
    <mergeCell ref="AF451:AH451"/>
    <mergeCell ref="AF452:AH452"/>
    <mergeCell ref="AF453:AH453"/>
    <mergeCell ref="AF454:AH454"/>
    <mergeCell ref="AF456:AH456"/>
    <mergeCell ref="AI455:AJ455"/>
    <mergeCell ref="AI456:AJ456"/>
    <mergeCell ref="AI457:AJ457"/>
    <mergeCell ref="AL425:AL430"/>
    <mergeCell ref="AC425:AC430"/>
    <mergeCell ref="Y395:Y400"/>
    <mergeCell ref="Y401:Y406"/>
    <mergeCell ref="AA395:AA406"/>
    <mergeCell ref="AI422:AJ422"/>
    <mergeCell ref="AI423:AJ423"/>
    <mergeCell ref="AI419:AJ419"/>
    <mergeCell ref="AC413:AC418"/>
    <mergeCell ref="AC407:AC412"/>
    <mergeCell ref="AD418:AE418"/>
    <mergeCell ref="AI416:AJ416"/>
    <mergeCell ref="AI417:AJ417"/>
    <mergeCell ref="AI413:AJ413"/>
    <mergeCell ref="AI414:AJ414"/>
    <mergeCell ref="AI415:AJ415"/>
    <mergeCell ref="AL419:AL424"/>
    <mergeCell ref="AL407:AL412"/>
    <mergeCell ref="AL395:AL400"/>
    <mergeCell ref="AL413:AL418"/>
    <mergeCell ref="AA407:AA418"/>
    <mergeCell ref="Z413:Z418"/>
    <mergeCell ref="AL449:AL454"/>
    <mergeCell ref="AL431:AL436"/>
    <mergeCell ref="W437:W442"/>
    <mergeCell ref="AI418:AJ418"/>
    <mergeCell ref="AI401:AJ401"/>
    <mergeCell ref="AI402:AJ402"/>
    <mergeCell ref="AI405:AJ405"/>
    <mergeCell ref="AD408:AE408"/>
    <mergeCell ref="AD409:AE409"/>
    <mergeCell ref="AD410:AE410"/>
    <mergeCell ref="AL401:AL406"/>
    <mergeCell ref="AD452:AE452"/>
    <mergeCell ref="AD453:AE453"/>
    <mergeCell ref="AD454:AE454"/>
    <mergeCell ref="AL437:AL442"/>
    <mergeCell ref="W443:W448"/>
    <mergeCell ref="AL443:AL448"/>
    <mergeCell ref="Y443:Y448"/>
    <mergeCell ref="Y437:Y442"/>
    <mergeCell ref="X407:X418"/>
    <mergeCell ref="AC419:AC424"/>
    <mergeCell ref="AF408:AH408"/>
    <mergeCell ref="AI420:AJ420"/>
    <mergeCell ref="AF427:AH427"/>
    <mergeCell ref="AF428:AH428"/>
    <mergeCell ref="AF429:AH429"/>
    <mergeCell ref="AF409:AH409"/>
    <mergeCell ref="AF410:AH410"/>
    <mergeCell ref="AF411:AH411"/>
    <mergeCell ref="AD447:AE447"/>
    <mergeCell ref="AF447:AH447"/>
    <mergeCell ref="AF448:AH448"/>
    <mergeCell ref="AD457:AE457"/>
    <mergeCell ref="AI465:AJ465"/>
    <mergeCell ref="AI466:AJ466"/>
    <mergeCell ref="AI467:AJ467"/>
    <mergeCell ref="AL467:AL472"/>
    <mergeCell ref="AF466:AH466"/>
    <mergeCell ref="AI462:AJ462"/>
    <mergeCell ref="AI463:AJ463"/>
    <mergeCell ref="AI464:AJ464"/>
    <mergeCell ref="AD487:AE487"/>
    <mergeCell ref="Q467:Q478"/>
    <mergeCell ref="S467:T478"/>
    <mergeCell ref="AF477:AH477"/>
    <mergeCell ref="AF478:AH478"/>
    <mergeCell ref="AD475:AE475"/>
    <mergeCell ref="AI483:AJ483"/>
    <mergeCell ref="AI484:AJ484"/>
    <mergeCell ref="AI485:AJ485"/>
    <mergeCell ref="AI478:AJ478"/>
    <mergeCell ref="AF479:AH479"/>
    <mergeCell ref="AF480:AH480"/>
    <mergeCell ref="AL473:AL478"/>
    <mergeCell ref="AL461:AL466"/>
    <mergeCell ref="AD458:AE458"/>
    <mergeCell ref="AD459:AE459"/>
    <mergeCell ref="AD460:AE460"/>
    <mergeCell ref="AI458:AJ458"/>
    <mergeCell ref="AD477:AE477"/>
    <mergeCell ref="AD478:AE478"/>
    <mergeCell ref="AD479:AE479"/>
    <mergeCell ref="AD480:AE480"/>
    <mergeCell ref="AD481:AE481"/>
    <mergeCell ref="AD482:AE482"/>
    <mergeCell ref="AD483:AE483"/>
    <mergeCell ref="AD484:AE484"/>
    <mergeCell ref="AL479:AL484"/>
    <mergeCell ref="W479:W484"/>
    <mergeCell ref="L479:L484"/>
    <mergeCell ref="AF481:AH481"/>
    <mergeCell ref="AF482:AH482"/>
    <mergeCell ref="AF483:AH483"/>
    <mergeCell ref="AF484:AH484"/>
    <mergeCell ref="AL455:AL460"/>
    <mergeCell ref="AI461:AJ461"/>
    <mergeCell ref="AD466:AE466"/>
    <mergeCell ref="AD467:AE467"/>
    <mergeCell ref="AD468:AE468"/>
    <mergeCell ref="AD469:AE469"/>
    <mergeCell ref="AD470:AE470"/>
    <mergeCell ref="AD471:AE471"/>
    <mergeCell ref="AD472:AE472"/>
    <mergeCell ref="AI459:AJ459"/>
    <mergeCell ref="AI460:AJ460"/>
    <mergeCell ref="AD476:AE476"/>
    <mergeCell ref="AF463:AH463"/>
    <mergeCell ref="AF474:AH474"/>
    <mergeCell ref="AF475:AH475"/>
    <mergeCell ref="AF476:AH476"/>
    <mergeCell ref="AD456:AE456"/>
    <mergeCell ref="AL497:AL502"/>
    <mergeCell ref="W503:W508"/>
    <mergeCell ref="Y503:Y508"/>
    <mergeCell ref="Y479:Y484"/>
    <mergeCell ref="R479:R490"/>
    <mergeCell ref="M479:M484"/>
    <mergeCell ref="S479:T490"/>
    <mergeCell ref="S491:T502"/>
    <mergeCell ref="N479:N484"/>
    <mergeCell ref="N485:N490"/>
    <mergeCell ref="N491:N496"/>
    <mergeCell ref="N497:N502"/>
    <mergeCell ref="AD500:AE500"/>
    <mergeCell ref="AD501:AE501"/>
    <mergeCell ref="AD502:AE502"/>
    <mergeCell ref="AD503:AE503"/>
    <mergeCell ref="AD504:AE504"/>
    <mergeCell ref="AD505:AE505"/>
    <mergeCell ref="W497:W502"/>
    <mergeCell ref="Z485:Z490"/>
    <mergeCell ref="AL491:AL496"/>
    <mergeCell ref="AL485:AL490"/>
    <mergeCell ref="AD491:AE491"/>
    <mergeCell ref="AD492:AE492"/>
    <mergeCell ref="AI487:AJ487"/>
    <mergeCell ref="AD485:AE485"/>
    <mergeCell ref="AD486:AE486"/>
    <mergeCell ref="U491:U502"/>
    <mergeCell ref="V491:V502"/>
    <mergeCell ref="X491:X502"/>
    <mergeCell ref="AA491:AA502"/>
    <mergeCell ref="U503:U514"/>
    <mergeCell ref="AI514:AJ514"/>
    <mergeCell ref="AF506:AH506"/>
    <mergeCell ref="AF507:AH507"/>
    <mergeCell ref="AF508:AH508"/>
    <mergeCell ref="AF509:AH509"/>
    <mergeCell ref="M509:M514"/>
    <mergeCell ref="L503:L508"/>
    <mergeCell ref="M503:M508"/>
    <mergeCell ref="Z503:Z508"/>
    <mergeCell ref="AD506:AE506"/>
    <mergeCell ref="AD510:AE510"/>
    <mergeCell ref="Z497:Z502"/>
    <mergeCell ref="AF510:AH510"/>
    <mergeCell ref="AF511:AH511"/>
    <mergeCell ref="AF512:AH512"/>
    <mergeCell ref="AI508:AJ508"/>
    <mergeCell ref="AI509:AJ509"/>
    <mergeCell ref="AB503:AB508"/>
    <mergeCell ref="AB497:AB502"/>
    <mergeCell ref="AF500:AH500"/>
    <mergeCell ref="AF501:AH501"/>
    <mergeCell ref="V503:V514"/>
    <mergeCell ref="X503:X514"/>
    <mergeCell ref="AA503:AA514"/>
    <mergeCell ref="Z509:Z514"/>
    <mergeCell ref="Y497:Y502"/>
    <mergeCell ref="AL515:AL520"/>
    <mergeCell ref="AL533:AL538"/>
    <mergeCell ref="W527:W532"/>
    <mergeCell ref="Y527:Y532"/>
    <mergeCell ref="W533:W538"/>
    <mergeCell ref="Y533:Y538"/>
    <mergeCell ref="L533:L538"/>
    <mergeCell ref="M533:M538"/>
    <mergeCell ref="Q527:Q538"/>
    <mergeCell ref="L521:L526"/>
    <mergeCell ref="M521:M526"/>
    <mergeCell ref="W521:W526"/>
    <mergeCell ref="Y521:Y526"/>
    <mergeCell ref="AC533:AC538"/>
    <mergeCell ref="AL527:AL532"/>
    <mergeCell ref="AL521:AL526"/>
    <mergeCell ref="AD527:AE527"/>
    <mergeCell ref="L515:L520"/>
    <mergeCell ref="M515:M520"/>
    <mergeCell ref="Z527:Z532"/>
    <mergeCell ref="Y515:Y520"/>
    <mergeCell ref="Z515:Z520"/>
    <mergeCell ref="AI516:AJ516"/>
    <mergeCell ref="AI522:AJ522"/>
    <mergeCell ref="AI523:AJ523"/>
    <mergeCell ref="AI515:AJ515"/>
    <mergeCell ref="AD522:AE522"/>
    <mergeCell ref="AD523:AE523"/>
    <mergeCell ref="AD524:AE524"/>
    <mergeCell ref="AD525:AE525"/>
    <mergeCell ref="AD526:AE526"/>
    <mergeCell ref="AF526:AH526"/>
    <mergeCell ref="AF527:AH527"/>
    <mergeCell ref="AF528:AH528"/>
    <mergeCell ref="AF529:AH529"/>
    <mergeCell ref="AF530:AH530"/>
    <mergeCell ref="AF531:AH531"/>
    <mergeCell ref="AF532:AH532"/>
    <mergeCell ref="AF533:AH533"/>
    <mergeCell ref="AF534:AH534"/>
    <mergeCell ref="AF535:AH535"/>
    <mergeCell ref="AF536:AH536"/>
    <mergeCell ref="AF537:AH537"/>
    <mergeCell ref="AF538:AH538"/>
    <mergeCell ref="S551:T562"/>
    <mergeCell ref="O551:O562"/>
    <mergeCell ref="L527:L532"/>
    <mergeCell ref="M527:M532"/>
    <mergeCell ref="AI550:AJ550"/>
    <mergeCell ref="AB533:AB538"/>
    <mergeCell ref="AI546:AJ546"/>
    <mergeCell ref="AI547:AJ547"/>
    <mergeCell ref="AI548:AJ548"/>
    <mergeCell ref="AI549:AJ549"/>
    <mergeCell ref="AI556:AJ556"/>
    <mergeCell ref="AI540:AJ540"/>
    <mergeCell ref="AI541:AJ541"/>
    <mergeCell ref="AI542:AJ542"/>
    <mergeCell ref="AB527:AB532"/>
    <mergeCell ref="AC527:AC532"/>
    <mergeCell ref="L557:L562"/>
    <mergeCell ref="M557:M562"/>
    <mergeCell ref="AD561:AE561"/>
    <mergeCell ref="AD533:AE533"/>
    <mergeCell ref="AI532:AJ532"/>
    <mergeCell ref="AI534:AJ534"/>
    <mergeCell ref="AI535:AJ535"/>
    <mergeCell ref="AI536:AJ536"/>
    <mergeCell ref="AI537:AJ537"/>
    <mergeCell ref="AI538:AJ538"/>
    <mergeCell ref="AI539:AJ539"/>
    <mergeCell ref="AI557:AJ557"/>
    <mergeCell ref="AI530:AJ530"/>
    <mergeCell ref="AI562:AJ562"/>
    <mergeCell ref="AD573:AE573"/>
    <mergeCell ref="AD574:AE574"/>
    <mergeCell ref="AD575:AE575"/>
    <mergeCell ref="AD566:AE566"/>
    <mergeCell ref="AD567:AE567"/>
    <mergeCell ref="AD568:AE568"/>
    <mergeCell ref="AD569:AE569"/>
    <mergeCell ref="AD564:AE564"/>
    <mergeCell ref="AD546:AE546"/>
    <mergeCell ref="AD547:AE547"/>
    <mergeCell ref="AD548:AE548"/>
    <mergeCell ref="AD549:AE549"/>
    <mergeCell ref="AD572:AE572"/>
    <mergeCell ref="AD545:AE545"/>
    <mergeCell ref="AD551:AE551"/>
    <mergeCell ref="AD552:AE552"/>
    <mergeCell ref="AD553:AE553"/>
    <mergeCell ref="AD554:AE554"/>
    <mergeCell ref="AI565:AJ565"/>
    <mergeCell ref="AI533:AJ533"/>
    <mergeCell ref="AI563:AJ563"/>
    <mergeCell ref="AI564:AJ564"/>
    <mergeCell ref="AL557:AL562"/>
    <mergeCell ref="N557:N562"/>
    <mergeCell ref="Z557:Z562"/>
    <mergeCell ref="O539:O550"/>
    <mergeCell ref="AC551:AC556"/>
    <mergeCell ref="AL551:AL556"/>
    <mergeCell ref="P539:P550"/>
    <mergeCell ref="R551:R562"/>
    <mergeCell ref="AL539:AL544"/>
    <mergeCell ref="L581:L586"/>
    <mergeCell ref="M581:M586"/>
    <mergeCell ref="W581:W586"/>
    <mergeCell ref="Y581:Y586"/>
    <mergeCell ref="N563:N568"/>
    <mergeCell ref="N569:N574"/>
    <mergeCell ref="N575:N580"/>
    <mergeCell ref="N581:N586"/>
    <mergeCell ref="P575:P586"/>
    <mergeCell ref="Q575:Q586"/>
    <mergeCell ref="L575:L580"/>
    <mergeCell ref="M575:M580"/>
    <mergeCell ref="W575:W580"/>
    <mergeCell ref="L545:L550"/>
    <mergeCell ref="W545:W550"/>
    <mergeCell ref="AC557:AC562"/>
    <mergeCell ref="AC545:AC550"/>
    <mergeCell ref="AL545:AL550"/>
    <mergeCell ref="AI568:AJ568"/>
    <mergeCell ref="AD576:AE576"/>
    <mergeCell ref="AA575:AA586"/>
    <mergeCell ref="AI543:AJ543"/>
    <mergeCell ref="AI544:AJ544"/>
    <mergeCell ref="AL563:AL568"/>
    <mergeCell ref="L563:L568"/>
    <mergeCell ref="M563:M568"/>
    <mergeCell ref="W563:W568"/>
    <mergeCell ref="Y563:Y568"/>
    <mergeCell ref="AC569:AC574"/>
    <mergeCell ref="AL569:AL574"/>
    <mergeCell ref="R575:R586"/>
    <mergeCell ref="AC575:AC580"/>
    <mergeCell ref="Z569:Z574"/>
    <mergeCell ref="AI569:AJ569"/>
    <mergeCell ref="AI570:AJ570"/>
    <mergeCell ref="AI571:AJ571"/>
    <mergeCell ref="AI572:AJ572"/>
    <mergeCell ref="AI573:AJ573"/>
    <mergeCell ref="AI574:AJ574"/>
    <mergeCell ref="AI575:AJ575"/>
    <mergeCell ref="O575:O586"/>
    <mergeCell ref="Z581:Z586"/>
    <mergeCell ref="AI576:AJ576"/>
    <mergeCell ref="AI581:AJ581"/>
    <mergeCell ref="AL581:AL586"/>
    <mergeCell ref="AL575:AL580"/>
    <mergeCell ref="O563:O574"/>
    <mergeCell ref="AD580:AE580"/>
    <mergeCell ref="AD581:AE581"/>
    <mergeCell ref="AI585:AJ585"/>
    <mergeCell ref="V575:V586"/>
    <mergeCell ref="X575:X586"/>
    <mergeCell ref="AI566:AJ566"/>
    <mergeCell ref="AI577:AJ577"/>
    <mergeCell ref="AI578:AJ578"/>
    <mergeCell ref="AL587:AL592"/>
    <mergeCell ref="AL605:AL610"/>
    <mergeCell ref="O599:O610"/>
    <mergeCell ref="O611:O622"/>
    <mergeCell ref="N605:N610"/>
    <mergeCell ref="N611:N616"/>
    <mergeCell ref="N617:N622"/>
    <mergeCell ref="W593:W598"/>
    <mergeCell ref="AC599:AC604"/>
    <mergeCell ref="AI606:AJ606"/>
    <mergeCell ref="AI607:AJ607"/>
    <mergeCell ref="AI608:AJ608"/>
    <mergeCell ref="AI609:AJ609"/>
    <mergeCell ref="AI610:AJ610"/>
    <mergeCell ref="AI611:AJ611"/>
    <mergeCell ref="AI612:AJ612"/>
    <mergeCell ref="AI597:AJ597"/>
    <mergeCell ref="AI614:AJ614"/>
    <mergeCell ref="AL599:AL604"/>
    <mergeCell ref="Y593:Y598"/>
    <mergeCell ref="AL593:AL598"/>
    <mergeCell ref="AD591:AE591"/>
    <mergeCell ref="AI588:AJ588"/>
    <mergeCell ref="AF611:AH611"/>
    <mergeCell ref="AF616:AH616"/>
    <mergeCell ref="AF617:AH617"/>
    <mergeCell ref="AF618:AH618"/>
    <mergeCell ref="AF619:AH619"/>
    <mergeCell ref="AI615:AJ615"/>
    <mergeCell ref="AI616:AJ616"/>
    <mergeCell ref="AD587:AE587"/>
    <mergeCell ref="AD600:AE600"/>
    <mergeCell ref="AI681:AJ681"/>
    <mergeCell ref="AI659:AJ659"/>
    <mergeCell ref="AI660:AJ660"/>
    <mergeCell ref="AI661:AJ661"/>
    <mergeCell ref="AI662:AJ662"/>
    <mergeCell ref="AI663:AJ663"/>
    <mergeCell ref="AI664:AJ664"/>
    <mergeCell ref="AI665:AJ665"/>
    <mergeCell ref="AI666:AJ666"/>
    <mergeCell ref="AI667:AJ667"/>
    <mergeCell ref="P599:P610"/>
    <mergeCell ref="Q599:Q610"/>
    <mergeCell ref="Q623:Q634"/>
    <mergeCell ref="Q635:Q646"/>
    <mergeCell ref="R623:R634"/>
    <mergeCell ref="AC605:AC610"/>
    <mergeCell ref="W611:W616"/>
    <mergeCell ref="AA647:AA658"/>
    <mergeCell ref="U659:U670"/>
    <mergeCell ref="V659:V670"/>
    <mergeCell ref="X659:X670"/>
    <mergeCell ref="AA659:AA670"/>
    <mergeCell ref="AF613:AH613"/>
    <mergeCell ref="AF614:AH614"/>
    <mergeCell ref="AF615:AH615"/>
    <mergeCell ref="AI602:AJ602"/>
    <mergeCell ref="R611:R622"/>
    <mergeCell ref="AI646:AJ646"/>
    <mergeCell ref="AI647:AJ647"/>
    <mergeCell ref="AI648:AJ648"/>
    <mergeCell ref="AI625:AJ625"/>
    <mergeCell ref="AI626:AJ626"/>
    <mergeCell ref="AB611:AB616"/>
    <mergeCell ref="AB605:AB610"/>
    <mergeCell ref="AC587:AC592"/>
    <mergeCell ref="AC581:AC586"/>
    <mergeCell ref="AB599:AB604"/>
    <mergeCell ref="N641:N646"/>
    <mergeCell ref="O623:O634"/>
    <mergeCell ref="W599:W604"/>
    <mergeCell ref="AI595:AJ595"/>
    <mergeCell ref="AI596:AJ596"/>
    <mergeCell ref="AI600:AJ600"/>
    <mergeCell ref="AI601:AJ601"/>
    <mergeCell ref="AI653:AJ653"/>
    <mergeCell ref="AI654:AJ654"/>
    <mergeCell ref="AC671:AC676"/>
    <mergeCell ref="N665:N670"/>
    <mergeCell ref="P587:P598"/>
    <mergeCell ref="Z593:Z598"/>
    <mergeCell ref="Z599:Z604"/>
    <mergeCell ref="W587:W592"/>
    <mergeCell ref="Y587:Y592"/>
    <mergeCell ref="AA635:AA646"/>
    <mergeCell ref="U647:U658"/>
    <mergeCell ref="V647:V658"/>
    <mergeCell ref="X647:X658"/>
    <mergeCell ref="AI627:AJ627"/>
    <mergeCell ref="AI635:AJ635"/>
    <mergeCell ref="AI636:AJ636"/>
    <mergeCell ref="AA671:AA682"/>
    <mergeCell ref="AI673:AJ673"/>
    <mergeCell ref="AI674:AJ674"/>
    <mergeCell ref="AI658:AJ658"/>
    <mergeCell ref="AI655:AJ655"/>
    <mergeCell ref="AI656:AJ656"/>
    <mergeCell ref="AI637:AJ637"/>
    <mergeCell ref="AI642:AJ642"/>
    <mergeCell ref="AF612:AH612"/>
    <mergeCell ref="AI630:AJ630"/>
    <mergeCell ref="AI631:AJ631"/>
    <mergeCell ref="AI632:AJ632"/>
    <mergeCell ref="AI640:AJ640"/>
    <mergeCell ref="AI641:AJ641"/>
    <mergeCell ref="AI622:AJ622"/>
    <mergeCell ref="AI617:AJ617"/>
    <mergeCell ref="AI618:AJ618"/>
    <mergeCell ref="AI628:AJ628"/>
    <mergeCell ref="AD617:AE617"/>
    <mergeCell ref="AD618:AE618"/>
    <mergeCell ref="AD608:AE608"/>
    <mergeCell ref="AI643:AJ643"/>
    <mergeCell ref="AI644:AJ644"/>
    <mergeCell ref="AI645:AJ645"/>
    <mergeCell ref="AI633:AJ633"/>
    <mergeCell ref="AI634:AJ634"/>
    <mergeCell ref="AI624:AJ624"/>
    <mergeCell ref="AD621:AE621"/>
    <mergeCell ref="AD622:AE622"/>
    <mergeCell ref="AD641:AE641"/>
    <mergeCell ref="AD642:AE642"/>
    <mergeCell ref="AD643:AE643"/>
    <mergeCell ref="AD644:AE644"/>
    <mergeCell ref="AD654:AE654"/>
    <mergeCell ref="AD619:AE619"/>
    <mergeCell ref="I647:I658"/>
    <mergeCell ref="W647:W652"/>
    <mergeCell ref="N647:N652"/>
    <mergeCell ref="AC647:AC652"/>
    <mergeCell ref="AL647:AL652"/>
    <mergeCell ref="P671:P682"/>
    <mergeCell ref="Z629:Z634"/>
    <mergeCell ref="M617:M622"/>
    <mergeCell ref="AI677:AJ677"/>
    <mergeCell ref="AI678:AJ678"/>
    <mergeCell ref="AI679:AJ679"/>
    <mergeCell ref="AI680:AJ680"/>
    <mergeCell ref="AI670:AJ670"/>
    <mergeCell ref="AI671:AJ671"/>
    <mergeCell ref="AI638:AJ638"/>
    <mergeCell ref="AI639:AJ639"/>
    <mergeCell ref="AI672:AJ672"/>
    <mergeCell ref="AI675:AJ675"/>
    <mergeCell ref="AI649:AJ649"/>
    <mergeCell ref="AI650:AJ650"/>
    <mergeCell ref="AI651:AJ651"/>
    <mergeCell ref="AI652:AJ652"/>
    <mergeCell ref="L647:L652"/>
    <mergeCell ref="M647:M652"/>
    <mergeCell ref="AA623:AA634"/>
    <mergeCell ref="Y629:Y634"/>
    <mergeCell ref="U635:U646"/>
    <mergeCell ref="V635:V646"/>
    <mergeCell ref="X635:X646"/>
    <mergeCell ref="S647:T658"/>
    <mergeCell ref="Z635:Z640"/>
    <mergeCell ref="Z641:Z646"/>
    <mergeCell ref="AL611:AL616"/>
    <mergeCell ref="I659:I670"/>
    <mergeCell ref="I671:I682"/>
    <mergeCell ref="L677:L682"/>
    <mergeCell ref="M677:M682"/>
    <mergeCell ref="Y659:Y664"/>
    <mergeCell ref="AC635:AC640"/>
    <mergeCell ref="AL635:AL640"/>
    <mergeCell ref="L671:L676"/>
    <mergeCell ref="M671:M676"/>
    <mergeCell ref="W671:W676"/>
    <mergeCell ref="Y671:Y676"/>
    <mergeCell ref="AC641:AC646"/>
    <mergeCell ref="Y653:Y658"/>
    <mergeCell ref="L659:L664"/>
    <mergeCell ref="M659:M664"/>
    <mergeCell ref="AC653:AC658"/>
    <mergeCell ref="W653:W658"/>
    <mergeCell ref="S671:T682"/>
    <mergeCell ref="N635:N640"/>
    <mergeCell ref="AL677:AL682"/>
    <mergeCell ref="AL653:AL658"/>
    <mergeCell ref="I623:I634"/>
    <mergeCell ref="J635:K638"/>
    <mergeCell ref="I635:I646"/>
    <mergeCell ref="AL641:AL646"/>
    <mergeCell ref="AC629:AC634"/>
    <mergeCell ref="AL659:AL664"/>
    <mergeCell ref="AL617:AL622"/>
    <mergeCell ref="P623:P634"/>
    <mergeCell ref="L623:L628"/>
    <mergeCell ref="M623:M628"/>
    <mergeCell ref="AL671:AL676"/>
    <mergeCell ref="AL623:AL628"/>
    <mergeCell ref="W623:W628"/>
    <mergeCell ref="S623:T634"/>
    <mergeCell ref="S635:T646"/>
    <mergeCell ref="L653:L658"/>
    <mergeCell ref="M653:M658"/>
    <mergeCell ref="AL665:AL670"/>
    <mergeCell ref="W665:W670"/>
    <mergeCell ref="Q659:Q670"/>
    <mergeCell ref="AF654:AH654"/>
    <mergeCell ref="AF655:AH655"/>
    <mergeCell ref="AF656:AH656"/>
    <mergeCell ref="AF657:AH657"/>
    <mergeCell ref="AF658:AH658"/>
    <mergeCell ref="AF659:AH659"/>
    <mergeCell ref="AF660:AH660"/>
    <mergeCell ref="AF661:AH661"/>
    <mergeCell ref="AF662:AH662"/>
    <mergeCell ref="AF663:AH663"/>
    <mergeCell ref="AF664:AH664"/>
    <mergeCell ref="AF665:AH665"/>
    <mergeCell ref="AF666:AH666"/>
    <mergeCell ref="AI668:AJ668"/>
    <mergeCell ref="AI669:AJ669"/>
    <mergeCell ref="L629:L634"/>
    <mergeCell ref="M629:M634"/>
    <mergeCell ref="AL629:AL634"/>
    <mergeCell ref="L665:L670"/>
    <mergeCell ref="M665:M670"/>
    <mergeCell ref="N653:N658"/>
    <mergeCell ref="Z647:Z652"/>
    <mergeCell ref="AI676:AJ676"/>
    <mergeCell ref="AI682:AJ682"/>
    <mergeCell ref="S503:T514"/>
    <mergeCell ref="S515:T526"/>
    <mergeCell ref="S527:T538"/>
    <mergeCell ref="R491:R502"/>
    <mergeCell ref="R503:R514"/>
    <mergeCell ref="R515:R526"/>
    <mergeCell ref="R527:R538"/>
    <mergeCell ref="P455:P466"/>
    <mergeCell ref="AF667:AH667"/>
    <mergeCell ref="R659:R670"/>
    <mergeCell ref="AC659:AC664"/>
    <mergeCell ref="AI657:AJ657"/>
    <mergeCell ref="M641:M646"/>
    <mergeCell ref="L635:L640"/>
    <mergeCell ref="M635:M640"/>
    <mergeCell ref="R635:R646"/>
    <mergeCell ref="R647:R658"/>
    <mergeCell ref="W617:W622"/>
    <mergeCell ref="W641:W646"/>
    <mergeCell ref="U623:U634"/>
    <mergeCell ref="V623:V634"/>
    <mergeCell ref="X623:X634"/>
    <mergeCell ref="S455:T466"/>
    <mergeCell ref="X455:X466"/>
    <mergeCell ref="AF601:AH601"/>
    <mergeCell ref="Y611:Y616"/>
    <mergeCell ref="Y605:Y610"/>
    <mergeCell ref="Z653:Z658"/>
    <mergeCell ref="L617:L622"/>
    <mergeCell ref="N623:N628"/>
    <mergeCell ref="Q515:Q526"/>
    <mergeCell ref="P503:P514"/>
    <mergeCell ref="P491:P502"/>
    <mergeCell ref="Q491:Q502"/>
    <mergeCell ref="P467:P478"/>
    <mergeCell ref="Q503:Q514"/>
    <mergeCell ref="L539:L544"/>
    <mergeCell ref="M539:M544"/>
    <mergeCell ref="M545:M550"/>
    <mergeCell ref="L551:L556"/>
    <mergeCell ref="L593:L598"/>
    <mergeCell ref="N593:N598"/>
    <mergeCell ref="N599:N604"/>
    <mergeCell ref="R419:R430"/>
    <mergeCell ref="P431:P442"/>
    <mergeCell ref="P527:P538"/>
    <mergeCell ref="Q671:Q682"/>
    <mergeCell ref="P659:P670"/>
    <mergeCell ref="R431:R442"/>
    <mergeCell ref="N629:N634"/>
    <mergeCell ref="M611:M616"/>
    <mergeCell ref="R671:R682"/>
    <mergeCell ref="L497:L502"/>
    <mergeCell ref="M497:M502"/>
    <mergeCell ref="L509:L514"/>
    <mergeCell ref="L473:L478"/>
    <mergeCell ref="M473:M478"/>
    <mergeCell ref="J563:K566"/>
    <mergeCell ref="J567:K570"/>
    <mergeCell ref="J447:K450"/>
    <mergeCell ref="J451:K454"/>
    <mergeCell ref="I539:I550"/>
    <mergeCell ref="L599:L604"/>
    <mergeCell ref="L641:L646"/>
    <mergeCell ref="L611:L616"/>
    <mergeCell ref="L605:L610"/>
    <mergeCell ref="M605:M610"/>
    <mergeCell ref="N449:N454"/>
    <mergeCell ref="O383:O394"/>
    <mergeCell ref="J407:K410"/>
    <mergeCell ref="J411:K414"/>
    <mergeCell ref="J419:K422"/>
    <mergeCell ref="J423:K426"/>
    <mergeCell ref="J427:K430"/>
    <mergeCell ref="M599:M604"/>
    <mergeCell ref="L461:L466"/>
    <mergeCell ref="M461:M466"/>
    <mergeCell ref="L491:L496"/>
    <mergeCell ref="N467:N472"/>
    <mergeCell ref="N473:N478"/>
    <mergeCell ref="L455:L460"/>
    <mergeCell ref="M455:M460"/>
    <mergeCell ref="L407:L412"/>
    <mergeCell ref="L425:L430"/>
    <mergeCell ref="N455:N460"/>
    <mergeCell ref="N461:N466"/>
    <mergeCell ref="N431:N436"/>
    <mergeCell ref="M587:M592"/>
    <mergeCell ref="N443:N448"/>
    <mergeCell ref="J639:K642"/>
    <mergeCell ref="N545:N550"/>
    <mergeCell ref="M593:M598"/>
    <mergeCell ref="M569:M574"/>
    <mergeCell ref="P515:P526"/>
    <mergeCell ref="P551:P562"/>
    <mergeCell ref="R455:R466"/>
    <mergeCell ref="Q455:Q466"/>
    <mergeCell ref="Q587:Q598"/>
    <mergeCell ref="N503:N508"/>
    <mergeCell ref="N533:N538"/>
    <mergeCell ref="O635:O646"/>
    <mergeCell ref="P611:P622"/>
    <mergeCell ref="S563:T574"/>
    <mergeCell ref="S575:T586"/>
    <mergeCell ref="J499:K502"/>
    <mergeCell ref="J515:K518"/>
    <mergeCell ref="J519:K522"/>
    <mergeCell ref="J591:K594"/>
    <mergeCell ref="J595:K598"/>
    <mergeCell ref="J599:K602"/>
    <mergeCell ref="J603:K606"/>
    <mergeCell ref="J607:K610"/>
    <mergeCell ref="J611:K614"/>
    <mergeCell ref="J615:K618"/>
    <mergeCell ref="J619:K622"/>
    <mergeCell ref="J623:K626"/>
    <mergeCell ref="J627:K630"/>
    <mergeCell ref="J631:K634"/>
    <mergeCell ref="J643:K646"/>
    <mergeCell ref="Q539:Q550"/>
    <mergeCell ref="J559:K562"/>
    <mergeCell ref="A587:A598"/>
    <mergeCell ref="I563:I574"/>
    <mergeCell ref="L569:L574"/>
    <mergeCell ref="M551:M556"/>
    <mergeCell ref="M407:M412"/>
    <mergeCell ref="L467:L472"/>
    <mergeCell ref="M467:M472"/>
    <mergeCell ref="M419:M424"/>
    <mergeCell ref="M413:M418"/>
    <mergeCell ref="M491:M496"/>
    <mergeCell ref="L485:L490"/>
    <mergeCell ref="M485:M490"/>
    <mergeCell ref="L419:L424"/>
    <mergeCell ref="M425:M430"/>
    <mergeCell ref="M443:M448"/>
    <mergeCell ref="L431:L436"/>
    <mergeCell ref="M431:M436"/>
    <mergeCell ref="L449:L454"/>
    <mergeCell ref="A575:A586"/>
    <mergeCell ref="B437:D442"/>
    <mergeCell ref="A503:A514"/>
    <mergeCell ref="M437:M442"/>
    <mergeCell ref="J443:K446"/>
    <mergeCell ref="J415:K418"/>
    <mergeCell ref="J431:K434"/>
    <mergeCell ref="J435:K438"/>
    <mergeCell ref="J439:K442"/>
    <mergeCell ref="J539:K542"/>
    <mergeCell ref="J543:K546"/>
    <mergeCell ref="J547:K550"/>
    <mergeCell ref="J551:K554"/>
    <mergeCell ref="J503:K506"/>
    <mergeCell ref="B353:D358"/>
    <mergeCell ref="B359:D364"/>
    <mergeCell ref="B365:D370"/>
    <mergeCell ref="B371:D376"/>
    <mergeCell ref="B377:D382"/>
    <mergeCell ref="B383:D388"/>
    <mergeCell ref="B389:D394"/>
    <mergeCell ref="B395:D400"/>
    <mergeCell ref="B401:D406"/>
    <mergeCell ref="B581:D586"/>
    <mergeCell ref="B587:D592"/>
    <mergeCell ref="A371:A382"/>
    <mergeCell ref="A383:A394"/>
    <mergeCell ref="A395:A406"/>
    <mergeCell ref="I419:I430"/>
    <mergeCell ref="I479:I490"/>
    <mergeCell ref="A443:A454"/>
    <mergeCell ref="A455:A466"/>
    <mergeCell ref="A467:A478"/>
    <mergeCell ref="H539:H550"/>
    <mergeCell ref="H551:H562"/>
    <mergeCell ref="H563:H574"/>
    <mergeCell ref="I551:I562"/>
    <mergeCell ref="I515:I526"/>
    <mergeCell ref="H467:H478"/>
    <mergeCell ref="H479:H490"/>
    <mergeCell ref="H491:H502"/>
    <mergeCell ref="H503:H514"/>
    <mergeCell ref="E395:G406"/>
    <mergeCell ref="E407:G418"/>
    <mergeCell ref="B575:D580"/>
    <mergeCell ref="B431:D436"/>
    <mergeCell ref="B617:D622"/>
    <mergeCell ref="B407:D412"/>
    <mergeCell ref="B413:D418"/>
    <mergeCell ref="B419:D424"/>
    <mergeCell ref="B425:D430"/>
    <mergeCell ref="A563:A574"/>
    <mergeCell ref="A635:A646"/>
    <mergeCell ref="B647:D652"/>
    <mergeCell ref="B653:D658"/>
    <mergeCell ref="J455:K458"/>
    <mergeCell ref="J459:K462"/>
    <mergeCell ref="J463:K466"/>
    <mergeCell ref="J467:K470"/>
    <mergeCell ref="J471:K474"/>
    <mergeCell ref="J475:K478"/>
    <mergeCell ref="J479:K482"/>
    <mergeCell ref="J527:K530"/>
    <mergeCell ref="J531:K534"/>
    <mergeCell ref="J535:K538"/>
    <mergeCell ref="A515:A526"/>
    <mergeCell ref="A527:A538"/>
    <mergeCell ref="B461:D466"/>
    <mergeCell ref="B467:D472"/>
    <mergeCell ref="A491:A502"/>
    <mergeCell ref="H527:H538"/>
    <mergeCell ref="J487:K490"/>
    <mergeCell ref="H599:H610"/>
    <mergeCell ref="H515:H526"/>
    <mergeCell ref="J511:K514"/>
    <mergeCell ref="J483:K486"/>
    <mergeCell ref="J555:K558"/>
    <mergeCell ref="J523:K526"/>
    <mergeCell ref="B335:D340"/>
    <mergeCell ref="B341:D346"/>
    <mergeCell ref="B347:D352"/>
    <mergeCell ref="B629:D634"/>
    <mergeCell ref="B443:D448"/>
    <mergeCell ref="B449:D454"/>
    <mergeCell ref="B527:D532"/>
    <mergeCell ref="B533:D538"/>
    <mergeCell ref="B539:D544"/>
    <mergeCell ref="B545:D550"/>
    <mergeCell ref="A431:A442"/>
    <mergeCell ref="A299:A310"/>
    <mergeCell ref="B473:D478"/>
    <mergeCell ref="A647:A658"/>
    <mergeCell ref="N299:N304"/>
    <mergeCell ref="I443:I454"/>
    <mergeCell ref="B551:D556"/>
    <mergeCell ref="B557:D562"/>
    <mergeCell ref="B563:D568"/>
    <mergeCell ref="B569:D574"/>
    <mergeCell ref="B623:D628"/>
    <mergeCell ref="B515:D520"/>
    <mergeCell ref="B521:D526"/>
    <mergeCell ref="I611:I622"/>
    <mergeCell ref="I455:I466"/>
    <mergeCell ref="I395:I406"/>
    <mergeCell ref="H335:H346"/>
    <mergeCell ref="H347:H358"/>
    <mergeCell ref="H359:H370"/>
    <mergeCell ref="A479:A490"/>
    <mergeCell ref="N539:N544"/>
    <mergeCell ref="A611:A622"/>
    <mergeCell ref="B329:D334"/>
    <mergeCell ref="B485:D490"/>
    <mergeCell ref="B491:D496"/>
    <mergeCell ref="B497:D502"/>
    <mergeCell ref="B503:D508"/>
    <mergeCell ref="B509:D514"/>
    <mergeCell ref="B677:D682"/>
    <mergeCell ref="B455:D460"/>
    <mergeCell ref="B593:D598"/>
    <mergeCell ref="B599:D604"/>
    <mergeCell ref="A191:A202"/>
    <mergeCell ref="A203:A214"/>
    <mergeCell ref="A215:A226"/>
    <mergeCell ref="A227:A238"/>
    <mergeCell ref="A623:A634"/>
    <mergeCell ref="A359:A370"/>
    <mergeCell ref="B197:D202"/>
    <mergeCell ref="B659:D664"/>
    <mergeCell ref="B665:D670"/>
    <mergeCell ref="B671:D676"/>
    <mergeCell ref="B479:D484"/>
    <mergeCell ref="B299:D304"/>
    <mergeCell ref="B305:D310"/>
    <mergeCell ref="B311:D316"/>
    <mergeCell ref="B317:D322"/>
    <mergeCell ref="B323:D328"/>
    <mergeCell ref="B635:D640"/>
    <mergeCell ref="B641:D646"/>
    <mergeCell ref="A311:A322"/>
    <mergeCell ref="A323:A334"/>
    <mergeCell ref="A407:A418"/>
    <mergeCell ref="A419:A430"/>
    <mergeCell ref="AB215:AB220"/>
    <mergeCell ref="N209:N214"/>
    <mergeCell ref="A275:A286"/>
    <mergeCell ref="A287:A298"/>
    <mergeCell ref="L395:L400"/>
    <mergeCell ref="B131:D136"/>
    <mergeCell ref="A59:A70"/>
    <mergeCell ref="A659:A670"/>
    <mergeCell ref="A671:A682"/>
    <mergeCell ref="A335:A346"/>
    <mergeCell ref="A347:A358"/>
    <mergeCell ref="A539:A550"/>
    <mergeCell ref="A551:A562"/>
    <mergeCell ref="A239:A250"/>
    <mergeCell ref="A251:A262"/>
    <mergeCell ref="A263:A274"/>
    <mergeCell ref="B71:D76"/>
    <mergeCell ref="B77:D82"/>
    <mergeCell ref="B83:D88"/>
    <mergeCell ref="B203:D208"/>
    <mergeCell ref="B209:D214"/>
    <mergeCell ref="B215:D220"/>
    <mergeCell ref="B221:D226"/>
    <mergeCell ref="B227:D232"/>
    <mergeCell ref="B233:D238"/>
    <mergeCell ref="B137:D142"/>
    <mergeCell ref="B143:D148"/>
    <mergeCell ref="B149:D154"/>
    <mergeCell ref="B155:D160"/>
    <mergeCell ref="A599:A610"/>
    <mergeCell ref="B95:D100"/>
    <mergeCell ref="W203:W208"/>
    <mergeCell ref="AC89:AC94"/>
    <mergeCell ref="B119:D124"/>
    <mergeCell ref="B125:D130"/>
    <mergeCell ref="J35:K38"/>
    <mergeCell ref="J39:K42"/>
    <mergeCell ref="J43:K46"/>
    <mergeCell ref="AB41:AB46"/>
    <mergeCell ref="N185:N190"/>
    <mergeCell ref="W179:W184"/>
    <mergeCell ref="Y149:Y154"/>
    <mergeCell ref="S191:T202"/>
    <mergeCell ref="W125:W130"/>
    <mergeCell ref="W155:W160"/>
    <mergeCell ref="Y155:Y160"/>
    <mergeCell ref="W59:W64"/>
    <mergeCell ref="S95:T106"/>
    <mergeCell ref="P71:P82"/>
    <mergeCell ref="L35:L40"/>
    <mergeCell ref="P35:P46"/>
    <mergeCell ref="Q35:Q46"/>
    <mergeCell ref="M35:M40"/>
    <mergeCell ref="R35:R46"/>
    <mergeCell ref="P179:P190"/>
    <mergeCell ref="J199:K202"/>
    <mergeCell ref="L155:L160"/>
    <mergeCell ref="B101:D106"/>
    <mergeCell ref="W95:W100"/>
    <mergeCell ref="W137:W142"/>
    <mergeCell ref="P191:P202"/>
    <mergeCell ref="AC53:AC58"/>
    <mergeCell ref="AC65:AC70"/>
    <mergeCell ref="U59:U70"/>
    <mergeCell ref="AI41:AJ41"/>
    <mergeCell ref="A35:A46"/>
    <mergeCell ref="A47:A58"/>
    <mergeCell ref="A71:A82"/>
    <mergeCell ref="A83:A94"/>
    <mergeCell ref="A95:A106"/>
    <mergeCell ref="A107:A118"/>
    <mergeCell ref="A119:A130"/>
    <mergeCell ref="A131:A142"/>
    <mergeCell ref="A143:A154"/>
    <mergeCell ref="A155:A166"/>
    <mergeCell ref="AB35:AB40"/>
    <mergeCell ref="Y167:Y172"/>
    <mergeCell ref="Y95:Y100"/>
    <mergeCell ref="N47:N52"/>
    <mergeCell ref="N53:N58"/>
    <mergeCell ref="N59:N64"/>
    <mergeCell ref="Z47:Z52"/>
    <mergeCell ref="AB47:AB52"/>
    <mergeCell ref="S59:T70"/>
    <mergeCell ref="W83:W88"/>
    <mergeCell ref="S83:T94"/>
    <mergeCell ref="Y101:Y106"/>
    <mergeCell ref="AC101:AC106"/>
    <mergeCell ref="AC95:AC100"/>
    <mergeCell ref="Z101:Z106"/>
    <mergeCell ref="Y83:Y88"/>
    <mergeCell ref="W89:W94"/>
    <mergeCell ref="AB83:AB88"/>
    <mergeCell ref="AB89:AB94"/>
    <mergeCell ref="AC83:AC88"/>
    <mergeCell ref="AC47:AC52"/>
    <mergeCell ref="AI42:AJ42"/>
    <mergeCell ref="A167:A178"/>
    <mergeCell ref="A179:A190"/>
    <mergeCell ref="R107:R118"/>
    <mergeCell ref="R119:R130"/>
    <mergeCell ref="R131:R142"/>
    <mergeCell ref="R143:R154"/>
    <mergeCell ref="R155:R166"/>
    <mergeCell ref="R167:R178"/>
    <mergeCell ref="R179:R190"/>
    <mergeCell ref="AI117:AJ117"/>
    <mergeCell ref="L107:L112"/>
    <mergeCell ref="AC137:AC142"/>
    <mergeCell ref="P131:P142"/>
    <mergeCell ref="Q131:Q142"/>
    <mergeCell ref="AB179:AB184"/>
    <mergeCell ref="I95:I106"/>
    <mergeCell ref="I119:I130"/>
    <mergeCell ref="L131:L136"/>
    <mergeCell ref="L83:L88"/>
    <mergeCell ref="J95:K98"/>
    <mergeCell ref="J99:K102"/>
    <mergeCell ref="S71:T82"/>
    <mergeCell ref="M71:M76"/>
    <mergeCell ref="M65:M70"/>
    <mergeCell ref="X131:X142"/>
    <mergeCell ref="N125:N130"/>
    <mergeCell ref="Q107:Q118"/>
    <mergeCell ref="M101:M106"/>
    <mergeCell ref="X83:X94"/>
    <mergeCell ref="Q179:Q190"/>
    <mergeCell ref="Z83:Z88"/>
    <mergeCell ref="N101:N106"/>
    <mergeCell ref="N107:N112"/>
    <mergeCell ref="N113:N118"/>
    <mergeCell ref="Q95:Q106"/>
    <mergeCell ref="M155:M160"/>
    <mergeCell ref="W77:W82"/>
    <mergeCell ref="Y77:Y82"/>
    <mergeCell ref="Q71:Q82"/>
    <mergeCell ref="R83:R94"/>
    <mergeCell ref="R71:R82"/>
    <mergeCell ref="P59:P70"/>
    <mergeCell ref="R95:R106"/>
    <mergeCell ref="Q83:Q94"/>
    <mergeCell ref="Y65:Y70"/>
    <mergeCell ref="U95:U106"/>
    <mergeCell ref="M131:M136"/>
    <mergeCell ref="M83:M88"/>
    <mergeCell ref="M89:M94"/>
    <mergeCell ref="M107:M112"/>
    <mergeCell ref="R59:R70"/>
    <mergeCell ref="U107:U118"/>
    <mergeCell ref="V107:V118"/>
    <mergeCell ref="X107:X118"/>
    <mergeCell ref="N137:N142"/>
    <mergeCell ref="V143:V154"/>
    <mergeCell ref="P83:P94"/>
    <mergeCell ref="V59:V70"/>
    <mergeCell ref="S107:T118"/>
    <mergeCell ref="Q155:Q166"/>
    <mergeCell ref="Q119:Q130"/>
    <mergeCell ref="B161:D166"/>
    <mergeCell ref="B107:D112"/>
    <mergeCell ref="I83:I94"/>
    <mergeCell ref="L101:L106"/>
    <mergeCell ref="AA83:AA94"/>
    <mergeCell ref="W119:W124"/>
    <mergeCell ref="AC143:AC148"/>
    <mergeCell ref="S143:T154"/>
    <mergeCell ref="S155:T166"/>
    <mergeCell ref="AB53:AB58"/>
    <mergeCell ref="AB71:AB76"/>
    <mergeCell ref="S47:T58"/>
    <mergeCell ref="Q143:Q154"/>
    <mergeCell ref="J103:K106"/>
    <mergeCell ref="L77:L82"/>
    <mergeCell ref="M119:M124"/>
    <mergeCell ref="M125:M130"/>
    <mergeCell ref="J107:K110"/>
    <mergeCell ref="J111:K114"/>
    <mergeCell ref="J115:K118"/>
    <mergeCell ref="N83:N88"/>
    <mergeCell ref="N89:N94"/>
    <mergeCell ref="M59:M64"/>
    <mergeCell ref="L53:L58"/>
    <mergeCell ref="L95:L100"/>
    <mergeCell ref="J123:K126"/>
    <mergeCell ref="I155:I166"/>
    <mergeCell ref="P155:P166"/>
    <mergeCell ref="N143:N148"/>
    <mergeCell ref="N131:N136"/>
    <mergeCell ref="M149:M154"/>
    <mergeCell ref="M113:M118"/>
    <mergeCell ref="E179:G190"/>
    <mergeCell ref="L71:L76"/>
    <mergeCell ref="M95:M100"/>
    <mergeCell ref="B113:D118"/>
    <mergeCell ref="N77:N82"/>
    <mergeCell ref="M77:M82"/>
    <mergeCell ref="L137:L142"/>
    <mergeCell ref="M143:M148"/>
    <mergeCell ref="N65:N70"/>
    <mergeCell ref="N71:N76"/>
    <mergeCell ref="N167:N172"/>
    <mergeCell ref="M161:M166"/>
    <mergeCell ref="I71:I82"/>
    <mergeCell ref="E167:G178"/>
    <mergeCell ref="J83:K86"/>
    <mergeCell ref="J87:K90"/>
    <mergeCell ref="J91:K94"/>
    <mergeCell ref="L143:L148"/>
    <mergeCell ref="H155:H166"/>
    <mergeCell ref="H71:H82"/>
    <mergeCell ref="B65:D70"/>
    <mergeCell ref="J147:K150"/>
    <mergeCell ref="L89:L94"/>
    <mergeCell ref="J151:K154"/>
    <mergeCell ref="J135:K138"/>
    <mergeCell ref="L125:L130"/>
    <mergeCell ref="L113:L118"/>
    <mergeCell ref="H83:H94"/>
    <mergeCell ref="N149:N154"/>
    <mergeCell ref="N95:N100"/>
    <mergeCell ref="M137:M142"/>
    <mergeCell ref="B89:D94"/>
    <mergeCell ref="B18:D18"/>
    <mergeCell ref="B167:D172"/>
    <mergeCell ref="B173:D178"/>
    <mergeCell ref="J159:K162"/>
    <mergeCell ref="J163:K166"/>
    <mergeCell ref="J167:K170"/>
    <mergeCell ref="J171:K174"/>
    <mergeCell ref="J175:K178"/>
    <mergeCell ref="J155:K158"/>
    <mergeCell ref="L167:L172"/>
    <mergeCell ref="M167:M172"/>
    <mergeCell ref="L119:L124"/>
    <mergeCell ref="L47:L52"/>
    <mergeCell ref="B185:D190"/>
    <mergeCell ref="B191:D196"/>
    <mergeCell ref="J191:K194"/>
    <mergeCell ref="M197:M202"/>
    <mergeCell ref="M179:M184"/>
    <mergeCell ref="I107:I118"/>
    <mergeCell ref="I131:I142"/>
    <mergeCell ref="H191:H202"/>
    <mergeCell ref="I179:I190"/>
    <mergeCell ref="I191:I202"/>
    <mergeCell ref="M185:M190"/>
    <mergeCell ref="L173:L178"/>
    <mergeCell ref="J119:K122"/>
    <mergeCell ref="H95:H106"/>
    <mergeCell ref="H107:H118"/>
    <mergeCell ref="I167:I178"/>
    <mergeCell ref="J75:K78"/>
    <mergeCell ref="H119:H130"/>
    <mergeCell ref="H131:H142"/>
    <mergeCell ref="E191:G202"/>
    <mergeCell ref="J179:K182"/>
    <mergeCell ref="J183:K186"/>
    <mergeCell ref="J187:K190"/>
    <mergeCell ref="L197:L202"/>
    <mergeCell ref="L179:L184"/>
    <mergeCell ref="E299:G310"/>
    <mergeCell ref="J295:K298"/>
    <mergeCell ref="P167:P178"/>
    <mergeCell ref="B179:D184"/>
    <mergeCell ref="N197:N202"/>
    <mergeCell ref="N191:N196"/>
    <mergeCell ref="M191:M196"/>
    <mergeCell ref="M173:M178"/>
    <mergeCell ref="P227:P238"/>
    <mergeCell ref="N179:N184"/>
    <mergeCell ref="L221:L226"/>
    <mergeCell ref="J215:K218"/>
    <mergeCell ref="J219:K222"/>
    <mergeCell ref="B269:D274"/>
    <mergeCell ref="B275:D280"/>
    <mergeCell ref="B281:D286"/>
    <mergeCell ref="B293:D298"/>
    <mergeCell ref="B287:D292"/>
    <mergeCell ref="L251:L256"/>
    <mergeCell ref="M251:M256"/>
    <mergeCell ref="M275:M280"/>
    <mergeCell ref="N281:N286"/>
    <mergeCell ref="O275:O286"/>
    <mergeCell ref="N275:N280"/>
    <mergeCell ref="N287:N292"/>
    <mergeCell ref="N203:N208"/>
    <mergeCell ref="M209:M214"/>
    <mergeCell ref="N269:N274"/>
    <mergeCell ref="Q263:Q274"/>
    <mergeCell ref="O311:O322"/>
    <mergeCell ref="M287:M292"/>
    <mergeCell ref="M257:M262"/>
    <mergeCell ref="Q227:Q238"/>
    <mergeCell ref="N227:N232"/>
    <mergeCell ref="N233:N238"/>
    <mergeCell ref="N293:N298"/>
    <mergeCell ref="N251:N256"/>
    <mergeCell ref="E203:G214"/>
    <mergeCell ref="E215:G226"/>
    <mergeCell ref="E227:G238"/>
    <mergeCell ref="I227:I238"/>
    <mergeCell ref="L233:L238"/>
    <mergeCell ref="J223:K226"/>
    <mergeCell ref="J227:K230"/>
    <mergeCell ref="L215:L220"/>
    <mergeCell ref="L203:L208"/>
    <mergeCell ref="L227:L232"/>
    <mergeCell ref="M227:M232"/>
    <mergeCell ref="M203:M208"/>
    <mergeCell ref="P239:P250"/>
    <mergeCell ref="L257:L262"/>
    <mergeCell ref="L281:L286"/>
    <mergeCell ref="L275:L280"/>
    <mergeCell ref="L263:L268"/>
    <mergeCell ref="L311:L316"/>
    <mergeCell ref="L305:L310"/>
    <mergeCell ref="Q311:Q322"/>
    <mergeCell ref="N311:N316"/>
    <mergeCell ref="M233:M238"/>
    <mergeCell ref="R263:R274"/>
    <mergeCell ref="M239:M244"/>
    <mergeCell ref="Q287:Q298"/>
    <mergeCell ref="O287:O298"/>
    <mergeCell ref="N257:N262"/>
    <mergeCell ref="M221:M226"/>
    <mergeCell ref="N437:N442"/>
    <mergeCell ref="M449:M454"/>
    <mergeCell ref="N359:N364"/>
    <mergeCell ref="M377:M382"/>
    <mergeCell ref="O371:O382"/>
    <mergeCell ref="M365:M370"/>
    <mergeCell ref="Q407:Q418"/>
    <mergeCell ref="R299:R310"/>
    <mergeCell ref="S347:T358"/>
    <mergeCell ref="S359:T370"/>
    <mergeCell ref="S395:T406"/>
    <mergeCell ref="S371:T382"/>
    <mergeCell ref="R311:R322"/>
    <mergeCell ref="R335:R346"/>
    <mergeCell ref="P383:P394"/>
    <mergeCell ref="N425:N430"/>
    <mergeCell ref="P419:P430"/>
    <mergeCell ref="Q419:Q430"/>
    <mergeCell ref="R443:R454"/>
    <mergeCell ref="Q443:Q454"/>
    <mergeCell ref="R323:R334"/>
    <mergeCell ref="P347:P358"/>
    <mergeCell ref="P371:P382"/>
    <mergeCell ref="M401:M406"/>
    <mergeCell ref="N401:N406"/>
    <mergeCell ref="J387:K390"/>
    <mergeCell ref="J391:K394"/>
    <mergeCell ref="J507:K510"/>
    <mergeCell ref="L365:L370"/>
    <mergeCell ref="Q383:Q394"/>
    <mergeCell ref="R383:R394"/>
    <mergeCell ref="R395:R406"/>
    <mergeCell ref="R407:R418"/>
    <mergeCell ref="Y305:Y310"/>
    <mergeCell ref="AL329:AL334"/>
    <mergeCell ref="AL359:AL364"/>
    <mergeCell ref="W473:W478"/>
    <mergeCell ref="V455:V466"/>
    <mergeCell ref="Q239:Q250"/>
    <mergeCell ref="P251:P262"/>
    <mergeCell ref="Q251:Q262"/>
    <mergeCell ref="R239:R250"/>
    <mergeCell ref="R251:R262"/>
    <mergeCell ref="Y353:Y358"/>
    <mergeCell ref="L437:L442"/>
    <mergeCell ref="P479:P490"/>
    <mergeCell ref="Q479:Q490"/>
    <mergeCell ref="R467:R478"/>
    <mergeCell ref="Z317:Z322"/>
    <mergeCell ref="AL509:AL514"/>
    <mergeCell ref="AL503:AL508"/>
    <mergeCell ref="AI505:AJ505"/>
    <mergeCell ref="AI506:AJ506"/>
    <mergeCell ref="AI507:AJ507"/>
    <mergeCell ref="AD507:AE507"/>
    <mergeCell ref="AD508:AE508"/>
    <mergeCell ref="AD509:AE509"/>
    <mergeCell ref="W311:W316"/>
    <mergeCell ref="E239:G250"/>
    <mergeCell ref="E251:G262"/>
    <mergeCell ref="H251:H262"/>
    <mergeCell ref="R275:R286"/>
    <mergeCell ref="R287:R298"/>
    <mergeCell ref="I239:I250"/>
    <mergeCell ref="Q299:Q310"/>
    <mergeCell ref="N305:N310"/>
    <mergeCell ref="O299:O310"/>
    <mergeCell ref="M281:M286"/>
    <mergeCell ref="H239:H250"/>
    <mergeCell ref="M305:M310"/>
    <mergeCell ref="L245:L250"/>
    <mergeCell ref="M245:M250"/>
    <mergeCell ref="M263:M268"/>
    <mergeCell ref="L269:L274"/>
    <mergeCell ref="M269:M274"/>
    <mergeCell ref="N239:N244"/>
    <mergeCell ref="N245:N250"/>
    <mergeCell ref="E287:G298"/>
    <mergeCell ref="E311:G322"/>
    <mergeCell ref="I251:I262"/>
    <mergeCell ref="P275:P286"/>
    <mergeCell ref="Q275:Q286"/>
    <mergeCell ref="P311:P322"/>
    <mergeCell ref="W305:W310"/>
    <mergeCell ref="H299:H310"/>
    <mergeCell ref="H311:H322"/>
    <mergeCell ref="H263:H274"/>
    <mergeCell ref="L299:L304"/>
    <mergeCell ref="L293:L298"/>
    <mergeCell ref="N35:N40"/>
    <mergeCell ref="N521:N526"/>
    <mergeCell ref="B605:D610"/>
    <mergeCell ref="B611:D616"/>
    <mergeCell ref="ED34:EH34"/>
    <mergeCell ref="DO34:DS34"/>
    <mergeCell ref="DJ34:DN34"/>
    <mergeCell ref="DT34:DX34"/>
    <mergeCell ref="DY34:EC34"/>
    <mergeCell ref="DE34:DI34"/>
    <mergeCell ref="AF395:AH395"/>
    <mergeCell ref="AF396:AH396"/>
    <mergeCell ref="AF397:AH397"/>
    <mergeCell ref="AF398:AH398"/>
    <mergeCell ref="AF399:AH399"/>
    <mergeCell ref="AF400:AH400"/>
    <mergeCell ref="AF401:AH401"/>
    <mergeCell ref="AF402:AH402"/>
    <mergeCell ref="AF403:AH403"/>
    <mergeCell ref="AF404:AH404"/>
    <mergeCell ref="AF405:AH405"/>
    <mergeCell ref="AF373:AH373"/>
    <mergeCell ref="AF374:AH374"/>
    <mergeCell ref="AL41:AL46"/>
    <mergeCell ref="AL137:AL142"/>
    <mergeCell ref="S215:T226"/>
    <mergeCell ref="N407:N412"/>
    <mergeCell ref="L443:L448"/>
    <mergeCell ref="L413:L418"/>
    <mergeCell ref="AL131:AL136"/>
    <mergeCell ref="AL317:AL322"/>
    <mergeCell ref="Y473:Y478"/>
    <mergeCell ref="N689:N694"/>
    <mergeCell ref="O35:O46"/>
    <mergeCell ref="O47:O58"/>
    <mergeCell ref="O59:O70"/>
    <mergeCell ref="O71:O82"/>
    <mergeCell ref="O83:O94"/>
    <mergeCell ref="O95:O106"/>
    <mergeCell ref="O107:O118"/>
    <mergeCell ref="O119:O130"/>
    <mergeCell ref="O131:O142"/>
    <mergeCell ref="O143:O154"/>
    <mergeCell ref="O155:O166"/>
    <mergeCell ref="O167:O178"/>
    <mergeCell ref="O179:O190"/>
    <mergeCell ref="O191:O202"/>
    <mergeCell ref="O203:O214"/>
    <mergeCell ref="O215:O226"/>
    <mergeCell ref="O227:O238"/>
    <mergeCell ref="O239:O250"/>
    <mergeCell ref="O251:O262"/>
    <mergeCell ref="O263:O274"/>
    <mergeCell ref="N659:N664"/>
    <mergeCell ref="N551:N556"/>
    <mergeCell ref="N155:N160"/>
    <mergeCell ref="N161:N166"/>
    <mergeCell ref="N527:N532"/>
    <mergeCell ref="N371:N376"/>
    <mergeCell ref="N587:N592"/>
    <mergeCell ref="N509:N514"/>
    <mergeCell ref="N515:N520"/>
    <mergeCell ref="N671:N676"/>
    <mergeCell ref="N677:N682"/>
    <mergeCell ref="DE21:EH33"/>
    <mergeCell ref="O659:O670"/>
    <mergeCell ref="O671:O682"/>
    <mergeCell ref="CA21:DD33"/>
    <mergeCell ref="O395:O406"/>
    <mergeCell ref="O407:O418"/>
    <mergeCell ref="O419:O430"/>
    <mergeCell ref="O431:O442"/>
    <mergeCell ref="O443:O454"/>
    <mergeCell ref="O455:O466"/>
    <mergeCell ref="O467:O478"/>
    <mergeCell ref="O479:O490"/>
    <mergeCell ref="O491:O502"/>
    <mergeCell ref="O503:O514"/>
    <mergeCell ref="O515:O526"/>
    <mergeCell ref="O527:O538"/>
    <mergeCell ref="O587:O598"/>
    <mergeCell ref="Z35:Z40"/>
    <mergeCell ref="Z77:Z82"/>
    <mergeCell ref="Z65:Z70"/>
    <mergeCell ref="Y131:Y136"/>
    <mergeCell ref="Z203:Z208"/>
    <mergeCell ref="Z677:Z682"/>
    <mergeCell ref="AL347:AL352"/>
    <mergeCell ref="Z659:Z664"/>
    <mergeCell ref="Z665:Z670"/>
    <mergeCell ref="W677:W682"/>
    <mergeCell ref="Y677:Y682"/>
    <mergeCell ref="Y509:Y514"/>
    <mergeCell ref="W509:W514"/>
    <mergeCell ref="U575:U586"/>
    <mergeCell ref="S659:T670"/>
    <mergeCell ref="S539:T550"/>
    <mergeCell ref="S587:T598"/>
    <mergeCell ref="S599:T610"/>
    <mergeCell ref="S611:T622"/>
    <mergeCell ref="R587:R598"/>
    <mergeCell ref="Y623:Y628"/>
    <mergeCell ref="Q611:Q622"/>
    <mergeCell ref="P635:P646"/>
    <mergeCell ref="Z605:Z610"/>
    <mergeCell ref="W635:W640"/>
    <mergeCell ref="P647:P658"/>
    <mergeCell ref="Q647:Q658"/>
    <mergeCell ref="O647:O658"/>
    <mergeCell ref="Z611:Z616"/>
    <mergeCell ref="Z617:Z622"/>
    <mergeCell ref="Z623:Z628"/>
    <mergeCell ref="R599:R610"/>
    <mergeCell ref="P563:P574"/>
    <mergeCell ref="Q563:Q574"/>
    <mergeCell ref="R563:R574"/>
    <mergeCell ref="Y539:Y544"/>
    <mergeCell ref="R539:R550"/>
    <mergeCell ref="Q551:Q562"/>
    <mergeCell ref="W605:W610"/>
    <mergeCell ref="Z575:Z580"/>
    <mergeCell ref="Y575:Y580"/>
    <mergeCell ref="U551:U562"/>
    <mergeCell ref="V551:V562"/>
    <mergeCell ref="X551:X562"/>
    <mergeCell ref="J663:K666"/>
    <mergeCell ref="J667:K670"/>
    <mergeCell ref="L587:L592"/>
    <mergeCell ref="Z671:Z676"/>
    <mergeCell ref="Y641:Y646"/>
    <mergeCell ref="Y665:Y670"/>
    <mergeCell ref="Y635:Y640"/>
    <mergeCell ref="Y647:Y652"/>
    <mergeCell ref="W659:W664"/>
    <mergeCell ref="Z533:Z538"/>
    <mergeCell ref="Z539:Z544"/>
    <mergeCell ref="Z545:Z550"/>
    <mergeCell ref="Z551:Z556"/>
    <mergeCell ref="W629:W634"/>
    <mergeCell ref="Y617:Y622"/>
    <mergeCell ref="Z587:Z592"/>
    <mergeCell ref="Y599:Y604"/>
    <mergeCell ref="W551:W556"/>
    <mergeCell ref="U671:U682"/>
    <mergeCell ref="V671:V682"/>
    <mergeCell ref="X671:X682"/>
    <mergeCell ref="W557:W562"/>
    <mergeCell ref="W569:W574"/>
    <mergeCell ref="W539:W544"/>
    <mergeCell ref="J671:K674"/>
    <mergeCell ref="J675:K678"/>
    <mergeCell ref="J679:K682"/>
    <mergeCell ref="J571:K574"/>
    <mergeCell ref="J575:K578"/>
    <mergeCell ref="J579:K582"/>
    <mergeCell ref="J583:K586"/>
    <mergeCell ref="J587:K590"/>
    <mergeCell ref="J647:K650"/>
    <mergeCell ref="J651:K654"/>
    <mergeCell ref="J655:K658"/>
    <mergeCell ref="J659:K662"/>
    <mergeCell ref="B16:D16"/>
    <mergeCell ref="E16:H16"/>
    <mergeCell ref="M15:N15"/>
    <mergeCell ref="AC11:AE12"/>
    <mergeCell ref="AC13:AD14"/>
    <mergeCell ref="J327:K330"/>
    <mergeCell ref="J299:K302"/>
    <mergeCell ref="J303:K306"/>
    <mergeCell ref="J347:K350"/>
    <mergeCell ref="J351:K354"/>
    <mergeCell ref="J331:K334"/>
    <mergeCell ref="J335:K338"/>
    <mergeCell ref="J339:K342"/>
    <mergeCell ref="J343:K346"/>
    <mergeCell ref="J355:K358"/>
    <mergeCell ref="J395:K398"/>
    <mergeCell ref="J399:K402"/>
    <mergeCell ref="P263:P274"/>
    <mergeCell ref="I263:I274"/>
    <mergeCell ref="P287:P298"/>
    <mergeCell ref="E275:G286"/>
    <mergeCell ref="M311:M316"/>
    <mergeCell ref="L209:L214"/>
    <mergeCell ref="J203:K206"/>
    <mergeCell ref="J207:K210"/>
    <mergeCell ref="J71:K74"/>
    <mergeCell ref="S251:T262"/>
    <mergeCell ref="B239:D244"/>
    <mergeCell ref="B245:D250"/>
    <mergeCell ref="B251:D256"/>
    <mergeCell ref="B257:D262"/>
    <mergeCell ref="B263:D268"/>
    <mergeCell ref="W275:W280"/>
    <mergeCell ref="Z299:Z304"/>
    <mergeCell ref="W299:W304"/>
    <mergeCell ref="Z251:Z256"/>
    <mergeCell ref="U143:U154"/>
    <mergeCell ref="BG30:BR33"/>
    <mergeCell ref="J11:J12"/>
    <mergeCell ref="AU30:BF33"/>
    <mergeCell ref="K12:L12"/>
    <mergeCell ref="M12:N12"/>
    <mergeCell ref="K13:L13"/>
    <mergeCell ref="K14:L14"/>
    <mergeCell ref="K16:L16"/>
    <mergeCell ref="K17:L17"/>
    <mergeCell ref="M14:N14"/>
    <mergeCell ref="U12:V12"/>
    <mergeCell ref="U29:V29"/>
    <mergeCell ref="L27:N27"/>
    <mergeCell ref="U21:V21"/>
    <mergeCell ref="O14:P14"/>
    <mergeCell ref="O15:P15"/>
    <mergeCell ref="AD24:AD25"/>
    <mergeCell ref="AD26:AD27"/>
    <mergeCell ref="AH22:AH23"/>
    <mergeCell ref="AH24:AH25"/>
    <mergeCell ref="AH26:AH27"/>
    <mergeCell ref="B28:R28"/>
    <mergeCell ref="B29:R29"/>
    <mergeCell ref="K11:N11"/>
    <mergeCell ref="M17:N17"/>
    <mergeCell ref="AC22:AC31"/>
    <mergeCell ref="U215:U226"/>
    <mergeCell ref="V215:V226"/>
    <mergeCell ref="X215:X226"/>
    <mergeCell ref="Z209:Z214"/>
    <mergeCell ref="Z215:Z220"/>
    <mergeCell ref="W143:W148"/>
    <mergeCell ref="AA215:AA226"/>
    <mergeCell ref="AC4:AE4"/>
    <mergeCell ref="J307:K310"/>
    <mergeCell ref="J311:K314"/>
    <mergeCell ref="J315:K318"/>
    <mergeCell ref="J319:K322"/>
    <mergeCell ref="J323:K326"/>
    <mergeCell ref="J283:K286"/>
    <mergeCell ref="J287:K290"/>
    <mergeCell ref="J291:K294"/>
    <mergeCell ref="Y215:Y220"/>
    <mergeCell ref="Z245:Z250"/>
    <mergeCell ref="AD28:AD29"/>
    <mergeCell ref="AD30:AD31"/>
    <mergeCell ref="AE24:AE25"/>
    <mergeCell ref="AE26:AE27"/>
    <mergeCell ref="AE28:AE29"/>
    <mergeCell ref="AE30:AE31"/>
    <mergeCell ref="M299:M304"/>
    <mergeCell ref="AA35:AA46"/>
    <mergeCell ref="U47:U58"/>
    <mergeCell ref="V47:V58"/>
    <mergeCell ref="X47:X58"/>
    <mergeCell ref="U83:U94"/>
    <mergeCell ref="V83:V94"/>
    <mergeCell ref="U35:U46"/>
    <mergeCell ref="V35:V46"/>
    <mergeCell ref="X35:X46"/>
    <mergeCell ref="Z71:Z76"/>
    <mergeCell ref="Z89:Z94"/>
    <mergeCell ref="U119:U130"/>
    <mergeCell ref="V119:V130"/>
    <mergeCell ref="X119:X130"/>
    <mergeCell ref="AA119:AA130"/>
    <mergeCell ref="W47:W52"/>
    <mergeCell ref="Y53:Y58"/>
    <mergeCell ref="X95:X106"/>
    <mergeCell ref="AA59:AA70"/>
    <mergeCell ref="U71:U82"/>
    <mergeCell ref="X143:X154"/>
    <mergeCell ref="Y137:Y142"/>
    <mergeCell ref="Y107:Y112"/>
    <mergeCell ref="Y143:Y148"/>
    <mergeCell ref="Z95:Z100"/>
    <mergeCell ref="AA47:AA58"/>
    <mergeCell ref="X59:X70"/>
    <mergeCell ref="V71:V82"/>
    <mergeCell ref="X71:X82"/>
    <mergeCell ref="AA71:AA82"/>
    <mergeCell ref="Y41:Y46"/>
    <mergeCell ref="W35:W40"/>
    <mergeCell ref="Y35:Y40"/>
    <mergeCell ref="V95:V106"/>
    <mergeCell ref="Z131:Z136"/>
    <mergeCell ref="Y125:Y130"/>
    <mergeCell ref="U155:U166"/>
    <mergeCell ref="V155:V166"/>
    <mergeCell ref="X155:X166"/>
    <mergeCell ref="W221:W226"/>
    <mergeCell ref="AA191:AA202"/>
    <mergeCell ref="Y191:Y196"/>
    <mergeCell ref="U203:U214"/>
    <mergeCell ref="AA203:AA214"/>
    <mergeCell ref="AA227:AA238"/>
    <mergeCell ref="U239:U250"/>
    <mergeCell ref="V239:V250"/>
    <mergeCell ref="X239:X250"/>
    <mergeCell ref="AA239:AA250"/>
    <mergeCell ref="AA167:AA178"/>
    <mergeCell ref="U179:U190"/>
    <mergeCell ref="V179:V190"/>
    <mergeCell ref="X179:X190"/>
    <mergeCell ref="AA179:AA190"/>
    <mergeCell ref="Z179:Z184"/>
    <mergeCell ref="V203:V214"/>
    <mergeCell ref="X203:X214"/>
    <mergeCell ref="W161:W166"/>
    <mergeCell ref="W197:W202"/>
    <mergeCell ref="Y185:Y190"/>
    <mergeCell ref="Y161:Y166"/>
    <mergeCell ref="W185:W190"/>
    <mergeCell ref="Y179:Y184"/>
    <mergeCell ref="Y221:Y226"/>
    <mergeCell ref="Z185:Z190"/>
    <mergeCell ref="Y209:Y214"/>
    <mergeCell ref="W209:W214"/>
    <mergeCell ref="Z167:Z172"/>
    <mergeCell ref="Z197:Z202"/>
    <mergeCell ref="Y275:Y280"/>
    <mergeCell ref="Z287:Z292"/>
    <mergeCell ref="Z281:Z286"/>
    <mergeCell ref="Y245:Y250"/>
    <mergeCell ref="W263:W268"/>
    <mergeCell ref="U251:U262"/>
    <mergeCell ref="V251:V262"/>
    <mergeCell ref="X251:X262"/>
    <mergeCell ref="AA251:AA262"/>
    <mergeCell ref="U263:U274"/>
    <mergeCell ref="V263:V274"/>
    <mergeCell ref="X263:X274"/>
    <mergeCell ref="AA263:AA274"/>
    <mergeCell ref="Y227:Y232"/>
    <mergeCell ref="Z233:Z238"/>
    <mergeCell ref="W239:W244"/>
    <mergeCell ref="Y233:Y238"/>
    <mergeCell ref="W233:W238"/>
    <mergeCell ref="Z239:Z244"/>
    <mergeCell ref="Z257:Z262"/>
    <mergeCell ref="Y263:Y268"/>
    <mergeCell ref="W257:W262"/>
    <mergeCell ref="Y257:Y262"/>
    <mergeCell ref="Z263:Z268"/>
    <mergeCell ref="Z269:Z274"/>
    <mergeCell ref="Y239:Y244"/>
    <mergeCell ref="Y269:Y274"/>
    <mergeCell ref="Z227:Z232"/>
    <mergeCell ref="Y251:Y256"/>
    <mergeCell ref="U227:U238"/>
    <mergeCell ref="V227:V238"/>
    <mergeCell ref="X227:X238"/>
    <mergeCell ref="U311:U322"/>
    <mergeCell ref="V311:V322"/>
    <mergeCell ref="X311:X322"/>
    <mergeCell ref="AA311:AA322"/>
    <mergeCell ref="U323:U334"/>
    <mergeCell ref="V323:V334"/>
    <mergeCell ref="X323:X334"/>
    <mergeCell ref="AA323:AA334"/>
    <mergeCell ref="Z305:Z310"/>
    <mergeCell ref="W329:W334"/>
    <mergeCell ref="Z323:Z328"/>
    <mergeCell ref="W317:W322"/>
    <mergeCell ref="Y317:Y322"/>
    <mergeCell ref="Z329:Z334"/>
    <mergeCell ref="W281:W286"/>
    <mergeCell ref="Y281:Y286"/>
    <mergeCell ref="Y287:Y292"/>
    <mergeCell ref="Y329:Y334"/>
    <mergeCell ref="Z311:Z316"/>
    <mergeCell ref="U275:U286"/>
    <mergeCell ref="V275:V286"/>
    <mergeCell ref="X275:X286"/>
    <mergeCell ref="AA275:AA286"/>
    <mergeCell ref="U287:U298"/>
    <mergeCell ref="V287:V298"/>
    <mergeCell ref="X287:X298"/>
    <mergeCell ref="AA287:AA298"/>
    <mergeCell ref="U299:U310"/>
    <mergeCell ref="V299:V310"/>
    <mergeCell ref="X299:X310"/>
    <mergeCell ref="AA299:AA310"/>
    <mergeCell ref="Z443:Z448"/>
    <mergeCell ref="W449:W454"/>
    <mergeCell ref="Y449:Y454"/>
    <mergeCell ref="W431:W436"/>
    <mergeCell ref="Z425:Z430"/>
    <mergeCell ref="X467:X478"/>
    <mergeCell ref="AA467:AA478"/>
    <mergeCell ref="U479:U490"/>
    <mergeCell ref="V479:V490"/>
    <mergeCell ref="X479:X490"/>
    <mergeCell ref="AA479:AA490"/>
    <mergeCell ref="U455:U466"/>
    <mergeCell ref="Z455:Z460"/>
    <mergeCell ref="Z461:Z466"/>
    <mergeCell ref="Z467:Z472"/>
    <mergeCell ref="Z473:Z478"/>
    <mergeCell ref="W455:W460"/>
    <mergeCell ref="W467:W472"/>
    <mergeCell ref="Y467:Y472"/>
    <mergeCell ref="BX256:BY256"/>
    <mergeCell ref="BX268:BY268"/>
    <mergeCell ref="AA515:AA526"/>
    <mergeCell ref="U527:U538"/>
    <mergeCell ref="V527:V538"/>
    <mergeCell ref="X527:X538"/>
    <mergeCell ref="AA527:AA538"/>
    <mergeCell ref="U539:U550"/>
    <mergeCell ref="V539:V550"/>
    <mergeCell ref="X539:X550"/>
    <mergeCell ref="AA539:AA550"/>
    <mergeCell ref="BX280:BY280"/>
    <mergeCell ref="BX292:BY292"/>
    <mergeCell ref="BX304:BY304"/>
    <mergeCell ref="BX316:BY316"/>
    <mergeCell ref="BX328:BY328"/>
    <mergeCell ref="BX340:BY340"/>
    <mergeCell ref="BX352:BY352"/>
    <mergeCell ref="BX364:BY364"/>
    <mergeCell ref="BX376:BY376"/>
    <mergeCell ref="BX388:BY388"/>
    <mergeCell ref="BX400:BY400"/>
    <mergeCell ref="BX412:BY412"/>
    <mergeCell ref="V443:V454"/>
    <mergeCell ref="X443:X454"/>
    <mergeCell ref="AA443:AA454"/>
    <mergeCell ref="Y419:Y424"/>
    <mergeCell ref="W425:W430"/>
    <mergeCell ref="Y425:Y430"/>
    <mergeCell ref="Z437:Z442"/>
    <mergeCell ref="Z449:Z454"/>
    <mergeCell ref="Z431:Z436"/>
    <mergeCell ref="Y551:Y556"/>
    <mergeCell ref="Z563:Z568"/>
    <mergeCell ref="Y557:Y562"/>
    <mergeCell ref="Y569:Y574"/>
    <mergeCell ref="Y545:Y550"/>
    <mergeCell ref="U515:U526"/>
    <mergeCell ref="V515:V526"/>
    <mergeCell ref="X515:X526"/>
    <mergeCell ref="AA455:AA466"/>
    <mergeCell ref="U467:U478"/>
    <mergeCell ref="V467:V478"/>
    <mergeCell ref="Z491:Z496"/>
    <mergeCell ref="Y455:Y460"/>
    <mergeCell ref="Z479:Z484"/>
    <mergeCell ref="Y461:Y466"/>
    <mergeCell ref="W485:W490"/>
    <mergeCell ref="Y485:Y490"/>
    <mergeCell ref="W461:W466"/>
    <mergeCell ref="W491:W496"/>
    <mergeCell ref="Y491:Y496"/>
    <mergeCell ref="V599:V610"/>
    <mergeCell ref="X599:X610"/>
    <mergeCell ref="AA599:AA610"/>
    <mergeCell ref="U611:U622"/>
    <mergeCell ref="V611:V622"/>
    <mergeCell ref="X611:X622"/>
    <mergeCell ref="AA611:AA622"/>
    <mergeCell ref="BX40:BY40"/>
    <mergeCell ref="BX52:BY52"/>
    <mergeCell ref="BX64:BY64"/>
    <mergeCell ref="BX76:BY76"/>
    <mergeCell ref="BX88:BY88"/>
    <mergeCell ref="BX100:BY100"/>
    <mergeCell ref="BX112:BY112"/>
    <mergeCell ref="BX124:BY124"/>
    <mergeCell ref="BX136:BY136"/>
    <mergeCell ref="BX148:BY148"/>
    <mergeCell ref="BX160:BY160"/>
    <mergeCell ref="BX172:BY172"/>
    <mergeCell ref="BX184:BY184"/>
    <mergeCell ref="BX196:BY196"/>
    <mergeCell ref="BX208:BY208"/>
    <mergeCell ref="BX220:BY220"/>
    <mergeCell ref="BX232:BY232"/>
    <mergeCell ref="BX244:BY244"/>
    <mergeCell ref="AA551:AA562"/>
    <mergeCell ref="U563:U574"/>
    <mergeCell ref="V563:V574"/>
    <mergeCell ref="X563:X574"/>
    <mergeCell ref="AA563:AA574"/>
    <mergeCell ref="Z521:Z526"/>
    <mergeCell ref="W515:W520"/>
    <mergeCell ref="AG18:AH18"/>
    <mergeCell ref="AG19:AH19"/>
    <mergeCell ref="L31:N32"/>
    <mergeCell ref="X16:AA16"/>
    <mergeCell ref="X23:AA23"/>
    <mergeCell ref="BX424:BY424"/>
    <mergeCell ref="BX640:BY640"/>
    <mergeCell ref="BX652:BY652"/>
    <mergeCell ref="BX664:BY664"/>
    <mergeCell ref="BX676:BY676"/>
    <mergeCell ref="BX436:BY436"/>
    <mergeCell ref="BX448:BY448"/>
    <mergeCell ref="BX460:BY460"/>
    <mergeCell ref="BX472:BY472"/>
    <mergeCell ref="BX484:BY484"/>
    <mergeCell ref="BX496:BY496"/>
    <mergeCell ref="BX508:BY508"/>
    <mergeCell ref="BX520:BY520"/>
    <mergeCell ref="BX532:BY532"/>
    <mergeCell ref="BX544:BY544"/>
    <mergeCell ref="BX556:BY556"/>
    <mergeCell ref="BX568:BY568"/>
    <mergeCell ref="BX580:BY580"/>
    <mergeCell ref="BX592:BY592"/>
    <mergeCell ref="BX604:BY604"/>
    <mergeCell ref="BX616:BY616"/>
    <mergeCell ref="BX628:BY628"/>
    <mergeCell ref="U587:U598"/>
    <mergeCell ref="V587:V598"/>
    <mergeCell ref="X587:X598"/>
    <mergeCell ref="AA587:AA598"/>
    <mergeCell ref="U599:U610"/>
  </mergeCells>
  <phoneticPr fontId="11" type="noConversion"/>
  <conditionalFormatting sqref="E14:F14">
    <cfRule type="expression" dxfId="23" priority="304">
      <formula>$E$10="ASCE 7-05"</formula>
    </cfRule>
  </conditionalFormatting>
  <conditionalFormatting sqref="H14">
    <cfRule type="expression" dxfId="22" priority="303">
      <formula>$E$10="ASCE 7-05"</formula>
    </cfRule>
  </conditionalFormatting>
  <conditionalFormatting sqref="J39 J135 J147 J159 J171 J183 J195 J207 J219 J231 J243 J255 J267 J279 J291 J303 J315 J327 J339 J351 J363 J375 J387 J399 J411 J423 J435 J447 J459 J471 J483 J495 J507 J519 J531 J543 J555 J567 J579 J591 J603 J615 J627 J639 J651 J663 J675">
    <cfRule type="expression" dxfId="21" priority="37">
      <formula>$BZ35=0</formula>
    </cfRule>
  </conditionalFormatting>
  <conditionalFormatting sqref="J51">
    <cfRule type="expression" dxfId="20" priority="1">
      <formula>$BZ47=0</formula>
    </cfRule>
  </conditionalFormatting>
  <conditionalFormatting sqref="J63">
    <cfRule type="expression" dxfId="19" priority="5">
      <formula>$BZ59=0</formula>
    </cfRule>
  </conditionalFormatting>
  <conditionalFormatting sqref="J75">
    <cfRule type="expression" dxfId="18" priority="9">
      <formula>$BZ71=0</formula>
    </cfRule>
  </conditionalFormatting>
  <conditionalFormatting sqref="J87">
    <cfRule type="expression" dxfId="17" priority="22">
      <formula>$BZ83=0</formula>
    </cfRule>
  </conditionalFormatting>
  <conditionalFormatting sqref="J99">
    <cfRule type="expression" dxfId="16" priority="21">
      <formula>$BZ95=0</formula>
    </cfRule>
  </conditionalFormatting>
  <conditionalFormatting sqref="J111">
    <cfRule type="expression" dxfId="15" priority="20">
      <formula>$BZ107=0</formula>
    </cfRule>
  </conditionalFormatting>
  <conditionalFormatting sqref="J123">
    <cfRule type="expression" dxfId="14" priority="19">
      <formula>$BZ119=0</formula>
    </cfRule>
  </conditionalFormatting>
  <conditionalFormatting sqref="AD36:AE36">
    <cfRule type="expression" dxfId="13" priority="16">
      <formula>IF(ISBLANK(AD36)=TRUE,TRUE,FALSE)</formula>
    </cfRule>
  </conditionalFormatting>
  <conditionalFormatting sqref="AD48:AE48 AD60:AE60 AD72:AE72 AD84:AE84 AD96:AE96 AD108:AE108 AD120:AE120 AD132:AE132 AD144:AE144 AD156:AE156 AD168:AE168 AD180:AE180 AD192:AE192 AD204:AE204 AD216:AE216 AD228:AE228 AD240:AE240 AD252:AE252 AD264:AE264 AD276:AE276 AD288:AE288 AD300:AE300 AD312:AE312 AD324:AE324 AD336:AE336 AD348:AE348 AD360:AE360 AD372:AE372 AD384:AE384 AD396:AE396 AD408:AE408 AD420:AE420 AD432:AE432 AD444:AE444 AD456:AE456 AD468:AE468 AD480:AE480 AD492:AE492 AD504:AE504 AD516:AE516 AD528:AE528 AD540:AE540 AD552:AE552 AD564:AE564 AD576:AE576 AD588:AE588 AD600:AE600 AD612:AE612 AD624:AE624 AD636:AE636 AD648:AE648 AD660:AE660 AD672:AE672">
    <cfRule type="expression" dxfId="12" priority="3">
      <formula>IF(ISBLANK(AD48)=TRUE,TRUE,FALSE)</formula>
    </cfRule>
  </conditionalFormatting>
  <conditionalFormatting sqref="AF35:AF682">
    <cfRule type="expression" dxfId="11" priority="44">
      <formula>$BV35=0</formula>
    </cfRule>
  </conditionalFormatting>
  <conditionalFormatting sqref="AI35:AI682">
    <cfRule type="expression" dxfId="10" priority="77">
      <formula>$CI35=0</formula>
    </cfRule>
  </conditionalFormatting>
  <conditionalFormatting sqref="AI35:AJ682">
    <cfRule type="expression" dxfId="9" priority="76">
      <formula>$BS35=2</formula>
    </cfRule>
  </conditionalFormatting>
  <dataValidations xWindow="1084" yWindow="573" count="35">
    <dataValidation type="list" allowBlank="1" showInputMessage="1" showErrorMessage="1" sqref="E13:G13" xr:uid="{47828FA6-E209-4C05-B8F5-228F4E5807E1}">
      <formula1>Classification</formula1>
    </dataValidation>
    <dataValidation type="list" allowBlank="1" showInputMessage="1" showErrorMessage="1" sqref="AF53:AH53 AF41 AF65:AH65 AF77:AH77 AF89:AH89 AF101:AH101 AF113:AH113 AF125:AH125 AF137:AH137 AF149:AH149 AF161:AH161 AF173:AH173 AF185:AH185 AF197:AH197 AF209:AH209 AF221:AH221 AF233:AH233 AF245:AH245 AF257:AH257 AF269:AH269 AF281:AH281 AF293:AH293 AF305:AH305 AF317:AH317 AF329:AH329 AF341:AH341 AF353:AH353 AF365:AH365 AF377:AH377 AF389:AH389 AF401:AH401 AF413:AH413 AF425:AH425 AF437:AH437 AF449:AH449 AF461:AH461 AF473:AH473 AF485:AH485 AF497:AH497 AF509:AH509 AF521:AH521 AF533:AH533 AF545:AH545 AF557:AH557 AF569:AH569 AF581:AH581 AF593:AH593 AF605:AH605 AF617:AH617 AF629:AH629 AF641:AH641 AF653:AH653 AF665:AH665 AF677:AH677" xr:uid="{CD580AAC-E00B-47CD-B693-7072120A1FF5}">
      <formula1>$DI35:$DI46</formula1>
    </dataValidation>
    <dataValidation type="list" allowBlank="1" showInputMessage="1" showErrorMessage="1" sqref="AF55:AH55 AF43 AF67:AH67 AF79:AH79 AF91:AH91 AF103:AH103 AF115:AH115 AF127:AH127 AF139:AH139 AF151:AH151 AF163:AH163 AF175:AH175 AF187:AH187 AF199:AH199 AF211:AH211 AF223:AH223 AF235:AH235 AF247:AH247 AF259:AH259 AF271:AH271 AF283:AH283 AF295:AH295 AF307:AH307 AF319:AH319 AF331:AH331 AF343:AH343 AF355:AH355 AF367:AH367 AF379:AH379 AF391:AH391 AF403:AH403 AF415:AH415 AF427:AH427 AF439:AH439 AF451:AH451 AF463:AH463 AF475:AH475 AF487:AH487 AF499:AH499 AF511:AH511 AF523:AH523 AF535:AH535 AF547:AH547 AF559:AH559 AF571:AH571 AF583:AH583 AF595:AH595 AF607:AH607 AF619:AH619 AF631:AH631 AF643:AH643 AF655:AH655 AF667:AH667 AF679:AH679" xr:uid="{51339EBD-77DF-43CD-B427-B97844773637}">
      <formula1>$DS35:$DS46</formula1>
    </dataValidation>
    <dataValidation type="list" allowBlank="1" showInputMessage="1" showErrorMessage="1" sqref="J35:K38 J671:K674 J119:K122 J347:K350 J59:K62 J659:K662 J71:K74 J107:K110 J131:K134 J143:K146 J155:K158 J95:K98 J167:K170 J179:K182 J191:K194 J215:K218 J203:K206 J239:K242 J227:K230 J251:K254 J263:K266 J275:K278 J287:K290 J299:K302 J311:K314 J323:K326 J335:K338 J359:K362 J371:K374 J383:K386 J395:K398 J407:K410 J419:K422 J431:K434 J443:K446 J455:K458 J467:K470 J479:K482 J491:K494 J503:K506 J515:K518 J527:K530 J539:K542 J551:K554 J563:K566 J575:K578 J587:K590 J599:K602 J611:K614 J623:K626 J635:K638 J647:K650 J83:K86 J47:K50" xr:uid="{354190F2-3DE9-4D96-AFF1-9A58FE7FF7EE}">
      <formula1>Products</formula1>
    </dataValidation>
    <dataValidation type="list" allowBlank="1" showInputMessage="1" showErrorMessage="1" sqref="AF56:AH56 AF44 AF68:AH68 AF80:AH80 AF92:AH92 AF104:AH104 AF116:AH116 AF128:AH128 AF140:AH140 AF152:AH152 AF164:AH164 AF176:AH176 AF188:AH188 AF200:AH200 AF212:AH212 AF224:AH224 AF236:AH236 AF248:AH248 AF260:AH260 AF272:AH272 AF680:AH680 AF284:AH284 AF296:AH296 AF320:AH320 AF332:AH332 AF326:AH326 AF344:AH344 AF368:AH368 AF380:AH380 AF392:AH392 AF404:AH404 AF416:AH416 AF428:AH428 AF440:AH440 AF452:AH452 AF464:AH464 AF476:AH476 AF488:AH488 AF500:AH500 AF512:AH512 AF524:AH524 AF536:AH536 AF548:AH548 AF560:AH560 AF572:AH572 AF584:AH584 AF596:AH596 AF608:AH608 AF620:AH620 AF632:AH632 AF644:AH644 AF656:AH656 AF668:AH668 AF308:AH308 AF314:AH314 AF356:AH356" xr:uid="{ECA7EA87-E148-4FA8-917A-5CBE41B149F1}">
      <formula1>$DX35:$DX46</formula1>
    </dataValidation>
    <dataValidation type="list" allowBlank="1" showInputMessage="1" showErrorMessage="1" sqref="AF49:AH49 AF37 AF61:AH61 AF73:AH73 AF85:AH85 AF97:AH97 AF109:AH109 AF121:AH121 AF133:AH133 AF145:AH145 AF157:AH157 AF169:AH169 AF181:AH181 AF193:AH193 AF205:AH205 AF217:AH217 AF229:AH229 AF241:AH241 AF253:AH253 AF265:AH265 AF277:AH277 AF289:AH289 AF301:AH301 AF313:AH313 AF325:AH325 AF337:AH337 AF349:AH349 AF361:AH361 AF373:AH373 AF385:AH385 AF397:AH397 AF409:AH409 AF421:AH421 AF433:AH433 AF445:AH445 AF457:AH457 AF469:AH469 AF481:AH481 AF493:AH493 AF505:AH505 AF517:AH517 AF529:AH529 AF541:AH541 AF553:AH553 AF565:AH565 AF577:AH577 AF589:AH589 AF601:AH601 AF613:AH613 AF625:AH625 AF637:AH637 AF649:AH649 AF661:AH661 AF673:AH673" xr:uid="{E919FB9A-C306-4649-B657-DAE2BA1D38C5}">
      <formula1>$CO35:$CO46</formula1>
    </dataValidation>
    <dataValidation type="list" allowBlank="1" showInputMessage="1" showErrorMessage="1" sqref="AF50:AH50 AF38 AF62:AH62 AF74:AH74 AF86:AH86 AF98:AH98 AF110:AH110 AF122:AH122 AF134:AH134 AF146:AH146 AF158:AH158 AF170:AH170 AF182:AH182 AF194:AH194 AF206:AH206 AF218:AH218 AF230:AH230 AF242:AH242 AF254:AH254 AF266:AH266 AF278:AH278 AF290:AH290 AF302:AH302 AF674:AH674 AF662:AH662 AF338:AH338 AF350:AH350 AF362:AH362 AF374:AH374 AF386:AH386 AF398:AH398 AF410:AH410 AF422:AH422 AF434:AH434 AF446:AH446 AF458:AH458 AF470:AH470 AF482:AH482 AF494:AH494 AF506:AH506 AF518:AH518 AF530:AH530 AF542:AH542 AF554:AH554 AF566:AH566 AF578:AH578 AF590:AH590 AF602:AH602 AF614:AH614 AF626:AH626 AF638:AH638 AF650:AH650" xr:uid="{47527D9F-6AE8-436B-8764-84EDDBF4AE8A}">
      <formula1>$CT35:$CT46</formula1>
    </dataValidation>
    <dataValidation type="list" allowBlank="1" showInputMessage="1" showErrorMessage="1" sqref="AF47:AH47 AF35 AF59:AH59 AF71:AH71 AF83:AH83 AF95:AH95 AF107:AH107 AF119:AH119 AF131:AH131 AF143:AH143 AF155:AH155 AF167:AH167 AF179:AH179 AF191:AH191 AF203:AH203 AF215:AH215 AF227:AH227 AF239:AH239 AF251:AH251 AF263:AH263 AF275:AH275 AF287:AH287 AF299:AH299 AF311:AH311 AF323:AH323 AF335:AH335 AF347:AH347 AF359:AH359 AF371:AH371 AF383:AH383 AF395:AH395 AF407:AH407 AF419:AH419 AF431:AH431 AF443:AH443 AF455:AH455 AF467:AH467 AF479:AH479 AF491:AH491 AF503:AH503 AF515:AH515 AF527:AH527 AF539:AH539 AF551:AH551 AF563:AH563 AF575:AH575 AF587:AH587 AF599:AH599 AF611:AH611 AF623:AH623 AF635:AH635 AF647:AH647 AF659:AH659 AF671:AH671" xr:uid="{4628B99C-1153-4B27-8815-E112C103CCF0}">
      <formula1>$CE35:$CE46</formula1>
    </dataValidation>
    <dataValidation type="list" allowBlank="1" showInputMessage="1" showErrorMessage="1" sqref="AF48:AH48 AF672:AH672 AF60:AH60 AF72:AH72 AF84:AH84 AF96:AH96 AF108:AH108 AF120:AH120 AF132:AH132 AF144:AH144 AF156:AH156 AF168:AH168 AF180:AH180 AF192:AH192 AF204:AH204 AF216:AH216 AF228:AH228 AF240:AH240 AF252:AH252 AF264:AH264 AF276:AH276 AF288:AH288 AF300:AH300 AF312:AH312 AF324:AH324 AF336:AH336 AF348:AH348 AF360:AH360 AF372:AH372 AF384:AH384 AF396:AH396 AF408:AH408 AF420:AH420 AF432:AH432 AF444:AH444 AF456:AH456 AF468:AH468 AF480:AH480 AF492:AH492 AF504:AH504 AF516:AH516 AF528:AH528 AF540:AH540 AF552:AH552 AF564:AH564 AF576:AH576 AF588:AH588 AF600:AH600 AF612:AH612 AF624:AH624 AF636:AH636 AF648:AH648 AF660:AH660 AF36:AH36" xr:uid="{C26D2DB9-C175-446D-961D-3F644DD195FA}">
      <formula1>$CJ35:$CJ46</formula1>
    </dataValidation>
    <dataValidation type="list" allowBlank="1" showInputMessage="1" showErrorMessage="1" sqref="AF51:AH51 AF39 AF63:AH63 AF75:AH75 AF87:AH87 AF99:AH99 AF111:AH111 AF123:AH123 AF135:AH135 AF147:AH147 AF159:AH159 AF171:AH171 AF183:AH183 AF195:AH195 AF207:AH207 AF219:AH219 AF231:AH231 AF243:AH243 AF255:AH255 AF267:AH267 AF279:AH279 AF291:AH291 AF303:AH303 AF315:AH315 AF327:AH327 AF339:AH339 AF351:AH351 AF363:AH363 AF375:AH375 AF387:AH387 AF399:AH399 AF411:AH411 AF423:AH423 AF435:AH435 AF447:AH447 AF459:AH459 AF471:AH471 AF483:AH483 AF495:AH495 AF507:AH507 AF519:AH519 AF531:AH531 AF543:AH543 AF555:AH555 AF567:AH567 AF579:AH579 AF591:AH591 AF603:AH603 AF615:AH615 AF627:AH627 AF639:AH639 AF651:AH651 AF663:AH663 AF675:AH675" xr:uid="{4488FF70-94FE-42B6-AC2B-E2A8DE6CEADB}">
      <formula1>$CY35:$CY46</formula1>
    </dataValidation>
    <dataValidation type="list" allowBlank="1" showInputMessage="1" showErrorMessage="1" sqref="AF52:AH52 AF40 AF64:AH64 AF76:AH76 AF88:AH88 AF100:AH100 AF112:AH112 AF124:AH124 AF136:AH136 AF148:AH148 AF160:AH160 AF172:AH172 AF184:AH184 AF196:AH196 AF208:AH208 AF220:AH220 AF232:AH232 AF244:AH244 AF256:AH256 AF268:AH268 AF280:AH280 AF292:AH292 AF304:AH304 AF316:AH316 AF328:AH328 AF340:AH340 AF352:AH352 AF364:AH364 AF376:AH376 AF388:AH388 AF400:AH400 AF412:AH412 AF424:AH424 AF436:AH436 AF448:AH448 AF460:AH460 AF472:AH472 AF484:AH484 AF496:AH496 AF508:AH508 AF520:AH520 AF532:AH532 AF544:AH544 AF556:AH556 AF568:AH568 AF580:AH580 AF592:AH592 AF604:AH604 AF616:AH616 AF628:AH628 AF640:AH640 AF652:AH652 AF664:AH664 AF676:AH676" xr:uid="{1C806039-61D6-415D-938D-E9D86E02543E}">
      <formula1>$DD35:$DD46</formula1>
    </dataValidation>
    <dataValidation type="list" allowBlank="1" showInputMessage="1" showErrorMessage="1" sqref="AF54:AH54 AF42 AF66:AH66 AF78:AH78 AF90:AH90 AF102:AH102 AF114:AH114 AF126:AH126 AF138:AH138 AF150:AH150 AF162:AH162 AF174:AH174 AF186:AH186 AF198:AH198 AF210:AH210 AF222:AH222 AF234:AH234 AF246:AH246 AF258:AH258 AF270:AH270 AF282:AH282 AF294:AH294 AF306:AH306 AF318:AH318 AF330:AH330 AF342:AH342 AF354:AH354 AF366:AH366 AF378:AH378 AF390:AH390 AF402:AH402 AF414:AH414 AF426:AH426 AF438:AH438 AF450:AH450 AF462:AH462 AF474:AH474 AF486:AH486 AF498:AH498 AF510:AH510 AF522:AH522 AF534:AH534 AF546:AH546 AF558:AH558 AF570:AH570 AF582:AH582 AF594:AH594 AF606:AH606 AF618:AH618 AF630:AH630 AF642:AH642 AF654:AH654 AF666:AH666 AF678:AH678" xr:uid="{8BAFE742-12BD-4DF3-9F7A-1A250BDCE2C5}">
      <formula1>$DN35:$DN46</formula1>
    </dataValidation>
    <dataValidation type="list" allowBlank="1" showInputMessage="1" showErrorMessage="1" sqref="AF57:AH57 AF45 AF69:AH69 AF81:AH81 AF93:AH93 AF105:AH105 AF117:AH117 AF129:AH129 AF141:AH141 AF153:AH153 AF165:AH165 AF177:AH177 AF189:AH189 AF201:AH201 AF213:AH213 AF225:AH225 AF237:AH237 AF249:AH249 AF261:AH261 AF273:AH273 AF285:AH285 AF297:AH297 AF309:AH309 AF321:AH321 AF333:AH333 AF345:AH345 AF357:AH357 AF369:AH369 AF381:AH381 AF393:AH393 AF405:AH405 AF417:AH417 AF429:AH429 AF441:AH441 AF453:AH453 AF465:AH465 AF477:AH477 AF489:AH489 AF501:AH501 AF513:AH513 AF525:AH525 AF537:AH537 AF549:AH549 AF561:AH561 AF573:AH573 AF585:AH585 AF597:AH597 AF609:AH609 AF621:AH621 AF633:AH633 AF645:AH645 AF657:AH657 AF669:AH669 AF681:AH681" xr:uid="{78DCE763-9931-471E-99FE-85C47226B69B}">
      <formula1>$EC35:$EC46</formula1>
    </dataValidation>
    <dataValidation type="list" allowBlank="1" showInputMessage="1" showErrorMessage="1" sqref="J39:K42 J675:K678 J663:K666 J651:K654 J639:K642 J627:K630 J615:K618 J603:K606 J591:K594 J579:K582 J567:K570 J555:K558 J543:K546 J531:K534 J519:K522 J507:K510 J495:K498 J483:K486 J471:K474 J459:K462 J447:K450 J435:K438 J423:K426 J411:K414 J399:K402 J387:K390 J375:K378 J363:K366 J339:K342 J327:K330 J315:K318 J303:K306 J291:K294 J279:K282 J267:K270 J255:K258 J231:K234 J243:K246 J207:K210 J219:K222 J195:K198 J183:K186 J171:K174 J99:K102 J159:K162 J147:K150 J135:K138 J111:K114 J123:K126 J75:K78 J63:K66 J351:K354 J87:K90 J51:K54" xr:uid="{9A42119B-B534-4762-9F02-2DAEAFC9B718}">
      <formula1>INDIRECT(SUBSTITUTE($J35," ","_"))</formula1>
    </dataValidation>
    <dataValidation type="list" allowBlank="1" showInputMessage="1" showErrorMessage="1" sqref="J43:K46 J679:K682 J127:K130 J355:K358 J55:K58 J667:K670 J79:K82 J115:K118 J139:K142 J151:K154 J163:K166 J103:K106 J175:K178 J187:K190 J199:K202 J223:K226 J211:K214 J247:K250 J235:K238 J259:K262 J271:K274 J283:K286 J295:K298 J307:K310 J319:K322 J331:K334 J343:K346 J367:K370 J379:K382 J391:K394 J403:K406 J415:K418 J427:K430 J439:K442 J451:K454 J463:K466 J475:K478 J487:K490 J499:K502 J511:K514 J523:K526 J535:K538 J547:K550 J559:K562 J571:K574 J583:K586 J595:K598 J607:K610 J619:K622 J631:K634 J643:K646 J655:K658 J91:K94 J67:K70" xr:uid="{8B35B984-48F3-42AC-A47B-83A940FCA5D9}">
      <formula1>Substrate</formula1>
    </dataValidation>
    <dataValidation type="list" allowBlank="1" showInputMessage="1" showErrorMessage="1" sqref="AI35:AJ35 AI47:AJ47 AI59:AJ59 AI71:AJ71 AI83:AJ83 AI95:AJ95 AI107:AJ107 AI119:AJ119 AI131:AJ131 AI143:AJ143 AI155:AJ155 AI167:AJ167 AI179:AJ179 AI191:AJ191 AI203:AJ203 AI215:AJ215 AI227:AJ227 AI239:AJ239 AI251:AJ251 AI263:AJ263 AI275:AJ275 AI287:AJ287 AI299:AJ299 AI311:AJ311 AI323:AJ323 AI335:AJ335 AI347:AJ347 AI359:AJ359 AI371:AJ371 AI383:AJ383 AI395:AJ395 AI407:AJ407 AI419:AJ419 AI431:AJ431 AI443:AJ443 AI455:AJ455 AI467:AJ467 AI479:AJ479 AI491:AJ491 AI503:AJ503 AI515:AJ515 AI527:AJ527 AI539:AJ539 AI551:AJ551 AI563:AJ563 AI575:AJ575 AI587:AJ587 AI599:AJ599 AI611:AJ611 AI623:AJ623 AI635:AJ635 AI647:AJ647 AI659:AJ659 AI671:AJ671" xr:uid="{30ECE4E4-B500-47A4-9868-EB9A1C03168B}">
      <formula1>$AV35:$AV42</formula1>
    </dataValidation>
    <dataValidation type="list" allowBlank="1" showInputMessage="1" showErrorMessage="1" sqref="AI36:AJ36 AI48:AJ48 AI60:AJ60 AI72:AJ72 AI84:AJ84 AI96:AJ96 AI108:AJ108 AI120:AJ120 AI132:AJ132 AI144:AJ144 AI156:AJ156 AI168:AJ168 AI180:AJ180 AI192:AJ192 AI204:AJ204 AI216:AJ216 AI228:AJ228 AI240:AJ240 AI252:AJ252 AI264:AJ264 AI276:AJ276 AI288:AJ288 AI300:AJ300 AI312:AJ312 AI324:AJ324 AI336:AJ336 AI348:AJ348 AI360:AJ360 AI372:AJ372 AI384:AJ384 AI396:AJ396 AI408:AJ408 AI420:AJ420 AI432:AJ432 AI444:AJ444 AI456:AJ456 AI468:AJ468 AI480:AJ480 AI492:AJ492 AI504:AJ504 AI516:AJ516 AI528:AJ528 AI540:AJ540 AI552:AJ552 AI564:AJ564 AI576:AJ576 AI588:AJ588 AI600:AJ600 AI612:AJ612 AI624:AJ624 AI636:AJ636 AI648:AJ648 AI660:AJ660 AI672:AJ672" xr:uid="{D275470B-F8F4-4B59-A40C-333393ACCEC7}">
      <formula1>$AX35:$AX42</formula1>
    </dataValidation>
    <dataValidation type="list" allowBlank="1" showInputMessage="1" showErrorMessage="1" sqref="AI37:AJ37 AI49:AJ49 AI61:AJ61 AI73:AJ73 AI85:AJ85 AI97:AJ97 AI109:AJ109 AI121:AJ121 AI133:AJ133 AI145:AJ145 AI157:AJ157 AI169:AJ169 AI181:AJ181 AI193:AJ193 AI205:AJ205 AI217:AJ217 AI229:AJ229 AI241:AJ241 AI253:AJ253 AI265:AJ265 AI277:AJ277 AI289:AJ289 AI301:AJ301 AI313:AJ313 AI325:AJ325 AI337:AJ337 AI349:AJ349 AI361:AJ361 AI373:AJ373 AI385:AJ385 AI397:AJ397 AI409:AJ409 AI421:AJ421 AI433:AJ433 AI445:AJ445 AI457:AJ457 AI469:AJ469 AI481:AJ481 AI493:AJ493 AI505:AJ505 AI517:AJ517 AI529:AJ529 AI541:AJ541 AI553:AJ553 AI565:AJ565 AI577:AJ577 AI589:AJ589 AI601:AJ601 AI613:AJ613 AI625:AJ625 AI637:AJ637 AI649:AJ649 AI661:AJ661 AI673:AJ673" xr:uid="{B9CBF767-DFCF-44E0-AEAB-179AF9D8C8D7}">
      <formula1>$AZ35:$AZ42</formula1>
    </dataValidation>
    <dataValidation type="list" allowBlank="1" showInputMessage="1" showErrorMessage="1" sqref="AI38:AJ38 AI74:AJ74 AI86:AJ86 AI98:AJ98 AI110:AJ110 AI122:AJ122 AI134:AJ134 AI146:AJ146 AI158:AJ158 AI170:AJ170 AI182:AJ182 AI194:AJ194 AI206:AJ206 AI218:AJ218 AI230:AJ230 AI242:AJ242 AI254:AJ254 AI266:AJ266 AI278:AJ278 AI290:AJ290 AI302:AJ302 AI50:AJ50 AI62:AJ62 AI338:AJ338 AI350:AJ350 AI362:AJ362 AI374:AJ374 AI386:AJ386 AI398:AJ398 AI410:AJ410 AI422:AJ422 AI434:AJ434 AI446:AJ446 AI458:AJ458 AI470:AJ470 AI482:AJ482 AI494:AJ494 AI506:AJ506 AI518:AJ518 AI530:AJ530 AI542:AJ542 AI554:AJ554 AI566:AJ566 AI578:AJ578 AI590:AJ590 AI602:AJ602 AI614:AJ614 AI626:AJ626 AI638:AJ638 AI650:AJ650 AI662:AJ662 AI674:AJ674" xr:uid="{C0E71D3C-B896-4F81-9C9B-269E293677B4}">
      <formula1>$BB35:$BB42</formula1>
    </dataValidation>
    <dataValidation type="list" allowBlank="1" showInputMessage="1" showErrorMessage="1" sqref="AI39:AJ39 AI51:AJ51 AI63:AJ63 AI75:AJ75 AI87:AJ87 AI99:AJ99 AI111:AJ111 AI123:AJ123 AI135:AJ135 AI147:AJ147 AI159:AJ159 AI171:AJ171 AI183:AJ183 AI195:AJ195 AI207:AJ207 AI219:AJ219 AI231:AJ231 AI243:AJ243 AI255:AJ255 AI267:AJ267 AI279:AJ279 AI291:AJ291 AI303:AJ303 AI315:AJ315 AI327:AJ327 AI339:AJ339 AI351:AJ351 AI363:AJ363 AI375:AJ375 AI387:AJ387 AI399:AJ399 AI411:AJ411 AI423:AJ423 AI435:AJ435 AI447:AJ447 AI459:AJ459 AI471:AJ471 AI483:AJ483 AI495:AJ495 AI507:AJ507 AI519:AJ519 AI531:AJ531 AI543:AJ543 AI555:AJ555 AI567:AJ567 AI579:AJ579 AI591:AJ591 AI603:AJ603 AI615:AJ615 AI627:AJ627 AI639:AJ639 AI651:AJ651 AI663:AJ663 AI675:AJ675" xr:uid="{2470A10C-57FA-41F1-B152-60CEDF2A3395}">
      <formula1>$BD35:$BD42</formula1>
    </dataValidation>
    <dataValidation type="list" allowBlank="1" showInputMessage="1" showErrorMessage="1" sqref="AI40:AJ40 AI52:AJ52 AI64:AJ64 AI76:AJ76 AI88:AJ88 AI100:AJ100 AI112:AJ112 AI124:AJ124 AI136:AJ136 AI148:AJ148 AI160:AJ160 AI172:AJ172 AI184:AJ184 AI196:AJ196 AI208:AJ208 AI220:AJ220 AI232:AJ232 AI244:AJ244 AI256:AJ256 AI268:AJ268 AI280:AJ280 AI292:AJ292 AI304:AJ304 AI316:AJ316 AI328:AJ328 AI340:AJ340 AI352:AJ352 AI364:AJ364 AI376:AJ376 AI388:AJ388 AI400:AJ400 AI412:AJ412 AI424:AJ424 AI436:AJ436 AI448:AJ448 AI460:AJ460 AI472:AJ472 AI484:AJ484 AI496:AJ496 AI508:AJ508 AI520:AJ520 AI532:AJ532 AI544:AJ544 AI556:AJ556 AI568:AJ568 AI580:AJ580 AI592:AJ592 AI604:AJ604 AI616:AJ616 AI628:AJ628 AI640:AJ640 AI652:AJ652 AI664:AJ664 AI676:AJ676" xr:uid="{EEF6C86F-9764-4B21-ACCB-E5A173460FC5}">
      <formula1>$BF35:$BF42</formula1>
    </dataValidation>
    <dataValidation type="list" allowBlank="1" showInputMessage="1" showErrorMessage="1" sqref="AI41:AJ41 AI53:AJ53 AI65:AJ65 AI77:AJ77 AI89:AJ89 AI101:AJ101 AI113:AJ113 AI125:AJ125 AI137:AJ137 AI149:AJ149 AI161:AJ161 AI173:AJ173 AI185:AJ185 AI197:AJ197 AI209:AJ209 AI221:AJ221 AI233:AJ233 AI245:AJ245 AI257:AJ257 AI269:AJ269 AI281:AJ281 AI293:AJ293 AI305:AJ305 AI317:AJ317 AI329:AJ329 AI341:AJ341 AI353:AJ353 AI365:AJ365 AI377:AJ377 AI389:AJ389 AI401:AJ401 AI413:AJ413 AI425:AJ425 AI437:AJ437 AI449:AJ449 AI461:AJ461 AI473:AJ473 AI485:AJ485 AI497:AJ497 AI509:AJ509 AI521:AJ521 AI533:AJ533 AI545:AJ545 AI557:AJ557 AI569:AJ569 AI581:AJ581 AI593:AJ593 AI605:AJ605 AI617:AJ617 AI629:AJ629 AI641:AJ641 AI653:AJ653 AI665:AJ665 AI677:AJ677" xr:uid="{E56D1EFC-9FDF-4133-8EA4-C8A8D82167C9}">
      <formula1>$BH35:$BH42</formula1>
    </dataValidation>
    <dataValidation type="list" allowBlank="1" showInputMessage="1" showErrorMessage="1" sqref="AI42:AJ42 AI54:AJ54 AI66:AJ66 AI78:AJ78 AI90:AJ90 AI102:AJ102 AI114:AJ114 AI126:AJ126 AI138:AJ138 AI150:AJ150 AI162:AJ162 AI174:AJ174 AI186:AJ186 AI198:AJ198 AI210:AJ210 AI222:AJ222 AI234:AJ234 AI246:AJ246 AI258:AJ258 AI270:AJ270 AI282:AJ282 AI294:AJ294 AI306:AJ306 AI318:AJ318 AI330:AJ330 AI342:AJ342 AI354:AJ354 AI366:AJ366 AI378:AJ378 AI390:AJ390 AI402:AJ402 AI414:AJ414 AI426:AJ426 AI438:AJ438 AI450:AJ450 AI462:AJ462 AI474:AJ474 AI486:AJ486 AI498:AJ498 AI510:AJ510 AI522:AJ522 AI534:AJ534 AI546:AJ546 AI558:AJ558 AI570:AJ570 AI582:AJ582 AI594:AJ594 AI606:AJ606 AI618:AJ618 AI630:AJ630 AI642:AJ642 AI654:AJ654 AI666:AJ666 AI678:AJ678" xr:uid="{76416D2E-093C-4067-9F03-FD8F95812BED}">
      <formula1>$BJ35:$BJ42</formula1>
    </dataValidation>
    <dataValidation type="list" allowBlank="1" showInputMessage="1" showErrorMessage="1" sqref="AI43:AJ43 AI55:AJ55 AI67:AJ67 AI79:AJ79 AI91:AJ91 AI103:AJ103 AI115:AJ115 AI127:AJ127 AI139:AJ139 AI151:AJ151 AI163:AJ163 AI175:AJ175 AI187:AJ187 AI199:AJ199 AI211:AJ211 AI223:AJ223 AI235:AJ235 AI247:AJ247 AI259:AJ259 AI271:AJ271 AI283:AJ283 AI295:AJ295 AI307:AJ307 AI319:AJ319 AI331:AJ331 AI343:AJ343 AI355:AJ355 AI367:AJ367 AI379:AJ379 AI391:AJ391 AI403:AJ403 AI415:AJ415 AI427:AJ427 AI439:AJ439 AI451:AJ451 AI463:AJ463 AI475:AJ475 AI487:AJ487 AI499:AJ499 AI511:AJ511 AI523:AJ523 AI535:AJ535 AI547:AJ547 AI559:AJ559 AI571:AJ571 AI583:AJ583 AI595:AJ595 AI607:AJ607 AI619:AJ619 AI631:AJ631 AI643:AJ643 AI655:AJ655 AI667:AJ667 AI679:AJ679" xr:uid="{8F454A9A-3045-40A4-B7E9-CA13BA1A794F}">
      <formula1>$BL35:$BL42</formula1>
    </dataValidation>
    <dataValidation type="list" allowBlank="1" showInputMessage="1" showErrorMessage="1" sqref="AI44:AJ44 AI356:AJ356 AI314:AJ314 AI308:AJ308 AI68:AJ68 AI80:AJ80 AI92:AJ92 AI104:AJ104 AI116:AJ116 AI128:AJ128 AI140:AJ140 AI152:AJ152 AI164:AJ164 AI176:AJ176 AI188:AJ188 AI200:AJ200 AI212:AJ212 AI224:AJ224 AI236:AJ236 AI248:AJ248 AI260:AJ260 AI272:AJ272 AI56:AJ56 AI284:AJ284 AI296:AJ296 AI320:AJ320 AI332:AJ332 AI326:AJ326 AI344:AJ344 AI368:AJ368 AI380:AJ380 AI392:AJ392 AI404:AJ404 AI416:AJ416 AI428:AJ428 AI440:AJ440 AI452:AJ452 AI464:AJ464 AI476:AJ476 AI488:AJ488 AI500:AJ500 AI512:AJ512 AI524:AJ524 AI536:AJ536 AI548:AJ548 AI560:AJ560 AI572:AJ572 AI584:AJ584 AI596:AJ596 AI608:AJ608 AI620:AJ620 AI632:AJ632 AI644:AJ644 AI656:AJ656 AI668:AJ668 AI680:AJ680" xr:uid="{D4B9DF4A-8D2A-46FC-BD46-E55AE82BAEB8}">
      <formula1>$BN35:$BN42</formula1>
    </dataValidation>
    <dataValidation type="list" allowBlank="1" showInputMessage="1" showErrorMessage="1" sqref="AI45:AJ45 AI57:AJ57 AI69:AJ69 AI81:AJ81 AI93:AJ93 AI105:AJ105 AI117:AJ117 AI129:AJ129 AI141:AJ141 AI153:AJ153 AI165:AJ165 AI177:AJ177 AI189:AJ189 AI201:AJ201 AI213:AJ213 AI225:AJ225 AI237:AJ237 AI249:AJ249 AI261:AJ261 AI273:AJ273 AI285:AJ285 AI297:AJ297 AI309:AJ309 AI321:AJ321 AI333:AJ333 AI345:AJ345 AI357:AJ357 AI369:AJ369 AI381:AJ381 AI393:AJ393 AI405:AJ405 AI417:AJ417 AI429:AJ429 AI441:AJ441 AI453:AJ453 AI465:AJ465 AI477:AJ477 AI489:AJ489 AI501:AJ501 AI513:AJ513 AI525:AJ525 AI537:AJ537 AI549:AJ549 AI561:AJ561 AI573:AJ573 AI585:AJ585 AI597:AJ597 AI609:AJ609 AI621:AJ621 AI633:AJ633 AI645:AJ645 AI657:AJ657 AI669:AJ669 AI681:AJ681" xr:uid="{61371B07-5581-4FF9-B62F-4F8637A002C6}">
      <formula1>$BP35:$BP42</formula1>
    </dataValidation>
    <dataValidation type="list" allowBlank="1" showInputMessage="1" showErrorMessage="1" sqref="AI46:AJ46 AI58:AJ58 AI70:AJ70 AI82:AJ82 AI94:AJ94 AI106:AJ106 AI118:AJ118 AI130:AJ130 AI142:AJ142 AI154:AJ154 AI166:AJ166 AI178:AJ178 AI190:AJ190 AI202:AJ202 AI214:AJ214 AI226:AJ226 AI238:AJ238 AI250:AJ250 AI262:AJ262 AI274:AJ274 AI286:AJ286 AI298:AJ298 AI310:AJ310 AI322:AJ322 AI334:AJ334 AI346:AJ346 AI358:AJ358 AI370:AJ370 AI382:AJ382 AI394:AJ394 AI406:AJ406 AI418:AJ418 AI430:AJ430 AI442:AJ442 AI454:AJ454 AI466:AJ466 AI478:AJ478 AI490:AJ490 AI502:AJ502 AI514:AJ514 AI526:AJ526 AI538:AJ538 AI550:AJ550 AI562:AJ562 AI574:AJ574 AI586:AJ586 AI598:AJ598 AI610:AJ610 AI622:AJ622 AI634:AJ634 AI646:AJ646 AI658:AJ658 AI670:AJ670 AI682:AJ682" xr:uid="{137CF7AE-625E-42F3-9E49-37A0C714756A}">
      <formula1>$BR35:$BR42</formula1>
    </dataValidation>
    <dataValidation type="list" allowBlank="1" showInputMessage="1" showErrorMessage="1" sqref="AF682:AH682 AF46 AF70:AH70 AF82:AH82 AF94:AH94 AF106:AH106 AF118:AH118 AF130:AH130 AF142:AH142 AF154:AH154 AF166:AH166 AF178:AH178 AF190:AH190 AF202:AH202 AF214:AH214 AF226:AH226 AF238:AH238 AF250:AH250 AF262:AH262 AF274:AH274 AF286:AH286 AF298:AH298 AF310:AH310 AF322:AH322 AF334:AH334 AF346:AH346 AF358:AH358 AF370:AH370 AF382:AH382 AF394:AH394 AF406:AH406 AF418:AH418 AF430:AH430 AF442:AH442 AF454:AH454 AF466:AH466 AF478:AH478 AF490:AH490 AF502:AH502 AF514:AH514 AF526:AH526 AF538:AH538 AF550:AH550 AF562:AH562 AF574:AH574 AF586:AH586 AF598:AH598 AF610:AH610 AF622:AH622 AF634:AH634 AF646:AH646 AF658:AH658 AF670:AH670 AF58:AH58" xr:uid="{418DB592-888E-41E8-8B77-B6A992CE25F3}">
      <formula1>$EH35:$EH46</formula1>
    </dataValidation>
    <dataValidation type="list" allowBlank="1" showInputMessage="1" showErrorMessage="1" sqref="AD8:AD9" xr:uid="{A5786295-67C1-42D5-A606-3409E5B9DB28}">
      <formula1>$U$3:$U$4</formula1>
    </dataValidation>
    <dataValidation type="list" errorStyle="information" allowBlank="1" showInputMessage="1" sqref="E16:G16" xr:uid="{EF972D7A-674C-43E9-8460-FF8543B620F2}">
      <formula1>$W$5</formula1>
    </dataValidation>
    <dataValidation type="list" allowBlank="1" showInputMessage="1" showErrorMessage="1" sqref="E15:G15" xr:uid="{6E15308F-F45B-44BE-8DAA-84298CDDE12D}">
      <formula1>$W$6:$W$8</formula1>
    </dataValidation>
    <dataValidation type="list" allowBlank="1" showInputMessage="1" showErrorMessage="1" sqref="AD36:AE36 AD48:AE48 AD60:AE60 AD72:AE72 AD84:AE84 AD96:AE96 AD108:AE108 AD120:AE120 AD132:AE132 AD144:AE144 AD156:AE156 AD168:AE168 AD180:AE180 AD192:AE192 AD204:AE204 AD216:AE216 AD228:AE228 AD240:AE240 AD252:AE252 AD264:AE264 AD276:AE276 AD288:AE288 AD300:AE300 AD312:AE312 AD324:AE324 AD336:AE336 AD348:AE348 AD360:AE360 AD372:AE372 AD384:AE384 AD396:AE396 AD408:AE408 AD420:AE420 AD432:AE432 AD444:AE444 AD456:AE456 AD468:AE468 AD480:AE480 AD492:AE492 AD504:AE504 AD516:AE516 AD528:AE528 AD540:AE540 AD552:AE552 AD564:AE564 AD576:AE576 AD588:AE588 AD600:AE600 AD612:AE612 AD624:AE624 AD636:AE636 AD648:AE648 AD660:AE660 AD672:AE672" xr:uid="{1C7218BC-F606-44A5-9BAB-E127BFEC2009}">
      <formula1>NSS</formula1>
    </dataValidation>
    <dataValidation type="list" allowBlank="1" showInputMessage="1" showErrorMessage="1" sqref="AG14" xr:uid="{09D3BB30-721C-48D4-8B0F-AA7AEEB24B63}">
      <formula1>AreaType</formula1>
    </dataValidation>
    <dataValidation type="list" allowBlank="1" showInputMessage="1" showErrorMessage="1" sqref="L4:N5" xr:uid="{C57BD476-E59E-4087-BD65-A4C845AE7C9A}">
      <formula1>Quote</formula1>
    </dataValidation>
    <dataValidation type="list" allowBlank="1" showInputMessage="1" showErrorMessage="1" sqref="AG19" xr:uid="{15575669-5E25-4D13-BC56-64A035ABBCD5}">
      <formula1>WTloading</formula1>
    </dataValidation>
  </dataValidations>
  <hyperlinks>
    <hyperlink ref="AG4" location="'Importance Factor'!A1" display="Risk Category or Importance Factor (I)" xr:uid="{B5DE9400-37A7-4D04-A545-B9FB546203E3}"/>
    <hyperlink ref="AG9" location="Scenescape!A1" display="Scenescape" xr:uid="{783799CE-B6EB-4AF1-BE3E-ABDCD1BDD198}"/>
    <hyperlink ref="AG7" location="'Ultimate vs Allowable Load'!A1" display="Ultimate vs. Allowable Load" xr:uid="{96965C4E-51ED-4A7E-8BE8-44D56D9023EB}"/>
    <hyperlink ref="AG8" location="'Zone 5 Classification'!A1" display="Corner / Wall Zone 5" xr:uid="{8FDBD7CD-3852-43FB-96AB-E97304B47DC2}"/>
    <hyperlink ref="AG6" location="'Topographical Factor '!A1" display="Topographical Factor" xr:uid="{5E008787-0B96-4AF5-9FEE-53620B9D799E}"/>
    <hyperlink ref="AG5" location="'Exposure Category'!A1" display="Exposure Category" xr:uid="{5F9A53C4-9652-4921-A4C9-8DE18607F21C}"/>
    <hyperlink ref="P31:Q32" location="'Deadload Assistance'!A1" display="Deadload Assistance" xr:uid="{7B5B640F-D501-4E63-A8FA-29F2A4C1458E}"/>
    <hyperlink ref="AC3" r:id="rId1" display="https://asce7hazardtool.online/" xr:uid="{002E225D-33C9-4D0A-823F-C2E7F6A43041}"/>
    <hyperlink ref="AC3:AE3" r:id="rId2" display="ASCE Hazard Tool" xr:uid="{632E37D5-F23D-4C6D-AC9D-82510B4E8314}"/>
    <hyperlink ref="B14:D14" r:id="rId3" display="Design Wind Speed (MPH) :" xr:uid="{603F3854-E66D-4A7E-A383-97DC62B86B4D}"/>
    <hyperlink ref="AC4" r:id="rId4" display="https://asce7hazardtool.online/" xr:uid="{B08ABB6A-A02C-426E-820F-D7D6708A7B40}"/>
    <hyperlink ref="AC4:AE4" r:id="rId5" location="&amp;center=53.17057940324497,0.31142425537147306&amp;zoom=2&amp;marker=38.888571,-77.05198" display="Basic ASCE Wind Velocity" xr:uid="{0939B09E-A8F4-45B7-BB50-1A244CABC21E}"/>
  </hyperlinks>
  <pageMargins left="0.25" right="0.25" top="0.75" bottom="0.75" header="0.3" footer="0.3"/>
  <pageSetup paperSize="152" scale="10" fitToHeight="2" orientation="landscape" r:id="rId6"/>
  <drawing r:id="rId7"/>
  <legacyDrawing r:id="rId8"/>
  <extLst>
    <ext xmlns:x14="http://schemas.microsoft.com/office/spreadsheetml/2009/9/main" uri="{CCE6A557-97BC-4b89-ADB6-D9C93CAAB3DF}">
      <x14:dataValidations xmlns:xm="http://schemas.microsoft.com/office/excel/2006/main" xWindow="1084" yWindow="573" count="1">
        <x14:dataValidation type="list" allowBlank="1" showInputMessage="1" showErrorMessage="1" xr:uid="{5D348783-EAF8-4313-B53D-2F298E0EEE42}">
          <x14:formula1>
            <xm:f>'State Building Codes'!$B$5:$B$63</xm:f>
          </x14:formula1>
          <xm:sqref>E10:H10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2A26A-69D8-4BCE-8807-3A653B4E0A18}">
  <dimension ref="B1:AI108"/>
  <sheetViews>
    <sheetView topLeftCell="G1" workbookViewId="0">
      <selection activeCell="K62" sqref="K62"/>
    </sheetView>
  </sheetViews>
  <sheetFormatPr defaultRowHeight="15" x14ac:dyDescent="0.25"/>
  <cols>
    <col min="2" max="2" width="28.7109375" customWidth="1"/>
    <col min="4" max="11" width="25.7109375" customWidth="1"/>
    <col min="12" max="12" width="24.140625" customWidth="1"/>
    <col min="13" max="13" width="20.140625" customWidth="1"/>
    <col min="14" max="14" width="11.42578125" customWidth="1"/>
    <col min="21" max="21" width="9.140625" style="140"/>
    <col min="25" max="25" width="44.85546875" bestFit="1" customWidth="1"/>
    <col min="29" max="29" width="28" bestFit="1" customWidth="1"/>
    <col min="30" max="30" width="9.42578125" bestFit="1" customWidth="1"/>
    <col min="31" max="31" width="9.5703125" bestFit="1" customWidth="1"/>
    <col min="32" max="32" width="26" bestFit="1" customWidth="1"/>
  </cols>
  <sheetData>
    <row r="1" spans="2:35" ht="15" customHeight="1" x14ac:dyDescent="0.25"/>
    <row r="2" spans="2:35" ht="15" customHeight="1" x14ac:dyDescent="0.25">
      <c r="B2" s="88" t="s">
        <v>50</v>
      </c>
      <c r="D2" s="88" t="s">
        <v>388</v>
      </c>
      <c r="E2" s="88" t="s">
        <v>389</v>
      </c>
      <c r="F2" s="88" t="s">
        <v>390</v>
      </c>
      <c r="G2" s="88" t="s">
        <v>391</v>
      </c>
      <c r="H2" s="88" t="s">
        <v>392</v>
      </c>
      <c r="I2" s="88" t="s">
        <v>393</v>
      </c>
      <c r="J2" s="88" t="s">
        <v>332</v>
      </c>
      <c r="K2" s="88" t="s">
        <v>403</v>
      </c>
      <c r="L2" s="88" t="s">
        <v>1523</v>
      </c>
      <c r="M2" s="88" t="s">
        <v>1524</v>
      </c>
      <c r="X2" t="s">
        <v>686</v>
      </c>
    </row>
    <row r="3" spans="2:35" ht="15" customHeight="1" thickBot="1" x14ac:dyDescent="0.3">
      <c r="B3" s="77" t="s">
        <v>388</v>
      </c>
      <c r="D3" s="77" t="s">
        <v>394</v>
      </c>
      <c r="E3" s="77" t="s">
        <v>395</v>
      </c>
      <c r="F3" s="77" t="s">
        <v>396</v>
      </c>
      <c r="G3" s="77" t="s">
        <v>394</v>
      </c>
      <c r="H3" s="77" t="s">
        <v>395</v>
      </c>
      <c r="I3" s="77" t="s">
        <v>396</v>
      </c>
      <c r="J3" s="77" t="s">
        <v>394</v>
      </c>
      <c r="K3" s="77" t="s">
        <v>394</v>
      </c>
      <c r="L3" s="77" t="s">
        <v>394</v>
      </c>
      <c r="M3" s="77" t="s">
        <v>394</v>
      </c>
      <c r="AC3" s="1249" t="s">
        <v>1533</v>
      </c>
      <c r="AD3" s="1250"/>
      <c r="AE3" s="1250"/>
      <c r="AF3" s="1251"/>
      <c r="AG3">
        <v>1</v>
      </c>
    </row>
    <row r="4" spans="2:35" ht="15" customHeight="1" x14ac:dyDescent="0.25">
      <c r="B4" s="77" t="s">
        <v>389</v>
      </c>
      <c r="D4" s="77" t="s">
        <v>1503</v>
      </c>
      <c r="E4" s="77" t="s">
        <v>1510</v>
      </c>
      <c r="F4" s="77"/>
      <c r="G4" s="77" t="s">
        <v>397</v>
      </c>
      <c r="H4" s="77" t="s">
        <v>1442</v>
      </c>
      <c r="I4" s="77" t="s">
        <v>685</v>
      </c>
      <c r="J4" s="77" t="s">
        <v>1612</v>
      </c>
      <c r="K4" s="77" t="s">
        <v>395</v>
      </c>
      <c r="L4" s="77" t="s">
        <v>397</v>
      </c>
      <c r="M4" s="77" t="s">
        <v>397</v>
      </c>
      <c r="W4" s="1241" t="s">
        <v>539</v>
      </c>
      <c r="X4" s="375" t="s">
        <v>687</v>
      </c>
      <c r="Y4" s="375" t="s">
        <v>507</v>
      </c>
      <c r="Z4" s="376" t="str">
        <f>X4</f>
        <v>M1.1</v>
      </c>
      <c r="AC4" s="780" t="s">
        <v>388</v>
      </c>
      <c r="AD4" t="s">
        <v>1534</v>
      </c>
      <c r="AE4" t="s">
        <v>152</v>
      </c>
      <c r="AF4" s="525" t="s">
        <v>1544</v>
      </c>
    </row>
    <row r="5" spans="2:35" ht="15" customHeight="1" x14ac:dyDescent="0.25">
      <c r="B5" s="77" t="s">
        <v>390</v>
      </c>
      <c r="D5" s="77" t="s">
        <v>1504</v>
      </c>
      <c r="E5" s="77" t="s">
        <v>1511</v>
      </c>
      <c r="F5" s="77"/>
      <c r="G5" s="77" t="s">
        <v>399</v>
      </c>
      <c r="H5" s="77" t="s">
        <v>398</v>
      </c>
      <c r="I5" s="77" t="s">
        <v>645</v>
      </c>
      <c r="J5" s="77" t="s">
        <v>1613</v>
      </c>
      <c r="K5" s="77" t="s">
        <v>396</v>
      </c>
      <c r="L5" s="77" t="s">
        <v>401</v>
      </c>
      <c r="M5" s="77" t="s">
        <v>401</v>
      </c>
      <c r="W5" s="1242"/>
      <c r="X5" t="s">
        <v>688</v>
      </c>
      <c r="Y5" t="s">
        <v>506</v>
      </c>
      <c r="Z5" s="144" t="str">
        <f t="shared" ref="Z5:Z68" si="0">X5</f>
        <v>M1.2</v>
      </c>
      <c r="AC5" s="780" t="s">
        <v>389</v>
      </c>
      <c r="AD5" t="s">
        <v>1534</v>
      </c>
      <c r="AE5" t="s">
        <v>152</v>
      </c>
      <c r="AF5" s="525" t="s">
        <v>1544</v>
      </c>
    </row>
    <row r="6" spans="2:35" ht="15" customHeight="1" x14ac:dyDescent="0.25">
      <c r="B6" s="77" t="s">
        <v>391</v>
      </c>
      <c r="D6" s="77" t="s">
        <v>1505</v>
      </c>
      <c r="E6" s="77" t="s">
        <v>1512</v>
      </c>
      <c r="F6" s="77"/>
      <c r="G6" s="77" t="s">
        <v>401</v>
      </c>
      <c r="H6" s="77" t="s">
        <v>400</v>
      </c>
      <c r="I6" s="77"/>
      <c r="J6" s="77" t="s">
        <v>1614</v>
      </c>
      <c r="K6" s="77"/>
      <c r="L6" s="77" t="s">
        <v>395</v>
      </c>
      <c r="M6" s="77" t="s">
        <v>395</v>
      </c>
      <c r="W6" s="1242"/>
      <c r="X6" t="s">
        <v>689</v>
      </c>
      <c r="Y6" t="s">
        <v>505</v>
      </c>
      <c r="Z6" s="144" t="str">
        <f t="shared" si="0"/>
        <v>M1.3</v>
      </c>
      <c r="AC6" s="780" t="s">
        <v>390</v>
      </c>
      <c r="AD6" t="s">
        <v>1534</v>
      </c>
      <c r="AE6" t="s">
        <v>152</v>
      </c>
      <c r="AF6" s="525" t="s">
        <v>1544</v>
      </c>
    </row>
    <row r="7" spans="2:35" ht="15" customHeight="1" thickBot="1" x14ac:dyDescent="0.3">
      <c r="B7" s="77" t="s">
        <v>392</v>
      </c>
      <c r="D7" s="77" t="s">
        <v>1506</v>
      </c>
      <c r="E7" s="77"/>
      <c r="F7" s="77"/>
      <c r="G7" s="77" t="s">
        <v>404</v>
      </c>
      <c r="H7" s="77" t="s">
        <v>645</v>
      </c>
      <c r="I7" s="77"/>
      <c r="J7" s="77" t="s">
        <v>1615</v>
      </c>
      <c r="K7" s="77"/>
      <c r="L7" s="77" t="s">
        <v>398</v>
      </c>
      <c r="M7" s="77" t="s">
        <v>398</v>
      </c>
      <c r="W7" s="1243"/>
      <c r="X7" s="377" t="s">
        <v>690</v>
      </c>
      <c r="Y7" s="377" t="s">
        <v>424</v>
      </c>
      <c r="Z7" s="378" t="str">
        <f t="shared" si="0"/>
        <v>M1.4</v>
      </c>
      <c r="AC7" s="780" t="s">
        <v>391</v>
      </c>
      <c r="AD7" t="s">
        <v>17</v>
      </c>
      <c r="AE7" t="s">
        <v>158</v>
      </c>
      <c r="AF7" s="525" t="s">
        <v>1546</v>
      </c>
    </row>
    <row r="8" spans="2:35" ht="15" customHeight="1" x14ac:dyDescent="0.25">
      <c r="B8" s="77" t="s">
        <v>393</v>
      </c>
      <c r="D8" s="77" t="s">
        <v>1507</v>
      </c>
      <c r="E8" s="77"/>
      <c r="F8" s="77"/>
      <c r="G8" s="77" t="s">
        <v>402</v>
      </c>
      <c r="H8" s="77"/>
      <c r="I8" s="77"/>
      <c r="J8" s="77" t="s">
        <v>395</v>
      </c>
      <c r="K8" s="77"/>
      <c r="L8" s="77" t="s">
        <v>396</v>
      </c>
      <c r="M8" s="77" t="s">
        <v>396</v>
      </c>
      <c r="W8" s="1253" t="s">
        <v>11</v>
      </c>
      <c r="X8" s="375" t="s">
        <v>691</v>
      </c>
      <c r="Y8" s="375" t="s">
        <v>509</v>
      </c>
      <c r="Z8" s="376" t="str">
        <f t="shared" si="0"/>
        <v>M1.5</v>
      </c>
      <c r="AC8" s="780" t="s">
        <v>392</v>
      </c>
      <c r="AD8" t="s">
        <v>17</v>
      </c>
      <c r="AE8" t="s">
        <v>158</v>
      </c>
      <c r="AF8" s="525" t="s">
        <v>1546</v>
      </c>
    </row>
    <row r="9" spans="2:35" ht="15" customHeight="1" x14ac:dyDescent="0.25">
      <c r="B9" s="77" t="s">
        <v>332</v>
      </c>
      <c r="D9" s="77" t="s">
        <v>1508</v>
      </c>
      <c r="E9" s="77"/>
      <c r="F9" s="77"/>
      <c r="G9" s="77" t="s">
        <v>1539</v>
      </c>
      <c r="H9" s="77"/>
      <c r="I9" s="77"/>
      <c r="J9" s="77" t="s">
        <v>1616</v>
      </c>
      <c r="K9" s="77"/>
      <c r="L9" s="77"/>
      <c r="M9" s="77"/>
      <c r="W9" s="1254"/>
      <c r="X9" t="s">
        <v>692</v>
      </c>
      <c r="Y9" t="s">
        <v>512</v>
      </c>
      <c r="Z9" s="144" t="str">
        <f t="shared" si="0"/>
        <v>M1.6</v>
      </c>
      <c r="AC9" s="780" t="s">
        <v>393</v>
      </c>
      <c r="AD9" t="s">
        <v>17</v>
      </c>
      <c r="AE9" t="s">
        <v>158</v>
      </c>
      <c r="AF9" s="525" t="s">
        <v>1546</v>
      </c>
      <c r="AI9" t="s">
        <v>1540</v>
      </c>
    </row>
    <row r="10" spans="2:35" ht="15" customHeight="1" x14ac:dyDescent="0.25">
      <c r="B10" s="77" t="s">
        <v>403</v>
      </c>
      <c r="D10" s="77" t="s">
        <v>1509</v>
      </c>
      <c r="E10" s="77"/>
      <c r="F10" s="77"/>
      <c r="G10" s="77"/>
      <c r="H10" s="77"/>
      <c r="I10" s="77"/>
      <c r="J10" s="77" t="s">
        <v>1617</v>
      </c>
      <c r="K10" s="77"/>
      <c r="L10" s="77"/>
      <c r="M10" s="77"/>
      <c r="W10" s="1254"/>
      <c r="X10" t="s">
        <v>693</v>
      </c>
      <c r="Y10" t="s">
        <v>508</v>
      </c>
      <c r="Z10" s="144" t="str">
        <f t="shared" si="0"/>
        <v>M1.7</v>
      </c>
      <c r="AC10" s="780" t="s">
        <v>56</v>
      </c>
      <c r="AD10" t="s">
        <v>165</v>
      </c>
      <c r="AE10" t="s">
        <v>166</v>
      </c>
      <c r="AF10" s="525" t="s">
        <v>1545</v>
      </c>
      <c r="AI10" t="s">
        <v>1541</v>
      </c>
    </row>
    <row r="11" spans="2:35" ht="15" customHeight="1" x14ac:dyDescent="0.25">
      <c r="B11" s="77" t="s">
        <v>1523</v>
      </c>
      <c r="D11" s="77"/>
      <c r="E11" s="77"/>
      <c r="F11" s="77"/>
      <c r="G11" s="77"/>
      <c r="H11" s="77"/>
      <c r="I11" s="77"/>
      <c r="J11" s="77" t="s">
        <v>396</v>
      </c>
      <c r="K11" s="77"/>
      <c r="L11" s="77"/>
      <c r="M11" s="77"/>
      <c r="W11" s="1254"/>
      <c r="X11" t="s">
        <v>694</v>
      </c>
      <c r="Y11" t="s">
        <v>511</v>
      </c>
      <c r="Z11" s="144" t="str">
        <f t="shared" si="0"/>
        <v>M1.8</v>
      </c>
      <c r="AC11" s="780" t="s">
        <v>1539</v>
      </c>
      <c r="AD11" t="s">
        <v>631</v>
      </c>
      <c r="AE11" t="s">
        <v>629</v>
      </c>
      <c r="AF11" s="525" t="s">
        <v>1546</v>
      </c>
    </row>
    <row r="12" spans="2:35" ht="15" customHeight="1" thickBot="1" x14ac:dyDescent="0.3">
      <c r="B12" s="77"/>
      <c r="W12" s="1255"/>
      <c r="X12" s="377" t="s">
        <v>695</v>
      </c>
      <c r="Y12" s="377" t="s">
        <v>510</v>
      </c>
      <c r="Z12" s="378" t="str">
        <f t="shared" si="0"/>
        <v>M1.9</v>
      </c>
      <c r="AC12" s="780" t="s">
        <v>645</v>
      </c>
      <c r="AD12" t="s">
        <v>632</v>
      </c>
      <c r="AE12" t="s">
        <v>630</v>
      </c>
      <c r="AF12" s="525" t="s">
        <v>1546</v>
      </c>
    </row>
    <row r="13" spans="2:35" ht="15" customHeight="1" x14ac:dyDescent="0.25">
      <c r="W13" s="1253" t="s">
        <v>56</v>
      </c>
      <c r="X13" s="375" t="s">
        <v>696</v>
      </c>
      <c r="Y13" s="375" t="s">
        <v>653</v>
      </c>
      <c r="Z13" s="376" t="str">
        <f t="shared" si="0"/>
        <v>M1.10</v>
      </c>
      <c r="AC13" s="780" t="s">
        <v>332</v>
      </c>
      <c r="AD13" t="s">
        <v>1537</v>
      </c>
      <c r="AE13" t="s">
        <v>177</v>
      </c>
      <c r="AF13" s="525" t="s">
        <v>1548</v>
      </c>
    </row>
    <row r="14" spans="2:35" ht="15" customHeight="1" x14ac:dyDescent="0.25">
      <c r="D14" s="34" t="s">
        <v>57</v>
      </c>
      <c r="E14" s="35" t="s">
        <v>58</v>
      </c>
      <c r="F14" s="33" t="s">
        <v>59</v>
      </c>
      <c r="G14" s="33" t="s">
        <v>60</v>
      </c>
      <c r="H14" s="33" t="s">
        <v>61</v>
      </c>
      <c r="I14" s="33" t="s">
        <v>62</v>
      </c>
      <c r="J14" s="33" t="s">
        <v>63</v>
      </c>
      <c r="W14" s="1254"/>
      <c r="X14" t="s">
        <v>697</v>
      </c>
      <c r="Y14" t="s">
        <v>672</v>
      </c>
      <c r="Z14" s="144" t="str">
        <f t="shared" si="0"/>
        <v>M1.11</v>
      </c>
      <c r="AC14" s="780" t="s">
        <v>1536</v>
      </c>
      <c r="AD14" t="s">
        <v>1538</v>
      </c>
      <c r="AE14" t="s">
        <v>366</v>
      </c>
      <c r="AF14" s="525" t="s">
        <v>1547</v>
      </c>
    </row>
    <row r="15" spans="2:35" ht="15" customHeight="1" x14ac:dyDescent="0.25">
      <c r="B15" s="1252" t="s">
        <v>1020</v>
      </c>
      <c r="D15" s="63" t="s">
        <v>396</v>
      </c>
      <c r="E15" s="772">
        <v>0</v>
      </c>
      <c r="F15" s="772">
        <v>0</v>
      </c>
      <c r="G15" s="772">
        <v>0</v>
      </c>
      <c r="H15" s="773">
        <v>0</v>
      </c>
      <c r="I15" s="773">
        <v>0</v>
      </c>
      <c r="J15" s="772">
        <v>0</v>
      </c>
      <c r="W15" s="1254"/>
      <c r="X15" t="s">
        <v>698</v>
      </c>
      <c r="Y15" t="s">
        <v>652</v>
      </c>
      <c r="Z15" s="144" t="str">
        <f t="shared" si="0"/>
        <v>M1.12</v>
      </c>
      <c r="AC15" s="780" t="s">
        <v>403</v>
      </c>
      <c r="AD15" t="s">
        <v>1535</v>
      </c>
      <c r="AE15" t="s">
        <v>173</v>
      </c>
      <c r="AF15" s="525" t="s">
        <v>1549</v>
      </c>
    </row>
    <row r="16" spans="2:35" ht="15" customHeight="1" x14ac:dyDescent="0.25">
      <c r="B16" s="1252"/>
      <c r="D16" s="63" t="s">
        <v>51</v>
      </c>
      <c r="E16" s="772">
        <v>12000000</v>
      </c>
      <c r="F16" s="772">
        <v>2484</v>
      </c>
      <c r="G16" s="772">
        <v>1200000</v>
      </c>
      <c r="H16" s="773">
        <v>10</v>
      </c>
      <c r="I16" s="773">
        <v>4</v>
      </c>
      <c r="J16" s="772">
        <v>8694</v>
      </c>
      <c r="W16" s="1254"/>
      <c r="X16" t="s">
        <v>699</v>
      </c>
      <c r="Y16" t="s">
        <v>673</v>
      </c>
      <c r="Z16" s="144" t="str">
        <f t="shared" si="0"/>
        <v>M1.13</v>
      </c>
      <c r="AC16" s="780" t="s">
        <v>1523</v>
      </c>
      <c r="AD16" t="s">
        <v>1552</v>
      </c>
      <c r="AE16" t="s">
        <v>1558</v>
      </c>
      <c r="AF16" s="525" t="s">
        <v>1550</v>
      </c>
    </row>
    <row r="17" spans="2:32" ht="15" customHeight="1" thickBot="1" x14ac:dyDescent="0.3">
      <c r="B17" s="1252"/>
      <c r="D17" s="63" t="s">
        <v>1500</v>
      </c>
      <c r="E17" s="772">
        <v>6480500</v>
      </c>
      <c r="F17" s="772">
        <v>2484</v>
      </c>
      <c r="G17" s="772">
        <v>1200000</v>
      </c>
      <c r="H17" s="773">
        <v>5.0757000000000003</v>
      </c>
      <c r="I17" s="773">
        <v>2.5</v>
      </c>
      <c r="J17" s="772">
        <v>6210</v>
      </c>
      <c r="K17" t="s">
        <v>1501</v>
      </c>
      <c r="W17" s="1255"/>
      <c r="X17" s="377" t="s">
        <v>700</v>
      </c>
      <c r="Y17" s="377" t="s">
        <v>674</v>
      </c>
      <c r="Z17" s="378" t="str">
        <f t="shared" si="0"/>
        <v>M1.14</v>
      </c>
      <c r="AC17" s="781" t="s">
        <v>1524</v>
      </c>
      <c r="AD17" s="782" t="s">
        <v>1566</v>
      </c>
      <c r="AE17" s="782" t="s">
        <v>1565</v>
      </c>
      <c r="AF17" s="783" t="s">
        <v>1551</v>
      </c>
    </row>
    <row r="18" spans="2:32" ht="15" customHeight="1" x14ac:dyDescent="0.25">
      <c r="B18" s="1252"/>
      <c r="D18" s="63" t="s">
        <v>1499</v>
      </c>
      <c r="E18" s="772">
        <v>8439000</v>
      </c>
      <c r="F18" s="772">
        <v>2484</v>
      </c>
      <c r="G18" s="772">
        <v>1200000</v>
      </c>
      <c r="H18" s="773">
        <v>9.08</v>
      </c>
      <c r="I18" s="773">
        <v>2.5</v>
      </c>
      <c r="J18" s="772">
        <v>6210</v>
      </c>
      <c r="W18" s="1241" t="s">
        <v>6</v>
      </c>
      <c r="X18" s="375" t="s">
        <v>701</v>
      </c>
      <c r="Y18" s="375" t="s">
        <v>181</v>
      </c>
      <c r="Z18" s="376" t="str">
        <f t="shared" si="0"/>
        <v>M1.15</v>
      </c>
    </row>
    <row r="19" spans="2:32" ht="15" customHeight="1" x14ac:dyDescent="0.25">
      <c r="B19" s="1252"/>
      <c r="D19" s="63" t="s">
        <v>52</v>
      </c>
      <c r="E19" s="772">
        <v>5286000</v>
      </c>
      <c r="F19" s="772">
        <v>2484</v>
      </c>
      <c r="G19" s="772">
        <v>1200000</v>
      </c>
      <c r="H19" s="773">
        <v>4.3780000000000001</v>
      </c>
      <c r="I19" s="773">
        <v>1.617</v>
      </c>
      <c r="J19" s="772">
        <v>4017</v>
      </c>
      <c r="W19" s="1242"/>
      <c r="X19" t="s">
        <v>702</v>
      </c>
      <c r="Y19" t="s">
        <v>628</v>
      </c>
      <c r="Z19" s="144" t="str">
        <f t="shared" si="0"/>
        <v>M1.16</v>
      </c>
    </row>
    <row r="20" spans="2:32" ht="15" customHeight="1" x14ac:dyDescent="0.25">
      <c r="B20" s="1252"/>
      <c r="D20" s="63" t="s">
        <v>53</v>
      </c>
      <c r="E20" s="772">
        <f>MIN(N36,N38,N42)</f>
        <v>2136864</v>
      </c>
      <c r="F20" s="772">
        <v>30000</v>
      </c>
      <c r="G20" s="772">
        <v>3000000</v>
      </c>
      <c r="H20" s="773">
        <f>MIN(L36,L38,L42)</f>
        <v>0.71228800000000003</v>
      </c>
      <c r="I20" s="773">
        <f>MIN(M36,M38,M42)</f>
        <v>0.38140000000000002</v>
      </c>
      <c r="J20" s="772">
        <f>I20*F20</f>
        <v>11442</v>
      </c>
      <c r="W20" s="1242"/>
      <c r="X20" t="s">
        <v>703</v>
      </c>
      <c r="Y20" t="s">
        <v>180</v>
      </c>
      <c r="Z20" s="144" t="str">
        <f t="shared" si="0"/>
        <v>M1.17</v>
      </c>
    </row>
    <row r="21" spans="2:32" ht="15" customHeight="1" thickBot="1" x14ac:dyDescent="0.3">
      <c r="B21" s="1252"/>
      <c r="D21" s="63" t="s">
        <v>54</v>
      </c>
      <c r="E21" s="772">
        <f>N40</f>
        <v>218400</v>
      </c>
      <c r="F21" s="772">
        <v>8600</v>
      </c>
      <c r="G21" s="772">
        <v>240000</v>
      </c>
      <c r="H21" s="773">
        <f>L40</f>
        <v>0.91</v>
      </c>
      <c r="I21" s="773">
        <f>M40</f>
        <v>0.53529411764705881</v>
      </c>
      <c r="J21" s="772">
        <f>I21*F21</f>
        <v>4603.5294117647054</v>
      </c>
      <c r="W21" s="1243"/>
      <c r="X21" s="377" t="s">
        <v>704</v>
      </c>
      <c r="Y21" s="377" t="s">
        <v>179</v>
      </c>
      <c r="Z21" s="378" t="str">
        <f t="shared" si="0"/>
        <v>M1.18</v>
      </c>
      <c r="AC21" s="778" t="s">
        <v>388</v>
      </c>
      <c r="AD21" s="779" t="s">
        <v>558</v>
      </c>
    </row>
    <row r="22" spans="2:32" ht="15" customHeight="1" x14ac:dyDescent="0.25">
      <c r="B22" s="1252"/>
      <c r="D22" s="63" t="s">
        <v>56</v>
      </c>
      <c r="E22" s="772">
        <v>11355999</v>
      </c>
      <c r="F22" s="772">
        <v>30000</v>
      </c>
      <c r="G22" s="772">
        <v>3000000</v>
      </c>
      <c r="H22" s="773">
        <v>3.7853330000000001</v>
      </c>
      <c r="I22" s="773">
        <v>1.4009</v>
      </c>
      <c r="J22" s="772">
        <v>42028</v>
      </c>
      <c r="K22" t="s">
        <v>651</v>
      </c>
      <c r="W22" s="1241" t="s">
        <v>793</v>
      </c>
      <c r="X22" s="375" t="s">
        <v>705</v>
      </c>
      <c r="Y22" s="375" t="s">
        <v>163</v>
      </c>
      <c r="Z22" s="376" t="str">
        <f t="shared" si="0"/>
        <v>M1.19</v>
      </c>
      <c r="AC22" s="780" t="s">
        <v>389</v>
      </c>
      <c r="AD22" s="525" t="s">
        <v>558</v>
      </c>
    </row>
    <row r="23" spans="2:32" ht="15" customHeight="1" x14ac:dyDescent="0.25">
      <c r="B23" s="1252"/>
      <c r="D23" s="63" t="s">
        <v>332</v>
      </c>
      <c r="E23" s="772">
        <v>0</v>
      </c>
      <c r="F23" s="772">
        <v>0</v>
      </c>
      <c r="G23" s="772">
        <v>0</v>
      </c>
      <c r="H23" s="773">
        <v>0</v>
      </c>
      <c r="I23" s="773">
        <v>0</v>
      </c>
      <c r="J23" s="772">
        <f t="shared" ref="J23" si="1">I23*F23</f>
        <v>0</v>
      </c>
      <c r="W23" s="1242"/>
      <c r="X23" t="s">
        <v>706</v>
      </c>
      <c r="Y23" t="s">
        <v>792</v>
      </c>
      <c r="Z23" s="144" t="str">
        <f t="shared" si="0"/>
        <v>M1.20</v>
      </c>
      <c r="AC23" s="780" t="s">
        <v>390</v>
      </c>
      <c r="AD23" s="525" t="s">
        <v>558</v>
      </c>
    </row>
    <row r="24" spans="2:32" ht="15" customHeight="1" x14ac:dyDescent="0.25">
      <c r="B24" s="1252"/>
      <c r="D24" s="63" t="s">
        <v>1610</v>
      </c>
      <c r="E24" s="772">
        <v>3704041</v>
      </c>
      <c r="F24" s="772"/>
      <c r="G24" s="772">
        <v>0</v>
      </c>
      <c r="H24" s="773">
        <v>0</v>
      </c>
      <c r="I24" s="773">
        <v>0</v>
      </c>
      <c r="J24" s="772">
        <v>6633</v>
      </c>
      <c r="W24" s="1242"/>
      <c r="X24" t="s">
        <v>707</v>
      </c>
      <c r="Y24" t="s">
        <v>162</v>
      </c>
      <c r="Z24" s="144" t="str">
        <f t="shared" si="0"/>
        <v>M1.21</v>
      </c>
      <c r="AC24" s="780" t="s">
        <v>391</v>
      </c>
      <c r="AD24" s="525" t="s">
        <v>11</v>
      </c>
    </row>
    <row r="25" spans="2:32" ht="15" customHeight="1" thickBot="1" x14ac:dyDescent="0.3">
      <c r="B25" s="122"/>
      <c r="D25" s="63" t="s">
        <v>1611</v>
      </c>
      <c r="E25" s="772">
        <v>10298015</v>
      </c>
      <c r="F25" s="772"/>
      <c r="G25" s="772">
        <v>0</v>
      </c>
      <c r="H25" s="773">
        <v>0</v>
      </c>
      <c r="I25" s="773">
        <v>0</v>
      </c>
      <c r="J25" s="772">
        <v>7714</v>
      </c>
      <c r="W25" s="1243"/>
      <c r="X25" s="377" t="s">
        <v>708</v>
      </c>
      <c r="Y25" s="377" t="s">
        <v>483</v>
      </c>
      <c r="Z25" s="378" t="str">
        <f t="shared" si="0"/>
        <v>M1.22</v>
      </c>
      <c r="AC25" s="780" t="s">
        <v>392</v>
      </c>
      <c r="AD25" s="525" t="s">
        <v>11</v>
      </c>
    </row>
    <row r="26" spans="2:32" ht="15" customHeight="1" x14ac:dyDescent="0.25">
      <c r="B26" s="798" t="s">
        <v>1734</v>
      </c>
      <c r="D26" s="63" t="s">
        <v>55</v>
      </c>
      <c r="E26" s="772">
        <v>0</v>
      </c>
      <c r="F26" s="772">
        <v>0</v>
      </c>
      <c r="G26" s="772">
        <v>0</v>
      </c>
      <c r="H26" s="773">
        <v>0</v>
      </c>
      <c r="I26" s="773">
        <v>0</v>
      </c>
      <c r="J26" s="772">
        <v>0</v>
      </c>
      <c r="W26" s="1241" t="s">
        <v>546</v>
      </c>
      <c r="X26" s="375" t="s">
        <v>709</v>
      </c>
      <c r="Y26" s="375" t="s">
        <v>550</v>
      </c>
      <c r="Z26" s="376" t="str">
        <f t="shared" si="0"/>
        <v>M2.1</v>
      </c>
      <c r="AC26" s="780" t="s">
        <v>393</v>
      </c>
      <c r="AD26" s="525" t="s">
        <v>11</v>
      </c>
    </row>
    <row r="27" spans="2:32" ht="15" customHeight="1" x14ac:dyDescent="0.25">
      <c r="B27" s="798" t="s">
        <v>1735</v>
      </c>
      <c r="D27" s="63" t="s">
        <v>1525</v>
      </c>
      <c r="E27" s="772">
        <v>26929340</v>
      </c>
      <c r="F27" s="772">
        <v>0</v>
      </c>
      <c r="G27" s="772">
        <v>0</v>
      </c>
      <c r="H27" s="773">
        <v>0</v>
      </c>
      <c r="I27" s="773">
        <v>0</v>
      </c>
      <c r="J27" s="772">
        <v>16467</v>
      </c>
      <c r="W27" s="1242"/>
      <c r="X27" t="s">
        <v>710</v>
      </c>
      <c r="Y27" t="s">
        <v>548</v>
      </c>
      <c r="Z27" s="144" t="str">
        <f t="shared" si="0"/>
        <v>M2.2</v>
      </c>
      <c r="AC27" s="780" t="s">
        <v>332</v>
      </c>
      <c r="AD27" s="525" t="s">
        <v>6</v>
      </c>
    </row>
    <row r="28" spans="2:32" ht="15" customHeight="1" x14ac:dyDescent="0.25">
      <c r="B28" s="798" t="s">
        <v>1736</v>
      </c>
      <c r="D28" s="63" t="s">
        <v>1526</v>
      </c>
      <c r="E28" s="772">
        <v>27796917</v>
      </c>
      <c r="F28" s="772">
        <v>0</v>
      </c>
      <c r="G28" s="772">
        <v>0</v>
      </c>
      <c r="H28" s="773">
        <v>0</v>
      </c>
      <c r="I28" s="773">
        <v>0</v>
      </c>
      <c r="J28" s="772">
        <v>17018</v>
      </c>
      <c r="W28" s="1242"/>
      <c r="X28" t="s">
        <v>711</v>
      </c>
      <c r="Y28" t="s">
        <v>549</v>
      </c>
      <c r="Z28" s="144" t="str">
        <f t="shared" si="0"/>
        <v>M2.3</v>
      </c>
      <c r="AC28" s="780" t="s">
        <v>403</v>
      </c>
      <c r="AD28" s="525" t="s">
        <v>6</v>
      </c>
    </row>
    <row r="29" spans="2:32" ht="15" customHeight="1" x14ac:dyDescent="0.25">
      <c r="B29" s="122"/>
      <c r="D29" s="63" t="s">
        <v>1527</v>
      </c>
      <c r="E29" s="772">
        <v>14500000</v>
      </c>
      <c r="F29" s="772"/>
      <c r="G29" s="772"/>
      <c r="H29" s="773"/>
      <c r="I29" s="773"/>
      <c r="J29" s="772">
        <v>50000</v>
      </c>
      <c r="K29" t="s">
        <v>1529</v>
      </c>
      <c r="L29" s="77" t="s">
        <v>38</v>
      </c>
      <c r="W29" s="1242"/>
      <c r="X29" t="s">
        <v>712</v>
      </c>
      <c r="Y29" t="s">
        <v>217</v>
      </c>
      <c r="Z29" s="144" t="str">
        <f t="shared" si="0"/>
        <v>M2.4</v>
      </c>
      <c r="AC29" s="780" t="s">
        <v>1523</v>
      </c>
      <c r="AD29" s="525" t="s">
        <v>1542</v>
      </c>
    </row>
    <row r="30" spans="2:32" ht="15" customHeight="1" x14ac:dyDescent="0.25">
      <c r="B30" s="122"/>
      <c r="D30" s="63" t="s">
        <v>1528</v>
      </c>
      <c r="E30" s="772">
        <v>26500000</v>
      </c>
      <c r="F30" s="772"/>
      <c r="G30" s="772"/>
      <c r="H30" s="773"/>
      <c r="I30" s="773"/>
      <c r="J30" s="772">
        <v>50000</v>
      </c>
      <c r="K30" t="s">
        <v>1529</v>
      </c>
      <c r="L30" s="77" t="s">
        <v>1417</v>
      </c>
      <c r="W30" s="1242"/>
      <c r="X30" t="s">
        <v>713</v>
      </c>
      <c r="Y30" t="s">
        <v>212</v>
      </c>
      <c r="Z30" s="144" t="str">
        <f t="shared" si="0"/>
        <v>M2.5</v>
      </c>
      <c r="AC30" s="781" t="s">
        <v>1524</v>
      </c>
      <c r="AD30" s="783" t="s">
        <v>1543</v>
      </c>
    </row>
    <row r="31" spans="2:32" ht="15" customHeight="1" x14ac:dyDescent="0.25">
      <c r="D31" s="36" t="s">
        <v>64</v>
      </c>
      <c r="E31" s="772">
        <v>0</v>
      </c>
      <c r="F31" s="772">
        <v>0</v>
      </c>
      <c r="G31" s="772">
        <v>0</v>
      </c>
      <c r="H31" s="773">
        <v>0</v>
      </c>
      <c r="I31" s="773">
        <v>0</v>
      </c>
      <c r="J31" s="772">
        <v>0</v>
      </c>
      <c r="W31" s="1242"/>
      <c r="X31" t="s">
        <v>714</v>
      </c>
      <c r="Y31" t="s">
        <v>209</v>
      </c>
      <c r="Z31" s="144" t="str">
        <f t="shared" si="0"/>
        <v>M2.6</v>
      </c>
    </row>
    <row r="32" spans="2:32" ht="15" customHeight="1" thickBot="1" x14ac:dyDescent="0.3">
      <c r="D32" s="36" t="s">
        <v>65</v>
      </c>
      <c r="E32" s="772">
        <v>0</v>
      </c>
      <c r="F32" s="772">
        <v>0</v>
      </c>
      <c r="G32" s="772">
        <v>0</v>
      </c>
      <c r="H32" s="773">
        <v>0</v>
      </c>
      <c r="I32" s="773">
        <v>0</v>
      </c>
      <c r="J32" s="772">
        <v>0</v>
      </c>
      <c r="W32" s="1243"/>
      <c r="X32" s="377" t="s">
        <v>715</v>
      </c>
      <c r="Y32" s="377" t="s">
        <v>547</v>
      </c>
      <c r="Z32" s="378" t="str">
        <f t="shared" si="0"/>
        <v>M2.7</v>
      </c>
    </row>
    <row r="33" spans="3:26" ht="15" customHeight="1" x14ac:dyDescent="0.25">
      <c r="W33" s="1241" t="s">
        <v>794</v>
      </c>
      <c r="X33" s="375" t="s">
        <v>716</v>
      </c>
      <c r="Y33" s="375" t="s">
        <v>216</v>
      </c>
      <c r="Z33" s="376" t="str">
        <f t="shared" si="0"/>
        <v>M3.1</v>
      </c>
    </row>
    <row r="34" spans="3:26" ht="15" customHeight="1" thickBot="1" x14ac:dyDescent="0.3">
      <c r="W34" s="1242"/>
      <c r="X34" t="s">
        <v>717</v>
      </c>
      <c r="Y34" t="s">
        <v>215</v>
      </c>
      <c r="Z34" s="144" t="str">
        <f t="shared" si="0"/>
        <v>M3.2</v>
      </c>
    </row>
    <row r="35" spans="3:26" ht="15" customHeight="1" thickBot="1" x14ac:dyDescent="0.3">
      <c r="C35" s="1244" t="s">
        <v>406</v>
      </c>
      <c r="D35" s="80" t="s">
        <v>394</v>
      </c>
      <c r="E35" s="81">
        <f>2*J19</f>
        <v>8034</v>
      </c>
      <c r="F35" s="82">
        <f>2*E19</f>
        <v>10572000</v>
      </c>
      <c r="H35" s="5" t="s">
        <v>66</v>
      </c>
      <c r="I35" s="6"/>
      <c r="J35" s="6" t="s">
        <v>67</v>
      </c>
      <c r="K35" s="6" t="s">
        <v>68</v>
      </c>
      <c r="L35" s="6" t="s">
        <v>69</v>
      </c>
      <c r="M35" s="6" t="s">
        <v>70</v>
      </c>
      <c r="N35" s="6" t="s">
        <v>58</v>
      </c>
      <c r="O35" s="7" t="s">
        <v>71</v>
      </c>
      <c r="P35" s="774"/>
      <c r="Q35" s="774"/>
      <c r="R35" s="774"/>
      <c r="S35" s="774"/>
      <c r="W35" s="1242"/>
      <c r="X35" t="s">
        <v>718</v>
      </c>
      <c r="Y35" t="s">
        <v>214</v>
      </c>
      <c r="Z35" s="144" t="str">
        <f t="shared" si="0"/>
        <v>M3.3</v>
      </c>
    </row>
    <row r="36" spans="3:26" ht="15" customHeight="1" x14ac:dyDescent="0.25">
      <c r="C36" s="1245"/>
      <c r="D36" s="77" t="s">
        <v>1503</v>
      </c>
      <c r="E36" s="83">
        <f>J17+J19</f>
        <v>10227</v>
      </c>
      <c r="F36" s="84">
        <f>E17+E19</f>
        <v>11766500</v>
      </c>
      <c r="H36" s="111" t="s">
        <v>504</v>
      </c>
      <c r="I36" s="112"/>
      <c r="J36" s="113">
        <v>30000</v>
      </c>
      <c r="K36" s="113">
        <v>3000000</v>
      </c>
      <c r="L36" s="112">
        <v>1.059259</v>
      </c>
      <c r="M36" s="112">
        <v>0.4004796163069545</v>
      </c>
      <c r="N36" s="113">
        <f t="shared" ref="N36:N44" si="2">+L36*K36</f>
        <v>3177777</v>
      </c>
      <c r="O36" s="114">
        <f t="shared" ref="O36:O44" si="3">+M36*J36</f>
        <v>12014.388489208635</v>
      </c>
      <c r="P36" s="775"/>
      <c r="Q36" s="775"/>
      <c r="R36" s="775"/>
      <c r="S36" s="775"/>
      <c r="W36" s="1242"/>
      <c r="X36" t="s">
        <v>719</v>
      </c>
      <c r="Y36" t="s">
        <v>213</v>
      </c>
      <c r="Z36" s="144" t="str">
        <f t="shared" si="0"/>
        <v>M3.4</v>
      </c>
    </row>
    <row r="37" spans="3:26" ht="15" customHeight="1" x14ac:dyDescent="0.25">
      <c r="C37" s="1245"/>
      <c r="D37" s="77" t="s">
        <v>1504</v>
      </c>
      <c r="E37" s="83">
        <f>J19+J18</f>
        <v>10227</v>
      </c>
      <c r="F37" s="84">
        <f>E18+E19</f>
        <v>13725000</v>
      </c>
      <c r="H37" s="8" t="s">
        <v>72</v>
      </c>
      <c r="I37" s="9"/>
      <c r="J37" s="15">
        <v>30000</v>
      </c>
      <c r="K37" s="15">
        <v>3000000</v>
      </c>
      <c r="L37" s="9">
        <v>1.498</v>
      </c>
      <c r="M37" s="9">
        <v>0.9</v>
      </c>
      <c r="N37" s="15">
        <f t="shared" si="2"/>
        <v>4494000</v>
      </c>
      <c r="O37" s="16">
        <f t="shared" si="3"/>
        <v>27000</v>
      </c>
      <c r="P37" s="775"/>
      <c r="Q37" s="775"/>
      <c r="R37" s="775"/>
      <c r="S37" s="775"/>
      <c r="W37" s="1242"/>
      <c r="X37" t="s">
        <v>720</v>
      </c>
      <c r="Y37" t="s">
        <v>211</v>
      </c>
      <c r="Z37" s="144" t="str">
        <f t="shared" si="0"/>
        <v>M3.5</v>
      </c>
    </row>
    <row r="38" spans="3:26" ht="15" customHeight="1" x14ac:dyDescent="0.25">
      <c r="C38" s="1245"/>
      <c r="D38" s="77" t="s">
        <v>1505</v>
      </c>
      <c r="E38" s="83">
        <f>J19+J16</f>
        <v>12711</v>
      </c>
      <c r="F38" s="84">
        <f>E19+E16</f>
        <v>17286000</v>
      </c>
      <c r="H38" s="8" t="s">
        <v>503</v>
      </c>
      <c r="I38" s="9"/>
      <c r="J38" s="15">
        <v>30000</v>
      </c>
      <c r="K38" s="15">
        <v>3000000</v>
      </c>
      <c r="L38" s="9">
        <v>0.71228800000000003</v>
      </c>
      <c r="M38" s="9">
        <v>0.38140000000000002</v>
      </c>
      <c r="N38" s="15">
        <f t="shared" si="2"/>
        <v>2136864</v>
      </c>
      <c r="O38" s="16">
        <f t="shared" si="3"/>
        <v>11442</v>
      </c>
      <c r="P38" s="775"/>
      <c r="Q38" s="775"/>
      <c r="R38" s="775"/>
      <c r="S38" s="775"/>
      <c r="W38" s="1242"/>
      <c r="X38" t="s">
        <v>721</v>
      </c>
      <c r="Y38" t="s">
        <v>210</v>
      </c>
      <c r="Z38" s="144" t="str">
        <f t="shared" si="0"/>
        <v>M3.6</v>
      </c>
    </row>
    <row r="39" spans="3:26" ht="15" customHeight="1" x14ac:dyDescent="0.25">
      <c r="C39" s="1245"/>
      <c r="D39" s="77" t="s">
        <v>1506</v>
      </c>
      <c r="E39" s="83">
        <f>J17*2</f>
        <v>12420</v>
      </c>
      <c r="F39" s="84">
        <f>E17*2</f>
        <v>12961000</v>
      </c>
      <c r="H39" s="8" t="s">
        <v>73</v>
      </c>
      <c r="I39" s="9"/>
      <c r="J39" s="15">
        <v>30000</v>
      </c>
      <c r="K39" s="15">
        <v>3000000</v>
      </c>
      <c r="L39" s="9">
        <v>2.105</v>
      </c>
      <c r="M39" s="9">
        <v>1.2</v>
      </c>
      <c r="N39" s="15">
        <f t="shared" si="2"/>
        <v>6315000</v>
      </c>
      <c r="O39" s="16">
        <f t="shared" si="3"/>
        <v>36000</v>
      </c>
      <c r="P39" s="775"/>
      <c r="Q39" s="775"/>
      <c r="R39" s="775"/>
      <c r="S39" s="775"/>
      <c r="W39" s="1242"/>
      <c r="X39" t="s">
        <v>722</v>
      </c>
      <c r="Y39" t="s">
        <v>208</v>
      </c>
      <c r="Z39" s="144" t="str">
        <f t="shared" si="0"/>
        <v>M3.7</v>
      </c>
    </row>
    <row r="40" spans="3:26" ht="15" customHeight="1" x14ac:dyDescent="0.25">
      <c r="C40" s="1245"/>
      <c r="D40" s="77" t="s">
        <v>1507</v>
      </c>
      <c r="E40" s="83">
        <f>J17+J18</f>
        <v>12420</v>
      </c>
      <c r="F40" s="84">
        <f>E17+E18</f>
        <v>14919500</v>
      </c>
      <c r="H40" s="8" t="s">
        <v>74</v>
      </c>
      <c r="I40" s="9"/>
      <c r="J40" s="15">
        <v>8600</v>
      </c>
      <c r="K40" s="15">
        <v>240000</v>
      </c>
      <c r="L40" s="9">
        <v>0.91</v>
      </c>
      <c r="M40" s="9">
        <v>0.53529411764705881</v>
      </c>
      <c r="N40" s="15">
        <f t="shared" si="2"/>
        <v>218400</v>
      </c>
      <c r="O40" s="16">
        <f t="shared" si="3"/>
        <v>4603.5294117647054</v>
      </c>
      <c r="P40" s="775"/>
      <c r="Q40" s="775"/>
      <c r="R40" s="775"/>
      <c r="S40" s="775"/>
      <c r="W40" s="1242"/>
      <c r="X40" t="s">
        <v>723</v>
      </c>
      <c r="Y40" t="s">
        <v>207</v>
      </c>
      <c r="Z40" s="144" t="str">
        <f t="shared" si="0"/>
        <v>M3.8</v>
      </c>
    </row>
    <row r="41" spans="3:26" ht="15" customHeight="1" x14ac:dyDescent="0.25">
      <c r="C41" s="1245"/>
      <c r="D41" s="77" t="s">
        <v>1508</v>
      </c>
      <c r="E41" s="83">
        <f>J18*2</f>
        <v>12420</v>
      </c>
      <c r="F41" s="84">
        <f>E18*2</f>
        <v>16878000</v>
      </c>
      <c r="H41" s="8" t="s">
        <v>75</v>
      </c>
      <c r="I41" s="9"/>
      <c r="J41" s="15">
        <v>30000</v>
      </c>
      <c r="K41" s="15">
        <v>3000000</v>
      </c>
      <c r="L41" s="9">
        <v>3.2120000000000002</v>
      </c>
      <c r="M41" s="9">
        <v>1.42</v>
      </c>
      <c r="N41" s="15">
        <f t="shared" si="2"/>
        <v>9636000</v>
      </c>
      <c r="O41" s="16">
        <f>+M41*J41</f>
        <v>42600</v>
      </c>
      <c r="P41" s="775"/>
      <c r="Q41" s="775"/>
      <c r="R41" s="775"/>
      <c r="S41" s="775"/>
      <c r="W41" s="1242"/>
      <c r="X41" t="s">
        <v>724</v>
      </c>
      <c r="Y41" t="s">
        <v>206</v>
      </c>
      <c r="Z41" s="144" t="str">
        <f t="shared" si="0"/>
        <v>M3.9</v>
      </c>
    </row>
    <row r="42" spans="3:26" ht="15" customHeight="1" x14ac:dyDescent="0.25">
      <c r="C42" s="1245"/>
      <c r="D42" s="77" t="s">
        <v>1509</v>
      </c>
      <c r="E42" s="83">
        <f>J16*2</f>
        <v>17388</v>
      </c>
      <c r="F42" s="84">
        <f>E16*2</f>
        <v>24000000</v>
      </c>
      <c r="H42" s="10" t="s">
        <v>76</v>
      </c>
      <c r="I42" s="9"/>
      <c r="J42" s="15">
        <v>30000</v>
      </c>
      <c r="K42" s="15">
        <v>3000000</v>
      </c>
      <c r="L42" s="9">
        <v>0.86318899999999998</v>
      </c>
      <c r="M42" s="9">
        <v>0.3841775754126352</v>
      </c>
      <c r="N42" s="15">
        <f t="shared" si="2"/>
        <v>2589567</v>
      </c>
      <c r="O42" s="16">
        <f t="shared" si="3"/>
        <v>11525.327262379056</v>
      </c>
      <c r="P42" s="775"/>
      <c r="Q42" s="775"/>
      <c r="R42" s="775"/>
      <c r="S42" s="775"/>
      <c r="W42" s="1242"/>
      <c r="X42" t="s">
        <v>725</v>
      </c>
      <c r="Y42" t="s">
        <v>205</v>
      </c>
      <c r="Z42" s="144" t="str">
        <f t="shared" si="0"/>
        <v>M3.10</v>
      </c>
    </row>
    <row r="43" spans="3:26" ht="15" customHeight="1" thickBot="1" x14ac:dyDescent="0.3">
      <c r="C43" s="1245"/>
      <c r="D43" s="77" t="s">
        <v>395</v>
      </c>
      <c r="E43" s="83">
        <f>J19</f>
        <v>4017</v>
      </c>
      <c r="F43" s="84">
        <f>E19</f>
        <v>5286000</v>
      </c>
      <c r="H43" s="11" t="s">
        <v>77</v>
      </c>
      <c r="I43" s="12"/>
      <c r="J43" s="17">
        <v>8600</v>
      </c>
      <c r="K43" s="17">
        <v>240000</v>
      </c>
      <c r="L43" s="12">
        <v>1.111</v>
      </c>
      <c r="M43" s="12">
        <v>0.60184182015167931</v>
      </c>
      <c r="N43" s="17">
        <f t="shared" si="2"/>
        <v>266640</v>
      </c>
      <c r="O43" s="18">
        <f t="shared" si="3"/>
        <v>5175.8396533044424</v>
      </c>
      <c r="P43" s="775"/>
      <c r="Q43" s="775"/>
      <c r="R43" s="775"/>
      <c r="S43" s="775"/>
      <c r="W43" s="1242"/>
      <c r="X43" t="s">
        <v>726</v>
      </c>
      <c r="Y43" t="s">
        <v>204</v>
      </c>
      <c r="Z43" s="144" t="str">
        <f t="shared" si="0"/>
        <v>M3.11</v>
      </c>
    </row>
    <row r="44" spans="3:26" ht="15" customHeight="1" x14ac:dyDescent="0.25">
      <c r="C44" s="1245"/>
      <c r="D44" s="77" t="s">
        <v>1510</v>
      </c>
      <c r="E44" s="83">
        <f>J17</f>
        <v>6210</v>
      </c>
      <c r="F44" s="84">
        <f>E17</f>
        <v>6480500</v>
      </c>
      <c r="I44" s="13" t="s">
        <v>1530</v>
      </c>
      <c r="J44" s="19">
        <v>2484</v>
      </c>
      <c r="K44" s="20">
        <v>1200000</v>
      </c>
      <c r="L44" s="20">
        <v>4.3780000000000001</v>
      </c>
      <c r="M44" s="20">
        <v>1.617</v>
      </c>
      <c r="N44" s="20">
        <f t="shared" si="2"/>
        <v>5253600</v>
      </c>
      <c r="O44" s="21">
        <f t="shared" si="3"/>
        <v>4016.6280000000002</v>
      </c>
      <c r="P44" s="776"/>
      <c r="Q44" s="776"/>
      <c r="R44" s="776"/>
      <c r="S44" s="776"/>
      <c r="W44" s="1242"/>
      <c r="X44" t="s">
        <v>727</v>
      </c>
      <c r="Y44" t="s">
        <v>203</v>
      </c>
      <c r="Z44" s="144" t="str">
        <f t="shared" si="0"/>
        <v>M3.12</v>
      </c>
    </row>
    <row r="45" spans="3:26" ht="15" customHeight="1" x14ac:dyDescent="0.25">
      <c r="C45" s="1245"/>
      <c r="D45" s="77" t="s">
        <v>1511</v>
      </c>
      <c r="E45" s="83">
        <f>J18</f>
        <v>6210</v>
      </c>
      <c r="F45" s="84">
        <f>E18</f>
        <v>8439000</v>
      </c>
      <c r="W45" s="1242"/>
      <c r="X45" t="s">
        <v>728</v>
      </c>
      <c r="Y45" t="s">
        <v>201</v>
      </c>
      <c r="Z45" s="144" t="str">
        <f t="shared" si="0"/>
        <v>M3.13</v>
      </c>
    </row>
    <row r="46" spans="3:26" ht="15" customHeight="1" x14ac:dyDescent="0.25">
      <c r="C46" s="1245"/>
      <c r="D46" s="77" t="s">
        <v>1512</v>
      </c>
      <c r="E46" s="83">
        <f>J16</f>
        <v>8694</v>
      </c>
      <c r="F46" s="84">
        <f>E16</f>
        <v>12000000</v>
      </c>
      <c r="W46" s="1242"/>
      <c r="X46" t="s">
        <v>729</v>
      </c>
      <c r="Y46" t="s">
        <v>199</v>
      </c>
      <c r="Z46" s="144" t="str">
        <f t="shared" si="0"/>
        <v>M3.14</v>
      </c>
    </row>
    <row r="47" spans="3:26" ht="15" customHeight="1" x14ac:dyDescent="0.25">
      <c r="C47" s="1245"/>
      <c r="D47" s="77" t="s">
        <v>396</v>
      </c>
      <c r="E47" s="83">
        <f>J15</f>
        <v>0</v>
      </c>
      <c r="F47" s="84">
        <f>E15</f>
        <v>0</v>
      </c>
      <c r="W47" s="1242"/>
      <c r="X47" t="s">
        <v>730</v>
      </c>
      <c r="Y47" t="s">
        <v>197</v>
      </c>
      <c r="Z47" s="144" t="str">
        <f t="shared" si="0"/>
        <v>M3.15</v>
      </c>
    </row>
    <row r="48" spans="3:26" ht="15" customHeight="1" thickBot="1" x14ac:dyDescent="0.3">
      <c r="C48" s="1246"/>
      <c r="D48" s="85"/>
      <c r="E48" s="86"/>
      <c r="F48" s="87"/>
      <c r="H48" s="22"/>
      <c r="I48" s="23"/>
      <c r="J48" s="24" t="s">
        <v>78</v>
      </c>
      <c r="K48" s="24" t="s">
        <v>79</v>
      </c>
      <c r="L48" s="25" t="s">
        <v>80</v>
      </c>
      <c r="M48" s="25" t="s">
        <v>81</v>
      </c>
      <c r="W48" s="1242"/>
      <c r="X48" t="s">
        <v>731</v>
      </c>
      <c r="Y48" t="s">
        <v>195</v>
      </c>
      <c r="Z48" s="144" t="str">
        <f t="shared" si="0"/>
        <v>M3.16</v>
      </c>
    </row>
    <row r="49" spans="3:26" ht="15" customHeight="1" thickBot="1" x14ac:dyDescent="0.3">
      <c r="D49" s="77"/>
      <c r="E49" s="79"/>
      <c r="F49" s="79"/>
      <c r="H49" s="22"/>
      <c r="I49" s="23"/>
      <c r="J49" s="26" t="s">
        <v>82</v>
      </c>
      <c r="K49" s="26" t="s">
        <v>83</v>
      </c>
      <c r="L49" s="26" t="s">
        <v>82</v>
      </c>
      <c r="M49" s="26" t="s">
        <v>83</v>
      </c>
      <c r="W49" s="1243"/>
      <c r="X49" s="377" t="s">
        <v>732</v>
      </c>
      <c r="Y49" s="377" t="s">
        <v>193</v>
      </c>
      <c r="Z49" s="378" t="str">
        <f t="shared" si="0"/>
        <v>M3.17</v>
      </c>
    </row>
    <row r="50" spans="3:26" ht="15" customHeight="1" x14ac:dyDescent="0.25">
      <c r="C50" s="1244" t="s">
        <v>11</v>
      </c>
      <c r="D50" s="80" t="s">
        <v>394</v>
      </c>
      <c r="E50" s="81">
        <f>2*J20</f>
        <v>22884</v>
      </c>
      <c r="F50" s="82">
        <f>E20*2</f>
        <v>4273728</v>
      </c>
      <c r="H50" s="27" t="s">
        <v>84</v>
      </c>
      <c r="I50" s="25" t="s">
        <v>85</v>
      </c>
      <c r="J50" s="25">
        <v>8.7566000000000006</v>
      </c>
      <c r="K50" s="25">
        <v>3.234</v>
      </c>
      <c r="L50" s="25">
        <v>0.27700000000000002</v>
      </c>
      <c r="M50" s="25">
        <v>0.39500000000000002</v>
      </c>
      <c r="W50" s="1241" t="s">
        <v>37</v>
      </c>
      <c r="X50" s="375" t="s">
        <v>733</v>
      </c>
      <c r="Y50" s="375" t="s">
        <v>361</v>
      </c>
      <c r="Z50" s="376" t="str">
        <f t="shared" si="0"/>
        <v>M4.1</v>
      </c>
    </row>
    <row r="51" spans="3:26" ht="15" customHeight="1" x14ac:dyDescent="0.25">
      <c r="C51" s="1245"/>
      <c r="D51" s="77" t="s">
        <v>397</v>
      </c>
      <c r="E51" s="83">
        <f>J20+J22</f>
        <v>53470</v>
      </c>
      <c r="F51" s="84">
        <f>E20+E22</f>
        <v>13492863</v>
      </c>
      <c r="J51" s="14">
        <f>J50*G17</f>
        <v>10507920</v>
      </c>
      <c r="W51" s="1242"/>
      <c r="X51" t="s">
        <v>734</v>
      </c>
      <c r="Y51" t="s">
        <v>360</v>
      </c>
      <c r="Z51" s="144" t="str">
        <f t="shared" si="0"/>
        <v>M4.2</v>
      </c>
    </row>
    <row r="52" spans="3:26" ht="15" customHeight="1" x14ac:dyDescent="0.25">
      <c r="C52" s="1245"/>
      <c r="D52" s="77" t="s">
        <v>399</v>
      </c>
      <c r="E52" s="83">
        <f>J21+J20</f>
        <v>16045.529411764706</v>
      </c>
      <c r="F52" s="84">
        <f>E20+E21</f>
        <v>2355264</v>
      </c>
      <c r="J52" s="14">
        <f>J51/2</f>
        <v>5253960</v>
      </c>
      <c r="W52" s="1242"/>
      <c r="X52" t="s">
        <v>735</v>
      </c>
      <c r="Y52" t="s">
        <v>359</v>
      </c>
      <c r="Z52" s="144" t="str">
        <f t="shared" si="0"/>
        <v>M4.3</v>
      </c>
    </row>
    <row r="53" spans="3:26" ht="15" customHeight="1" x14ac:dyDescent="0.25">
      <c r="C53" s="1245"/>
      <c r="D53" s="77" t="s">
        <v>401</v>
      </c>
      <c r="E53" s="83">
        <f>J22*2</f>
        <v>84056</v>
      </c>
      <c r="F53" s="84">
        <f>E22*2</f>
        <v>22711998</v>
      </c>
      <c r="W53" s="1242"/>
      <c r="X53" t="s">
        <v>736</v>
      </c>
      <c r="Y53" t="s">
        <v>358</v>
      </c>
      <c r="Z53" s="144" t="str">
        <f t="shared" si="0"/>
        <v>M4.4</v>
      </c>
    </row>
    <row r="54" spans="3:26" ht="15" customHeight="1" x14ac:dyDescent="0.25">
      <c r="C54" s="1245"/>
      <c r="D54" s="77" t="s">
        <v>404</v>
      </c>
      <c r="E54" s="83">
        <f>J22+J21</f>
        <v>46631.529411764706</v>
      </c>
      <c r="F54" s="84">
        <f>E22+E21</f>
        <v>11574399</v>
      </c>
      <c r="W54" s="1242"/>
      <c r="X54" t="s">
        <v>737</v>
      </c>
      <c r="Y54" t="s">
        <v>357</v>
      </c>
      <c r="Z54" s="144" t="str">
        <f t="shared" si="0"/>
        <v>M4.5</v>
      </c>
    </row>
    <row r="55" spans="3:26" x14ac:dyDescent="0.25">
      <c r="C55" s="1245"/>
      <c r="D55" s="77" t="s">
        <v>402</v>
      </c>
      <c r="E55" s="83">
        <f>J21*2</f>
        <v>9207.0588235294108</v>
      </c>
      <c r="F55" s="84">
        <f>E21*2</f>
        <v>436800</v>
      </c>
      <c r="W55" s="1242"/>
      <c r="X55" t="s">
        <v>738</v>
      </c>
      <c r="Y55" t="s">
        <v>356</v>
      </c>
      <c r="Z55" s="144" t="str">
        <f t="shared" si="0"/>
        <v>M4.6</v>
      </c>
    </row>
    <row r="56" spans="3:26" ht="15" customHeight="1" x14ac:dyDescent="0.25">
      <c r="C56" s="1245"/>
      <c r="D56" s="77" t="s">
        <v>395</v>
      </c>
      <c r="E56" s="83">
        <f>J20</f>
        <v>11442</v>
      </c>
      <c r="F56" s="84">
        <f>E20</f>
        <v>2136864</v>
      </c>
      <c r="I56" t="s">
        <v>86</v>
      </c>
      <c r="K56" s="1247" t="s">
        <v>567</v>
      </c>
      <c r="L56" s="1248"/>
      <c r="W56" s="1242"/>
      <c r="X56" t="s">
        <v>739</v>
      </c>
      <c r="Y56" t="s">
        <v>355</v>
      </c>
      <c r="Z56" s="144" t="str">
        <f t="shared" si="0"/>
        <v>M4.7</v>
      </c>
    </row>
    <row r="57" spans="3:26" ht="15" customHeight="1" x14ac:dyDescent="0.25">
      <c r="C57" s="1245"/>
      <c r="D57" s="77" t="s">
        <v>398</v>
      </c>
      <c r="E57" s="83">
        <v>42028</v>
      </c>
      <c r="F57" s="84">
        <v>11355999</v>
      </c>
      <c r="I57" t="s">
        <v>87</v>
      </c>
      <c r="J57" s="4" t="s">
        <v>88</v>
      </c>
      <c r="K57" s="787" t="s">
        <v>532</v>
      </c>
      <c r="L57" s="788" t="s">
        <v>1603</v>
      </c>
      <c r="M57" t="s">
        <v>1596</v>
      </c>
      <c r="N57" t="s">
        <v>1757</v>
      </c>
      <c r="W57" s="1242"/>
      <c r="X57" t="s">
        <v>740</v>
      </c>
      <c r="Y57" t="s">
        <v>354</v>
      </c>
      <c r="Z57" s="144" t="str">
        <f t="shared" si="0"/>
        <v>M4.8</v>
      </c>
    </row>
    <row r="58" spans="3:26" ht="15" customHeight="1" x14ac:dyDescent="0.25">
      <c r="C58" s="1245"/>
      <c r="D58" s="77" t="s">
        <v>1442</v>
      </c>
      <c r="E58" s="83">
        <v>11442</v>
      </c>
      <c r="F58" s="84">
        <v>2136864</v>
      </c>
      <c r="I58" s="4">
        <v>110</v>
      </c>
      <c r="J58" s="4">
        <v>4</v>
      </c>
      <c r="K58" s="787" t="s">
        <v>577</v>
      </c>
      <c r="L58" s="788" t="s">
        <v>1604</v>
      </c>
      <c r="M58" t="s">
        <v>1597</v>
      </c>
      <c r="N58" t="s">
        <v>1758</v>
      </c>
      <c r="W58" s="1242"/>
      <c r="X58" t="s">
        <v>741</v>
      </c>
      <c r="Y58" t="s">
        <v>353</v>
      </c>
      <c r="Z58" s="144" t="str">
        <f t="shared" si="0"/>
        <v>M4.9</v>
      </c>
    </row>
    <row r="59" spans="3:26" ht="15" customHeight="1" x14ac:dyDescent="0.25">
      <c r="C59" s="1245"/>
      <c r="D59" s="77" t="s">
        <v>400</v>
      </c>
      <c r="E59" s="83">
        <f>J21</f>
        <v>4603.5294117647054</v>
      </c>
      <c r="F59" s="84">
        <f>E21</f>
        <v>218400</v>
      </c>
      <c r="I59" s="4">
        <v>120</v>
      </c>
      <c r="J59" s="4">
        <v>3</v>
      </c>
      <c r="K59" s="789" t="s">
        <v>533</v>
      </c>
      <c r="L59" s="790" t="s">
        <v>1605</v>
      </c>
      <c r="W59" s="1242"/>
      <c r="X59" t="s">
        <v>742</v>
      </c>
      <c r="Y59" t="s">
        <v>352</v>
      </c>
      <c r="Z59" s="144" t="str">
        <f t="shared" si="0"/>
        <v>M4.10</v>
      </c>
    </row>
    <row r="60" spans="3:26" ht="15" customHeight="1" x14ac:dyDescent="0.25">
      <c r="C60" s="1245"/>
      <c r="D60" s="77" t="s">
        <v>396</v>
      </c>
      <c r="E60" s="83">
        <v>0</v>
      </c>
      <c r="F60" s="84">
        <v>0</v>
      </c>
      <c r="I60" s="4">
        <v>130</v>
      </c>
      <c r="J60" s="4">
        <v>2</v>
      </c>
      <c r="W60" s="1242"/>
      <c r="X60" t="s">
        <v>743</v>
      </c>
      <c r="Y60" t="s">
        <v>351</v>
      </c>
      <c r="Z60" s="144" t="str">
        <f t="shared" si="0"/>
        <v>M4.11</v>
      </c>
    </row>
    <row r="61" spans="3:26" ht="15" customHeight="1" x14ac:dyDescent="0.25">
      <c r="C61" s="1245"/>
      <c r="D61" s="77" t="s">
        <v>685</v>
      </c>
      <c r="E61" s="83">
        <f>J15</f>
        <v>0</v>
      </c>
      <c r="F61" s="84">
        <f>E15</f>
        <v>0</v>
      </c>
      <c r="I61" s="4">
        <v>141</v>
      </c>
      <c r="J61" s="4">
        <v>1</v>
      </c>
      <c r="W61" s="1242"/>
      <c r="X61" t="s">
        <v>744</v>
      </c>
      <c r="Y61" t="s">
        <v>350</v>
      </c>
      <c r="Z61" s="144" t="str">
        <f t="shared" si="0"/>
        <v>M4.12</v>
      </c>
    </row>
    <row r="62" spans="3:26" ht="15" customHeight="1" x14ac:dyDescent="0.25">
      <c r="C62" s="1245"/>
      <c r="D62" s="77" t="s">
        <v>1539</v>
      </c>
      <c r="E62" s="83">
        <v>0</v>
      </c>
      <c r="F62" s="84">
        <v>0</v>
      </c>
      <c r="G62" t="s">
        <v>1540</v>
      </c>
      <c r="W62" s="1242"/>
      <c r="X62" t="s">
        <v>745</v>
      </c>
      <c r="Y62" t="s">
        <v>349</v>
      </c>
      <c r="Z62" s="144" t="str">
        <f t="shared" si="0"/>
        <v>M4.13</v>
      </c>
    </row>
    <row r="63" spans="3:26" ht="15" customHeight="1" thickBot="1" x14ac:dyDescent="0.3">
      <c r="C63" s="1246"/>
      <c r="D63" s="85" t="s">
        <v>645</v>
      </c>
      <c r="E63" s="86">
        <v>0</v>
      </c>
      <c r="F63" s="87">
        <v>0</v>
      </c>
      <c r="G63" t="s">
        <v>1541</v>
      </c>
      <c r="I63" t="s">
        <v>89</v>
      </c>
      <c r="W63" s="1242"/>
      <c r="X63" t="s">
        <v>746</v>
      </c>
      <c r="Y63" t="s">
        <v>348</v>
      </c>
      <c r="Z63" s="144" t="str">
        <f t="shared" si="0"/>
        <v>M4.14</v>
      </c>
    </row>
    <row r="64" spans="3:26" ht="15" customHeight="1" thickBot="1" x14ac:dyDescent="0.3">
      <c r="D64" s="77"/>
      <c r="E64" s="78"/>
      <c r="F64" s="79"/>
      <c r="I64" t="s">
        <v>87</v>
      </c>
      <c r="J64" s="4" t="s">
        <v>88</v>
      </c>
      <c r="W64" s="1242"/>
      <c r="X64" t="s">
        <v>747</v>
      </c>
      <c r="Y64" t="s">
        <v>347</v>
      </c>
      <c r="Z64" s="144" t="str">
        <f t="shared" si="0"/>
        <v>M4.15</v>
      </c>
    </row>
    <row r="65" spans="3:26" ht="15" customHeight="1" x14ac:dyDescent="0.25">
      <c r="C65" s="1244" t="s">
        <v>6</v>
      </c>
      <c r="D65" s="80" t="s">
        <v>394</v>
      </c>
      <c r="E65" s="81">
        <v>0</v>
      </c>
      <c r="F65" s="82">
        <v>0</v>
      </c>
      <c r="I65" s="4">
        <v>130</v>
      </c>
      <c r="J65" s="4">
        <v>4</v>
      </c>
      <c r="W65" s="1242"/>
      <c r="X65" t="s">
        <v>748</v>
      </c>
      <c r="Y65" t="s">
        <v>346</v>
      </c>
      <c r="Z65" s="144" t="str">
        <f t="shared" si="0"/>
        <v>M4.16</v>
      </c>
    </row>
    <row r="66" spans="3:26" ht="15" customHeight="1" thickBot="1" x14ac:dyDescent="0.3">
      <c r="C66" s="1245"/>
      <c r="D66" s="77" t="s">
        <v>1612</v>
      </c>
      <c r="E66" s="83">
        <f>J24</f>
        <v>6633</v>
      </c>
      <c r="F66" s="84">
        <f>E24</f>
        <v>3704041</v>
      </c>
      <c r="I66" s="4">
        <v>140</v>
      </c>
      <c r="J66" s="4">
        <v>3</v>
      </c>
      <c r="W66" s="1243"/>
      <c r="X66" s="377" t="s">
        <v>749</v>
      </c>
      <c r="Y66" s="377" t="s">
        <v>345</v>
      </c>
      <c r="Z66" s="378" t="str">
        <f t="shared" si="0"/>
        <v>M4.17</v>
      </c>
    </row>
    <row r="67" spans="3:26" ht="15" customHeight="1" x14ac:dyDescent="0.25">
      <c r="C67" s="1245"/>
      <c r="D67" s="77" t="s">
        <v>1613</v>
      </c>
      <c r="E67" s="83">
        <f>J25</f>
        <v>7714</v>
      </c>
      <c r="F67" s="84">
        <f>E25</f>
        <v>10298015</v>
      </c>
      <c r="I67" s="4">
        <v>150</v>
      </c>
      <c r="J67" s="4">
        <v>2</v>
      </c>
      <c r="W67" s="1241" t="s">
        <v>443</v>
      </c>
      <c r="X67" s="375" t="s">
        <v>750</v>
      </c>
      <c r="Y67" s="375" t="s">
        <v>591</v>
      </c>
      <c r="Z67" s="376" t="str">
        <f t="shared" si="0"/>
        <v>M5.1</v>
      </c>
    </row>
    <row r="68" spans="3:26" ht="15" customHeight="1" x14ac:dyDescent="0.25">
      <c r="C68" s="1245"/>
      <c r="D68" s="77" t="s">
        <v>1614</v>
      </c>
      <c r="E68" s="83">
        <f>J24*2</f>
        <v>13266</v>
      </c>
      <c r="F68" s="84">
        <f>E24*2</f>
        <v>7408082</v>
      </c>
      <c r="I68" s="4">
        <v>161</v>
      </c>
      <c r="J68" s="4">
        <v>1</v>
      </c>
      <c r="W68" s="1242"/>
      <c r="X68" t="s">
        <v>751</v>
      </c>
      <c r="Y68" t="s">
        <v>590</v>
      </c>
      <c r="Z68" s="144" t="str">
        <f t="shared" si="0"/>
        <v>M5.2</v>
      </c>
    </row>
    <row r="69" spans="3:26" ht="15" customHeight="1" x14ac:dyDescent="0.25">
      <c r="C69" s="1245"/>
      <c r="D69" s="77" t="s">
        <v>1615</v>
      </c>
      <c r="E69" s="83">
        <f>J25*2</f>
        <v>15428</v>
      </c>
      <c r="F69" s="84">
        <f>E25*2</f>
        <v>20596030</v>
      </c>
      <c r="W69" s="1242"/>
      <c r="X69" t="s">
        <v>752</v>
      </c>
      <c r="Y69" t="s">
        <v>589</v>
      </c>
      <c r="Z69" s="144" t="str">
        <f t="shared" ref="Z69:Z108" si="4">X69</f>
        <v>M5.3</v>
      </c>
    </row>
    <row r="70" spans="3:26" ht="15" customHeight="1" x14ac:dyDescent="0.25">
      <c r="C70" s="1245"/>
      <c r="D70" s="77" t="s">
        <v>395</v>
      </c>
      <c r="E70" s="83">
        <v>0</v>
      </c>
      <c r="F70" s="84">
        <v>0</v>
      </c>
      <c r="W70" s="1242"/>
      <c r="X70" t="s">
        <v>753</v>
      </c>
      <c r="Y70" t="s">
        <v>588</v>
      </c>
      <c r="Z70" s="144" t="str">
        <f t="shared" si="4"/>
        <v>M5.4</v>
      </c>
    </row>
    <row r="71" spans="3:26" ht="15" customHeight="1" x14ac:dyDescent="0.25">
      <c r="C71" s="1245"/>
      <c r="D71" s="77" t="s">
        <v>1616</v>
      </c>
      <c r="E71" s="83">
        <f>J24</f>
        <v>6633</v>
      </c>
      <c r="F71" s="84">
        <f>E24</f>
        <v>3704041</v>
      </c>
      <c r="I71" t="s">
        <v>1516</v>
      </c>
      <c r="W71" s="1242"/>
      <c r="X71" t="s">
        <v>754</v>
      </c>
      <c r="Y71" t="s">
        <v>587</v>
      </c>
      <c r="Z71" s="144" t="str">
        <f t="shared" si="4"/>
        <v>M5.5</v>
      </c>
    </row>
    <row r="72" spans="3:26" ht="15" customHeight="1" thickBot="1" x14ac:dyDescent="0.3">
      <c r="C72" s="1245"/>
      <c r="D72" s="77" t="s">
        <v>1617</v>
      </c>
      <c r="E72" s="83">
        <f>J25</f>
        <v>7714</v>
      </c>
      <c r="F72" s="84">
        <f>E25</f>
        <v>10298015</v>
      </c>
      <c r="H72" t="s">
        <v>1519</v>
      </c>
      <c r="I72" t="s">
        <v>1520</v>
      </c>
      <c r="W72" s="1243"/>
      <c r="X72" s="377" t="s">
        <v>755</v>
      </c>
      <c r="Y72" s="377" t="s">
        <v>586</v>
      </c>
      <c r="Z72" s="378" t="str">
        <f t="shared" si="4"/>
        <v>M5.6</v>
      </c>
    </row>
    <row r="73" spans="3:26" ht="15" customHeight="1" thickBot="1" x14ac:dyDescent="0.3">
      <c r="C73" s="1246"/>
      <c r="D73" s="85" t="s">
        <v>396</v>
      </c>
      <c r="E73" s="86">
        <v>0</v>
      </c>
      <c r="F73" s="87">
        <v>0</v>
      </c>
      <c r="H73" t="s">
        <v>1518</v>
      </c>
      <c r="I73" t="s">
        <v>1521</v>
      </c>
      <c r="W73" s="1241" t="s">
        <v>543</v>
      </c>
      <c r="X73" s="375" t="s">
        <v>756</v>
      </c>
      <c r="Y73" s="375" t="s">
        <v>202</v>
      </c>
      <c r="Z73" s="376" t="str">
        <f t="shared" si="4"/>
        <v>M6.1</v>
      </c>
    </row>
    <row r="74" spans="3:26" ht="15.75" thickBot="1" x14ac:dyDescent="0.3">
      <c r="H74" t="s">
        <v>1517</v>
      </c>
      <c r="I74" t="s">
        <v>1522</v>
      </c>
      <c r="W74" s="1242"/>
      <c r="X74" t="s">
        <v>757</v>
      </c>
      <c r="Y74" t="s">
        <v>200</v>
      </c>
      <c r="Z74" s="144" t="str">
        <f t="shared" si="4"/>
        <v>M6.2</v>
      </c>
    </row>
    <row r="75" spans="3:26" x14ac:dyDescent="0.25">
      <c r="C75" s="1244" t="s">
        <v>1523</v>
      </c>
      <c r="D75" s="80" t="s">
        <v>394</v>
      </c>
      <c r="E75" s="81">
        <f>J27*2</f>
        <v>32934</v>
      </c>
      <c r="F75" s="82">
        <f>E27*2</f>
        <v>53858680</v>
      </c>
      <c r="W75" s="1242"/>
      <c r="X75" t="s">
        <v>758</v>
      </c>
      <c r="Y75" t="s">
        <v>198</v>
      </c>
      <c r="Z75" s="144" t="str">
        <f t="shared" si="4"/>
        <v>M6.3</v>
      </c>
    </row>
    <row r="76" spans="3:26" x14ac:dyDescent="0.25">
      <c r="C76" s="1245"/>
      <c r="D76" s="77" t="s">
        <v>397</v>
      </c>
      <c r="E76" s="83">
        <f>J27+J28</f>
        <v>33485</v>
      </c>
      <c r="F76" s="84">
        <f>E27+E28</f>
        <v>54726257</v>
      </c>
      <c r="W76" s="1242"/>
      <c r="X76" t="s">
        <v>759</v>
      </c>
      <c r="Y76" t="s">
        <v>196</v>
      </c>
      <c r="Z76" s="144" t="str">
        <f t="shared" si="4"/>
        <v>M6.4</v>
      </c>
    </row>
    <row r="77" spans="3:26" x14ac:dyDescent="0.25">
      <c r="C77" s="1245"/>
      <c r="D77" s="77" t="s">
        <v>401</v>
      </c>
      <c r="E77" s="83">
        <f>J28*2</f>
        <v>34036</v>
      </c>
      <c r="F77" s="84">
        <f>E28*2</f>
        <v>55593834</v>
      </c>
      <c r="W77" s="1242"/>
      <c r="X77" t="s">
        <v>760</v>
      </c>
      <c r="Y77" t="s">
        <v>194</v>
      </c>
      <c r="Z77" s="144" t="str">
        <f t="shared" si="4"/>
        <v>M6.5</v>
      </c>
    </row>
    <row r="78" spans="3:26" x14ac:dyDescent="0.25">
      <c r="C78" s="1245"/>
      <c r="D78" s="77" t="s">
        <v>395</v>
      </c>
      <c r="E78" s="83">
        <f>J27</f>
        <v>16467</v>
      </c>
      <c r="F78" s="84">
        <f>E27</f>
        <v>26929340</v>
      </c>
      <c r="W78" s="1242"/>
      <c r="X78" t="s">
        <v>761</v>
      </c>
      <c r="Y78" t="s">
        <v>192</v>
      </c>
      <c r="Z78" s="144" t="str">
        <f t="shared" si="4"/>
        <v>M6.6</v>
      </c>
    </row>
    <row r="79" spans="3:26" x14ac:dyDescent="0.25">
      <c r="C79" s="1245"/>
      <c r="D79" s="77" t="s">
        <v>398</v>
      </c>
      <c r="E79" s="83">
        <f>J28</f>
        <v>17018</v>
      </c>
      <c r="F79" s="84">
        <f>E28</f>
        <v>27796917</v>
      </c>
      <c r="W79" s="1242"/>
      <c r="X79" t="s">
        <v>762</v>
      </c>
      <c r="Y79" t="s">
        <v>191</v>
      </c>
      <c r="Z79" s="144" t="str">
        <f t="shared" si="4"/>
        <v>M6.7</v>
      </c>
    </row>
    <row r="80" spans="3:26" ht="15" customHeight="1" thickBot="1" x14ac:dyDescent="0.3">
      <c r="C80" s="1246"/>
      <c r="D80" s="85" t="s">
        <v>396</v>
      </c>
      <c r="E80" s="86">
        <v>0</v>
      </c>
      <c r="F80" s="87">
        <v>0</v>
      </c>
      <c r="W80" s="1242"/>
      <c r="X80" t="s">
        <v>763</v>
      </c>
      <c r="Y80" t="s">
        <v>797</v>
      </c>
      <c r="Z80" s="144" t="str">
        <f t="shared" si="4"/>
        <v>M6.8</v>
      </c>
    </row>
    <row r="81" spans="3:26" ht="15.75" thickBot="1" x14ac:dyDescent="0.3">
      <c r="W81" s="1242"/>
      <c r="X81" t="s">
        <v>764</v>
      </c>
      <c r="Y81" t="s">
        <v>797</v>
      </c>
      <c r="Z81" s="144" t="str">
        <f t="shared" si="4"/>
        <v>M6.9</v>
      </c>
    </row>
    <row r="82" spans="3:26" x14ac:dyDescent="0.25">
      <c r="C82" s="1244" t="s">
        <v>1524</v>
      </c>
      <c r="D82" s="80" t="s">
        <v>394</v>
      </c>
      <c r="E82" s="81">
        <f>J29*2</f>
        <v>100000</v>
      </c>
      <c r="F82" s="82">
        <f>E29*2</f>
        <v>29000000</v>
      </c>
      <c r="W82" s="1242"/>
      <c r="X82" t="s">
        <v>765</v>
      </c>
      <c r="Y82" t="s">
        <v>797</v>
      </c>
      <c r="Z82" s="144" t="str">
        <f t="shared" si="4"/>
        <v>M6.10</v>
      </c>
    </row>
    <row r="83" spans="3:26" x14ac:dyDescent="0.25">
      <c r="C83" s="1245"/>
      <c r="D83" s="77" t="s">
        <v>397</v>
      </c>
      <c r="E83" s="83">
        <f>J29+J30</f>
        <v>100000</v>
      </c>
      <c r="F83" s="84">
        <f>E30+E29</f>
        <v>41000000</v>
      </c>
      <c r="W83" s="1242"/>
      <c r="X83" t="s">
        <v>766</v>
      </c>
      <c r="Y83" t="s">
        <v>797</v>
      </c>
      <c r="Z83" s="144" t="str">
        <f t="shared" si="4"/>
        <v>M6.11</v>
      </c>
    </row>
    <row r="84" spans="3:26" x14ac:dyDescent="0.25">
      <c r="C84" s="1245"/>
      <c r="D84" s="77" t="s">
        <v>401</v>
      </c>
      <c r="E84" s="83">
        <f>J30*2</f>
        <v>100000</v>
      </c>
      <c r="F84" s="84">
        <f>E30*2</f>
        <v>53000000</v>
      </c>
      <c r="W84" s="1242"/>
      <c r="X84" t="s">
        <v>767</v>
      </c>
      <c r="Y84" t="s">
        <v>797</v>
      </c>
      <c r="Z84" s="144" t="str">
        <f t="shared" si="4"/>
        <v>M6.12</v>
      </c>
    </row>
    <row r="85" spans="3:26" x14ac:dyDescent="0.25">
      <c r="C85" s="1245"/>
      <c r="D85" s="77" t="s">
        <v>395</v>
      </c>
      <c r="E85" s="83">
        <f>J29</f>
        <v>50000</v>
      </c>
      <c r="F85" s="84">
        <f>E29</f>
        <v>14500000</v>
      </c>
      <c r="W85" s="1242"/>
      <c r="X85" t="s">
        <v>768</v>
      </c>
      <c r="Y85" t="s">
        <v>797</v>
      </c>
      <c r="Z85" s="144" t="str">
        <f t="shared" si="4"/>
        <v>M6.13</v>
      </c>
    </row>
    <row r="86" spans="3:26" ht="15.75" thickBot="1" x14ac:dyDescent="0.3">
      <c r="C86" s="1245"/>
      <c r="D86" s="77" t="s">
        <v>398</v>
      </c>
      <c r="E86" s="83">
        <f>J30</f>
        <v>50000</v>
      </c>
      <c r="F86" s="84">
        <f>E30</f>
        <v>26500000</v>
      </c>
      <c r="W86" s="1243"/>
      <c r="X86" s="377" t="s">
        <v>769</v>
      </c>
      <c r="Y86" s="377" t="s">
        <v>797</v>
      </c>
      <c r="Z86" s="378" t="str">
        <f t="shared" si="4"/>
        <v>M6.14</v>
      </c>
    </row>
    <row r="87" spans="3:26" ht="15.75" thickBot="1" x14ac:dyDescent="0.3">
      <c r="C87" s="1246"/>
      <c r="D87" s="85" t="s">
        <v>396</v>
      </c>
      <c r="E87" s="86">
        <v>0</v>
      </c>
      <c r="F87" s="87">
        <v>0</v>
      </c>
      <c r="W87" s="1241" t="s">
        <v>795</v>
      </c>
      <c r="X87" s="375" t="s">
        <v>770</v>
      </c>
      <c r="Y87" s="375" t="s">
        <v>798</v>
      </c>
      <c r="Z87" s="376" t="str">
        <f t="shared" si="4"/>
        <v>M7.1</v>
      </c>
    </row>
    <row r="88" spans="3:26" x14ac:dyDescent="0.25">
      <c r="W88" s="1242"/>
      <c r="X88" t="s">
        <v>771</v>
      </c>
      <c r="Y88" t="s">
        <v>798</v>
      </c>
      <c r="Z88" s="144" t="str">
        <f t="shared" si="4"/>
        <v>M7.2</v>
      </c>
    </row>
    <row r="89" spans="3:26" x14ac:dyDescent="0.25">
      <c r="W89" s="1242"/>
      <c r="X89" t="s">
        <v>772</v>
      </c>
      <c r="Y89" t="s">
        <v>654</v>
      </c>
      <c r="Z89" s="144" t="str">
        <f t="shared" si="4"/>
        <v>M7.3</v>
      </c>
    </row>
    <row r="90" spans="3:26" x14ac:dyDescent="0.25">
      <c r="W90" s="1242"/>
      <c r="X90" t="s">
        <v>773</v>
      </c>
      <c r="Y90" t="s">
        <v>798</v>
      </c>
      <c r="Z90" s="144" t="str">
        <f t="shared" si="4"/>
        <v>M7.4</v>
      </c>
    </row>
    <row r="91" spans="3:26" ht="15.75" thickBot="1" x14ac:dyDescent="0.3">
      <c r="W91" s="1243"/>
      <c r="X91" s="377" t="s">
        <v>774</v>
      </c>
      <c r="Y91" s="377" t="s">
        <v>798</v>
      </c>
      <c r="Z91" s="378" t="str">
        <f t="shared" si="4"/>
        <v>M7.5</v>
      </c>
    </row>
    <row r="92" spans="3:26" x14ac:dyDescent="0.25">
      <c r="W92" s="1241" t="s">
        <v>796</v>
      </c>
      <c r="X92" s="375" t="s">
        <v>775</v>
      </c>
      <c r="Y92" s="375" t="s">
        <v>216</v>
      </c>
      <c r="Z92" s="376" t="str">
        <f t="shared" si="4"/>
        <v>M8.1</v>
      </c>
    </row>
    <row r="93" spans="3:26" x14ac:dyDescent="0.25">
      <c r="W93" s="1242"/>
      <c r="X93" t="s">
        <v>776</v>
      </c>
      <c r="Y93" t="s">
        <v>215</v>
      </c>
      <c r="Z93" s="144" t="str">
        <f t="shared" si="4"/>
        <v>M8.2</v>
      </c>
    </row>
    <row r="94" spans="3:26" x14ac:dyDescent="0.25">
      <c r="W94" s="1242"/>
      <c r="X94" t="s">
        <v>777</v>
      </c>
      <c r="Y94" t="s">
        <v>214</v>
      </c>
      <c r="Z94" s="144" t="str">
        <f t="shared" si="4"/>
        <v>M8.3</v>
      </c>
    </row>
    <row r="95" spans="3:26" x14ac:dyDescent="0.25">
      <c r="W95" s="1242"/>
      <c r="X95" t="s">
        <v>778</v>
      </c>
      <c r="Y95" t="s">
        <v>213</v>
      </c>
      <c r="Z95" s="144" t="str">
        <f t="shared" si="4"/>
        <v>M8.4</v>
      </c>
    </row>
    <row r="96" spans="3:26" x14ac:dyDescent="0.25">
      <c r="W96" s="1242"/>
      <c r="X96" t="s">
        <v>779</v>
      </c>
      <c r="Y96" t="s">
        <v>211</v>
      </c>
      <c r="Z96" s="144" t="str">
        <f t="shared" si="4"/>
        <v>M8.5</v>
      </c>
    </row>
    <row r="97" spans="23:26" x14ac:dyDescent="0.25">
      <c r="W97" s="1242"/>
      <c r="X97" t="s">
        <v>780</v>
      </c>
      <c r="Y97" t="s">
        <v>210</v>
      </c>
      <c r="Z97" s="144" t="str">
        <f t="shared" si="4"/>
        <v>M8.6</v>
      </c>
    </row>
    <row r="98" spans="23:26" x14ac:dyDescent="0.25">
      <c r="W98" s="1242"/>
      <c r="X98" t="s">
        <v>781</v>
      </c>
      <c r="Y98" t="s">
        <v>208</v>
      </c>
      <c r="Z98" s="144" t="str">
        <f t="shared" si="4"/>
        <v>M8.7</v>
      </c>
    </row>
    <row r="99" spans="23:26" x14ac:dyDescent="0.25">
      <c r="W99" s="1242"/>
      <c r="X99" t="s">
        <v>782</v>
      </c>
      <c r="Y99" t="s">
        <v>207</v>
      </c>
      <c r="Z99" s="144" t="str">
        <f t="shared" si="4"/>
        <v>M8.8</v>
      </c>
    </row>
    <row r="100" spans="23:26" x14ac:dyDescent="0.25">
      <c r="W100" s="1242"/>
      <c r="X100" t="s">
        <v>783</v>
      </c>
      <c r="Y100" t="s">
        <v>206</v>
      </c>
      <c r="Z100" s="144" t="str">
        <f t="shared" si="4"/>
        <v>M8.9</v>
      </c>
    </row>
    <row r="101" spans="23:26" x14ac:dyDescent="0.25">
      <c r="W101" s="1242"/>
      <c r="X101" t="s">
        <v>784</v>
      </c>
      <c r="Y101" t="s">
        <v>205</v>
      </c>
      <c r="Z101" s="144" t="str">
        <f t="shared" si="4"/>
        <v>M8.10</v>
      </c>
    </row>
    <row r="102" spans="23:26" x14ac:dyDescent="0.25">
      <c r="W102" s="1242"/>
      <c r="X102" t="s">
        <v>785</v>
      </c>
      <c r="Y102" t="s">
        <v>204</v>
      </c>
      <c r="Z102" s="144" t="str">
        <f t="shared" si="4"/>
        <v>M8.11</v>
      </c>
    </row>
    <row r="103" spans="23:26" x14ac:dyDescent="0.25">
      <c r="W103" s="1242"/>
      <c r="X103" t="s">
        <v>786</v>
      </c>
      <c r="Y103" t="s">
        <v>203</v>
      </c>
      <c r="Z103" s="144" t="str">
        <f t="shared" si="4"/>
        <v>M8.12</v>
      </c>
    </row>
    <row r="104" spans="23:26" x14ac:dyDescent="0.25">
      <c r="W104" s="1242"/>
      <c r="X104" t="s">
        <v>787</v>
      </c>
      <c r="Y104" t="s">
        <v>201</v>
      </c>
      <c r="Z104" s="144" t="str">
        <f t="shared" si="4"/>
        <v>M8.13</v>
      </c>
    </row>
    <row r="105" spans="23:26" x14ac:dyDescent="0.25">
      <c r="W105" s="1242"/>
      <c r="X105" t="s">
        <v>788</v>
      </c>
      <c r="Y105" t="s">
        <v>199</v>
      </c>
      <c r="Z105" s="144" t="str">
        <f t="shared" si="4"/>
        <v>M8.14</v>
      </c>
    </row>
    <row r="106" spans="23:26" x14ac:dyDescent="0.25">
      <c r="W106" s="1242"/>
      <c r="X106" t="s">
        <v>789</v>
      </c>
      <c r="Y106" t="s">
        <v>197</v>
      </c>
      <c r="Z106" s="144" t="str">
        <f t="shared" si="4"/>
        <v>M8.15</v>
      </c>
    </row>
    <row r="107" spans="23:26" x14ac:dyDescent="0.25">
      <c r="W107" s="1242"/>
      <c r="X107" t="s">
        <v>790</v>
      </c>
      <c r="Y107" t="s">
        <v>195</v>
      </c>
      <c r="Z107" s="144" t="str">
        <f t="shared" si="4"/>
        <v>M8.16</v>
      </c>
    </row>
    <row r="108" spans="23:26" ht="15.75" thickBot="1" x14ac:dyDescent="0.3">
      <c r="W108" s="1243"/>
      <c r="X108" s="377" t="s">
        <v>791</v>
      </c>
      <c r="Y108" s="377" t="s">
        <v>193</v>
      </c>
      <c r="Z108" s="378" t="str">
        <f t="shared" si="4"/>
        <v>M8.17</v>
      </c>
    </row>
  </sheetData>
  <mergeCells count="20">
    <mergeCell ref="B15:B24"/>
    <mergeCell ref="W13:W17"/>
    <mergeCell ref="W8:W12"/>
    <mergeCell ref="W33:W49"/>
    <mergeCell ref="C35:C48"/>
    <mergeCell ref="AC3:AF3"/>
    <mergeCell ref="W73:W86"/>
    <mergeCell ref="W67:W72"/>
    <mergeCell ref="W4:W7"/>
    <mergeCell ref="W22:W25"/>
    <mergeCell ref="W26:W32"/>
    <mergeCell ref="W18:W21"/>
    <mergeCell ref="W87:W91"/>
    <mergeCell ref="W92:W108"/>
    <mergeCell ref="W50:W66"/>
    <mergeCell ref="C82:C87"/>
    <mergeCell ref="C50:C63"/>
    <mergeCell ref="C65:C73"/>
    <mergeCell ref="C75:C80"/>
    <mergeCell ref="K56:L56"/>
  </mergeCells>
  <phoneticPr fontId="11" type="noConversion"/>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35262-1F96-44FB-B238-3F29A40FA1E3}">
  <sheetPr>
    <tabColor theme="0" tint="-0.34998626667073579"/>
  </sheetPr>
  <dimension ref="B1:AH50"/>
  <sheetViews>
    <sheetView zoomScale="80" zoomScaleNormal="80" workbookViewId="0">
      <selection activeCell="Z27" sqref="Z27"/>
    </sheetView>
  </sheetViews>
  <sheetFormatPr defaultColWidth="9.140625" defaultRowHeight="15" x14ac:dyDescent="0.25"/>
  <cols>
    <col min="1" max="24" width="9.140625" style="469"/>
    <col min="25" max="25" width="5.7109375" style="469" customWidth="1"/>
    <col min="26" max="26" width="6.7109375" style="469" customWidth="1"/>
    <col min="27" max="33" width="9.140625" style="469"/>
    <col min="34" max="34" width="5.7109375" style="469" customWidth="1"/>
    <col min="35" max="16384" width="9.140625" style="469"/>
  </cols>
  <sheetData>
    <row r="1" spans="2:34" ht="15.75" thickBot="1" x14ac:dyDescent="0.3"/>
    <row r="2" spans="2:34" ht="57" customHeight="1" thickBot="1" x14ac:dyDescent="0.3">
      <c r="B2" s="1257" t="s">
        <v>447</v>
      </c>
      <c r="C2" s="1258"/>
      <c r="D2" s="1258"/>
      <c r="E2" s="1258"/>
      <c r="F2" s="1258"/>
      <c r="G2" s="1258"/>
      <c r="H2" s="1258"/>
      <c r="I2" s="1258"/>
      <c r="J2" s="1258"/>
      <c r="K2" s="1258"/>
      <c r="L2" s="1258"/>
      <c r="M2" s="1258"/>
      <c r="N2" s="1258"/>
      <c r="O2" s="1258"/>
      <c r="P2" s="1258"/>
      <c r="Q2" s="1258"/>
      <c r="R2" s="1258"/>
      <c r="S2" s="1258"/>
      <c r="T2" s="1258"/>
      <c r="U2" s="1258"/>
      <c r="V2" s="1259"/>
    </row>
    <row r="3" spans="2:34" ht="18.95" customHeight="1" x14ac:dyDescent="0.25">
      <c r="B3" s="470"/>
      <c r="C3" s="470"/>
      <c r="D3" s="470"/>
      <c r="E3" s="470"/>
      <c r="F3" s="470"/>
      <c r="G3" s="470"/>
      <c r="H3" s="470"/>
      <c r="I3" s="470"/>
      <c r="J3" s="470"/>
      <c r="K3" s="470"/>
      <c r="L3" s="470"/>
      <c r="M3" s="470"/>
      <c r="N3" s="470"/>
      <c r="O3" s="470"/>
      <c r="P3" s="470"/>
      <c r="Q3" s="470"/>
      <c r="R3" s="470"/>
      <c r="S3" s="470"/>
      <c r="T3" s="470"/>
      <c r="U3" s="470"/>
      <c r="V3" s="470"/>
      <c r="Y3" s="1273" t="s">
        <v>90</v>
      </c>
      <c r="Z3" s="1274"/>
      <c r="AA3" s="1274"/>
      <c r="AB3" s="1274"/>
      <c r="AC3" s="1274"/>
      <c r="AD3" s="1274"/>
      <c r="AE3" s="1274"/>
      <c r="AF3" s="1274"/>
      <c r="AG3" s="1274"/>
      <c r="AH3" s="1275"/>
    </row>
    <row r="4" spans="2:34" ht="18.95" customHeight="1" thickBot="1" x14ac:dyDescent="0.4">
      <c r="B4" s="1260" t="s">
        <v>1043</v>
      </c>
      <c r="C4" s="1260"/>
      <c r="D4" s="1260"/>
      <c r="E4" s="1260"/>
      <c r="F4" s="1260"/>
      <c r="Y4" s="1276"/>
      <c r="Z4" s="1277"/>
      <c r="AA4" s="1277"/>
      <c r="AB4" s="1277"/>
      <c r="AC4" s="1277"/>
      <c r="AD4" s="1277"/>
      <c r="AE4" s="1277"/>
      <c r="AF4" s="1277"/>
      <c r="AG4" s="1277"/>
      <c r="AH4" s="1278"/>
    </row>
    <row r="5" spans="2:34" ht="18.95" customHeight="1" thickBot="1" x14ac:dyDescent="0.3">
      <c r="W5" s="732"/>
      <c r="X5" s="732"/>
      <c r="Y5" s="732"/>
      <c r="Z5" s="732"/>
      <c r="AA5" s="732"/>
      <c r="AB5" s="732"/>
      <c r="AC5" s="732"/>
      <c r="AD5" s="732"/>
      <c r="AE5" s="732"/>
      <c r="AF5" s="732"/>
      <c r="AG5" s="732"/>
      <c r="AH5" s="732"/>
    </row>
    <row r="6" spans="2:34" ht="15" customHeight="1" x14ac:dyDescent="0.25">
      <c r="B6" s="1261"/>
      <c r="C6" s="1262"/>
      <c r="D6" s="1262"/>
      <c r="E6" s="1262"/>
      <c r="F6" s="1262"/>
      <c r="G6" s="1262"/>
      <c r="H6" s="1262"/>
      <c r="I6" s="1262"/>
      <c r="J6" s="1262"/>
      <c r="K6" s="1262"/>
      <c r="L6" s="1262"/>
      <c r="M6" s="1262"/>
      <c r="N6" s="1262"/>
      <c r="O6" s="1262"/>
      <c r="P6" s="1262"/>
      <c r="Q6" s="1262"/>
      <c r="R6" s="1262"/>
      <c r="S6" s="1262"/>
      <c r="T6" s="1262"/>
      <c r="U6" s="1262"/>
      <c r="V6" s="1263"/>
      <c r="W6" s="732"/>
      <c r="X6" s="732"/>
      <c r="Y6" s="726"/>
      <c r="Z6" s="727"/>
      <c r="AA6" s="727"/>
      <c r="AB6" s="727"/>
      <c r="AC6" s="727"/>
      <c r="AD6" s="727"/>
      <c r="AE6" s="727"/>
      <c r="AF6" s="727"/>
      <c r="AG6" s="727"/>
      <c r="AH6" s="737"/>
    </row>
    <row r="7" spans="2:34" ht="23.25" x14ac:dyDescent="0.35">
      <c r="B7" s="1264"/>
      <c r="C7" s="1265"/>
      <c r="D7" s="1265"/>
      <c r="E7" s="1265"/>
      <c r="F7" s="1265"/>
      <c r="G7" s="1265"/>
      <c r="H7" s="1265"/>
      <c r="I7" s="1265"/>
      <c r="J7" s="1265"/>
      <c r="K7" s="1265"/>
      <c r="L7" s="1265"/>
      <c r="M7" s="1265"/>
      <c r="N7" s="1265"/>
      <c r="O7" s="1265"/>
      <c r="P7" s="1265"/>
      <c r="Q7" s="1265"/>
      <c r="R7" s="1265"/>
      <c r="S7" s="1265"/>
      <c r="T7" s="1265"/>
      <c r="U7" s="1265"/>
      <c r="V7" s="1266"/>
      <c r="W7" s="732"/>
      <c r="X7" s="732"/>
      <c r="Y7" s="728"/>
      <c r="Z7" s="734" t="s">
        <v>1486</v>
      </c>
      <c r="AA7" s="731"/>
      <c r="AB7" s="731"/>
      <c r="AC7" s="731"/>
      <c r="AD7" s="731"/>
      <c r="AE7" s="731"/>
      <c r="AF7" s="731"/>
      <c r="AG7" s="731"/>
      <c r="AH7" s="738"/>
    </row>
    <row r="8" spans="2:34" ht="18.75" x14ac:dyDescent="0.3">
      <c r="B8" s="1264"/>
      <c r="C8" s="1265"/>
      <c r="D8" s="1265"/>
      <c r="E8" s="1265"/>
      <c r="F8" s="1265"/>
      <c r="G8" s="1265"/>
      <c r="H8" s="1265"/>
      <c r="I8" s="1265"/>
      <c r="J8" s="1265"/>
      <c r="K8" s="1265"/>
      <c r="L8" s="1265"/>
      <c r="M8" s="1265"/>
      <c r="N8" s="1265"/>
      <c r="O8" s="1265"/>
      <c r="P8" s="1265"/>
      <c r="Q8" s="1265"/>
      <c r="R8" s="1265"/>
      <c r="S8" s="1265"/>
      <c r="T8" s="1265"/>
      <c r="U8" s="1265"/>
      <c r="V8" s="1266"/>
      <c r="W8" s="732"/>
      <c r="X8" s="732"/>
      <c r="Y8" s="728"/>
      <c r="Z8" s="1270" t="s">
        <v>1489</v>
      </c>
      <c r="AA8" s="1270"/>
      <c r="AB8" s="1271" t="s">
        <v>1487</v>
      </c>
      <c r="AC8" s="1271"/>
      <c r="AD8" s="1271"/>
      <c r="AE8" s="1271"/>
      <c r="AF8" s="1271"/>
      <c r="AG8" s="731"/>
      <c r="AH8" s="738"/>
    </row>
    <row r="9" spans="2:34" ht="18.75" x14ac:dyDescent="0.3">
      <c r="B9" s="1264"/>
      <c r="C9" s="1265"/>
      <c r="D9" s="1265"/>
      <c r="E9" s="1265"/>
      <c r="F9" s="1265"/>
      <c r="G9" s="1265"/>
      <c r="H9" s="1265"/>
      <c r="I9" s="1265"/>
      <c r="J9" s="1265"/>
      <c r="K9" s="1265"/>
      <c r="L9" s="1265"/>
      <c r="M9" s="1265"/>
      <c r="N9" s="1265"/>
      <c r="O9" s="1265"/>
      <c r="P9" s="1265"/>
      <c r="Q9" s="1265"/>
      <c r="R9" s="1265"/>
      <c r="S9" s="1265"/>
      <c r="T9" s="1265"/>
      <c r="U9" s="1265"/>
      <c r="V9" s="1266"/>
      <c r="W9" s="732"/>
      <c r="X9" s="732"/>
      <c r="Y9" s="728"/>
      <c r="Z9" s="1270" t="s">
        <v>1490</v>
      </c>
      <c r="AA9" s="1270"/>
      <c r="AB9" s="1256" t="s">
        <v>1488</v>
      </c>
      <c r="AC9" s="1256"/>
      <c r="AD9" s="1256"/>
      <c r="AE9" s="1256"/>
      <c r="AF9" s="1256"/>
      <c r="AG9" s="731"/>
      <c r="AH9" s="738"/>
    </row>
    <row r="10" spans="2:34" ht="18.75" x14ac:dyDescent="0.3">
      <c r="B10" s="1264"/>
      <c r="C10" s="1265"/>
      <c r="D10" s="1265"/>
      <c r="E10" s="1265"/>
      <c r="F10" s="1265"/>
      <c r="G10" s="1265"/>
      <c r="H10" s="1265"/>
      <c r="I10" s="1265"/>
      <c r="J10" s="1265"/>
      <c r="K10" s="1265"/>
      <c r="L10" s="1265"/>
      <c r="M10" s="1265"/>
      <c r="N10" s="1265"/>
      <c r="O10" s="1265"/>
      <c r="P10" s="1265"/>
      <c r="Q10" s="1265"/>
      <c r="R10" s="1265"/>
      <c r="S10" s="1265"/>
      <c r="T10" s="1265"/>
      <c r="U10" s="1265"/>
      <c r="V10" s="1266"/>
      <c r="W10" s="732"/>
      <c r="X10" s="732"/>
      <c r="Y10" s="728"/>
      <c r="Z10" s="1270" t="s">
        <v>1491</v>
      </c>
      <c r="AA10" s="1270"/>
      <c r="AB10" s="1270"/>
      <c r="AC10" s="733"/>
      <c r="AD10" s="733"/>
      <c r="AE10" s="733"/>
      <c r="AF10" s="733"/>
      <c r="AG10" s="731"/>
      <c r="AH10" s="738"/>
    </row>
    <row r="11" spans="2:34" ht="18.75" customHeight="1" x14ac:dyDescent="0.3">
      <c r="B11" s="1264"/>
      <c r="C11" s="1265"/>
      <c r="D11" s="1265"/>
      <c r="E11" s="1265"/>
      <c r="F11" s="1265"/>
      <c r="G11" s="1265"/>
      <c r="H11" s="1265"/>
      <c r="I11" s="1265"/>
      <c r="J11" s="1265"/>
      <c r="K11" s="1265"/>
      <c r="L11" s="1265"/>
      <c r="M11" s="1265"/>
      <c r="N11" s="1265"/>
      <c r="O11" s="1265"/>
      <c r="P11" s="1265"/>
      <c r="Q11" s="1265"/>
      <c r="R11" s="1265"/>
      <c r="S11" s="1265"/>
      <c r="T11" s="1265"/>
      <c r="U11" s="1265"/>
      <c r="V11" s="1266"/>
      <c r="W11" s="732"/>
      <c r="X11" s="732"/>
      <c r="Y11" s="728"/>
      <c r="Z11" s="735" t="s">
        <v>1492</v>
      </c>
      <c r="AA11" s="1272" t="s">
        <v>1493</v>
      </c>
      <c r="AB11" s="1272"/>
      <c r="AC11" s="1272"/>
      <c r="AD11" s="1272"/>
      <c r="AE11" s="1272"/>
      <c r="AF11" s="1272"/>
      <c r="AG11" s="1272"/>
      <c r="AH11" s="738"/>
    </row>
    <row r="12" spans="2:34" ht="18.75" x14ac:dyDescent="0.3">
      <c r="B12" s="1264"/>
      <c r="C12" s="1265"/>
      <c r="D12" s="1265"/>
      <c r="E12" s="1265"/>
      <c r="F12" s="1265"/>
      <c r="G12" s="1265"/>
      <c r="H12" s="1265"/>
      <c r="I12" s="1265"/>
      <c r="J12" s="1265"/>
      <c r="K12" s="1265"/>
      <c r="L12" s="1265"/>
      <c r="M12" s="1265"/>
      <c r="N12" s="1265"/>
      <c r="O12" s="1265"/>
      <c r="P12" s="1265"/>
      <c r="Q12" s="1265"/>
      <c r="R12" s="1265"/>
      <c r="S12" s="1265"/>
      <c r="T12" s="1265"/>
      <c r="U12" s="1265"/>
      <c r="V12" s="1266"/>
      <c r="W12" s="732"/>
      <c r="X12" s="732"/>
      <c r="Y12" s="728"/>
      <c r="Z12" s="733"/>
      <c r="AA12" s="1272"/>
      <c r="AB12" s="1272"/>
      <c r="AC12" s="1272"/>
      <c r="AD12" s="1272"/>
      <c r="AE12" s="1272"/>
      <c r="AF12" s="1272"/>
      <c r="AG12" s="1272"/>
      <c r="AH12" s="738"/>
    </row>
    <row r="13" spans="2:34" ht="18.75" x14ac:dyDescent="0.3">
      <c r="B13" s="1264"/>
      <c r="C13" s="1265"/>
      <c r="D13" s="1265"/>
      <c r="E13" s="1265"/>
      <c r="F13" s="1265"/>
      <c r="G13" s="1265"/>
      <c r="H13" s="1265"/>
      <c r="I13" s="1265"/>
      <c r="J13" s="1265"/>
      <c r="K13" s="1265"/>
      <c r="L13" s="1265"/>
      <c r="M13" s="1265"/>
      <c r="N13" s="1265"/>
      <c r="O13" s="1265"/>
      <c r="P13" s="1265"/>
      <c r="Q13" s="1265"/>
      <c r="R13" s="1265"/>
      <c r="S13" s="1265"/>
      <c r="T13" s="1265"/>
      <c r="U13" s="1265"/>
      <c r="V13" s="1266"/>
      <c r="W13" s="732"/>
      <c r="X13" s="732"/>
      <c r="Y13" s="728"/>
      <c r="Z13" s="733"/>
      <c r="AA13" s="1272"/>
      <c r="AB13" s="1272"/>
      <c r="AC13" s="1272"/>
      <c r="AD13" s="1272"/>
      <c r="AE13" s="1272"/>
      <c r="AF13" s="1272"/>
      <c r="AG13" s="1272"/>
      <c r="AH13" s="738"/>
    </row>
    <row r="14" spans="2:34" ht="18.75" x14ac:dyDescent="0.3">
      <c r="B14" s="1264"/>
      <c r="C14" s="1265"/>
      <c r="D14" s="1265"/>
      <c r="E14" s="1265"/>
      <c r="F14" s="1265"/>
      <c r="G14" s="1265"/>
      <c r="H14" s="1265"/>
      <c r="I14" s="1265"/>
      <c r="J14" s="1265"/>
      <c r="K14" s="1265"/>
      <c r="L14" s="1265"/>
      <c r="M14" s="1265"/>
      <c r="N14" s="1265"/>
      <c r="O14" s="1265"/>
      <c r="P14" s="1265"/>
      <c r="Q14" s="1265"/>
      <c r="R14" s="1265"/>
      <c r="S14" s="1265"/>
      <c r="T14" s="1265"/>
      <c r="U14" s="1265"/>
      <c r="V14" s="1266"/>
      <c r="W14" s="732"/>
      <c r="X14" s="732"/>
      <c r="Y14" s="728"/>
      <c r="Z14" s="733"/>
      <c r="AA14" s="1256" t="s">
        <v>1494</v>
      </c>
      <c r="AB14" s="1256"/>
      <c r="AC14" s="1256"/>
      <c r="AD14" s="1256"/>
      <c r="AE14" s="1256"/>
      <c r="AF14" s="1256"/>
      <c r="AG14" s="731"/>
      <c r="AH14" s="738"/>
    </row>
    <row r="15" spans="2:34" ht="18.75" x14ac:dyDescent="0.3">
      <c r="B15" s="1264"/>
      <c r="C15" s="1265"/>
      <c r="D15" s="1265"/>
      <c r="E15" s="1265"/>
      <c r="F15" s="1265"/>
      <c r="G15" s="1265"/>
      <c r="H15" s="1265"/>
      <c r="I15" s="1265"/>
      <c r="J15" s="1265"/>
      <c r="K15" s="1265"/>
      <c r="L15" s="1265"/>
      <c r="M15" s="1265"/>
      <c r="N15" s="1265"/>
      <c r="O15" s="1265"/>
      <c r="P15" s="1265"/>
      <c r="Q15" s="1265"/>
      <c r="R15" s="1265"/>
      <c r="S15" s="1265"/>
      <c r="T15" s="1265"/>
      <c r="U15" s="1265"/>
      <c r="V15" s="1266"/>
      <c r="W15" s="732"/>
      <c r="X15" s="732"/>
      <c r="Y15" s="728"/>
      <c r="Z15" s="733" t="s">
        <v>1495</v>
      </c>
      <c r="AA15" s="733"/>
      <c r="AB15" s="733"/>
      <c r="AC15" s="733"/>
      <c r="AD15" s="733"/>
      <c r="AE15" s="733"/>
      <c r="AF15" s="733"/>
      <c r="AG15" s="731"/>
      <c r="AH15" s="738"/>
    </row>
    <row r="16" spans="2:34" ht="18.75" x14ac:dyDescent="0.3">
      <c r="B16" s="1264"/>
      <c r="C16" s="1265"/>
      <c r="D16" s="1265"/>
      <c r="E16" s="1265"/>
      <c r="F16" s="1265"/>
      <c r="G16" s="1265"/>
      <c r="H16" s="1265"/>
      <c r="I16" s="1265"/>
      <c r="J16" s="1265"/>
      <c r="K16" s="1265"/>
      <c r="L16" s="1265"/>
      <c r="M16" s="1265"/>
      <c r="N16" s="1265"/>
      <c r="O16" s="1265"/>
      <c r="P16" s="1265"/>
      <c r="Q16" s="1265"/>
      <c r="R16" s="1265"/>
      <c r="S16" s="1265"/>
      <c r="T16" s="1265"/>
      <c r="U16" s="1265"/>
      <c r="V16" s="1266"/>
      <c r="W16" s="732"/>
      <c r="X16" s="732"/>
      <c r="Y16" s="728"/>
      <c r="Z16" s="733"/>
      <c r="AA16" s="1256" t="s">
        <v>1496</v>
      </c>
      <c r="AB16" s="1256"/>
      <c r="AC16" s="1256"/>
      <c r="AD16" s="1256"/>
      <c r="AE16" s="1256"/>
      <c r="AF16" s="1256"/>
      <c r="AG16" s="1256"/>
      <c r="AH16" s="738"/>
    </row>
    <row r="17" spans="2:34" ht="19.5" thickBot="1" x14ac:dyDescent="0.35">
      <c r="B17" s="1264"/>
      <c r="C17" s="1265"/>
      <c r="D17" s="1265"/>
      <c r="E17" s="1265"/>
      <c r="F17" s="1265"/>
      <c r="G17" s="1265"/>
      <c r="H17" s="1265"/>
      <c r="I17" s="1265"/>
      <c r="J17" s="1265"/>
      <c r="K17" s="1265"/>
      <c r="L17" s="1265"/>
      <c r="M17" s="1265"/>
      <c r="N17" s="1265"/>
      <c r="O17" s="1265"/>
      <c r="P17" s="1265"/>
      <c r="Q17" s="1265"/>
      <c r="R17" s="1265"/>
      <c r="S17" s="1265"/>
      <c r="T17" s="1265"/>
      <c r="U17" s="1265"/>
      <c r="V17" s="1266"/>
      <c r="W17" s="732"/>
      <c r="X17" s="732"/>
      <c r="Y17" s="729"/>
      <c r="Z17" s="739"/>
      <c r="AA17" s="739"/>
      <c r="AB17" s="739"/>
      <c r="AC17" s="739"/>
      <c r="AD17" s="739"/>
      <c r="AE17" s="739"/>
      <c r="AF17" s="739"/>
      <c r="AG17" s="730"/>
      <c r="AH17" s="740"/>
    </row>
    <row r="18" spans="2:34" ht="15" customHeight="1" x14ac:dyDescent="0.3">
      <c r="B18" s="1264"/>
      <c r="C18" s="1265"/>
      <c r="D18" s="1265"/>
      <c r="E18" s="1265"/>
      <c r="F18" s="1265"/>
      <c r="G18" s="1265"/>
      <c r="H18" s="1265"/>
      <c r="I18" s="1265"/>
      <c r="J18" s="1265"/>
      <c r="K18" s="1265"/>
      <c r="L18" s="1265"/>
      <c r="M18" s="1265"/>
      <c r="N18" s="1265"/>
      <c r="O18" s="1265"/>
      <c r="P18" s="1265"/>
      <c r="Q18" s="1265"/>
      <c r="R18" s="1265"/>
      <c r="S18" s="1265"/>
      <c r="T18" s="1265"/>
      <c r="U18" s="1265"/>
      <c r="V18" s="1266"/>
      <c r="W18" s="732"/>
      <c r="X18" s="732"/>
      <c r="Y18" s="732"/>
      <c r="Z18" s="736"/>
      <c r="AA18" s="736"/>
      <c r="AB18" s="736"/>
      <c r="AC18" s="736"/>
      <c r="AD18" s="736"/>
      <c r="AE18" s="736"/>
      <c r="AF18" s="736"/>
      <c r="AG18" s="732"/>
      <c r="AH18" s="732"/>
    </row>
    <row r="19" spans="2:34" ht="15" customHeight="1" x14ac:dyDescent="0.3">
      <c r="B19" s="1264"/>
      <c r="C19" s="1265"/>
      <c r="D19" s="1265"/>
      <c r="E19" s="1265"/>
      <c r="F19" s="1265"/>
      <c r="G19" s="1265"/>
      <c r="H19" s="1265"/>
      <c r="I19" s="1265"/>
      <c r="J19" s="1265"/>
      <c r="K19" s="1265"/>
      <c r="L19" s="1265"/>
      <c r="M19" s="1265"/>
      <c r="N19" s="1265"/>
      <c r="O19" s="1265"/>
      <c r="P19" s="1265"/>
      <c r="Q19" s="1265"/>
      <c r="R19" s="1265"/>
      <c r="S19" s="1265"/>
      <c r="T19" s="1265"/>
      <c r="U19" s="1265"/>
      <c r="V19" s="1266"/>
      <c r="W19" s="732"/>
      <c r="X19" s="732"/>
      <c r="Y19" s="732"/>
      <c r="Z19" s="736"/>
      <c r="AA19" s="736"/>
      <c r="AB19" s="736"/>
      <c r="AC19" s="736"/>
      <c r="AD19" s="736"/>
      <c r="AE19" s="736"/>
      <c r="AF19" s="736"/>
      <c r="AG19" s="732"/>
      <c r="AH19" s="732"/>
    </row>
    <row r="20" spans="2:34" ht="15" customHeight="1" x14ac:dyDescent="0.3">
      <c r="B20" s="1264"/>
      <c r="C20" s="1265"/>
      <c r="D20" s="1265"/>
      <c r="E20" s="1265"/>
      <c r="F20" s="1265"/>
      <c r="G20" s="1265"/>
      <c r="H20" s="1265"/>
      <c r="I20" s="1265"/>
      <c r="J20" s="1265"/>
      <c r="K20" s="1265"/>
      <c r="L20" s="1265"/>
      <c r="M20" s="1265"/>
      <c r="N20" s="1265"/>
      <c r="O20" s="1265"/>
      <c r="P20" s="1265"/>
      <c r="Q20" s="1265"/>
      <c r="R20" s="1265"/>
      <c r="S20" s="1265"/>
      <c r="T20" s="1265"/>
      <c r="U20" s="1265"/>
      <c r="V20" s="1266"/>
      <c r="W20" s="732"/>
      <c r="X20" s="732"/>
      <c r="Y20" s="732"/>
      <c r="Z20" s="736"/>
      <c r="AA20" s="736"/>
      <c r="AB20" s="736"/>
      <c r="AC20" s="736"/>
      <c r="AD20" s="736"/>
      <c r="AE20" s="736"/>
      <c r="AF20" s="736"/>
      <c r="AG20" s="732"/>
      <c r="AH20" s="732"/>
    </row>
    <row r="21" spans="2:34" ht="15" customHeight="1" x14ac:dyDescent="0.3">
      <c r="B21" s="1264"/>
      <c r="C21" s="1265"/>
      <c r="D21" s="1265"/>
      <c r="E21" s="1265"/>
      <c r="F21" s="1265"/>
      <c r="G21" s="1265"/>
      <c r="H21" s="1265"/>
      <c r="I21" s="1265"/>
      <c r="J21" s="1265"/>
      <c r="K21" s="1265"/>
      <c r="L21" s="1265"/>
      <c r="M21" s="1265"/>
      <c r="N21" s="1265"/>
      <c r="O21" s="1265"/>
      <c r="P21" s="1265"/>
      <c r="Q21" s="1265"/>
      <c r="R21" s="1265"/>
      <c r="S21" s="1265"/>
      <c r="T21" s="1265"/>
      <c r="U21" s="1265"/>
      <c r="V21" s="1266"/>
      <c r="W21" s="732"/>
      <c r="X21" s="732"/>
      <c r="Y21" s="732"/>
      <c r="Z21" s="736"/>
      <c r="AA21" s="736"/>
      <c r="AB21" s="736"/>
      <c r="AC21" s="736"/>
      <c r="AD21" s="736"/>
      <c r="AE21" s="736"/>
      <c r="AF21" s="736"/>
      <c r="AG21" s="732"/>
      <c r="AH21" s="732"/>
    </row>
    <row r="22" spans="2:34" ht="15" customHeight="1" x14ac:dyDescent="0.3">
      <c r="B22" s="1264"/>
      <c r="C22" s="1265"/>
      <c r="D22" s="1265"/>
      <c r="E22" s="1265"/>
      <c r="F22" s="1265"/>
      <c r="G22" s="1265"/>
      <c r="H22" s="1265"/>
      <c r="I22" s="1265"/>
      <c r="J22" s="1265"/>
      <c r="K22" s="1265"/>
      <c r="L22" s="1265"/>
      <c r="M22" s="1265"/>
      <c r="N22" s="1265"/>
      <c r="O22" s="1265"/>
      <c r="P22" s="1265"/>
      <c r="Q22" s="1265"/>
      <c r="R22" s="1265"/>
      <c r="S22" s="1265"/>
      <c r="T22" s="1265"/>
      <c r="U22" s="1265"/>
      <c r="V22" s="1266"/>
      <c r="W22" s="732"/>
      <c r="X22" s="732"/>
      <c r="Y22" s="732"/>
      <c r="Z22" s="736"/>
      <c r="AA22" s="736"/>
      <c r="AB22" s="736"/>
      <c r="AC22" s="736"/>
      <c r="AD22" s="736"/>
      <c r="AE22" s="736"/>
      <c r="AF22" s="736"/>
      <c r="AG22" s="732"/>
      <c r="AH22" s="732"/>
    </row>
    <row r="23" spans="2:34" ht="15" customHeight="1" x14ac:dyDescent="0.3">
      <c r="B23" s="1264"/>
      <c r="C23" s="1265"/>
      <c r="D23" s="1265"/>
      <c r="E23" s="1265"/>
      <c r="F23" s="1265"/>
      <c r="G23" s="1265"/>
      <c r="H23" s="1265"/>
      <c r="I23" s="1265"/>
      <c r="J23" s="1265"/>
      <c r="K23" s="1265"/>
      <c r="L23" s="1265"/>
      <c r="M23" s="1265"/>
      <c r="N23" s="1265"/>
      <c r="O23" s="1265"/>
      <c r="P23" s="1265"/>
      <c r="Q23" s="1265"/>
      <c r="R23" s="1265"/>
      <c r="S23" s="1265"/>
      <c r="T23" s="1265"/>
      <c r="U23" s="1265"/>
      <c r="V23" s="1266"/>
      <c r="W23" s="732"/>
      <c r="X23" s="732"/>
      <c r="Y23" s="732"/>
      <c r="Z23" s="736"/>
      <c r="AA23" s="736"/>
      <c r="AB23" s="736"/>
      <c r="AC23" s="736"/>
      <c r="AD23" s="736"/>
      <c r="AE23" s="736"/>
      <c r="AF23" s="736"/>
      <c r="AG23" s="732"/>
      <c r="AH23" s="732"/>
    </row>
    <row r="24" spans="2:34" ht="15" customHeight="1" x14ac:dyDescent="0.3">
      <c r="B24" s="1264"/>
      <c r="C24" s="1265"/>
      <c r="D24" s="1265"/>
      <c r="E24" s="1265"/>
      <c r="F24" s="1265"/>
      <c r="G24" s="1265"/>
      <c r="H24" s="1265"/>
      <c r="I24" s="1265"/>
      <c r="J24" s="1265"/>
      <c r="K24" s="1265"/>
      <c r="L24" s="1265"/>
      <c r="M24" s="1265"/>
      <c r="N24" s="1265"/>
      <c r="O24" s="1265"/>
      <c r="P24" s="1265"/>
      <c r="Q24" s="1265"/>
      <c r="R24" s="1265"/>
      <c r="S24" s="1265"/>
      <c r="T24" s="1265"/>
      <c r="U24" s="1265"/>
      <c r="V24" s="1266"/>
      <c r="W24" s="732"/>
      <c r="X24" s="732"/>
      <c r="Y24" s="732"/>
      <c r="Z24" s="736"/>
      <c r="AA24" s="736"/>
      <c r="AB24" s="736"/>
      <c r="AC24" s="736"/>
      <c r="AD24" s="736"/>
      <c r="AE24" s="736"/>
      <c r="AF24" s="736"/>
      <c r="AG24" s="732"/>
      <c r="AH24" s="732"/>
    </row>
    <row r="25" spans="2:34" ht="15" customHeight="1" x14ac:dyDescent="0.3">
      <c r="B25" s="1264"/>
      <c r="C25" s="1265"/>
      <c r="D25" s="1265"/>
      <c r="E25" s="1265"/>
      <c r="F25" s="1265"/>
      <c r="G25" s="1265"/>
      <c r="H25" s="1265"/>
      <c r="I25" s="1265"/>
      <c r="J25" s="1265"/>
      <c r="K25" s="1265"/>
      <c r="L25" s="1265"/>
      <c r="M25" s="1265"/>
      <c r="N25" s="1265"/>
      <c r="O25" s="1265"/>
      <c r="P25" s="1265"/>
      <c r="Q25" s="1265"/>
      <c r="R25" s="1265"/>
      <c r="S25" s="1265"/>
      <c r="T25" s="1265"/>
      <c r="U25" s="1265"/>
      <c r="V25" s="1266"/>
      <c r="W25" s="732"/>
      <c r="X25" s="732"/>
      <c r="Y25" s="732"/>
      <c r="Z25" s="736"/>
      <c r="AA25" s="736"/>
      <c r="AB25" s="736"/>
      <c r="AC25" s="736"/>
      <c r="AD25" s="736"/>
      <c r="AE25" s="736"/>
      <c r="AF25" s="736"/>
      <c r="AG25" s="732"/>
      <c r="AH25" s="732"/>
    </row>
    <row r="26" spans="2:34" ht="15" customHeight="1" x14ac:dyDescent="0.3">
      <c r="B26" s="1264"/>
      <c r="C26" s="1265"/>
      <c r="D26" s="1265"/>
      <c r="E26" s="1265"/>
      <c r="F26" s="1265"/>
      <c r="G26" s="1265"/>
      <c r="H26" s="1265"/>
      <c r="I26" s="1265"/>
      <c r="J26" s="1265"/>
      <c r="K26" s="1265"/>
      <c r="L26" s="1265"/>
      <c r="M26" s="1265"/>
      <c r="N26" s="1265"/>
      <c r="O26" s="1265"/>
      <c r="P26" s="1265"/>
      <c r="Q26" s="1265"/>
      <c r="R26" s="1265"/>
      <c r="S26" s="1265"/>
      <c r="T26" s="1265"/>
      <c r="U26" s="1265"/>
      <c r="V26" s="1266"/>
      <c r="W26" s="732"/>
      <c r="X26" s="732"/>
      <c r="Y26" s="732"/>
      <c r="Z26" s="736"/>
      <c r="AA26" s="736"/>
      <c r="AB26" s="736"/>
      <c r="AC26" s="736"/>
      <c r="AD26" s="736"/>
      <c r="AE26" s="736"/>
      <c r="AF26" s="736"/>
      <c r="AG26" s="732"/>
      <c r="AH26" s="732"/>
    </row>
    <row r="27" spans="2:34" ht="15" customHeight="1" x14ac:dyDescent="0.3">
      <c r="B27" s="1264"/>
      <c r="C27" s="1265"/>
      <c r="D27" s="1265"/>
      <c r="E27" s="1265"/>
      <c r="F27" s="1265"/>
      <c r="G27" s="1265"/>
      <c r="H27" s="1265"/>
      <c r="I27" s="1265"/>
      <c r="J27" s="1265"/>
      <c r="K27" s="1265"/>
      <c r="L27" s="1265"/>
      <c r="M27" s="1265"/>
      <c r="N27" s="1265"/>
      <c r="O27" s="1265"/>
      <c r="P27" s="1265"/>
      <c r="Q27" s="1265"/>
      <c r="R27" s="1265"/>
      <c r="S27" s="1265"/>
      <c r="T27" s="1265"/>
      <c r="U27" s="1265"/>
      <c r="V27" s="1266"/>
      <c r="W27" s="732"/>
      <c r="X27" s="732"/>
      <c r="Y27" s="732"/>
      <c r="Z27" s="736"/>
      <c r="AA27" s="736"/>
      <c r="AB27" s="736"/>
      <c r="AC27" s="736"/>
      <c r="AD27" s="736"/>
      <c r="AE27" s="736"/>
      <c r="AF27" s="736"/>
      <c r="AG27" s="732"/>
      <c r="AH27" s="732"/>
    </row>
    <row r="28" spans="2:34" ht="15" customHeight="1" x14ac:dyDescent="0.3">
      <c r="B28" s="1264"/>
      <c r="C28" s="1265"/>
      <c r="D28" s="1265"/>
      <c r="E28" s="1265"/>
      <c r="F28" s="1265"/>
      <c r="G28" s="1265"/>
      <c r="H28" s="1265"/>
      <c r="I28" s="1265"/>
      <c r="J28" s="1265"/>
      <c r="K28" s="1265"/>
      <c r="L28" s="1265"/>
      <c r="M28" s="1265"/>
      <c r="N28" s="1265"/>
      <c r="O28" s="1265"/>
      <c r="P28" s="1265"/>
      <c r="Q28" s="1265"/>
      <c r="R28" s="1265"/>
      <c r="S28" s="1265"/>
      <c r="T28" s="1265"/>
      <c r="U28" s="1265"/>
      <c r="V28" s="1266"/>
      <c r="W28" s="732"/>
      <c r="X28" s="732"/>
      <c r="Y28" s="732"/>
      <c r="Z28" s="736"/>
      <c r="AA28" s="736"/>
      <c r="AB28" s="736"/>
      <c r="AC28" s="736"/>
      <c r="AD28" s="736"/>
      <c r="AE28" s="736"/>
      <c r="AF28" s="736"/>
      <c r="AG28" s="732"/>
      <c r="AH28" s="732"/>
    </row>
    <row r="29" spans="2:34" ht="15" customHeight="1" x14ac:dyDescent="0.3">
      <c r="B29" s="1264"/>
      <c r="C29" s="1265"/>
      <c r="D29" s="1265"/>
      <c r="E29" s="1265"/>
      <c r="F29" s="1265"/>
      <c r="G29" s="1265"/>
      <c r="H29" s="1265"/>
      <c r="I29" s="1265"/>
      <c r="J29" s="1265"/>
      <c r="K29" s="1265"/>
      <c r="L29" s="1265"/>
      <c r="M29" s="1265"/>
      <c r="N29" s="1265"/>
      <c r="O29" s="1265"/>
      <c r="P29" s="1265"/>
      <c r="Q29" s="1265"/>
      <c r="R29" s="1265"/>
      <c r="S29" s="1265"/>
      <c r="T29" s="1265"/>
      <c r="U29" s="1265"/>
      <c r="V29" s="1266"/>
      <c r="W29" s="732"/>
      <c r="X29" s="732"/>
      <c r="Y29" s="732"/>
      <c r="Z29" s="736"/>
      <c r="AA29" s="736"/>
      <c r="AB29" s="736"/>
      <c r="AC29" s="736"/>
      <c r="AD29" s="736"/>
      <c r="AE29" s="736"/>
      <c r="AF29" s="736"/>
      <c r="AG29" s="732"/>
      <c r="AH29" s="732"/>
    </row>
    <row r="30" spans="2:34" ht="15" customHeight="1" x14ac:dyDescent="0.3">
      <c r="B30" s="1264"/>
      <c r="C30" s="1265"/>
      <c r="D30" s="1265"/>
      <c r="E30" s="1265"/>
      <c r="F30" s="1265"/>
      <c r="G30" s="1265"/>
      <c r="H30" s="1265"/>
      <c r="I30" s="1265"/>
      <c r="J30" s="1265"/>
      <c r="K30" s="1265"/>
      <c r="L30" s="1265"/>
      <c r="M30" s="1265"/>
      <c r="N30" s="1265"/>
      <c r="O30" s="1265"/>
      <c r="P30" s="1265"/>
      <c r="Q30" s="1265"/>
      <c r="R30" s="1265"/>
      <c r="S30" s="1265"/>
      <c r="T30" s="1265"/>
      <c r="U30" s="1265"/>
      <c r="V30" s="1266"/>
      <c r="W30" s="732"/>
      <c r="X30" s="732"/>
      <c r="Y30" s="732"/>
      <c r="Z30" s="736"/>
      <c r="AA30" s="736"/>
      <c r="AB30" s="736"/>
      <c r="AC30" s="736"/>
      <c r="AD30" s="736"/>
      <c r="AE30" s="736"/>
      <c r="AF30" s="736"/>
      <c r="AG30" s="732"/>
      <c r="AH30" s="732"/>
    </row>
    <row r="31" spans="2:34" ht="15" customHeight="1" x14ac:dyDescent="0.3">
      <c r="B31" s="1264"/>
      <c r="C31" s="1265"/>
      <c r="D31" s="1265"/>
      <c r="E31" s="1265"/>
      <c r="F31" s="1265"/>
      <c r="G31" s="1265"/>
      <c r="H31" s="1265"/>
      <c r="I31" s="1265"/>
      <c r="J31" s="1265"/>
      <c r="K31" s="1265"/>
      <c r="L31" s="1265"/>
      <c r="M31" s="1265"/>
      <c r="N31" s="1265"/>
      <c r="O31" s="1265"/>
      <c r="P31" s="1265"/>
      <c r="Q31" s="1265"/>
      <c r="R31" s="1265"/>
      <c r="S31" s="1265"/>
      <c r="T31" s="1265"/>
      <c r="U31" s="1265"/>
      <c r="V31" s="1266"/>
      <c r="W31" s="732"/>
      <c r="X31" s="732"/>
      <c r="Y31" s="732"/>
      <c r="Z31" s="736"/>
      <c r="AA31" s="736"/>
      <c r="AB31" s="736"/>
      <c r="AC31" s="736"/>
      <c r="AD31" s="736"/>
      <c r="AE31" s="736"/>
      <c r="AF31" s="736"/>
      <c r="AG31" s="732"/>
      <c r="AH31" s="732"/>
    </row>
    <row r="32" spans="2:34" ht="15" customHeight="1" x14ac:dyDescent="0.3">
      <c r="B32" s="1264"/>
      <c r="C32" s="1265"/>
      <c r="D32" s="1265"/>
      <c r="E32" s="1265"/>
      <c r="F32" s="1265"/>
      <c r="G32" s="1265"/>
      <c r="H32" s="1265"/>
      <c r="I32" s="1265"/>
      <c r="J32" s="1265"/>
      <c r="K32" s="1265"/>
      <c r="L32" s="1265"/>
      <c r="M32" s="1265"/>
      <c r="N32" s="1265"/>
      <c r="O32" s="1265"/>
      <c r="P32" s="1265"/>
      <c r="Q32" s="1265"/>
      <c r="R32" s="1265"/>
      <c r="S32" s="1265"/>
      <c r="T32" s="1265"/>
      <c r="U32" s="1265"/>
      <c r="V32" s="1266"/>
      <c r="W32" s="732"/>
      <c r="X32" s="732"/>
      <c r="Y32" s="732"/>
      <c r="Z32" s="736"/>
      <c r="AA32" s="736"/>
      <c r="AB32" s="736"/>
      <c r="AC32" s="736"/>
      <c r="AD32" s="736"/>
      <c r="AE32" s="736"/>
      <c r="AF32" s="736"/>
      <c r="AG32" s="732"/>
      <c r="AH32" s="732"/>
    </row>
    <row r="33" spans="2:34" ht="15" customHeight="1" x14ac:dyDescent="0.3">
      <c r="B33" s="1264"/>
      <c r="C33" s="1265"/>
      <c r="D33" s="1265"/>
      <c r="E33" s="1265"/>
      <c r="F33" s="1265"/>
      <c r="G33" s="1265"/>
      <c r="H33" s="1265"/>
      <c r="I33" s="1265"/>
      <c r="J33" s="1265"/>
      <c r="K33" s="1265"/>
      <c r="L33" s="1265"/>
      <c r="M33" s="1265"/>
      <c r="N33" s="1265"/>
      <c r="O33" s="1265"/>
      <c r="P33" s="1265"/>
      <c r="Q33" s="1265"/>
      <c r="R33" s="1265"/>
      <c r="S33" s="1265"/>
      <c r="T33" s="1265"/>
      <c r="U33" s="1265"/>
      <c r="V33" s="1266"/>
      <c r="W33" s="732"/>
      <c r="X33" s="732"/>
      <c r="Y33" s="732"/>
      <c r="Z33" s="736"/>
      <c r="AA33" s="736"/>
      <c r="AB33" s="736"/>
      <c r="AC33" s="736"/>
      <c r="AD33" s="736"/>
      <c r="AE33" s="736"/>
      <c r="AF33" s="736"/>
      <c r="AG33" s="732"/>
      <c r="AH33" s="732"/>
    </row>
    <row r="34" spans="2:34" ht="15" customHeight="1" x14ac:dyDescent="0.25">
      <c r="B34" s="1264"/>
      <c r="C34" s="1265"/>
      <c r="D34" s="1265"/>
      <c r="E34" s="1265"/>
      <c r="F34" s="1265"/>
      <c r="G34" s="1265"/>
      <c r="H34" s="1265"/>
      <c r="I34" s="1265"/>
      <c r="J34" s="1265"/>
      <c r="K34" s="1265"/>
      <c r="L34" s="1265"/>
      <c r="M34" s="1265"/>
      <c r="N34" s="1265"/>
      <c r="O34" s="1265"/>
      <c r="P34" s="1265"/>
      <c r="Q34" s="1265"/>
      <c r="R34" s="1265"/>
      <c r="S34" s="1265"/>
      <c r="T34" s="1265"/>
      <c r="U34" s="1265"/>
      <c r="V34" s="1266"/>
      <c r="W34" s="732"/>
      <c r="X34" s="732"/>
      <c r="Y34" s="732"/>
      <c r="Z34" s="732"/>
      <c r="AA34" s="732"/>
      <c r="AB34" s="732"/>
      <c r="AC34" s="732"/>
      <c r="AD34" s="732"/>
      <c r="AE34" s="732"/>
      <c r="AF34" s="732"/>
      <c r="AG34" s="732"/>
      <c r="AH34" s="732"/>
    </row>
    <row r="35" spans="2:34" ht="15" customHeight="1" x14ac:dyDescent="0.25">
      <c r="B35" s="1264"/>
      <c r="C35" s="1265"/>
      <c r="D35" s="1265"/>
      <c r="E35" s="1265"/>
      <c r="F35" s="1265"/>
      <c r="G35" s="1265"/>
      <c r="H35" s="1265"/>
      <c r="I35" s="1265"/>
      <c r="J35" s="1265"/>
      <c r="K35" s="1265"/>
      <c r="L35" s="1265"/>
      <c r="M35" s="1265"/>
      <c r="N35" s="1265"/>
      <c r="O35" s="1265"/>
      <c r="P35" s="1265"/>
      <c r="Q35" s="1265"/>
      <c r="R35" s="1265"/>
      <c r="S35" s="1265"/>
      <c r="T35" s="1265"/>
      <c r="U35" s="1265"/>
      <c r="V35" s="1266"/>
      <c r="W35" s="732"/>
      <c r="X35" s="732"/>
      <c r="Y35" s="732"/>
      <c r="Z35" s="732"/>
      <c r="AA35" s="732"/>
      <c r="AB35" s="732"/>
      <c r="AC35" s="732"/>
      <c r="AD35" s="732"/>
      <c r="AE35" s="732"/>
      <c r="AF35" s="732"/>
      <c r="AG35" s="732"/>
      <c r="AH35" s="732"/>
    </row>
    <row r="36" spans="2:34" ht="15" customHeight="1" x14ac:dyDescent="0.25">
      <c r="B36" s="1264"/>
      <c r="C36" s="1265"/>
      <c r="D36" s="1265"/>
      <c r="E36" s="1265"/>
      <c r="F36" s="1265"/>
      <c r="G36" s="1265"/>
      <c r="H36" s="1265"/>
      <c r="I36" s="1265"/>
      <c r="J36" s="1265"/>
      <c r="K36" s="1265"/>
      <c r="L36" s="1265"/>
      <c r="M36" s="1265"/>
      <c r="N36" s="1265"/>
      <c r="O36" s="1265"/>
      <c r="P36" s="1265"/>
      <c r="Q36" s="1265"/>
      <c r="R36" s="1265"/>
      <c r="S36" s="1265"/>
      <c r="T36" s="1265"/>
      <c r="U36" s="1265"/>
      <c r="V36" s="1266"/>
      <c r="W36" s="732"/>
      <c r="X36" s="732"/>
      <c r="Y36" s="732"/>
      <c r="Z36" s="732"/>
      <c r="AA36" s="732"/>
      <c r="AB36" s="732"/>
      <c r="AC36" s="732"/>
      <c r="AD36" s="732"/>
      <c r="AE36" s="732"/>
      <c r="AF36" s="732"/>
      <c r="AG36" s="732"/>
      <c r="AH36" s="732"/>
    </row>
    <row r="37" spans="2:34" ht="15" customHeight="1" x14ac:dyDescent="0.25">
      <c r="B37" s="1264"/>
      <c r="C37" s="1265"/>
      <c r="D37" s="1265"/>
      <c r="E37" s="1265"/>
      <c r="F37" s="1265"/>
      <c r="G37" s="1265"/>
      <c r="H37" s="1265"/>
      <c r="I37" s="1265"/>
      <c r="J37" s="1265"/>
      <c r="K37" s="1265"/>
      <c r="L37" s="1265"/>
      <c r="M37" s="1265"/>
      <c r="N37" s="1265"/>
      <c r="O37" s="1265"/>
      <c r="P37" s="1265"/>
      <c r="Q37" s="1265"/>
      <c r="R37" s="1265"/>
      <c r="S37" s="1265"/>
      <c r="T37" s="1265"/>
      <c r="U37" s="1265"/>
      <c r="V37" s="1266"/>
      <c r="W37" s="732"/>
      <c r="X37" s="732"/>
      <c r="Y37" s="732"/>
      <c r="Z37" s="732"/>
      <c r="AA37" s="732"/>
      <c r="AB37" s="732"/>
      <c r="AC37" s="732"/>
      <c r="AD37" s="732"/>
      <c r="AE37" s="732"/>
      <c r="AF37" s="732"/>
      <c r="AG37" s="732"/>
      <c r="AH37" s="732"/>
    </row>
    <row r="38" spans="2:34" ht="15" customHeight="1" x14ac:dyDescent="0.25">
      <c r="B38" s="1264"/>
      <c r="C38" s="1265"/>
      <c r="D38" s="1265"/>
      <c r="E38" s="1265"/>
      <c r="F38" s="1265"/>
      <c r="G38" s="1265"/>
      <c r="H38" s="1265"/>
      <c r="I38" s="1265"/>
      <c r="J38" s="1265"/>
      <c r="K38" s="1265"/>
      <c r="L38" s="1265"/>
      <c r="M38" s="1265"/>
      <c r="N38" s="1265"/>
      <c r="O38" s="1265"/>
      <c r="P38" s="1265"/>
      <c r="Q38" s="1265"/>
      <c r="R38" s="1265"/>
      <c r="S38" s="1265"/>
      <c r="T38" s="1265"/>
      <c r="U38" s="1265"/>
      <c r="V38" s="1266"/>
      <c r="W38" s="732"/>
      <c r="X38" s="732"/>
      <c r="Y38" s="732"/>
      <c r="Z38" s="732"/>
      <c r="AA38" s="732"/>
      <c r="AB38" s="732"/>
      <c r="AC38" s="732"/>
      <c r="AD38" s="732"/>
      <c r="AE38" s="732"/>
      <c r="AF38" s="732"/>
      <c r="AG38" s="732"/>
      <c r="AH38" s="732"/>
    </row>
    <row r="39" spans="2:34" ht="15" customHeight="1" x14ac:dyDescent="0.25">
      <c r="B39" s="1264"/>
      <c r="C39" s="1265"/>
      <c r="D39" s="1265"/>
      <c r="E39" s="1265"/>
      <c r="F39" s="1265"/>
      <c r="G39" s="1265"/>
      <c r="H39" s="1265"/>
      <c r="I39" s="1265"/>
      <c r="J39" s="1265"/>
      <c r="K39" s="1265"/>
      <c r="L39" s="1265"/>
      <c r="M39" s="1265"/>
      <c r="N39" s="1265"/>
      <c r="O39" s="1265"/>
      <c r="P39" s="1265"/>
      <c r="Q39" s="1265"/>
      <c r="R39" s="1265"/>
      <c r="S39" s="1265"/>
      <c r="T39" s="1265"/>
      <c r="U39" s="1265"/>
      <c r="V39" s="1266"/>
      <c r="W39" s="732"/>
      <c r="X39" s="732"/>
      <c r="Y39" s="732"/>
      <c r="Z39" s="732"/>
      <c r="AA39" s="732"/>
      <c r="AB39" s="732"/>
      <c r="AC39" s="732"/>
      <c r="AD39" s="732"/>
      <c r="AE39" s="732"/>
      <c r="AF39" s="732"/>
      <c r="AG39" s="732"/>
      <c r="AH39" s="732"/>
    </row>
    <row r="40" spans="2:34" ht="15" customHeight="1" x14ac:dyDescent="0.25">
      <c r="B40" s="1264"/>
      <c r="C40" s="1265"/>
      <c r="D40" s="1265"/>
      <c r="E40" s="1265"/>
      <c r="F40" s="1265"/>
      <c r="G40" s="1265"/>
      <c r="H40" s="1265"/>
      <c r="I40" s="1265"/>
      <c r="J40" s="1265"/>
      <c r="K40" s="1265"/>
      <c r="L40" s="1265"/>
      <c r="M40" s="1265"/>
      <c r="N40" s="1265"/>
      <c r="O40" s="1265"/>
      <c r="P40" s="1265"/>
      <c r="Q40" s="1265"/>
      <c r="R40" s="1265"/>
      <c r="S40" s="1265"/>
      <c r="T40" s="1265"/>
      <c r="U40" s="1265"/>
      <c r="V40" s="1266"/>
      <c r="W40" s="732"/>
      <c r="X40" s="732"/>
      <c r="Y40" s="732"/>
      <c r="Z40" s="732"/>
      <c r="AA40" s="732"/>
      <c r="AB40" s="732"/>
      <c r="AC40" s="732"/>
      <c r="AD40" s="732"/>
      <c r="AE40" s="732"/>
      <c r="AF40" s="732"/>
      <c r="AG40" s="732"/>
      <c r="AH40" s="732"/>
    </row>
    <row r="41" spans="2:34" ht="15" customHeight="1" x14ac:dyDescent="0.25">
      <c r="B41" s="1264"/>
      <c r="C41" s="1265"/>
      <c r="D41" s="1265"/>
      <c r="E41" s="1265"/>
      <c r="F41" s="1265"/>
      <c r="G41" s="1265"/>
      <c r="H41" s="1265"/>
      <c r="I41" s="1265"/>
      <c r="J41" s="1265"/>
      <c r="K41" s="1265"/>
      <c r="L41" s="1265"/>
      <c r="M41" s="1265"/>
      <c r="N41" s="1265"/>
      <c r="O41" s="1265"/>
      <c r="P41" s="1265"/>
      <c r="Q41" s="1265"/>
      <c r="R41" s="1265"/>
      <c r="S41" s="1265"/>
      <c r="T41" s="1265"/>
      <c r="U41" s="1265"/>
      <c r="V41" s="1266"/>
      <c r="W41" s="732"/>
      <c r="X41" s="732"/>
      <c r="Y41" s="732"/>
      <c r="Z41" s="732"/>
      <c r="AA41" s="732"/>
      <c r="AB41" s="732"/>
      <c r="AC41" s="732"/>
      <c r="AD41" s="732"/>
      <c r="AE41" s="732"/>
      <c r="AF41" s="732"/>
      <c r="AG41" s="732"/>
      <c r="AH41" s="732"/>
    </row>
    <row r="42" spans="2:34" ht="15" customHeight="1" x14ac:dyDescent="0.25">
      <c r="B42" s="1264"/>
      <c r="C42" s="1265"/>
      <c r="D42" s="1265"/>
      <c r="E42" s="1265"/>
      <c r="F42" s="1265"/>
      <c r="G42" s="1265"/>
      <c r="H42" s="1265"/>
      <c r="I42" s="1265"/>
      <c r="J42" s="1265"/>
      <c r="K42" s="1265"/>
      <c r="L42" s="1265"/>
      <c r="M42" s="1265"/>
      <c r="N42" s="1265"/>
      <c r="O42" s="1265"/>
      <c r="P42" s="1265"/>
      <c r="Q42" s="1265"/>
      <c r="R42" s="1265"/>
      <c r="S42" s="1265"/>
      <c r="T42" s="1265"/>
      <c r="U42" s="1265"/>
      <c r="V42" s="1266"/>
      <c r="W42" s="732"/>
      <c r="X42" s="732"/>
      <c r="Y42" s="732"/>
      <c r="Z42" s="732"/>
      <c r="AA42" s="732"/>
      <c r="AB42" s="732"/>
      <c r="AC42" s="732"/>
      <c r="AD42" s="732"/>
      <c r="AE42" s="732"/>
      <c r="AF42" s="732"/>
      <c r="AG42" s="732"/>
      <c r="AH42" s="732"/>
    </row>
    <row r="43" spans="2:34" ht="15" customHeight="1" x14ac:dyDescent="0.25">
      <c r="B43" s="1264"/>
      <c r="C43" s="1265"/>
      <c r="D43" s="1265"/>
      <c r="E43" s="1265"/>
      <c r="F43" s="1265"/>
      <c r="G43" s="1265"/>
      <c r="H43" s="1265"/>
      <c r="I43" s="1265"/>
      <c r="J43" s="1265"/>
      <c r="K43" s="1265"/>
      <c r="L43" s="1265"/>
      <c r="M43" s="1265"/>
      <c r="N43" s="1265"/>
      <c r="O43" s="1265"/>
      <c r="P43" s="1265"/>
      <c r="Q43" s="1265"/>
      <c r="R43" s="1265"/>
      <c r="S43" s="1265"/>
      <c r="T43" s="1265"/>
      <c r="U43" s="1265"/>
      <c r="V43" s="1266"/>
      <c r="W43" s="732"/>
      <c r="X43" s="732"/>
      <c r="Y43" s="732"/>
      <c r="Z43" s="732"/>
      <c r="AA43" s="732"/>
      <c r="AB43" s="732"/>
      <c r="AC43" s="732"/>
      <c r="AD43" s="732"/>
      <c r="AE43" s="732"/>
      <c r="AF43" s="732"/>
      <c r="AG43" s="732"/>
      <c r="AH43" s="732"/>
    </row>
    <row r="44" spans="2:34" ht="15" customHeight="1" thickBot="1" x14ac:dyDescent="0.3">
      <c r="B44" s="1267"/>
      <c r="C44" s="1268"/>
      <c r="D44" s="1268"/>
      <c r="E44" s="1268"/>
      <c r="F44" s="1268"/>
      <c r="G44" s="1268"/>
      <c r="H44" s="1268"/>
      <c r="I44" s="1268"/>
      <c r="J44" s="1268"/>
      <c r="K44" s="1268"/>
      <c r="L44" s="1268"/>
      <c r="M44" s="1268"/>
      <c r="N44" s="1268"/>
      <c r="O44" s="1268"/>
      <c r="P44" s="1268"/>
      <c r="Q44" s="1268"/>
      <c r="R44" s="1268"/>
      <c r="S44" s="1268"/>
      <c r="T44" s="1268"/>
      <c r="U44" s="1268"/>
      <c r="V44" s="1269"/>
      <c r="W44" s="732"/>
      <c r="X44" s="732"/>
      <c r="Y44" s="732"/>
      <c r="Z44" s="732"/>
      <c r="AA44" s="732"/>
      <c r="AB44" s="732"/>
      <c r="AC44" s="732"/>
      <c r="AD44" s="732"/>
      <c r="AE44" s="732"/>
      <c r="AF44" s="732"/>
      <c r="AG44" s="732"/>
      <c r="AH44" s="732"/>
    </row>
    <row r="45" spans="2:34" ht="15" customHeight="1" x14ac:dyDescent="0.25">
      <c r="W45" s="732"/>
      <c r="X45" s="732"/>
      <c r="Y45" s="732"/>
      <c r="Z45" s="732"/>
      <c r="AA45" s="732"/>
      <c r="AB45" s="732"/>
      <c r="AC45" s="732"/>
      <c r="AD45" s="732"/>
      <c r="AE45" s="732"/>
      <c r="AF45" s="732"/>
      <c r="AG45" s="732"/>
      <c r="AH45" s="732"/>
    </row>
    <row r="46" spans="2:34" ht="15" customHeight="1" x14ac:dyDescent="0.25">
      <c r="W46" s="732"/>
      <c r="X46" s="732"/>
      <c r="Y46" s="732"/>
      <c r="Z46" s="732"/>
      <c r="AA46" s="732"/>
      <c r="AB46" s="732"/>
      <c r="AC46" s="732"/>
      <c r="AD46" s="732"/>
      <c r="AE46" s="732"/>
      <c r="AF46" s="732"/>
      <c r="AG46" s="732"/>
      <c r="AH46" s="732"/>
    </row>
    <row r="47" spans="2:34" ht="15" customHeight="1" x14ac:dyDescent="0.25">
      <c r="W47" s="732"/>
      <c r="X47" s="732"/>
      <c r="Y47" s="732"/>
      <c r="Z47" s="732"/>
      <c r="AA47" s="732"/>
      <c r="AB47" s="732"/>
      <c r="AC47" s="732"/>
      <c r="AD47" s="732"/>
      <c r="AE47" s="732"/>
      <c r="AF47" s="732"/>
      <c r="AG47" s="732"/>
      <c r="AH47" s="732"/>
    </row>
    <row r="48" spans="2:34" ht="15" customHeight="1" x14ac:dyDescent="0.25">
      <c r="W48" s="732"/>
      <c r="X48" s="732"/>
      <c r="Y48" s="732"/>
      <c r="Z48" s="732"/>
      <c r="AA48" s="732"/>
      <c r="AB48" s="732"/>
      <c r="AC48" s="732"/>
      <c r="AD48" s="732"/>
      <c r="AE48" s="732"/>
      <c r="AF48" s="732"/>
      <c r="AG48" s="732"/>
      <c r="AH48" s="732"/>
    </row>
    <row r="49" ht="15" customHeight="1" x14ac:dyDescent="0.25"/>
    <row r="50" ht="15" customHeight="1" x14ac:dyDescent="0.25"/>
  </sheetData>
  <sheetProtection algorithmName="SHA-512" hashValue="/xSjZdRJwlCYsMeyW7Xy9/qYO7t6J6qps5NYkGKU92UjqlhH1ZLyMIgt1nFePNOyOwFYv5SMQbT/Pno9qMx0fg==" saltValue="aonf3pmqvi90iu30V/YBxA==" spinCount="100000" sheet="1" formatCells="0"/>
  <mergeCells count="12">
    <mergeCell ref="AA16:AG16"/>
    <mergeCell ref="B2:V2"/>
    <mergeCell ref="B4:F4"/>
    <mergeCell ref="B6:V44"/>
    <mergeCell ref="Z8:AA8"/>
    <mergeCell ref="Z9:AA9"/>
    <mergeCell ref="Z10:AB10"/>
    <mergeCell ref="AA14:AF14"/>
    <mergeCell ref="AB8:AF8"/>
    <mergeCell ref="AB9:AF9"/>
    <mergeCell ref="AA11:AG13"/>
    <mergeCell ref="Y3:AH4"/>
  </mergeCells>
  <hyperlinks>
    <hyperlink ref="B4" r:id="rId1" xr:uid="{5EDB4E29-331F-4A21-AE21-55D7FE5679E2}"/>
    <hyperlink ref="Y3:AG4" location="'Project Mull Review'!A1" display="CLICK TO RETURN TO PROJECT MULL REVIEW" xr:uid="{75F715D6-70CE-43CC-B81C-E1362459B6EE}"/>
    <hyperlink ref="AB8" r:id="rId2" xr:uid="{73714D49-2788-4170-8849-8BF9C060BB28}"/>
    <hyperlink ref="AB9" r:id="rId3" location="&amp;center=53.17057940324497,0.31142425537147306&amp;zoom=2&amp;marker=38.888571,-77.05198" xr:uid="{666C7C3F-96E5-4505-8144-21C862CB56A8}"/>
    <hyperlink ref="AA14" r:id="rId4" xr:uid="{DDF584BB-0810-4DB5-ABB6-614243CE0063}"/>
    <hyperlink ref="AA16:AG16" r:id="rId5" display="PAS Ref Lib:  State and Region Codes" xr:uid="{0728E36A-6A75-4413-9E61-5283539780DC}"/>
  </hyperlinks>
  <pageMargins left="0.7" right="0.7" top="0.75" bottom="0.75" header="0.3" footer="0.3"/>
  <pageSetup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75791-40C4-411D-9F8D-DF7F525EBE2B}">
  <sheetPr>
    <tabColor theme="5"/>
  </sheetPr>
  <dimension ref="A1:CE190"/>
  <sheetViews>
    <sheetView topLeftCell="A6" zoomScaleNormal="100" workbookViewId="0">
      <selection activeCell="B10" sqref="B10"/>
    </sheetView>
  </sheetViews>
  <sheetFormatPr defaultRowHeight="15" outlineLevelRow="1" outlineLevelCol="1" x14ac:dyDescent="0.25"/>
  <cols>
    <col min="1" max="1" width="3.7109375" customWidth="1"/>
    <col min="2" max="2" width="60.7109375" style="4" customWidth="1"/>
    <col min="3" max="3" width="72.7109375" style="4" bestFit="1" customWidth="1"/>
    <col min="4" max="4" width="13.28515625" bestFit="1" customWidth="1"/>
    <col min="5" max="5" width="15.7109375" customWidth="1"/>
    <col min="6" max="6" width="17.28515625" bestFit="1" customWidth="1"/>
    <col min="7" max="7" width="2.28515625" customWidth="1"/>
    <col min="8" max="8" width="6.42578125" hidden="1" customWidth="1" outlineLevel="1"/>
    <col min="9" max="9" width="32.42578125" hidden="1" customWidth="1" outlineLevel="1"/>
    <col min="10" max="10" width="57.7109375" hidden="1" customWidth="1" outlineLevel="1"/>
    <col min="11" max="11" width="14.5703125" hidden="1" customWidth="1" outlineLevel="1"/>
    <col min="12" max="13" width="9.140625" hidden="1" customWidth="1" outlineLevel="1"/>
    <col min="14" max="14" width="87.140625" hidden="1" customWidth="1" outlineLevel="1"/>
    <col min="15" max="15" width="20.42578125" hidden="1" customWidth="1" outlineLevel="1"/>
    <col min="16" max="16" width="12.7109375" hidden="1" customWidth="1" outlineLevel="1"/>
    <col min="17" max="18" width="8.7109375" hidden="1" customWidth="1" outlineLevel="1"/>
    <col min="19" max="21" width="9.140625" hidden="1" customWidth="1" outlineLevel="1"/>
    <col min="22" max="22" width="6.7109375" hidden="1" customWidth="1" outlineLevel="1"/>
    <col min="23" max="28" width="5.7109375" hidden="1" customWidth="1" outlineLevel="1"/>
    <col min="29" max="29" width="30.42578125" hidden="1" customWidth="1" outlineLevel="1"/>
    <col min="30" max="30" width="21.42578125" hidden="1" customWidth="1" outlineLevel="1"/>
    <col min="31" max="31" width="5.7109375" hidden="1" customWidth="1" outlineLevel="1"/>
    <col min="32" max="33" width="20.7109375" hidden="1" customWidth="1" outlineLevel="1"/>
    <col min="34" max="34" width="6" hidden="1" customWidth="1" outlineLevel="1"/>
    <col min="35" max="35" width="6.42578125" hidden="1" customWidth="1" outlineLevel="1"/>
    <col min="36" max="36" width="8.140625" hidden="1" customWidth="1" outlineLevel="1"/>
    <col min="37" max="37" width="21.42578125" hidden="1" customWidth="1" outlineLevel="1"/>
    <col min="38" max="38" width="30.42578125" hidden="1" customWidth="1" outlineLevel="1"/>
    <col min="39" max="39" width="11" hidden="1" customWidth="1" outlineLevel="1"/>
    <col min="40" max="40" width="8.42578125" hidden="1" customWidth="1" outlineLevel="1"/>
    <col min="41" max="44" width="9.140625" hidden="1" customWidth="1" outlineLevel="1"/>
    <col min="45" max="45" width="13.42578125" hidden="1" customWidth="1" outlineLevel="1"/>
    <col min="46" max="46" width="10.5703125" hidden="1" customWidth="1" outlineLevel="1"/>
    <col min="47" max="47" width="11.28515625" hidden="1" customWidth="1" outlineLevel="1"/>
    <col min="48" max="48" width="9.140625" hidden="1" customWidth="1" outlineLevel="1"/>
    <col min="49" max="49" width="11.5703125" hidden="1" customWidth="1" outlineLevel="1"/>
    <col min="50" max="51" width="16.42578125" hidden="1" customWidth="1" outlineLevel="1"/>
    <col min="52" max="52" width="9.140625" hidden="1" customWidth="1" outlineLevel="1"/>
    <col min="53" max="57" width="9.42578125" hidden="1" customWidth="1" outlineLevel="1"/>
    <col min="58" max="60" width="10.5703125" hidden="1" customWidth="1" outlineLevel="1"/>
    <col min="61" max="61" width="90.28515625" hidden="1" customWidth="1" outlineLevel="1"/>
    <col min="62" max="71" width="9.140625" hidden="1" customWidth="1" outlineLevel="1"/>
    <col min="72" max="72" width="18.7109375" hidden="1" customWidth="1" outlineLevel="1"/>
    <col min="73" max="73" width="9.140625" hidden="1" customWidth="1" outlineLevel="1"/>
    <col min="74" max="74" width="25.7109375" customWidth="1" collapsed="1"/>
    <col min="75" max="83" width="25.7109375" customWidth="1"/>
  </cols>
  <sheetData>
    <row r="1" spans="1:83" s="451" customFormat="1" ht="45" hidden="1" customHeight="1" outlineLevel="1" x14ac:dyDescent="0.25">
      <c r="A1" s="451">
        <v>1</v>
      </c>
      <c r="B1" s="1305" t="s">
        <v>907</v>
      </c>
      <c r="C1" s="1305"/>
      <c r="D1" s="1305"/>
      <c r="I1" s="1148" t="s">
        <v>905</v>
      </c>
      <c r="J1" s="1149"/>
      <c r="K1" s="1150"/>
      <c r="L1" s="150"/>
      <c r="N1" s="1290" t="s">
        <v>926</v>
      </c>
      <c r="O1" s="1291"/>
      <c r="P1" s="1292"/>
      <c r="Q1" s="1290" t="s">
        <v>912</v>
      </c>
      <c r="R1" s="1291"/>
      <c r="S1" s="1291"/>
      <c r="T1" s="1291"/>
      <c r="U1" s="1291"/>
      <c r="V1" s="1292"/>
      <c r="W1" s="1290" t="s">
        <v>924</v>
      </c>
      <c r="X1" s="1291"/>
      <c r="Y1" s="1291"/>
      <c r="Z1" s="1291"/>
      <c r="AA1" s="1291"/>
      <c r="AB1" s="1291"/>
      <c r="AC1" s="1291"/>
      <c r="AD1" s="1291"/>
      <c r="AE1" s="1292"/>
      <c r="AF1" s="1290" t="s">
        <v>1399</v>
      </c>
      <c r="AG1" s="1291"/>
      <c r="AH1" s="1291"/>
      <c r="AI1" s="1291"/>
      <c r="AJ1" s="1291"/>
      <c r="AK1" s="1292"/>
      <c r="AL1" s="1290" t="s">
        <v>923</v>
      </c>
      <c r="AM1" s="1291"/>
      <c r="AN1" s="1291"/>
      <c r="AO1" s="1291"/>
      <c r="AP1" s="1292"/>
      <c r="AR1" s="1290" t="s">
        <v>925</v>
      </c>
      <c r="AS1" s="1291"/>
      <c r="AT1" s="1291"/>
      <c r="AU1" s="1292"/>
      <c r="AW1" s="1290" t="s">
        <v>927</v>
      </c>
      <c r="AX1" s="1291"/>
      <c r="AY1" s="1292"/>
      <c r="BA1" s="1290" t="s">
        <v>1137</v>
      </c>
      <c r="BB1" s="1291"/>
      <c r="BC1" s="1291"/>
      <c r="BD1" s="1291"/>
      <c r="BE1" s="1291"/>
      <c r="BF1" s="1291"/>
      <c r="BG1" s="1291"/>
      <c r="BH1" s="1291"/>
      <c r="BI1" s="1292"/>
      <c r="BJ1" s="1290" t="s">
        <v>1138</v>
      </c>
      <c r="BK1" s="1291"/>
      <c r="BL1" s="1291"/>
      <c r="BM1" s="1291"/>
      <c r="BN1" s="1291"/>
      <c r="BO1" s="1291"/>
      <c r="BP1" s="1291"/>
      <c r="BQ1" s="1291"/>
      <c r="BR1" s="1291"/>
      <c r="BS1" s="1292"/>
      <c r="BV1" s="489"/>
      <c r="BW1" s="489"/>
      <c r="BX1" s="489"/>
      <c r="BY1" s="489"/>
      <c r="CA1" s="149"/>
    </row>
    <row r="2" spans="1:83" s="451" customFormat="1" ht="45" hidden="1" customHeight="1" outlineLevel="1" x14ac:dyDescent="0.25">
      <c r="A2" s="451">
        <v>2</v>
      </c>
      <c r="B2" s="1305"/>
      <c r="C2" s="1305"/>
      <c r="D2" s="1305"/>
      <c r="E2" s="480"/>
      <c r="I2" s="1293" t="s">
        <v>913</v>
      </c>
      <c r="J2" s="1294"/>
      <c r="K2" s="1295"/>
      <c r="L2" s="452"/>
      <c r="N2" s="1293"/>
      <c r="O2" s="1294"/>
      <c r="P2" s="1295"/>
      <c r="Q2" s="1293"/>
      <c r="R2" s="1294"/>
      <c r="S2" s="1294"/>
      <c r="T2" s="1294"/>
      <c r="U2" s="1294"/>
      <c r="V2" s="1295"/>
      <c r="W2" s="1293"/>
      <c r="X2" s="1294"/>
      <c r="Y2" s="1294"/>
      <c r="Z2" s="1294"/>
      <c r="AA2" s="1294"/>
      <c r="AB2" s="1294"/>
      <c r="AC2" s="1294"/>
      <c r="AD2" s="1294"/>
      <c r="AE2" s="1295"/>
      <c r="AF2" s="1293"/>
      <c r="AG2" s="1294"/>
      <c r="AH2" s="1294"/>
      <c r="AI2" s="1294"/>
      <c r="AJ2" s="1294"/>
      <c r="AK2" s="1295"/>
      <c r="AL2" s="1293"/>
      <c r="AM2" s="1294"/>
      <c r="AN2" s="1294"/>
      <c r="AO2" s="1294"/>
      <c r="AP2" s="1295"/>
      <c r="AR2" s="1293"/>
      <c r="AS2" s="1294"/>
      <c r="AT2" s="1294"/>
      <c r="AU2" s="1295"/>
      <c r="AW2" s="1293"/>
      <c r="AX2" s="1294"/>
      <c r="AY2" s="1295"/>
      <c r="BA2" s="1293"/>
      <c r="BB2" s="1294"/>
      <c r="BC2" s="1294"/>
      <c r="BD2" s="1294"/>
      <c r="BE2" s="1294"/>
      <c r="BF2" s="1294"/>
      <c r="BG2" s="1294"/>
      <c r="BH2" s="1294"/>
      <c r="BI2" s="1295"/>
      <c r="BJ2" s="1293"/>
      <c r="BK2" s="1294"/>
      <c r="BL2" s="1294"/>
      <c r="BM2" s="1294"/>
      <c r="BN2" s="1294"/>
      <c r="BO2" s="1294"/>
      <c r="BP2" s="1294"/>
      <c r="BQ2" s="1294"/>
      <c r="BR2" s="1294"/>
      <c r="BS2" s="1295"/>
      <c r="BV2" s="489"/>
      <c r="BW2" s="489"/>
      <c r="BX2" s="489"/>
      <c r="BY2" s="489"/>
      <c r="BZ2" t="s">
        <v>928</v>
      </c>
      <c r="CA2" s="149" t="s">
        <v>802</v>
      </c>
    </row>
    <row r="3" spans="1:83" s="451" customFormat="1" ht="45" hidden="1" customHeight="1" outlineLevel="1" x14ac:dyDescent="0.25">
      <c r="B3" s="1305"/>
      <c r="C3" s="1305"/>
      <c r="D3" s="1305"/>
      <c r="I3" s="1293"/>
      <c r="J3" s="1294"/>
      <c r="K3" s="1295"/>
      <c r="L3" s="452"/>
      <c r="N3" s="1293"/>
      <c r="O3" s="1294"/>
      <c r="P3" s="1295"/>
      <c r="Q3" s="1293"/>
      <c r="R3" s="1294"/>
      <c r="S3" s="1294"/>
      <c r="T3" s="1294"/>
      <c r="U3" s="1294"/>
      <c r="V3" s="1295"/>
      <c r="W3" s="1293"/>
      <c r="X3" s="1294"/>
      <c r="Y3" s="1294"/>
      <c r="Z3" s="1294"/>
      <c r="AA3" s="1294"/>
      <c r="AB3" s="1294"/>
      <c r="AC3" s="1294"/>
      <c r="AD3" s="1294"/>
      <c r="AE3" s="1295"/>
      <c r="AF3" s="1293"/>
      <c r="AG3" s="1294"/>
      <c r="AH3" s="1294"/>
      <c r="AI3" s="1294"/>
      <c r="AJ3" s="1294"/>
      <c r="AK3" s="1295"/>
      <c r="AL3" s="1293"/>
      <c r="AM3" s="1294"/>
      <c r="AN3" s="1294"/>
      <c r="AO3" s="1294"/>
      <c r="AP3" s="1295"/>
      <c r="AR3" s="1293"/>
      <c r="AS3" s="1294"/>
      <c r="AT3" s="1294"/>
      <c r="AU3" s="1295"/>
      <c r="AW3" s="1293"/>
      <c r="AX3" s="1294"/>
      <c r="AY3" s="1295"/>
      <c r="BA3" s="1293"/>
      <c r="BB3" s="1294"/>
      <c r="BC3" s="1294"/>
      <c r="BD3" s="1294"/>
      <c r="BE3" s="1294"/>
      <c r="BF3" s="1294"/>
      <c r="BG3" s="1294"/>
      <c r="BH3" s="1294"/>
      <c r="BI3" s="1295"/>
      <c r="BJ3" s="1293"/>
      <c r="BK3" s="1294"/>
      <c r="BL3" s="1294"/>
      <c r="BM3" s="1294"/>
      <c r="BN3" s="1294"/>
      <c r="BO3" s="1294"/>
      <c r="BP3" s="1294"/>
      <c r="BQ3" s="1294"/>
      <c r="BR3" s="1294"/>
      <c r="BS3" s="1295"/>
      <c r="BV3" s="489"/>
      <c r="BW3" s="489"/>
      <c r="BX3" s="489"/>
      <c r="BY3" s="489"/>
      <c r="BZ3" s="1279" t="s">
        <v>1124</v>
      </c>
      <c r="CA3" s="1279"/>
      <c r="CB3" s="1279"/>
      <c r="CC3" s="1279"/>
      <c r="CD3" s="1279"/>
      <c r="CE3" s="1279"/>
    </row>
    <row r="4" spans="1:83" s="451" customFormat="1" ht="45" hidden="1" customHeight="1" outlineLevel="1" x14ac:dyDescent="0.25">
      <c r="B4" s="1305"/>
      <c r="C4" s="1305"/>
      <c r="D4" s="1305"/>
      <c r="E4" s="451" t="s">
        <v>1365</v>
      </c>
      <c r="I4" s="1293"/>
      <c r="J4" s="1294"/>
      <c r="K4" s="1295"/>
      <c r="L4" s="452"/>
      <c r="N4" s="1293"/>
      <c r="O4" s="1294"/>
      <c r="P4" s="1295"/>
      <c r="Q4" s="1293"/>
      <c r="R4" s="1294"/>
      <c r="S4" s="1294"/>
      <c r="T4" s="1294"/>
      <c r="U4" s="1294"/>
      <c r="V4" s="1295"/>
      <c r="W4" s="1293"/>
      <c r="X4" s="1294"/>
      <c r="Y4" s="1294"/>
      <c r="Z4" s="1294"/>
      <c r="AA4" s="1294"/>
      <c r="AB4" s="1294"/>
      <c r="AC4" s="1294"/>
      <c r="AD4" s="1294"/>
      <c r="AE4" s="1295"/>
      <c r="AF4" s="1293"/>
      <c r="AG4" s="1294"/>
      <c r="AH4" s="1294"/>
      <c r="AI4" s="1294"/>
      <c r="AJ4" s="1294"/>
      <c r="AK4" s="1295"/>
      <c r="AL4" s="1293"/>
      <c r="AM4" s="1294"/>
      <c r="AN4" s="1294"/>
      <c r="AO4" s="1294"/>
      <c r="AP4" s="1295"/>
      <c r="AR4" s="1293"/>
      <c r="AS4" s="1294"/>
      <c r="AT4" s="1294"/>
      <c r="AU4" s="1295"/>
      <c r="AW4" s="1293"/>
      <c r="AX4" s="1294"/>
      <c r="AY4" s="1295"/>
      <c r="BA4" s="1293"/>
      <c r="BB4" s="1294"/>
      <c r="BC4" s="1294"/>
      <c r="BD4" s="1294"/>
      <c r="BE4" s="1294"/>
      <c r="BF4" s="1294"/>
      <c r="BG4" s="1294"/>
      <c r="BH4" s="1294"/>
      <c r="BI4" s="1295"/>
      <c r="BJ4" s="1293"/>
      <c r="BK4" s="1294"/>
      <c r="BL4" s="1294"/>
      <c r="BM4" s="1294"/>
      <c r="BN4" s="1294"/>
      <c r="BO4" s="1294"/>
      <c r="BP4" s="1294"/>
      <c r="BQ4" s="1294"/>
      <c r="BR4" s="1294"/>
      <c r="BS4" s="1295"/>
      <c r="BV4" s="489"/>
      <c r="BW4" s="489"/>
      <c r="BX4" s="489"/>
      <c r="BY4" s="489"/>
      <c r="BZ4" s="1279"/>
      <c r="CA4" s="1279"/>
      <c r="CB4" s="1279"/>
      <c r="CC4" s="1279"/>
      <c r="CD4" s="1279"/>
      <c r="CE4" s="1279"/>
    </row>
    <row r="5" spans="1:83" s="451" customFormat="1" ht="45" hidden="1" customHeight="1" outlineLevel="1" x14ac:dyDescent="0.25">
      <c r="B5" s="1305"/>
      <c r="C5" s="1305"/>
      <c r="D5" s="1305"/>
      <c r="I5" s="1296"/>
      <c r="J5" s="1297"/>
      <c r="K5" s="1298"/>
      <c r="L5" s="452"/>
      <c r="N5" s="1296"/>
      <c r="O5" s="1297"/>
      <c r="P5" s="1298"/>
      <c r="Q5" s="1296"/>
      <c r="R5" s="1297"/>
      <c r="S5" s="1297"/>
      <c r="T5" s="1297"/>
      <c r="U5" s="1297"/>
      <c r="V5" s="1298"/>
      <c r="W5" s="1296"/>
      <c r="X5" s="1297"/>
      <c r="Y5" s="1297"/>
      <c r="Z5" s="1297"/>
      <c r="AA5" s="1297"/>
      <c r="AB5" s="1297"/>
      <c r="AC5" s="1297"/>
      <c r="AD5" s="1297"/>
      <c r="AE5" s="1298"/>
      <c r="AF5" s="1296"/>
      <c r="AG5" s="1297"/>
      <c r="AH5" s="1297"/>
      <c r="AI5" s="1297"/>
      <c r="AJ5" s="1297"/>
      <c r="AK5" s="1298"/>
      <c r="AL5" s="1296"/>
      <c r="AM5" s="1297"/>
      <c r="AN5" s="1297"/>
      <c r="AO5" s="1297"/>
      <c r="AP5" s="1298"/>
      <c r="AR5" s="1296"/>
      <c r="AS5" s="1297"/>
      <c r="AT5" s="1297"/>
      <c r="AU5" s="1298"/>
      <c r="AW5" s="1296"/>
      <c r="AX5" s="1297"/>
      <c r="AY5" s="1298"/>
      <c r="BA5" s="1296"/>
      <c r="BB5" s="1297"/>
      <c r="BC5" s="1297"/>
      <c r="BD5" s="1297"/>
      <c r="BE5" s="1297"/>
      <c r="BF5" s="1297"/>
      <c r="BG5" s="1297"/>
      <c r="BH5" s="1297"/>
      <c r="BI5" s="1298"/>
      <c r="BJ5" s="1296"/>
      <c r="BK5" s="1297"/>
      <c r="BL5" s="1297"/>
      <c r="BM5" s="1297"/>
      <c r="BN5" s="1297"/>
      <c r="BO5" s="1297"/>
      <c r="BP5" s="1297"/>
      <c r="BQ5" s="1297"/>
      <c r="BR5" s="1297"/>
      <c r="BS5" s="1298"/>
    </row>
    <row r="6" spans="1:83" ht="15.75" collapsed="1" thickBot="1" x14ac:dyDescent="0.3">
      <c r="I6" s="1306" t="s">
        <v>906</v>
      </c>
      <c r="J6" s="1306"/>
      <c r="K6" s="1306"/>
      <c r="L6" s="450"/>
    </row>
    <row r="7" spans="1:83" ht="45" customHeight="1" thickBot="1" x14ac:dyDescent="0.3">
      <c r="B7" s="1307" t="s">
        <v>1443</v>
      </c>
      <c r="C7" s="1310" t="s">
        <v>1398</v>
      </c>
      <c r="D7" s="1313" t="s">
        <v>1150</v>
      </c>
      <c r="E7" s="1320" t="s">
        <v>1152</v>
      </c>
      <c r="F7" s="1321"/>
      <c r="N7" t="s">
        <v>1371</v>
      </c>
      <c r="AW7" s="1287" t="s">
        <v>908</v>
      </c>
      <c r="AX7" s="1288"/>
      <c r="AY7" s="1289"/>
      <c r="BI7" t="s">
        <v>1370</v>
      </c>
      <c r="BV7" s="1280" t="s">
        <v>1125</v>
      </c>
      <c r="BW7" s="1281"/>
      <c r="BX7" s="1281"/>
      <c r="BY7" s="1281"/>
      <c r="BZ7" s="1281"/>
      <c r="CA7" s="1281"/>
      <c r="CB7" s="1281"/>
      <c r="CC7" s="1281"/>
      <c r="CD7" s="1281"/>
      <c r="CE7" s="1282"/>
    </row>
    <row r="8" spans="1:83" ht="45" customHeight="1" thickTop="1" thickBot="1" x14ac:dyDescent="0.3">
      <c r="B8" s="1308"/>
      <c r="C8" s="1311"/>
      <c r="D8" s="1314"/>
      <c r="E8" s="1316" t="s">
        <v>1098</v>
      </c>
      <c r="F8" s="1318" t="s">
        <v>1151</v>
      </c>
      <c r="I8" s="1299" t="s">
        <v>902</v>
      </c>
      <c r="J8" s="1300"/>
      <c r="K8" s="1301"/>
      <c r="N8" s="449" t="s">
        <v>904</v>
      </c>
      <c r="AW8" s="437" t="s">
        <v>909</v>
      </c>
      <c r="AX8" s="160" t="s">
        <v>910</v>
      </c>
      <c r="AY8" s="161" t="s">
        <v>911</v>
      </c>
      <c r="BA8" s="434" t="s">
        <v>1127</v>
      </c>
      <c r="BB8" s="435" t="s">
        <v>1128</v>
      </c>
      <c r="BC8" s="435" t="s">
        <v>1129</v>
      </c>
      <c r="BD8" s="435" t="s">
        <v>1130</v>
      </c>
      <c r="BE8" s="435" t="s">
        <v>1131</v>
      </c>
      <c r="BF8" s="435" t="s">
        <v>1132</v>
      </c>
      <c r="BG8" s="435" t="s">
        <v>1133</v>
      </c>
      <c r="BH8" s="435" t="s">
        <v>1134</v>
      </c>
      <c r="BI8" s="436" t="s">
        <v>1135</v>
      </c>
      <c r="BJ8" s="1287" t="s">
        <v>1136</v>
      </c>
      <c r="BK8" s="1288"/>
      <c r="BL8" s="1288"/>
      <c r="BM8" s="1288"/>
      <c r="BN8" s="1288"/>
      <c r="BO8" s="1288"/>
      <c r="BP8" s="1288"/>
      <c r="BQ8" s="1288"/>
      <c r="BR8" s="1288"/>
      <c r="BS8" s="1289"/>
      <c r="BV8" s="1283"/>
      <c r="BW8" s="1284"/>
      <c r="BX8" s="1284"/>
      <c r="BY8" s="1284"/>
      <c r="BZ8" s="1284"/>
      <c r="CA8" s="1284"/>
      <c r="CB8" s="1284"/>
      <c r="CC8" s="1284"/>
      <c r="CD8" s="1284"/>
      <c r="CE8" s="1285"/>
    </row>
    <row r="9" spans="1:83" s="4" customFormat="1" ht="15.75" customHeight="1" thickBot="1" x14ac:dyDescent="0.3">
      <c r="B9" s="1309"/>
      <c r="C9" s="1312"/>
      <c r="D9" s="1315"/>
      <c r="E9" s="1317"/>
      <c r="F9" s="1319"/>
      <c r="I9" s="1302"/>
      <c r="J9" s="1303"/>
      <c r="K9" s="1304"/>
      <c r="N9" s="454" t="str">
        <f>LEFT(ADDRESS(1,COLUMN(),4),1)</f>
        <v>N</v>
      </c>
      <c r="P9" s="1322" t="s">
        <v>880</v>
      </c>
      <c r="Q9" s="1287" t="s">
        <v>889</v>
      </c>
      <c r="R9" s="1288"/>
      <c r="S9" s="1288"/>
      <c r="T9" s="1288"/>
      <c r="U9" s="1288"/>
      <c r="V9" s="1289"/>
      <c r="W9" s="434" t="s">
        <v>914</v>
      </c>
      <c r="X9" s="435" t="s">
        <v>915</v>
      </c>
      <c r="Y9" s="435" t="s">
        <v>916</v>
      </c>
      <c r="Z9" s="435" t="s">
        <v>917</v>
      </c>
      <c r="AA9" s="435" t="s">
        <v>918</v>
      </c>
      <c r="AB9" s="435" t="s">
        <v>919</v>
      </c>
      <c r="AC9" s="435" t="s">
        <v>920</v>
      </c>
      <c r="AD9" s="435" t="s">
        <v>921</v>
      </c>
      <c r="AE9" s="436" t="s">
        <v>922</v>
      </c>
      <c r="AF9" s="1334" t="s">
        <v>1362</v>
      </c>
      <c r="AG9" s="1335"/>
      <c r="AH9" s="1326" t="s">
        <v>1363</v>
      </c>
      <c r="AI9" s="1332" t="s">
        <v>1367</v>
      </c>
      <c r="AJ9" s="1328" t="s">
        <v>1364</v>
      </c>
      <c r="AK9" s="1330" t="s">
        <v>1366</v>
      </c>
      <c r="AL9" s="1287" t="s">
        <v>893</v>
      </c>
      <c r="AM9" s="1288"/>
      <c r="AN9" s="1289"/>
      <c r="AW9" s="140" t="str">
        <f>CONCATENATE("$",N$9,"$",M$11)</f>
        <v>$N$11</v>
      </c>
      <c r="AX9" s="4" t="str">
        <f>CONCATENATE("$",N$9,"$",AS12)</f>
        <v>$N$99</v>
      </c>
      <c r="AY9" s="158"/>
      <c r="BA9" s="1338" t="s">
        <v>1100</v>
      </c>
      <c r="BB9" s="1286" t="s">
        <v>1101</v>
      </c>
      <c r="BC9" s="1286" t="s">
        <v>1102</v>
      </c>
      <c r="BD9" s="1286" t="s">
        <v>1126</v>
      </c>
      <c r="BE9" s="1286" t="s">
        <v>1108</v>
      </c>
      <c r="BF9" s="1286" t="s">
        <v>1103</v>
      </c>
      <c r="BG9" s="1286" t="s">
        <v>1104</v>
      </c>
      <c r="BH9" s="1286" t="s">
        <v>1099</v>
      </c>
      <c r="BI9" s="1286" t="s">
        <v>1112</v>
      </c>
      <c r="BJ9" s="1286" t="s">
        <v>1113</v>
      </c>
      <c r="BK9" s="1286" t="s">
        <v>1114</v>
      </c>
      <c r="BL9" s="1286" t="s">
        <v>1115</v>
      </c>
      <c r="BM9" s="1286" t="s">
        <v>1116</v>
      </c>
      <c r="BN9" s="1286" t="s">
        <v>1117</v>
      </c>
      <c r="BO9" s="1286" t="s">
        <v>1118</v>
      </c>
      <c r="BP9" s="1286" t="s">
        <v>1120</v>
      </c>
      <c r="BQ9" s="1286" t="s">
        <v>1121</v>
      </c>
      <c r="BR9" s="1286" t="s">
        <v>1122</v>
      </c>
      <c r="BS9" s="1340" t="s">
        <v>1123</v>
      </c>
      <c r="BV9" s="491">
        <v>1</v>
      </c>
      <c r="BW9" s="491">
        <v>2</v>
      </c>
      <c r="BX9" s="491">
        <v>3</v>
      </c>
      <c r="BY9" s="491">
        <v>4</v>
      </c>
      <c r="BZ9" s="491">
        <v>5</v>
      </c>
      <c r="CA9" s="492">
        <v>6</v>
      </c>
      <c r="CB9" s="482">
        <v>7</v>
      </c>
      <c r="CC9" s="482">
        <v>8</v>
      </c>
      <c r="CD9" s="482">
        <v>9</v>
      </c>
      <c r="CE9" s="482">
        <v>10</v>
      </c>
    </row>
    <row r="10" spans="1:83" s="4" customFormat="1" ht="16.5" thickTop="1" thickBot="1" x14ac:dyDescent="0.3">
      <c r="A10" s="4">
        <v>1</v>
      </c>
      <c r="B10" s="464" t="str">
        <f ca="1">_xlfn.CONCAT(AK11,AJ11)</f>
        <v>1</v>
      </c>
      <c r="C10" s="465" t="str">
        <f ca="1">AM11</f>
        <v/>
      </c>
      <c r="D10" s="466" t="str">
        <f t="shared" ref="D10" ca="1" si="0">AN11</f>
        <v/>
      </c>
      <c r="E10" s="472" t="str">
        <f ca="1">IFERROR(MID(AJ11,2,FIND("]",AJ11)-FIND("[",AJ11)-1),"")</f>
        <v/>
      </c>
      <c r="F10" s="490" t="str">
        <f t="shared" ref="F10:F41" ca="1" si="1">IFERROR(MID(C10,FIND("[",C10)+1,FIND("]",C10)-FIND("[",C10)-1),"")</f>
        <v/>
      </c>
      <c r="G10" s="523"/>
      <c r="H10" s="155"/>
      <c r="I10" s="438" t="s">
        <v>803</v>
      </c>
      <c r="J10" s="439" t="s">
        <v>804</v>
      </c>
      <c r="K10" s="440" t="s">
        <v>903</v>
      </c>
      <c r="M10" s="434" t="s">
        <v>891</v>
      </c>
      <c r="N10" s="435" t="s">
        <v>899</v>
      </c>
      <c r="O10" s="436" t="s">
        <v>898</v>
      </c>
      <c r="P10" s="1323"/>
      <c r="Q10" s="437" t="s">
        <v>896</v>
      </c>
      <c r="R10" s="160" t="s">
        <v>897</v>
      </c>
      <c r="S10" s="160" t="s">
        <v>900</v>
      </c>
      <c r="T10" s="160" t="s">
        <v>901</v>
      </c>
      <c r="U10" s="160" t="s">
        <v>892</v>
      </c>
      <c r="V10" s="161" t="s">
        <v>891</v>
      </c>
      <c r="W10" s="453"/>
      <c r="X10" s="453"/>
      <c r="Y10" s="453"/>
      <c r="Z10" s="453"/>
      <c r="AA10" s="453"/>
      <c r="AB10" s="453"/>
      <c r="AC10" s="453"/>
      <c r="AD10" s="453"/>
      <c r="AE10" s="521"/>
      <c r="AF10" s="1336"/>
      <c r="AG10" s="1337"/>
      <c r="AH10" s="1327"/>
      <c r="AI10" s="1333"/>
      <c r="AJ10" s="1329"/>
      <c r="AK10" s="1331"/>
      <c r="AL10" s="437" t="s">
        <v>894</v>
      </c>
      <c r="AM10" s="160" t="s">
        <v>535</v>
      </c>
      <c r="AN10" s="161" t="s">
        <v>895</v>
      </c>
      <c r="AP10"/>
      <c r="AR10" s="1287" t="s">
        <v>881</v>
      </c>
      <c r="AS10" s="1288"/>
      <c r="AT10" s="1288"/>
      <c r="AU10" s="1289"/>
      <c r="AW10" s="140" t="str">
        <f t="shared" ref="AW10:AW54" si="2">_xlfn.CONCAT(N$9,ROW())</f>
        <v>N10</v>
      </c>
      <c r="AY10" s="158"/>
      <c r="BA10" s="1339"/>
      <c r="BB10" s="1252"/>
      <c r="BC10" s="1252"/>
      <c r="BD10" s="1252"/>
      <c r="BE10" s="1252"/>
      <c r="BF10" s="1252"/>
      <c r="BG10" s="1252"/>
      <c r="BH10" s="1252"/>
      <c r="BI10" s="1252"/>
      <c r="BJ10" s="1252"/>
      <c r="BK10" s="1252"/>
      <c r="BL10" s="1252"/>
      <c r="BM10" s="1252"/>
      <c r="BN10" s="1252"/>
      <c r="BO10" s="1252"/>
      <c r="BP10" s="1252"/>
      <c r="BQ10" s="1252"/>
      <c r="BR10" s="1252"/>
      <c r="BS10" s="1341"/>
      <c r="BV10" s="502" t="str" cm="1">
        <f t="array" aca="1" ref="BV10" ca="1">IF(BJ11=0,"",CONCATENATE(INDEX(FinalSort,BJ11,4),": ",INDEX(FinalSort,BJ11,8)))</f>
        <v/>
      </c>
      <c r="BW10" s="503" t="str" cm="1">
        <f t="array" aca="1" ref="BW10" ca="1">IF(BK11=0,"",CONCATENATE(INDEX(FinalSort,BK11,4),": ",INDEX(FinalSort,BK11,8)))</f>
        <v/>
      </c>
      <c r="BX10" s="503" t="str" cm="1">
        <f t="array" aca="1" ref="BX10" ca="1">IF(BL11=0,"",CONCATENATE(INDEX(FinalSort,BL11,4),": ",INDEX(FinalSort,BL11,8)))</f>
        <v/>
      </c>
      <c r="BY10" s="503" t="str" cm="1">
        <f t="array" aca="1" ref="BY10" ca="1">IF(BM11=0,"",CONCATENATE(INDEX(FinalSort,BM11,4),": ",INDEX(FinalSort,BM11,8)))</f>
        <v/>
      </c>
      <c r="BZ10" s="503" t="str" cm="1">
        <f t="array" aca="1" ref="BZ10" ca="1">IF(BN11=0,"",CONCATENATE(INDEX(FinalSort,BN11,4),": ",INDEX(FinalSort,BN11,8)))</f>
        <v/>
      </c>
      <c r="CA10" s="503" t="str" cm="1">
        <f t="array" aca="1" ref="CA10" ca="1">IF(BO11=0,"",CONCATENATE(INDEX(FinalSort,BO11,4),": ",INDEX(FinalSort,BO11,8)))</f>
        <v/>
      </c>
      <c r="CB10" s="503" t="str" cm="1">
        <f t="array" aca="1" ref="CB10" ca="1">IF(BP11=0,"",CONCATENATE(INDEX(FinalSort,BP11,4),": ",INDEX(FinalSort,BP11,8)))</f>
        <v/>
      </c>
      <c r="CC10" s="503" t="str" cm="1">
        <f t="array" aca="1" ref="CC10" ca="1">IF(BQ11=0,"",CONCATENATE(INDEX(FinalSort,BQ11,4),": ",INDEX(FinalSort,BQ11,8)))</f>
        <v/>
      </c>
      <c r="CD10" s="503" t="str" cm="1">
        <f t="array" aca="1" ref="CD10" ca="1">IF(BR11=0,"",CONCATENATE(INDEX(FinalSort,BR11,4),": ",INDEX(FinalSort,BR11,8)))</f>
        <v/>
      </c>
      <c r="CE10" s="504" t="str" cm="1">
        <f t="array" aca="1" ref="CE10" ca="1">IF(BS11=0,"",CONCATENATE(INDEX(FinalSort,BS11,4),": ",INDEX(FinalSort,BS11,8)))</f>
        <v/>
      </c>
    </row>
    <row r="11" spans="1:83" x14ac:dyDescent="0.25">
      <c r="A11" s="4">
        <v>2</v>
      </c>
      <c r="B11" s="326" t="str">
        <f t="shared" ref="B11:B41" ca="1" si="3">_xlfn.CONCAT(AK12,AJ12)</f>
        <v/>
      </c>
      <c r="C11" s="462" t="str">
        <f t="shared" ref="C11:C74" ca="1" si="4">AM12</f>
        <v/>
      </c>
      <c r="D11" s="463" t="str">
        <f t="shared" ref="D11:D74" ca="1" si="5">AN12</f>
        <v/>
      </c>
      <c r="E11" s="471" t="str">
        <f t="shared" ref="E11:E74" ca="1" si="6">IFERROR(MID(AJ12,2,FIND("]",AJ12)-FIND("[",AJ12)-1),"")</f>
        <v/>
      </c>
      <c r="F11" s="473" t="str">
        <f t="shared" ca="1" si="1"/>
        <v/>
      </c>
      <c r="G11" s="523"/>
      <c r="H11" s="155"/>
      <c r="I11" s="441" t="str" cm="1">
        <f t="array" ref="I11">IFERROR(INDEX('Project Mull Review'!AF:AF, SMALL(IF('Project Mull Review'!AF$35:AF$682&lt;&gt;"",ROW('Project Mull Review'!AF$35:AF$682),""),ROWS('Project Mull Review'!AF$35:AF35))),"")</f>
        <v/>
      </c>
      <c r="J11" s="388" t="str" cm="1">
        <f t="array" ref="J11">IFERROR(INDEX('Project Mull Review'!AI:AI, SMALL(IF('Project Mull Review'!AI$35:AI$682&lt;&gt;"",ROW('Project Mull Review'!AI$35:AI$682),""),ROWS('Project Mull Review'!AI$35:AI35))),"")</f>
        <v/>
      </c>
      <c r="K11" s="442" t="str" cm="1">
        <f t="array" ref="K11">IFERROR(ROUND(INDEX('Project Mull Review'!AT:AT, SMALL(IF('Project Mull Review'!AI$35:AI$682&lt;&gt;"",ROW('Project Mull Review'!AI$35:AI$682),""),ROWS('Project Mull Review'!AI$35:AI35))),0),"")</f>
        <v/>
      </c>
      <c r="M11" s="447">
        <f>ROW()</f>
        <v>11</v>
      </c>
      <c r="N11" s="375" t="str">
        <f>IF(OR(J11="Nail Fin Fasteners are sufficient",J11= "Product Clip/Thru-Frame Fasteners are sufficient"), "----",_xlfn.CONCAT(I11,J11))</f>
        <v/>
      </c>
      <c r="O11" s="375" t="str">
        <f>IF(OR(I11="",N11="----"),"",CONCATENATE(I11,J11,M11))</f>
        <v/>
      </c>
      <c r="P11" s="376">
        <f ca="1">IF(N11="",0,IF(OR(ISNUMBER(MATCH(N11,INDIRECT(AX11),0))=TRUE,ISNUMBER(MATCH(N11,INDIRECT(AY11),0))=TRUE),1,0))</f>
        <v>0</v>
      </c>
      <c r="Q11" s="375" t="str">
        <f ca="1">IF(P11=1,O11,"")</f>
        <v/>
      </c>
      <c r="R11" s="375" t="str">
        <f ca="1">IF(P11=0,IF(O11="","",O11),"")</f>
        <v/>
      </c>
      <c r="S11" s="375" t="str" cm="1">
        <f t="array" aca="1" ref="S11:S99" ca="1">_xlfn._xlws.SORT(Q11:Q99,1,-1)</f>
        <v/>
      </c>
      <c r="T11" s="376" t="str" cm="1">
        <f t="array" aca="1" ref="T11:T99" ca="1">_xlfn._xlws.SORT(R11:R99,1,-1)</f>
        <v/>
      </c>
      <c r="U11" s="375" t="str">
        <f ca="1">IFERROR(MID(S11,1,LEN(S11)-2),"")</f>
        <v/>
      </c>
      <c r="V11" s="376" t="str">
        <f ca="1">RIGHT(S11,2)</f>
        <v/>
      </c>
      <c r="W11" s="375">
        <f ca="1">IF(U11="",0,IF(ISNUMBER(MATCH(U11,U12:U24,0))=TRUE,1,0))</f>
        <v>0</v>
      </c>
      <c r="X11" s="375" t="str" cm="1">
        <f t="array" aca="1" ref="X11" ca="1">IFERROR(INDEX(INDIRECT(CONCATENATE(AS$14,":",AS$16)),V11-AR$12+1),"")</f>
        <v/>
      </c>
      <c r="Y11" s="375" t="str">
        <f>ADDRESS(ROW(),COLUMN()-1,4)</f>
        <v>X11</v>
      </c>
      <c r="Z11" s="375" t="str">
        <f ca="1">VLOOKUP(0,W11:Y48,3,FALSE)</f>
        <v>X11</v>
      </c>
      <c r="AA11" s="375">
        <f ca="1">IF(IFERROR(MATCH(Z11,Z12:Z48,0),0)=1,AA10+1,0)</f>
        <v>0</v>
      </c>
      <c r="AB11" s="375">
        <f ca="1">IF(AA11=0,MAX(INDIRECT(CONCATENATE(Z11,":",LEFT(Z11),ROW()-AA10))),0)</f>
        <v>0</v>
      </c>
      <c r="AC11" s="375" t="str">
        <f t="shared" ref="AC11:AC54" ca="1" si="7">IF($AB11=0,"",_xlfn.CONCAT(INDIRECT(_xlfn.CONCAT(AU$12,$V11)),V11))</f>
        <v/>
      </c>
      <c r="AD11" s="375" t="str" cm="1">
        <f t="array" aca="1" ref="AD11" ca="1">IF($AB11=0,"",INDIRECT(_xlfn.CONCAT(AU$14,$V11)))</f>
        <v/>
      </c>
      <c r="AE11" s="376" t="str">
        <f ca="1">IF(AB11=0,"",AB11)</f>
        <v/>
      </c>
      <c r="AF11" s="375" t="str">
        <f ca="1">IFERROR(_xlfn.CONCAT(MID(AC11,FIND("[",AC11)+1,FIND("]",AC11)-FIND("[",AC11)-1),MID(AC11,1,LEN(AC11))),"")</f>
        <v/>
      </c>
      <c r="AG11" s="524" t="str" cm="1">
        <f t="array" aca="1" ref="AG11:AG99" ca="1">_xlfn._xlws.SORT(AF11:AF99,1,-1)</f>
        <v/>
      </c>
      <c r="AH11" s="527">
        <v>1</v>
      </c>
      <c r="AI11" s="529" t="str">
        <f ca="1">IFERROR(MID(AL11,FIND("[",AL11),FIND("]",AL11)-FIND("[",AL11)),"")</f>
        <v/>
      </c>
      <c r="AJ11" s="530" t="str">
        <f ca="1">IFERROR(CONCATENATE(AI11,AH11,IF(AK11="","","]")),"")</f>
        <v>1</v>
      </c>
      <c r="AK11" s="375" t="str">
        <f ca="1">IFERROR(MID(AL11,1,LEN(AL11)-8),"")</f>
        <v/>
      </c>
      <c r="AL11" s="447" t="str">
        <f t="shared" ref="AL11:AL42" ca="1" si="8">IFERROR(MID(AG11,5,LEN(AG11)-4),"")</f>
        <v/>
      </c>
      <c r="AM11" s="375" t="str">
        <f ca="1">IFERROR(VLOOKUP(AL11,$AC$11:$AE$99,2,FALSE),"")</f>
        <v/>
      </c>
      <c r="AN11" s="376" t="str">
        <f ca="1">IFERROR(VLOOKUP(AL11,$AC$11:$AE$99,3,FALSE),"")</f>
        <v/>
      </c>
      <c r="AR11" s="478" t="s">
        <v>886</v>
      </c>
      <c r="AS11" s="155" t="s">
        <v>887</v>
      </c>
      <c r="AT11" s="155" t="s">
        <v>888</v>
      </c>
      <c r="AU11" s="479" t="s">
        <v>882</v>
      </c>
      <c r="AW11" s="140" t="str">
        <f t="shared" si="2"/>
        <v>N11</v>
      </c>
      <c r="AX11" t="s">
        <v>1109</v>
      </c>
      <c r="AY11" s="144" t="str">
        <f>CONCATENATE(AW12,":",AX$9)</f>
        <v>N12:$N$99</v>
      </c>
      <c r="BA11" s="139" t="str" cm="1">
        <f t="array" aca="1" ref="BA11" ca="1">IFERROR(CELL("address",INDEX('Project Mull Review'!AF:AF, SMALL(IF('Project Mull Review'!AF$35:AF$682&lt;&gt;"",ROW('Project Mull Review'!AF$35:AF$682),""),ROWS('Project Mull Review'!AF$35:AF35)))),"")</f>
        <v/>
      </c>
      <c r="BB11" s="155" t="str">
        <f ca="1">IFERROR(RIGHT(BA11,LEN(BA11)-FIND("!",BA11)),"")</f>
        <v/>
      </c>
      <c r="BC11" s="155" t="str">
        <f ca="1">IFERROR(_xlfn.CONCAT(MID(BB11,2,2),RIGHT(BB11,LEN(BB11)-FIND("$",BB11,2))),"")</f>
        <v/>
      </c>
      <c r="BD11" s="155" t="str" cm="1">
        <f t="array" aca="1" ref="BD11" ca="1">IFERROR(INDEX(MainCell,BE11,2),"")</f>
        <v/>
      </c>
      <c r="BE11" s="155" t="str">
        <f ca="1">IFERROR(MATCH(VALUE(RIGHT(BC11,LEN(BC11)-2)),AR$22:AR$76,1),"")</f>
        <v/>
      </c>
      <c r="BF11" s="64" t="str">
        <f ca="1">IF(BD11="","",_xlfn.CONCAT($AT$16,BD11))</f>
        <v/>
      </c>
      <c r="BG11" s="64" t="str">
        <f ca="1">IFERROR(_xlfn.CONCAT($AT$16,INDEX(MainCell,BE11,3)),"")</f>
        <v/>
      </c>
      <c r="BH11" s="64" t="str" cm="1">
        <f t="array" aca="1" ref="BH11" ca="1">IFERROR(CONCATENATE(INDIRECT(BF11)," ", INDIRECT(BG11)),"")</f>
        <v/>
      </c>
      <c r="BI11" s="64" t="str">
        <f ca="1">IFERROR(_xlfn.CONCAT(LEFT(AL11,LEN(AL11)-2),AM11),"")</f>
        <v/>
      </c>
      <c r="BJ11" s="155">
        <f ca="1">IF(MATCH(BI11,Combo,0)&gt;=$AS$18,0,MATCH(BI11,Combo,0))</f>
        <v>0</v>
      </c>
      <c r="BK11" s="155">
        <f t="shared" ref="BK11:BK42" ca="1" si="9">IFERROR(IF(MATCH($BI11,OFFSET(Combo,BJ11,0),0)&gt;=($AS$18-BJ11),0,BJ11+MATCH($BI11,OFFSET(Combo,BJ11,0),0)),0)</f>
        <v>0</v>
      </c>
      <c r="BL11" s="155">
        <f t="shared" ref="BL11:BS20" ca="1" si="10">IF(BK11=0,0,IFERROR(IF(MATCH($BI11,OFFSET(Combo,BK11,0),0)&gt;=($AS$18-BK11),0,BK11+MATCH($BI11,OFFSET(Combo,BK11,0),0)),0))</f>
        <v>0</v>
      </c>
      <c r="BM11" s="155">
        <f t="shared" ca="1" si="10"/>
        <v>0</v>
      </c>
      <c r="BN11" s="155">
        <f t="shared" ca="1" si="10"/>
        <v>0</v>
      </c>
      <c r="BO11" s="155">
        <f t="shared" ca="1" si="10"/>
        <v>0</v>
      </c>
      <c r="BP11" s="155">
        <f t="shared" ca="1" si="10"/>
        <v>0</v>
      </c>
      <c r="BQ11" s="155">
        <f t="shared" ca="1" si="10"/>
        <v>0</v>
      </c>
      <c r="BR11" s="155">
        <f t="shared" ca="1" si="10"/>
        <v>0</v>
      </c>
      <c r="BS11" s="479">
        <f t="shared" ca="1" si="10"/>
        <v>0</v>
      </c>
      <c r="BV11" s="505" t="str" cm="1">
        <f t="array" aca="1" ref="BV11" ca="1">IF(BJ12=0,"",CONCATENATE(INDEX(FinalSort,BJ12,4),": ",INDEX(FinalSort,BJ12,8)))</f>
        <v/>
      </c>
      <c r="BW11" s="506" t="str" cm="1">
        <f t="array" aca="1" ref="BW11" ca="1">IF(BK12=0,"",CONCATENATE(INDEX(FinalSort,BK12,4),": ",INDEX(FinalSort,BK12,8)))</f>
        <v/>
      </c>
      <c r="BX11" s="506" t="str" cm="1">
        <f t="array" aca="1" ref="BX11" ca="1">IF(BL12=0,"",CONCATENATE(INDEX(FinalSort,BL12,4),": ",INDEX(FinalSort,BL12,8)))</f>
        <v/>
      </c>
      <c r="BY11" s="506" t="str" cm="1">
        <f t="array" aca="1" ref="BY11" ca="1">IF(BM12=0,"",CONCATENATE(INDEX(FinalSort,BM12,4),": ",INDEX(FinalSort,BM12,8)))</f>
        <v/>
      </c>
      <c r="BZ11" s="506" t="str" cm="1">
        <f t="array" aca="1" ref="BZ11" ca="1">IF(BN12=0,"",CONCATENATE(INDEX(FinalSort,BN12,4),": ",INDEX(FinalSort,BN12,8)))</f>
        <v/>
      </c>
      <c r="CA11" s="506" t="str" cm="1">
        <f t="array" aca="1" ref="CA11" ca="1">IF(BO12=0,"",CONCATENATE(INDEX(FinalSort,BO12,4),": ",INDEX(FinalSort,BO12,8)))</f>
        <v/>
      </c>
      <c r="CB11" s="506" t="str" cm="1">
        <f t="array" aca="1" ref="CB11" ca="1">IF(BP12=0,"",CONCATENATE(INDEX(FinalSort,BP12,4),": ",INDEX(FinalSort,BP12,8)))</f>
        <v/>
      </c>
      <c r="CC11" s="506" t="str" cm="1">
        <f t="array" aca="1" ref="CC11" ca="1">IF(BQ12=0,"",CONCATENATE(INDEX(FinalSort,BQ12,4),": ",INDEX(FinalSort,BQ12,8)))</f>
        <v/>
      </c>
      <c r="CD11" s="506" t="str" cm="1">
        <f t="array" aca="1" ref="CD11" ca="1">IF(BR12=0,"",CONCATENATE(INDEX(FinalSort,BR12,4),": ",INDEX(FinalSort,BR12,8)))</f>
        <v/>
      </c>
      <c r="CE11" s="507" t="str" cm="1">
        <f t="array" aca="1" ref="CE11" ca="1">IF(BS12=0,"",CONCATENATE(INDEX(FinalSort,BS12,4),": ",INDEX(FinalSort,BS12,8)))</f>
        <v/>
      </c>
    </row>
    <row r="12" spans="1:83" x14ac:dyDescent="0.25">
      <c r="A12" s="4">
        <v>3</v>
      </c>
      <c r="B12" s="326" t="str">
        <f t="shared" ca="1" si="3"/>
        <v/>
      </c>
      <c r="C12" s="462" t="str">
        <f t="shared" ca="1" si="4"/>
        <v/>
      </c>
      <c r="D12" s="463" t="str">
        <f t="shared" ca="1" si="5"/>
        <v/>
      </c>
      <c r="E12" s="471" t="str">
        <f t="shared" ca="1" si="6"/>
        <v/>
      </c>
      <c r="F12" s="473" t="str">
        <f t="shared" ca="1" si="1"/>
        <v/>
      </c>
      <c r="G12" s="523"/>
      <c r="H12" s="155"/>
      <c r="I12" s="443" t="str" cm="1">
        <f t="array" ref="I12">IFERROR(INDEX('Project Mull Review'!AF:AF, SMALL(IF('Project Mull Review'!AF$35:AF$682&lt;&gt;"",ROW('Project Mull Review'!AF$35:AF$682),""),ROWS('Project Mull Review'!AF$35:AF36))),"")</f>
        <v/>
      </c>
      <c r="J12" s="389" t="str" cm="1">
        <f t="array" ref="J12">IFERROR(INDEX('Project Mull Review'!AI:AI, SMALL(IF('Project Mull Review'!AI$35:AI$682&lt;&gt;"",ROW('Project Mull Review'!AI$35:AI$682),""),ROWS('Project Mull Review'!AI$35:AI36))),"")</f>
        <v/>
      </c>
      <c r="K12" s="442" t="str" cm="1">
        <f t="array" ref="K12">IFERROR(ROUND(INDEX('Project Mull Review'!AT:AT, SMALL(IF('Project Mull Review'!AI$35:AI$682&lt;&gt;"",ROW('Project Mull Review'!AI$35:AI$682),""),ROWS('Project Mull Review'!AI$35:AI36))),0),"")</f>
        <v/>
      </c>
      <c r="M12" s="140">
        <f>ROW()</f>
        <v>12</v>
      </c>
      <c r="N12" t="str">
        <f t="shared" ref="N12:N75" si="11">IF(OR(J12="Nail Fin Fasteners are sufficient",J12= "Product Clip/Thru-Frame Fasteners are sufficient"), "----",_xlfn.CONCAT(I12,J12))</f>
        <v/>
      </c>
      <c r="O12" t="str">
        <f t="shared" ref="O12:O75" si="12">IF(OR(I12="",N12="----"),"",CONCATENATE(I12,J12,M12))</f>
        <v/>
      </c>
      <c r="P12" s="144">
        <f t="shared" ref="P12:P42" ca="1" si="13">IF(N12="",0,IF(OR(ISNUMBER(MATCH(N12,INDIRECT(AX12),0))=TRUE,ISNUMBER(MATCH(N12,INDIRECT(AY12),0))=TRUE),1,0))</f>
        <v>0</v>
      </c>
      <c r="Q12" t="str">
        <f t="shared" ref="Q12:Q45" ca="1" si="14">IF(P12=1,O12,"")</f>
        <v/>
      </c>
      <c r="R12" t="str">
        <f t="shared" ref="R12:R45" ca="1" si="15">IF(P12=0,IF(O12="","",O12),"")</f>
        <v/>
      </c>
      <c r="S12" t="str">
        <f ca="1"/>
        <v/>
      </c>
      <c r="T12" s="144" t="str">
        <f ca="1"/>
        <v/>
      </c>
      <c r="U12" t="str">
        <f t="shared" ref="U12:U45" ca="1" si="16">IFERROR(MID(S12,1,LEN(S12)-2),"")</f>
        <v/>
      </c>
      <c r="V12" s="144" t="str">
        <f t="shared" ref="V12:V45" ca="1" si="17">RIGHT(S12,2)</f>
        <v/>
      </c>
      <c r="W12">
        <f ca="1">IF(U12="",0,IF(ISNUMBER(MATCH(U12,U13:U25,0))=TRUE,1,0))</f>
        <v>0</v>
      </c>
      <c r="X12" t="str" cm="1">
        <f t="array" aca="1" ref="X12" ca="1">IFERROR(INDEX(INDIRECT(CONCATENATE(AS$14,":",AS$16)),V12-AR$12+1),"")</f>
        <v/>
      </c>
      <c r="Y12" t="str">
        <f t="shared" ref="Y12:Y54" si="18">ADDRESS(ROW(),COLUMN()-1,4)</f>
        <v>X12</v>
      </c>
      <c r="Z12" t="str">
        <f ca="1">VLOOKUP(0,W12:Y49,3,FALSE)</f>
        <v>X12</v>
      </c>
      <c r="AA12">
        <f ca="1">IF(IFERROR(MATCH(Z12,Z13:Z49,0),0)=1,AA11+1,0)</f>
        <v>0</v>
      </c>
      <c r="AB12">
        <f ca="1">IF(AA12=0,MAX(INDIRECT(CONCATENATE(Z12,":",LEFT(Z12),ROW()-AA11))),0)</f>
        <v>0</v>
      </c>
      <c r="AC12" t="str">
        <f t="shared" ca="1" si="7"/>
        <v/>
      </c>
      <c r="AD12" t="str" cm="1">
        <f t="array" aca="1" ref="AD12" ca="1">IF($AB12=0,"",INDIRECT(_xlfn.CONCAT(AU$14,$V12)))</f>
        <v/>
      </c>
      <c r="AE12" s="144" t="str">
        <f ca="1">IF(AB12=0,"",AB12)</f>
        <v/>
      </c>
      <c r="AF12" t="str">
        <f t="shared" ref="AF12:AF75" ca="1" si="19">IFERROR(_xlfn.CONCAT(MID(AC12,FIND("[",AC12)+1,FIND("]",AC12)-FIND("[",AC12)-1),MID(AC12,1,LEN(AC12))),"")</f>
        <v/>
      </c>
      <c r="AG12" s="525" t="str">
        <f ca="1"/>
        <v/>
      </c>
      <c r="AH12" s="528" t="str">
        <f ca="1">IF(AI12="","",IF(MID(AI11,4,1)=MID(AI12,4,1),AH11+1,1))</f>
        <v/>
      </c>
      <c r="AI12" s="531" t="str">
        <f ca="1">IFERROR(MID(AL12,FIND("[",AL12),FIND("]",AL12)-FIND("[",AL12)),"")</f>
        <v/>
      </c>
      <c r="AJ12" s="532" t="str">
        <f t="shared" ref="AJ12:AJ42" ca="1" si="20">IFERROR(CONCATENATE(AI12,AH12,IF(AK12="","","]")),"")</f>
        <v/>
      </c>
      <c r="AK12" t="str">
        <f ca="1">IFERROR(MID(AL12,1,LEN(AL12)-8),"")</f>
        <v/>
      </c>
      <c r="AL12" s="140" t="str">
        <f t="shared" ca="1" si="8"/>
        <v/>
      </c>
      <c r="AM12" t="str">
        <f t="shared" ref="AM12:AM75" ca="1" si="21">IFERROR(VLOOKUP(AL12,$AC$11:$AE$99,2,FALSE),"")</f>
        <v/>
      </c>
      <c r="AN12" s="144" t="str">
        <f t="shared" ref="AN12:AN75" ca="1" si="22">IFERROR(VLOOKUP(AL12,$AC$11:$AE$99,3,FALSE),"")</f>
        <v/>
      </c>
      <c r="AR12" s="478">
        <f>M11</f>
        <v>11</v>
      </c>
      <c r="AS12" s="155">
        <f>AT12+AR12-1</f>
        <v>99</v>
      </c>
      <c r="AT12" s="155">
        <f>ROWS(ShopMull)</f>
        <v>89</v>
      </c>
      <c r="AU12" s="479" t="str">
        <f>LEFT(ADDRESS(1,COLUMN(I10),4),1)</f>
        <v>I</v>
      </c>
      <c r="AW12" s="140" t="str">
        <f t="shared" si="2"/>
        <v>N12</v>
      </c>
      <c r="AX12" t="str">
        <f>CONCATENATE(AW$9,":",AW11)</f>
        <v>$N$11:N11</v>
      </c>
      <c r="AY12" s="144" t="str">
        <f t="shared" ref="AY12:AY48" si="23">CONCATENATE(AW13,":",AX$9)</f>
        <v>N13:$N$99</v>
      </c>
      <c r="BA12" s="139" t="str" cm="1">
        <f t="array" aca="1" ref="BA12" ca="1">IFERROR(CELL("address",INDEX('Project Mull Review'!AF:AF, SMALL(IF('Project Mull Review'!AF$35:AF$682&lt;&gt;"",ROW('Project Mull Review'!AF$35:AF$682),""),ROWS('Project Mull Review'!AF$35:AF36)))),"")</f>
        <v/>
      </c>
      <c r="BB12" s="155" t="str">
        <f t="shared" ref="BB12:BB99" ca="1" si="24">IFERROR(RIGHT(BA12,LEN(BA12)-FIND("!",BA12)),"")</f>
        <v/>
      </c>
      <c r="BC12" s="155" t="str">
        <f t="shared" ref="BC12:BC99" ca="1" si="25">IFERROR(_xlfn.CONCAT(MID(BB12,2,2),RIGHT(BB12,LEN(BB12)-FIND("$",BB12,2))),"")</f>
        <v/>
      </c>
      <c r="BD12" s="155" t="str" cm="1">
        <f t="array" aca="1" ref="BD12" ca="1">IFERROR(INDEX(MainCell,BE12,2),"")</f>
        <v/>
      </c>
      <c r="BE12" s="155" t="str">
        <f t="shared" ref="BE12:BE75" ca="1" si="26">IFERROR(MATCH(VALUE(RIGHT(BC12,LEN(BC12)-2)),AR$22:AR$76,1),"")</f>
        <v/>
      </c>
      <c r="BF12" s="64" t="str">
        <f t="shared" ref="BF12:BF75" ca="1" si="27">IF(BD12="","",_xlfn.CONCAT($AT$16,BD12))</f>
        <v/>
      </c>
      <c r="BG12" s="64" t="str">
        <f t="shared" ref="BG12:BG26" ca="1" si="28">IFERROR(_xlfn.CONCAT($AT$16,INDEX(MainCell,BE12,3)),"")</f>
        <v/>
      </c>
      <c r="BH12" s="64" t="str" cm="1">
        <f t="array" aca="1" ref="BH12" ca="1">IFERROR(CONCATENATE(INDIRECT(BF12)," ", INDIRECT(BG12)),"")</f>
        <v/>
      </c>
      <c r="BI12" s="64" t="str">
        <f t="shared" ref="BI12:BI75" ca="1" si="29">IFERROR(_xlfn.CONCAT(LEFT(AL12,LEN(AL12)-2),AM12),"")</f>
        <v/>
      </c>
      <c r="BJ12" s="155">
        <f t="shared" ref="BJ12:BJ42" ca="1" si="30">IF(MATCH(BI12,Combo,0)&gt;=$AS$18,0,MATCH(BI12,Combo,0))</f>
        <v>0</v>
      </c>
      <c r="BK12" s="155">
        <f t="shared" ca="1" si="9"/>
        <v>0</v>
      </c>
      <c r="BL12" s="155">
        <f t="shared" ca="1" si="10"/>
        <v>0</v>
      </c>
      <c r="BM12" s="155">
        <f t="shared" ca="1" si="10"/>
        <v>0</v>
      </c>
      <c r="BN12" s="155">
        <f t="shared" ca="1" si="10"/>
        <v>0</v>
      </c>
      <c r="BO12" s="155">
        <f t="shared" ca="1" si="10"/>
        <v>0</v>
      </c>
      <c r="BP12" s="155">
        <f t="shared" ca="1" si="10"/>
        <v>0</v>
      </c>
      <c r="BQ12" s="155">
        <f t="shared" ca="1" si="10"/>
        <v>0</v>
      </c>
      <c r="BR12" s="155">
        <f t="shared" ca="1" si="10"/>
        <v>0</v>
      </c>
      <c r="BS12" s="479">
        <f t="shared" ca="1" si="10"/>
        <v>0</v>
      </c>
      <c r="BV12" s="505" t="str" cm="1">
        <f t="array" aca="1" ref="BV12" ca="1">IF(BJ13=0,"",CONCATENATE(INDEX(FinalSort,BJ13,4),": ",INDEX(FinalSort,BJ13,8)))</f>
        <v/>
      </c>
      <c r="BW12" s="506" t="str" cm="1">
        <f t="array" aca="1" ref="BW12" ca="1">IF(BK13=0,"",CONCATENATE(INDEX(FinalSort,BK13,4),": ",INDEX(FinalSort,BK13,8)))</f>
        <v/>
      </c>
      <c r="BX12" s="506" t="str" cm="1">
        <f t="array" aca="1" ref="BX12" ca="1">IF(BL13=0,"",CONCATENATE(INDEX(FinalSort,BL13,4),": ",INDEX(FinalSort,BL13,8)))</f>
        <v/>
      </c>
      <c r="BY12" s="506" t="str" cm="1">
        <f t="array" aca="1" ref="BY12" ca="1">IF(BM13=0,"",CONCATENATE(INDEX(FinalSort,BM13,4),": ",INDEX(FinalSort,BM13,8)))</f>
        <v/>
      </c>
      <c r="BZ12" s="506" t="str" cm="1">
        <f t="array" aca="1" ref="BZ12" ca="1">IF(BN13=0,"",CONCATENATE(INDEX(FinalSort,BN13,4),": ",INDEX(FinalSort,BN13,8)))</f>
        <v/>
      </c>
      <c r="CA12" s="506" t="str" cm="1">
        <f t="array" aca="1" ref="CA12" ca="1">IF(BO13=0,"",CONCATENATE(INDEX(FinalSort,BO13,4),": ",INDEX(FinalSort,BO13,8)))</f>
        <v/>
      </c>
      <c r="CB12" s="506" t="str" cm="1">
        <f t="array" aca="1" ref="CB12" ca="1">IF(BP13=0,"",CONCATENATE(INDEX(FinalSort,BP13,4),": ",INDEX(FinalSort,BP13,8)))</f>
        <v/>
      </c>
      <c r="CC12" s="506" t="str" cm="1">
        <f t="array" aca="1" ref="CC12" ca="1">IF(BQ13=0,"",CONCATENATE(INDEX(FinalSort,BQ13,4),": ",INDEX(FinalSort,BQ13,8)))</f>
        <v/>
      </c>
      <c r="CD12" s="506" t="str" cm="1">
        <f t="array" aca="1" ref="CD12" ca="1">IF(BR13=0,"",CONCATENATE(INDEX(FinalSort,BR13,4),": ",INDEX(FinalSort,BR13,8)))</f>
        <v/>
      </c>
      <c r="CE12" s="507" t="str" cm="1">
        <f t="array" aca="1" ref="CE12" ca="1">IF(BS13=0,"",CONCATENATE(INDEX(FinalSort,BS13,4),": ",INDEX(FinalSort,BS13,8)))</f>
        <v/>
      </c>
    </row>
    <row r="13" spans="1:83" x14ac:dyDescent="0.25">
      <c r="A13" s="4">
        <v>4</v>
      </c>
      <c r="B13" s="326" t="str">
        <f t="shared" ca="1" si="3"/>
        <v/>
      </c>
      <c r="C13" s="462" t="str">
        <f t="shared" ca="1" si="4"/>
        <v/>
      </c>
      <c r="D13" s="463" t="str">
        <f t="shared" ca="1" si="5"/>
        <v/>
      </c>
      <c r="E13" s="471" t="str">
        <f t="shared" ca="1" si="6"/>
        <v/>
      </c>
      <c r="F13" s="473" t="str">
        <f t="shared" ca="1" si="1"/>
        <v/>
      </c>
      <c r="G13" s="523"/>
      <c r="H13" s="155"/>
      <c r="I13" s="443" t="str" cm="1">
        <f t="array" ref="I13">IFERROR(INDEX('Project Mull Review'!AF:AF, SMALL(IF('Project Mull Review'!AF$35:AF$682&lt;&gt;"",ROW('Project Mull Review'!AF$35:AF$682),""),ROWS('Project Mull Review'!AF$35:AF37))),"")</f>
        <v/>
      </c>
      <c r="J13" s="389" t="str" cm="1">
        <f t="array" ref="J13">IFERROR(INDEX('Project Mull Review'!AI:AI, SMALL(IF('Project Mull Review'!AI$35:AI$682&lt;&gt;"",ROW('Project Mull Review'!AI$35:AI$682),""),ROWS('Project Mull Review'!AI$35:AI37))),"")</f>
        <v/>
      </c>
      <c r="K13" s="442" t="str" cm="1">
        <f t="array" ref="K13">IFERROR(ROUND(INDEX('Project Mull Review'!AT:AT, SMALL(IF('Project Mull Review'!AI$35:AI$682&lt;&gt;"",ROW('Project Mull Review'!AI$35:AI$682),""),ROWS('Project Mull Review'!AI$35:AI37))),0),"")</f>
        <v/>
      </c>
      <c r="M13" s="140">
        <f>ROW()</f>
        <v>13</v>
      </c>
      <c r="N13" t="str">
        <f t="shared" si="11"/>
        <v/>
      </c>
      <c r="O13" t="str">
        <f t="shared" si="12"/>
        <v/>
      </c>
      <c r="P13" s="144">
        <f t="shared" ca="1" si="13"/>
        <v>0</v>
      </c>
      <c r="Q13" t="str">
        <f t="shared" ca="1" si="14"/>
        <v/>
      </c>
      <c r="R13" t="str">
        <f t="shared" ca="1" si="15"/>
        <v/>
      </c>
      <c r="S13" t="str">
        <f ca="1"/>
        <v/>
      </c>
      <c r="T13" s="144" t="str">
        <f ca="1"/>
        <v/>
      </c>
      <c r="U13" t="str">
        <f t="shared" ca="1" si="16"/>
        <v/>
      </c>
      <c r="V13" s="144" t="str">
        <f t="shared" ca="1" si="17"/>
        <v/>
      </c>
      <c r="W13">
        <f ca="1">IF(U13="",0,IF(ISNUMBER(MATCH(U13,U14:U26,0))=TRUE,1,0))</f>
        <v>0</v>
      </c>
      <c r="X13" t="str" cm="1">
        <f t="array" aca="1" ref="X13" ca="1">IFERROR(INDEX(INDIRECT(CONCATENATE(AS$14,":",AS$16)),V13-AR$12+1),"")</f>
        <v/>
      </c>
      <c r="Y13" t="str">
        <f t="shared" si="18"/>
        <v>X13</v>
      </c>
      <c r="Z13" t="str">
        <f t="shared" ref="Z13:Z54" ca="1" si="31">VLOOKUP(0,W13:Y50,3,FALSE)</f>
        <v>X13</v>
      </c>
      <c r="AA13">
        <f ca="1">IF(IFERROR(MATCH(Z13,Z14:Z50,0),0)=1,AA12+1,0)</f>
        <v>0</v>
      </c>
      <c r="AB13">
        <f t="shared" ref="AB13:AB45" ca="1" si="32">IF(AA13=0,MAX(INDIRECT(CONCATENATE(Z13,":",LEFT(Z13),ROW()-AA12))),0)</f>
        <v>0</v>
      </c>
      <c r="AC13" t="str">
        <f t="shared" ca="1" si="7"/>
        <v/>
      </c>
      <c r="AD13" t="str" cm="1">
        <f t="array" aca="1" ref="AD13" ca="1">IF($AB13=0,"",INDIRECT(_xlfn.CONCAT(AU$14,$V13)))</f>
        <v/>
      </c>
      <c r="AE13" s="144" t="str">
        <f t="shared" ref="AE13:AE45" ca="1" si="33">IF(AB13=0,"",AB13)</f>
        <v/>
      </c>
      <c r="AF13" t="str">
        <f t="shared" ca="1" si="19"/>
        <v/>
      </c>
      <c r="AG13" s="525" t="str">
        <f ca="1"/>
        <v/>
      </c>
      <c r="AH13" s="467" t="str">
        <f t="shared" ref="AH13:AH76" ca="1" si="34">IF(AI13="","",IF(MID(AI12,4,1)=MID(AI13,4,1),AH12+1,1))</f>
        <v/>
      </c>
      <c r="AI13" s="533" t="str">
        <f ca="1">IFERROR(MID(AL13,FIND("[",AL13),FIND("]",AL13)-FIND("[",AL13)),"")</f>
        <v/>
      </c>
      <c r="AJ13" s="533" t="str">
        <f t="shared" ca="1" si="20"/>
        <v/>
      </c>
      <c r="AK13" t="str">
        <f t="shared" ref="AK13:AK75" ca="1" si="35">IFERROR(MID(AL13,1,LEN(AL13)-8),"")</f>
        <v/>
      </c>
      <c r="AL13" s="140" t="str">
        <f t="shared" ca="1" si="8"/>
        <v/>
      </c>
      <c r="AM13" t="str">
        <f t="shared" ca="1" si="21"/>
        <v/>
      </c>
      <c r="AN13" s="144" t="str">
        <f t="shared" ca="1" si="22"/>
        <v/>
      </c>
      <c r="AR13" s="1324" t="s">
        <v>884</v>
      </c>
      <c r="AS13" s="1325"/>
      <c r="AT13" s="155" t="s">
        <v>1105</v>
      </c>
      <c r="AU13" s="479" t="s">
        <v>890</v>
      </c>
      <c r="AW13" s="140" t="str">
        <f t="shared" si="2"/>
        <v>N13</v>
      </c>
      <c r="AX13" t="str">
        <f t="shared" ref="AX13:AX48" si="36">CONCATENATE(AW$9,":",AW12)</f>
        <v>$N$11:N12</v>
      </c>
      <c r="AY13" s="144" t="str">
        <f t="shared" si="23"/>
        <v>N14:$N$99</v>
      </c>
      <c r="BA13" s="139" t="str" cm="1">
        <f t="array" aca="1" ref="BA13" ca="1">IFERROR(CELL("address",INDEX('Project Mull Review'!AF:AF, SMALL(IF('Project Mull Review'!AF$35:AF$682&lt;&gt;"",ROW('Project Mull Review'!AF$35:AF$682),""),ROWS('Project Mull Review'!AF$35:AF37)))),"")</f>
        <v/>
      </c>
      <c r="BB13" s="155" t="str">
        <f t="shared" ca="1" si="24"/>
        <v/>
      </c>
      <c r="BC13" s="155" t="str">
        <f t="shared" ca="1" si="25"/>
        <v/>
      </c>
      <c r="BD13" s="155" t="str" cm="1">
        <f t="array" aca="1" ref="BD13" ca="1">IFERROR(INDEX(MainCell,BE13,2),"")</f>
        <v/>
      </c>
      <c r="BE13" s="155" t="str">
        <f t="shared" ca="1" si="26"/>
        <v/>
      </c>
      <c r="BF13" s="64" t="str">
        <f t="shared" ca="1" si="27"/>
        <v/>
      </c>
      <c r="BG13" s="64" t="str">
        <f t="shared" ca="1" si="28"/>
        <v/>
      </c>
      <c r="BH13" s="64" t="str" cm="1">
        <f t="array" aca="1" ref="BH13" ca="1">IFERROR(CONCATENATE(INDIRECT(BF13)," ", INDIRECT(BG13)),"")</f>
        <v/>
      </c>
      <c r="BI13" s="64" t="str">
        <f t="shared" ca="1" si="29"/>
        <v/>
      </c>
      <c r="BJ13" s="155">
        <f t="shared" ca="1" si="30"/>
        <v>0</v>
      </c>
      <c r="BK13" s="155">
        <f t="shared" ca="1" si="9"/>
        <v>0</v>
      </c>
      <c r="BL13" s="155">
        <f t="shared" ca="1" si="10"/>
        <v>0</v>
      </c>
      <c r="BM13" s="155">
        <f t="shared" ca="1" si="10"/>
        <v>0</v>
      </c>
      <c r="BN13" s="155">
        <f t="shared" ca="1" si="10"/>
        <v>0</v>
      </c>
      <c r="BO13" s="155">
        <f t="shared" ca="1" si="10"/>
        <v>0</v>
      </c>
      <c r="BP13" s="155">
        <f t="shared" ca="1" si="10"/>
        <v>0</v>
      </c>
      <c r="BQ13" s="155">
        <f t="shared" ca="1" si="10"/>
        <v>0</v>
      </c>
      <c r="BR13" s="155">
        <f t="shared" ca="1" si="10"/>
        <v>0</v>
      </c>
      <c r="BS13" s="479">
        <f t="shared" ca="1" si="10"/>
        <v>0</v>
      </c>
      <c r="BV13" s="505" t="str" cm="1">
        <f t="array" aca="1" ref="BV13" ca="1">IF(BJ14=0,"",CONCATENATE(INDEX(FinalSort,BJ14,4),": ",INDEX(FinalSort,BJ14,8)))</f>
        <v/>
      </c>
      <c r="BW13" s="506" t="str" cm="1">
        <f t="array" aca="1" ref="BW13" ca="1">IF(BK14=0,"",CONCATENATE(INDEX(FinalSort,BK14,4),": ",INDEX(FinalSort,BK14,8)))</f>
        <v/>
      </c>
      <c r="BX13" s="506" t="str" cm="1">
        <f t="array" aca="1" ref="BX13" ca="1">IF(BL14=0,"",CONCATENATE(INDEX(FinalSort,BL14,4),": ",INDEX(FinalSort,BL14,8)))</f>
        <v/>
      </c>
      <c r="BY13" s="506" t="str" cm="1">
        <f t="array" aca="1" ref="BY13" ca="1">IF(BM14=0,"",CONCATENATE(INDEX(FinalSort,BM14,4),": ",INDEX(FinalSort,BM14,8)))</f>
        <v/>
      </c>
      <c r="BZ13" s="506" t="str" cm="1">
        <f t="array" aca="1" ref="BZ13" ca="1">IF(BN14=0,"",CONCATENATE(INDEX(FinalSort,BN14,4),": ",INDEX(FinalSort,BN14,8)))</f>
        <v/>
      </c>
      <c r="CA13" s="506" t="str" cm="1">
        <f t="array" aca="1" ref="CA13" ca="1">IF(BO14=0,"",CONCATENATE(INDEX(FinalSort,BO14,4),": ",INDEX(FinalSort,BO14,8)))</f>
        <v/>
      </c>
      <c r="CB13" s="506" t="str" cm="1">
        <f t="array" aca="1" ref="CB13" ca="1">IF(BP14=0,"",CONCATENATE(INDEX(FinalSort,BP14,4),": ",INDEX(FinalSort,BP14,8)))</f>
        <v/>
      </c>
      <c r="CC13" s="506" t="str" cm="1">
        <f t="array" aca="1" ref="CC13" ca="1">IF(BQ14=0,"",CONCATENATE(INDEX(FinalSort,BQ14,4),": ",INDEX(FinalSort,BQ14,8)))</f>
        <v/>
      </c>
      <c r="CD13" s="506" t="str" cm="1">
        <f t="array" aca="1" ref="CD13" ca="1">IF(BR14=0,"",CONCATENATE(INDEX(FinalSort,BR14,4),": ",INDEX(FinalSort,BR14,8)))</f>
        <v/>
      </c>
      <c r="CE13" s="507" t="str" cm="1">
        <f t="array" aca="1" ref="CE13" ca="1">IF(BS14=0,"",CONCATENATE(INDEX(FinalSort,BS14,4),": ",INDEX(FinalSort,BS14,8)))</f>
        <v/>
      </c>
    </row>
    <row r="14" spans="1:83" x14ac:dyDescent="0.25">
      <c r="A14" s="4">
        <v>5</v>
      </c>
      <c r="B14" s="326" t="str">
        <f t="shared" ca="1" si="3"/>
        <v/>
      </c>
      <c r="C14" s="462" t="str">
        <f t="shared" ca="1" si="4"/>
        <v/>
      </c>
      <c r="D14" s="463" t="str">
        <f t="shared" ca="1" si="5"/>
        <v/>
      </c>
      <c r="E14" s="471" t="str">
        <f t="shared" ca="1" si="6"/>
        <v/>
      </c>
      <c r="F14" s="473" t="str">
        <f t="shared" ca="1" si="1"/>
        <v/>
      </c>
      <c r="G14" s="523"/>
      <c r="H14" s="155"/>
      <c r="I14" s="443" t="str" cm="1">
        <f t="array" ref="I14">IFERROR(INDEX('Project Mull Review'!AF:AF, SMALL(IF('Project Mull Review'!AF$35:AF$682&lt;&gt;"",ROW('Project Mull Review'!AF$35:AF$682),""),ROWS('Project Mull Review'!AF$35:AF38))),"")</f>
        <v/>
      </c>
      <c r="J14" s="389" t="str" cm="1">
        <f t="array" ref="J14">IFERROR(INDEX('Project Mull Review'!AI:AI, SMALL(IF('Project Mull Review'!AI$35:AI$682&lt;&gt;"",ROW('Project Mull Review'!AI$35:AI$682),""),ROWS('Project Mull Review'!AI$35:AI38))),"")</f>
        <v/>
      </c>
      <c r="K14" s="442" t="str" cm="1">
        <f t="array" ref="K14">IFERROR(ROUND(INDEX('Project Mull Review'!AT:AT, SMALL(IF('Project Mull Review'!AI$35:AI$682&lt;&gt;"",ROW('Project Mull Review'!AI$35:AI$682),""),ROWS('Project Mull Review'!AI$35:AI38))),0),"")</f>
        <v/>
      </c>
      <c r="M14" s="140">
        <f>ROW()</f>
        <v>14</v>
      </c>
      <c r="N14" t="str">
        <f t="shared" si="11"/>
        <v/>
      </c>
      <c r="O14" t="str">
        <f t="shared" si="12"/>
        <v/>
      </c>
      <c r="P14" s="144">
        <f t="shared" ca="1" si="13"/>
        <v>0</v>
      </c>
      <c r="Q14" t="str">
        <f t="shared" ca="1" si="14"/>
        <v/>
      </c>
      <c r="R14" t="str">
        <f t="shared" ca="1" si="15"/>
        <v/>
      </c>
      <c r="S14" t="str">
        <f ca="1"/>
        <v/>
      </c>
      <c r="T14" s="144" t="str">
        <f ca="1"/>
        <v/>
      </c>
      <c r="U14" t="str">
        <f t="shared" ca="1" si="16"/>
        <v/>
      </c>
      <c r="V14" s="144" t="str">
        <f t="shared" ca="1" si="17"/>
        <v/>
      </c>
      <c r="W14">
        <f ca="1">IF(U14="",0,IF(ISNUMBER(MATCH(U14,U15:U27,0))=TRUE,1,0))</f>
        <v>0</v>
      </c>
      <c r="X14" t="str" cm="1">
        <f t="array" aca="1" ref="X14" ca="1">IFERROR(INDEX(INDIRECT(CONCATENATE(AS$14,":",AS$16)),V14-AR$12+1),"")</f>
        <v/>
      </c>
      <c r="Y14" t="str">
        <f t="shared" si="18"/>
        <v>X14</v>
      </c>
      <c r="Z14" t="str">
        <f t="shared" ca="1" si="31"/>
        <v>X14</v>
      </c>
      <c r="AA14">
        <f ca="1">IF(IFERROR(MATCH(Z14,Z15:Z51,0),0)=1,AA13+1,0)</f>
        <v>0</v>
      </c>
      <c r="AB14">
        <f t="shared" ca="1" si="32"/>
        <v>0</v>
      </c>
      <c r="AC14" t="str">
        <f t="shared" ca="1" si="7"/>
        <v/>
      </c>
      <c r="AD14" t="str" cm="1">
        <f t="array" aca="1" ref="AD14" ca="1">IF($AB14=0,"",INDIRECT(_xlfn.CONCAT(AU$14,$V14)))</f>
        <v/>
      </c>
      <c r="AE14" s="144" t="str">
        <f t="shared" ca="1" si="33"/>
        <v/>
      </c>
      <c r="AF14" t="str">
        <f t="shared" ca="1" si="19"/>
        <v/>
      </c>
      <c r="AG14" s="525" t="str">
        <f ca="1"/>
        <v/>
      </c>
      <c r="AH14" s="467" t="str">
        <f t="shared" ca="1" si="34"/>
        <v/>
      </c>
      <c r="AI14" s="533" t="str">
        <f t="shared" ref="AI14:AI75" ca="1" si="37">IFERROR(MID(AL14,FIND("[",AL14),FIND("]",AL14)-FIND("[",AL14)),"")</f>
        <v/>
      </c>
      <c r="AJ14" s="533" t="str">
        <f t="shared" ca="1" si="20"/>
        <v/>
      </c>
      <c r="AK14" t="str">
        <f t="shared" ca="1" si="35"/>
        <v/>
      </c>
      <c r="AL14" s="140" t="str">
        <f t="shared" ca="1" si="8"/>
        <v/>
      </c>
      <c r="AM14" t="str">
        <f t="shared" ca="1" si="21"/>
        <v/>
      </c>
      <c r="AN14" s="144" t="str">
        <f t="shared" ca="1" si="22"/>
        <v/>
      </c>
      <c r="AR14" s="478" t="str">
        <f>_xlfn.CONCAT(AU12,AR12)</f>
        <v>I11</v>
      </c>
      <c r="AS14" s="155" t="str">
        <f>_xlfn.CONCAT(AU16,AR12)</f>
        <v>K11</v>
      </c>
      <c r="AT14" s="155" t="s">
        <v>12</v>
      </c>
      <c r="AU14" s="479" t="str">
        <f>LEFT(ADDRESS(1,COLUMN(J10),4),1)</f>
        <v>J</v>
      </c>
      <c r="AW14" s="140" t="str">
        <f t="shared" si="2"/>
        <v>N14</v>
      </c>
      <c r="AX14" t="str">
        <f t="shared" si="36"/>
        <v>$N$11:N13</v>
      </c>
      <c r="AY14" s="144" t="str">
        <f t="shared" si="23"/>
        <v>N15:$N$99</v>
      </c>
      <c r="BA14" s="139" t="str" cm="1">
        <f t="array" aca="1" ref="BA14" ca="1">IFERROR(CELL("address",INDEX('Project Mull Review'!AF:AF, SMALL(IF('Project Mull Review'!AF$35:AF$682&lt;&gt;"",ROW('Project Mull Review'!AF$35:AF$682),""),ROWS('Project Mull Review'!AF$35:AF38)))),"")</f>
        <v/>
      </c>
      <c r="BB14" s="155" t="str">
        <f t="shared" ca="1" si="24"/>
        <v/>
      </c>
      <c r="BC14" s="155" t="str">
        <f t="shared" ca="1" si="25"/>
        <v/>
      </c>
      <c r="BD14" s="155" t="str" cm="1">
        <f t="array" aca="1" ref="BD14" ca="1">IFERROR(INDEX(MainCell,BE14,2),"")</f>
        <v/>
      </c>
      <c r="BE14" s="155" t="str">
        <f t="shared" ca="1" si="26"/>
        <v/>
      </c>
      <c r="BF14" s="64" t="str">
        <f t="shared" ca="1" si="27"/>
        <v/>
      </c>
      <c r="BG14" s="64" t="str">
        <f t="shared" ca="1" si="28"/>
        <v/>
      </c>
      <c r="BH14" s="64" t="str" cm="1">
        <f t="array" aca="1" ref="BH14" ca="1">IFERROR(CONCATENATE(INDIRECT(BF14)," ", INDIRECT(BG14)),"")</f>
        <v/>
      </c>
      <c r="BI14" s="64" t="str">
        <f t="shared" ca="1" si="29"/>
        <v/>
      </c>
      <c r="BJ14" s="155">
        <f t="shared" ca="1" si="30"/>
        <v>0</v>
      </c>
      <c r="BK14" s="155">
        <f t="shared" ca="1" si="9"/>
        <v>0</v>
      </c>
      <c r="BL14" s="155">
        <f t="shared" ca="1" si="10"/>
        <v>0</v>
      </c>
      <c r="BM14" s="155">
        <f t="shared" ca="1" si="10"/>
        <v>0</v>
      </c>
      <c r="BN14" s="155">
        <f t="shared" ca="1" si="10"/>
        <v>0</v>
      </c>
      <c r="BO14" s="155">
        <f t="shared" ca="1" si="10"/>
        <v>0</v>
      </c>
      <c r="BP14" s="155">
        <f t="shared" ca="1" si="10"/>
        <v>0</v>
      </c>
      <c r="BQ14" s="155">
        <f t="shared" ca="1" si="10"/>
        <v>0</v>
      </c>
      <c r="BR14" s="155">
        <f t="shared" ca="1" si="10"/>
        <v>0</v>
      </c>
      <c r="BS14" s="479">
        <f t="shared" ca="1" si="10"/>
        <v>0</v>
      </c>
      <c r="BU14" s="149"/>
      <c r="BV14" s="505" t="str" cm="1">
        <f t="array" aca="1" ref="BV14" ca="1">IF(BJ15=0,"",CONCATENATE(INDEX(FinalSort,BJ15,4),": ",INDEX(FinalSort,BJ15,8)))</f>
        <v/>
      </c>
      <c r="BW14" s="506" t="str" cm="1">
        <f t="array" aca="1" ref="BW14" ca="1">IF(BK15=0,"",CONCATENATE(INDEX(FinalSort,BK15,4),": ",INDEX(FinalSort,BK15,8)))</f>
        <v/>
      </c>
      <c r="BX14" s="506" t="str" cm="1">
        <f t="array" aca="1" ref="BX14" ca="1">IF(BL15=0,"",CONCATENATE(INDEX(FinalSort,BL15,4),": ",INDEX(FinalSort,BL15,8)))</f>
        <v/>
      </c>
      <c r="BY14" s="506" t="str" cm="1">
        <f t="array" aca="1" ref="BY14" ca="1">IF(BM15=0,"",CONCATENATE(INDEX(FinalSort,BM15,4),": ",INDEX(FinalSort,BM15,8)))</f>
        <v/>
      </c>
      <c r="BZ14" s="506" t="str" cm="1">
        <f t="array" aca="1" ref="BZ14" ca="1">IF(BN15=0,"",CONCATENATE(INDEX(FinalSort,BN15,4),": ",INDEX(FinalSort,BN15,8)))</f>
        <v/>
      </c>
      <c r="CA14" s="506" t="str" cm="1">
        <f t="array" aca="1" ref="CA14" ca="1">IF(BO15=0,"",CONCATENATE(INDEX(FinalSort,BO15,4),": ",INDEX(FinalSort,BO15,8)))</f>
        <v/>
      </c>
      <c r="CB14" s="506" t="str" cm="1">
        <f t="array" aca="1" ref="CB14" ca="1">IF(BP15=0,"",CONCATENATE(INDEX(FinalSort,BP15,4),": ",INDEX(FinalSort,BP15,8)))</f>
        <v/>
      </c>
      <c r="CC14" s="506" t="str" cm="1">
        <f t="array" aca="1" ref="CC14" ca="1">IF(BQ15=0,"",CONCATENATE(INDEX(FinalSort,BQ15,4),": ",INDEX(FinalSort,BQ15,8)))</f>
        <v/>
      </c>
      <c r="CD14" s="506" t="str" cm="1">
        <f t="array" aca="1" ref="CD14" ca="1">IF(BR15=0,"",CONCATENATE(INDEX(FinalSort,BR15,4),": ",INDEX(FinalSort,BR15,8)))</f>
        <v/>
      </c>
      <c r="CE14" s="507" t="str" cm="1">
        <f t="array" aca="1" ref="CE14" ca="1">IF(BS15=0,"",CONCATENATE(INDEX(FinalSort,BS15,4),": ",INDEX(FinalSort,BS15,8)))</f>
        <v/>
      </c>
    </row>
    <row r="15" spans="1:83" x14ac:dyDescent="0.25">
      <c r="A15" s="4">
        <v>6</v>
      </c>
      <c r="B15" s="326" t="str">
        <f t="shared" ca="1" si="3"/>
        <v/>
      </c>
      <c r="C15" s="462" t="str">
        <f t="shared" ca="1" si="4"/>
        <v/>
      </c>
      <c r="D15" s="463" t="str">
        <f t="shared" ca="1" si="5"/>
        <v/>
      </c>
      <c r="E15" s="471" t="str">
        <f t="shared" ca="1" si="6"/>
        <v/>
      </c>
      <c r="F15" s="473" t="str">
        <f t="shared" ca="1" si="1"/>
        <v/>
      </c>
      <c r="G15" s="523"/>
      <c r="H15" s="155"/>
      <c r="I15" s="443" t="str" cm="1">
        <f t="array" ref="I15">IFERROR(INDEX('Project Mull Review'!AF:AF, SMALL(IF('Project Mull Review'!AF$35:AF$682&lt;&gt;"",ROW('Project Mull Review'!AF$35:AF$682),""),ROWS('Project Mull Review'!AF$35:AF39))),"")</f>
        <v/>
      </c>
      <c r="J15" s="389" t="str" cm="1">
        <f t="array" ref="J15">IFERROR(INDEX('Project Mull Review'!AI:AI, SMALL(IF('Project Mull Review'!AI$35:AI$682&lt;&gt;"",ROW('Project Mull Review'!AI$35:AI$682),""),ROWS('Project Mull Review'!AI$35:AI39))),"")</f>
        <v/>
      </c>
      <c r="K15" s="442" t="str" cm="1">
        <f t="array" ref="K15">IFERROR(ROUND(INDEX('Project Mull Review'!AT:AT, SMALL(IF('Project Mull Review'!AI$35:AI$682&lt;&gt;"",ROW('Project Mull Review'!AI$35:AI$682),""),ROWS('Project Mull Review'!AI$35:AI39))),0),"")</f>
        <v/>
      </c>
      <c r="M15" s="140">
        <f>ROW()</f>
        <v>15</v>
      </c>
      <c r="N15" t="str">
        <f t="shared" si="11"/>
        <v/>
      </c>
      <c r="O15" t="str">
        <f t="shared" si="12"/>
        <v/>
      </c>
      <c r="P15" s="144">
        <f t="shared" ca="1" si="13"/>
        <v>0</v>
      </c>
      <c r="Q15" t="str">
        <f t="shared" ca="1" si="14"/>
        <v/>
      </c>
      <c r="R15" t="str">
        <f t="shared" ca="1" si="15"/>
        <v/>
      </c>
      <c r="S15" t="str">
        <f ca="1"/>
        <v/>
      </c>
      <c r="T15" s="144" t="str">
        <f ca="1"/>
        <v/>
      </c>
      <c r="U15" t="str">
        <f t="shared" ca="1" si="16"/>
        <v/>
      </c>
      <c r="V15" s="144" t="str">
        <f t="shared" ca="1" si="17"/>
        <v/>
      </c>
      <c r="W15">
        <f t="shared" ref="W15:W45" ca="1" si="38">IF(U15="",0,IF(ISNUMBER(MATCH(U15,U16:U28,0))=TRUE,1,0))</f>
        <v>0</v>
      </c>
      <c r="X15" t="str" cm="1">
        <f t="array" aca="1" ref="X15" ca="1">IFERROR(INDEX(INDIRECT(CONCATENATE(AS$14,":",AS$16)),V15-AR$12+1),"")</f>
        <v/>
      </c>
      <c r="Y15" t="str">
        <f t="shared" si="18"/>
        <v>X15</v>
      </c>
      <c r="Z15" t="str">
        <f t="shared" ca="1" si="31"/>
        <v>X15</v>
      </c>
      <c r="AA15">
        <f t="shared" ref="AA15:AA45" ca="1" si="39">IF(IFERROR(MATCH(Z15,Z16:Z52,0),0)=1,AA14+1,0)</f>
        <v>0</v>
      </c>
      <c r="AB15">
        <f t="shared" ca="1" si="32"/>
        <v>0</v>
      </c>
      <c r="AC15" t="str">
        <f t="shared" ca="1" si="7"/>
        <v/>
      </c>
      <c r="AD15" t="str" cm="1">
        <f t="array" aca="1" ref="AD15" ca="1">IF($AB15=0,"",INDIRECT(_xlfn.CONCAT(AU$14,$V15)))</f>
        <v/>
      </c>
      <c r="AE15" s="144" t="str">
        <f t="shared" ca="1" si="33"/>
        <v/>
      </c>
      <c r="AF15" t="str">
        <f t="shared" ca="1" si="19"/>
        <v/>
      </c>
      <c r="AG15" s="525" t="str">
        <f ca="1"/>
        <v/>
      </c>
      <c r="AH15" s="467" t="str">
        <f t="shared" ca="1" si="34"/>
        <v/>
      </c>
      <c r="AI15" s="533" t="str">
        <f t="shared" ca="1" si="37"/>
        <v/>
      </c>
      <c r="AJ15" s="533" t="str">
        <f t="shared" ca="1" si="20"/>
        <v/>
      </c>
      <c r="AK15" t="str">
        <f t="shared" ca="1" si="35"/>
        <v/>
      </c>
      <c r="AL15" s="140" t="str">
        <f t="shared" ca="1" si="8"/>
        <v/>
      </c>
      <c r="AM15" t="str">
        <f t="shared" ca="1" si="21"/>
        <v/>
      </c>
      <c r="AN15" s="144" t="str">
        <f t="shared" ca="1" si="22"/>
        <v/>
      </c>
      <c r="AR15" s="1324" t="s">
        <v>885</v>
      </c>
      <c r="AS15" s="1325"/>
      <c r="AT15" s="155" t="s">
        <v>1107</v>
      </c>
      <c r="AU15" s="479" t="s">
        <v>883</v>
      </c>
      <c r="AW15" s="140" t="str">
        <f t="shared" si="2"/>
        <v>N15</v>
      </c>
      <c r="AX15" t="str">
        <f t="shared" si="36"/>
        <v>$N$11:N14</v>
      </c>
      <c r="AY15" s="144" t="str">
        <f t="shared" si="23"/>
        <v>N16:$N$99</v>
      </c>
      <c r="BA15" s="139" t="str" cm="1">
        <f t="array" aca="1" ref="BA15" ca="1">IFERROR(CELL("address",INDEX('Project Mull Review'!AF:AF, SMALL(IF('Project Mull Review'!AF$35:AF$682&lt;&gt;"",ROW('Project Mull Review'!AF$35:AF$682),""),ROWS('Project Mull Review'!AF$35:AF39)))),"")</f>
        <v/>
      </c>
      <c r="BB15" s="155" t="str">
        <f t="shared" ca="1" si="24"/>
        <v/>
      </c>
      <c r="BC15" s="155" t="str">
        <f t="shared" ca="1" si="25"/>
        <v/>
      </c>
      <c r="BD15" s="155" t="str" cm="1">
        <f t="array" aca="1" ref="BD15" ca="1">IFERROR(INDEX(MainCell,BE15,2),"")</f>
        <v/>
      </c>
      <c r="BE15" s="155" t="str">
        <f t="shared" ca="1" si="26"/>
        <v/>
      </c>
      <c r="BF15" s="64" t="str">
        <f t="shared" ca="1" si="27"/>
        <v/>
      </c>
      <c r="BG15" s="64" t="str">
        <f t="shared" ca="1" si="28"/>
        <v/>
      </c>
      <c r="BH15" s="64" t="str" cm="1">
        <f t="array" aca="1" ref="BH15" ca="1">IFERROR(CONCATENATE(INDIRECT(BF15)," ", INDIRECT(BG15)),"")</f>
        <v/>
      </c>
      <c r="BI15" s="64" t="str">
        <f t="shared" ca="1" si="29"/>
        <v/>
      </c>
      <c r="BJ15" s="155">
        <f t="shared" ca="1" si="30"/>
        <v>0</v>
      </c>
      <c r="BK15" s="155">
        <f t="shared" ca="1" si="9"/>
        <v>0</v>
      </c>
      <c r="BL15" s="155">
        <f t="shared" ca="1" si="10"/>
        <v>0</v>
      </c>
      <c r="BM15" s="155">
        <f t="shared" ca="1" si="10"/>
        <v>0</v>
      </c>
      <c r="BN15" s="155">
        <f t="shared" ca="1" si="10"/>
        <v>0</v>
      </c>
      <c r="BO15" s="155">
        <f t="shared" ca="1" si="10"/>
        <v>0</v>
      </c>
      <c r="BP15" s="155">
        <f t="shared" ca="1" si="10"/>
        <v>0</v>
      </c>
      <c r="BQ15" s="155">
        <f t="shared" ca="1" si="10"/>
        <v>0</v>
      </c>
      <c r="BR15" s="155">
        <f t="shared" ca="1" si="10"/>
        <v>0</v>
      </c>
      <c r="BS15" s="479">
        <f t="shared" ca="1" si="10"/>
        <v>0</v>
      </c>
      <c r="BV15" s="505" t="str" cm="1">
        <f t="array" aca="1" ref="BV15" ca="1">IF(BJ16=0,"",CONCATENATE(INDEX(FinalSort,BJ16,4),": ",INDEX(FinalSort,BJ16,8)))</f>
        <v/>
      </c>
      <c r="BW15" s="506" t="str" cm="1">
        <f t="array" aca="1" ref="BW15" ca="1">IF(BK16=0,"",CONCATENATE(INDEX(FinalSort,BK16,4),": ",INDEX(FinalSort,BK16,8)))</f>
        <v/>
      </c>
      <c r="BX15" s="506" t="str" cm="1">
        <f t="array" aca="1" ref="BX15" ca="1">IF(BL16=0,"",CONCATENATE(INDEX(FinalSort,BL16,4),": ",INDEX(FinalSort,BL16,8)))</f>
        <v/>
      </c>
      <c r="BY15" s="506" t="str" cm="1">
        <f t="array" aca="1" ref="BY15" ca="1">IF(BM16=0,"",CONCATENATE(INDEX(FinalSort,BM16,4),": ",INDEX(FinalSort,BM16,8)))</f>
        <v/>
      </c>
      <c r="BZ15" s="506" t="str" cm="1">
        <f t="array" aca="1" ref="BZ15" ca="1">IF(BN16=0,"",CONCATENATE(INDEX(FinalSort,BN16,4),": ",INDEX(FinalSort,BN16,8)))</f>
        <v/>
      </c>
      <c r="CA15" s="506" t="str" cm="1">
        <f t="array" aca="1" ref="CA15" ca="1">IF(BO16=0,"",CONCATENATE(INDEX(FinalSort,BO16,4),": ",INDEX(FinalSort,BO16,8)))</f>
        <v/>
      </c>
      <c r="CB15" s="506" t="str" cm="1">
        <f t="array" aca="1" ref="CB15" ca="1">IF(BP16=0,"",CONCATENATE(INDEX(FinalSort,BP16,4),": ",INDEX(FinalSort,BP16,8)))</f>
        <v/>
      </c>
      <c r="CC15" s="506" t="str" cm="1">
        <f t="array" aca="1" ref="CC15" ca="1">IF(BQ16=0,"",CONCATENATE(INDEX(FinalSort,BQ16,4),": ",INDEX(FinalSort,BQ16,8)))</f>
        <v/>
      </c>
      <c r="CD15" s="506" t="str" cm="1">
        <f t="array" aca="1" ref="CD15" ca="1">IF(BR16=0,"",CONCATENATE(INDEX(FinalSort,BR16,4),": ",INDEX(FinalSort,BR16,8)))</f>
        <v/>
      </c>
      <c r="CE15" s="507" t="str" cm="1">
        <f t="array" aca="1" ref="CE15" ca="1">IF(BS16=0,"",CONCATENATE(INDEX(FinalSort,BS16,4),": ",INDEX(FinalSort,BS16,8)))</f>
        <v/>
      </c>
    </row>
    <row r="16" spans="1:83" x14ac:dyDescent="0.25">
      <c r="A16" s="4">
        <v>7</v>
      </c>
      <c r="B16" s="326" t="str">
        <f t="shared" ca="1" si="3"/>
        <v/>
      </c>
      <c r="C16" s="462" t="str">
        <f t="shared" ca="1" si="4"/>
        <v/>
      </c>
      <c r="D16" s="463" t="str">
        <f t="shared" ca="1" si="5"/>
        <v/>
      </c>
      <c r="E16" s="471" t="str">
        <f t="shared" ca="1" si="6"/>
        <v/>
      </c>
      <c r="F16" s="473" t="str">
        <f t="shared" ca="1" si="1"/>
        <v/>
      </c>
      <c r="G16" s="523"/>
      <c r="H16" s="155"/>
      <c r="I16" s="443" t="str" cm="1">
        <f t="array" ref="I16">IFERROR(INDEX('Project Mull Review'!AF:AF, SMALL(IF('Project Mull Review'!AF$35:AF$682&lt;&gt;"",ROW('Project Mull Review'!AF$35:AF$682),""),ROWS('Project Mull Review'!AF$35:AF40))),"")</f>
        <v/>
      </c>
      <c r="J16" s="389" t="str" cm="1">
        <f t="array" ref="J16">IFERROR(INDEX('Project Mull Review'!AI:AI, SMALL(IF('Project Mull Review'!AI$35:AI$682&lt;&gt;"",ROW('Project Mull Review'!AI$35:AI$682),""),ROWS('Project Mull Review'!AI$35:AI40))),"")</f>
        <v/>
      </c>
      <c r="K16" s="442" t="str" cm="1">
        <f t="array" ref="K16">IFERROR(ROUND(INDEX('Project Mull Review'!AT:AT, SMALL(IF('Project Mull Review'!AI$35:AI$682&lt;&gt;"",ROW('Project Mull Review'!AI$35:AI$682),""),ROWS('Project Mull Review'!AI$35:AI40))),0),"")</f>
        <v/>
      </c>
      <c r="M16" s="140">
        <f>ROW()</f>
        <v>16</v>
      </c>
      <c r="N16" t="str">
        <f t="shared" si="11"/>
        <v/>
      </c>
      <c r="O16" t="str">
        <f t="shared" si="12"/>
        <v/>
      </c>
      <c r="P16" s="144">
        <f t="shared" ca="1" si="13"/>
        <v>0</v>
      </c>
      <c r="Q16" t="str">
        <f t="shared" ca="1" si="14"/>
        <v/>
      </c>
      <c r="R16" t="str">
        <f t="shared" ca="1" si="15"/>
        <v/>
      </c>
      <c r="S16" t="str">
        <f ca="1"/>
        <v/>
      </c>
      <c r="T16" s="144" t="str">
        <f ca="1"/>
        <v/>
      </c>
      <c r="U16" t="str">
        <f t="shared" ca="1" si="16"/>
        <v/>
      </c>
      <c r="V16" s="144" t="str">
        <f t="shared" ca="1" si="17"/>
        <v/>
      </c>
      <c r="W16">
        <f t="shared" ca="1" si="38"/>
        <v>0</v>
      </c>
      <c r="X16" t="str" cm="1">
        <f t="array" aca="1" ref="X16" ca="1">IFERROR(INDEX(INDIRECT(CONCATENATE(AS$14,":",AS$16)),V16-AR$12+1),"")</f>
        <v/>
      </c>
      <c r="Y16" t="str">
        <f t="shared" si="18"/>
        <v>X16</v>
      </c>
      <c r="Z16" t="str">
        <f t="shared" ca="1" si="31"/>
        <v>X16</v>
      </c>
      <c r="AA16">
        <f t="shared" ca="1" si="39"/>
        <v>0</v>
      </c>
      <c r="AB16">
        <f t="shared" ca="1" si="32"/>
        <v>0</v>
      </c>
      <c r="AC16" t="str">
        <f t="shared" ca="1" si="7"/>
        <v/>
      </c>
      <c r="AD16" t="str" cm="1">
        <f t="array" aca="1" ref="AD16" ca="1">IF($AB16=0,"",INDIRECT(_xlfn.CONCAT(AU$14,$V16)))</f>
        <v/>
      </c>
      <c r="AE16" s="144" t="str">
        <f t="shared" ca="1" si="33"/>
        <v/>
      </c>
      <c r="AF16" t="str">
        <f t="shared" ca="1" si="19"/>
        <v/>
      </c>
      <c r="AG16" s="525" t="str">
        <f ca="1"/>
        <v/>
      </c>
      <c r="AH16" s="467" t="str">
        <f t="shared" ca="1" si="34"/>
        <v/>
      </c>
      <c r="AI16" s="533" t="str">
        <f t="shared" ca="1" si="37"/>
        <v/>
      </c>
      <c r="AJ16" s="533" t="str">
        <f t="shared" ca="1" si="20"/>
        <v/>
      </c>
      <c r="AK16" t="str">
        <f ca="1">IFERROR(MID(AL16,1,LEN(AL16)-8),"")</f>
        <v/>
      </c>
      <c r="AL16" s="140" t="str">
        <f t="shared" ca="1" si="8"/>
        <v/>
      </c>
      <c r="AM16" t="str">
        <f t="shared" ca="1" si="21"/>
        <v/>
      </c>
      <c r="AN16" s="144" t="str">
        <f t="shared" ca="1" si="22"/>
        <v/>
      </c>
      <c r="AR16" s="478" t="str">
        <f>_xlfn.CONCAT(AU12,AS12)</f>
        <v>I99</v>
      </c>
      <c r="AS16" s="155" t="str">
        <f>_xlfn.CONCAT(AU16,AS12)</f>
        <v>K99</v>
      </c>
      <c r="AT16" s="487" t="s">
        <v>1106</v>
      </c>
      <c r="AU16" s="479" t="str">
        <f>LEFT(ADDRESS(1,COLUMN(K10),4),1)</f>
        <v>K</v>
      </c>
      <c r="AW16" s="140" t="str">
        <f t="shared" si="2"/>
        <v>N16</v>
      </c>
      <c r="AX16" t="str">
        <f t="shared" si="36"/>
        <v>$N$11:N15</v>
      </c>
      <c r="AY16" s="144" t="str">
        <f t="shared" si="23"/>
        <v>N17:$N$99</v>
      </c>
      <c r="BA16" s="139" t="str" cm="1">
        <f t="array" aca="1" ref="BA16" ca="1">IFERROR(CELL("address",INDEX('Project Mull Review'!AF:AF, SMALL(IF('Project Mull Review'!AF$35:AF$682&lt;&gt;"",ROW('Project Mull Review'!AF$35:AF$682),""),ROWS('Project Mull Review'!AF$35:AF40)))),"")</f>
        <v/>
      </c>
      <c r="BB16" s="155" t="str">
        <f t="shared" ca="1" si="24"/>
        <v/>
      </c>
      <c r="BC16" s="155" t="str">
        <f t="shared" ca="1" si="25"/>
        <v/>
      </c>
      <c r="BD16" s="155" t="str" cm="1">
        <f t="array" aca="1" ref="BD16" ca="1">IFERROR(INDEX(MainCell,BE16,2),"")</f>
        <v/>
      </c>
      <c r="BE16" s="155" t="str">
        <f t="shared" ca="1" si="26"/>
        <v/>
      </c>
      <c r="BF16" s="64" t="str">
        <f t="shared" ca="1" si="27"/>
        <v/>
      </c>
      <c r="BG16" s="64" t="str">
        <f t="shared" ca="1" si="28"/>
        <v/>
      </c>
      <c r="BH16" s="64" t="str" cm="1">
        <f t="array" aca="1" ref="BH16" ca="1">IFERROR(CONCATENATE(INDIRECT(BF16)," ", INDIRECT(BG16)),"")</f>
        <v/>
      </c>
      <c r="BI16" s="64" t="str">
        <f t="shared" ca="1" si="29"/>
        <v/>
      </c>
      <c r="BJ16" s="155">
        <f ca="1">IF(MATCH(BI16,Combo,0)&gt;=$AS$18,0,MATCH(BI16,Combo,0))</f>
        <v>0</v>
      </c>
      <c r="BK16" s="155">
        <f t="shared" ca="1" si="9"/>
        <v>0</v>
      </c>
      <c r="BL16" s="155">
        <f t="shared" ca="1" si="10"/>
        <v>0</v>
      </c>
      <c r="BM16" s="155">
        <f t="shared" ca="1" si="10"/>
        <v>0</v>
      </c>
      <c r="BN16" s="155">
        <f t="shared" ca="1" si="10"/>
        <v>0</v>
      </c>
      <c r="BO16" s="155">
        <f t="shared" ca="1" si="10"/>
        <v>0</v>
      </c>
      <c r="BP16" s="155">
        <f t="shared" ca="1" si="10"/>
        <v>0</v>
      </c>
      <c r="BQ16" s="155">
        <f t="shared" ca="1" si="10"/>
        <v>0</v>
      </c>
      <c r="BR16" s="155">
        <f t="shared" ca="1" si="10"/>
        <v>0</v>
      </c>
      <c r="BS16" s="479">
        <f t="shared" ca="1" si="10"/>
        <v>0</v>
      </c>
      <c r="BV16" s="505" t="str" cm="1">
        <f t="array" aca="1" ref="BV16" ca="1">IF(BJ17=0,"",CONCATENATE(INDEX(FinalSort,BJ17,4),": ",INDEX(FinalSort,BJ17,8)))</f>
        <v/>
      </c>
      <c r="BW16" s="506" t="str" cm="1">
        <f t="array" aca="1" ref="BW16" ca="1">IF(BK17=0,"",CONCATENATE(INDEX(FinalSort,BK17,4),": ",INDEX(FinalSort,BK17,8)))</f>
        <v/>
      </c>
      <c r="BX16" s="506" t="str" cm="1">
        <f t="array" aca="1" ref="BX16" ca="1">IF(BL17=0,"",CONCATENATE(INDEX(FinalSort,BL17,4),": ",INDEX(FinalSort,BL17,8)))</f>
        <v/>
      </c>
      <c r="BY16" s="506" t="str" cm="1">
        <f t="array" aca="1" ref="BY16" ca="1">IF(BM17=0,"",CONCATENATE(INDEX(FinalSort,BM17,4),": ",INDEX(FinalSort,BM17,8)))</f>
        <v/>
      </c>
      <c r="BZ16" s="506" t="str" cm="1">
        <f t="array" aca="1" ref="BZ16" ca="1">IF(BN17=0,"",CONCATENATE(INDEX(FinalSort,BN17,4),": ",INDEX(FinalSort,BN17,8)))</f>
        <v/>
      </c>
      <c r="CA16" s="506" t="str" cm="1">
        <f t="array" aca="1" ref="CA16" ca="1">IF(BO17=0,"",CONCATENATE(INDEX(FinalSort,BO17,4),": ",INDEX(FinalSort,BO17,8)))</f>
        <v/>
      </c>
      <c r="CB16" s="506" t="str" cm="1">
        <f t="array" aca="1" ref="CB16" ca="1">IF(BP17=0,"",CONCATENATE(INDEX(FinalSort,BP17,4),": ",INDEX(FinalSort,BP17,8)))</f>
        <v/>
      </c>
      <c r="CC16" s="506" t="str" cm="1">
        <f t="array" aca="1" ref="CC16" ca="1">IF(BQ17=0,"",CONCATENATE(INDEX(FinalSort,BQ17,4),": ",INDEX(FinalSort,BQ17,8)))</f>
        <v/>
      </c>
      <c r="CD16" s="506" t="str" cm="1">
        <f t="array" aca="1" ref="CD16" ca="1">IF(BR17=0,"",CONCATENATE(INDEX(FinalSort,BR17,4),": ",INDEX(FinalSort,BR17,8)))</f>
        <v/>
      </c>
      <c r="CE16" s="507" t="str" cm="1">
        <f t="array" aca="1" ref="CE16" ca="1">IF(BS17=0,"",CONCATENATE(INDEX(FinalSort,BS17,4),": ",INDEX(FinalSort,BS17,8)))</f>
        <v/>
      </c>
    </row>
    <row r="17" spans="1:83" x14ac:dyDescent="0.25">
      <c r="A17" s="4">
        <v>8</v>
      </c>
      <c r="B17" s="326" t="str">
        <f t="shared" ca="1" si="3"/>
        <v/>
      </c>
      <c r="C17" s="462" t="str">
        <f t="shared" ca="1" si="4"/>
        <v/>
      </c>
      <c r="D17" s="463" t="str">
        <f t="shared" ca="1" si="5"/>
        <v/>
      </c>
      <c r="E17" s="471" t="str">
        <f t="shared" ca="1" si="6"/>
        <v/>
      </c>
      <c r="F17" s="473" t="str">
        <f t="shared" ca="1" si="1"/>
        <v/>
      </c>
      <c r="G17" s="523"/>
      <c r="H17" s="155"/>
      <c r="I17" s="443" t="str" cm="1">
        <f t="array" ref="I17">IFERROR(INDEX('Project Mull Review'!AF:AF, SMALL(IF('Project Mull Review'!AF$35:AF$682&lt;&gt;"",ROW('Project Mull Review'!AF$35:AF$682),""),ROWS('Project Mull Review'!AF$35:AF41))),"")</f>
        <v/>
      </c>
      <c r="J17" s="389" t="str" cm="1">
        <f t="array" ref="J17">IFERROR(INDEX('Project Mull Review'!AI:AI, SMALL(IF('Project Mull Review'!AI$35:AI$682&lt;&gt;"",ROW('Project Mull Review'!AI$35:AI$682),""),ROWS('Project Mull Review'!AI$35:AI41))),"")</f>
        <v/>
      </c>
      <c r="K17" s="442" t="str" cm="1">
        <f t="array" ref="K17">IFERROR(ROUND(INDEX('Project Mull Review'!AT:AT, SMALL(IF('Project Mull Review'!AI$35:AI$682&lt;&gt;"",ROW('Project Mull Review'!AI$35:AI$682),""),ROWS('Project Mull Review'!AI$35:AI41))),0),"")</f>
        <v/>
      </c>
      <c r="M17" s="140">
        <f>ROW()</f>
        <v>17</v>
      </c>
      <c r="N17" t="str">
        <f t="shared" si="11"/>
        <v/>
      </c>
      <c r="O17" t="str">
        <f t="shared" si="12"/>
        <v/>
      </c>
      <c r="P17" s="144">
        <f t="shared" ca="1" si="13"/>
        <v>0</v>
      </c>
      <c r="Q17" t="str">
        <f t="shared" ca="1" si="14"/>
        <v/>
      </c>
      <c r="R17" t="str">
        <f t="shared" ca="1" si="15"/>
        <v/>
      </c>
      <c r="S17" t="str">
        <f ca="1"/>
        <v/>
      </c>
      <c r="T17" s="144" t="str">
        <f ca="1"/>
        <v/>
      </c>
      <c r="U17" t="str">
        <f t="shared" ca="1" si="16"/>
        <v/>
      </c>
      <c r="V17" s="144" t="str">
        <f t="shared" ca="1" si="17"/>
        <v/>
      </c>
      <c r="W17">
        <f t="shared" ca="1" si="38"/>
        <v>0</v>
      </c>
      <c r="X17" t="str" cm="1">
        <f t="array" aca="1" ref="X17" ca="1">IFERROR(INDEX(INDIRECT(CONCATENATE(AS$14,":",AS$16)),V17-AR$12+1),"")</f>
        <v/>
      </c>
      <c r="Y17" t="str">
        <f t="shared" si="18"/>
        <v>X17</v>
      </c>
      <c r="Z17" t="str">
        <f t="shared" ca="1" si="31"/>
        <v>X17</v>
      </c>
      <c r="AA17">
        <f t="shared" ca="1" si="39"/>
        <v>0</v>
      </c>
      <c r="AB17">
        <f t="shared" ca="1" si="32"/>
        <v>0</v>
      </c>
      <c r="AC17" t="str">
        <f t="shared" ca="1" si="7"/>
        <v/>
      </c>
      <c r="AD17" t="str" cm="1">
        <f t="array" aca="1" ref="AD17" ca="1">IF($AB17=0,"",INDIRECT(_xlfn.CONCAT(AU$14,$V17)))</f>
        <v/>
      </c>
      <c r="AE17" s="144" t="str">
        <f t="shared" ca="1" si="33"/>
        <v/>
      </c>
      <c r="AF17" t="str">
        <f t="shared" ca="1" si="19"/>
        <v/>
      </c>
      <c r="AG17" s="525" t="str">
        <f ca="1"/>
        <v/>
      </c>
      <c r="AH17" s="467" t="str">
        <f t="shared" ca="1" si="34"/>
        <v/>
      </c>
      <c r="AI17" s="533" t="str">
        <f t="shared" ca="1" si="37"/>
        <v/>
      </c>
      <c r="AJ17" s="533" t="str">
        <f t="shared" ca="1" si="20"/>
        <v/>
      </c>
      <c r="AK17" t="str">
        <f t="shared" ca="1" si="35"/>
        <v/>
      </c>
      <c r="AL17" s="140" t="str">
        <f t="shared" ca="1" si="8"/>
        <v/>
      </c>
      <c r="AM17" t="str">
        <f t="shared" ca="1" si="21"/>
        <v/>
      </c>
      <c r="AN17" s="144" t="str">
        <f t="shared" ca="1" si="22"/>
        <v/>
      </c>
      <c r="AR17" s="478"/>
      <c r="AS17" s="155" t="s">
        <v>1119</v>
      </c>
      <c r="AT17" s="155"/>
      <c r="AU17" s="479" t="s">
        <v>799</v>
      </c>
      <c r="AW17" s="140" t="str">
        <f t="shared" si="2"/>
        <v>N17</v>
      </c>
      <c r="AX17" t="str">
        <f t="shared" si="36"/>
        <v>$N$11:N16</v>
      </c>
      <c r="AY17" s="144" t="str">
        <f t="shared" si="23"/>
        <v>N18:$N$99</v>
      </c>
      <c r="BA17" s="139" t="str" cm="1">
        <f t="array" aca="1" ref="BA17" ca="1">IFERROR(CELL("address",INDEX('Project Mull Review'!AF:AF, SMALL(IF('Project Mull Review'!AF$35:AF$682&lt;&gt;"",ROW('Project Mull Review'!AF$35:AF$682),""),ROWS('Project Mull Review'!AF$35:AF41)))),"")</f>
        <v/>
      </c>
      <c r="BB17" s="155" t="str">
        <f t="shared" ca="1" si="24"/>
        <v/>
      </c>
      <c r="BC17" s="155" t="str">
        <f t="shared" ca="1" si="25"/>
        <v/>
      </c>
      <c r="BD17" s="155" t="str" cm="1">
        <f t="array" aca="1" ref="BD17" ca="1">IFERROR(INDEX(MainCell,BE17,2),"")</f>
        <v/>
      </c>
      <c r="BE17" s="155" t="str">
        <f t="shared" ca="1" si="26"/>
        <v/>
      </c>
      <c r="BF17" s="64" t="str">
        <f t="shared" ca="1" si="27"/>
        <v/>
      </c>
      <c r="BG17" s="64" t="str">
        <f t="shared" ca="1" si="28"/>
        <v/>
      </c>
      <c r="BH17" s="64" t="str" cm="1">
        <f t="array" aca="1" ref="BH17" ca="1">IFERROR(CONCATENATE(INDIRECT(BF17)," ", INDIRECT(BG17)),"")</f>
        <v/>
      </c>
      <c r="BI17" s="64" t="str">
        <f t="shared" ca="1" si="29"/>
        <v/>
      </c>
      <c r="BJ17" s="155">
        <f t="shared" ca="1" si="30"/>
        <v>0</v>
      </c>
      <c r="BK17" s="155">
        <f t="shared" ca="1" si="9"/>
        <v>0</v>
      </c>
      <c r="BL17" s="155">
        <f t="shared" ca="1" si="10"/>
        <v>0</v>
      </c>
      <c r="BM17" s="155">
        <f t="shared" ca="1" si="10"/>
        <v>0</v>
      </c>
      <c r="BN17" s="155">
        <f t="shared" ca="1" si="10"/>
        <v>0</v>
      </c>
      <c r="BO17" s="155">
        <f t="shared" ca="1" si="10"/>
        <v>0</v>
      </c>
      <c r="BP17" s="155">
        <f t="shared" ca="1" si="10"/>
        <v>0</v>
      </c>
      <c r="BQ17" s="155">
        <f t="shared" ca="1" si="10"/>
        <v>0</v>
      </c>
      <c r="BR17" s="155">
        <f t="shared" ca="1" si="10"/>
        <v>0</v>
      </c>
      <c r="BS17" s="479">
        <f t="shared" ca="1" si="10"/>
        <v>0</v>
      </c>
      <c r="BV17" s="505" t="str" cm="1">
        <f t="array" aca="1" ref="BV17" ca="1">IF(BJ18=0,"",CONCATENATE(INDEX(FinalSort,BJ18,4),": ",INDEX(FinalSort,BJ18,8)))</f>
        <v/>
      </c>
      <c r="BW17" s="506" t="str" cm="1">
        <f t="array" aca="1" ref="BW17" ca="1">IF(BK18=0,"",CONCATENATE(INDEX(FinalSort,BK18,4),": ",INDEX(FinalSort,BK18,8)))</f>
        <v/>
      </c>
      <c r="BX17" s="506" t="str" cm="1">
        <f t="array" aca="1" ref="BX17" ca="1">IF(BL18=0,"",CONCATENATE(INDEX(FinalSort,BL18,4),": ",INDEX(FinalSort,BL18,8)))</f>
        <v/>
      </c>
      <c r="BY17" s="506" t="str" cm="1">
        <f t="array" aca="1" ref="BY17" ca="1">IF(BM18=0,"",CONCATENATE(INDEX(FinalSort,BM18,4),": ",INDEX(FinalSort,BM18,8)))</f>
        <v/>
      </c>
      <c r="BZ17" s="506" t="str" cm="1">
        <f t="array" aca="1" ref="BZ17" ca="1">IF(BN18=0,"",CONCATENATE(INDEX(FinalSort,BN18,4),": ",INDEX(FinalSort,BN18,8)))</f>
        <v/>
      </c>
      <c r="CA17" s="506" t="str" cm="1">
        <f t="array" aca="1" ref="CA17" ca="1">IF(BO18=0,"",CONCATENATE(INDEX(FinalSort,BO18,4),": ",INDEX(FinalSort,BO18,8)))</f>
        <v/>
      </c>
      <c r="CB17" s="506" t="str" cm="1">
        <f t="array" aca="1" ref="CB17" ca="1">IF(BP18=0,"",CONCATENATE(INDEX(FinalSort,BP18,4),": ",INDEX(FinalSort,BP18,8)))</f>
        <v/>
      </c>
      <c r="CC17" s="506" t="str" cm="1">
        <f t="array" aca="1" ref="CC17" ca="1">IF(BQ18=0,"",CONCATENATE(INDEX(FinalSort,BQ18,4),": ",INDEX(FinalSort,BQ18,8)))</f>
        <v/>
      </c>
      <c r="CD17" s="506" t="str" cm="1">
        <f t="array" aca="1" ref="CD17" ca="1">IF(BR18=0,"",CONCATENATE(INDEX(FinalSort,BR18,4),": ",INDEX(FinalSort,BR18,8)))</f>
        <v/>
      </c>
      <c r="CE17" s="507" t="str" cm="1">
        <f t="array" aca="1" ref="CE17" ca="1">IF(BS18=0,"",CONCATENATE(INDEX(FinalSort,BS18,4),": ",INDEX(FinalSort,BS18,8)))</f>
        <v/>
      </c>
    </row>
    <row r="18" spans="1:83" x14ac:dyDescent="0.25">
      <c r="A18" s="4">
        <v>9</v>
      </c>
      <c r="B18" s="326" t="str">
        <f t="shared" ca="1" si="3"/>
        <v/>
      </c>
      <c r="C18" s="462" t="str">
        <f t="shared" ca="1" si="4"/>
        <v/>
      </c>
      <c r="D18" s="463" t="str">
        <f t="shared" ca="1" si="5"/>
        <v/>
      </c>
      <c r="E18" s="471" t="str">
        <f t="shared" ca="1" si="6"/>
        <v/>
      </c>
      <c r="F18" s="473" t="str">
        <f t="shared" ca="1" si="1"/>
        <v/>
      </c>
      <c r="G18" s="523"/>
      <c r="H18" s="155"/>
      <c r="I18" s="443" t="str" cm="1">
        <f t="array" ref="I18">IFERROR(INDEX('Project Mull Review'!AF:AF, SMALL(IF('Project Mull Review'!AF$35:AF$682&lt;&gt;"",ROW('Project Mull Review'!AF$35:AF$682),""),ROWS('Project Mull Review'!AF$35:AF42))),"")</f>
        <v/>
      </c>
      <c r="J18" s="389" t="str" cm="1">
        <f t="array" ref="J18">IFERROR(INDEX('Project Mull Review'!AI:AI, SMALL(IF('Project Mull Review'!AI$35:AI$682&lt;&gt;"",ROW('Project Mull Review'!AI$35:AI$682),""),ROWS('Project Mull Review'!AI$35:AI42))),"")</f>
        <v/>
      </c>
      <c r="K18" s="442" t="str" cm="1">
        <f t="array" ref="K18">IFERROR(ROUND(INDEX('Project Mull Review'!AT:AT, SMALL(IF('Project Mull Review'!AI$35:AI$682&lt;&gt;"",ROW('Project Mull Review'!AI$35:AI$682),""),ROWS('Project Mull Review'!AI$35:AI42))),0),"")</f>
        <v/>
      </c>
      <c r="M18" s="140">
        <f>ROW()</f>
        <v>18</v>
      </c>
      <c r="N18" t="str">
        <f t="shared" si="11"/>
        <v/>
      </c>
      <c r="O18" t="str">
        <f t="shared" si="12"/>
        <v/>
      </c>
      <c r="P18" s="144">
        <f t="shared" ca="1" si="13"/>
        <v>0</v>
      </c>
      <c r="Q18" t="str">
        <f t="shared" ca="1" si="14"/>
        <v/>
      </c>
      <c r="R18" t="str">
        <f t="shared" ca="1" si="15"/>
        <v/>
      </c>
      <c r="S18" t="str">
        <f ca="1"/>
        <v/>
      </c>
      <c r="T18" s="144" t="str">
        <f ca="1"/>
        <v/>
      </c>
      <c r="U18" t="str">
        <f t="shared" ca="1" si="16"/>
        <v/>
      </c>
      <c r="V18" s="144" t="str">
        <f t="shared" ca="1" si="17"/>
        <v/>
      </c>
      <c r="W18">
        <f t="shared" ca="1" si="38"/>
        <v>0</v>
      </c>
      <c r="X18" t="str" cm="1">
        <f t="array" aca="1" ref="X18" ca="1">IFERROR(INDEX(INDIRECT(CONCATENATE(AS$14,":",AS$16)),V18-AR$12+1),"")</f>
        <v/>
      </c>
      <c r="Y18" t="str">
        <f t="shared" si="18"/>
        <v>X18</v>
      </c>
      <c r="Z18" t="str">
        <f t="shared" ca="1" si="31"/>
        <v>X18</v>
      </c>
      <c r="AA18">
        <f t="shared" ca="1" si="39"/>
        <v>0</v>
      </c>
      <c r="AB18">
        <f t="shared" ca="1" si="32"/>
        <v>0</v>
      </c>
      <c r="AC18" t="str">
        <f t="shared" ca="1" si="7"/>
        <v/>
      </c>
      <c r="AD18" t="str" cm="1">
        <f t="array" aca="1" ref="AD18" ca="1">IF($AB18=0,"",INDIRECT(_xlfn.CONCAT(AU$14,$V18)))</f>
        <v/>
      </c>
      <c r="AE18" s="144" t="str">
        <f t="shared" ca="1" si="33"/>
        <v/>
      </c>
      <c r="AF18" t="str">
        <f t="shared" ca="1" si="19"/>
        <v/>
      </c>
      <c r="AG18" s="525" t="str">
        <f ca="1"/>
        <v/>
      </c>
      <c r="AH18" s="467" t="str">
        <f t="shared" ca="1" si="34"/>
        <v/>
      </c>
      <c r="AI18" s="533" t="str">
        <f t="shared" ca="1" si="37"/>
        <v/>
      </c>
      <c r="AJ18" s="533" t="str">
        <f t="shared" ca="1" si="20"/>
        <v/>
      </c>
      <c r="AK18" t="str">
        <f t="shared" ca="1" si="35"/>
        <v/>
      </c>
      <c r="AL18" s="140" t="str">
        <f t="shared" ca="1" si="8"/>
        <v/>
      </c>
      <c r="AM18" t="str">
        <f t="shared" ca="1" si="21"/>
        <v/>
      </c>
      <c r="AN18" s="144" t="str">
        <f t="shared" ca="1" si="22"/>
        <v/>
      </c>
      <c r="AR18" s="478"/>
      <c r="AS18" s="155">
        <f>MATCH("",Combo,0)</f>
        <v>1</v>
      </c>
      <c r="AT18" s="155"/>
      <c r="AU18" s="479" t="str" cm="1">
        <f t="array" aca="1" ref="AU18" ca="1">CELL("address",ShopMull)</f>
        <v>$I$11</v>
      </c>
      <c r="AW18" s="140" t="str">
        <f t="shared" si="2"/>
        <v>N18</v>
      </c>
      <c r="AX18" t="str">
        <f t="shared" si="36"/>
        <v>$N$11:N17</v>
      </c>
      <c r="AY18" s="144" t="str">
        <f t="shared" si="23"/>
        <v>N19:$N$99</v>
      </c>
      <c r="BA18" s="139" t="str" cm="1">
        <f t="array" aca="1" ref="BA18" ca="1">IFERROR(CELL("address",INDEX('Project Mull Review'!AF:AF, SMALL(IF('Project Mull Review'!AF$35:AF$682&lt;&gt;"",ROW('Project Mull Review'!AF$35:AF$682),""),ROWS('Project Mull Review'!AF$35:AF42)))),"")</f>
        <v/>
      </c>
      <c r="BB18" s="155" t="str">
        <f t="shared" ca="1" si="24"/>
        <v/>
      </c>
      <c r="BC18" s="155" t="str">
        <f t="shared" ca="1" si="25"/>
        <v/>
      </c>
      <c r="BD18" s="155" t="str" cm="1">
        <f t="array" aca="1" ref="BD18" ca="1">IFERROR(INDEX(MainCell,BE18,2),"")</f>
        <v/>
      </c>
      <c r="BE18" s="155" t="str">
        <f t="shared" ca="1" si="26"/>
        <v/>
      </c>
      <c r="BF18" s="64" t="str">
        <f t="shared" ca="1" si="27"/>
        <v/>
      </c>
      <c r="BG18" s="64" t="str">
        <f t="shared" ca="1" si="28"/>
        <v/>
      </c>
      <c r="BH18" s="64" t="str" cm="1">
        <f t="array" aca="1" ref="BH18" ca="1">IFERROR(CONCATENATE(INDIRECT(BF18)," ", INDIRECT(BG18)),"")</f>
        <v/>
      </c>
      <c r="BI18" s="64" t="str">
        <f t="shared" ca="1" si="29"/>
        <v/>
      </c>
      <c r="BJ18" s="155">
        <f t="shared" ca="1" si="30"/>
        <v>0</v>
      </c>
      <c r="BK18" s="155">
        <f t="shared" ca="1" si="9"/>
        <v>0</v>
      </c>
      <c r="BL18" s="155">
        <f t="shared" ca="1" si="10"/>
        <v>0</v>
      </c>
      <c r="BM18" s="155">
        <f t="shared" ca="1" si="10"/>
        <v>0</v>
      </c>
      <c r="BN18" s="155">
        <f t="shared" ca="1" si="10"/>
        <v>0</v>
      </c>
      <c r="BO18" s="155">
        <f t="shared" ca="1" si="10"/>
        <v>0</v>
      </c>
      <c r="BP18" s="155">
        <f t="shared" ca="1" si="10"/>
        <v>0</v>
      </c>
      <c r="BQ18" s="155">
        <f t="shared" ca="1" si="10"/>
        <v>0</v>
      </c>
      <c r="BR18" s="155">
        <f t="shared" ca="1" si="10"/>
        <v>0</v>
      </c>
      <c r="BS18" s="479">
        <f t="shared" ca="1" si="10"/>
        <v>0</v>
      </c>
      <c r="BV18" s="505" t="str" cm="1">
        <f t="array" aca="1" ref="BV18" ca="1">IF(BJ19=0,"",CONCATENATE(INDEX(FinalSort,BJ19,4),": ",INDEX(FinalSort,BJ19,8)))</f>
        <v/>
      </c>
      <c r="BW18" s="506" t="str" cm="1">
        <f t="array" aca="1" ref="BW18" ca="1">IF(BK19=0,"",CONCATENATE(INDEX(FinalSort,BK19,4),": ",INDEX(FinalSort,BK19,8)))</f>
        <v/>
      </c>
      <c r="BX18" s="506" t="str" cm="1">
        <f t="array" aca="1" ref="BX18" ca="1">IF(BL19=0,"",CONCATENATE(INDEX(FinalSort,BL19,4),": ",INDEX(FinalSort,BL19,8)))</f>
        <v/>
      </c>
      <c r="BY18" s="506" t="str" cm="1">
        <f t="array" aca="1" ref="BY18" ca="1">IF(BM19=0,"",CONCATENATE(INDEX(FinalSort,BM19,4),": ",INDEX(FinalSort,BM19,8)))</f>
        <v/>
      </c>
      <c r="BZ18" s="506" t="str" cm="1">
        <f t="array" aca="1" ref="BZ18" ca="1">IF(BN19=0,"",CONCATENATE(INDEX(FinalSort,BN19,4),": ",INDEX(FinalSort,BN19,8)))</f>
        <v/>
      </c>
      <c r="CA18" s="506" t="str" cm="1">
        <f t="array" aca="1" ref="CA18" ca="1">IF(BO19=0,"",CONCATENATE(INDEX(FinalSort,BO19,4),": ",INDEX(FinalSort,BO19,8)))</f>
        <v/>
      </c>
      <c r="CB18" s="506" t="str" cm="1">
        <f t="array" aca="1" ref="CB18" ca="1">IF(BP19=0,"",CONCATENATE(INDEX(FinalSort,BP19,4),": ",INDEX(FinalSort,BP19,8)))</f>
        <v/>
      </c>
      <c r="CC18" s="506" t="str" cm="1">
        <f t="array" aca="1" ref="CC18" ca="1">IF(BQ19=0,"",CONCATENATE(INDEX(FinalSort,BQ19,4),": ",INDEX(FinalSort,BQ19,8)))</f>
        <v/>
      </c>
      <c r="CD18" s="506" t="str" cm="1">
        <f t="array" aca="1" ref="CD18" ca="1">IF(BR19=0,"",CONCATENATE(INDEX(FinalSort,BR19,4),": ",INDEX(FinalSort,BR19,8)))</f>
        <v/>
      </c>
      <c r="CE18" s="507" t="str" cm="1">
        <f t="array" aca="1" ref="CE18" ca="1">IF(BS19=0,"",CONCATENATE(INDEX(FinalSort,BS19,4),": ",INDEX(FinalSort,BS19,8)))</f>
        <v/>
      </c>
    </row>
    <row r="19" spans="1:83" ht="15.75" thickBot="1" x14ac:dyDescent="0.3">
      <c r="A19" s="4">
        <v>10</v>
      </c>
      <c r="B19" s="326" t="str">
        <f t="shared" ca="1" si="3"/>
        <v/>
      </c>
      <c r="C19" s="462" t="str">
        <f t="shared" ca="1" si="4"/>
        <v/>
      </c>
      <c r="D19" s="463" t="str">
        <f t="shared" ca="1" si="5"/>
        <v/>
      </c>
      <c r="E19" s="471" t="str">
        <f t="shared" ca="1" si="6"/>
        <v/>
      </c>
      <c r="F19" s="473" t="str">
        <f t="shared" ca="1" si="1"/>
        <v/>
      </c>
      <c r="G19" s="523"/>
      <c r="H19" s="155"/>
      <c r="I19" s="443" t="str" cm="1">
        <f t="array" ref="I19">IFERROR(INDEX('Project Mull Review'!AF:AF, SMALL(IF('Project Mull Review'!AF$35:AF$682&lt;&gt;"",ROW('Project Mull Review'!AF$35:AF$682),""),ROWS('Project Mull Review'!AF$35:AF43))),"")</f>
        <v/>
      </c>
      <c r="J19" s="389" t="str" cm="1">
        <f t="array" ref="J19">IFERROR(INDEX('Project Mull Review'!AI:AI, SMALL(IF('Project Mull Review'!AI$35:AI$682&lt;&gt;"",ROW('Project Mull Review'!AI$35:AI$682),""),ROWS('Project Mull Review'!AI$35:AI43))),"")</f>
        <v/>
      </c>
      <c r="K19" s="442" t="str" cm="1">
        <f t="array" ref="K19">IFERROR(ROUND(INDEX('Project Mull Review'!AT:AT, SMALL(IF('Project Mull Review'!AI$35:AI$682&lt;&gt;"",ROW('Project Mull Review'!AI$35:AI$682),""),ROWS('Project Mull Review'!AI$35:AI43))),0),"")</f>
        <v/>
      </c>
      <c r="M19" s="140">
        <f>ROW()</f>
        <v>19</v>
      </c>
      <c r="N19" t="str">
        <f t="shared" si="11"/>
        <v/>
      </c>
      <c r="O19" t="str">
        <f t="shared" si="12"/>
        <v/>
      </c>
      <c r="P19" s="144">
        <f t="shared" ca="1" si="13"/>
        <v>0</v>
      </c>
      <c r="Q19" t="str">
        <f t="shared" ca="1" si="14"/>
        <v/>
      </c>
      <c r="R19" t="str">
        <f t="shared" ca="1" si="15"/>
        <v/>
      </c>
      <c r="S19" t="str">
        <f ca="1"/>
        <v/>
      </c>
      <c r="T19" s="144" t="str">
        <f ca="1"/>
        <v/>
      </c>
      <c r="U19" t="str">
        <f t="shared" ca="1" si="16"/>
        <v/>
      </c>
      <c r="V19" s="144" t="str">
        <f t="shared" ca="1" si="17"/>
        <v/>
      </c>
      <c r="W19">
        <f t="shared" ca="1" si="38"/>
        <v>0</v>
      </c>
      <c r="X19" t="str" cm="1">
        <f t="array" aca="1" ref="X19" ca="1">IFERROR(INDEX(INDIRECT(CONCATENATE(AS$14,":",AS$16)),V19-AR$12+1),"")</f>
        <v/>
      </c>
      <c r="Y19" t="str">
        <f t="shared" si="18"/>
        <v>X19</v>
      </c>
      <c r="Z19" t="str">
        <f t="shared" ca="1" si="31"/>
        <v>X19</v>
      </c>
      <c r="AA19">
        <f t="shared" ca="1" si="39"/>
        <v>0</v>
      </c>
      <c r="AB19">
        <f t="shared" ca="1" si="32"/>
        <v>0</v>
      </c>
      <c r="AC19" t="str">
        <f t="shared" ca="1" si="7"/>
        <v/>
      </c>
      <c r="AD19" t="str" cm="1">
        <f t="array" aca="1" ref="AD19" ca="1">IF($AB19=0,"",INDIRECT(_xlfn.CONCAT(AU$14,$V19)))</f>
        <v/>
      </c>
      <c r="AE19" s="144" t="str">
        <f t="shared" ca="1" si="33"/>
        <v/>
      </c>
      <c r="AF19" t="str">
        <f t="shared" ca="1" si="19"/>
        <v/>
      </c>
      <c r="AG19" s="525" t="str">
        <f ca="1"/>
        <v/>
      </c>
      <c r="AH19" s="467" t="str">
        <f t="shared" ca="1" si="34"/>
        <v/>
      </c>
      <c r="AI19" s="533" t="str">
        <f t="shared" ca="1" si="37"/>
        <v/>
      </c>
      <c r="AJ19" s="533" t="str">
        <f t="shared" ca="1" si="20"/>
        <v/>
      </c>
      <c r="AK19" t="str">
        <f t="shared" ca="1" si="35"/>
        <v/>
      </c>
      <c r="AL19" s="140" t="str">
        <f t="shared" ca="1" si="8"/>
        <v/>
      </c>
      <c r="AM19" t="str">
        <f t="shared" ca="1" si="21"/>
        <v/>
      </c>
      <c r="AN19" s="144" t="str">
        <f t="shared" ca="1" si="22"/>
        <v/>
      </c>
      <c r="AR19" s="488"/>
      <c r="AS19" s="476"/>
      <c r="AT19" s="476"/>
      <c r="AU19" s="484"/>
      <c r="AW19" s="140" t="str">
        <f t="shared" si="2"/>
        <v>N19</v>
      </c>
      <c r="AX19" t="str">
        <f t="shared" si="36"/>
        <v>$N$11:N18</v>
      </c>
      <c r="AY19" s="144" t="str">
        <f t="shared" si="23"/>
        <v>N20:$N$99</v>
      </c>
      <c r="BA19" s="139" t="str" cm="1">
        <f t="array" aca="1" ref="BA19" ca="1">IFERROR(CELL("address",INDEX('Project Mull Review'!AF:AF, SMALL(IF('Project Mull Review'!AF$35:AF$682&lt;&gt;"",ROW('Project Mull Review'!AF$35:AF$682),""),ROWS('Project Mull Review'!AF$35:AF43)))),"")</f>
        <v/>
      </c>
      <c r="BB19" s="155" t="str">
        <f t="shared" ca="1" si="24"/>
        <v/>
      </c>
      <c r="BC19" s="155" t="str">
        <f t="shared" ca="1" si="25"/>
        <v/>
      </c>
      <c r="BD19" s="155" t="str" cm="1">
        <f t="array" aca="1" ref="BD19" ca="1">IFERROR(INDEX(MainCell,BE19,2),"")</f>
        <v/>
      </c>
      <c r="BE19" s="155" t="str">
        <f t="shared" ca="1" si="26"/>
        <v/>
      </c>
      <c r="BF19" s="64" t="str">
        <f t="shared" ca="1" si="27"/>
        <v/>
      </c>
      <c r="BG19" s="64" t="str">
        <f t="shared" ca="1" si="28"/>
        <v/>
      </c>
      <c r="BH19" s="64" t="str" cm="1">
        <f t="array" aca="1" ref="BH19" ca="1">IFERROR(CONCATENATE(INDIRECT(BF19)," ", INDIRECT(BG19)),"")</f>
        <v/>
      </c>
      <c r="BI19" s="64" t="str">
        <f t="shared" ca="1" si="29"/>
        <v/>
      </c>
      <c r="BJ19" s="155">
        <f t="shared" ca="1" si="30"/>
        <v>0</v>
      </c>
      <c r="BK19" s="155">
        <f t="shared" ca="1" si="9"/>
        <v>0</v>
      </c>
      <c r="BL19" s="155">
        <f t="shared" ca="1" si="10"/>
        <v>0</v>
      </c>
      <c r="BM19" s="155">
        <f t="shared" ca="1" si="10"/>
        <v>0</v>
      </c>
      <c r="BN19" s="155">
        <f t="shared" ca="1" si="10"/>
        <v>0</v>
      </c>
      <c r="BO19" s="155">
        <f t="shared" ca="1" si="10"/>
        <v>0</v>
      </c>
      <c r="BP19" s="155">
        <f t="shared" ca="1" si="10"/>
        <v>0</v>
      </c>
      <c r="BQ19" s="155">
        <f t="shared" ca="1" si="10"/>
        <v>0</v>
      </c>
      <c r="BR19" s="155">
        <f t="shared" ca="1" si="10"/>
        <v>0</v>
      </c>
      <c r="BS19" s="479">
        <f t="shared" ca="1" si="10"/>
        <v>0</v>
      </c>
      <c r="BV19" s="505" t="str" cm="1">
        <f t="array" aca="1" ref="BV19" ca="1">IF(BJ20=0,"",CONCATENATE(INDEX(FinalSort,BJ20,4),": ",INDEX(FinalSort,BJ20,8)))</f>
        <v/>
      </c>
      <c r="BW19" s="506" t="str" cm="1">
        <f t="array" aca="1" ref="BW19" ca="1">IF(BK20=0,"",CONCATENATE(INDEX(FinalSort,BK20,4),": ",INDEX(FinalSort,BK20,8)))</f>
        <v/>
      </c>
      <c r="BX19" s="506" t="str" cm="1">
        <f t="array" aca="1" ref="BX19" ca="1">IF(BL20=0,"",CONCATENATE(INDEX(FinalSort,BL20,4),": ",INDEX(FinalSort,BL20,8)))</f>
        <v/>
      </c>
      <c r="BY19" s="506" t="str" cm="1">
        <f t="array" aca="1" ref="BY19" ca="1">IF(BM20=0,"",CONCATENATE(INDEX(FinalSort,BM20,4),": ",INDEX(FinalSort,BM20,8)))</f>
        <v/>
      </c>
      <c r="BZ19" s="506" t="str" cm="1">
        <f t="array" aca="1" ref="BZ19" ca="1">IF(BN20=0,"",CONCATENATE(INDEX(FinalSort,BN20,4),": ",INDEX(FinalSort,BN20,8)))</f>
        <v/>
      </c>
      <c r="CA19" s="506" t="str" cm="1">
        <f t="array" aca="1" ref="CA19" ca="1">IF(BO20=0,"",CONCATENATE(INDEX(FinalSort,BO20,4),": ",INDEX(FinalSort,BO20,8)))</f>
        <v/>
      </c>
      <c r="CB19" s="506" t="str" cm="1">
        <f t="array" aca="1" ref="CB19" ca="1">IF(BP20=0,"",CONCATENATE(INDEX(FinalSort,BP20,4),": ",INDEX(FinalSort,BP20,8)))</f>
        <v/>
      </c>
      <c r="CC19" s="506" t="str" cm="1">
        <f t="array" aca="1" ref="CC19" ca="1">IF(BQ20=0,"",CONCATENATE(INDEX(FinalSort,BQ20,4),": ",INDEX(FinalSort,BQ20,8)))</f>
        <v/>
      </c>
      <c r="CD19" s="506" t="str" cm="1">
        <f t="array" aca="1" ref="CD19" ca="1">IF(BR20=0,"",CONCATENATE(INDEX(FinalSort,BR20,4),": ",INDEX(FinalSort,BR20,8)))</f>
        <v/>
      </c>
      <c r="CE19" s="507" t="str" cm="1">
        <f t="array" aca="1" ref="CE19" ca="1">IF(BS20=0,"",CONCATENATE(INDEX(FinalSort,BS20,4),": ",INDEX(FinalSort,BS20,8)))</f>
        <v/>
      </c>
    </row>
    <row r="20" spans="1:83" x14ac:dyDescent="0.25">
      <c r="A20" s="4">
        <v>11</v>
      </c>
      <c r="B20" s="326" t="str">
        <f t="shared" ca="1" si="3"/>
        <v/>
      </c>
      <c r="C20" s="462" t="str">
        <f t="shared" ca="1" si="4"/>
        <v/>
      </c>
      <c r="D20" s="463" t="str">
        <f t="shared" ca="1" si="5"/>
        <v/>
      </c>
      <c r="E20" s="471" t="str">
        <f t="shared" ca="1" si="6"/>
        <v/>
      </c>
      <c r="F20" s="473" t="str">
        <f t="shared" ca="1" si="1"/>
        <v/>
      </c>
      <c r="G20" s="523"/>
      <c r="H20" s="155"/>
      <c r="I20" s="443" t="str" cm="1">
        <f t="array" ref="I20">IFERROR(INDEX('Project Mull Review'!AF:AF, SMALL(IF('Project Mull Review'!AF$35:AF$682&lt;&gt;"",ROW('Project Mull Review'!AF$35:AF$682),""),ROWS('Project Mull Review'!AF$35:AF44))),"")</f>
        <v/>
      </c>
      <c r="J20" s="389" t="str" cm="1">
        <f t="array" ref="J20">IFERROR(INDEX('Project Mull Review'!AI:AI, SMALL(IF('Project Mull Review'!AI$35:AI$682&lt;&gt;"",ROW('Project Mull Review'!AI$35:AI$682),""),ROWS('Project Mull Review'!AI$35:AI44))),"")</f>
        <v/>
      </c>
      <c r="K20" s="442" t="str" cm="1">
        <f t="array" ref="K20">IFERROR(ROUND(INDEX('Project Mull Review'!AT:AT, SMALL(IF('Project Mull Review'!AI$35:AI$682&lt;&gt;"",ROW('Project Mull Review'!AI$35:AI$682),""),ROWS('Project Mull Review'!AI$35:AI44))),0),"")</f>
        <v/>
      </c>
      <c r="M20" s="140">
        <f>ROW()</f>
        <v>20</v>
      </c>
      <c r="N20" t="str">
        <f t="shared" si="11"/>
        <v/>
      </c>
      <c r="O20" t="str">
        <f t="shared" si="12"/>
        <v/>
      </c>
      <c r="P20" s="144">
        <f t="shared" ca="1" si="13"/>
        <v>0</v>
      </c>
      <c r="Q20" t="str">
        <f t="shared" ca="1" si="14"/>
        <v/>
      </c>
      <c r="R20" t="str">
        <f t="shared" ca="1" si="15"/>
        <v/>
      </c>
      <c r="S20" t="str">
        <f ca="1"/>
        <v/>
      </c>
      <c r="T20" s="144" t="str">
        <f ca="1"/>
        <v/>
      </c>
      <c r="U20" t="str">
        <f ca="1">IFERROR(MID(S20,1,LEN(S20)-2),"")</f>
        <v/>
      </c>
      <c r="V20" s="144" t="str">
        <f ca="1">RIGHT(S20,2)</f>
        <v/>
      </c>
      <c r="W20">
        <f t="shared" ca="1" si="38"/>
        <v>0</v>
      </c>
      <c r="X20" t="str" cm="1">
        <f t="array" aca="1" ref="X20" ca="1">IFERROR(INDEX(INDIRECT(CONCATENATE(AS$14,":",AS$16)),V20-AR$12+1),"")</f>
        <v/>
      </c>
      <c r="Y20" t="str">
        <f t="shared" si="18"/>
        <v>X20</v>
      </c>
      <c r="Z20" t="str">
        <f t="shared" ca="1" si="31"/>
        <v>X20</v>
      </c>
      <c r="AA20">
        <f t="shared" ca="1" si="39"/>
        <v>0</v>
      </c>
      <c r="AB20">
        <f t="shared" ca="1" si="32"/>
        <v>0</v>
      </c>
      <c r="AC20" t="str">
        <f t="shared" ca="1" si="7"/>
        <v/>
      </c>
      <c r="AD20" t="str" cm="1">
        <f t="array" aca="1" ref="AD20" ca="1">IF($AB20=0,"",INDIRECT(_xlfn.CONCAT(AU$14,$V20)))</f>
        <v/>
      </c>
      <c r="AE20" s="144" t="str">
        <f t="shared" ca="1" si="33"/>
        <v/>
      </c>
      <c r="AF20" t="str">
        <f t="shared" ca="1" si="19"/>
        <v/>
      </c>
      <c r="AG20" s="525" t="str">
        <f ca="1"/>
        <v/>
      </c>
      <c r="AH20" s="467" t="str">
        <f t="shared" ca="1" si="34"/>
        <v/>
      </c>
      <c r="AI20" s="533" t="str">
        <f t="shared" ca="1" si="37"/>
        <v/>
      </c>
      <c r="AJ20" s="533" t="str">
        <f t="shared" ca="1" si="20"/>
        <v/>
      </c>
      <c r="AK20" t="str">
        <f t="shared" ca="1" si="35"/>
        <v/>
      </c>
      <c r="AL20" s="140" t="str">
        <f t="shared" ca="1" si="8"/>
        <v/>
      </c>
      <c r="AM20" t="str">
        <f t="shared" ca="1" si="21"/>
        <v/>
      </c>
      <c r="AN20" s="144" t="str">
        <f t="shared" ca="1" si="22"/>
        <v/>
      </c>
      <c r="AT20" s="4"/>
      <c r="AW20" s="140" t="str">
        <f t="shared" si="2"/>
        <v>N20</v>
      </c>
      <c r="AX20" t="str">
        <f t="shared" si="36"/>
        <v>$N$11:N19</v>
      </c>
      <c r="AY20" s="144" t="str">
        <f t="shared" si="23"/>
        <v>N21:$N$99</v>
      </c>
      <c r="BA20" s="139" t="str" cm="1">
        <f t="array" aca="1" ref="BA20" ca="1">IFERROR(CELL("address",INDEX('Project Mull Review'!AF:AF, SMALL(IF('Project Mull Review'!AF$35:AF$682&lt;&gt;"",ROW('Project Mull Review'!AF$35:AF$682),""),ROWS('Project Mull Review'!AF$35:AF44)))),"")</f>
        <v/>
      </c>
      <c r="BB20" s="155" t="str">
        <f t="shared" ca="1" si="24"/>
        <v/>
      </c>
      <c r="BC20" s="155" t="str">
        <f t="shared" ca="1" si="25"/>
        <v/>
      </c>
      <c r="BD20" s="155" t="str" cm="1">
        <f t="array" aca="1" ref="BD20" ca="1">IFERROR(INDEX(MainCell,BE20,2),"")</f>
        <v/>
      </c>
      <c r="BE20" s="155" t="str">
        <f t="shared" ca="1" si="26"/>
        <v/>
      </c>
      <c r="BF20" s="64" t="str">
        <f t="shared" ca="1" si="27"/>
        <v/>
      </c>
      <c r="BG20" s="64" t="str">
        <f t="shared" ca="1" si="28"/>
        <v/>
      </c>
      <c r="BH20" s="64" t="str" cm="1">
        <f t="array" aca="1" ref="BH20" ca="1">IFERROR(CONCATENATE(INDIRECT(BF20)," ", INDIRECT(BG20)),"")</f>
        <v/>
      </c>
      <c r="BI20" s="64" t="str">
        <f t="shared" ca="1" si="29"/>
        <v/>
      </c>
      <c r="BJ20" s="155">
        <f t="shared" ca="1" si="30"/>
        <v>0</v>
      </c>
      <c r="BK20" s="155">
        <f t="shared" ca="1" si="9"/>
        <v>0</v>
      </c>
      <c r="BL20" s="155">
        <f t="shared" ca="1" si="10"/>
        <v>0</v>
      </c>
      <c r="BM20" s="155">
        <f t="shared" ca="1" si="10"/>
        <v>0</v>
      </c>
      <c r="BN20" s="155">
        <f t="shared" ca="1" si="10"/>
        <v>0</v>
      </c>
      <c r="BO20" s="155">
        <f t="shared" ca="1" si="10"/>
        <v>0</v>
      </c>
      <c r="BP20" s="155">
        <f t="shared" ca="1" si="10"/>
        <v>0</v>
      </c>
      <c r="BQ20" s="155">
        <f t="shared" ca="1" si="10"/>
        <v>0</v>
      </c>
      <c r="BR20" s="155">
        <f t="shared" ca="1" si="10"/>
        <v>0</v>
      </c>
      <c r="BS20" s="479">
        <f t="shared" ca="1" si="10"/>
        <v>0</v>
      </c>
      <c r="BV20" s="505" t="str" cm="1">
        <f t="array" aca="1" ref="BV20" ca="1">IF(BJ21=0,"",CONCATENATE(INDEX(FinalSort,BJ21,4),": ",INDEX(FinalSort,BJ21,8)))</f>
        <v/>
      </c>
      <c r="BW20" s="506" t="str" cm="1">
        <f t="array" aca="1" ref="BW20" ca="1">IF(BK21=0,"",CONCATENATE(INDEX(FinalSort,BK21,4),": ",INDEX(FinalSort,BK21,8)))</f>
        <v/>
      </c>
      <c r="BX20" s="506" t="str" cm="1">
        <f t="array" aca="1" ref="BX20" ca="1">IF(BL21=0,"",CONCATENATE(INDEX(FinalSort,BL21,4),": ",INDEX(FinalSort,BL21,8)))</f>
        <v/>
      </c>
      <c r="BY20" s="506" t="str" cm="1">
        <f t="array" aca="1" ref="BY20" ca="1">IF(BM21=0,"",CONCATENATE(INDEX(FinalSort,BM21,4),": ",INDEX(FinalSort,BM21,8)))</f>
        <v/>
      </c>
      <c r="BZ20" s="506" t="str" cm="1">
        <f t="array" aca="1" ref="BZ20" ca="1">IF(BN21=0,"",CONCATENATE(INDEX(FinalSort,BN21,4),": ",INDEX(FinalSort,BN21,8)))</f>
        <v/>
      </c>
      <c r="CA20" s="506" t="str" cm="1">
        <f t="array" aca="1" ref="CA20" ca="1">IF(BO21=0,"",CONCATENATE(INDEX(FinalSort,BO21,4),": ",INDEX(FinalSort,BO21,8)))</f>
        <v/>
      </c>
      <c r="CB20" s="506" t="str" cm="1">
        <f t="array" aca="1" ref="CB20" ca="1">IF(BP21=0,"",CONCATENATE(INDEX(FinalSort,BP21,4),": ",INDEX(FinalSort,BP21,8)))</f>
        <v/>
      </c>
      <c r="CC20" s="506" t="str" cm="1">
        <f t="array" aca="1" ref="CC20" ca="1">IF(BQ21=0,"",CONCATENATE(INDEX(FinalSort,BQ21,4),": ",INDEX(FinalSort,BQ21,8)))</f>
        <v/>
      </c>
      <c r="CD20" s="506" t="str" cm="1">
        <f t="array" aca="1" ref="CD20" ca="1">IF(BR21=0,"",CONCATENATE(INDEX(FinalSort,BR21,4),": ",INDEX(FinalSort,BR21,8)))</f>
        <v/>
      </c>
      <c r="CE20" s="507" t="str" cm="1">
        <f t="array" aca="1" ref="CE20" ca="1">IF(BS21=0,"",CONCATENATE(INDEX(FinalSort,BS21,4),": ",INDEX(FinalSort,BS21,8)))</f>
        <v/>
      </c>
    </row>
    <row r="21" spans="1:83" ht="15.75" thickBot="1" x14ac:dyDescent="0.3">
      <c r="A21" s="4">
        <v>12</v>
      </c>
      <c r="B21" s="326" t="str">
        <f t="shared" ca="1" si="3"/>
        <v/>
      </c>
      <c r="C21" s="462" t="str">
        <f t="shared" ca="1" si="4"/>
        <v/>
      </c>
      <c r="D21" s="463" t="str">
        <f t="shared" ca="1" si="5"/>
        <v/>
      </c>
      <c r="E21" s="471" t="str">
        <f t="shared" ca="1" si="6"/>
        <v/>
      </c>
      <c r="F21" s="473" t="str">
        <f t="shared" ca="1" si="1"/>
        <v/>
      </c>
      <c r="G21" s="523"/>
      <c r="H21" s="155"/>
      <c r="I21" s="443" t="str" cm="1">
        <f t="array" ref="I21">IFERROR(INDEX('Project Mull Review'!AF:AF, SMALL(IF('Project Mull Review'!AF$35:AF$682&lt;&gt;"",ROW('Project Mull Review'!AF$35:AF$682),""),ROWS('Project Mull Review'!AF$35:AF45))),"")</f>
        <v/>
      </c>
      <c r="J21" s="389" t="str" cm="1">
        <f t="array" ref="J21">IFERROR(INDEX('Project Mull Review'!AI:AI, SMALL(IF('Project Mull Review'!AI$35:AI$682&lt;&gt;"",ROW('Project Mull Review'!AI$35:AI$682),""),ROWS('Project Mull Review'!AI$35:AI45))),"")</f>
        <v/>
      </c>
      <c r="K21" s="442" t="str" cm="1">
        <f t="array" ref="K21">IFERROR(ROUND(INDEX('Project Mull Review'!AT:AT, SMALL(IF('Project Mull Review'!AI$35:AI$682&lt;&gt;"",ROW('Project Mull Review'!AI$35:AI$682),""),ROWS('Project Mull Review'!AI$35:AI45))),0),"")</f>
        <v/>
      </c>
      <c r="M21" s="140">
        <f>ROW()</f>
        <v>21</v>
      </c>
      <c r="N21" t="str">
        <f t="shared" si="11"/>
        <v/>
      </c>
      <c r="O21" t="str">
        <f t="shared" si="12"/>
        <v/>
      </c>
      <c r="P21" s="144">
        <f t="shared" ca="1" si="13"/>
        <v>0</v>
      </c>
      <c r="Q21" t="str">
        <f t="shared" ca="1" si="14"/>
        <v/>
      </c>
      <c r="R21" t="str">
        <f t="shared" ca="1" si="15"/>
        <v/>
      </c>
      <c r="S21" t="str">
        <f ca="1"/>
        <v/>
      </c>
      <c r="T21" s="144" t="str">
        <f ca="1"/>
        <v/>
      </c>
      <c r="U21" t="str">
        <f ca="1">IFERROR(MID(S21,1,LEN(S21)-2),"")</f>
        <v/>
      </c>
      <c r="V21" s="144" t="str">
        <f ca="1">RIGHT(S21,2)</f>
        <v/>
      </c>
      <c r="W21">
        <f t="shared" ca="1" si="38"/>
        <v>0</v>
      </c>
      <c r="X21" t="str" cm="1">
        <f t="array" aca="1" ref="X21" ca="1">IFERROR(INDEX(INDIRECT(CONCATENATE(AS$14,":",AS$16)),V21-AR$12+1),"")</f>
        <v/>
      </c>
      <c r="Y21" t="str">
        <f t="shared" si="18"/>
        <v>X21</v>
      </c>
      <c r="Z21" t="str">
        <f t="shared" ca="1" si="31"/>
        <v>X21</v>
      </c>
      <c r="AA21">
        <f t="shared" ca="1" si="39"/>
        <v>0</v>
      </c>
      <c r="AB21">
        <f t="shared" ca="1" si="32"/>
        <v>0</v>
      </c>
      <c r="AC21" t="str">
        <f t="shared" ca="1" si="7"/>
        <v/>
      </c>
      <c r="AD21" t="str" cm="1">
        <f t="array" aca="1" ref="AD21" ca="1">IF($AB21=0,"",INDIRECT(_xlfn.CONCAT(AU$14,$V21)))</f>
        <v/>
      </c>
      <c r="AE21" s="144" t="str">
        <f t="shared" ca="1" si="33"/>
        <v/>
      </c>
      <c r="AF21" t="str">
        <f t="shared" ca="1" si="19"/>
        <v/>
      </c>
      <c r="AG21" s="525" t="str">
        <f ca="1"/>
        <v/>
      </c>
      <c r="AH21" s="467" t="str">
        <f t="shared" ca="1" si="34"/>
        <v/>
      </c>
      <c r="AI21" s="533" t="str">
        <f t="shared" ca="1" si="37"/>
        <v/>
      </c>
      <c r="AJ21" s="533" t="str">
        <f t="shared" ca="1" si="20"/>
        <v/>
      </c>
      <c r="AK21" t="str">
        <f t="shared" ca="1" si="35"/>
        <v/>
      </c>
      <c r="AL21" s="140" t="str">
        <f t="shared" ca="1" si="8"/>
        <v/>
      </c>
      <c r="AM21" t="str">
        <f t="shared" ca="1" si="21"/>
        <v/>
      </c>
      <c r="AN21" s="144" t="str">
        <f t="shared" ca="1" si="22"/>
        <v/>
      </c>
      <c r="AT21" s="4"/>
      <c r="AU21" s="4"/>
      <c r="AW21" s="140" t="str">
        <f t="shared" si="2"/>
        <v>N21</v>
      </c>
      <c r="AX21" t="str">
        <f t="shared" si="36"/>
        <v>$N$11:N20</v>
      </c>
      <c r="AY21" s="144" t="str">
        <f t="shared" si="23"/>
        <v>N22:$N$99</v>
      </c>
      <c r="BA21" s="139" t="str" cm="1">
        <f t="array" aca="1" ref="BA21" ca="1">IFERROR(CELL("address",INDEX('Project Mull Review'!AF:AF, SMALL(IF('Project Mull Review'!AF$35:AF$682&lt;&gt;"",ROW('Project Mull Review'!AF$35:AF$682),""),ROWS('Project Mull Review'!AF$35:AF45)))),"")</f>
        <v/>
      </c>
      <c r="BB21" s="155" t="str">
        <f t="shared" ca="1" si="24"/>
        <v/>
      </c>
      <c r="BC21" s="155" t="str">
        <f t="shared" ca="1" si="25"/>
        <v/>
      </c>
      <c r="BD21" s="155" t="str" cm="1">
        <f t="array" aca="1" ref="BD21" ca="1">IFERROR(INDEX(MainCell,BE21,2),"")</f>
        <v/>
      </c>
      <c r="BE21" s="155" t="str">
        <f t="shared" ca="1" si="26"/>
        <v/>
      </c>
      <c r="BF21" s="64" t="str">
        <f t="shared" ca="1" si="27"/>
        <v/>
      </c>
      <c r="BG21" s="64" t="str">
        <f t="shared" ca="1" si="28"/>
        <v/>
      </c>
      <c r="BH21" s="64" t="str" cm="1">
        <f t="array" aca="1" ref="BH21" ca="1">IFERROR(CONCATENATE(INDIRECT(BF21)," ", INDIRECT(BG21)),"")</f>
        <v/>
      </c>
      <c r="BI21" s="64" t="str">
        <f t="shared" ca="1" si="29"/>
        <v/>
      </c>
      <c r="BJ21" s="155">
        <f t="shared" ca="1" si="30"/>
        <v>0</v>
      </c>
      <c r="BK21" s="155">
        <f t="shared" ca="1" si="9"/>
        <v>0</v>
      </c>
      <c r="BL21" s="155">
        <f t="shared" ref="BL21:BS30" ca="1" si="40">IF(BK21=0,0,IFERROR(IF(MATCH($BI21,OFFSET(Combo,BK21,0),0)&gt;=($AS$18-BK21),0,BK21+MATCH($BI21,OFFSET(Combo,BK21,0),0)),0))</f>
        <v>0</v>
      </c>
      <c r="BM21" s="155">
        <f t="shared" ca="1" si="40"/>
        <v>0</v>
      </c>
      <c r="BN21" s="155">
        <f t="shared" ca="1" si="40"/>
        <v>0</v>
      </c>
      <c r="BO21" s="155">
        <f t="shared" ca="1" si="40"/>
        <v>0</v>
      </c>
      <c r="BP21" s="155">
        <f t="shared" ca="1" si="40"/>
        <v>0</v>
      </c>
      <c r="BQ21" s="155">
        <f t="shared" ca="1" si="40"/>
        <v>0</v>
      </c>
      <c r="BR21" s="155">
        <f t="shared" ca="1" si="40"/>
        <v>0</v>
      </c>
      <c r="BS21" s="479">
        <f t="shared" ca="1" si="40"/>
        <v>0</v>
      </c>
      <c r="BV21" s="505" t="str" cm="1">
        <f t="array" aca="1" ref="BV21" ca="1">IF(BJ22=0,"",CONCATENATE(INDEX(FinalSort,BJ22,4),": ",INDEX(FinalSort,BJ22,8)))</f>
        <v/>
      </c>
      <c r="BW21" s="506" t="str" cm="1">
        <f t="array" aca="1" ref="BW21" ca="1">IF(BK22=0,"",CONCATENATE(INDEX(FinalSort,BK22,4),": ",INDEX(FinalSort,BK22,8)))</f>
        <v/>
      </c>
      <c r="BX21" s="506" t="str" cm="1">
        <f t="array" aca="1" ref="BX21" ca="1">IF(BL22=0,"",CONCATENATE(INDEX(FinalSort,BL22,4),": ",INDEX(FinalSort,BL22,8)))</f>
        <v/>
      </c>
      <c r="BY21" s="506" t="str" cm="1">
        <f t="array" aca="1" ref="BY21" ca="1">IF(BM22=0,"",CONCATENATE(INDEX(FinalSort,BM22,4),": ",INDEX(FinalSort,BM22,8)))</f>
        <v/>
      </c>
      <c r="BZ21" s="506" t="str" cm="1">
        <f t="array" aca="1" ref="BZ21" ca="1">IF(BN22=0,"",CONCATENATE(INDEX(FinalSort,BN22,4),": ",INDEX(FinalSort,BN22,8)))</f>
        <v/>
      </c>
      <c r="CA21" s="506" t="str" cm="1">
        <f t="array" aca="1" ref="CA21" ca="1">IF(BO22=0,"",CONCATENATE(INDEX(FinalSort,BO22,4),": ",INDEX(FinalSort,BO22,8)))</f>
        <v/>
      </c>
      <c r="CB21" s="506" t="str" cm="1">
        <f t="array" aca="1" ref="CB21" ca="1">IF(BP22=0,"",CONCATENATE(INDEX(FinalSort,BP22,4),": ",INDEX(FinalSort,BP22,8)))</f>
        <v/>
      </c>
      <c r="CC21" s="506" t="str" cm="1">
        <f t="array" aca="1" ref="CC21" ca="1">IF(BQ22=0,"",CONCATENATE(INDEX(FinalSort,BQ22,4),": ",INDEX(FinalSort,BQ22,8)))</f>
        <v/>
      </c>
      <c r="CD21" s="506" t="str" cm="1">
        <f t="array" aca="1" ref="CD21" ca="1">IF(BR22=0,"",CONCATENATE(INDEX(FinalSort,BR22,4),": ",INDEX(FinalSort,BR22,8)))</f>
        <v/>
      </c>
      <c r="CE21" s="507" t="str" cm="1">
        <f t="array" aca="1" ref="CE21" ca="1">IF(BS22=0,"",CONCATENATE(INDEX(FinalSort,BS22,4),": ",INDEX(FinalSort,BS22,8)))</f>
        <v/>
      </c>
    </row>
    <row r="22" spans="1:83" x14ac:dyDescent="0.25">
      <c r="A22" s="4">
        <v>13</v>
      </c>
      <c r="B22" s="326" t="str">
        <f t="shared" ca="1" si="3"/>
        <v/>
      </c>
      <c r="C22" s="462" t="str">
        <f t="shared" ca="1" si="4"/>
        <v/>
      </c>
      <c r="D22" s="463" t="str">
        <f t="shared" ca="1" si="5"/>
        <v/>
      </c>
      <c r="E22" s="471" t="str">
        <f t="shared" ca="1" si="6"/>
        <v/>
      </c>
      <c r="F22" s="473" t="str">
        <f t="shared" ca="1" si="1"/>
        <v/>
      </c>
      <c r="G22" s="523"/>
      <c r="H22" s="155"/>
      <c r="I22" s="443" t="str" cm="1">
        <f t="array" ref="I22">IFERROR(INDEX('Project Mull Review'!AF:AF, SMALL(IF('Project Mull Review'!AF$35:AF$682&lt;&gt;"",ROW('Project Mull Review'!AF$35:AF$682),""),ROWS('Project Mull Review'!AF$35:AF46))),"")</f>
        <v/>
      </c>
      <c r="J22" s="389" t="str" cm="1">
        <f t="array" ref="J22">IFERROR(INDEX('Project Mull Review'!AI:AI, SMALL(IF('Project Mull Review'!AI$35:AI$682&lt;&gt;"",ROW('Project Mull Review'!AI$35:AI$682),""),ROWS('Project Mull Review'!AI$35:AI46))),"")</f>
        <v/>
      </c>
      <c r="K22" s="442" t="str" cm="1">
        <f t="array" ref="K22">IFERROR(ROUND(INDEX('Project Mull Review'!AT:AT, SMALL(IF('Project Mull Review'!AI$35:AI$682&lt;&gt;"",ROW('Project Mull Review'!AI$35:AI$682),""),ROWS('Project Mull Review'!AI$35:AI46))),0),"")</f>
        <v/>
      </c>
      <c r="M22" s="140">
        <f>ROW()</f>
        <v>22</v>
      </c>
      <c r="N22" t="str">
        <f t="shared" si="11"/>
        <v/>
      </c>
      <c r="O22" t="str">
        <f t="shared" si="12"/>
        <v/>
      </c>
      <c r="P22" s="144">
        <f t="shared" ca="1" si="13"/>
        <v>0</v>
      </c>
      <c r="Q22" t="str">
        <f t="shared" ca="1" si="14"/>
        <v/>
      </c>
      <c r="R22" t="str">
        <f t="shared" ca="1" si="15"/>
        <v/>
      </c>
      <c r="S22" t="str">
        <f ca="1"/>
        <v/>
      </c>
      <c r="T22" s="144" t="str">
        <f ca="1"/>
        <v/>
      </c>
      <c r="U22" t="str">
        <f t="shared" ca="1" si="16"/>
        <v/>
      </c>
      <c r="V22" s="144" t="str">
        <f t="shared" ca="1" si="17"/>
        <v/>
      </c>
      <c r="W22">
        <f t="shared" ca="1" si="38"/>
        <v>0</v>
      </c>
      <c r="X22" t="str" cm="1">
        <f t="array" aca="1" ref="X22" ca="1">IFERROR(INDEX(INDIRECT(CONCATENATE(AS$14,":",AS$16)),V22-AR$12+1),"")</f>
        <v/>
      </c>
      <c r="Y22" t="str">
        <f t="shared" si="18"/>
        <v>X22</v>
      </c>
      <c r="Z22" t="str">
        <f t="shared" ca="1" si="31"/>
        <v>X22</v>
      </c>
      <c r="AA22">
        <f t="shared" ca="1" si="39"/>
        <v>0</v>
      </c>
      <c r="AB22">
        <f t="shared" ca="1" si="32"/>
        <v>0</v>
      </c>
      <c r="AC22" t="str">
        <f t="shared" ca="1" si="7"/>
        <v/>
      </c>
      <c r="AD22" t="str" cm="1">
        <f t="array" aca="1" ref="AD22" ca="1">IF($AB22=0,"",INDIRECT(_xlfn.CONCAT(AU$14,$V22)))</f>
        <v/>
      </c>
      <c r="AE22" s="144" t="str">
        <f t="shared" ca="1" si="33"/>
        <v/>
      </c>
      <c r="AF22" t="str">
        <f t="shared" ca="1" si="19"/>
        <v/>
      </c>
      <c r="AG22" s="525" t="str">
        <f ca="1"/>
        <v/>
      </c>
      <c r="AH22" s="467" t="str">
        <f t="shared" ca="1" si="34"/>
        <v/>
      </c>
      <c r="AI22" s="533" t="str">
        <f t="shared" ca="1" si="37"/>
        <v/>
      </c>
      <c r="AJ22" s="533" t="str">
        <f t="shared" ca="1" si="20"/>
        <v/>
      </c>
      <c r="AK22" t="str">
        <f t="shared" ca="1" si="35"/>
        <v/>
      </c>
      <c r="AL22" s="140" t="str">
        <f t="shared" ca="1" si="8"/>
        <v/>
      </c>
      <c r="AM22" t="str">
        <f t="shared" ca="1" si="21"/>
        <v/>
      </c>
      <c r="AN22" s="144" t="str">
        <f t="shared" ca="1" si="22"/>
        <v/>
      </c>
      <c r="AR22" s="481">
        <v>35</v>
      </c>
      <c r="AS22" s="485" t="str">
        <f>CONCATENATE("B",AR22)</f>
        <v>B35</v>
      </c>
      <c r="AT22" s="482" t="str">
        <f>CONCATENATE("B",AR22+6)</f>
        <v>B41</v>
      </c>
      <c r="AU22" s="477"/>
      <c r="AW22" s="140" t="str">
        <f t="shared" si="2"/>
        <v>N22</v>
      </c>
      <c r="AX22" t="str">
        <f t="shared" si="36"/>
        <v>$N$11:N21</v>
      </c>
      <c r="AY22" s="144" t="str">
        <f t="shared" si="23"/>
        <v>N23:$N$99</v>
      </c>
      <c r="BA22" s="139" t="str" cm="1">
        <f t="array" aca="1" ref="BA22" ca="1">IFERROR(CELL("address",INDEX('Project Mull Review'!AF:AF, SMALL(IF('Project Mull Review'!AF$35:AF$682&lt;&gt;"",ROW('Project Mull Review'!AF$35:AF$682),""),ROWS('Project Mull Review'!AF$35:AF46)))),"")</f>
        <v/>
      </c>
      <c r="BB22" s="155" t="str">
        <f t="shared" ca="1" si="24"/>
        <v/>
      </c>
      <c r="BC22" s="155" t="str">
        <f t="shared" ca="1" si="25"/>
        <v/>
      </c>
      <c r="BD22" s="155" t="str" cm="1">
        <f t="array" aca="1" ref="BD22" ca="1">IFERROR(INDEX(MainCell,BE22,2),"")</f>
        <v/>
      </c>
      <c r="BE22" s="155" t="str">
        <f t="shared" ca="1" si="26"/>
        <v/>
      </c>
      <c r="BF22" s="64" t="str">
        <f t="shared" ca="1" si="27"/>
        <v/>
      </c>
      <c r="BG22" s="64" t="str">
        <f t="shared" ca="1" si="28"/>
        <v/>
      </c>
      <c r="BH22" s="64" t="str" cm="1">
        <f t="array" aca="1" ref="BH22" ca="1">IFERROR(CONCATENATE(INDIRECT(BF22)," ", INDIRECT(BG22)),"")</f>
        <v/>
      </c>
      <c r="BI22" s="64" t="str">
        <f t="shared" ca="1" si="29"/>
        <v/>
      </c>
      <c r="BJ22" s="155">
        <f t="shared" ca="1" si="30"/>
        <v>0</v>
      </c>
      <c r="BK22" s="155">
        <f t="shared" ca="1" si="9"/>
        <v>0</v>
      </c>
      <c r="BL22" s="155">
        <f t="shared" ca="1" si="40"/>
        <v>0</v>
      </c>
      <c r="BM22" s="155">
        <f t="shared" ca="1" si="40"/>
        <v>0</v>
      </c>
      <c r="BN22" s="155">
        <f t="shared" ca="1" si="40"/>
        <v>0</v>
      </c>
      <c r="BO22" s="155">
        <f t="shared" ca="1" si="40"/>
        <v>0</v>
      </c>
      <c r="BP22" s="155">
        <f t="shared" ca="1" si="40"/>
        <v>0</v>
      </c>
      <c r="BQ22" s="155">
        <f t="shared" ca="1" si="40"/>
        <v>0</v>
      </c>
      <c r="BR22" s="155">
        <f t="shared" ca="1" si="40"/>
        <v>0</v>
      </c>
      <c r="BS22" s="479">
        <f t="shared" ca="1" si="40"/>
        <v>0</v>
      </c>
      <c r="BV22" s="505" t="str" cm="1">
        <f t="array" aca="1" ref="BV22" ca="1">IF(BJ23=0,"",CONCATENATE(INDEX(FinalSort,BJ23,4),": ",INDEX(FinalSort,BJ23,8)))</f>
        <v/>
      </c>
      <c r="BW22" s="506" t="str" cm="1">
        <f t="array" aca="1" ref="BW22" ca="1">IF(BK23=0,"",CONCATENATE(INDEX(FinalSort,BK23,4),": ",INDEX(FinalSort,BK23,8)))</f>
        <v/>
      </c>
      <c r="BX22" s="506" t="str" cm="1">
        <f t="array" aca="1" ref="BX22" ca="1">IF(BL23=0,"",CONCATENATE(INDEX(FinalSort,BL23,4),": ",INDEX(FinalSort,BL23,8)))</f>
        <v/>
      </c>
      <c r="BY22" s="506" t="str" cm="1">
        <f t="array" aca="1" ref="BY22" ca="1">IF(BM23=0,"",CONCATENATE(INDEX(FinalSort,BM23,4),": ",INDEX(FinalSort,BM23,8)))</f>
        <v/>
      </c>
      <c r="BZ22" s="506" t="str" cm="1">
        <f t="array" aca="1" ref="BZ22" ca="1">IF(BN23=0,"",CONCATENATE(INDEX(FinalSort,BN23,4),": ",INDEX(FinalSort,BN23,8)))</f>
        <v/>
      </c>
      <c r="CA22" s="506" t="str" cm="1">
        <f t="array" aca="1" ref="CA22" ca="1">IF(BO23=0,"",CONCATENATE(INDEX(FinalSort,BO23,4),": ",INDEX(FinalSort,BO23,8)))</f>
        <v/>
      </c>
      <c r="CB22" s="506" t="str" cm="1">
        <f t="array" aca="1" ref="CB22" ca="1">IF(BP23=0,"",CONCATENATE(INDEX(FinalSort,BP23,4),": ",INDEX(FinalSort,BP23,8)))</f>
        <v/>
      </c>
      <c r="CC22" s="506" t="str" cm="1">
        <f t="array" aca="1" ref="CC22" ca="1">IF(BQ23=0,"",CONCATENATE(INDEX(FinalSort,BQ23,4),": ",INDEX(FinalSort,BQ23,8)))</f>
        <v/>
      </c>
      <c r="CD22" s="506" t="str" cm="1">
        <f t="array" aca="1" ref="CD22" ca="1">IF(BR23=0,"",CONCATENATE(INDEX(FinalSort,BR23,4),": ",INDEX(FinalSort,BR23,8)))</f>
        <v/>
      </c>
      <c r="CE22" s="507" t="str" cm="1">
        <f t="array" aca="1" ref="CE22" ca="1">IF(BS23=0,"",CONCATENATE(INDEX(FinalSort,BS23,4),": ",INDEX(FinalSort,BS23,8)))</f>
        <v/>
      </c>
    </row>
    <row r="23" spans="1:83" x14ac:dyDescent="0.25">
      <c r="A23" s="4">
        <v>14</v>
      </c>
      <c r="B23" s="326" t="str">
        <f t="shared" ca="1" si="3"/>
        <v/>
      </c>
      <c r="C23" s="462" t="str">
        <f t="shared" ca="1" si="4"/>
        <v/>
      </c>
      <c r="D23" s="463" t="str">
        <f t="shared" ca="1" si="5"/>
        <v/>
      </c>
      <c r="E23" s="471" t="str">
        <f t="shared" ca="1" si="6"/>
        <v/>
      </c>
      <c r="F23" s="473" t="str">
        <f t="shared" ca="1" si="1"/>
        <v/>
      </c>
      <c r="G23" s="523"/>
      <c r="H23" s="155"/>
      <c r="I23" s="443" t="str" cm="1">
        <f t="array" ref="I23">IFERROR(INDEX('Project Mull Review'!AF:AF, SMALL(IF('Project Mull Review'!AF$35:AF$682&lt;&gt;"",ROW('Project Mull Review'!AF$35:AF$682),""),ROWS('Project Mull Review'!AF$35:AF47))),"")</f>
        <v/>
      </c>
      <c r="J23" s="389" t="str" cm="1">
        <f t="array" ref="J23">IFERROR(INDEX('Project Mull Review'!AI:AI, SMALL(IF('Project Mull Review'!AI$35:AI$682&lt;&gt;"",ROW('Project Mull Review'!AI$35:AI$682),""),ROWS('Project Mull Review'!AI$35:AI47))),"")</f>
        <v/>
      </c>
      <c r="K23" s="442" t="str" cm="1">
        <f t="array" ref="K23">IFERROR(ROUND(INDEX('Project Mull Review'!AT:AT, SMALL(IF('Project Mull Review'!AI$35:AI$682&lt;&gt;"",ROW('Project Mull Review'!AI$35:AI$682),""),ROWS('Project Mull Review'!AI$35:AI47))),0),"")</f>
        <v/>
      </c>
      <c r="M23" s="140">
        <f>ROW()</f>
        <v>23</v>
      </c>
      <c r="N23" t="str">
        <f t="shared" si="11"/>
        <v/>
      </c>
      <c r="O23" t="str">
        <f t="shared" si="12"/>
        <v/>
      </c>
      <c r="P23" s="144">
        <f t="shared" ca="1" si="13"/>
        <v>0</v>
      </c>
      <c r="Q23" t="str">
        <f t="shared" ca="1" si="14"/>
        <v/>
      </c>
      <c r="R23" t="str">
        <f t="shared" ca="1" si="15"/>
        <v/>
      </c>
      <c r="S23" t="str">
        <f ca="1"/>
        <v/>
      </c>
      <c r="T23" s="144" t="str">
        <f ca="1"/>
        <v/>
      </c>
      <c r="U23" t="str">
        <f t="shared" ca="1" si="16"/>
        <v/>
      </c>
      <c r="V23" s="144" t="str">
        <f t="shared" ca="1" si="17"/>
        <v/>
      </c>
      <c r="W23">
        <f t="shared" ca="1" si="38"/>
        <v>0</v>
      </c>
      <c r="X23" t="str" cm="1">
        <f t="array" aca="1" ref="X23" ca="1">IFERROR(INDEX(INDIRECT(CONCATENATE(AS$14,":",AS$16)),V23-AR$12+1),"")</f>
        <v/>
      </c>
      <c r="Y23" t="str">
        <f t="shared" si="18"/>
        <v>X23</v>
      </c>
      <c r="Z23" t="str">
        <f t="shared" ca="1" si="31"/>
        <v>X23</v>
      </c>
      <c r="AA23">
        <f t="shared" ca="1" si="39"/>
        <v>0</v>
      </c>
      <c r="AB23">
        <f t="shared" ca="1" si="32"/>
        <v>0</v>
      </c>
      <c r="AC23" t="str">
        <f t="shared" ca="1" si="7"/>
        <v/>
      </c>
      <c r="AD23" t="str" cm="1">
        <f t="array" aca="1" ref="AD23" ca="1">IF($AB23=0,"",INDIRECT(_xlfn.CONCAT(AU$14,$V23)))</f>
        <v/>
      </c>
      <c r="AE23" s="144" t="str">
        <f t="shared" ca="1" si="33"/>
        <v/>
      </c>
      <c r="AF23" t="str">
        <f t="shared" ca="1" si="19"/>
        <v/>
      </c>
      <c r="AG23" s="525" t="str">
        <f ca="1"/>
        <v/>
      </c>
      <c r="AH23" s="467" t="str">
        <f t="shared" ca="1" si="34"/>
        <v/>
      </c>
      <c r="AI23" s="533" t="str">
        <f t="shared" ca="1" si="37"/>
        <v/>
      </c>
      <c r="AJ23" s="533" t="str">
        <f t="shared" ca="1" si="20"/>
        <v/>
      </c>
      <c r="AK23" t="str">
        <f t="shared" ca="1" si="35"/>
        <v/>
      </c>
      <c r="AL23" s="140" t="str">
        <f t="shared" ca="1" si="8"/>
        <v/>
      </c>
      <c r="AM23" t="str">
        <f t="shared" ca="1" si="21"/>
        <v/>
      </c>
      <c r="AN23" s="144" t="str">
        <f t="shared" ca="1" si="22"/>
        <v/>
      </c>
      <c r="AR23" s="483">
        <f>AR22+12</f>
        <v>47</v>
      </c>
      <c r="AS23" s="157" t="str">
        <f t="shared" ref="AS23:AS75" si="41">CONCATENATE("B",AR23)</f>
        <v>B47</v>
      </c>
      <c r="AT23" s="479" t="str">
        <f t="shared" ref="AT23:AT75" si="42">CONCATENATE("B",AR23+6)</f>
        <v>B53</v>
      </c>
      <c r="AU23" s="477"/>
      <c r="AW23" s="140" t="str">
        <f t="shared" si="2"/>
        <v>N23</v>
      </c>
      <c r="AX23" t="str">
        <f t="shared" si="36"/>
        <v>$N$11:N22</v>
      </c>
      <c r="AY23" s="144" t="str">
        <f t="shared" si="23"/>
        <v>N24:$N$99</v>
      </c>
      <c r="BA23" s="139" t="str" cm="1">
        <f t="array" aca="1" ref="BA23" ca="1">IFERROR(CELL("address",INDEX('Project Mull Review'!AF:AF, SMALL(IF('Project Mull Review'!AF$35:AF$682&lt;&gt;"",ROW('Project Mull Review'!AF$35:AF$682),""),ROWS('Project Mull Review'!AF$35:AF47)))),"")</f>
        <v/>
      </c>
      <c r="BB23" s="155" t="str">
        <f t="shared" ca="1" si="24"/>
        <v/>
      </c>
      <c r="BC23" s="155" t="str">
        <f t="shared" ca="1" si="25"/>
        <v/>
      </c>
      <c r="BD23" s="155" t="str" cm="1">
        <f t="array" aca="1" ref="BD23" ca="1">IFERROR(INDEX(MainCell,BE23,2),"")</f>
        <v/>
      </c>
      <c r="BE23" s="155" t="str">
        <f t="shared" ca="1" si="26"/>
        <v/>
      </c>
      <c r="BF23" s="64" t="str">
        <f t="shared" ca="1" si="27"/>
        <v/>
      </c>
      <c r="BG23" s="64" t="str">
        <f t="shared" ca="1" si="28"/>
        <v/>
      </c>
      <c r="BH23" s="64" t="str" cm="1">
        <f t="array" aca="1" ref="BH23" ca="1">IFERROR(CONCATENATE(INDIRECT(BF23)," ", INDIRECT(BG23)),"")</f>
        <v/>
      </c>
      <c r="BI23" s="64" t="str">
        <f t="shared" ca="1" si="29"/>
        <v/>
      </c>
      <c r="BJ23" s="155">
        <f t="shared" ca="1" si="30"/>
        <v>0</v>
      </c>
      <c r="BK23" s="155">
        <f t="shared" ca="1" si="9"/>
        <v>0</v>
      </c>
      <c r="BL23" s="155">
        <f t="shared" ca="1" si="40"/>
        <v>0</v>
      </c>
      <c r="BM23" s="155">
        <f t="shared" ca="1" si="40"/>
        <v>0</v>
      </c>
      <c r="BN23" s="155">
        <f t="shared" ca="1" si="40"/>
        <v>0</v>
      </c>
      <c r="BO23" s="155">
        <f t="shared" ca="1" si="40"/>
        <v>0</v>
      </c>
      <c r="BP23" s="155">
        <f t="shared" ca="1" si="40"/>
        <v>0</v>
      </c>
      <c r="BQ23" s="155">
        <f t="shared" ca="1" si="40"/>
        <v>0</v>
      </c>
      <c r="BR23" s="155">
        <f t="shared" ca="1" si="40"/>
        <v>0</v>
      </c>
      <c r="BS23" s="479">
        <f t="shared" ca="1" si="40"/>
        <v>0</v>
      </c>
      <c r="BV23" s="505" t="str" cm="1">
        <f t="array" aca="1" ref="BV23" ca="1">IF(BJ24=0,"",CONCATENATE(INDEX(FinalSort,BJ24,4),": ",INDEX(FinalSort,BJ24,8)))</f>
        <v/>
      </c>
      <c r="BW23" s="506" t="str" cm="1">
        <f t="array" aca="1" ref="BW23" ca="1">IF(BK24=0,"",CONCATENATE(INDEX(FinalSort,BK24,4),": ",INDEX(FinalSort,BK24,8)))</f>
        <v/>
      </c>
      <c r="BX23" s="506" t="str" cm="1">
        <f t="array" aca="1" ref="BX23" ca="1">IF(BL24=0,"",CONCATENATE(INDEX(FinalSort,BL24,4),": ",INDEX(FinalSort,BL24,8)))</f>
        <v/>
      </c>
      <c r="BY23" s="506" t="str" cm="1">
        <f t="array" aca="1" ref="BY23" ca="1">IF(BM24=0,"",CONCATENATE(INDEX(FinalSort,BM24,4),": ",INDEX(FinalSort,BM24,8)))</f>
        <v/>
      </c>
      <c r="BZ23" s="506" t="str" cm="1">
        <f t="array" aca="1" ref="BZ23" ca="1">IF(BN24=0,"",CONCATENATE(INDEX(FinalSort,BN24,4),": ",INDEX(FinalSort,BN24,8)))</f>
        <v/>
      </c>
      <c r="CA23" s="506" t="str" cm="1">
        <f t="array" aca="1" ref="CA23" ca="1">IF(BO24=0,"",CONCATENATE(INDEX(FinalSort,BO24,4),": ",INDEX(FinalSort,BO24,8)))</f>
        <v/>
      </c>
      <c r="CB23" s="506" t="str" cm="1">
        <f t="array" aca="1" ref="CB23" ca="1">IF(BP24=0,"",CONCATENATE(INDEX(FinalSort,BP24,4),": ",INDEX(FinalSort,BP24,8)))</f>
        <v/>
      </c>
      <c r="CC23" s="506" t="str" cm="1">
        <f t="array" aca="1" ref="CC23" ca="1">IF(BQ24=0,"",CONCATENATE(INDEX(FinalSort,BQ24,4),": ",INDEX(FinalSort,BQ24,8)))</f>
        <v/>
      </c>
      <c r="CD23" s="506" t="str" cm="1">
        <f t="array" aca="1" ref="CD23" ca="1">IF(BR24=0,"",CONCATENATE(INDEX(FinalSort,BR24,4),": ",INDEX(FinalSort,BR24,8)))</f>
        <v/>
      </c>
      <c r="CE23" s="507" t="str" cm="1">
        <f t="array" aca="1" ref="CE23" ca="1">IF(BS24=0,"",CONCATENATE(INDEX(FinalSort,BS24,4),": ",INDEX(FinalSort,BS24,8)))</f>
        <v/>
      </c>
    </row>
    <row r="24" spans="1:83" x14ac:dyDescent="0.25">
      <c r="A24" s="4">
        <v>15</v>
      </c>
      <c r="B24" s="326" t="str">
        <f t="shared" ca="1" si="3"/>
        <v/>
      </c>
      <c r="C24" s="462" t="str">
        <f t="shared" ca="1" si="4"/>
        <v/>
      </c>
      <c r="D24" s="463" t="str">
        <f t="shared" ca="1" si="5"/>
        <v/>
      </c>
      <c r="E24" s="471" t="str">
        <f t="shared" ca="1" si="6"/>
        <v/>
      </c>
      <c r="F24" s="473" t="str">
        <f t="shared" ca="1" si="1"/>
        <v/>
      </c>
      <c r="G24" s="523"/>
      <c r="H24" s="155"/>
      <c r="I24" s="443" t="str" cm="1">
        <f t="array" ref="I24">IFERROR(INDEX('Project Mull Review'!AF:AF, SMALL(IF('Project Mull Review'!AF$35:AF$682&lt;&gt;"",ROW('Project Mull Review'!AF$35:AF$682),""),ROWS('Project Mull Review'!AF$35:AF48))),"")</f>
        <v/>
      </c>
      <c r="J24" s="389" t="str" cm="1">
        <f t="array" ref="J24">IFERROR(INDEX('Project Mull Review'!AI:AI, SMALL(IF('Project Mull Review'!AI$35:AI$682&lt;&gt;"",ROW('Project Mull Review'!AI$35:AI$682),""),ROWS('Project Mull Review'!AI$35:AI48))),"")</f>
        <v/>
      </c>
      <c r="K24" s="442" t="str" cm="1">
        <f t="array" ref="K24">IFERROR(ROUND(INDEX('Project Mull Review'!AT:AT, SMALL(IF('Project Mull Review'!AI$35:AI$682&lt;&gt;"",ROW('Project Mull Review'!AI$35:AI$682),""),ROWS('Project Mull Review'!AI$35:AI48))),0),"")</f>
        <v/>
      </c>
      <c r="M24" s="140">
        <f>ROW()</f>
        <v>24</v>
      </c>
      <c r="N24" t="str">
        <f t="shared" si="11"/>
        <v/>
      </c>
      <c r="O24" t="str">
        <f t="shared" si="12"/>
        <v/>
      </c>
      <c r="P24" s="144">
        <f t="shared" ca="1" si="13"/>
        <v>0</v>
      </c>
      <c r="Q24" t="str">
        <f t="shared" ca="1" si="14"/>
        <v/>
      </c>
      <c r="R24" t="str">
        <f t="shared" ca="1" si="15"/>
        <v/>
      </c>
      <c r="S24" t="str">
        <f ca="1"/>
        <v/>
      </c>
      <c r="T24" s="144" t="str">
        <f ca="1"/>
        <v/>
      </c>
      <c r="U24" t="str">
        <f t="shared" ca="1" si="16"/>
        <v/>
      </c>
      <c r="V24" s="144" t="str">
        <f t="shared" ca="1" si="17"/>
        <v/>
      </c>
      <c r="W24">
        <f t="shared" ca="1" si="38"/>
        <v>0</v>
      </c>
      <c r="X24" t="str" cm="1">
        <f t="array" aca="1" ref="X24" ca="1">IFERROR(INDEX(INDIRECT(CONCATENATE(AS$14,":",AS$16)),V24-AR$12+1),"")</f>
        <v/>
      </c>
      <c r="Y24" t="str">
        <f t="shared" si="18"/>
        <v>X24</v>
      </c>
      <c r="Z24" t="str">
        <f t="shared" ca="1" si="31"/>
        <v>X24</v>
      </c>
      <c r="AA24">
        <f t="shared" ca="1" si="39"/>
        <v>0</v>
      </c>
      <c r="AB24">
        <f t="shared" ca="1" si="32"/>
        <v>0</v>
      </c>
      <c r="AC24" t="str">
        <f t="shared" ca="1" si="7"/>
        <v/>
      </c>
      <c r="AD24" t="str" cm="1">
        <f t="array" aca="1" ref="AD24" ca="1">IF($AB24=0,"",INDIRECT(_xlfn.CONCAT(AU$14,$V24)))</f>
        <v/>
      </c>
      <c r="AE24" s="144" t="str">
        <f t="shared" ca="1" si="33"/>
        <v/>
      </c>
      <c r="AF24" t="str">
        <f t="shared" ca="1" si="19"/>
        <v/>
      </c>
      <c r="AG24" s="525" t="str">
        <f ca="1"/>
        <v/>
      </c>
      <c r="AH24" s="467" t="str">
        <f t="shared" ca="1" si="34"/>
        <v/>
      </c>
      <c r="AI24" s="533" t="str">
        <f t="shared" ca="1" si="37"/>
        <v/>
      </c>
      <c r="AJ24" s="533" t="str">
        <f t="shared" ca="1" si="20"/>
        <v/>
      </c>
      <c r="AK24" t="str">
        <f t="shared" ca="1" si="35"/>
        <v/>
      </c>
      <c r="AL24" s="140" t="str">
        <f t="shared" ca="1" si="8"/>
        <v/>
      </c>
      <c r="AM24" t="str">
        <f t="shared" ca="1" si="21"/>
        <v/>
      </c>
      <c r="AN24" s="144" t="str">
        <f t="shared" ca="1" si="22"/>
        <v/>
      </c>
      <c r="AR24" s="483">
        <f t="shared" ref="AR24:AR75" si="43">AR23+12</f>
        <v>59</v>
      </c>
      <c r="AS24" s="157" t="str">
        <f t="shared" si="41"/>
        <v>B59</v>
      </c>
      <c r="AT24" s="479" t="str">
        <f t="shared" si="42"/>
        <v>B65</v>
      </c>
      <c r="AU24" s="477"/>
      <c r="AW24" s="140" t="str">
        <f t="shared" si="2"/>
        <v>N24</v>
      </c>
      <c r="AX24" t="str">
        <f t="shared" si="36"/>
        <v>$N$11:N23</v>
      </c>
      <c r="AY24" s="144" t="str">
        <f t="shared" si="23"/>
        <v>N25:$N$99</v>
      </c>
      <c r="BA24" s="139" t="str" cm="1">
        <f t="array" aca="1" ref="BA24" ca="1">IFERROR(CELL("address",INDEX('Project Mull Review'!AF:AF, SMALL(IF('Project Mull Review'!AF$35:AF$682&lt;&gt;"",ROW('Project Mull Review'!AF$35:AF$682),""),ROWS('Project Mull Review'!AF$35:AF48)))),"")</f>
        <v/>
      </c>
      <c r="BB24" s="155" t="str">
        <f t="shared" ca="1" si="24"/>
        <v/>
      </c>
      <c r="BC24" s="155" t="str">
        <f t="shared" ca="1" si="25"/>
        <v/>
      </c>
      <c r="BD24" s="155" t="str" cm="1">
        <f t="array" aca="1" ref="BD24" ca="1">IFERROR(INDEX(MainCell,BE24,2),"")</f>
        <v/>
      </c>
      <c r="BE24" s="155" t="str">
        <f t="shared" ca="1" si="26"/>
        <v/>
      </c>
      <c r="BF24" s="64" t="str">
        <f t="shared" ca="1" si="27"/>
        <v/>
      </c>
      <c r="BG24" s="64" t="str">
        <f t="shared" ca="1" si="28"/>
        <v/>
      </c>
      <c r="BH24" s="64" t="str" cm="1">
        <f t="array" aca="1" ref="BH24" ca="1">IFERROR(CONCATENATE(INDIRECT(BF24)," ", INDIRECT(BG24)),"")</f>
        <v/>
      </c>
      <c r="BI24" s="64" t="str">
        <f t="shared" ca="1" si="29"/>
        <v/>
      </c>
      <c r="BJ24" s="155">
        <f t="shared" ca="1" si="30"/>
        <v>0</v>
      </c>
      <c r="BK24" s="155">
        <f t="shared" ca="1" si="9"/>
        <v>0</v>
      </c>
      <c r="BL24" s="155">
        <f t="shared" ca="1" si="40"/>
        <v>0</v>
      </c>
      <c r="BM24" s="155">
        <f t="shared" ca="1" si="40"/>
        <v>0</v>
      </c>
      <c r="BN24" s="155">
        <f t="shared" ca="1" si="40"/>
        <v>0</v>
      </c>
      <c r="BO24" s="155">
        <f t="shared" ca="1" si="40"/>
        <v>0</v>
      </c>
      <c r="BP24" s="155">
        <f t="shared" ca="1" si="40"/>
        <v>0</v>
      </c>
      <c r="BQ24" s="155">
        <f t="shared" ca="1" si="40"/>
        <v>0</v>
      </c>
      <c r="BR24" s="155">
        <f t="shared" ca="1" si="40"/>
        <v>0</v>
      </c>
      <c r="BS24" s="479">
        <f t="shared" ca="1" si="40"/>
        <v>0</v>
      </c>
      <c r="BV24" s="505" t="str" cm="1">
        <f t="array" aca="1" ref="BV24" ca="1">IF(BJ25=0,"",CONCATENATE(INDEX(FinalSort,BJ25,4),": ",INDEX(FinalSort,BJ25,8)))</f>
        <v/>
      </c>
      <c r="BW24" s="506" t="str" cm="1">
        <f t="array" aca="1" ref="BW24" ca="1">IF(BK25=0,"",CONCATENATE(INDEX(FinalSort,BK25,4),": ",INDEX(FinalSort,BK25,8)))</f>
        <v/>
      </c>
      <c r="BX24" s="506" t="str" cm="1">
        <f t="array" aca="1" ref="BX24" ca="1">IF(BL25=0,"",CONCATENATE(INDEX(FinalSort,BL25,4),": ",INDEX(FinalSort,BL25,8)))</f>
        <v/>
      </c>
      <c r="BY24" s="506" t="str" cm="1">
        <f t="array" aca="1" ref="BY24" ca="1">IF(BM25=0,"",CONCATENATE(INDEX(FinalSort,BM25,4),": ",INDEX(FinalSort,BM25,8)))</f>
        <v/>
      </c>
      <c r="BZ24" s="506" t="str" cm="1">
        <f t="array" aca="1" ref="BZ24" ca="1">IF(BN25=0,"",CONCATENATE(INDEX(FinalSort,BN25,4),": ",INDEX(FinalSort,BN25,8)))</f>
        <v/>
      </c>
      <c r="CA24" s="506" t="str" cm="1">
        <f t="array" aca="1" ref="CA24" ca="1">IF(BO25=0,"",CONCATENATE(INDEX(FinalSort,BO25,4),": ",INDEX(FinalSort,BO25,8)))</f>
        <v/>
      </c>
      <c r="CB24" s="506" t="str" cm="1">
        <f t="array" aca="1" ref="CB24" ca="1">IF(BP25=0,"",CONCATENATE(INDEX(FinalSort,BP25,4),": ",INDEX(FinalSort,BP25,8)))</f>
        <v/>
      </c>
      <c r="CC24" s="506" t="str" cm="1">
        <f t="array" aca="1" ref="CC24" ca="1">IF(BQ25=0,"",CONCATENATE(INDEX(FinalSort,BQ25,4),": ",INDEX(FinalSort,BQ25,8)))</f>
        <v/>
      </c>
      <c r="CD24" s="506" t="str" cm="1">
        <f t="array" aca="1" ref="CD24" ca="1">IF(BR25=0,"",CONCATENATE(INDEX(FinalSort,BR25,4),": ",INDEX(FinalSort,BR25,8)))</f>
        <v/>
      </c>
      <c r="CE24" s="507" t="str" cm="1">
        <f t="array" aca="1" ref="CE24" ca="1">IF(BS25=0,"",CONCATENATE(INDEX(FinalSort,BS25,4),": ",INDEX(FinalSort,BS25,8)))</f>
        <v/>
      </c>
    </row>
    <row r="25" spans="1:83" x14ac:dyDescent="0.25">
      <c r="A25" s="4">
        <v>16</v>
      </c>
      <c r="B25" s="326" t="str">
        <f t="shared" ca="1" si="3"/>
        <v/>
      </c>
      <c r="C25" s="462" t="str">
        <f t="shared" ca="1" si="4"/>
        <v/>
      </c>
      <c r="D25" s="463" t="str">
        <f t="shared" ca="1" si="5"/>
        <v/>
      </c>
      <c r="E25" s="471" t="str">
        <f t="shared" ca="1" si="6"/>
        <v/>
      </c>
      <c r="F25" s="473" t="str">
        <f t="shared" ca="1" si="1"/>
        <v/>
      </c>
      <c r="G25" s="522"/>
      <c r="H25" s="155"/>
      <c r="I25" s="443" t="str" cm="1">
        <f t="array" ref="I25">IFERROR(INDEX('Project Mull Review'!AF:AF, SMALL(IF('Project Mull Review'!AF$35:AF$682&lt;&gt;"",ROW('Project Mull Review'!AF$35:AF$682),""),ROWS('Project Mull Review'!AF$35:AF49))),"")</f>
        <v/>
      </c>
      <c r="J25" s="389" t="str" cm="1">
        <f t="array" ref="J25">IFERROR(INDEX('Project Mull Review'!AI:AI, SMALL(IF('Project Mull Review'!AI$35:AI$682&lt;&gt;"",ROW('Project Mull Review'!AI$35:AI$682),""),ROWS('Project Mull Review'!AI$35:AI49))),"")</f>
        <v/>
      </c>
      <c r="K25" s="442" t="str" cm="1">
        <f t="array" ref="K25">IFERROR(ROUND(INDEX('Project Mull Review'!AT:AT, SMALL(IF('Project Mull Review'!AI$35:AI$682&lt;&gt;"",ROW('Project Mull Review'!AI$35:AI$682),""),ROWS('Project Mull Review'!AI$35:AI49))),0),"")</f>
        <v/>
      </c>
      <c r="M25" s="140">
        <f>ROW()</f>
        <v>25</v>
      </c>
      <c r="N25" t="str">
        <f t="shared" si="11"/>
        <v/>
      </c>
      <c r="O25" t="str">
        <f t="shared" si="12"/>
        <v/>
      </c>
      <c r="P25" s="144">
        <f t="shared" ca="1" si="13"/>
        <v>0</v>
      </c>
      <c r="Q25" t="str">
        <f t="shared" ca="1" si="14"/>
        <v/>
      </c>
      <c r="R25" t="str">
        <f t="shared" ca="1" si="15"/>
        <v/>
      </c>
      <c r="S25" t="str">
        <f ca="1"/>
        <v/>
      </c>
      <c r="T25" s="144" t="str">
        <f ca="1"/>
        <v/>
      </c>
      <c r="U25" t="str">
        <f t="shared" ca="1" si="16"/>
        <v/>
      </c>
      <c r="V25" s="144" t="str">
        <f t="shared" ca="1" si="17"/>
        <v/>
      </c>
      <c r="W25">
        <f t="shared" ca="1" si="38"/>
        <v>0</v>
      </c>
      <c r="X25" t="str" cm="1">
        <f t="array" aca="1" ref="X25" ca="1">IFERROR(INDEX(INDIRECT(CONCATENATE(AS$14,":",AS$16)),V25-AR$12+1),"")</f>
        <v/>
      </c>
      <c r="Y25" t="str">
        <f t="shared" si="18"/>
        <v>X25</v>
      </c>
      <c r="Z25" t="str">
        <f t="shared" ca="1" si="31"/>
        <v>X25</v>
      </c>
      <c r="AA25">
        <f t="shared" ca="1" si="39"/>
        <v>0</v>
      </c>
      <c r="AB25">
        <f t="shared" ca="1" si="32"/>
        <v>0</v>
      </c>
      <c r="AC25" t="str">
        <f t="shared" ca="1" si="7"/>
        <v/>
      </c>
      <c r="AD25" t="str" cm="1">
        <f t="array" aca="1" ref="AD25" ca="1">IF($AB25=0,"",INDIRECT(_xlfn.CONCAT(AU$14,$V25)))</f>
        <v/>
      </c>
      <c r="AE25" s="144" t="str">
        <f t="shared" ca="1" si="33"/>
        <v/>
      </c>
      <c r="AF25" t="str">
        <f t="shared" ca="1" si="19"/>
        <v/>
      </c>
      <c r="AG25" s="525" t="str">
        <f ca="1"/>
        <v/>
      </c>
      <c r="AH25" s="467" t="str">
        <f t="shared" ca="1" si="34"/>
        <v/>
      </c>
      <c r="AI25" s="533" t="str">
        <f t="shared" ca="1" si="37"/>
        <v/>
      </c>
      <c r="AJ25" s="533" t="str">
        <f t="shared" ca="1" si="20"/>
        <v/>
      </c>
      <c r="AK25" t="str">
        <f t="shared" ca="1" si="35"/>
        <v/>
      </c>
      <c r="AL25" s="140" t="str">
        <f t="shared" ca="1" si="8"/>
        <v/>
      </c>
      <c r="AM25" t="str">
        <f t="shared" ca="1" si="21"/>
        <v/>
      </c>
      <c r="AN25" s="144" t="str">
        <f t="shared" ca="1" si="22"/>
        <v/>
      </c>
      <c r="AR25" s="483">
        <f t="shared" si="43"/>
        <v>71</v>
      </c>
      <c r="AS25" s="157" t="str">
        <f t="shared" si="41"/>
        <v>B71</v>
      </c>
      <c r="AT25" s="479" t="str">
        <f t="shared" si="42"/>
        <v>B77</v>
      </c>
      <c r="AU25" s="477"/>
      <c r="AW25" s="140" t="str">
        <f t="shared" si="2"/>
        <v>N25</v>
      </c>
      <c r="AX25" t="str">
        <f t="shared" si="36"/>
        <v>$N$11:N24</v>
      </c>
      <c r="AY25" s="144" t="str">
        <f t="shared" si="23"/>
        <v>N26:$N$99</v>
      </c>
      <c r="BA25" s="139" t="str" cm="1">
        <f t="array" aca="1" ref="BA25" ca="1">IFERROR(CELL("address",INDEX('Project Mull Review'!AF:AF, SMALL(IF('Project Mull Review'!AF$35:AF$682&lt;&gt;"",ROW('Project Mull Review'!AF$35:AF$682),""),ROWS('Project Mull Review'!AF$35:AF49)))),"")</f>
        <v/>
      </c>
      <c r="BB25" s="155" t="str">
        <f t="shared" ca="1" si="24"/>
        <v/>
      </c>
      <c r="BC25" s="155" t="str">
        <f t="shared" ca="1" si="25"/>
        <v/>
      </c>
      <c r="BD25" s="155" t="str" cm="1">
        <f t="array" aca="1" ref="BD25" ca="1">IFERROR(INDEX(MainCell,BE25,2),"")</f>
        <v/>
      </c>
      <c r="BE25" s="155" t="str">
        <f t="shared" ca="1" si="26"/>
        <v/>
      </c>
      <c r="BF25" s="64" t="str">
        <f t="shared" ca="1" si="27"/>
        <v/>
      </c>
      <c r="BG25" s="64" t="str">
        <f t="shared" ca="1" si="28"/>
        <v/>
      </c>
      <c r="BH25" s="64" t="str" cm="1">
        <f t="array" aca="1" ref="BH25" ca="1">IFERROR(CONCATENATE(INDIRECT(BF25)," ", INDIRECT(BG25)),"")</f>
        <v/>
      </c>
      <c r="BI25" s="64" t="str">
        <f t="shared" ca="1" si="29"/>
        <v/>
      </c>
      <c r="BJ25" s="155">
        <f t="shared" ca="1" si="30"/>
        <v>0</v>
      </c>
      <c r="BK25" s="155">
        <f t="shared" ca="1" si="9"/>
        <v>0</v>
      </c>
      <c r="BL25" s="155">
        <f t="shared" ca="1" si="40"/>
        <v>0</v>
      </c>
      <c r="BM25" s="155">
        <f t="shared" ca="1" si="40"/>
        <v>0</v>
      </c>
      <c r="BN25" s="155">
        <f t="shared" ca="1" si="40"/>
        <v>0</v>
      </c>
      <c r="BO25" s="155">
        <f t="shared" ca="1" si="40"/>
        <v>0</v>
      </c>
      <c r="BP25" s="155">
        <f t="shared" ca="1" si="40"/>
        <v>0</v>
      </c>
      <c r="BQ25" s="155">
        <f t="shared" ca="1" si="40"/>
        <v>0</v>
      </c>
      <c r="BR25" s="155">
        <f t="shared" ca="1" si="40"/>
        <v>0</v>
      </c>
      <c r="BS25" s="479">
        <f t="shared" ca="1" si="40"/>
        <v>0</v>
      </c>
      <c r="BV25" s="505" t="str" cm="1">
        <f t="array" aca="1" ref="BV25" ca="1">IF(BJ26=0,"",CONCATENATE(INDEX(FinalSort,BJ26,4),": ",INDEX(FinalSort,BJ26,8)))</f>
        <v/>
      </c>
      <c r="BW25" s="506" t="str" cm="1">
        <f t="array" aca="1" ref="BW25" ca="1">IF(BK26=0,"",CONCATENATE(INDEX(FinalSort,BK26,4),": ",INDEX(FinalSort,BK26,8)))</f>
        <v/>
      </c>
      <c r="BX25" s="506" t="str" cm="1">
        <f t="array" aca="1" ref="BX25" ca="1">IF(BL26=0,"",CONCATENATE(INDEX(FinalSort,BL26,4),": ",INDEX(FinalSort,BL26,8)))</f>
        <v/>
      </c>
      <c r="BY25" s="506" t="str" cm="1">
        <f t="array" aca="1" ref="BY25" ca="1">IF(BM26=0,"",CONCATENATE(INDEX(FinalSort,BM26,4),": ",INDEX(FinalSort,BM26,8)))</f>
        <v/>
      </c>
      <c r="BZ25" s="506" t="str" cm="1">
        <f t="array" aca="1" ref="BZ25" ca="1">IF(BN26=0,"",CONCATENATE(INDEX(FinalSort,BN26,4),": ",INDEX(FinalSort,BN26,8)))</f>
        <v/>
      </c>
      <c r="CA25" s="506" t="str" cm="1">
        <f t="array" aca="1" ref="CA25" ca="1">IF(BO26=0,"",CONCATENATE(INDEX(FinalSort,BO26,4),": ",INDEX(FinalSort,BO26,8)))</f>
        <v/>
      </c>
      <c r="CB25" s="506" t="str" cm="1">
        <f t="array" aca="1" ref="CB25" ca="1">IF(BP26=0,"",CONCATENATE(INDEX(FinalSort,BP26,4),": ",INDEX(FinalSort,BP26,8)))</f>
        <v/>
      </c>
      <c r="CC25" s="506" t="str" cm="1">
        <f t="array" aca="1" ref="CC25" ca="1">IF(BQ26=0,"",CONCATENATE(INDEX(FinalSort,BQ26,4),": ",INDEX(FinalSort,BQ26,8)))</f>
        <v/>
      </c>
      <c r="CD25" s="506" t="str" cm="1">
        <f t="array" aca="1" ref="CD25" ca="1">IF(BR26=0,"",CONCATENATE(INDEX(FinalSort,BR26,4),": ",INDEX(FinalSort,BR26,8)))</f>
        <v/>
      </c>
      <c r="CE25" s="507" t="str" cm="1">
        <f t="array" aca="1" ref="CE25" ca="1">IF(BS26=0,"",CONCATENATE(INDEX(FinalSort,BS26,4),": ",INDEX(FinalSort,BS26,8)))</f>
        <v/>
      </c>
    </row>
    <row r="26" spans="1:83" x14ac:dyDescent="0.25">
      <c r="A26" s="4">
        <v>17</v>
      </c>
      <c r="B26" s="326" t="str">
        <f t="shared" ca="1" si="3"/>
        <v/>
      </c>
      <c r="C26" s="462" t="str">
        <f t="shared" ca="1" si="4"/>
        <v/>
      </c>
      <c r="D26" s="463" t="str">
        <f t="shared" ca="1" si="5"/>
        <v/>
      </c>
      <c r="E26" s="471" t="str">
        <f t="shared" ca="1" si="6"/>
        <v/>
      </c>
      <c r="F26" s="473" t="str">
        <f t="shared" ca="1" si="1"/>
        <v/>
      </c>
      <c r="G26" s="522"/>
      <c r="H26" s="155"/>
      <c r="I26" s="443" t="str" cm="1">
        <f t="array" ref="I26">IFERROR(INDEX('Project Mull Review'!AF:AF, SMALL(IF('Project Mull Review'!AF$35:AF$682&lt;&gt;"",ROW('Project Mull Review'!AF$35:AF$682),""),ROWS('Project Mull Review'!AF$35:AF50))),"")</f>
        <v/>
      </c>
      <c r="J26" s="389" t="str" cm="1">
        <f t="array" ref="J26">IFERROR(INDEX('Project Mull Review'!AI:AI, SMALL(IF('Project Mull Review'!AI$35:AI$682&lt;&gt;"",ROW('Project Mull Review'!AI$35:AI$682),""),ROWS('Project Mull Review'!AI$35:AI50))),"")</f>
        <v/>
      </c>
      <c r="K26" s="442" t="str" cm="1">
        <f t="array" ref="K26">IFERROR(ROUND(INDEX('Project Mull Review'!AT:AT, SMALL(IF('Project Mull Review'!AI$35:AI$682&lt;&gt;"",ROW('Project Mull Review'!AI$35:AI$682),""),ROWS('Project Mull Review'!AI$35:AI50))),0),"")</f>
        <v/>
      </c>
      <c r="M26" s="140">
        <f>ROW()</f>
        <v>26</v>
      </c>
      <c r="N26" t="str">
        <f t="shared" si="11"/>
        <v/>
      </c>
      <c r="O26" t="str">
        <f t="shared" si="12"/>
        <v/>
      </c>
      <c r="P26" s="144">
        <f t="shared" ca="1" si="13"/>
        <v>0</v>
      </c>
      <c r="Q26" t="str">
        <f t="shared" ca="1" si="14"/>
        <v/>
      </c>
      <c r="R26" t="str">
        <f t="shared" ca="1" si="15"/>
        <v/>
      </c>
      <c r="S26" t="str">
        <f ca="1"/>
        <v/>
      </c>
      <c r="T26" s="144" t="str">
        <f ca="1"/>
        <v/>
      </c>
      <c r="U26" t="str">
        <f t="shared" ca="1" si="16"/>
        <v/>
      </c>
      <c r="V26" s="144" t="str">
        <f t="shared" ca="1" si="17"/>
        <v/>
      </c>
      <c r="W26">
        <f t="shared" ca="1" si="38"/>
        <v>0</v>
      </c>
      <c r="X26" t="str" cm="1">
        <f t="array" aca="1" ref="X26" ca="1">IFERROR(INDEX(INDIRECT(CONCATENATE(AS$14,":",AS$16)),V26-AR$12+1),"")</f>
        <v/>
      </c>
      <c r="Y26" t="str">
        <f t="shared" si="18"/>
        <v>X26</v>
      </c>
      <c r="Z26" t="str">
        <f t="shared" ca="1" si="31"/>
        <v>X26</v>
      </c>
      <c r="AA26">
        <f t="shared" ca="1" si="39"/>
        <v>0</v>
      </c>
      <c r="AB26">
        <f t="shared" ca="1" si="32"/>
        <v>0</v>
      </c>
      <c r="AC26" t="str">
        <f t="shared" ca="1" si="7"/>
        <v/>
      </c>
      <c r="AD26" t="str" cm="1">
        <f t="array" aca="1" ref="AD26" ca="1">IF($AB26=0,"",INDIRECT(_xlfn.CONCAT(AU$14,$V26)))</f>
        <v/>
      </c>
      <c r="AE26" s="144" t="str">
        <f t="shared" ca="1" si="33"/>
        <v/>
      </c>
      <c r="AF26" t="str">
        <f t="shared" ca="1" si="19"/>
        <v/>
      </c>
      <c r="AG26" s="525" t="str">
        <f ca="1"/>
        <v/>
      </c>
      <c r="AH26" s="467" t="str">
        <f t="shared" ca="1" si="34"/>
        <v/>
      </c>
      <c r="AI26" s="533" t="str">
        <f t="shared" ca="1" si="37"/>
        <v/>
      </c>
      <c r="AJ26" s="533" t="str">
        <f t="shared" ca="1" si="20"/>
        <v/>
      </c>
      <c r="AK26" t="str">
        <f t="shared" ca="1" si="35"/>
        <v/>
      </c>
      <c r="AL26" s="140" t="str">
        <f t="shared" ca="1" si="8"/>
        <v/>
      </c>
      <c r="AM26" t="str">
        <f t="shared" ca="1" si="21"/>
        <v/>
      </c>
      <c r="AN26" s="144" t="str">
        <f t="shared" ca="1" si="22"/>
        <v/>
      </c>
      <c r="AR26" s="483">
        <f t="shared" si="43"/>
        <v>83</v>
      </c>
      <c r="AS26" s="157" t="str">
        <f t="shared" si="41"/>
        <v>B83</v>
      </c>
      <c r="AT26" s="479" t="str">
        <f t="shared" si="42"/>
        <v>B89</v>
      </c>
      <c r="AU26" s="477"/>
      <c r="AW26" s="140" t="str">
        <f t="shared" si="2"/>
        <v>N26</v>
      </c>
      <c r="AX26" t="str">
        <f t="shared" si="36"/>
        <v>$N$11:N25</v>
      </c>
      <c r="AY26" s="144" t="str">
        <f t="shared" si="23"/>
        <v>N27:$N$99</v>
      </c>
      <c r="BA26" s="139" t="str" cm="1">
        <f t="array" aca="1" ref="BA26" ca="1">IFERROR(CELL("address",INDEX('Project Mull Review'!AF:AF, SMALL(IF('Project Mull Review'!AF$35:AF$682&lt;&gt;"",ROW('Project Mull Review'!AF$35:AF$682),""),ROWS('Project Mull Review'!AF$35:AF50)))),"")</f>
        <v/>
      </c>
      <c r="BB26" s="155" t="str">
        <f t="shared" ca="1" si="24"/>
        <v/>
      </c>
      <c r="BC26" s="155" t="str">
        <f t="shared" ca="1" si="25"/>
        <v/>
      </c>
      <c r="BD26" s="155" t="str" cm="1">
        <f t="array" aca="1" ref="BD26" ca="1">IFERROR(INDEX(MainCell,BE26,2),"")</f>
        <v/>
      </c>
      <c r="BE26" s="155" t="str">
        <f t="shared" ca="1" si="26"/>
        <v/>
      </c>
      <c r="BF26" s="64" t="str">
        <f t="shared" ca="1" si="27"/>
        <v/>
      </c>
      <c r="BG26" s="64" t="str">
        <f t="shared" ca="1" si="28"/>
        <v/>
      </c>
      <c r="BH26" s="64" t="str" cm="1">
        <f t="array" aca="1" ref="BH26" ca="1">IFERROR(CONCATENATE(INDIRECT(BF26)," ", INDIRECT(BG26)),"")</f>
        <v/>
      </c>
      <c r="BI26" s="64" t="str">
        <f t="shared" ca="1" si="29"/>
        <v/>
      </c>
      <c r="BJ26" s="155">
        <f t="shared" ca="1" si="30"/>
        <v>0</v>
      </c>
      <c r="BK26" s="155">
        <f t="shared" ca="1" si="9"/>
        <v>0</v>
      </c>
      <c r="BL26" s="155">
        <f t="shared" ca="1" si="40"/>
        <v>0</v>
      </c>
      <c r="BM26" s="155">
        <f t="shared" ca="1" si="40"/>
        <v>0</v>
      </c>
      <c r="BN26" s="155">
        <f t="shared" ca="1" si="40"/>
        <v>0</v>
      </c>
      <c r="BO26" s="155">
        <f t="shared" ca="1" si="40"/>
        <v>0</v>
      </c>
      <c r="BP26" s="155">
        <f t="shared" ca="1" si="40"/>
        <v>0</v>
      </c>
      <c r="BQ26" s="155">
        <f t="shared" ca="1" si="40"/>
        <v>0</v>
      </c>
      <c r="BR26" s="155">
        <f t="shared" ca="1" si="40"/>
        <v>0</v>
      </c>
      <c r="BS26" s="479">
        <f t="shared" ca="1" si="40"/>
        <v>0</v>
      </c>
      <c r="BV26" s="505" t="str" cm="1">
        <f t="array" aca="1" ref="BV26" ca="1">IF(BJ27=0,"",CONCATENATE(INDEX(FinalSort,BJ27,4),": ",INDEX(FinalSort,BJ27,8)))</f>
        <v/>
      </c>
      <c r="BW26" s="506" t="str" cm="1">
        <f t="array" aca="1" ref="BW26" ca="1">IF(BK27=0,"",CONCATENATE(INDEX(FinalSort,BK27,4),": ",INDEX(FinalSort,BK27,8)))</f>
        <v/>
      </c>
      <c r="BX26" s="506" t="str" cm="1">
        <f t="array" aca="1" ref="BX26" ca="1">IF(BL27=0,"",CONCATENATE(INDEX(FinalSort,BL27,4),": ",INDEX(FinalSort,BL27,8)))</f>
        <v/>
      </c>
      <c r="BY26" s="506" t="str" cm="1">
        <f t="array" aca="1" ref="BY26" ca="1">IF(BM27=0,"",CONCATENATE(INDEX(FinalSort,BM27,4),": ",INDEX(FinalSort,BM27,8)))</f>
        <v/>
      </c>
      <c r="BZ26" s="506" t="str" cm="1">
        <f t="array" aca="1" ref="BZ26" ca="1">IF(BN27=0,"",CONCATENATE(INDEX(FinalSort,BN27,4),": ",INDEX(FinalSort,BN27,8)))</f>
        <v/>
      </c>
      <c r="CA26" s="506" t="str" cm="1">
        <f t="array" aca="1" ref="CA26" ca="1">IF(BO27=0,"",CONCATENATE(INDEX(FinalSort,BO27,4),": ",INDEX(FinalSort,BO27,8)))</f>
        <v/>
      </c>
      <c r="CB26" s="506" t="str" cm="1">
        <f t="array" aca="1" ref="CB26" ca="1">IF(BP27=0,"",CONCATENATE(INDEX(FinalSort,BP27,4),": ",INDEX(FinalSort,BP27,8)))</f>
        <v/>
      </c>
      <c r="CC26" s="506" t="str" cm="1">
        <f t="array" aca="1" ref="CC26" ca="1">IF(BQ27=0,"",CONCATENATE(INDEX(FinalSort,BQ27,4),": ",INDEX(FinalSort,BQ27,8)))</f>
        <v/>
      </c>
      <c r="CD26" s="506" t="str" cm="1">
        <f t="array" aca="1" ref="CD26" ca="1">IF(BR27=0,"",CONCATENATE(INDEX(FinalSort,BR27,4),": ",INDEX(FinalSort,BR27,8)))</f>
        <v/>
      </c>
      <c r="CE26" s="507" t="str" cm="1">
        <f t="array" aca="1" ref="CE26" ca="1">IF(BS27=0,"",CONCATENATE(INDEX(FinalSort,BS27,4),": ",INDEX(FinalSort,BS27,8)))</f>
        <v/>
      </c>
    </row>
    <row r="27" spans="1:83" x14ac:dyDescent="0.25">
      <c r="A27" s="4">
        <v>18</v>
      </c>
      <c r="B27" s="326" t="str">
        <f t="shared" ca="1" si="3"/>
        <v/>
      </c>
      <c r="C27" s="462" t="str">
        <f t="shared" ca="1" si="4"/>
        <v/>
      </c>
      <c r="D27" s="463" t="str">
        <f t="shared" ca="1" si="5"/>
        <v/>
      </c>
      <c r="E27" s="471" t="str">
        <f t="shared" ca="1" si="6"/>
        <v/>
      </c>
      <c r="F27" s="473" t="str">
        <f t="shared" ca="1" si="1"/>
        <v/>
      </c>
      <c r="G27" s="522"/>
      <c r="H27" s="155"/>
      <c r="I27" s="443" t="str" cm="1">
        <f t="array" ref="I27">IFERROR(INDEX('Project Mull Review'!AF:AF, SMALL(IF('Project Mull Review'!AF$35:AF$682&lt;&gt;"",ROW('Project Mull Review'!AF$35:AF$682),""),ROWS('Project Mull Review'!AF$35:AF51))),"")</f>
        <v/>
      </c>
      <c r="J27" s="389" t="str" cm="1">
        <f t="array" ref="J27">IFERROR(INDEX('Project Mull Review'!AI:AI, SMALL(IF('Project Mull Review'!AI$35:AI$682&lt;&gt;"",ROW('Project Mull Review'!AI$35:AI$682),""),ROWS('Project Mull Review'!AI$35:AI51))),"")</f>
        <v/>
      </c>
      <c r="K27" s="442" t="str" cm="1">
        <f t="array" ref="K27">IFERROR(ROUND(INDEX('Project Mull Review'!AT:AT, SMALL(IF('Project Mull Review'!AI$35:AI$682&lt;&gt;"",ROW('Project Mull Review'!AI$35:AI$682),""),ROWS('Project Mull Review'!AI$35:AI51))),0),"")</f>
        <v/>
      </c>
      <c r="M27" s="140">
        <f>ROW()</f>
        <v>27</v>
      </c>
      <c r="N27" t="str">
        <f t="shared" si="11"/>
        <v/>
      </c>
      <c r="O27" t="str">
        <f t="shared" si="12"/>
        <v/>
      </c>
      <c r="P27" s="144">
        <f t="shared" ca="1" si="13"/>
        <v>0</v>
      </c>
      <c r="Q27" t="str">
        <f t="shared" ca="1" si="14"/>
        <v/>
      </c>
      <c r="R27" t="str">
        <f t="shared" ca="1" si="15"/>
        <v/>
      </c>
      <c r="S27" t="str">
        <f ca="1"/>
        <v/>
      </c>
      <c r="T27" s="144" t="str">
        <f ca="1"/>
        <v/>
      </c>
      <c r="U27" t="str">
        <f t="shared" ca="1" si="16"/>
        <v/>
      </c>
      <c r="V27" s="144" t="str">
        <f t="shared" ca="1" si="17"/>
        <v/>
      </c>
      <c r="W27">
        <f t="shared" ca="1" si="38"/>
        <v>0</v>
      </c>
      <c r="X27" t="str" cm="1">
        <f t="array" aca="1" ref="X27" ca="1">IFERROR(INDEX(INDIRECT(CONCATENATE(AS$14,":",AS$16)),V27-AR$12+1),"")</f>
        <v/>
      </c>
      <c r="Y27" t="str">
        <f t="shared" si="18"/>
        <v>X27</v>
      </c>
      <c r="Z27" t="str">
        <f t="shared" ca="1" si="31"/>
        <v>X27</v>
      </c>
      <c r="AA27">
        <f t="shared" ca="1" si="39"/>
        <v>0</v>
      </c>
      <c r="AB27">
        <f t="shared" ca="1" si="32"/>
        <v>0</v>
      </c>
      <c r="AC27" t="str">
        <f t="shared" ca="1" si="7"/>
        <v/>
      </c>
      <c r="AD27" t="str" cm="1">
        <f t="array" aca="1" ref="AD27" ca="1">IF($AB27=0,"",INDIRECT(_xlfn.CONCAT(AU$14,$V27)))</f>
        <v/>
      </c>
      <c r="AE27" s="144" t="str">
        <f t="shared" ca="1" si="33"/>
        <v/>
      </c>
      <c r="AF27" t="str">
        <f t="shared" ca="1" si="19"/>
        <v/>
      </c>
      <c r="AG27" s="525" t="str">
        <f ca="1"/>
        <v/>
      </c>
      <c r="AH27" s="467" t="str">
        <f t="shared" ca="1" si="34"/>
        <v/>
      </c>
      <c r="AI27" s="533" t="str">
        <f t="shared" ca="1" si="37"/>
        <v/>
      </c>
      <c r="AJ27" s="533" t="str">
        <f t="shared" ca="1" si="20"/>
        <v/>
      </c>
      <c r="AK27" t="str">
        <f t="shared" ca="1" si="35"/>
        <v/>
      </c>
      <c r="AL27" s="140" t="str">
        <f t="shared" ca="1" si="8"/>
        <v/>
      </c>
      <c r="AM27" t="str">
        <f t="shared" ca="1" si="21"/>
        <v/>
      </c>
      <c r="AN27" s="144" t="str">
        <f t="shared" ca="1" si="22"/>
        <v/>
      </c>
      <c r="AR27" s="483">
        <f t="shared" si="43"/>
        <v>95</v>
      </c>
      <c r="AS27" s="157" t="str">
        <f t="shared" si="41"/>
        <v>B95</v>
      </c>
      <c r="AT27" s="479" t="str">
        <f t="shared" si="42"/>
        <v>B101</v>
      </c>
      <c r="AU27" s="477"/>
      <c r="AW27" s="140" t="str">
        <f t="shared" si="2"/>
        <v>N27</v>
      </c>
      <c r="AX27" t="str">
        <f t="shared" si="36"/>
        <v>$N$11:N26</v>
      </c>
      <c r="AY27" s="144" t="str">
        <f t="shared" si="23"/>
        <v>N28:$N$99</v>
      </c>
      <c r="BA27" s="139" t="str" cm="1">
        <f t="array" aca="1" ref="BA27" ca="1">IFERROR(CELL("address",INDEX('Project Mull Review'!AF:AF, SMALL(IF('Project Mull Review'!AF$35:AF$682&lt;&gt;"",ROW('Project Mull Review'!AF$35:AF$682),""),ROWS('Project Mull Review'!AF$35:AF51)))),"")</f>
        <v/>
      </c>
      <c r="BB27" s="155" t="str">
        <f t="shared" ca="1" si="24"/>
        <v/>
      </c>
      <c r="BC27" s="155" t="str">
        <f t="shared" ca="1" si="25"/>
        <v/>
      </c>
      <c r="BD27" s="155" t="str" cm="1">
        <f t="array" aca="1" ref="BD27" ca="1">IFERROR(INDEX(MainCell,BE27,2),"")</f>
        <v/>
      </c>
      <c r="BE27" s="155" t="str">
        <f ca="1">IFERROR(MATCH(VALUE(RIGHT(BC27,LEN(BC27)-2)),AR$22:AR$76,1),"")</f>
        <v/>
      </c>
      <c r="BF27" s="64" t="str">
        <f t="shared" ca="1" si="27"/>
        <v/>
      </c>
      <c r="BG27" s="64" t="str">
        <f t="shared" ref="BG27:BG90" ca="1" si="44">IFERROR(_xlfn.CONCAT($AT$16,INDEX(MainCell,BE27,3)),"")</f>
        <v/>
      </c>
      <c r="BH27" s="64" t="str" cm="1">
        <f t="array" aca="1" ref="BH27" ca="1">IFERROR(CONCATENATE(INDIRECT(BF27)," ", INDIRECT(BG27)),"")</f>
        <v/>
      </c>
      <c r="BI27" s="64" t="str">
        <f t="shared" ca="1" si="29"/>
        <v/>
      </c>
      <c r="BJ27" s="155">
        <f t="shared" ca="1" si="30"/>
        <v>0</v>
      </c>
      <c r="BK27" s="155">
        <f t="shared" ca="1" si="9"/>
        <v>0</v>
      </c>
      <c r="BL27" s="155">
        <f t="shared" ca="1" si="40"/>
        <v>0</v>
      </c>
      <c r="BM27" s="155">
        <f t="shared" ca="1" si="40"/>
        <v>0</v>
      </c>
      <c r="BN27" s="155">
        <f t="shared" ca="1" si="40"/>
        <v>0</v>
      </c>
      <c r="BO27" s="155">
        <f t="shared" ca="1" si="40"/>
        <v>0</v>
      </c>
      <c r="BP27" s="155">
        <f t="shared" ca="1" si="40"/>
        <v>0</v>
      </c>
      <c r="BQ27" s="155">
        <f t="shared" ca="1" si="40"/>
        <v>0</v>
      </c>
      <c r="BR27" s="155">
        <f t="shared" ca="1" si="40"/>
        <v>0</v>
      </c>
      <c r="BS27" s="479">
        <f t="shared" ca="1" si="40"/>
        <v>0</v>
      </c>
      <c r="BV27" s="505" t="str" cm="1">
        <f t="array" aca="1" ref="BV27" ca="1">IF(BJ28=0,"",CONCATENATE(INDEX(FinalSort,BJ28,4),": ",INDEX(FinalSort,BJ28,8)))</f>
        <v/>
      </c>
      <c r="BW27" s="506" t="str" cm="1">
        <f t="array" aca="1" ref="BW27" ca="1">IF(BK28=0,"",CONCATENATE(INDEX(FinalSort,BK28,4),": ",INDEX(FinalSort,BK28,8)))</f>
        <v/>
      </c>
      <c r="BX27" s="506" t="str" cm="1">
        <f t="array" aca="1" ref="BX27" ca="1">IF(BL28=0,"",CONCATENATE(INDEX(FinalSort,BL28,4),": ",INDEX(FinalSort,BL28,8)))</f>
        <v/>
      </c>
      <c r="BY27" s="506" t="str" cm="1">
        <f t="array" aca="1" ref="BY27" ca="1">IF(BM28=0,"",CONCATENATE(INDEX(FinalSort,BM28,4),": ",INDEX(FinalSort,BM28,8)))</f>
        <v/>
      </c>
      <c r="BZ27" s="506" t="str" cm="1">
        <f t="array" aca="1" ref="BZ27" ca="1">IF(BN28=0,"",CONCATENATE(INDEX(FinalSort,BN28,4),": ",INDEX(FinalSort,BN28,8)))</f>
        <v/>
      </c>
      <c r="CA27" s="506" t="str" cm="1">
        <f t="array" aca="1" ref="CA27" ca="1">IF(BO28=0,"",CONCATENATE(INDEX(FinalSort,BO28,4),": ",INDEX(FinalSort,BO28,8)))</f>
        <v/>
      </c>
      <c r="CB27" s="506" t="str" cm="1">
        <f t="array" aca="1" ref="CB27" ca="1">IF(BP28=0,"",CONCATENATE(INDEX(FinalSort,BP28,4),": ",INDEX(FinalSort,BP28,8)))</f>
        <v/>
      </c>
      <c r="CC27" s="506" t="str" cm="1">
        <f t="array" aca="1" ref="CC27" ca="1">IF(BQ28=0,"",CONCATENATE(INDEX(FinalSort,BQ28,4),": ",INDEX(FinalSort,BQ28,8)))</f>
        <v/>
      </c>
      <c r="CD27" s="506" t="str" cm="1">
        <f t="array" aca="1" ref="CD27" ca="1">IF(BR28=0,"",CONCATENATE(INDEX(FinalSort,BR28,4),": ",INDEX(FinalSort,BR28,8)))</f>
        <v/>
      </c>
      <c r="CE27" s="507" t="str" cm="1">
        <f t="array" aca="1" ref="CE27" ca="1">IF(BS28=0,"",CONCATENATE(INDEX(FinalSort,BS28,4),": ",INDEX(FinalSort,BS28,8)))</f>
        <v/>
      </c>
    </row>
    <row r="28" spans="1:83" x14ac:dyDescent="0.25">
      <c r="A28" s="4">
        <v>19</v>
      </c>
      <c r="B28" s="326" t="str">
        <f t="shared" ca="1" si="3"/>
        <v/>
      </c>
      <c r="C28" s="462" t="str">
        <f ca="1">AM29</f>
        <v/>
      </c>
      <c r="D28" s="463" t="str">
        <f t="shared" ca="1" si="5"/>
        <v/>
      </c>
      <c r="E28" s="471" t="str">
        <f t="shared" ca="1" si="6"/>
        <v/>
      </c>
      <c r="F28" s="473" t="str">
        <f t="shared" ca="1" si="1"/>
        <v/>
      </c>
      <c r="G28" s="522"/>
      <c r="H28" s="155"/>
      <c r="I28" s="443" t="str" cm="1">
        <f t="array" ref="I28">IFERROR(INDEX('Project Mull Review'!AF:AF, SMALL(IF('Project Mull Review'!AF$35:AF$682&lt;&gt;"",ROW('Project Mull Review'!AF$35:AF$682),""),ROWS('Project Mull Review'!AF$35:AF52))),"")</f>
        <v/>
      </c>
      <c r="J28" s="389" t="str" cm="1">
        <f t="array" ref="J28">IFERROR(INDEX('Project Mull Review'!AI:AI, SMALL(IF('Project Mull Review'!AI$35:AI$682&lt;&gt;"",ROW('Project Mull Review'!AI$35:AI$682),""),ROWS('Project Mull Review'!AI$35:AI52))),"")</f>
        <v/>
      </c>
      <c r="K28" s="442" t="str" cm="1">
        <f t="array" ref="K28">IFERROR(ROUND(INDEX('Project Mull Review'!AT:AT, SMALL(IF('Project Mull Review'!AI$35:AI$682&lt;&gt;"",ROW('Project Mull Review'!AI$35:AI$682),""),ROWS('Project Mull Review'!AI$35:AI52))),0),"")</f>
        <v/>
      </c>
      <c r="M28" s="140">
        <f>ROW()</f>
        <v>28</v>
      </c>
      <c r="N28" t="str">
        <f t="shared" si="11"/>
        <v/>
      </c>
      <c r="O28" t="str">
        <f t="shared" si="12"/>
        <v/>
      </c>
      <c r="P28" s="144">
        <f t="shared" ca="1" si="13"/>
        <v>0</v>
      </c>
      <c r="Q28" t="str">
        <f t="shared" ca="1" si="14"/>
        <v/>
      </c>
      <c r="R28" t="str">
        <f t="shared" ca="1" si="15"/>
        <v/>
      </c>
      <c r="S28" t="str">
        <f ca="1"/>
        <v/>
      </c>
      <c r="T28" s="144" t="str">
        <f ca="1"/>
        <v/>
      </c>
      <c r="U28" t="str">
        <f t="shared" ca="1" si="16"/>
        <v/>
      </c>
      <c r="V28" s="144" t="str">
        <f t="shared" ca="1" si="17"/>
        <v/>
      </c>
      <c r="W28">
        <f t="shared" ca="1" si="38"/>
        <v>0</v>
      </c>
      <c r="X28" t="str" cm="1">
        <f t="array" aca="1" ref="X28" ca="1">IFERROR(INDEX(INDIRECT(CONCATENATE(AS$14,":",AS$16)),V28-AR$12+1),"")</f>
        <v/>
      </c>
      <c r="Y28" t="str">
        <f t="shared" si="18"/>
        <v>X28</v>
      </c>
      <c r="Z28" t="str">
        <f t="shared" ca="1" si="31"/>
        <v>X28</v>
      </c>
      <c r="AA28">
        <f t="shared" ca="1" si="39"/>
        <v>0</v>
      </c>
      <c r="AB28">
        <f t="shared" ca="1" si="32"/>
        <v>0</v>
      </c>
      <c r="AC28" t="str">
        <f t="shared" ca="1" si="7"/>
        <v/>
      </c>
      <c r="AD28" t="str" cm="1">
        <f t="array" aca="1" ref="AD28" ca="1">IF($AB28=0,"",INDIRECT(_xlfn.CONCAT(AU$14,$V28)))</f>
        <v/>
      </c>
      <c r="AE28" s="144" t="str">
        <f t="shared" ca="1" si="33"/>
        <v/>
      </c>
      <c r="AF28" t="str">
        <f t="shared" ca="1" si="19"/>
        <v/>
      </c>
      <c r="AG28" s="525" t="str">
        <f ca="1"/>
        <v/>
      </c>
      <c r="AH28" s="467" t="str">
        <f t="shared" ca="1" si="34"/>
        <v/>
      </c>
      <c r="AI28" s="533" t="str">
        <f t="shared" ca="1" si="37"/>
        <v/>
      </c>
      <c r="AJ28" s="533" t="str">
        <f t="shared" ca="1" si="20"/>
        <v/>
      </c>
      <c r="AK28" t="str">
        <f t="shared" ca="1" si="35"/>
        <v/>
      </c>
      <c r="AL28" s="140" t="str">
        <f t="shared" ca="1" si="8"/>
        <v/>
      </c>
      <c r="AM28" t="str">
        <f t="shared" ca="1" si="21"/>
        <v/>
      </c>
      <c r="AN28" s="144" t="str">
        <f t="shared" ca="1" si="22"/>
        <v/>
      </c>
      <c r="AR28" s="483">
        <f t="shared" si="43"/>
        <v>107</v>
      </c>
      <c r="AS28" s="157" t="str">
        <f t="shared" si="41"/>
        <v>B107</v>
      </c>
      <c r="AT28" s="479" t="str">
        <f t="shared" si="42"/>
        <v>B113</v>
      </c>
      <c r="AU28" s="477"/>
      <c r="AW28" s="140" t="str">
        <f t="shared" si="2"/>
        <v>N28</v>
      </c>
      <c r="AX28" t="str">
        <f t="shared" si="36"/>
        <v>$N$11:N27</v>
      </c>
      <c r="AY28" s="144" t="str">
        <f t="shared" si="23"/>
        <v>N29:$N$99</v>
      </c>
      <c r="BA28" s="139" t="str" cm="1">
        <f t="array" aca="1" ref="BA28" ca="1">IFERROR(CELL("address",INDEX('Project Mull Review'!AF:AF, SMALL(IF('Project Mull Review'!AF$35:AF$682&lt;&gt;"",ROW('Project Mull Review'!AF$35:AF$682),""),ROWS('Project Mull Review'!AF$35:AF52)))),"")</f>
        <v/>
      </c>
      <c r="BB28" s="155" t="str">
        <f t="shared" ca="1" si="24"/>
        <v/>
      </c>
      <c r="BC28" s="155" t="str">
        <f t="shared" ca="1" si="25"/>
        <v/>
      </c>
      <c r="BD28" s="155" t="str" cm="1">
        <f t="array" aca="1" ref="BD28" ca="1">IFERROR(INDEX(MainCell,BE28,2),"")</f>
        <v/>
      </c>
      <c r="BE28" s="155" t="str">
        <f t="shared" ca="1" si="26"/>
        <v/>
      </c>
      <c r="BF28" s="64" t="str">
        <f t="shared" ca="1" si="27"/>
        <v/>
      </c>
      <c r="BG28" s="64" t="str">
        <f t="shared" ca="1" si="44"/>
        <v/>
      </c>
      <c r="BH28" s="64" t="str" cm="1">
        <f t="array" aca="1" ref="BH28" ca="1">IFERROR(CONCATENATE(INDIRECT(BF28)," ", INDIRECT(BG28)),"")</f>
        <v/>
      </c>
      <c r="BI28" s="64" t="str">
        <f t="shared" ca="1" si="29"/>
        <v/>
      </c>
      <c r="BJ28" s="155">
        <f t="shared" ca="1" si="30"/>
        <v>0</v>
      </c>
      <c r="BK28" s="155">
        <f t="shared" ca="1" si="9"/>
        <v>0</v>
      </c>
      <c r="BL28" s="155">
        <f t="shared" ca="1" si="40"/>
        <v>0</v>
      </c>
      <c r="BM28" s="155">
        <f t="shared" ca="1" si="40"/>
        <v>0</v>
      </c>
      <c r="BN28" s="155">
        <f t="shared" ca="1" si="40"/>
        <v>0</v>
      </c>
      <c r="BO28" s="155">
        <f t="shared" ca="1" si="40"/>
        <v>0</v>
      </c>
      <c r="BP28" s="155">
        <f t="shared" ca="1" si="40"/>
        <v>0</v>
      </c>
      <c r="BQ28" s="155">
        <f t="shared" ca="1" si="40"/>
        <v>0</v>
      </c>
      <c r="BR28" s="155">
        <f t="shared" ca="1" si="40"/>
        <v>0</v>
      </c>
      <c r="BS28" s="479">
        <f t="shared" ca="1" si="40"/>
        <v>0</v>
      </c>
      <c r="BV28" s="505" t="str" cm="1">
        <f t="array" aca="1" ref="BV28" ca="1">IF(BJ29=0,"",CONCATENATE(INDEX(FinalSort,BJ29,4),": ",INDEX(FinalSort,BJ29,8)))</f>
        <v/>
      </c>
      <c r="BW28" s="506" t="str" cm="1">
        <f t="array" aca="1" ref="BW28" ca="1">IF(BK29=0,"",CONCATENATE(INDEX(FinalSort,BK29,4),": ",INDEX(FinalSort,BK29,8)))</f>
        <v/>
      </c>
      <c r="BX28" s="506" t="str" cm="1">
        <f t="array" aca="1" ref="BX28" ca="1">IF(BL29=0,"",CONCATENATE(INDEX(FinalSort,BL29,4),": ",INDEX(FinalSort,BL29,8)))</f>
        <v/>
      </c>
      <c r="BY28" s="506" t="str" cm="1">
        <f t="array" aca="1" ref="BY28" ca="1">IF(BM29=0,"",CONCATENATE(INDEX(FinalSort,BM29,4),": ",INDEX(FinalSort,BM29,8)))</f>
        <v/>
      </c>
      <c r="BZ28" s="506" t="str" cm="1">
        <f t="array" aca="1" ref="BZ28" ca="1">IF(BN29=0,"",CONCATENATE(INDEX(FinalSort,BN29,4),": ",INDEX(FinalSort,BN29,8)))</f>
        <v/>
      </c>
      <c r="CA28" s="506" t="str" cm="1">
        <f t="array" aca="1" ref="CA28" ca="1">IF(BO29=0,"",CONCATENATE(INDEX(FinalSort,BO29,4),": ",INDEX(FinalSort,BO29,8)))</f>
        <v/>
      </c>
      <c r="CB28" s="506" t="str" cm="1">
        <f t="array" aca="1" ref="CB28" ca="1">IF(BP29=0,"",CONCATENATE(INDEX(FinalSort,BP29,4),": ",INDEX(FinalSort,BP29,8)))</f>
        <v/>
      </c>
      <c r="CC28" s="506" t="str" cm="1">
        <f t="array" aca="1" ref="CC28" ca="1">IF(BQ29=0,"",CONCATENATE(INDEX(FinalSort,BQ29,4),": ",INDEX(FinalSort,BQ29,8)))</f>
        <v/>
      </c>
      <c r="CD28" s="506" t="str" cm="1">
        <f t="array" aca="1" ref="CD28" ca="1">IF(BR29=0,"",CONCATENATE(INDEX(FinalSort,BR29,4),": ",INDEX(FinalSort,BR29,8)))</f>
        <v/>
      </c>
      <c r="CE28" s="507" t="str" cm="1">
        <f t="array" aca="1" ref="CE28" ca="1">IF(BS29=0,"",CONCATENATE(INDEX(FinalSort,BS29,4),": ",INDEX(FinalSort,BS29,8)))</f>
        <v/>
      </c>
    </row>
    <row r="29" spans="1:83" x14ac:dyDescent="0.25">
      <c r="A29" s="4">
        <v>20</v>
      </c>
      <c r="B29" s="326" t="str">
        <f t="shared" ca="1" si="3"/>
        <v/>
      </c>
      <c r="C29" s="462" t="str">
        <f t="shared" ca="1" si="4"/>
        <v/>
      </c>
      <c r="D29" s="463" t="str">
        <f t="shared" ca="1" si="5"/>
        <v/>
      </c>
      <c r="E29" s="471" t="str">
        <f t="shared" ca="1" si="6"/>
        <v/>
      </c>
      <c r="F29" s="473" t="str">
        <f t="shared" ca="1" si="1"/>
        <v/>
      </c>
      <c r="G29" s="522"/>
      <c r="H29" s="155"/>
      <c r="I29" s="443" t="str" cm="1">
        <f t="array" ref="I29">IFERROR(INDEX('Project Mull Review'!AF:AF, SMALL(IF('Project Mull Review'!AF$35:AF$682&lt;&gt;"",ROW('Project Mull Review'!AF$35:AF$682),""),ROWS('Project Mull Review'!AF$35:AF53))),"")</f>
        <v/>
      </c>
      <c r="J29" s="389" t="str" cm="1">
        <f t="array" ref="J29">IFERROR(INDEX('Project Mull Review'!AI:AI, SMALL(IF('Project Mull Review'!AI$35:AI$682&lt;&gt;"",ROW('Project Mull Review'!AI$35:AI$682),""),ROWS('Project Mull Review'!AI$35:AI53))),"")</f>
        <v/>
      </c>
      <c r="K29" s="442" t="str" cm="1">
        <f t="array" ref="K29">IFERROR(ROUND(INDEX('Project Mull Review'!AT:AT, SMALL(IF('Project Mull Review'!AI$35:AI$682&lt;&gt;"",ROW('Project Mull Review'!AI$35:AI$682),""),ROWS('Project Mull Review'!AI$35:AI53))),0),"")</f>
        <v/>
      </c>
      <c r="M29" s="140">
        <f>ROW()</f>
        <v>29</v>
      </c>
      <c r="N29" t="str">
        <f t="shared" si="11"/>
        <v/>
      </c>
      <c r="O29" t="str">
        <f t="shared" si="12"/>
        <v/>
      </c>
      <c r="P29" s="144">
        <f t="shared" ca="1" si="13"/>
        <v>0</v>
      </c>
      <c r="Q29" t="str">
        <f t="shared" ca="1" si="14"/>
        <v/>
      </c>
      <c r="R29" t="str">
        <f t="shared" ca="1" si="15"/>
        <v/>
      </c>
      <c r="S29" t="str">
        <f ca="1"/>
        <v/>
      </c>
      <c r="T29" s="144" t="str">
        <f ca="1"/>
        <v/>
      </c>
      <c r="U29" t="str">
        <f t="shared" ca="1" si="16"/>
        <v/>
      </c>
      <c r="V29" s="144" t="str">
        <f t="shared" ca="1" si="17"/>
        <v/>
      </c>
      <c r="W29">
        <f t="shared" ca="1" si="38"/>
        <v>0</v>
      </c>
      <c r="X29" t="str" cm="1">
        <f t="array" aca="1" ref="X29" ca="1">IFERROR(INDEX(INDIRECT(CONCATENATE(AS$14,":",AS$16)),V29-AR$12+1),"")</f>
        <v/>
      </c>
      <c r="Y29" t="str">
        <f t="shared" si="18"/>
        <v>X29</v>
      </c>
      <c r="Z29" t="str">
        <f t="shared" ca="1" si="31"/>
        <v>X29</v>
      </c>
      <c r="AA29">
        <f t="shared" ca="1" si="39"/>
        <v>0</v>
      </c>
      <c r="AB29">
        <f t="shared" ca="1" si="32"/>
        <v>0</v>
      </c>
      <c r="AC29" t="str">
        <f t="shared" ca="1" si="7"/>
        <v/>
      </c>
      <c r="AD29" t="str" cm="1">
        <f t="array" aca="1" ref="AD29" ca="1">IF($AB29=0,"",INDIRECT(_xlfn.CONCAT(AU$14,$V29)))</f>
        <v/>
      </c>
      <c r="AE29" s="144" t="str">
        <f t="shared" ca="1" si="33"/>
        <v/>
      </c>
      <c r="AF29" t="str">
        <f t="shared" ca="1" si="19"/>
        <v/>
      </c>
      <c r="AG29" s="525" t="str">
        <f ca="1"/>
        <v/>
      </c>
      <c r="AH29" s="467" t="str">
        <f t="shared" ca="1" si="34"/>
        <v/>
      </c>
      <c r="AI29" s="533" t="str">
        <f t="shared" ca="1" si="37"/>
        <v/>
      </c>
      <c r="AJ29" s="533" t="str">
        <f t="shared" ca="1" si="20"/>
        <v/>
      </c>
      <c r="AK29" t="str">
        <f t="shared" ca="1" si="35"/>
        <v/>
      </c>
      <c r="AL29" s="140" t="str">
        <f t="shared" ca="1" si="8"/>
        <v/>
      </c>
      <c r="AM29" t="str">
        <f t="shared" ca="1" si="21"/>
        <v/>
      </c>
      <c r="AN29" s="144" t="str">
        <f t="shared" ca="1" si="22"/>
        <v/>
      </c>
      <c r="AR29" s="483">
        <f t="shared" si="43"/>
        <v>119</v>
      </c>
      <c r="AS29" s="157" t="str">
        <f t="shared" si="41"/>
        <v>B119</v>
      </c>
      <c r="AT29" s="479" t="str">
        <f t="shared" si="42"/>
        <v>B125</v>
      </c>
      <c r="AU29" s="477"/>
      <c r="AW29" s="140" t="str">
        <f t="shared" si="2"/>
        <v>N29</v>
      </c>
      <c r="AX29" t="str">
        <f t="shared" si="36"/>
        <v>$N$11:N28</v>
      </c>
      <c r="AY29" s="144" t="str">
        <f t="shared" si="23"/>
        <v>N30:$N$99</v>
      </c>
      <c r="BA29" s="139" t="str" cm="1">
        <f t="array" aca="1" ref="BA29" ca="1">IFERROR(CELL("address",INDEX('Project Mull Review'!AF:AF, SMALL(IF('Project Mull Review'!AF$35:AF$682&lt;&gt;"",ROW('Project Mull Review'!AF$35:AF$682),""),ROWS('Project Mull Review'!AF$35:AF53)))),"")</f>
        <v/>
      </c>
      <c r="BB29" s="155" t="str">
        <f t="shared" ca="1" si="24"/>
        <v/>
      </c>
      <c r="BC29" s="155" t="str">
        <f t="shared" ca="1" si="25"/>
        <v/>
      </c>
      <c r="BD29" s="155" t="str" cm="1">
        <f t="array" aca="1" ref="BD29" ca="1">IFERROR(INDEX(MainCell,BE29,2),"")</f>
        <v/>
      </c>
      <c r="BE29" s="155" t="str">
        <f t="shared" ca="1" si="26"/>
        <v/>
      </c>
      <c r="BF29" s="64" t="str">
        <f t="shared" ca="1" si="27"/>
        <v/>
      </c>
      <c r="BG29" s="64" t="str">
        <f t="shared" ca="1" si="44"/>
        <v/>
      </c>
      <c r="BH29" s="64" t="str" cm="1">
        <f t="array" aca="1" ref="BH29" ca="1">IFERROR(CONCATENATE(INDIRECT(BF29)," ", INDIRECT(BG29)),"")</f>
        <v/>
      </c>
      <c r="BI29" s="64" t="str">
        <f t="shared" ca="1" si="29"/>
        <v/>
      </c>
      <c r="BJ29" s="155">
        <f t="shared" ca="1" si="30"/>
        <v>0</v>
      </c>
      <c r="BK29" s="155">
        <f t="shared" ca="1" si="9"/>
        <v>0</v>
      </c>
      <c r="BL29" s="155">
        <f t="shared" ca="1" si="40"/>
        <v>0</v>
      </c>
      <c r="BM29" s="155">
        <f t="shared" ca="1" si="40"/>
        <v>0</v>
      </c>
      <c r="BN29" s="155">
        <f t="shared" ca="1" si="40"/>
        <v>0</v>
      </c>
      <c r="BO29" s="155">
        <f t="shared" ca="1" si="40"/>
        <v>0</v>
      </c>
      <c r="BP29" s="155">
        <f t="shared" ca="1" si="40"/>
        <v>0</v>
      </c>
      <c r="BQ29" s="155">
        <f t="shared" ca="1" si="40"/>
        <v>0</v>
      </c>
      <c r="BR29" s="155">
        <f t="shared" ca="1" si="40"/>
        <v>0</v>
      </c>
      <c r="BS29" s="479">
        <f t="shared" ca="1" si="40"/>
        <v>0</v>
      </c>
      <c r="BV29" s="505" t="str" cm="1">
        <f t="array" aca="1" ref="BV29" ca="1">IF(BJ30=0,"",CONCATENATE(INDEX(FinalSort,BJ30,4),": ",INDEX(FinalSort,BJ30,8)))</f>
        <v/>
      </c>
      <c r="BW29" s="506" t="str" cm="1">
        <f t="array" aca="1" ref="BW29" ca="1">IF(BK30=0,"",CONCATENATE(INDEX(FinalSort,BK30,4),": ",INDEX(FinalSort,BK30,8)))</f>
        <v/>
      </c>
      <c r="BX29" s="506" t="str" cm="1">
        <f t="array" aca="1" ref="BX29" ca="1">IF(BL30=0,"",CONCATENATE(INDEX(FinalSort,BL30,4),": ",INDEX(FinalSort,BL30,8)))</f>
        <v/>
      </c>
      <c r="BY29" s="506" t="str" cm="1">
        <f t="array" aca="1" ref="BY29" ca="1">IF(BM30=0,"",CONCATENATE(INDEX(FinalSort,BM30,4),": ",INDEX(FinalSort,BM30,8)))</f>
        <v/>
      </c>
      <c r="BZ29" s="506" t="str" cm="1">
        <f t="array" aca="1" ref="BZ29" ca="1">IF(BN30=0,"",CONCATENATE(INDEX(FinalSort,BN30,4),": ",INDEX(FinalSort,BN30,8)))</f>
        <v/>
      </c>
      <c r="CA29" s="506" t="str" cm="1">
        <f t="array" aca="1" ref="CA29" ca="1">IF(BO30=0,"",CONCATENATE(INDEX(FinalSort,BO30,4),": ",INDEX(FinalSort,BO30,8)))</f>
        <v/>
      </c>
      <c r="CB29" s="506" t="str" cm="1">
        <f t="array" aca="1" ref="CB29" ca="1">IF(BP30=0,"",CONCATENATE(INDEX(FinalSort,BP30,4),": ",INDEX(FinalSort,BP30,8)))</f>
        <v/>
      </c>
      <c r="CC29" s="506" t="str" cm="1">
        <f t="array" aca="1" ref="CC29" ca="1">IF(BQ30=0,"",CONCATENATE(INDEX(FinalSort,BQ30,4),": ",INDEX(FinalSort,BQ30,8)))</f>
        <v/>
      </c>
      <c r="CD29" s="506" t="str" cm="1">
        <f t="array" aca="1" ref="CD29" ca="1">IF(BR30=0,"",CONCATENATE(INDEX(FinalSort,BR30,4),": ",INDEX(FinalSort,BR30,8)))</f>
        <v/>
      </c>
      <c r="CE29" s="507" t="str" cm="1">
        <f t="array" aca="1" ref="CE29" ca="1">IF(BS30=0,"",CONCATENATE(INDEX(FinalSort,BS30,4),": ",INDEX(FinalSort,BS30,8)))</f>
        <v/>
      </c>
    </row>
    <row r="30" spans="1:83" x14ac:dyDescent="0.25">
      <c r="A30" s="4">
        <v>21</v>
      </c>
      <c r="B30" s="326" t="str">
        <f t="shared" ca="1" si="3"/>
        <v/>
      </c>
      <c r="C30" s="462" t="str">
        <f t="shared" ca="1" si="4"/>
        <v/>
      </c>
      <c r="D30" s="463" t="str">
        <f t="shared" ca="1" si="5"/>
        <v/>
      </c>
      <c r="E30" s="471" t="str">
        <f t="shared" ca="1" si="6"/>
        <v/>
      </c>
      <c r="F30" s="473" t="str">
        <f t="shared" ca="1" si="1"/>
        <v/>
      </c>
      <c r="G30" s="522"/>
      <c r="H30" s="155"/>
      <c r="I30" s="443" t="str" cm="1">
        <f t="array" ref="I30">IFERROR(INDEX('Project Mull Review'!AF:AF, SMALL(IF('Project Mull Review'!AF$35:AF$682&lt;&gt;"",ROW('Project Mull Review'!AF$35:AF$682),""),ROWS('Project Mull Review'!AF$35:AF54))),"")</f>
        <v/>
      </c>
      <c r="J30" s="389" t="str" cm="1">
        <f t="array" ref="J30">IFERROR(INDEX('Project Mull Review'!AI:AI, SMALL(IF('Project Mull Review'!AI$35:AI$682&lt;&gt;"",ROW('Project Mull Review'!AI$35:AI$682),""),ROWS('Project Mull Review'!AI$35:AI54))),"")</f>
        <v/>
      </c>
      <c r="K30" s="442" t="str" cm="1">
        <f t="array" ref="K30">IFERROR(ROUND(INDEX('Project Mull Review'!AT:AT, SMALL(IF('Project Mull Review'!AI$35:AI$682&lt;&gt;"",ROW('Project Mull Review'!AI$35:AI$682),""),ROWS('Project Mull Review'!AI$35:AI54))),0),"")</f>
        <v/>
      </c>
      <c r="M30" s="140">
        <f>ROW()</f>
        <v>30</v>
      </c>
      <c r="N30" t="str">
        <f t="shared" si="11"/>
        <v/>
      </c>
      <c r="O30" t="str">
        <f t="shared" si="12"/>
        <v/>
      </c>
      <c r="P30" s="144">
        <f t="shared" ca="1" si="13"/>
        <v>0</v>
      </c>
      <c r="Q30" t="str">
        <f t="shared" ca="1" si="14"/>
        <v/>
      </c>
      <c r="R30" t="str">
        <f t="shared" ca="1" si="15"/>
        <v/>
      </c>
      <c r="S30" t="str">
        <f ca="1"/>
        <v/>
      </c>
      <c r="T30" s="144" t="str">
        <f ca="1"/>
        <v/>
      </c>
      <c r="U30" t="str">
        <f t="shared" ca="1" si="16"/>
        <v/>
      </c>
      <c r="V30" s="144" t="str">
        <f t="shared" ca="1" si="17"/>
        <v/>
      </c>
      <c r="W30">
        <f t="shared" ca="1" si="38"/>
        <v>0</v>
      </c>
      <c r="X30" t="str" cm="1">
        <f t="array" aca="1" ref="X30" ca="1">IFERROR(INDEX(INDIRECT(CONCATENATE(AS$14,":",AS$16)),V30-AR$12+1),"")</f>
        <v/>
      </c>
      <c r="Y30" t="str">
        <f t="shared" si="18"/>
        <v>X30</v>
      </c>
      <c r="Z30" t="str">
        <f t="shared" ca="1" si="31"/>
        <v>X30</v>
      </c>
      <c r="AA30">
        <f t="shared" ca="1" si="39"/>
        <v>0</v>
      </c>
      <c r="AB30">
        <f t="shared" ca="1" si="32"/>
        <v>0</v>
      </c>
      <c r="AC30" t="str">
        <f t="shared" ca="1" si="7"/>
        <v/>
      </c>
      <c r="AD30" t="str" cm="1">
        <f t="array" aca="1" ref="AD30" ca="1">IF($AB30=0,"",INDIRECT(_xlfn.CONCAT(AU$14,$V30)))</f>
        <v/>
      </c>
      <c r="AE30" s="144" t="str">
        <f t="shared" ca="1" si="33"/>
        <v/>
      </c>
      <c r="AF30" t="str">
        <f t="shared" ca="1" si="19"/>
        <v/>
      </c>
      <c r="AG30" s="525" t="str">
        <f ca="1"/>
        <v/>
      </c>
      <c r="AH30" s="467" t="str">
        <f t="shared" ca="1" si="34"/>
        <v/>
      </c>
      <c r="AI30" s="533" t="str">
        <f t="shared" ca="1" si="37"/>
        <v/>
      </c>
      <c r="AJ30" s="533" t="str">
        <f t="shared" ca="1" si="20"/>
        <v/>
      </c>
      <c r="AK30" t="str">
        <f t="shared" ca="1" si="35"/>
        <v/>
      </c>
      <c r="AL30" s="140" t="str">
        <f t="shared" ca="1" si="8"/>
        <v/>
      </c>
      <c r="AM30" t="str">
        <f t="shared" ca="1" si="21"/>
        <v/>
      </c>
      <c r="AN30" s="144" t="str">
        <f t="shared" ca="1" si="22"/>
        <v/>
      </c>
      <c r="AR30" s="483">
        <f t="shared" si="43"/>
        <v>131</v>
      </c>
      <c r="AS30" s="157" t="str">
        <f t="shared" si="41"/>
        <v>B131</v>
      </c>
      <c r="AT30" s="479" t="str">
        <f t="shared" si="42"/>
        <v>B137</v>
      </c>
      <c r="AU30" s="477"/>
      <c r="AW30" s="140" t="str">
        <f t="shared" si="2"/>
        <v>N30</v>
      </c>
      <c r="AX30" t="str">
        <f t="shared" si="36"/>
        <v>$N$11:N29</v>
      </c>
      <c r="AY30" s="144" t="str">
        <f t="shared" si="23"/>
        <v>N31:$N$99</v>
      </c>
      <c r="BA30" s="139" t="str" cm="1">
        <f t="array" aca="1" ref="BA30" ca="1">IFERROR(CELL("address",INDEX('Project Mull Review'!AF:AF, SMALL(IF('Project Mull Review'!AF$35:AF$682&lt;&gt;"",ROW('Project Mull Review'!AF$35:AF$682),""),ROWS('Project Mull Review'!AF$35:AF54)))),"")</f>
        <v/>
      </c>
      <c r="BB30" s="155" t="str">
        <f t="shared" ca="1" si="24"/>
        <v/>
      </c>
      <c r="BC30" s="155" t="str">
        <f t="shared" ca="1" si="25"/>
        <v/>
      </c>
      <c r="BD30" s="155" t="str" cm="1">
        <f t="array" aca="1" ref="BD30" ca="1">IFERROR(INDEX(MainCell,BE30,2),"")</f>
        <v/>
      </c>
      <c r="BE30" s="155" t="str">
        <f t="shared" ca="1" si="26"/>
        <v/>
      </c>
      <c r="BF30" s="64" t="str">
        <f t="shared" ca="1" si="27"/>
        <v/>
      </c>
      <c r="BG30" s="64" t="str">
        <f t="shared" ca="1" si="44"/>
        <v/>
      </c>
      <c r="BH30" s="64" t="str" cm="1">
        <f t="array" aca="1" ref="BH30" ca="1">IFERROR(CONCATENATE(INDIRECT(BF30)," ", INDIRECT(BG30)),"")</f>
        <v/>
      </c>
      <c r="BI30" s="64" t="str">
        <f t="shared" ca="1" si="29"/>
        <v/>
      </c>
      <c r="BJ30" s="155">
        <f t="shared" ca="1" si="30"/>
        <v>0</v>
      </c>
      <c r="BK30" s="155">
        <f t="shared" ca="1" si="9"/>
        <v>0</v>
      </c>
      <c r="BL30" s="155">
        <f t="shared" ca="1" si="40"/>
        <v>0</v>
      </c>
      <c r="BM30" s="155">
        <f t="shared" ca="1" si="40"/>
        <v>0</v>
      </c>
      <c r="BN30" s="155">
        <f t="shared" ca="1" si="40"/>
        <v>0</v>
      </c>
      <c r="BO30" s="155">
        <f t="shared" ca="1" si="40"/>
        <v>0</v>
      </c>
      <c r="BP30" s="155">
        <f t="shared" ca="1" si="40"/>
        <v>0</v>
      </c>
      <c r="BQ30" s="155">
        <f t="shared" ca="1" si="40"/>
        <v>0</v>
      </c>
      <c r="BR30" s="155">
        <f t="shared" ca="1" si="40"/>
        <v>0</v>
      </c>
      <c r="BS30" s="479">
        <f t="shared" ca="1" si="40"/>
        <v>0</v>
      </c>
      <c r="BT30" s="374"/>
      <c r="BV30" s="505" t="str" cm="1">
        <f t="array" aca="1" ref="BV30" ca="1">IF(BJ31=0,"",CONCATENATE(INDEX(FinalSort,BJ31,4),": ",INDEX(FinalSort,BJ31,8)))</f>
        <v/>
      </c>
      <c r="BW30" s="506" t="str" cm="1">
        <f t="array" aca="1" ref="BW30" ca="1">IF(BK31=0,"",CONCATENATE(INDEX(FinalSort,BK31,4),": ",INDEX(FinalSort,BK31,8)))</f>
        <v/>
      </c>
      <c r="BX30" s="506" t="str" cm="1">
        <f t="array" aca="1" ref="BX30" ca="1">IF(BL31=0,"",CONCATENATE(INDEX(FinalSort,BL31,4),": ",INDEX(FinalSort,BL31,8)))</f>
        <v/>
      </c>
      <c r="BY30" s="506" t="str" cm="1">
        <f t="array" aca="1" ref="BY30" ca="1">IF(BM31=0,"",CONCATENATE(INDEX(FinalSort,BM31,4),": ",INDEX(FinalSort,BM31,8)))</f>
        <v/>
      </c>
      <c r="BZ30" s="506" t="str" cm="1">
        <f t="array" aca="1" ref="BZ30" ca="1">IF(BN31=0,"",CONCATENATE(INDEX(FinalSort,BN31,4),": ",INDEX(FinalSort,BN31,8)))</f>
        <v/>
      </c>
      <c r="CA30" s="506" t="str" cm="1">
        <f t="array" aca="1" ref="CA30" ca="1">IF(BO31=0,"",CONCATENATE(INDEX(FinalSort,BO31,4),": ",INDEX(FinalSort,BO31,8)))</f>
        <v/>
      </c>
      <c r="CB30" s="506" t="str" cm="1">
        <f t="array" aca="1" ref="CB30" ca="1">IF(BP31=0,"",CONCATENATE(INDEX(FinalSort,BP31,4),": ",INDEX(FinalSort,BP31,8)))</f>
        <v/>
      </c>
      <c r="CC30" s="506" t="str" cm="1">
        <f t="array" aca="1" ref="CC30" ca="1">IF(BQ31=0,"",CONCATENATE(INDEX(FinalSort,BQ31,4),": ",INDEX(FinalSort,BQ31,8)))</f>
        <v/>
      </c>
      <c r="CD30" s="506" t="str" cm="1">
        <f t="array" aca="1" ref="CD30" ca="1">IF(BR31=0,"",CONCATENATE(INDEX(FinalSort,BR31,4),": ",INDEX(FinalSort,BR31,8)))</f>
        <v/>
      </c>
      <c r="CE30" s="507" t="str" cm="1">
        <f t="array" aca="1" ref="CE30" ca="1">IF(BS31=0,"",CONCATENATE(INDEX(FinalSort,BS31,4),": ",INDEX(FinalSort,BS31,8)))</f>
        <v/>
      </c>
    </row>
    <row r="31" spans="1:83" x14ac:dyDescent="0.25">
      <c r="A31" s="4">
        <v>22</v>
      </c>
      <c r="B31" s="326" t="str">
        <f t="shared" ca="1" si="3"/>
        <v/>
      </c>
      <c r="C31" s="462" t="str">
        <f t="shared" ca="1" si="4"/>
        <v/>
      </c>
      <c r="D31" s="463" t="str">
        <f t="shared" ca="1" si="5"/>
        <v/>
      </c>
      <c r="E31" s="471" t="str">
        <f t="shared" ca="1" si="6"/>
        <v/>
      </c>
      <c r="F31" s="473" t="str">
        <f t="shared" ca="1" si="1"/>
        <v/>
      </c>
      <c r="G31" s="522"/>
      <c r="H31" s="155"/>
      <c r="I31" s="443" t="str" cm="1">
        <f t="array" ref="I31">IFERROR(INDEX('Project Mull Review'!AF:AF, SMALL(IF('Project Mull Review'!AF$35:AF$682&lt;&gt;"",ROW('Project Mull Review'!AF$35:AF$682),""),ROWS('Project Mull Review'!AF$35:AF55))),"")</f>
        <v/>
      </c>
      <c r="J31" s="389" t="str" cm="1">
        <f t="array" ref="J31">IFERROR(INDEX('Project Mull Review'!AI:AI, SMALL(IF('Project Mull Review'!AI$35:AI$682&lt;&gt;"",ROW('Project Mull Review'!AI$35:AI$682),""),ROWS('Project Mull Review'!AI$35:AI55))),"")</f>
        <v/>
      </c>
      <c r="K31" s="442" t="str" cm="1">
        <f t="array" ref="K31">IFERROR(ROUND(INDEX('Project Mull Review'!AT:AT, SMALL(IF('Project Mull Review'!AI$35:AI$682&lt;&gt;"",ROW('Project Mull Review'!AI$35:AI$682),""),ROWS('Project Mull Review'!AI$35:AI55))),0),"")</f>
        <v/>
      </c>
      <c r="M31" s="140">
        <f>ROW()</f>
        <v>31</v>
      </c>
      <c r="N31" t="str">
        <f t="shared" si="11"/>
        <v/>
      </c>
      <c r="O31" t="str">
        <f t="shared" si="12"/>
        <v/>
      </c>
      <c r="P31" s="144">
        <f t="shared" ca="1" si="13"/>
        <v>0</v>
      </c>
      <c r="Q31" t="str">
        <f t="shared" ca="1" si="14"/>
        <v/>
      </c>
      <c r="R31" t="str">
        <f t="shared" ca="1" si="15"/>
        <v/>
      </c>
      <c r="S31" t="str">
        <f ca="1"/>
        <v/>
      </c>
      <c r="T31" s="144" t="str">
        <f ca="1"/>
        <v/>
      </c>
      <c r="U31" t="str">
        <f t="shared" ca="1" si="16"/>
        <v/>
      </c>
      <c r="V31" s="144" t="str">
        <f t="shared" ca="1" si="17"/>
        <v/>
      </c>
      <c r="W31">
        <f t="shared" ca="1" si="38"/>
        <v>0</v>
      </c>
      <c r="X31" t="str" cm="1">
        <f t="array" aca="1" ref="X31" ca="1">IFERROR(INDEX(INDIRECT(CONCATENATE(AS$14,":",AS$16)),V31-AR$12+1),"")</f>
        <v/>
      </c>
      <c r="Y31" t="str">
        <f t="shared" si="18"/>
        <v>X31</v>
      </c>
      <c r="Z31" t="str">
        <f t="shared" ca="1" si="31"/>
        <v>X31</v>
      </c>
      <c r="AA31">
        <f t="shared" ca="1" si="39"/>
        <v>0</v>
      </c>
      <c r="AB31">
        <f t="shared" ca="1" si="32"/>
        <v>0</v>
      </c>
      <c r="AC31" t="str">
        <f t="shared" ca="1" si="7"/>
        <v/>
      </c>
      <c r="AD31" t="str" cm="1">
        <f t="array" aca="1" ref="AD31" ca="1">IF($AB31=0,"",INDIRECT(_xlfn.CONCAT(AU$14,$V31)))</f>
        <v/>
      </c>
      <c r="AE31" s="144" t="str">
        <f t="shared" ca="1" si="33"/>
        <v/>
      </c>
      <c r="AF31" t="str">
        <f t="shared" ca="1" si="19"/>
        <v/>
      </c>
      <c r="AG31" s="525" t="str">
        <f ca="1"/>
        <v/>
      </c>
      <c r="AH31" s="467" t="str">
        <f t="shared" ca="1" si="34"/>
        <v/>
      </c>
      <c r="AI31" s="533" t="str">
        <f t="shared" ca="1" si="37"/>
        <v/>
      </c>
      <c r="AJ31" s="533" t="str">
        <f t="shared" ca="1" si="20"/>
        <v/>
      </c>
      <c r="AK31" t="str">
        <f t="shared" ca="1" si="35"/>
        <v/>
      </c>
      <c r="AL31" s="140" t="str">
        <f t="shared" ca="1" si="8"/>
        <v/>
      </c>
      <c r="AM31" t="str">
        <f t="shared" ca="1" si="21"/>
        <v/>
      </c>
      <c r="AN31" s="144" t="str">
        <f t="shared" ca="1" si="22"/>
        <v/>
      </c>
      <c r="AR31" s="483">
        <f t="shared" si="43"/>
        <v>143</v>
      </c>
      <c r="AS31" s="157" t="str">
        <f t="shared" si="41"/>
        <v>B143</v>
      </c>
      <c r="AT31" s="479" t="str">
        <f t="shared" si="42"/>
        <v>B149</v>
      </c>
      <c r="AU31" s="477"/>
      <c r="AW31" s="140" t="str">
        <f t="shared" si="2"/>
        <v>N31</v>
      </c>
      <c r="AX31" t="str">
        <f t="shared" si="36"/>
        <v>$N$11:N30</v>
      </c>
      <c r="AY31" s="144" t="str">
        <f t="shared" si="23"/>
        <v>N32:$N$99</v>
      </c>
      <c r="BA31" s="139" t="str" cm="1">
        <f t="array" aca="1" ref="BA31" ca="1">IFERROR(CELL("address",INDEX('Project Mull Review'!AF:AF, SMALL(IF('Project Mull Review'!AF$35:AF$682&lt;&gt;"",ROW('Project Mull Review'!AF$35:AF$682),""),ROWS('Project Mull Review'!AF$35:AF55)))),"")</f>
        <v/>
      </c>
      <c r="BB31" s="155" t="str">
        <f t="shared" ca="1" si="24"/>
        <v/>
      </c>
      <c r="BC31" s="155" t="str">
        <f t="shared" ca="1" si="25"/>
        <v/>
      </c>
      <c r="BD31" s="155" t="str" cm="1">
        <f t="array" aca="1" ref="BD31" ca="1">IFERROR(INDEX(MainCell,BE31,2),"")</f>
        <v/>
      </c>
      <c r="BE31" s="155" t="str">
        <f t="shared" ca="1" si="26"/>
        <v/>
      </c>
      <c r="BF31" s="64" t="str">
        <f t="shared" ca="1" si="27"/>
        <v/>
      </c>
      <c r="BG31" s="64" t="str">
        <f t="shared" ca="1" si="44"/>
        <v/>
      </c>
      <c r="BH31" s="64" t="str" cm="1">
        <f t="array" aca="1" ref="BH31" ca="1">IFERROR(CONCATENATE(INDIRECT(BF31)," ", INDIRECT(BG31)),"")</f>
        <v/>
      </c>
      <c r="BI31" s="64" t="str">
        <f t="shared" ca="1" si="29"/>
        <v/>
      </c>
      <c r="BJ31" s="155">
        <f t="shared" ca="1" si="30"/>
        <v>0</v>
      </c>
      <c r="BK31" s="155">
        <f t="shared" ca="1" si="9"/>
        <v>0</v>
      </c>
      <c r="BL31" s="155">
        <f t="shared" ref="BL31:BS40" ca="1" si="45">IF(BK31=0,0,IFERROR(IF(MATCH($BI31,OFFSET(Combo,BK31,0),0)&gt;=($AS$18-BK31),0,BK31+MATCH($BI31,OFFSET(Combo,BK31,0),0)),0))</f>
        <v>0</v>
      </c>
      <c r="BM31" s="155">
        <f t="shared" ca="1" si="45"/>
        <v>0</v>
      </c>
      <c r="BN31" s="155">
        <f t="shared" ca="1" si="45"/>
        <v>0</v>
      </c>
      <c r="BO31" s="155">
        <f t="shared" ca="1" si="45"/>
        <v>0</v>
      </c>
      <c r="BP31" s="155">
        <f t="shared" ca="1" si="45"/>
        <v>0</v>
      </c>
      <c r="BQ31" s="155">
        <f t="shared" ca="1" si="45"/>
        <v>0</v>
      </c>
      <c r="BR31" s="155">
        <f t="shared" ca="1" si="45"/>
        <v>0</v>
      </c>
      <c r="BS31" s="479">
        <f t="shared" ca="1" si="45"/>
        <v>0</v>
      </c>
      <c r="BV31" s="505" t="str" cm="1">
        <f t="array" aca="1" ref="BV31" ca="1">IF(BJ32=0,"",CONCATENATE(INDEX(FinalSort,BJ32,4),": ",INDEX(FinalSort,BJ32,8)))</f>
        <v/>
      </c>
      <c r="BW31" s="506" t="str" cm="1">
        <f t="array" aca="1" ref="BW31" ca="1">IF(BK32=0,"",CONCATENATE(INDEX(FinalSort,BK32,4),": ",INDEX(FinalSort,BK32,8)))</f>
        <v/>
      </c>
      <c r="BX31" s="506" t="str" cm="1">
        <f t="array" aca="1" ref="BX31" ca="1">IF(BL32=0,"",CONCATENATE(INDEX(FinalSort,BL32,4),": ",INDEX(FinalSort,BL32,8)))</f>
        <v/>
      </c>
      <c r="BY31" s="506" t="str" cm="1">
        <f t="array" aca="1" ref="BY31" ca="1">IF(BM32=0,"",CONCATENATE(INDEX(FinalSort,BM32,4),": ",INDEX(FinalSort,BM32,8)))</f>
        <v/>
      </c>
      <c r="BZ31" s="506" t="str" cm="1">
        <f t="array" aca="1" ref="BZ31" ca="1">IF(BN32=0,"",CONCATENATE(INDEX(FinalSort,BN32,4),": ",INDEX(FinalSort,BN32,8)))</f>
        <v/>
      </c>
      <c r="CA31" s="506" t="str" cm="1">
        <f t="array" aca="1" ref="CA31" ca="1">IF(BO32=0,"",CONCATENATE(INDEX(FinalSort,BO32,4),": ",INDEX(FinalSort,BO32,8)))</f>
        <v/>
      </c>
      <c r="CB31" s="506" t="str" cm="1">
        <f t="array" aca="1" ref="CB31" ca="1">IF(BP32=0,"",CONCATENATE(INDEX(FinalSort,BP32,4),": ",INDEX(FinalSort,BP32,8)))</f>
        <v/>
      </c>
      <c r="CC31" s="506" t="str" cm="1">
        <f t="array" aca="1" ref="CC31" ca="1">IF(BQ32=0,"",CONCATENATE(INDEX(FinalSort,BQ32,4),": ",INDEX(FinalSort,BQ32,8)))</f>
        <v/>
      </c>
      <c r="CD31" s="506" t="str" cm="1">
        <f t="array" aca="1" ref="CD31" ca="1">IF(BR32=0,"",CONCATENATE(INDEX(FinalSort,BR32,4),": ",INDEX(FinalSort,BR32,8)))</f>
        <v/>
      </c>
      <c r="CE31" s="507" t="str" cm="1">
        <f t="array" aca="1" ref="CE31" ca="1">IF(BS32=0,"",CONCATENATE(INDEX(FinalSort,BS32,4),": ",INDEX(FinalSort,BS32,8)))</f>
        <v/>
      </c>
    </row>
    <row r="32" spans="1:83" x14ac:dyDescent="0.25">
      <c r="A32" s="4">
        <v>23</v>
      </c>
      <c r="B32" s="326" t="str">
        <f t="shared" ca="1" si="3"/>
        <v/>
      </c>
      <c r="C32" s="462" t="str">
        <f t="shared" ca="1" si="4"/>
        <v/>
      </c>
      <c r="D32" s="463" t="str">
        <f t="shared" ca="1" si="5"/>
        <v/>
      </c>
      <c r="E32" s="471" t="str">
        <f t="shared" ca="1" si="6"/>
        <v/>
      </c>
      <c r="F32" s="473" t="str">
        <f t="shared" ca="1" si="1"/>
        <v/>
      </c>
      <c r="G32" s="522"/>
      <c r="H32" s="155"/>
      <c r="I32" s="443" t="str" cm="1">
        <f t="array" ref="I32">IFERROR(INDEX('Project Mull Review'!AF:AF, SMALL(IF('Project Mull Review'!AF$35:AF$682&lt;&gt;"",ROW('Project Mull Review'!AF$35:AF$682),""),ROWS('Project Mull Review'!AF$35:AF56))),"")</f>
        <v/>
      </c>
      <c r="J32" s="389" t="str" cm="1">
        <f t="array" ref="J32">IFERROR(INDEX('Project Mull Review'!AI:AI, SMALL(IF('Project Mull Review'!AI$35:AI$682&lt;&gt;"",ROW('Project Mull Review'!AI$35:AI$682),""),ROWS('Project Mull Review'!AI$35:AI56))),"")</f>
        <v/>
      </c>
      <c r="K32" s="442" t="str" cm="1">
        <f t="array" ref="K32">IFERROR(ROUND(INDEX('Project Mull Review'!AT:AT, SMALL(IF('Project Mull Review'!AI$35:AI$682&lt;&gt;"",ROW('Project Mull Review'!AI$35:AI$682),""),ROWS('Project Mull Review'!AI$35:AI56))),0),"")</f>
        <v/>
      </c>
      <c r="M32" s="140">
        <f>ROW()</f>
        <v>32</v>
      </c>
      <c r="N32" t="str">
        <f t="shared" si="11"/>
        <v/>
      </c>
      <c r="O32" t="str">
        <f t="shared" si="12"/>
        <v/>
      </c>
      <c r="P32" s="144">
        <f t="shared" ca="1" si="13"/>
        <v>0</v>
      </c>
      <c r="Q32" t="str">
        <f t="shared" ca="1" si="14"/>
        <v/>
      </c>
      <c r="R32" t="str">
        <f t="shared" ca="1" si="15"/>
        <v/>
      </c>
      <c r="S32" t="str">
        <f ca="1"/>
        <v/>
      </c>
      <c r="T32" s="144" t="str">
        <f ca="1"/>
        <v/>
      </c>
      <c r="U32" t="str">
        <f t="shared" ca="1" si="16"/>
        <v/>
      </c>
      <c r="V32" s="144" t="str">
        <f t="shared" ca="1" si="17"/>
        <v/>
      </c>
      <c r="W32">
        <f t="shared" ca="1" si="38"/>
        <v>0</v>
      </c>
      <c r="X32" t="str" cm="1">
        <f t="array" aca="1" ref="X32" ca="1">IFERROR(INDEX(INDIRECT(CONCATENATE(AS$14,":",AS$16)),V32-AR$12+1),"")</f>
        <v/>
      </c>
      <c r="Y32" t="str">
        <f t="shared" si="18"/>
        <v>X32</v>
      </c>
      <c r="Z32" t="str">
        <f t="shared" ca="1" si="31"/>
        <v>X32</v>
      </c>
      <c r="AA32">
        <f t="shared" ca="1" si="39"/>
        <v>0</v>
      </c>
      <c r="AB32">
        <f t="shared" ca="1" si="32"/>
        <v>0</v>
      </c>
      <c r="AC32" t="str">
        <f t="shared" ca="1" si="7"/>
        <v/>
      </c>
      <c r="AD32" t="str" cm="1">
        <f t="array" aca="1" ref="AD32" ca="1">IF($AB32=0,"",INDIRECT(_xlfn.CONCAT(AU$14,$V32)))</f>
        <v/>
      </c>
      <c r="AE32" s="144" t="str">
        <f t="shared" ca="1" si="33"/>
        <v/>
      </c>
      <c r="AF32" t="str">
        <f t="shared" ca="1" si="19"/>
        <v/>
      </c>
      <c r="AG32" s="525" t="str">
        <f ca="1"/>
        <v/>
      </c>
      <c r="AH32" s="467" t="str">
        <f t="shared" ca="1" si="34"/>
        <v/>
      </c>
      <c r="AI32" s="533" t="str">
        <f t="shared" ca="1" si="37"/>
        <v/>
      </c>
      <c r="AJ32" s="533" t="str">
        <f t="shared" ca="1" si="20"/>
        <v/>
      </c>
      <c r="AK32" t="str">
        <f t="shared" ca="1" si="35"/>
        <v/>
      </c>
      <c r="AL32" s="140" t="str">
        <f t="shared" ca="1" si="8"/>
        <v/>
      </c>
      <c r="AM32" t="str">
        <f t="shared" ca="1" si="21"/>
        <v/>
      </c>
      <c r="AN32" s="144" t="str">
        <f t="shared" ca="1" si="22"/>
        <v/>
      </c>
      <c r="AR32" s="483">
        <f t="shared" si="43"/>
        <v>155</v>
      </c>
      <c r="AS32" s="157" t="str">
        <f t="shared" si="41"/>
        <v>B155</v>
      </c>
      <c r="AT32" s="479" t="str">
        <f t="shared" si="42"/>
        <v>B161</v>
      </c>
      <c r="AU32" s="477"/>
      <c r="AW32" s="140" t="str">
        <f t="shared" si="2"/>
        <v>N32</v>
      </c>
      <c r="AX32" t="str">
        <f t="shared" si="36"/>
        <v>$N$11:N31</v>
      </c>
      <c r="AY32" s="144" t="str">
        <f t="shared" si="23"/>
        <v>N33:$N$99</v>
      </c>
      <c r="BA32" s="139" t="str" cm="1">
        <f t="array" aca="1" ref="BA32" ca="1">IFERROR(CELL("address",INDEX('Project Mull Review'!AF:AF, SMALL(IF('Project Mull Review'!AF$35:AF$682&lt;&gt;"",ROW('Project Mull Review'!AF$35:AF$682),""),ROWS('Project Mull Review'!AF$35:AF56)))),"")</f>
        <v/>
      </c>
      <c r="BB32" s="155" t="str">
        <f t="shared" ca="1" si="24"/>
        <v/>
      </c>
      <c r="BC32" s="155" t="str">
        <f t="shared" ca="1" si="25"/>
        <v/>
      </c>
      <c r="BD32" s="155" t="str" cm="1">
        <f t="array" aca="1" ref="BD32" ca="1">IFERROR(INDEX(MainCell,BE32,2),"")</f>
        <v/>
      </c>
      <c r="BE32" s="155" t="str">
        <f t="shared" ca="1" si="26"/>
        <v/>
      </c>
      <c r="BF32" s="64" t="str">
        <f t="shared" ca="1" si="27"/>
        <v/>
      </c>
      <c r="BG32" s="64" t="str">
        <f t="shared" ca="1" si="44"/>
        <v/>
      </c>
      <c r="BH32" s="64" t="str" cm="1">
        <f t="array" aca="1" ref="BH32" ca="1">IFERROR(CONCATENATE(INDIRECT(BF32)," ", INDIRECT(BG32)),"")</f>
        <v/>
      </c>
      <c r="BI32" s="64" t="str">
        <f t="shared" ca="1" si="29"/>
        <v/>
      </c>
      <c r="BJ32" s="155">
        <f t="shared" ca="1" si="30"/>
        <v>0</v>
      </c>
      <c r="BK32" s="155">
        <f t="shared" ca="1" si="9"/>
        <v>0</v>
      </c>
      <c r="BL32" s="155">
        <f t="shared" ca="1" si="45"/>
        <v>0</v>
      </c>
      <c r="BM32" s="155">
        <f t="shared" ca="1" si="45"/>
        <v>0</v>
      </c>
      <c r="BN32" s="155">
        <f t="shared" ca="1" si="45"/>
        <v>0</v>
      </c>
      <c r="BO32" s="155">
        <f t="shared" ca="1" si="45"/>
        <v>0</v>
      </c>
      <c r="BP32" s="155">
        <f t="shared" ca="1" si="45"/>
        <v>0</v>
      </c>
      <c r="BQ32" s="155">
        <f t="shared" ca="1" si="45"/>
        <v>0</v>
      </c>
      <c r="BR32" s="155">
        <f t="shared" ca="1" si="45"/>
        <v>0</v>
      </c>
      <c r="BS32" s="479">
        <f t="shared" ca="1" si="45"/>
        <v>0</v>
      </c>
      <c r="BV32" s="505" t="str" cm="1">
        <f t="array" aca="1" ref="BV32" ca="1">IF(BJ33=0,"",CONCATENATE(INDEX(FinalSort,BJ33,4),": ",INDEX(FinalSort,BJ33,8)))</f>
        <v/>
      </c>
      <c r="BW32" s="506" t="str" cm="1">
        <f t="array" aca="1" ref="BW32" ca="1">IF(BK33=0,"",CONCATENATE(INDEX(FinalSort,BK33,4),": ",INDEX(FinalSort,BK33,8)))</f>
        <v/>
      </c>
      <c r="BX32" s="506" t="str" cm="1">
        <f t="array" aca="1" ref="BX32" ca="1">IF(BL33=0,"",CONCATENATE(INDEX(FinalSort,BL33,4),": ",INDEX(FinalSort,BL33,8)))</f>
        <v/>
      </c>
      <c r="BY32" s="506" t="str" cm="1">
        <f t="array" aca="1" ref="BY32" ca="1">IF(BM33=0,"",CONCATENATE(INDEX(FinalSort,BM33,4),": ",INDEX(FinalSort,BM33,8)))</f>
        <v/>
      </c>
      <c r="BZ32" s="506" t="str" cm="1">
        <f t="array" aca="1" ref="BZ32" ca="1">IF(BN33=0,"",CONCATENATE(INDEX(FinalSort,BN33,4),": ",INDEX(FinalSort,BN33,8)))</f>
        <v/>
      </c>
      <c r="CA32" s="506" t="str" cm="1">
        <f t="array" aca="1" ref="CA32" ca="1">IF(BO33=0,"",CONCATENATE(INDEX(FinalSort,BO33,4),": ",INDEX(FinalSort,BO33,8)))</f>
        <v/>
      </c>
      <c r="CB32" s="506" t="str" cm="1">
        <f t="array" aca="1" ref="CB32" ca="1">IF(BP33=0,"",CONCATENATE(INDEX(FinalSort,BP33,4),": ",INDEX(FinalSort,BP33,8)))</f>
        <v/>
      </c>
      <c r="CC32" s="506" t="str" cm="1">
        <f t="array" aca="1" ref="CC32" ca="1">IF(BQ33=0,"",CONCATENATE(INDEX(FinalSort,BQ33,4),": ",INDEX(FinalSort,BQ33,8)))</f>
        <v/>
      </c>
      <c r="CD32" s="506" t="str" cm="1">
        <f t="array" aca="1" ref="CD32" ca="1">IF(BR33=0,"",CONCATENATE(INDEX(FinalSort,BR33,4),": ",INDEX(FinalSort,BR33,8)))</f>
        <v/>
      </c>
      <c r="CE32" s="507" t="str" cm="1">
        <f t="array" aca="1" ref="CE32" ca="1">IF(BS33=0,"",CONCATENATE(INDEX(FinalSort,BS33,4),": ",INDEX(FinalSort,BS33,8)))</f>
        <v/>
      </c>
    </row>
    <row r="33" spans="1:83" x14ac:dyDescent="0.25">
      <c r="A33" s="4">
        <v>24</v>
      </c>
      <c r="B33" s="326" t="str">
        <f t="shared" ca="1" si="3"/>
        <v/>
      </c>
      <c r="C33" s="462" t="str">
        <f t="shared" ca="1" si="4"/>
        <v/>
      </c>
      <c r="D33" s="463" t="str">
        <f t="shared" ca="1" si="5"/>
        <v/>
      </c>
      <c r="E33" s="471" t="str">
        <f t="shared" ca="1" si="6"/>
        <v/>
      </c>
      <c r="F33" s="473" t="str">
        <f t="shared" ca="1" si="1"/>
        <v/>
      </c>
      <c r="G33" s="522"/>
      <c r="H33" s="155"/>
      <c r="I33" s="443" t="str" cm="1">
        <f t="array" ref="I33">IFERROR(INDEX('Project Mull Review'!AF:AF, SMALL(IF('Project Mull Review'!AF$35:AF$682&lt;&gt;"",ROW('Project Mull Review'!AF$35:AF$682),""),ROWS('Project Mull Review'!AF$35:AF57))),"")</f>
        <v/>
      </c>
      <c r="J33" s="389" t="str" cm="1">
        <f t="array" ref="J33">IFERROR(INDEX('Project Mull Review'!AI:AI, SMALL(IF('Project Mull Review'!AI$35:AI$682&lt;&gt;"",ROW('Project Mull Review'!AI$35:AI$682),""),ROWS('Project Mull Review'!AI$35:AI57))),"")</f>
        <v/>
      </c>
      <c r="K33" s="442" t="str" cm="1">
        <f t="array" ref="K33">IFERROR(ROUND(INDEX('Project Mull Review'!AT:AT, SMALL(IF('Project Mull Review'!AI$35:AI$682&lt;&gt;"",ROW('Project Mull Review'!AI$35:AI$682),""),ROWS('Project Mull Review'!AI$35:AI57))),0),"")</f>
        <v/>
      </c>
      <c r="M33" s="140">
        <f>ROW()</f>
        <v>33</v>
      </c>
      <c r="N33" t="str">
        <f t="shared" si="11"/>
        <v/>
      </c>
      <c r="O33" t="str">
        <f t="shared" si="12"/>
        <v/>
      </c>
      <c r="P33" s="144">
        <f t="shared" ca="1" si="13"/>
        <v>0</v>
      </c>
      <c r="Q33" t="str">
        <f t="shared" ca="1" si="14"/>
        <v/>
      </c>
      <c r="R33" t="str">
        <f t="shared" ca="1" si="15"/>
        <v/>
      </c>
      <c r="S33" t="str">
        <f ca="1"/>
        <v/>
      </c>
      <c r="T33" s="144" t="str">
        <f ca="1"/>
        <v/>
      </c>
      <c r="U33" t="str">
        <f t="shared" ca="1" si="16"/>
        <v/>
      </c>
      <c r="V33" s="144" t="str">
        <f t="shared" ca="1" si="17"/>
        <v/>
      </c>
      <c r="W33">
        <f t="shared" ca="1" si="38"/>
        <v>0</v>
      </c>
      <c r="X33" t="str" cm="1">
        <f t="array" aca="1" ref="X33" ca="1">IFERROR(INDEX(INDIRECT(CONCATENATE(AS$14,":",AS$16)),V33-AR$12+1),"")</f>
        <v/>
      </c>
      <c r="Y33" t="str">
        <f t="shared" si="18"/>
        <v>X33</v>
      </c>
      <c r="Z33" t="str">
        <f t="shared" ca="1" si="31"/>
        <v>X33</v>
      </c>
      <c r="AA33">
        <f t="shared" ca="1" si="39"/>
        <v>0</v>
      </c>
      <c r="AB33">
        <f t="shared" ca="1" si="32"/>
        <v>0</v>
      </c>
      <c r="AC33" t="str">
        <f t="shared" ca="1" si="7"/>
        <v/>
      </c>
      <c r="AD33" t="str" cm="1">
        <f t="array" aca="1" ref="AD33" ca="1">IF($AB33=0,"",INDIRECT(_xlfn.CONCAT(AU$14,$V33)))</f>
        <v/>
      </c>
      <c r="AE33" s="144" t="str">
        <f t="shared" ca="1" si="33"/>
        <v/>
      </c>
      <c r="AF33" t="str">
        <f t="shared" ca="1" si="19"/>
        <v/>
      </c>
      <c r="AG33" s="525" t="str">
        <f ca="1"/>
        <v/>
      </c>
      <c r="AH33" s="467" t="str">
        <f t="shared" ca="1" si="34"/>
        <v/>
      </c>
      <c r="AI33" s="533" t="str">
        <f t="shared" ca="1" si="37"/>
        <v/>
      </c>
      <c r="AJ33" s="533" t="str">
        <f t="shared" ca="1" si="20"/>
        <v/>
      </c>
      <c r="AK33" t="str">
        <f t="shared" ca="1" si="35"/>
        <v/>
      </c>
      <c r="AL33" s="140" t="str">
        <f t="shared" ca="1" si="8"/>
        <v/>
      </c>
      <c r="AM33" t="str">
        <f t="shared" ca="1" si="21"/>
        <v/>
      </c>
      <c r="AN33" s="144" t="str">
        <f t="shared" ca="1" si="22"/>
        <v/>
      </c>
      <c r="AR33" s="483">
        <f t="shared" si="43"/>
        <v>167</v>
      </c>
      <c r="AS33" s="157" t="str">
        <f t="shared" si="41"/>
        <v>B167</v>
      </c>
      <c r="AT33" s="479" t="str">
        <f t="shared" si="42"/>
        <v>B173</v>
      </c>
      <c r="AU33" s="477"/>
      <c r="AW33" s="140" t="str">
        <f t="shared" si="2"/>
        <v>N33</v>
      </c>
      <c r="AX33" t="str">
        <f t="shared" si="36"/>
        <v>$N$11:N32</v>
      </c>
      <c r="AY33" s="144" t="str">
        <f t="shared" si="23"/>
        <v>N34:$N$99</v>
      </c>
      <c r="BA33" s="139" t="str" cm="1">
        <f t="array" aca="1" ref="BA33" ca="1">IFERROR(CELL("address",INDEX('Project Mull Review'!AF:AF, SMALL(IF('Project Mull Review'!AF$35:AF$682&lt;&gt;"",ROW('Project Mull Review'!AF$35:AF$682),""),ROWS('Project Mull Review'!AF$35:AF57)))),"")</f>
        <v/>
      </c>
      <c r="BB33" s="155" t="str">
        <f t="shared" ca="1" si="24"/>
        <v/>
      </c>
      <c r="BC33" s="155" t="str">
        <f t="shared" ca="1" si="25"/>
        <v/>
      </c>
      <c r="BD33" s="155" t="str" cm="1">
        <f t="array" aca="1" ref="BD33" ca="1">IFERROR(INDEX(MainCell,BE33,2),"")</f>
        <v/>
      </c>
      <c r="BE33" s="155" t="str">
        <f t="shared" ca="1" si="26"/>
        <v/>
      </c>
      <c r="BF33" s="64" t="str">
        <f t="shared" ca="1" si="27"/>
        <v/>
      </c>
      <c r="BG33" s="64" t="str">
        <f t="shared" ca="1" si="44"/>
        <v/>
      </c>
      <c r="BH33" s="64" t="str" cm="1">
        <f t="array" aca="1" ref="BH33" ca="1">IFERROR(CONCATENATE(INDIRECT(BF33)," ", INDIRECT(BG33)),"")</f>
        <v/>
      </c>
      <c r="BI33" s="64" t="str">
        <f t="shared" ca="1" si="29"/>
        <v/>
      </c>
      <c r="BJ33" s="155">
        <f t="shared" ca="1" si="30"/>
        <v>0</v>
      </c>
      <c r="BK33" s="155">
        <f t="shared" ca="1" si="9"/>
        <v>0</v>
      </c>
      <c r="BL33" s="155">
        <f t="shared" ca="1" si="45"/>
        <v>0</v>
      </c>
      <c r="BM33" s="155">
        <f t="shared" ca="1" si="45"/>
        <v>0</v>
      </c>
      <c r="BN33" s="155">
        <f t="shared" ca="1" si="45"/>
        <v>0</v>
      </c>
      <c r="BO33" s="155">
        <f t="shared" ca="1" si="45"/>
        <v>0</v>
      </c>
      <c r="BP33" s="155">
        <f t="shared" ca="1" si="45"/>
        <v>0</v>
      </c>
      <c r="BQ33" s="155">
        <f t="shared" ca="1" si="45"/>
        <v>0</v>
      </c>
      <c r="BR33" s="155">
        <f t="shared" ca="1" si="45"/>
        <v>0</v>
      </c>
      <c r="BS33" s="479">
        <f t="shared" ca="1" si="45"/>
        <v>0</v>
      </c>
      <c r="BV33" s="505" t="str" cm="1">
        <f t="array" aca="1" ref="BV33" ca="1">IF(BJ34=0,"",CONCATENATE(INDEX(FinalSort,BJ34,4),": ",INDEX(FinalSort,BJ34,8)))</f>
        <v/>
      </c>
      <c r="BW33" s="506" t="str" cm="1">
        <f t="array" aca="1" ref="BW33" ca="1">IF(BK34=0,"",CONCATENATE(INDEX(FinalSort,BK34,4),": ",INDEX(FinalSort,BK34,8)))</f>
        <v/>
      </c>
      <c r="BX33" s="506" t="str" cm="1">
        <f t="array" aca="1" ref="BX33" ca="1">IF(BL34=0,"",CONCATENATE(INDEX(FinalSort,BL34,4),": ",INDEX(FinalSort,BL34,8)))</f>
        <v/>
      </c>
      <c r="BY33" s="506" t="str" cm="1">
        <f t="array" aca="1" ref="BY33" ca="1">IF(BM34=0,"",CONCATENATE(INDEX(FinalSort,BM34,4),": ",INDEX(FinalSort,BM34,8)))</f>
        <v/>
      </c>
      <c r="BZ33" s="506" t="str" cm="1">
        <f t="array" aca="1" ref="BZ33" ca="1">IF(BN34=0,"",CONCATENATE(INDEX(FinalSort,BN34,4),": ",INDEX(FinalSort,BN34,8)))</f>
        <v/>
      </c>
      <c r="CA33" s="506" t="str" cm="1">
        <f t="array" aca="1" ref="CA33" ca="1">IF(BO34=0,"",CONCATENATE(INDEX(FinalSort,BO34,4),": ",INDEX(FinalSort,BO34,8)))</f>
        <v/>
      </c>
      <c r="CB33" s="506" t="str" cm="1">
        <f t="array" aca="1" ref="CB33" ca="1">IF(BP34=0,"",CONCATENATE(INDEX(FinalSort,BP34,4),": ",INDEX(FinalSort,BP34,8)))</f>
        <v/>
      </c>
      <c r="CC33" s="506" t="str" cm="1">
        <f t="array" aca="1" ref="CC33" ca="1">IF(BQ34=0,"",CONCATENATE(INDEX(FinalSort,BQ34,4),": ",INDEX(FinalSort,BQ34,8)))</f>
        <v/>
      </c>
      <c r="CD33" s="506" t="str" cm="1">
        <f t="array" aca="1" ref="CD33" ca="1">IF(BR34=0,"",CONCATENATE(INDEX(FinalSort,BR34,4),": ",INDEX(FinalSort,BR34,8)))</f>
        <v/>
      </c>
      <c r="CE33" s="507" t="str" cm="1">
        <f t="array" aca="1" ref="CE33" ca="1">IF(BS34=0,"",CONCATENATE(INDEX(FinalSort,BS34,4),": ",INDEX(FinalSort,BS34,8)))</f>
        <v/>
      </c>
    </row>
    <row r="34" spans="1:83" x14ac:dyDescent="0.25">
      <c r="A34" s="4">
        <v>25</v>
      </c>
      <c r="B34" s="326" t="str">
        <f t="shared" ca="1" si="3"/>
        <v/>
      </c>
      <c r="C34" s="462" t="str">
        <f t="shared" ca="1" si="4"/>
        <v/>
      </c>
      <c r="D34" s="463" t="str">
        <f t="shared" ca="1" si="5"/>
        <v/>
      </c>
      <c r="E34" s="471" t="str">
        <f t="shared" ca="1" si="6"/>
        <v/>
      </c>
      <c r="F34" s="473" t="str">
        <f t="shared" ca="1" si="1"/>
        <v/>
      </c>
      <c r="G34" s="522"/>
      <c r="H34" s="155"/>
      <c r="I34" s="443" t="str" cm="1">
        <f t="array" ref="I34">IFERROR(INDEX('Project Mull Review'!AF:AF, SMALL(IF('Project Mull Review'!AF$35:AF$682&lt;&gt;"",ROW('Project Mull Review'!AF$35:AF$682),""),ROWS('Project Mull Review'!AF$35:AF58))),"")</f>
        <v/>
      </c>
      <c r="J34" s="389" t="str" cm="1">
        <f t="array" ref="J34">IFERROR(INDEX('Project Mull Review'!AI:AI, SMALL(IF('Project Mull Review'!AI$35:AI$682&lt;&gt;"",ROW('Project Mull Review'!AI$35:AI$682),""),ROWS('Project Mull Review'!AI$35:AI58))),"")</f>
        <v/>
      </c>
      <c r="K34" s="442" t="str" cm="1">
        <f t="array" ref="K34">IFERROR(ROUND(INDEX('Project Mull Review'!AT:AT, SMALL(IF('Project Mull Review'!AI$35:AI$682&lt;&gt;"",ROW('Project Mull Review'!AI$35:AI$682),""),ROWS('Project Mull Review'!AI$35:AI58))),0),"")</f>
        <v/>
      </c>
      <c r="M34" s="140">
        <f>ROW()</f>
        <v>34</v>
      </c>
      <c r="N34" t="str">
        <f t="shared" si="11"/>
        <v/>
      </c>
      <c r="O34" t="str">
        <f t="shared" si="12"/>
        <v/>
      </c>
      <c r="P34" s="144">
        <f t="shared" ca="1" si="13"/>
        <v>0</v>
      </c>
      <c r="Q34" t="str">
        <f t="shared" ca="1" si="14"/>
        <v/>
      </c>
      <c r="R34" t="str">
        <f t="shared" ca="1" si="15"/>
        <v/>
      </c>
      <c r="S34" t="str">
        <f ca="1"/>
        <v/>
      </c>
      <c r="T34" s="144" t="str">
        <f ca="1"/>
        <v/>
      </c>
      <c r="U34" t="str">
        <f t="shared" ca="1" si="16"/>
        <v/>
      </c>
      <c r="V34" s="144" t="str">
        <f t="shared" ca="1" si="17"/>
        <v/>
      </c>
      <c r="W34">
        <f t="shared" ca="1" si="38"/>
        <v>0</v>
      </c>
      <c r="X34" t="str" cm="1">
        <f t="array" aca="1" ref="X34" ca="1">IFERROR(INDEX(INDIRECT(CONCATENATE(AS$14,":",AS$16)),V34-AR$12+1),"")</f>
        <v/>
      </c>
      <c r="Y34" t="str">
        <f t="shared" si="18"/>
        <v>X34</v>
      </c>
      <c r="Z34" t="str">
        <f t="shared" ca="1" si="31"/>
        <v>X34</v>
      </c>
      <c r="AA34">
        <f t="shared" ca="1" si="39"/>
        <v>0</v>
      </c>
      <c r="AB34">
        <f t="shared" ca="1" si="32"/>
        <v>0</v>
      </c>
      <c r="AC34" t="str">
        <f t="shared" ca="1" si="7"/>
        <v/>
      </c>
      <c r="AD34" t="str" cm="1">
        <f t="array" aca="1" ref="AD34" ca="1">IF($AB34=0,"",INDIRECT(_xlfn.CONCAT(AU$14,$V34)))</f>
        <v/>
      </c>
      <c r="AE34" s="144" t="str">
        <f t="shared" ca="1" si="33"/>
        <v/>
      </c>
      <c r="AF34" t="str">
        <f t="shared" ca="1" si="19"/>
        <v/>
      </c>
      <c r="AG34" s="525" t="str">
        <f ca="1"/>
        <v/>
      </c>
      <c r="AH34" s="467" t="str">
        <f t="shared" ca="1" si="34"/>
        <v/>
      </c>
      <c r="AI34" s="533" t="str">
        <f t="shared" ca="1" si="37"/>
        <v/>
      </c>
      <c r="AJ34" s="533" t="str">
        <f t="shared" ca="1" si="20"/>
        <v/>
      </c>
      <c r="AK34" t="str">
        <f t="shared" ca="1" si="35"/>
        <v/>
      </c>
      <c r="AL34" s="140" t="str">
        <f t="shared" ca="1" si="8"/>
        <v/>
      </c>
      <c r="AM34" t="str">
        <f t="shared" ca="1" si="21"/>
        <v/>
      </c>
      <c r="AN34" s="144" t="str">
        <f t="shared" ca="1" si="22"/>
        <v/>
      </c>
      <c r="AR34" s="483">
        <f t="shared" si="43"/>
        <v>179</v>
      </c>
      <c r="AS34" s="157" t="str">
        <f t="shared" si="41"/>
        <v>B179</v>
      </c>
      <c r="AT34" s="479" t="str">
        <f t="shared" si="42"/>
        <v>B185</v>
      </c>
      <c r="AU34" s="477"/>
      <c r="AW34" s="140" t="str">
        <f t="shared" si="2"/>
        <v>N34</v>
      </c>
      <c r="AX34" t="str">
        <f t="shared" si="36"/>
        <v>$N$11:N33</v>
      </c>
      <c r="AY34" s="144" t="str">
        <f t="shared" si="23"/>
        <v>N35:$N$99</v>
      </c>
      <c r="BA34" s="139" t="str" cm="1">
        <f t="array" aca="1" ref="BA34" ca="1">IFERROR(CELL("address",INDEX('Project Mull Review'!AF:AF, SMALL(IF('Project Mull Review'!AF$35:AF$682&lt;&gt;"",ROW('Project Mull Review'!AF$35:AF$682),""),ROWS('Project Mull Review'!AF$35:AF58)))),"")</f>
        <v/>
      </c>
      <c r="BB34" s="155" t="str">
        <f t="shared" ca="1" si="24"/>
        <v/>
      </c>
      <c r="BC34" s="155" t="str">
        <f t="shared" ca="1" si="25"/>
        <v/>
      </c>
      <c r="BD34" s="155" t="str" cm="1">
        <f t="array" aca="1" ref="BD34" ca="1">IFERROR(INDEX(MainCell,BE34,2),"")</f>
        <v/>
      </c>
      <c r="BE34" s="155" t="str">
        <f t="shared" ca="1" si="26"/>
        <v/>
      </c>
      <c r="BF34" s="64" t="str">
        <f t="shared" ca="1" si="27"/>
        <v/>
      </c>
      <c r="BG34" s="64" t="str">
        <f t="shared" ca="1" si="44"/>
        <v/>
      </c>
      <c r="BH34" s="64" t="str" cm="1">
        <f t="array" aca="1" ref="BH34" ca="1">IFERROR(CONCATENATE(INDIRECT(BF34)," ", INDIRECT(BG34)),"")</f>
        <v/>
      </c>
      <c r="BI34" s="64" t="str">
        <f t="shared" ca="1" si="29"/>
        <v/>
      </c>
      <c r="BJ34" s="155">
        <f t="shared" ca="1" si="30"/>
        <v>0</v>
      </c>
      <c r="BK34" s="155">
        <f t="shared" ca="1" si="9"/>
        <v>0</v>
      </c>
      <c r="BL34" s="155">
        <f t="shared" ca="1" si="45"/>
        <v>0</v>
      </c>
      <c r="BM34" s="155">
        <f t="shared" ca="1" si="45"/>
        <v>0</v>
      </c>
      <c r="BN34" s="155">
        <f t="shared" ca="1" si="45"/>
        <v>0</v>
      </c>
      <c r="BO34" s="155">
        <f t="shared" ca="1" si="45"/>
        <v>0</v>
      </c>
      <c r="BP34" s="155">
        <f t="shared" ca="1" si="45"/>
        <v>0</v>
      </c>
      <c r="BQ34" s="155">
        <f t="shared" ca="1" si="45"/>
        <v>0</v>
      </c>
      <c r="BR34" s="155">
        <f t="shared" ca="1" si="45"/>
        <v>0</v>
      </c>
      <c r="BS34" s="479">
        <f t="shared" ca="1" si="45"/>
        <v>0</v>
      </c>
      <c r="BV34" s="505" t="str" cm="1">
        <f t="array" aca="1" ref="BV34" ca="1">IF(BJ35=0,"",CONCATENATE(INDEX(FinalSort,BJ35,4),": ",INDEX(FinalSort,BJ35,8)))</f>
        <v/>
      </c>
      <c r="BW34" s="506" t="str" cm="1">
        <f t="array" aca="1" ref="BW34" ca="1">IF(BK35=0,"",CONCATENATE(INDEX(FinalSort,BK35,4),": ",INDEX(FinalSort,BK35,8)))</f>
        <v/>
      </c>
      <c r="BX34" s="506" t="str" cm="1">
        <f t="array" aca="1" ref="BX34" ca="1">IF(BL35=0,"",CONCATENATE(INDEX(FinalSort,BL35,4),": ",INDEX(FinalSort,BL35,8)))</f>
        <v/>
      </c>
      <c r="BY34" s="506" t="str" cm="1">
        <f t="array" aca="1" ref="BY34" ca="1">IF(BM35=0,"",CONCATENATE(INDEX(FinalSort,BM35,4),": ",INDEX(FinalSort,BM35,8)))</f>
        <v/>
      </c>
      <c r="BZ34" s="506" t="str" cm="1">
        <f t="array" aca="1" ref="BZ34" ca="1">IF(BN35=0,"",CONCATENATE(INDEX(FinalSort,BN35,4),": ",INDEX(FinalSort,BN35,8)))</f>
        <v/>
      </c>
      <c r="CA34" s="506" t="str" cm="1">
        <f t="array" aca="1" ref="CA34" ca="1">IF(BO35=0,"",CONCATENATE(INDEX(FinalSort,BO35,4),": ",INDEX(FinalSort,BO35,8)))</f>
        <v/>
      </c>
      <c r="CB34" s="506" t="str" cm="1">
        <f t="array" aca="1" ref="CB34" ca="1">IF(BP35=0,"",CONCATENATE(INDEX(FinalSort,BP35,4),": ",INDEX(FinalSort,BP35,8)))</f>
        <v/>
      </c>
      <c r="CC34" s="506" t="str" cm="1">
        <f t="array" aca="1" ref="CC34" ca="1">IF(BQ35=0,"",CONCATENATE(INDEX(FinalSort,BQ35,4),": ",INDEX(FinalSort,BQ35,8)))</f>
        <v/>
      </c>
      <c r="CD34" s="506" t="str" cm="1">
        <f t="array" aca="1" ref="CD34" ca="1">IF(BR35=0,"",CONCATENATE(INDEX(FinalSort,BR35,4),": ",INDEX(FinalSort,BR35,8)))</f>
        <v/>
      </c>
      <c r="CE34" s="507" t="str" cm="1">
        <f t="array" aca="1" ref="CE34" ca="1">IF(BS35=0,"",CONCATENATE(INDEX(FinalSort,BS35,4),": ",INDEX(FinalSort,BS35,8)))</f>
        <v/>
      </c>
    </row>
    <row r="35" spans="1:83" x14ac:dyDescent="0.25">
      <c r="A35" s="4">
        <v>26</v>
      </c>
      <c r="B35" s="326" t="str">
        <f t="shared" ca="1" si="3"/>
        <v/>
      </c>
      <c r="C35" s="462" t="str">
        <f t="shared" ca="1" si="4"/>
        <v/>
      </c>
      <c r="D35" s="463" t="str">
        <f t="shared" ca="1" si="5"/>
        <v/>
      </c>
      <c r="E35" s="471" t="str">
        <f t="shared" ca="1" si="6"/>
        <v/>
      </c>
      <c r="F35" s="473" t="str">
        <f t="shared" ca="1" si="1"/>
        <v/>
      </c>
      <c r="G35" s="522"/>
      <c r="H35" s="155"/>
      <c r="I35" s="443" t="str" cm="1">
        <f t="array" ref="I35">IFERROR(INDEX('Project Mull Review'!AF:AF, SMALL(IF('Project Mull Review'!AF$35:AF$682&lt;&gt;"",ROW('Project Mull Review'!AF$35:AF$682),""),ROWS('Project Mull Review'!AF$35:AF59))),"")</f>
        <v/>
      </c>
      <c r="J35" s="389" t="str" cm="1">
        <f t="array" ref="J35">IFERROR(INDEX('Project Mull Review'!AI:AI, SMALL(IF('Project Mull Review'!AI$35:AI$682&lt;&gt;"",ROW('Project Mull Review'!AI$35:AI$682),""),ROWS('Project Mull Review'!AI$35:AI59))),"")</f>
        <v/>
      </c>
      <c r="K35" s="442" t="str" cm="1">
        <f t="array" ref="K35">IFERROR(ROUND(INDEX('Project Mull Review'!AT:AT, SMALL(IF('Project Mull Review'!AI$35:AI$682&lt;&gt;"",ROW('Project Mull Review'!AI$35:AI$682),""),ROWS('Project Mull Review'!AI$35:AI59))),0),"")</f>
        <v/>
      </c>
      <c r="M35" s="140">
        <f>ROW()</f>
        <v>35</v>
      </c>
      <c r="N35" t="str">
        <f t="shared" si="11"/>
        <v/>
      </c>
      <c r="O35" t="str">
        <f t="shared" si="12"/>
        <v/>
      </c>
      <c r="P35" s="144">
        <f t="shared" ca="1" si="13"/>
        <v>0</v>
      </c>
      <c r="Q35" t="str">
        <f t="shared" ca="1" si="14"/>
        <v/>
      </c>
      <c r="R35" t="str">
        <f t="shared" ca="1" si="15"/>
        <v/>
      </c>
      <c r="S35" t="str">
        <f ca="1"/>
        <v/>
      </c>
      <c r="T35" s="144" t="str">
        <f ca="1"/>
        <v/>
      </c>
      <c r="U35" t="str">
        <f t="shared" ca="1" si="16"/>
        <v/>
      </c>
      <c r="V35" s="144" t="str">
        <f t="shared" ca="1" si="17"/>
        <v/>
      </c>
      <c r="W35">
        <f t="shared" ca="1" si="38"/>
        <v>0</v>
      </c>
      <c r="X35" t="str" cm="1">
        <f t="array" aca="1" ref="X35" ca="1">IFERROR(INDEX(INDIRECT(CONCATENATE(AS$14,":",AS$16)),V35-AR$12+1),"")</f>
        <v/>
      </c>
      <c r="Y35" t="str">
        <f t="shared" si="18"/>
        <v>X35</v>
      </c>
      <c r="Z35" t="str">
        <f t="shared" ca="1" si="31"/>
        <v>X35</v>
      </c>
      <c r="AA35">
        <f t="shared" ca="1" si="39"/>
        <v>0</v>
      </c>
      <c r="AB35">
        <f t="shared" ca="1" si="32"/>
        <v>0</v>
      </c>
      <c r="AC35" t="str">
        <f t="shared" ca="1" si="7"/>
        <v/>
      </c>
      <c r="AD35" t="str" cm="1">
        <f t="array" aca="1" ref="AD35" ca="1">IF($AB35=0,"",INDIRECT(_xlfn.CONCAT(AU$14,$V35)))</f>
        <v/>
      </c>
      <c r="AE35" s="144" t="str">
        <f t="shared" ca="1" si="33"/>
        <v/>
      </c>
      <c r="AF35" t="str">
        <f t="shared" ca="1" si="19"/>
        <v/>
      </c>
      <c r="AG35" s="525" t="str">
        <f ca="1"/>
        <v/>
      </c>
      <c r="AH35" s="467" t="str">
        <f t="shared" ca="1" si="34"/>
        <v/>
      </c>
      <c r="AI35" s="533" t="str">
        <f t="shared" ca="1" si="37"/>
        <v/>
      </c>
      <c r="AJ35" s="533" t="str">
        <f t="shared" ca="1" si="20"/>
        <v/>
      </c>
      <c r="AK35" t="str">
        <f t="shared" ca="1" si="35"/>
        <v/>
      </c>
      <c r="AL35" s="140" t="str">
        <f t="shared" ca="1" si="8"/>
        <v/>
      </c>
      <c r="AM35" t="str">
        <f t="shared" ca="1" si="21"/>
        <v/>
      </c>
      <c r="AN35" s="144" t="str">
        <f t="shared" ca="1" si="22"/>
        <v/>
      </c>
      <c r="AR35" s="483">
        <f t="shared" si="43"/>
        <v>191</v>
      </c>
      <c r="AS35" s="157" t="str">
        <f t="shared" si="41"/>
        <v>B191</v>
      </c>
      <c r="AT35" s="479" t="str">
        <f t="shared" si="42"/>
        <v>B197</v>
      </c>
      <c r="AU35" s="477"/>
      <c r="AW35" s="140" t="str">
        <f t="shared" si="2"/>
        <v>N35</v>
      </c>
      <c r="AX35" t="str">
        <f t="shared" si="36"/>
        <v>$N$11:N34</v>
      </c>
      <c r="AY35" s="144" t="str">
        <f t="shared" si="23"/>
        <v>N36:$N$99</v>
      </c>
      <c r="BA35" s="139" t="str" cm="1">
        <f t="array" aca="1" ref="BA35" ca="1">IFERROR(CELL("address",INDEX('Project Mull Review'!AF:AF, SMALL(IF('Project Mull Review'!AF$35:AF$682&lt;&gt;"",ROW('Project Mull Review'!AF$35:AF$682),""),ROWS('Project Mull Review'!AF$35:AF59)))),"")</f>
        <v/>
      </c>
      <c r="BB35" s="155" t="str">
        <f t="shared" ca="1" si="24"/>
        <v/>
      </c>
      <c r="BC35" s="155" t="str">
        <f t="shared" ca="1" si="25"/>
        <v/>
      </c>
      <c r="BD35" s="155" t="str" cm="1">
        <f t="array" aca="1" ref="BD35" ca="1">IFERROR(INDEX(MainCell,BE35,2),"")</f>
        <v/>
      </c>
      <c r="BE35" s="155" t="str">
        <f t="shared" ca="1" si="26"/>
        <v/>
      </c>
      <c r="BF35" s="64" t="str">
        <f t="shared" ca="1" si="27"/>
        <v/>
      </c>
      <c r="BG35" s="64" t="str">
        <f t="shared" ca="1" si="44"/>
        <v/>
      </c>
      <c r="BH35" s="64" t="str" cm="1">
        <f t="array" aca="1" ref="BH35" ca="1">IFERROR(CONCATENATE(INDIRECT(BF35)," ", INDIRECT(BG35)),"")</f>
        <v/>
      </c>
      <c r="BI35" s="64" t="str">
        <f t="shared" ca="1" si="29"/>
        <v/>
      </c>
      <c r="BJ35" s="155">
        <f t="shared" ca="1" si="30"/>
        <v>0</v>
      </c>
      <c r="BK35" s="155">
        <f t="shared" ca="1" si="9"/>
        <v>0</v>
      </c>
      <c r="BL35" s="155">
        <f t="shared" ca="1" si="45"/>
        <v>0</v>
      </c>
      <c r="BM35" s="155">
        <f t="shared" ca="1" si="45"/>
        <v>0</v>
      </c>
      <c r="BN35" s="155">
        <f t="shared" ca="1" si="45"/>
        <v>0</v>
      </c>
      <c r="BO35" s="155">
        <f t="shared" ca="1" si="45"/>
        <v>0</v>
      </c>
      <c r="BP35" s="155">
        <f t="shared" ca="1" si="45"/>
        <v>0</v>
      </c>
      <c r="BQ35" s="155">
        <f t="shared" ca="1" si="45"/>
        <v>0</v>
      </c>
      <c r="BR35" s="155">
        <f t="shared" ca="1" si="45"/>
        <v>0</v>
      </c>
      <c r="BS35" s="479">
        <f t="shared" ca="1" si="45"/>
        <v>0</v>
      </c>
      <c r="BV35" s="505" t="str" cm="1">
        <f t="array" aca="1" ref="BV35" ca="1">IF(BJ36=0,"",CONCATENATE(INDEX(FinalSort,BJ36,4),": ",INDEX(FinalSort,BJ36,8)))</f>
        <v/>
      </c>
      <c r="BW35" s="506" t="str" cm="1">
        <f t="array" aca="1" ref="BW35" ca="1">IF(BK36=0,"",CONCATENATE(INDEX(FinalSort,BK36,4),": ",INDEX(FinalSort,BK36,8)))</f>
        <v/>
      </c>
      <c r="BX35" s="506" t="str" cm="1">
        <f t="array" aca="1" ref="BX35" ca="1">IF(BL36=0,"",CONCATENATE(INDEX(FinalSort,BL36,4),": ",INDEX(FinalSort,BL36,8)))</f>
        <v/>
      </c>
      <c r="BY35" s="506" t="str" cm="1">
        <f t="array" aca="1" ref="BY35" ca="1">IF(BM36=0,"",CONCATENATE(INDEX(FinalSort,BM36,4),": ",INDEX(FinalSort,BM36,8)))</f>
        <v/>
      </c>
      <c r="BZ35" s="506" t="str" cm="1">
        <f t="array" aca="1" ref="BZ35" ca="1">IF(BN36=0,"",CONCATENATE(INDEX(FinalSort,BN36,4),": ",INDEX(FinalSort,BN36,8)))</f>
        <v/>
      </c>
      <c r="CA35" s="506" t="str" cm="1">
        <f t="array" aca="1" ref="CA35" ca="1">IF(BO36=0,"",CONCATENATE(INDEX(FinalSort,BO36,4),": ",INDEX(FinalSort,BO36,8)))</f>
        <v/>
      </c>
      <c r="CB35" s="506" t="str" cm="1">
        <f t="array" aca="1" ref="CB35" ca="1">IF(BP36=0,"",CONCATENATE(INDEX(FinalSort,BP36,4),": ",INDEX(FinalSort,BP36,8)))</f>
        <v/>
      </c>
      <c r="CC35" s="506" t="str" cm="1">
        <f t="array" aca="1" ref="CC35" ca="1">IF(BQ36=0,"",CONCATENATE(INDEX(FinalSort,BQ36,4),": ",INDEX(FinalSort,BQ36,8)))</f>
        <v/>
      </c>
      <c r="CD35" s="506" t="str" cm="1">
        <f t="array" aca="1" ref="CD35" ca="1">IF(BR36=0,"",CONCATENATE(INDEX(FinalSort,BR36,4),": ",INDEX(FinalSort,BR36,8)))</f>
        <v/>
      </c>
      <c r="CE35" s="507" t="str" cm="1">
        <f t="array" aca="1" ref="CE35" ca="1">IF(BS36=0,"",CONCATENATE(INDEX(FinalSort,BS36,4),": ",INDEX(FinalSort,BS36,8)))</f>
        <v/>
      </c>
    </row>
    <row r="36" spans="1:83" x14ac:dyDescent="0.25">
      <c r="A36" s="4">
        <v>27</v>
      </c>
      <c r="B36" s="326" t="str">
        <f t="shared" ca="1" si="3"/>
        <v/>
      </c>
      <c r="C36" s="462" t="str">
        <f t="shared" ca="1" si="4"/>
        <v/>
      </c>
      <c r="D36" s="463" t="str">
        <f t="shared" ca="1" si="5"/>
        <v/>
      </c>
      <c r="E36" s="471" t="str">
        <f t="shared" ca="1" si="6"/>
        <v/>
      </c>
      <c r="F36" s="473" t="str">
        <f t="shared" ca="1" si="1"/>
        <v/>
      </c>
      <c r="G36" s="522"/>
      <c r="H36" s="155"/>
      <c r="I36" s="443" t="str" cm="1">
        <f t="array" ref="I36">IFERROR(INDEX('Project Mull Review'!AF:AF, SMALL(IF('Project Mull Review'!AF$35:AF$682&lt;&gt;"",ROW('Project Mull Review'!AF$35:AF$682),""),ROWS('Project Mull Review'!AF$35:AF60))),"")</f>
        <v/>
      </c>
      <c r="J36" s="389" t="str" cm="1">
        <f t="array" ref="J36">IFERROR(INDEX('Project Mull Review'!AI:AI, SMALL(IF('Project Mull Review'!AI$35:AI$682&lt;&gt;"",ROW('Project Mull Review'!AI$35:AI$682),""),ROWS('Project Mull Review'!AI$35:AI60))),"")</f>
        <v/>
      </c>
      <c r="K36" s="442" t="str" cm="1">
        <f t="array" ref="K36">IFERROR(ROUND(INDEX('Project Mull Review'!AT:AT, SMALL(IF('Project Mull Review'!AI$35:AI$682&lt;&gt;"",ROW('Project Mull Review'!AI$35:AI$682),""),ROWS('Project Mull Review'!AI$35:AI60))),0),"")</f>
        <v/>
      </c>
      <c r="M36" s="140">
        <f>ROW()</f>
        <v>36</v>
      </c>
      <c r="N36" t="str">
        <f t="shared" si="11"/>
        <v/>
      </c>
      <c r="O36" t="str">
        <f t="shared" si="12"/>
        <v/>
      </c>
      <c r="P36" s="144">
        <f t="shared" ca="1" si="13"/>
        <v>0</v>
      </c>
      <c r="Q36" t="str">
        <f t="shared" ca="1" si="14"/>
        <v/>
      </c>
      <c r="R36" t="str">
        <f t="shared" ca="1" si="15"/>
        <v/>
      </c>
      <c r="S36" t="str">
        <f ca="1"/>
        <v/>
      </c>
      <c r="T36" s="144" t="str">
        <f ca="1"/>
        <v/>
      </c>
      <c r="U36" t="str">
        <f t="shared" ca="1" si="16"/>
        <v/>
      </c>
      <c r="V36" s="144" t="str">
        <f t="shared" ca="1" si="17"/>
        <v/>
      </c>
      <c r="W36">
        <f t="shared" ca="1" si="38"/>
        <v>0</v>
      </c>
      <c r="X36" t="str" cm="1">
        <f t="array" aca="1" ref="X36" ca="1">IFERROR(INDEX(INDIRECT(CONCATENATE(AS$14,":",AS$16)),V36-AR$12+1),"")</f>
        <v/>
      </c>
      <c r="Y36" t="str">
        <f t="shared" si="18"/>
        <v>X36</v>
      </c>
      <c r="Z36" t="str">
        <f t="shared" ca="1" si="31"/>
        <v>X36</v>
      </c>
      <c r="AA36">
        <f t="shared" ca="1" si="39"/>
        <v>0</v>
      </c>
      <c r="AB36">
        <f t="shared" ca="1" si="32"/>
        <v>0</v>
      </c>
      <c r="AC36" t="str">
        <f t="shared" ca="1" si="7"/>
        <v/>
      </c>
      <c r="AD36" t="str" cm="1">
        <f t="array" aca="1" ref="AD36" ca="1">IF($AB36=0,"",INDIRECT(_xlfn.CONCAT(AU$14,$V36)))</f>
        <v/>
      </c>
      <c r="AE36" s="144" t="str">
        <f t="shared" ca="1" si="33"/>
        <v/>
      </c>
      <c r="AF36" t="str">
        <f t="shared" ca="1" si="19"/>
        <v/>
      </c>
      <c r="AG36" s="525" t="str">
        <f ca="1"/>
        <v/>
      </c>
      <c r="AH36" s="467" t="str">
        <f t="shared" ca="1" si="34"/>
        <v/>
      </c>
      <c r="AI36" s="533" t="str">
        <f t="shared" ca="1" si="37"/>
        <v/>
      </c>
      <c r="AJ36" s="533" t="str">
        <f t="shared" ca="1" si="20"/>
        <v/>
      </c>
      <c r="AK36" t="str">
        <f t="shared" ca="1" si="35"/>
        <v/>
      </c>
      <c r="AL36" s="140" t="str">
        <f t="shared" ca="1" si="8"/>
        <v/>
      </c>
      <c r="AM36" t="str">
        <f t="shared" ca="1" si="21"/>
        <v/>
      </c>
      <c r="AN36" s="144" t="str">
        <f t="shared" ca="1" si="22"/>
        <v/>
      </c>
      <c r="AR36" s="483">
        <f t="shared" si="43"/>
        <v>203</v>
      </c>
      <c r="AS36" s="157" t="str">
        <f t="shared" si="41"/>
        <v>B203</v>
      </c>
      <c r="AT36" s="479" t="str">
        <f t="shared" si="42"/>
        <v>B209</v>
      </c>
      <c r="AU36" s="477"/>
      <c r="AW36" s="140" t="str">
        <f t="shared" si="2"/>
        <v>N36</v>
      </c>
      <c r="AX36" t="str">
        <f t="shared" si="36"/>
        <v>$N$11:N35</v>
      </c>
      <c r="AY36" s="144" t="str">
        <f t="shared" si="23"/>
        <v>N37:$N$99</v>
      </c>
      <c r="BA36" s="139" t="str" cm="1">
        <f t="array" aca="1" ref="BA36" ca="1">IFERROR(CELL("address",INDEX('Project Mull Review'!AF:AF, SMALL(IF('Project Mull Review'!AF$35:AF$682&lt;&gt;"",ROW('Project Mull Review'!AF$35:AF$682),""),ROWS('Project Mull Review'!AF$35:AF60)))),"")</f>
        <v/>
      </c>
      <c r="BB36" s="155" t="str">
        <f t="shared" ca="1" si="24"/>
        <v/>
      </c>
      <c r="BC36" s="155" t="str">
        <f t="shared" ca="1" si="25"/>
        <v/>
      </c>
      <c r="BD36" s="155" t="str" cm="1">
        <f t="array" aca="1" ref="BD36" ca="1">IFERROR(INDEX(MainCell,BE36,2),"")</f>
        <v/>
      </c>
      <c r="BE36" s="155" t="str">
        <f t="shared" ca="1" si="26"/>
        <v/>
      </c>
      <c r="BF36" s="64" t="str">
        <f t="shared" ca="1" si="27"/>
        <v/>
      </c>
      <c r="BG36" s="64" t="str">
        <f t="shared" ca="1" si="44"/>
        <v/>
      </c>
      <c r="BH36" s="64" t="str" cm="1">
        <f t="array" aca="1" ref="BH36" ca="1">IFERROR(CONCATENATE(INDIRECT(BF36)," ", INDIRECT(BG36)),"")</f>
        <v/>
      </c>
      <c r="BI36" s="64" t="str">
        <f t="shared" ca="1" si="29"/>
        <v/>
      </c>
      <c r="BJ36" s="155">
        <f t="shared" ca="1" si="30"/>
        <v>0</v>
      </c>
      <c r="BK36" s="155">
        <f t="shared" ca="1" si="9"/>
        <v>0</v>
      </c>
      <c r="BL36" s="155">
        <f t="shared" ca="1" si="45"/>
        <v>0</v>
      </c>
      <c r="BM36" s="155">
        <f t="shared" ca="1" si="45"/>
        <v>0</v>
      </c>
      <c r="BN36" s="155">
        <f t="shared" ca="1" si="45"/>
        <v>0</v>
      </c>
      <c r="BO36" s="155">
        <f t="shared" ca="1" si="45"/>
        <v>0</v>
      </c>
      <c r="BP36" s="155">
        <f t="shared" ca="1" si="45"/>
        <v>0</v>
      </c>
      <c r="BQ36" s="155">
        <f t="shared" ca="1" si="45"/>
        <v>0</v>
      </c>
      <c r="BR36" s="155">
        <f t="shared" ca="1" si="45"/>
        <v>0</v>
      </c>
      <c r="BS36" s="479">
        <f t="shared" ca="1" si="45"/>
        <v>0</v>
      </c>
      <c r="BV36" s="505" t="str" cm="1">
        <f t="array" aca="1" ref="BV36" ca="1">IF(BJ37=0,"",CONCATENATE(INDEX(FinalSort,BJ37,4),": ",INDEX(FinalSort,BJ37,8)))</f>
        <v/>
      </c>
      <c r="BW36" s="506" t="str" cm="1">
        <f t="array" aca="1" ref="BW36" ca="1">IF(BK37=0,"",CONCATENATE(INDEX(FinalSort,BK37,4),": ",INDEX(FinalSort,BK37,8)))</f>
        <v/>
      </c>
      <c r="BX36" s="506" t="str" cm="1">
        <f t="array" aca="1" ref="BX36" ca="1">IF(BL37=0,"",CONCATENATE(INDEX(FinalSort,BL37,4),": ",INDEX(FinalSort,BL37,8)))</f>
        <v/>
      </c>
      <c r="BY36" s="506" t="str" cm="1">
        <f t="array" aca="1" ref="BY36" ca="1">IF(BM37=0,"",CONCATENATE(INDEX(FinalSort,BM37,4),": ",INDEX(FinalSort,BM37,8)))</f>
        <v/>
      </c>
      <c r="BZ36" s="506" t="str" cm="1">
        <f t="array" aca="1" ref="BZ36" ca="1">IF(BN37=0,"",CONCATENATE(INDEX(FinalSort,BN37,4),": ",INDEX(FinalSort,BN37,8)))</f>
        <v/>
      </c>
      <c r="CA36" s="506" t="str" cm="1">
        <f t="array" aca="1" ref="CA36" ca="1">IF(BO37=0,"",CONCATENATE(INDEX(FinalSort,BO37,4),": ",INDEX(FinalSort,BO37,8)))</f>
        <v/>
      </c>
      <c r="CB36" s="506" t="str" cm="1">
        <f t="array" aca="1" ref="CB36" ca="1">IF(BP37=0,"",CONCATENATE(INDEX(FinalSort,BP37,4),": ",INDEX(FinalSort,BP37,8)))</f>
        <v/>
      </c>
      <c r="CC36" s="506" t="str" cm="1">
        <f t="array" aca="1" ref="CC36" ca="1">IF(BQ37=0,"",CONCATENATE(INDEX(FinalSort,BQ37,4),": ",INDEX(FinalSort,BQ37,8)))</f>
        <v/>
      </c>
      <c r="CD36" s="506" t="str" cm="1">
        <f t="array" aca="1" ref="CD36" ca="1">IF(BR37=0,"",CONCATENATE(INDEX(FinalSort,BR37,4),": ",INDEX(FinalSort,BR37,8)))</f>
        <v/>
      </c>
      <c r="CE36" s="507" t="str" cm="1">
        <f t="array" aca="1" ref="CE36" ca="1">IF(BS37=0,"",CONCATENATE(INDEX(FinalSort,BS37,4),": ",INDEX(FinalSort,BS37,8)))</f>
        <v/>
      </c>
    </row>
    <row r="37" spans="1:83" x14ac:dyDescent="0.25">
      <c r="A37" s="4">
        <v>28</v>
      </c>
      <c r="B37" s="326" t="str">
        <f t="shared" ca="1" si="3"/>
        <v/>
      </c>
      <c r="C37" s="462" t="str">
        <f t="shared" ca="1" si="4"/>
        <v/>
      </c>
      <c r="D37" s="463" t="str">
        <f t="shared" ca="1" si="5"/>
        <v/>
      </c>
      <c r="E37" s="471" t="str">
        <f t="shared" ca="1" si="6"/>
        <v/>
      </c>
      <c r="F37" s="473" t="str">
        <f t="shared" ca="1" si="1"/>
        <v/>
      </c>
      <c r="G37" s="522"/>
      <c r="H37" s="155"/>
      <c r="I37" s="443" t="str" cm="1">
        <f t="array" ref="I37">IFERROR(INDEX('Project Mull Review'!AF:AF, SMALL(IF('Project Mull Review'!AF$35:AF$682&lt;&gt;"",ROW('Project Mull Review'!AF$35:AF$682),""),ROWS('Project Mull Review'!AF$35:AF61))),"")</f>
        <v/>
      </c>
      <c r="J37" s="389" t="str" cm="1">
        <f t="array" ref="J37">IFERROR(INDEX('Project Mull Review'!AI:AI, SMALL(IF('Project Mull Review'!AI$35:AI$682&lt;&gt;"",ROW('Project Mull Review'!AI$35:AI$682),""),ROWS('Project Mull Review'!AI$35:AI61))),"")</f>
        <v/>
      </c>
      <c r="K37" s="442" t="str" cm="1">
        <f t="array" ref="K37">IFERROR(ROUND(INDEX('Project Mull Review'!AT:AT, SMALL(IF('Project Mull Review'!AI$35:AI$682&lt;&gt;"",ROW('Project Mull Review'!AI$35:AI$682),""),ROWS('Project Mull Review'!AI$35:AI61))),0),"")</f>
        <v/>
      </c>
      <c r="M37" s="140">
        <f>ROW()</f>
        <v>37</v>
      </c>
      <c r="N37" t="str">
        <f t="shared" si="11"/>
        <v/>
      </c>
      <c r="O37" t="str">
        <f t="shared" si="12"/>
        <v/>
      </c>
      <c r="P37" s="144">
        <f t="shared" ca="1" si="13"/>
        <v>0</v>
      </c>
      <c r="Q37" t="str">
        <f t="shared" ca="1" si="14"/>
        <v/>
      </c>
      <c r="R37" t="str">
        <f t="shared" ca="1" si="15"/>
        <v/>
      </c>
      <c r="S37" t="str">
        <f ca="1"/>
        <v/>
      </c>
      <c r="T37" s="144" t="str">
        <f ca="1"/>
        <v/>
      </c>
      <c r="U37" t="str">
        <f t="shared" ca="1" si="16"/>
        <v/>
      </c>
      <c r="V37" s="144" t="str">
        <f t="shared" ca="1" si="17"/>
        <v/>
      </c>
      <c r="W37">
        <f t="shared" ca="1" si="38"/>
        <v>0</v>
      </c>
      <c r="X37" t="str" cm="1">
        <f t="array" aca="1" ref="X37" ca="1">IFERROR(INDEX(INDIRECT(CONCATENATE(AS$14,":",AS$16)),V37-AR$12+1),"")</f>
        <v/>
      </c>
      <c r="Y37" t="str">
        <f t="shared" si="18"/>
        <v>X37</v>
      </c>
      <c r="Z37" t="str">
        <f t="shared" ca="1" si="31"/>
        <v>X37</v>
      </c>
      <c r="AA37">
        <f t="shared" ca="1" si="39"/>
        <v>0</v>
      </c>
      <c r="AB37">
        <f t="shared" ca="1" si="32"/>
        <v>0</v>
      </c>
      <c r="AC37" t="str">
        <f t="shared" ca="1" si="7"/>
        <v/>
      </c>
      <c r="AD37" t="str" cm="1">
        <f t="array" aca="1" ref="AD37" ca="1">IF($AB37=0,"",INDIRECT(_xlfn.CONCAT(AU$14,$V37)))</f>
        <v/>
      </c>
      <c r="AE37" s="144" t="str">
        <f t="shared" ca="1" si="33"/>
        <v/>
      </c>
      <c r="AF37" t="str">
        <f t="shared" ca="1" si="19"/>
        <v/>
      </c>
      <c r="AG37" s="525" t="str">
        <f ca="1"/>
        <v/>
      </c>
      <c r="AH37" s="467" t="str">
        <f t="shared" ca="1" si="34"/>
        <v/>
      </c>
      <c r="AI37" s="533" t="str">
        <f t="shared" ca="1" si="37"/>
        <v/>
      </c>
      <c r="AJ37" s="533" t="str">
        <f t="shared" ca="1" si="20"/>
        <v/>
      </c>
      <c r="AK37" t="str">
        <f t="shared" ca="1" si="35"/>
        <v/>
      </c>
      <c r="AL37" s="140" t="str">
        <f t="shared" ca="1" si="8"/>
        <v/>
      </c>
      <c r="AM37" t="str">
        <f t="shared" ca="1" si="21"/>
        <v/>
      </c>
      <c r="AN37" s="144" t="str">
        <f t="shared" ca="1" si="22"/>
        <v/>
      </c>
      <c r="AR37" s="483">
        <f t="shared" si="43"/>
        <v>215</v>
      </c>
      <c r="AS37" s="157" t="str">
        <f t="shared" si="41"/>
        <v>B215</v>
      </c>
      <c r="AT37" s="479" t="str">
        <f t="shared" si="42"/>
        <v>B221</v>
      </c>
      <c r="AU37" s="477"/>
      <c r="AW37" s="140" t="str">
        <f t="shared" si="2"/>
        <v>N37</v>
      </c>
      <c r="AX37" t="str">
        <f t="shared" si="36"/>
        <v>$N$11:N36</v>
      </c>
      <c r="AY37" s="144" t="str">
        <f t="shared" si="23"/>
        <v>N38:$N$99</v>
      </c>
      <c r="BA37" s="139" t="str" cm="1">
        <f t="array" aca="1" ref="BA37" ca="1">IFERROR(CELL("address",INDEX('Project Mull Review'!AF:AF, SMALL(IF('Project Mull Review'!AF$35:AF$682&lt;&gt;"",ROW('Project Mull Review'!AF$35:AF$682),""),ROWS('Project Mull Review'!AF$35:AF61)))),"")</f>
        <v/>
      </c>
      <c r="BB37" s="155" t="str">
        <f t="shared" ca="1" si="24"/>
        <v/>
      </c>
      <c r="BC37" s="155" t="str">
        <f t="shared" ca="1" si="25"/>
        <v/>
      </c>
      <c r="BD37" s="155" t="str" cm="1">
        <f t="array" aca="1" ref="BD37" ca="1">IFERROR(INDEX(MainCell,BE37,2),"")</f>
        <v/>
      </c>
      <c r="BE37" s="155" t="str">
        <f t="shared" ca="1" si="26"/>
        <v/>
      </c>
      <c r="BF37" s="64" t="str">
        <f t="shared" ca="1" si="27"/>
        <v/>
      </c>
      <c r="BG37" s="64" t="str">
        <f t="shared" ca="1" si="44"/>
        <v/>
      </c>
      <c r="BH37" s="64" t="str" cm="1">
        <f t="array" aca="1" ref="BH37" ca="1">IFERROR(CONCATENATE(INDIRECT(BF37)," ", INDIRECT(BG37)),"")</f>
        <v/>
      </c>
      <c r="BI37" s="64" t="str">
        <f t="shared" ca="1" si="29"/>
        <v/>
      </c>
      <c r="BJ37" s="155">
        <f t="shared" ca="1" si="30"/>
        <v>0</v>
      </c>
      <c r="BK37" s="155">
        <f t="shared" ca="1" si="9"/>
        <v>0</v>
      </c>
      <c r="BL37" s="155">
        <f t="shared" ca="1" si="45"/>
        <v>0</v>
      </c>
      <c r="BM37" s="155">
        <f t="shared" ca="1" si="45"/>
        <v>0</v>
      </c>
      <c r="BN37" s="155">
        <f t="shared" ca="1" si="45"/>
        <v>0</v>
      </c>
      <c r="BO37" s="155">
        <f t="shared" ca="1" si="45"/>
        <v>0</v>
      </c>
      <c r="BP37" s="155">
        <f t="shared" ca="1" si="45"/>
        <v>0</v>
      </c>
      <c r="BQ37" s="155">
        <f t="shared" ca="1" si="45"/>
        <v>0</v>
      </c>
      <c r="BR37" s="155">
        <f t="shared" ca="1" si="45"/>
        <v>0</v>
      </c>
      <c r="BS37" s="479">
        <f t="shared" ca="1" si="45"/>
        <v>0</v>
      </c>
      <c r="BV37" s="505" t="str" cm="1">
        <f t="array" aca="1" ref="BV37" ca="1">IF(BJ38=0,"",CONCATENATE(INDEX(FinalSort,BJ38,4),": ",INDEX(FinalSort,BJ38,8)))</f>
        <v/>
      </c>
      <c r="BW37" s="506" t="str" cm="1">
        <f t="array" aca="1" ref="BW37" ca="1">IF(BK38=0,"",CONCATENATE(INDEX(FinalSort,BK38,4),": ",INDEX(FinalSort,BK38,8)))</f>
        <v/>
      </c>
      <c r="BX37" s="506" t="str" cm="1">
        <f t="array" aca="1" ref="BX37" ca="1">IF(BL38=0,"",CONCATENATE(INDEX(FinalSort,BL38,4),": ",INDEX(FinalSort,BL38,8)))</f>
        <v/>
      </c>
      <c r="BY37" s="506" t="str" cm="1">
        <f t="array" aca="1" ref="BY37" ca="1">IF(BM38=0,"",CONCATENATE(INDEX(FinalSort,BM38,4),": ",INDEX(FinalSort,BM38,8)))</f>
        <v/>
      </c>
      <c r="BZ37" s="506" t="str" cm="1">
        <f t="array" aca="1" ref="BZ37" ca="1">IF(BN38=0,"",CONCATENATE(INDEX(FinalSort,BN38,4),": ",INDEX(FinalSort,BN38,8)))</f>
        <v/>
      </c>
      <c r="CA37" s="506" t="str" cm="1">
        <f t="array" aca="1" ref="CA37" ca="1">IF(BO38=0,"",CONCATENATE(INDEX(FinalSort,BO38,4),": ",INDEX(FinalSort,BO38,8)))</f>
        <v/>
      </c>
      <c r="CB37" s="506" t="str" cm="1">
        <f t="array" aca="1" ref="CB37" ca="1">IF(BP38=0,"",CONCATENATE(INDEX(FinalSort,BP38,4),": ",INDEX(FinalSort,BP38,8)))</f>
        <v/>
      </c>
      <c r="CC37" s="506" t="str" cm="1">
        <f t="array" aca="1" ref="CC37" ca="1">IF(BQ38=0,"",CONCATENATE(INDEX(FinalSort,BQ38,4),": ",INDEX(FinalSort,BQ38,8)))</f>
        <v/>
      </c>
      <c r="CD37" s="506" t="str" cm="1">
        <f t="array" aca="1" ref="CD37" ca="1">IF(BR38=0,"",CONCATENATE(INDEX(FinalSort,BR38,4),": ",INDEX(FinalSort,BR38,8)))</f>
        <v/>
      </c>
      <c r="CE37" s="507" t="str" cm="1">
        <f t="array" aca="1" ref="CE37" ca="1">IF(BS38=0,"",CONCATENATE(INDEX(FinalSort,BS38,4),": ",INDEX(FinalSort,BS38,8)))</f>
        <v/>
      </c>
    </row>
    <row r="38" spans="1:83" x14ac:dyDescent="0.25">
      <c r="A38" s="4">
        <v>29</v>
      </c>
      <c r="B38" s="326" t="str">
        <f t="shared" ca="1" si="3"/>
        <v/>
      </c>
      <c r="C38" s="462" t="str">
        <f t="shared" ca="1" si="4"/>
        <v/>
      </c>
      <c r="D38" s="463" t="str">
        <f t="shared" ca="1" si="5"/>
        <v/>
      </c>
      <c r="E38" s="471" t="str">
        <f t="shared" ca="1" si="6"/>
        <v/>
      </c>
      <c r="F38" s="473" t="str">
        <f t="shared" ca="1" si="1"/>
        <v/>
      </c>
      <c r="G38" s="522"/>
      <c r="H38" s="155"/>
      <c r="I38" s="443" t="str" cm="1">
        <f t="array" ref="I38">IFERROR(INDEX('Project Mull Review'!AF:AF, SMALL(IF('Project Mull Review'!AF$35:AF$682&lt;&gt;"",ROW('Project Mull Review'!AF$35:AF$682),""),ROWS('Project Mull Review'!AF$35:AF62))),"")</f>
        <v/>
      </c>
      <c r="J38" s="389" t="str" cm="1">
        <f t="array" ref="J38">IFERROR(INDEX('Project Mull Review'!AI:AI, SMALL(IF('Project Mull Review'!AI$35:AI$682&lt;&gt;"",ROW('Project Mull Review'!AI$35:AI$682),""),ROWS('Project Mull Review'!AI$35:AI62))),"")</f>
        <v/>
      </c>
      <c r="K38" s="442" t="str" cm="1">
        <f t="array" ref="K38">IFERROR(ROUND(INDEX('Project Mull Review'!AT:AT, SMALL(IF('Project Mull Review'!AI$35:AI$682&lt;&gt;"",ROW('Project Mull Review'!AI$35:AI$682),""),ROWS('Project Mull Review'!AI$35:AI62))),0),"")</f>
        <v/>
      </c>
      <c r="M38" s="140">
        <f>ROW()</f>
        <v>38</v>
      </c>
      <c r="N38" t="str">
        <f t="shared" si="11"/>
        <v/>
      </c>
      <c r="O38" t="str">
        <f t="shared" si="12"/>
        <v/>
      </c>
      <c r="P38" s="144">
        <f t="shared" ca="1" si="13"/>
        <v>0</v>
      </c>
      <c r="Q38" t="str">
        <f t="shared" ca="1" si="14"/>
        <v/>
      </c>
      <c r="R38" t="str">
        <f t="shared" ca="1" si="15"/>
        <v/>
      </c>
      <c r="S38" t="str">
        <f ca="1"/>
        <v/>
      </c>
      <c r="T38" s="144" t="str">
        <f ca="1"/>
        <v/>
      </c>
      <c r="U38" t="str">
        <f t="shared" ca="1" si="16"/>
        <v/>
      </c>
      <c r="V38" s="144" t="str">
        <f t="shared" ca="1" si="17"/>
        <v/>
      </c>
      <c r="W38">
        <f t="shared" ca="1" si="38"/>
        <v>0</v>
      </c>
      <c r="X38" t="str" cm="1">
        <f t="array" aca="1" ref="X38" ca="1">IFERROR(INDEX(INDIRECT(CONCATENATE(AS$14,":",AS$16)),V38-AR$12+1),"")</f>
        <v/>
      </c>
      <c r="Y38" t="str">
        <f t="shared" si="18"/>
        <v>X38</v>
      </c>
      <c r="Z38" t="str">
        <f t="shared" ca="1" si="31"/>
        <v>X38</v>
      </c>
      <c r="AA38">
        <f t="shared" ca="1" si="39"/>
        <v>0</v>
      </c>
      <c r="AB38">
        <f t="shared" ca="1" si="32"/>
        <v>0</v>
      </c>
      <c r="AC38" t="str">
        <f t="shared" ca="1" si="7"/>
        <v/>
      </c>
      <c r="AD38" t="str" cm="1">
        <f t="array" aca="1" ref="AD38" ca="1">IF($AB38=0,"",INDIRECT(_xlfn.CONCAT(AU$14,$V38)))</f>
        <v/>
      </c>
      <c r="AE38" s="144" t="str">
        <f t="shared" ca="1" si="33"/>
        <v/>
      </c>
      <c r="AF38" t="str">
        <f t="shared" ca="1" si="19"/>
        <v/>
      </c>
      <c r="AG38" s="525" t="str">
        <f ca="1"/>
        <v/>
      </c>
      <c r="AH38" s="467" t="str">
        <f t="shared" ca="1" si="34"/>
        <v/>
      </c>
      <c r="AI38" s="533" t="str">
        <f t="shared" ca="1" si="37"/>
        <v/>
      </c>
      <c r="AJ38" s="533" t="str">
        <f t="shared" ca="1" si="20"/>
        <v/>
      </c>
      <c r="AK38" t="str">
        <f t="shared" ca="1" si="35"/>
        <v/>
      </c>
      <c r="AL38" s="140" t="str">
        <f t="shared" ca="1" si="8"/>
        <v/>
      </c>
      <c r="AM38" t="str">
        <f t="shared" ca="1" si="21"/>
        <v/>
      </c>
      <c r="AN38" s="144" t="str">
        <f t="shared" ca="1" si="22"/>
        <v/>
      </c>
      <c r="AR38" s="483">
        <f t="shared" si="43"/>
        <v>227</v>
      </c>
      <c r="AS38" s="157" t="str">
        <f t="shared" si="41"/>
        <v>B227</v>
      </c>
      <c r="AT38" s="479" t="str">
        <f t="shared" si="42"/>
        <v>B233</v>
      </c>
      <c r="AU38" s="477"/>
      <c r="AW38" s="140" t="str">
        <f t="shared" si="2"/>
        <v>N38</v>
      </c>
      <c r="AX38" t="str">
        <f t="shared" si="36"/>
        <v>$N$11:N37</v>
      </c>
      <c r="AY38" s="144" t="str">
        <f t="shared" si="23"/>
        <v>N39:$N$99</v>
      </c>
      <c r="BA38" s="139" t="str" cm="1">
        <f t="array" aca="1" ref="BA38" ca="1">IFERROR(CELL("address",INDEX('Project Mull Review'!AF:AF, SMALL(IF('Project Mull Review'!AF$35:AF$682&lt;&gt;"",ROW('Project Mull Review'!AF$35:AF$682),""),ROWS('Project Mull Review'!AF$35:AF62)))),"")</f>
        <v/>
      </c>
      <c r="BB38" s="155" t="str">
        <f t="shared" ca="1" si="24"/>
        <v/>
      </c>
      <c r="BC38" s="155" t="str">
        <f t="shared" ca="1" si="25"/>
        <v/>
      </c>
      <c r="BD38" s="155" t="str" cm="1">
        <f t="array" aca="1" ref="BD38" ca="1">IFERROR(INDEX(MainCell,BE38,2),"")</f>
        <v/>
      </c>
      <c r="BE38" s="155" t="str">
        <f t="shared" ca="1" si="26"/>
        <v/>
      </c>
      <c r="BF38" s="64" t="str">
        <f t="shared" ca="1" si="27"/>
        <v/>
      </c>
      <c r="BG38" s="64" t="str">
        <f t="shared" ca="1" si="44"/>
        <v/>
      </c>
      <c r="BH38" s="64" t="str" cm="1">
        <f t="array" aca="1" ref="BH38" ca="1">IFERROR(CONCATENATE(INDIRECT(BF38)," ", INDIRECT(BG38)),"")</f>
        <v/>
      </c>
      <c r="BI38" s="64" t="str">
        <f t="shared" ca="1" si="29"/>
        <v/>
      </c>
      <c r="BJ38" s="155">
        <f t="shared" ca="1" si="30"/>
        <v>0</v>
      </c>
      <c r="BK38" s="155">
        <f t="shared" ca="1" si="9"/>
        <v>0</v>
      </c>
      <c r="BL38" s="155">
        <f t="shared" ca="1" si="45"/>
        <v>0</v>
      </c>
      <c r="BM38" s="155">
        <f t="shared" ca="1" si="45"/>
        <v>0</v>
      </c>
      <c r="BN38" s="155">
        <f t="shared" ca="1" si="45"/>
        <v>0</v>
      </c>
      <c r="BO38" s="155">
        <f t="shared" ca="1" si="45"/>
        <v>0</v>
      </c>
      <c r="BP38" s="155">
        <f t="shared" ca="1" si="45"/>
        <v>0</v>
      </c>
      <c r="BQ38" s="155">
        <f t="shared" ca="1" si="45"/>
        <v>0</v>
      </c>
      <c r="BR38" s="155">
        <f t="shared" ca="1" si="45"/>
        <v>0</v>
      </c>
      <c r="BS38" s="479">
        <f t="shared" ca="1" si="45"/>
        <v>0</v>
      </c>
      <c r="BV38" s="505" t="str" cm="1">
        <f t="array" aca="1" ref="BV38" ca="1">IF(BJ39=0,"",CONCATENATE(INDEX(FinalSort,BJ39,4),": ",INDEX(FinalSort,BJ39,8)))</f>
        <v/>
      </c>
      <c r="BW38" s="506" t="str" cm="1">
        <f t="array" aca="1" ref="BW38" ca="1">IF(BK39=0,"",CONCATENATE(INDEX(FinalSort,BK39,4),": ",INDEX(FinalSort,BK39,8)))</f>
        <v/>
      </c>
      <c r="BX38" s="506" t="str" cm="1">
        <f t="array" aca="1" ref="BX38" ca="1">IF(BL39=0,"",CONCATENATE(INDEX(FinalSort,BL39,4),": ",INDEX(FinalSort,BL39,8)))</f>
        <v/>
      </c>
      <c r="BY38" s="506" t="str" cm="1">
        <f t="array" aca="1" ref="BY38" ca="1">IF(BM39=0,"",CONCATENATE(INDEX(FinalSort,BM39,4),": ",INDEX(FinalSort,BM39,8)))</f>
        <v/>
      </c>
      <c r="BZ38" s="506" t="str" cm="1">
        <f t="array" aca="1" ref="BZ38" ca="1">IF(BN39=0,"",CONCATENATE(INDEX(FinalSort,BN39,4),": ",INDEX(FinalSort,BN39,8)))</f>
        <v/>
      </c>
      <c r="CA38" s="506" t="str" cm="1">
        <f t="array" aca="1" ref="CA38" ca="1">IF(BO39=0,"",CONCATENATE(INDEX(FinalSort,BO39,4),": ",INDEX(FinalSort,BO39,8)))</f>
        <v/>
      </c>
      <c r="CB38" s="506" t="str" cm="1">
        <f t="array" aca="1" ref="CB38" ca="1">IF(BP39=0,"",CONCATENATE(INDEX(FinalSort,BP39,4),": ",INDEX(FinalSort,BP39,8)))</f>
        <v/>
      </c>
      <c r="CC38" s="506" t="str" cm="1">
        <f t="array" aca="1" ref="CC38" ca="1">IF(BQ39=0,"",CONCATENATE(INDEX(FinalSort,BQ39,4),": ",INDEX(FinalSort,BQ39,8)))</f>
        <v/>
      </c>
      <c r="CD38" s="506" t="str" cm="1">
        <f t="array" aca="1" ref="CD38" ca="1">IF(BR39=0,"",CONCATENATE(INDEX(FinalSort,BR39,4),": ",INDEX(FinalSort,BR39,8)))</f>
        <v/>
      </c>
      <c r="CE38" s="507" t="str" cm="1">
        <f t="array" aca="1" ref="CE38" ca="1">IF(BS39=0,"",CONCATENATE(INDEX(FinalSort,BS39,4),": ",INDEX(FinalSort,BS39,8)))</f>
        <v/>
      </c>
    </row>
    <row r="39" spans="1:83" x14ac:dyDescent="0.25">
      <c r="A39" s="4">
        <v>30</v>
      </c>
      <c r="B39" s="326" t="str">
        <f t="shared" ca="1" si="3"/>
        <v/>
      </c>
      <c r="C39" s="462" t="str">
        <f t="shared" ca="1" si="4"/>
        <v/>
      </c>
      <c r="D39" s="463" t="str">
        <f t="shared" ca="1" si="5"/>
        <v/>
      </c>
      <c r="E39" s="471" t="str">
        <f t="shared" ca="1" si="6"/>
        <v/>
      </c>
      <c r="F39" s="473" t="str">
        <f t="shared" ca="1" si="1"/>
        <v/>
      </c>
      <c r="G39" s="522"/>
      <c r="H39" s="155"/>
      <c r="I39" s="443" t="str" cm="1">
        <f t="array" ref="I39">IFERROR(INDEX('Project Mull Review'!AF:AF, SMALL(IF('Project Mull Review'!AF$35:AF$682&lt;&gt;"",ROW('Project Mull Review'!AF$35:AF$682),""),ROWS('Project Mull Review'!AF$35:AF63))),"")</f>
        <v/>
      </c>
      <c r="J39" s="389" t="str" cm="1">
        <f t="array" ref="J39">IFERROR(INDEX('Project Mull Review'!AI:AI, SMALL(IF('Project Mull Review'!AI$35:AI$682&lt;&gt;"",ROW('Project Mull Review'!AI$35:AI$682),""),ROWS('Project Mull Review'!AI$35:AI63))),"")</f>
        <v/>
      </c>
      <c r="K39" s="442" t="str" cm="1">
        <f t="array" ref="K39">IFERROR(ROUND(INDEX('Project Mull Review'!AT:AT, SMALL(IF('Project Mull Review'!AI$35:AI$682&lt;&gt;"",ROW('Project Mull Review'!AI$35:AI$682),""),ROWS('Project Mull Review'!AI$35:AI63))),0),"")</f>
        <v/>
      </c>
      <c r="M39" s="140">
        <f>ROW()</f>
        <v>39</v>
      </c>
      <c r="N39" t="str">
        <f t="shared" si="11"/>
        <v/>
      </c>
      <c r="O39" t="str">
        <f t="shared" si="12"/>
        <v/>
      </c>
      <c r="P39" s="144">
        <f t="shared" ca="1" si="13"/>
        <v>0</v>
      </c>
      <c r="Q39" t="str">
        <f t="shared" ca="1" si="14"/>
        <v/>
      </c>
      <c r="R39" t="str">
        <f t="shared" ca="1" si="15"/>
        <v/>
      </c>
      <c r="S39" t="str">
        <f ca="1"/>
        <v/>
      </c>
      <c r="T39" s="144" t="str">
        <f ca="1"/>
        <v/>
      </c>
      <c r="U39" t="str">
        <f t="shared" ca="1" si="16"/>
        <v/>
      </c>
      <c r="V39" s="144" t="str">
        <f t="shared" ca="1" si="17"/>
        <v/>
      </c>
      <c r="W39">
        <f t="shared" ca="1" si="38"/>
        <v>0</v>
      </c>
      <c r="X39" t="str" cm="1">
        <f t="array" aca="1" ref="X39" ca="1">IFERROR(INDEX(INDIRECT(CONCATENATE(AS$14,":",AS$16)),V39-AR$12+1),"")</f>
        <v/>
      </c>
      <c r="Y39" t="str">
        <f t="shared" si="18"/>
        <v>X39</v>
      </c>
      <c r="Z39" t="str">
        <f t="shared" ca="1" si="31"/>
        <v>X39</v>
      </c>
      <c r="AA39">
        <f t="shared" ca="1" si="39"/>
        <v>0</v>
      </c>
      <c r="AB39">
        <f t="shared" ca="1" si="32"/>
        <v>0</v>
      </c>
      <c r="AC39" t="str">
        <f t="shared" ca="1" si="7"/>
        <v/>
      </c>
      <c r="AD39" t="str" cm="1">
        <f t="array" aca="1" ref="AD39" ca="1">IF($AB39=0,"",INDIRECT(_xlfn.CONCAT(AU$14,$V39)))</f>
        <v/>
      </c>
      <c r="AE39" s="144" t="str">
        <f t="shared" ca="1" si="33"/>
        <v/>
      </c>
      <c r="AF39" t="str">
        <f t="shared" ca="1" si="19"/>
        <v/>
      </c>
      <c r="AG39" s="525" t="str">
        <f ca="1"/>
        <v/>
      </c>
      <c r="AH39" s="467" t="str">
        <f t="shared" ca="1" si="34"/>
        <v/>
      </c>
      <c r="AI39" s="533" t="str">
        <f t="shared" ca="1" si="37"/>
        <v/>
      </c>
      <c r="AJ39" s="533" t="str">
        <f t="shared" ca="1" si="20"/>
        <v/>
      </c>
      <c r="AK39" t="str">
        <f t="shared" ca="1" si="35"/>
        <v/>
      </c>
      <c r="AL39" s="140" t="str">
        <f t="shared" ca="1" si="8"/>
        <v/>
      </c>
      <c r="AM39" t="str">
        <f t="shared" ca="1" si="21"/>
        <v/>
      </c>
      <c r="AN39" s="144" t="str">
        <f t="shared" ca="1" si="22"/>
        <v/>
      </c>
      <c r="AR39" s="483">
        <f t="shared" si="43"/>
        <v>239</v>
      </c>
      <c r="AS39" s="157" t="str">
        <f t="shared" si="41"/>
        <v>B239</v>
      </c>
      <c r="AT39" s="479" t="str">
        <f t="shared" si="42"/>
        <v>B245</v>
      </c>
      <c r="AU39" s="477"/>
      <c r="AW39" s="140" t="str">
        <f t="shared" si="2"/>
        <v>N39</v>
      </c>
      <c r="AX39" t="str">
        <f t="shared" si="36"/>
        <v>$N$11:N38</v>
      </c>
      <c r="AY39" s="144" t="str">
        <f t="shared" si="23"/>
        <v>N40:$N$99</v>
      </c>
      <c r="BA39" s="139" t="str" cm="1">
        <f t="array" aca="1" ref="BA39" ca="1">IFERROR(CELL("address",INDEX('Project Mull Review'!AF:AF, SMALL(IF('Project Mull Review'!AF$35:AF$682&lt;&gt;"",ROW('Project Mull Review'!AF$35:AF$682),""),ROWS('Project Mull Review'!AF$35:AF63)))),"")</f>
        <v/>
      </c>
      <c r="BB39" s="155" t="str">
        <f t="shared" ca="1" si="24"/>
        <v/>
      </c>
      <c r="BC39" s="155" t="str">
        <f t="shared" ca="1" si="25"/>
        <v/>
      </c>
      <c r="BD39" s="155" t="str" cm="1">
        <f t="array" aca="1" ref="BD39" ca="1">IFERROR(INDEX(MainCell,BE39,2),"")</f>
        <v/>
      </c>
      <c r="BE39" s="155" t="str">
        <f t="shared" ca="1" si="26"/>
        <v/>
      </c>
      <c r="BF39" s="64" t="str">
        <f t="shared" ca="1" si="27"/>
        <v/>
      </c>
      <c r="BG39" s="64" t="str">
        <f t="shared" ca="1" si="44"/>
        <v/>
      </c>
      <c r="BH39" s="64" t="str" cm="1">
        <f t="array" aca="1" ref="BH39" ca="1">IFERROR(CONCATENATE(INDIRECT(BF39)," ", INDIRECT(BG39)),"")</f>
        <v/>
      </c>
      <c r="BI39" s="64" t="str">
        <f t="shared" ca="1" si="29"/>
        <v/>
      </c>
      <c r="BJ39" s="155">
        <f t="shared" ca="1" si="30"/>
        <v>0</v>
      </c>
      <c r="BK39" s="155">
        <f t="shared" ca="1" si="9"/>
        <v>0</v>
      </c>
      <c r="BL39" s="155">
        <f t="shared" ca="1" si="45"/>
        <v>0</v>
      </c>
      <c r="BM39" s="155">
        <f t="shared" ca="1" si="45"/>
        <v>0</v>
      </c>
      <c r="BN39" s="155">
        <f t="shared" ca="1" si="45"/>
        <v>0</v>
      </c>
      <c r="BO39" s="155">
        <f t="shared" ca="1" si="45"/>
        <v>0</v>
      </c>
      <c r="BP39" s="155">
        <f t="shared" ca="1" si="45"/>
        <v>0</v>
      </c>
      <c r="BQ39" s="155">
        <f t="shared" ca="1" si="45"/>
        <v>0</v>
      </c>
      <c r="BR39" s="155">
        <f t="shared" ca="1" si="45"/>
        <v>0</v>
      </c>
      <c r="BS39" s="479">
        <f t="shared" ca="1" si="45"/>
        <v>0</v>
      </c>
      <c r="BV39" s="505" t="str" cm="1">
        <f t="array" aca="1" ref="BV39" ca="1">IF(BJ40=0,"",CONCATENATE(INDEX(FinalSort,BJ40,4),": ",INDEX(FinalSort,BJ40,8)))</f>
        <v/>
      </c>
      <c r="BW39" s="506" t="str" cm="1">
        <f t="array" aca="1" ref="BW39" ca="1">IF(BK40=0,"",CONCATENATE(INDEX(FinalSort,BK40,4),": ",INDEX(FinalSort,BK40,8)))</f>
        <v/>
      </c>
      <c r="BX39" s="506" t="str" cm="1">
        <f t="array" aca="1" ref="BX39" ca="1">IF(BL40=0,"",CONCATENATE(INDEX(FinalSort,BL40,4),": ",INDEX(FinalSort,BL40,8)))</f>
        <v/>
      </c>
      <c r="BY39" s="506" t="str" cm="1">
        <f t="array" aca="1" ref="BY39" ca="1">IF(BM40=0,"",CONCATENATE(INDEX(FinalSort,BM40,4),": ",INDEX(FinalSort,BM40,8)))</f>
        <v/>
      </c>
      <c r="BZ39" s="506" t="str" cm="1">
        <f t="array" aca="1" ref="BZ39" ca="1">IF(BN40=0,"",CONCATENATE(INDEX(FinalSort,BN40,4),": ",INDEX(FinalSort,BN40,8)))</f>
        <v/>
      </c>
      <c r="CA39" s="506" t="str" cm="1">
        <f t="array" aca="1" ref="CA39" ca="1">IF(BO40=0,"",CONCATENATE(INDEX(FinalSort,BO40,4),": ",INDEX(FinalSort,BO40,8)))</f>
        <v/>
      </c>
      <c r="CB39" s="506" t="str" cm="1">
        <f t="array" aca="1" ref="CB39" ca="1">IF(BP40=0,"",CONCATENATE(INDEX(FinalSort,BP40,4),": ",INDEX(FinalSort,BP40,8)))</f>
        <v/>
      </c>
      <c r="CC39" s="506" t="str" cm="1">
        <f t="array" aca="1" ref="CC39" ca="1">IF(BQ40=0,"",CONCATENATE(INDEX(FinalSort,BQ40,4),": ",INDEX(FinalSort,BQ40,8)))</f>
        <v/>
      </c>
      <c r="CD39" s="506" t="str" cm="1">
        <f t="array" aca="1" ref="CD39" ca="1">IF(BR40=0,"",CONCATENATE(INDEX(FinalSort,BR40,4),": ",INDEX(FinalSort,BR40,8)))</f>
        <v/>
      </c>
      <c r="CE39" s="507" t="str" cm="1">
        <f t="array" aca="1" ref="CE39" ca="1">IF(BS40=0,"",CONCATENATE(INDEX(FinalSort,BS40,4),": ",INDEX(FinalSort,BS40,8)))</f>
        <v/>
      </c>
    </row>
    <row r="40" spans="1:83" x14ac:dyDescent="0.25">
      <c r="A40" s="4">
        <v>31</v>
      </c>
      <c r="B40" s="326" t="str">
        <f t="shared" ca="1" si="3"/>
        <v/>
      </c>
      <c r="C40" s="462" t="str">
        <f t="shared" ca="1" si="4"/>
        <v/>
      </c>
      <c r="D40" s="463" t="str">
        <f t="shared" ca="1" si="5"/>
        <v/>
      </c>
      <c r="E40" s="471" t="str">
        <f t="shared" ca="1" si="6"/>
        <v/>
      </c>
      <c r="F40" s="473" t="str">
        <f t="shared" ca="1" si="1"/>
        <v/>
      </c>
      <c r="G40" s="522"/>
      <c r="H40" s="155"/>
      <c r="I40" s="443" t="str" cm="1">
        <f t="array" ref="I40">IFERROR(INDEX('Project Mull Review'!AF:AF, SMALL(IF('Project Mull Review'!AF$35:AF$682&lt;&gt;"",ROW('Project Mull Review'!AF$35:AF$682),""),ROWS('Project Mull Review'!AF$35:AF64))),"")</f>
        <v/>
      </c>
      <c r="J40" s="389" t="str" cm="1">
        <f t="array" ref="J40">IFERROR(INDEX('Project Mull Review'!AI:AI, SMALL(IF('Project Mull Review'!AI$35:AI$682&lt;&gt;"",ROW('Project Mull Review'!AI$35:AI$682),""),ROWS('Project Mull Review'!AI$35:AI64))),"")</f>
        <v/>
      </c>
      <c r="K40" s="442" t="str" cm="1">
        <f t="array" ref="K40">IFERROR(ROUND(INDEX('Project Mull Review'!AT:AT, SMALL(IF('Project Mull Review'!AI$35:AI$682&lt;&gt;"",ROW('Project Mull Review'!AI$35:AI$682),""),ROWS('Project Mull Review'!AI$35:AI64))),0),"")</f>
        <v/>
      </c>
      <c r="M40" s="140">
        <f>ROW()</f>
        <v>40</v>
      </c>
      <c r="N40" t="str">
        <f t="shared" si="11"/>
        <v/>
      </c>
      <c r="O40" t="str">
        <f t="shared" si="12"/>
        <v/>
      </c>
      <c r="P40" s="144">
        <f t="shared" ca="1" si="13"/>
        <v>0</v>
      </c>
      <c r="Q40" t="str">
        <f t="shared" ca="1" si="14"/>
        <v/>
      </c>
      <c r="R40" t="str">
        <f t="shared" ca="1" si="15"/>
        <v/>
      </c>
      <c r="S40" t="str">
        <f ca="1"/>
        <v/>
      </c>
      <c r="T40" s="144" t="str">
        <f ca="1"/>
        <v/>
      </c>
      <c r="U40" t="str">
        <f t="shared" ca="1" si="16"/>
        <v/>
      </c>
      <c r="V40" s="144" t="str">
        <f t="shared" ca="1" si="17"/>
        <v/>
      </c>
      <c r="W40">
        <f t="shared" ca="1" si="38"/>
        <v>0</v>
      </c>
      <c r="X40" t="str" cm="1">
        <f t="array" aca="1" ref="X40" ca="1">IFERROR(INDEX(INDIRECT(CONCATENATE(AS$14,":",AS$16)),V40-AR$12+1),"")</f>
        <v/>
      </c>
      <c r="Y40" t="str">
        <f t="shared" si="18"/>
        <v>X40</v>
      </c>
      <c r="Z40" t="str">
        <f t="shared" ca="1" si="31"/>
        <v>X40</v>
      </c>
      <c r="AA40">
        <f t="shared" ca="1" si="39"/>
        <v>0</v>
      </c>
      <c r="AB40">
        <f t="shared" ca="1" si="32"/>
        <v>0</v>
      </c>
      <c r="AC40" t="str">
        <f t="shared" ca="1" si="7"/>
        <v/>
      </c>
      <c r="AD40" t="str" cm="1">
        <f t="array" aca="1" ref="AD40" ca="1">IF($AB40=0,"",INDIRECT(_xlfn.CONCAT(AU$14,$V40)))</f>
        <v/>
      </c>
      <c r="AE40" s="144" t="str">
        <f t="shared" ca="1" si="33"/>
        <v/>
      </c>
      <c r="AF40" t="str">
        <f t="shared" ca="1" si="19"/>
        <v/>
      </c>
      <c r="AG40" s="525" t="str">
        <f ca="1"/>
        <v/>
      </c>
      <c r="AH40" s="467" t="str">
        <f t="shared" ca="1" si="34"/>
        <v/>
      </c>
      <c r="AI40" s="533" t="str">
        <f t="shared" ca="1" si="37"/>
        <v/>
      </c>
      <c r="AJ40" s="533" t="str">
        <f t="shared" ca="1" si="20"/>
        <v/>
      </c>
      <c r="AK40" t="str">
        <f t="shared" ca="1" si="35"/>
        <v/>
      </c>
      <c r="AL40" s="140" t="str">
        <f t="shared" ca="1" si="8"/>
        <v/>
      </c>
      <c r="AM40" t="str">
        <f t="shared" ca="1" si="21"/>
        <v/>
      </c>
      <c r="AN40" s="144" t="str">
        <f t="shared" ca="1" si="22"/>
        <v/>
      </c>
      <c r="AR40" s="483">
        <f t="shared" si="43"/>
        <v>251</v>
      </c>
      <c r="AS40" s="157" t="str">
        <f t="shared" si="41"/>
        <v>B251</v>
      </c>
      <c r="AT40" s="479" t="str">
        <f t="shared" si="42"/>
        <v>B257</v>
      </c>
      <c r="AU40" s="477"/>
      <c r="AW40" s="140" t="str">
        <f t="shared" si="2"/>
        <v>N40</v>
      </c>
      <c r="AX40" t="str">
        <f t="shared" si="36"/>
        <v>$N$11:N39</v>
      </c>
      <c r="AY40" s="144" t="str">
        <f t="shared" si="23"/>
        <v>N41:$N$99</v>
      </c>
      <c r="BA40" s="139" t="str" cm="1">
        <f t="array" aca="1" ref="BA40" ca="1">IFERROR(CELL("address",INDEX('Project Mull Review'!AF:AF, SMALL(IF('Project Mull Review'!AF$35:AF$682&lt;&gt;"",ROW('Project Mull Review'!AF$35:AF$682),""),ROWS('Project Mull Review'!AF$35:AF64)))),"")</f>
        <v/>
      </c>
      <c r="BB40" s="155" t="str">
        <f t="shared" ca="1" si="24"/>
        <v/>
      </c>
      <c r="BC40" s="155" t="str">
        <f t="shared" ca="1" si="25"/>
        <v/>
      </c>
      <c r="BD40" s="155" t="str" cm="1">
        <f t="array" aca="1" ref="BD40" ca="1">IFERROR(INDEX(MainCell,BE40,2),"")</f>
        <v/>
      </c>
      <c r="BE40" s="155" t="str">
        <f t="shared" ca="1" si="26"/>
        <v/>
      </c>
      <c r="BF40" s="64" t="str">
        <f t="shared" ca="1" si="27"/>
        <v/>
      </c>
      <c r="BG40" s="64" t="str">
        <f t="shared" ca="1" si="44"/>
        <v/>
      </c>
      <c r="BH40" s="64" t="str" cm="1">
        <f t="array" aca="1" ref="BH40" ca="1">IFERROR(CONCATENATE(INDIRECT(BF40)," ", INDIRECT(BG40)),"")</f>
        <v/>
      </c>
      <c r="BI40" s="64" t="str">
        <f t="shared" ca="1" si="29"/>
        <v/>
      </c>
      <c r="BJ40" s="155">
        <f t="shared" ca="1" si="30"/>
        <v>0</v>
      </c>
      <c r="BK40" s="155">
        <f t="shared" ca="1" si="9"/>
        <v>0</v>
      </c>
      <c r="BL40" s="155">
        <f t="shared" ca="1" si="45"/>
        <v>0</v>
      </c>
      <c r="BM40" s="155">
        <f t="shared" ca="1" si="45"/>
        <v>0</v>
      </c>
      <c r="BN40" s="155">
        <f t="shared" ca="1" si="45"/>
        <v>0</v>
      </c>
      <c r="BO40" s="155">
        <f t="shared" ca="1" si="45"/>
        <v>0</v>
      </c>
      <c r="BP40" s="155">
        <f t="shared" ca="1" si="45"/>
        <v>0</v>
      </c>
      <c r="BQ40" s="155">
        <f t="shared" ca="1" si="45"/>
        <v>0</v>
      </c>
      <c r="BR40" s="155">
        <f t="shared" ca="1" si="45"/>
        <v>0</v>
      </c>
      <c r="BS40" s="479">
        <f t="shared" ca="1" si="45"/>
        <v>0</v>
      </c>
      <c r="BV40" s="505" t="str" cm="1">
        <f t="array" aca="1" ref="BV40" ca="1">IF(BJ41=0,"",CONCATENATE(INDEX(FinalSort,BJ41,4),": ",INDEX(FinalSort,BJ41,8)))</f>
        <v/>
      </c>
      <c r="BW40" s="506" t="str" cm="1">
        <f t="array" aca="1" ref="BW40" ca="1">IF(BK41=0,"",CONCATENATE(INDEX(FinalSort,BK41,4),": ",INDEX(FinalSort,BK41,8)))</f>
        <v/>
      </c>
      <c r="BX40" s="506" t="str" cm="1">
        <f t="array" aca="1" ref="BX40" ca="1">IF(BL41=0,"",CONCATENATE(INDEX(FinalSort,BL41,4),": ",INDEX(FinalSort,BL41,8)))</f>
        <v/>
      </c>
      <c r="BY40" s="506" t="str" cm="1">
        <f t="array" aca="1" ref="BY40" ca="1">IF(BM41=0,"",CONCATENATE(INDEX(FinalSort,BM41,4),": ",INDEX(FinalSort,BM41,8)))</f>
        <v/>
      </c>
      <c r="BZ40" s="506" t="str" cm="1">
        <f t="array" aca="1" ref="BZ40" ca="1">IF(BN41=0,"",CONCATENATE(INDEX(FinalSort,BN41,4),": ",INDEX(FinalSort,BN41,8)))</f>
        <v/>
      </c>
      <c r="CA40" s="506" t="str" cm="1">
        <f t="array" aca="1" ref="CA40" ca="1">IF(BO41=0,"",CONCATENATE(INDEX(FinalSort,BO41,4),": ",INDEX(FinalSort,BO41,8)))</f>
        <v/>
      </c>
      <c r="CB40" s="506" t="str" cm="1">
        <f t="array" aca="1" ref="CB40" ca="1">IF(BP41=0,"",CONCATENATE(INDEX(FinalSort,BP41,4),": ",INDEX(FinalSort,BP41,8)))</f>
        <v/>
      </c>
      <c r="CC40" s="506" t="str" cm="1">
        <f t="array" aca="1" ref="CC40" ca="1">IF(BQ41=0,"",CONCATENATE(INDEX(FinalSort,BQ41,4),": ",INDEX(FinalSort,BQ41,8)))</f>
        <v/>
      </c>
      <c r="CD40" s="506" t="str" cm="1">
        <f t="array" aca="1" ref="CD40" ca="1">IF(BR41=0,"",CONCATENATE(INDEX(FinalSort,BR41,4),": ",INDEX(FinalSort,BR41,8)))</f>
        <v/>
      </c>
      <c r="CE40" s="507" t="str" cm="1">
        <f t="array" aca="1" ref="CE40" ca="1">IF(BS41=0,"",CONCATENATE(INDEX(FinalSort,BS41,4),": ",INDEX(FinalSort,BS41,8)))</f>
        <v/>
      </c>
    </row>
    <row r="41" spans="1:83" x14ac:dyDescent="0.25">
      <c r="A41" s="4">
        <v>32</v>
      </c>
      <c r="B41" s="326" t="str">
        <f t="shared" ca="1" si="3"/>
        <v/>
      </c>
      <c r="C41" s="462" t="str">
        <f t="shared" ca="1" si="4"/>
        <v/>
      </c>
      <c r="D41" s="463" t="str">
        <f t="shared" ca="1" si="5"/>
        <v/>
      </c>
      <c r="E41" s="471" t="str">
        <f t="shared" ca="1" si="6"/>
        <v/>
      </c>
      <c r="F41" s="473" t="str">
        <f t="shared" ca="1" si="1"/>
        <v/>
      </c>
      <c r="G41" s="522"/>
      <c r="H41" s="155"/>
      <c r="I41" s="443" t="str" cm="1">
        <f t="array" ref="I41">IFERROR(INDEX('Project Mull Review'!AF:AF, SMALL(IF('Project Mull Review'!AF$35:AF$682&lt;&gt;"",ROW('Project Mull Review'!AF$35:AF$682),""),ROWS('Project Mull Review'!AF$35:AF65))),"")</f>
        <v/>
      </c>
      <c r="J41" s="389" t="str" cm="1">
        <f t="array" ref="J41">IFERROR(INDEX('Project Mull Review'!AI:AI, SMALL(IF('Project Mull Review'!AI$35:AI$682&lt;&gt;"",ROW('Project Mull Review'!AI$35:AI$682),""),ROWS('Project Mull Review'!AI$35:AI65))),"")</f>
        <v/>
      </c>
      <c r="K41" s="442" t="str" cm="1">
        <f t="array" ref="K41">IFERROR(ROUND(INDEX('Project Mull Review'!AT:AT, SMALL(IF('Project Mull Review'!AI$35:AI$682&lt;&gt;"",ROW('Project Mull Review'!AI$35:AI$682),""),ROWS('Project Mull Review'!AI$35:AI65))),0),"")</f>
        <v/>
      </c>
      <c r="M41" s="140">
        <f>ROW()</f>
        <v>41</v>
      </c>
      <c r="N41" t="str">
        <f t="shared" si="11"/>
        <v/>
      </c>
      <c r="O41" t="str">
        <f t="shared" si="12"/>
        <v/>
      </c>
      <c r="P41" s="144">
        <f t="shared" ca="1" si="13"/>
        <v>0</v>
      </c>
      <c r="Q41" t="str">
        <f t="shared" ca="1" si="14"/>
        <v/>
      </c>
      <c r="R41" t="str">
        <f t="shared" ca="1" si="15"/>
        <v/>
      </c>
      <c r="S41" t="str">
        <f ca="1"/>
        <v/>
      </c>
      <c r="T41" s="144" t="str">
        <f ca="1"/>
        <v/>
      </c>
      <c r="U41" t="str">
        <f t="shared" ca="1" si="16"/>
        <v/>
      </c>
      <c r="V41" s="144" t="str">
        <f t="shared" ca="1" si="17"/>
        <v/>
      </c>
      <c r="W41">
        <f t="shared" ca="1" si="38"/>
        <v>0</v>
      </c>
      <c r="X41" t="str" cm="1">
        <f t="array" aca="1" ref="X41" ca="1">IFERROR(INDEX(INDIRECT(CONCATENATE(AS$14,":",AS$16)),V41-AR$12+1),"")</f>
        <v/>
      </c>
      <c r="Y41" t="str">
        <f t="shared" si="18"/>
        <v>X41</v>
      </c>
      <c r="Z41" t="str">
        <f t="shared" ca="1" si="31"/>
        <v>X41</v>
      </c>
      <c r="AA41">
        <f t="shared" ca="1" si="39"/>
        <v>0</v>
      </c>
      <c r="AB41">
        <f t="shared" ca="1" si="32"/>
        <v>0</v>
      </c>
      <c r="AC41" t="str">
        <f t="shared" ca="1" si="7"/>
        <v/>
      </c>
      <c r="AD41" t="str" cm="1">
        <f t="array" aca="1" ref="AD41" ca="1">IF($AB41=0,"",INDIRECT(_xlfn.CONCAT(AU$14,$V41)))</f>
        <v/>
      </c>
      <c r="AE41" s="144" t="str">
        <f t="shared" ca="1" si="33"/>
        <v/>
      </c>
      <c r="AF41" t="str">
        <f t="shared" ca="1" si="19"/>
        <v/>
      </c>
      <c r="AG41" s="525" t="str">
        <f ca="1"/>
        <v/>
      </c>
      <c r="AH41" s="467" t="str">
        <f t="shared" ca="1" si="34"/>
        <v/>
      </c>
      <c r="AI41" s="533" t="str">
        <f t="shared" ca="1" si="37"/>
        <v/>
      </c>
      <c r="AJ41" s="533" t="str">
        <f t="shared" ca="1" si="20"/>
        <v/>
      </c>
      <c r="AK41" t="str">
        <f t="shared" ca="1" si="35"/>
        <v/>
      </c>
      <c r="AL41" s="140" t="str">
        <f t="shared" ca="1" si="8"/>
        <v/>
      </c>
      <c r="AM41" t="str">
        <f t="shared" ca="1" si="21"/>
        <v/>
      </c>
      <c r="AN41" s="144" t="str">
        <f t="shared" ca="1" si="22"/>
        <v/>
      </c>
      <c r="AR41" s="483">
        <f t="shared" si="43"/>
        <v>263</v>
      </c>
      <c r="AS41" s="157" t="str">
        <f t="shared" si="41"/>
        <v>B263</v>
      </c>
      <c r="AT41" s="479" t="str">
        <f t="shared" si="42"/>
        <v>B269</v>
      </c>
      <c r="AU41" s="477"/>
      <c r="AW41" s="140" t="str">
        <f t="shared" si="2"/>
        <v>N41</v>
      </c>
      <c r="AX41" t="str">
        <f t="shared" si="36"/>
        <v>$N$11:N40</v>
      </c>
      <c r="AY41" s="144" t="str">
        <f t="shared" si="23"/>
        <v>N42:$N$99</v>
      </c>
      <c r="BA41" s="139" t="str" cm="1">
        <f t="array" aca="1" ref="BA41" ca="1">IFERROR(CELL("address",INDEX('Project Mull Review'!AF:AF, SMALL(IF('Project Mull Review'!AF$35:AF$682&lt;&gt;"",ROW('Project Mull Review'!AF$35:AF$682),""),ROWS('Project Mull Review'!AF$35:AF65)))),"")</f>
        <v/>
      </c>
      <c r="BB41" s="155" t="str">
        <f t="shared" ca="1" si="24"/>
        <v/>
      </c>
      <c r="BC41" s="155" t="str">
        <f t="shared" ca="1" si="25"/>
        <v/>
      </c>
      <c r="BD41" s="155" t="str" cm="1">
        <f t="array" aca="1" ref="BD41" ca="1">IFERROR(INDEX(MainCell,BE41,2),"")</f>
        <v/>
      </c>
      <c r="BE41" s="155" t="str">
        <f t="shared" ca="1" si="26"/>
        <v/>
      </c>
      <c r="BF41" s="64" t="str">
        <f t="shared" ca="1" si="27"/>
        <v/>
      </c>
      <c r="BG41" s="64" t="str">
        <f t="shared" ca="1" si="44"/>
        <v/>
      </c>
      <c r="BH41" s="64" t="str" cm="1">
        <f t="array" aca="1" ref="BH41" ca="1">IFERROR(CONCATENATE(INDIRECT(BF41)," ", INDIRECT(BG41)),"")</f>
        <v/>
      </c>
      <c r="BI41" s="64" t="str">
        <f t="shared" ca="1" si="29"/>
        <v/>
      </c>
      <c r="BJ41" s="155">
        <f t="shared" ca="1" si="30"/>
        <v>0</v>
      </c>
      <c r="BK41" s="155">
        <f t="shared" ca="1" si="9"/>
        <v>0</v>
      </c>
      <c r="BL41" s="155">
        <f t="shared" ref="BL41:BS50" ca="1" si="46">IF(BK41=0,0,IFERROR(IF(MATCH($BI41,OFFSET(Combo,BK41,0),0)&gt;=($AS$18-BK41),0,BK41+MATCH($BI41,OFFSET(Combo,BK41,0),0)),0))</f>
        <v>0</v>
      </c>
      <c r="BM41" s="155">
        <f t="shared" ca="1" si="46"/>
        <v>0</v>
      </c>
      <c r="BN41" s="155">
        <f t="shared" ca="1" si="46"/>
        <v>0</v>
      </c>
      <c r="BO41" s="155">
        <f t="shared" ca="1" si="46"/>
        <v>0</v>
      </c>
      <c r="BP41" s="155">
        <f t="shared" ca="1" si="46"/>
        <v>0</v>
      </c>
      <c r="BQ41" s="155">
        <f t="shared" ca="1" si="46"/>
        <v>0</v>
      </c>
      <c r="BR41" s="155">
        <f t="shared" ca="1" si="46"/>
        <v>0</v>
      </c>
      <c r="BS41" s="479">
        <f t="shared" ca="1" si="46"/>
        <v>0</v>
      </c>
      <c r="BV41" s="505" t="str" cm="1">
        <f t="array" aca="1" ref="BV41" ca="1">IF(BJ42=0,"",CONCATENATE(INDEX(FinalSort,BJ42,4),": ",INDEX(FinalSort,BJ42,8)))</f>
        <v/>
      </c>
      <c r="BW41" s="506" t="str" cm="1">
        <f t="array" aca="1" ref="BW41" ca="1">IF(BK42=0,"",CONCATENATE(INDEX(FinalSort,BK42,4),": ",INDEX(FinalSort,BK42,8)))</f>
        <v/>
      </c>
      <c r="BX41" s="506" t="str" cm="1">
        <f t="array" aca="1" ref="BX41" ca="1">IF(BL42=0,"",CONCATENATE(INDEX(FinalSort,BL42,4),": ",INDEX(FinalSort,BL42,8)))</f>
        <v/>
      </c>
      <c r="BY41" s="506" t="str" cm="1">
        <f t="array" aca="1" ref="BY41" ca="1">IF(BM42=0,"",CONCATENATE(INDEX(FinalSort,BM42,4),": ",INDEX(FinalSort,BM42,8)))</f>
        <v/>
      </c>
      <c r="BZ41" s="506" t="str" cm="1">
        <f t="array" aca="1" ref="BZ41" ca="1">IF(BN42=0,"",CONCATENATE(INDEX(FinalSort,BN42,4),": ",INDEX(FinalSort,BN42,8)))</f>
        <v/>
      </c>
      <c r="CA41" s="506" t="str" cm="1">
        <f t="array" aca="1" ref="CA41" ca="1">IF(BO42=0,"",CONCATENATE(INDEX(FinalSort,BO42,4),": ",INDEX(FinalSort,BO42,8)))</f>
        <v/>
      </c>
      <c r="CB41" s="506" t="str" cm="1">
        <f t="array" aca="1" ref="CB41" ca="1">IF(BP42=0,"",CONCATENATE(INDEX(FinalSort,BP42,4),": ",INDEX(FinalSort,BP42,8)))</f>
        <v/>
      </c>
      <c r="CC41" s="506" t="str" cm="1">
        <f t="array" aca="1" ref="CC41" ca="1">IF(BQ42=0,"",CONCATENATE(INDEX(FinalSort,BQ42,4),": ",INDEX(FinalSort,BQ42,8)))</f>
        <v/>
      </c>
      <c r="CD41" s="506" t="str" cm="1">
        <f t="array" aca="1" ref="CD41" ca="1">IF(BR42=0,"",CONCATENATE(INDEX(FinalSort,BR42,4),": ",INDEX(FinalSort,BR42,8)))</f>
        <v/>
      </c>
      <c r="CE41" s="507" t="str" cm="1">
        <f t="array" aca="1" ref="CE41" ca="1">IF(BS42=0,"",CONCATENATE(INDEX(FinalSort,BS42,4),": ",INDEX(FinalSort,BS42,8)))</f>
        <v/>
      </c>
    </row>
    <row r="42" spans="1:83" x14ac:dyDescent="0.25">
      <c r="A42" s="4">
        <v>33</v>
      </c>
      <c r="B42" s="326" t="str">
        <f t="shared" ref="B42:B73" ca="1" si="47">_xlfn.CONCAT(AK43,AJ43)</f>
        <v/>
      </c>
      <c r="C42" s="462" t="str">
        <f t="shared" ca="1" si="4"/>
        <v/>
      </c>
      <c r="D42" s="463" t="str">
        <f t="shared" ca="1" si="5"/>
        <v/>
      </c>
      <c r="E42" s="471" t="str">
        <f t="shared" ca="1" si="6"/>
        <v/>
      </c>
      <c r="F42" s="473" t="str">
        <f t="shared" ref="F42:F73" ca="1" si="48">IFERROR(MID(C42,FIND("[",C42)+1,FIND("]",C42)-FIND("[",C42)-1),"")</f>
        <v/>
      </c>
      <c r="G42" s="522"/>
      <c r="H42" s="155"/>
      <c r="I42" s="443" t="str" cm="1">
        <f t="array" ref="I42">IFERROR(INDEX('Project Mull Review'!AF:AF, SMALL(IF('Project Mull Review'!AF$35:AF$682&lt;&gt;"",ROW('Project Mull Review'!AF$35:AF$682),""),ROWS('Project Mull Review'!AF$35:AF66))),"")</f>
        <v/>
      </c>
      <c r="J42" s="389" t="str" cm="1">
        <f t="array" ref="J42">IFERROR(INDEX('Project Mull Review'!AI:AI, SMALL(IF('Project Mull Review'!AI$35:AI$682&lt;&gt;"",ROW('Project Mull Review'!AI$35:AI$682),""),ROWS('Project Mull Review'!AI$35:AI66))),"")</f>
        <v/>
      </c>
      <c r="K42" s="442" t="str" cm="1">
        <f t="array" ref="K42">IFERROR(ROUND(INDEX('Project Mull Review'!AT:AT, SMALL(IF('Project Mull Review'!AI$35:AI$682&lt;&gt;"",ROW('Project Mull Review'!AI$35:AI$682),""),ROWS('Project Mull Review'!AI$35:AI66))),0),"")</f>
        <v/>
      </c>
      <c r="M42" s="140">
        <f>ROW()</f>
        <v>42</v>
      </c>
      <c r="N42" t="str">
        <f t="shared" si="11"/>
        <v/>
      </c>
      <c r="O42" t="str">
        <f t="shared" si="12"/>
        <v/>
      </c>
      <c r="P42" s="144">
        <f t="shared" ca="1" si="13"/>
        <v>0</v>
      </c>
      <c r="Q42" t="str">
        <f t="shared" ca="1" si="14"/>
        <v/>
      </c>
      <c r="R42" t="str">
        <f t="shared" ca="1" si="15"/>
        <v/>
      </c>
      <c r="S42" t="str">
        <f ca="1"/>
        <v/>
      </c>
      <c r="T42" s="144" t="str">
        <f ca="1"/>
        <v/>
      </c>
      <c r="U42" t="str">
        <f t="shared" ca="1" si="16"/>
        <v/>
      </c>
      <c r="V42" s="144" t="str">
        <f t="shared" ca="1" si="17"/>
        <v/>
      </c>
      <c r="W42">
        <f t="shared" ca="1" si="38"/>
        <v>0</v>
      </c>
      <c r="X42" t="str" cm="1">
        <f t="array" aca="1" ref="X42" ca="1">IFERROR(INDEX(INDIRECT(CONCATENATE(AS$14,":",AS$16)),V42-AR$12+1),"")</f>
        <v/>
      </c>
      <c r="Y42" t="str">
        <f t="shared" si="18"/>
        <v>X42</v>
      </c>
      <c r="Z42" t="str">
        <f t="shared" ca="1" si="31"/>
        <v>X42</v>
      </c>
      <c r="AA42">
        <f t="shared" ca="1" si="39"/>
        <v>0</v>
      </c>
      <c r="AB42">
        <f t="shared" ca="1" si="32"/>
        <v>0</v>
      </c>
      <c r="AC42" t="str">
        <f t="shared" ca="1" si="7"/>
        <v/>
      </c>
      <c r="AD42" t="str" cm="1">
        <f t="array" aca="1" ref="AD42" ca="1">IF($AB42=0,"",INDIRECT(_xlfn.CONCAT(AU$14,$V42)))</f>
        <v/>
      </c>
      <c r="AE42" s="144" t="str">
        <f t="shared" ca="1" si="33"/>
        <v/>
      </c>
      <c r="AF42" t="str">
        <f t="shared" ca="1" si="19"/>
        <v/>
      </c>
      <c r="AG42" s="525" t="str">
        <f ca="1"/>
        <v/>
      </c>
      <c r="AH42" s="467" t="str">
        <f t="shared" ca="1" si="34"/>
        <v/>
      </c>
      <c r="AI42" s="533" t="str">
        <f t="shared" ca="1" si="37"/>
        <v/>
      </c>
      <c r="AJ42" s="533" t="str">
        <f t="shared" ca="1" si="20"/>
        <v/>
      </c>
      <c r="AK42" t="str">
        <f t="shared" ca="1" si="35"/>
        <v/>
      </c>
      <c r="AL42" s="140" t="str">
        <f t="shared" ca="1" si="8"/>
        <v/>
      </c>
      <c r="AM42" t="str">
        <f t="shared" ca="1" si="21"/>
        <v/>
      </c>
      <c r="AN42" s="144" t="str">
        <f t="shared" ca="1" si="22"/>
        <v/>
      </c>
      <c r="AR42" s="483">
        <f t="shared" si="43"/>
        <v>275</v>
      </c>
      <c r="AS42" s="157" t="str">
        <f t="shared" si="41"/>
        <v>B275</v>
      </c>
      <c r="AT42" s="479" t="str">
        <f t="shared" si="42"/>
        <v>B281</v>
      </c>
      <c r="AU42" s="477"/>
      <c r="AW42" s="140" t="str">
        <f t="shared" si="2"/>
        <v>N42</v>
      </c>
      <c r="AX42" t="str">
        <f t="shared" si="36"/>
        <v>$N$11:N41</v>
      </c>
      <c r="AY42" s="144" t="str">
        <f t="shared" si="23"/>
        <v>N43:$N$99</v>
      </c>
      <c r="BA42" s="139" t="str" cm="1">
        <f t="array" aca="1" ref="BA42" ca="1">IFERROR(CELL("address",INDEX('Project Mull Review'!AF:AF, SMALL(IF('Project Mull Review'!AF$35:AF$682&lt;&gt;"",ROW('Project Mull Review'!AF$35:AF$682),""),ROWS('Project Mull Review'!AF$35:AF66)))),"")</f>
        <v/>
      </c>
      <c r="BB42" s="155" t="str">
        <f t="shared" ca="1" si="24"/>
        <v/>
      </c>
      <c r="BC42" s="155" t="str">
        <f t="shared" ca="1" si="25"/>
        <v/>
      </c>
      <c r="BD42" s="155" t="str" cm="1">
        <f t="array" aca="1" ref="BD42" ca="1">IFERROR(INDEX(MainCell,BE42,2),"")</f>
        <v/>
      </c>
      <c r="BE42" s="155" t="str">
        <f t="shared" ca="1" si="26"/>
        <v/>
      </c>
      <c r="BF42" s="64" t="str">
        <f t="shared" ca="1" si="27"/>
        <v/>
      </c>
      <c r="BG42" s="64" t="str">
        <f t="shared" ca="1" si="44"/>
        <v/>
      </c>
      <c r="BH42" s="64" t="str" cm="1">
        <f t="array" aca="1" ref="BH42" ca="1">IFERROR(CONCATENATE(INDIRECT(BF42)," ", INDIRECT(BG42)),"")</f>
        <v/>
      </c>
      <c r="BI42" s="64" t="str">
        <f t="shared" ca="1" si="29"/>
        <v/>
      </c>
      <c r="BJ42" s="155">
        <f t="shared" ca="1" si="30"/>
        <v>0</v>
      </c>
      <c r="BK42" s="155">
        <f t="shared" ca="1" si="9"/>
        <v>0</v>
      </c>
      <c r="BL42" s="155">
        <f t="shared" ca="1" si="46"/>
        <v>0</v>
      </c>
      <c r="BM42" s="155">
        <f t="shared" ca="1" si="46"/>
        <v>0</v>
      </c>
      <c r="BN42" s="155">
        <f t="shared" ca="1" si="46"/>
        <v>0</v>
      </c>
      <c r="BO42" s="155">
        <f t="shared" ca="1" si="46"/>
        <v>0</v>
      </c>
      <c r="BP42" s="155">
        <f t="shared" ca="1" si="46"/>
        <v>0</v>
      </c>
      <c r="BQ42" s="155">
        <f t="shared" ca="1" si="46"/>
        <v>0</v>
      </c>
      <c r="BR42" s="155">
        <f t="shared" ca="1" si="46"/>
        <v>0</v>
      </c>
      <c r="BS42" s="479">
        <f t="shared" ca="1" si="46"/>
        <v>0</v>
      </c>
      <c r="BV42" s="505" t="str" cm="1">
        <f t="array" aca="1" ref="BV42" ca="1">IF(BJ43=0,"",CONCATENATE(INDEX(FinalSort,BJ43,4),": ",INDEX(FinalSort,BJ43,8)))</f>
        <v/>
      </c>
      <c r="BW42" s="506" t="str" cm="1">
        <f t="array" aca="1" ref="BW42" ca="1">IF(BK43=0,"",CONCATENATE(INDEX(FinalSort,BK43,4),": ",INDEX(FinalSort,BK43,8)))</f>
        <v/>
      </c>
      <c r="BX42" s="506" t="str" cm="1">
        <f t="array" aca="1" ref="BX42" ca="1">IF(BL43=0,"",CONCATENATE(INDEX(FinalSort,BL43,4),": ",INDEX(FinalSort,BL43,8)))</f>
        <v/>
      </c>
      <c r="BY42" s="506" t="str" cm="1">
        <f t="array" aca="1" ref="BY42" ca="1">IF(BM43=0,"",CONCATENATE(INDEX(FinalSort,BM43,4),": ",INDEX(FinalSort,BM43,8)))</f>
        <v/>
      </c>
      <c r="BZ42" s="506" t="str" cm="1">
        <f t="array" aca="1" ref="BZ42" ca="1">IF(BN43=0,"",CONCATENATE(INDEX(FinalSort,BN43,4),": ",INDEX(FinalSort,BN43,8)))</f>
        <v/>
      </c>
      <c r="CA42" s="506" t="str" cm="1">
        <f t="array" aca="1" ref="CA42" ca="1">IF(BO43=0,"",CONCATENATE(INDEX(FinalSort,BO43,4),": ",INDEX(FinalSort,BO43,8)))</f>
        <v/>
      </c>
      <c r="CB42" s="506" t="str" cm="1">
        <f t="array" aca="1" ref="CB42" ca="1">IF(BP43=0,"",CONCATENATE(INDEX(FinalSort,BP43,4),": ",INDEX(FinalSort,BP43,8)))</f>
        <v/>
      </c>
      <c r="CC42" s="506" t="str" cm="1">
        <f t="array" aca="1" ref="CC42" ca="1">IF(BQ43=0,"",CONCATENATE(INDEX(FinalSort,BQ43,4),": ",INDEX(FinalSort,BQ43,8)))</f>
        <v/>
      </c>
      <c r="CD42" s="506" t="str" cm="1">
        <f t="array" aca="1" ref="CD42" ca="1">IF(BR43=0,"",CONCATENATE(INDEX(FinalSort,BR43,4),": ",INDEX(FinalSort,BR43,8)))</f>
        <v/>
      </c>
      <c r="CE42" s="507" t="str" cm="1">
        <f t="array" aca="1" ref="CE42" ca="1">IF(BS43=0,"",CONCATENATE(INDEX(FinalSort,BS43,4),": ",INDEX(FinalSort,BS43,8)))</f>
        <v/>
      </c>
    </row>
    <row r="43" spans="1:83" x14ac:dyDescent="0.25">
      <c r="A43" s="4">
        <v>34</v>
      </c>
      <c r="B43" s="326" t="str">
        <f t="shared" ca="1" si="47"/>
        <v/>
      </c>
      <c r="C43" s="462" t="str">
        <f t="shared" ca="1" si="4"/>
        <v/>
      </c>
      <c r="D43" s="463" t="str">
        <f t="shared" ca="1" si="5"/>
        <v/>
      </c>
      <c r="E43" s="471" t="str">
        <f t="shared" ca="1" si="6"/>
        <v/>
      </c>
      <c r="F43" s="473" t="str">
        <f t="shared" ca="1" si="48"/>
        <v/>
      </c>
      <c r="G43" s="522"/>
      <c r="H43" s="155"/>
      <c r="I43" s="443" t="str" cm="1">
        <f t="array" ref="I43">IFERROR(INDEX('Project Mull Review'!AF:AF, SMALL(IF('Project Mull Review'!AF$35:AF$682&lt;&gt;"",ROW('Project Mull Review'!AF$35:AF$682),""),ROWS('Project Mull Review'!AF$35:AF67))),"")</f>
        <v/>
      </c>
      <c r="J43" s="389" t="str" cm="1">
        <f t="array" ref="J43">IFERROR(INDEX('Project Mull Review'!AI:AI, SMALL(IF('Project Mull Review'!AI$35:AI$682&lt;&gt;"",ROW('Project Mull Review'!AI$35:AI$682),""),ROWS('Project Mull Review'!AI$35:AI67))),"")</f>
        <v/>
      </c>
      <c r="K43" s="442" t="str" cm="1">
        <f t="array" ref="K43">IFERROR(ROUND(INDEX('Project Mull Review'!AT:AT, SMALL(IF('Project Mull Review'!AI$35:AI$682&lt;&gt;"",ROW('Project Mull Review'!AI$35:AI$682),""),ROWS('Project Mull Review'!AI$35:AI67))),0),"")</f>
        <v/>
      </c>
      <c r="M43" s="140">
        <f>ROW()</f>
        <v>43</v>
      </c>
      <c r="N43" t="str">
        <f t="shared" si="11"/>
        <v/>
      </c>
      <c r="O43" t="str">
        <f t="shared" si="12"/>
        <v/>
      </c>
      <c r="P43" s="144">
        <f t="shared" ref="P43:P74" ca="1" si="49">IF(N43="",0,IF(OR(ISNUMBER(MATCH(N43,INDIRECT(AX43),0))=TRUE,ISNUMBER(MATCH(N43,INDIRECT(AY43),0))=TRUE),1,0))</f>
        <v>0</v>
      </c>
      <c r="Q43" t="str">
        <f t="shared" ca="1" si="14"/>
        <v/>
      </c>
      <c r="R43" t="str">
        <f t="shared" ca="1" si="15"/>
        <v/>
      </c>
      <c r="S43" t="str">
        <f ca="1"/>
        <v/>
      </c>
      <c r="T43" s="144" t="str">
        <f ca="1"/>
        <v/>
      </c>
      <c r="U43" t="str">
        <f t="shared" ca="1" si="16"/>
        <v/>
      </c>
      <c r="V43" s="144" t="str">
        <f t="shared" ca="1" si="17"/>
        <v/>
      </c>
      <c r="W43">
        <f t="shared" ca="1" si="38"/>
        <v>0</v>
      </c>
      <c r="X43" t="str" cm="1">
        <f t="array" aca="1" ref="X43" ca="1">IFERROR(INDEX(INDIRECT(CONCATENATE(AS$14,":",AS$16)),V43-AR$12+1),"")</f>
        <v/>
      </c>
      <c r="Y43" t="str">
        <f t="shared" si="18"/>
        <v>X43</v>
      </c>
      <c r="Z43" t="str">
        <f t="shared" ca="1" si="31"/>
        <v>X43</v>
      </c>
      <c r="AA43">
        <f t="shared" ca="1" si="39"/>
        <v>0</v>
      </c>
      <c r="AB43">
        <f t="shared" ca="1" si="32"/>
        <v>0</v>
      </c>
      <c r="AC43" t="str">
        <f t="shared" ca="1" si="7"/>
        <v/>
      </c>
      <c r="AD43" t="str" cm="1">
        <f t="array" aca="1" ref="AD43" ca="1">IF($AB43=0,"",INDIRECT(_xlfn.CONCAT(AU$14,$V43)))</f>
        <v/>
      </c>
      <c r="AE43" s="144" t="str">
        <f t="shared" ca="1" si="33"/>
        <v/>
      </c>
      <c r="AF43" t="str">
        <f t="shared" ca="1" si="19"/>
        <v/>
      </c>
      <c r="AG43" s="525" t="str">
        <f ca="1"/>
        <v/>
      </c>
      <c r="AH43" s="467" t="str">
        <f t="shared" ca="1" si="34"/>
        <v/>
      </c>
      <c r="AI43" s="533" t="str">
        <f t="shared" ca="1" si="37"/>
        <v/>
      </c>
      <c r="AJ43" s="533" t="str">
        <f t="shared" ref="AJ43:AJ74" ca="1" si="50">IFERROR(CONCATENATE(AI43,AH43,IF(AK43="","","]")),"")</f>
        <v/>
      </c>
      <c r="AK43" t="str">
        <f t="shared" ca="1" si="35"/>
        <v/>
      </c>
      <c r="AL43" s="140" t="str">
        <f t="shared" ref="AL43:AL74" ca="1" si="51">IFERROR(MID(AG43,5,LEN(AG43)-4),"")</f>
        <v/>
      </c>
      <c r="AM43" t="str">
        <f t="shared" ca="1" si="21"/>
        <v/>
      </c>
      <c r="AN43" s="144" t="str">
        <f t="shared" ca="1" si="22"/>
        <v/>
      </c>
      <c r="AR43" s="483">
        <f t="shared" si="43"/>
        <v>287</v>
      </c>
      <c r="AS43" s="157" t="str">
        <f t="shared" si="41"/>
        <v>B287</v>
      </c>
      <c r="AT43" s="479" t="str">
        <f t="shared" si="42"/>
        <v>B293</v>
      </c>
      <c r="AU43" s="477"/>
      <c r="AW43" s="140" t="str">
        <f t="shared" si="2"/>
        <v>N43</v>
      </c>
      <c r="AX43" t="str">
        <f t="shared" si="36"/>
        <v>$N$11:N42</v>
      </c>
      <c r="AY43" s="144" t="str">
        <f t="shared" si="23"/>
        <v>N44:$N$99</v>
      </c>
      <c r="BA43" s="139" t="str" cm="1">
        <f t="array" aca="1" ref="BA43" ca="1">IFERROR(CELL("address",INDEX('Project Mull Review'!AF:AF, SMALL(IF('Project Mull Review'!AF$35:AF$682&lt;&gt;"",ROW('Project Mull Review'!AF$35:AF$682),""),ROWS('Project Mull Review'!AF$35:AF67)))),"")</f>
        <v/>
      </c>
      <c r="BB43" s="155" t="str">
        <f t="shared" ca="1" si="24"/>
        <v/>
      </c>
      <c r="BC43" s="155" t="str">
        <f t="shared" ca="1" si="25"/>
        <v/>
      </c>
      <c r="BD43" s="155" t="str" cm="1">
        <f t="array" aca="1" ref="BD43" ca="1">IFERROR(INDEX(MainCell,BE43,2),"")</f>
        <v/>
      </c>
      <c r="BE43" s="155" t="str">
        <f t="shared" ca="1" si="26"/>
        <v/>
      </c>
      <c r="BF43" s="64" t="str">
        <f t="shared" ca="1" si="27"/>
        <v/>
      </c>
      <c r="BG43" s="64" t="str">
        <f t="shared" ca="1" si="44"/>
        <v/>
      </c>
      <c r="BH43" s="64" t="str" cm="1">
        <f t="array" aca="1" ref="BH43" ca="1">IFERROR(CONCATENATE(INDIRECT(BF43)," ", INDIRECT(BG43)),"")</f>
        <v/>
      </c>
      <c r="BI43" s="64" t="str">
        <f t="shared" ca="1" si="29"/>
        <v/>
      </c>
      <c r="BJ43" s="155">
        <f t="shared" ref="BJ43:BJ74" ca="1" si="52">IF(MATCH(BI43,Combo,0)&gt;=$AS$18,0,MATCH(BI43,Combo,0))</f>
        <v>0</v>
      </c>
      <c r="BK43" s="155">
        <f t="shared" ref="BK43:BK74" ca="1" si="53">IFERROR(IF(MATCH($BI43,OFFSET(Combo,BJ43,0),0)&gt;=($AS$18-BJ43),0,BJ43+MATCH($BI43,OFFSET(Combo,BJ43,0),0)),0)</f>
        <v>0</v>
      </c>
      <c r="BL43" s="155">
        <f t="shared" ca="1" si="46"/>
        <v>0</v>
      </c>
      <c r="BM43" s="155">
        <f t="shared" ca="1" si="46"/>
        <v>0</v>
      </c>
      <c r="BN43" s="155">
        <f t="shared" ca="1" si="46"/>
        <v>0</v>
      </c>
      <c r="BO43" s="155">
        <f t="shared" ca="1" si="46"/>
        <v>0</v>
      </c>
      <c r="BP43" s="155">
        <f t="shared" ca="1" si="46"/>
        <v>0</v>
      </c>
      <c r="BQ43" s="155">
        <f t="shared" ca="1" si="46"/>
        <v>0</v>
      </c>
      <c r="BR43" s="155">
        <f t="shared" ca="1" si="46"/>
        <v>0</v>
      </c>
      <c r="BS43" s="479">
        <f t="shared" ca="1" si="46"/>
        <v>0</v>
      </c>
      <c r="BV43" s="505" t="str" cm="1">
        <f t="array" aca="1" ref="BV43" ca="1">IF(BJ44=0,"",CONCATENATE(INDEX(FinalSort,BJ44,4),": ",INDEX(FinalSort,BJ44,8)))</f>
        <v/>
      </c>
      <c r="BW43" s="506" t="str" cm="1">
        <f t="array" aca="1" ref="BW43" ca="1">IF(BK44=0,"",CONCATENATE(INDEX(FinalSort,BK44,4),": ",INDEX(FinalSort,BK44,8)))</f>
        <v/>
      </c>
      <c r="BX43" s="506" t="str" cm="1">
        <f t="array" aca="1" ref="BX43" ca="1">IF(BL44=0,"",CONCATENATE(INDEX(FinalSort,BL44,4),": ",INDEX(FinalSort,BL44,8)))</f>
        <v/>
      </c>
      <c r="BY43" s="506" t="str" cm="1">
        <f t="array" aca="1" ref="BY43" ca="1">IF(BM44=0,"",CONCATENATE(INDEX(FinalSort,BM44,4),": ",INDEX(FinalSort,BM44,8)))</f>
        <v/>
      </c>
      <c r="BZ43" s="506" t="str" cm="1">
        <f t="array" aca="1" ref="BZ43" ca="1">IF(BN44=0,"",CONCATENATE(INDEX(FinalSort,BN44,4),": ",INDEX(FinalSort,BN44,8)))</f>
        <v/>
      </c>
      <c r="CA43" s="506" t="str" cm="1">
        <f t="array" aca="1" ref="CA43" ca="1">IF(BO44=0,"",CONCATENATE(INDEX(FinalSort,BO44,4),": ",INDEX(FinalSort,BO44,8)))</f>
        <v/>
      </c>
      <c r="CB43" s="506" t="str" cm="1">
        <f t="array" aca="1" ref="CB43" ca="1">IF(BP44=0,"",CONCATENATE(INDEX(FinalSort,BP44,4),": ",INDEX(FinalSort,BP44,8)))</f>
        <v/>
      </c>
      <c r="CC43" s="506" t="str" cm="1">
        <f t="array" aca="1" ref="CC43" ca="1">IF(BQ44=0,"",CONCATENATE(INDEX(FinalSort,BQ44,4),": ",INDEX(FinalSort,BQ44,8)))</f>
        <v/>
      </c>
      <c r="CD43" s="506" t="str" cm="1">
        <f t="array" aca="1" ref="CD43" ca="1">IF(BR44=0,"",CONCATENATE(INDEX(FinalSort,BR44,4),": ",INDEX(FinalSort,BR44,8)))</f>
        <v/>
      </c>
      <c r="CE43" s="507" t="str" cm="1">
        <f t="array" aca="1" ref="CE43" ca="1">IF(BS44=0,"",CONCATENATE(INDEX(FinalSort,BS44,4),": ",INDEX(FinalSort,BS44,8)))</f>
        <v/>
      </c>
    </row>
    <row r="44" spans="1:83" ht="15" customHeight="1" x14ac:dyDescent="0.25">
      <c r="A44" s="4">
        <v>35</v>
      </c>
      <c r="B44" s="326" t="str">
        <f t="shared" ca="1" si="47"/>
        <v/>
      </c>
      <c r="C44" s="462" t="str">
        <f t="shared" ca="1" si="4"/>
        <v/>
      </c>
      <c r="D44" s="463" t="str">
        <f t="shared" ca="1" si="5"/>
        <v/>
      </c>
      <c r="E44" s="471" t="str">
        <f t="shared" ca="1" si="6"/>
        <v/>
      </c>
      <c r="F44" s="473" t="str">
        <f t="shared" ca="1" si="48"/>
        <v/>
      </c>
      <c r="G44" s="522"/>
      <c r="H44" s="155"/>
      <c r="I44" s="443" t="str" cm="1">
        <f t="array" ref="I44">IFERROR(INDEX('Project Mull Review'!AF:AF, SMALL(IF('Project Mull Review'!AF$35:AF$682&lt;&gt;"",ROW('Project Mull Review'!AF$35:AF$682),""),ROWS('Project Mull Review'!AF$35:AF68))),"")</f>
        <v/>
      </c>
      <c r="J44" s="389" t="str" cm="1">
        <f t="array" ref="J44">IFERROR(INDEX('Project Mull Review'!AI:AI, SMALL(IF('Project Mull Review'!AI$35:AI$682&lt;&gt;"",ROW('Project Mull Review'!AI$35:AI$682),""),ROWS('Project Mull Review'!AI$35:AI68))),"")</f>
        <v/>
      </c>
      <c r="K44" s="442" t="str" cm="1">
        <f t="array" ref="K44">IFERROR(ROUND(INDEX('Project Mull Review'!AT:AT, SMALL(IF('Project Mull Review'!AI$35:AI$682&lt;&gt;"",ROW('Project Mull Review'!AI$35:AI$682),""),ROWS('Project Mull Review'!AI$35:AI68))),0),"")</f>
        <v/>
      </c>
      <c r="M44" s="140">
        <f>ROW()</f>
        <v>44</v>
      </c>
      <c r="N44" t="str">
        <f t="shared" si="11"/>
        <v/>
      </c>
      <c r="O44" t="str">
        <f t="shared" si="12"/>
        <v/>
      </c>
      <c r="P44" s="144">
        <f t="shared" ca="1" si="49"/>
        <v>0</v>
      </c>
      <c r="Q44" t="str">
        <f t="shared" ca="1" si="14"/>
        <v/>
      </c>
      <c r="R44" t="str">
        <f t="shared" ca="1" si="15"/>
        <v/>
      </c>
      <c r="S44" t="str">
        <f ca="1"/>
        <v/>
      </c>
      <c r="T44" s="144" t="str">
        <f ca="1"/>
        <v/>
      </c>
      <c r="U44" t="str">
        <f t="shared" ca="1" si="16"/>
        <v/>
      </c>
      <c r="V44" s="144" t="str">
        <f t="shared" ca="1" si="17"/>
        <v/>
      </c>
      <c r="W44">
        <f t="shared" ca="1" si="38"/>
        <v>0</v>
      </c>
      <c r="X44" t="str" cm="1">
        <f t="array" aca="1" ref="X44" ca="1">IFERROR(INDEX(INDIRECT(CONCATENATE(AS$14,":",AS$16)),V44-AR$12+1),"")</f>
        <v/>
      </c>
      <c r="Y44" t="str">
        <f t="shared" si="18"/>
        <v>X44</v>
      </c>
      <c r="Z44" t="str">
        <f t="shared" ca="1" si="31"/>
        <v>X44</v>
      </c>
      <c r="AA44">
        <f t="shared" ca="1" si="39"/>
        <v>0</v>
      </c>
      <c r="AB44">
        <f t="shared" ca="1" si="32"/>
        <v>0</v>
      </c>
      <c r="AC44" t="str">
        <f t="shared" ca="1" si="7"/>
        <v/>
      </c>
      <c r="AD44" t="str" cm="1">
        <f t="array" aca="1" ref="AD44" ca="1">IF($AB44=0,"",INDIRECT(_xlfn.CONCAT(AU$14,$V44)))</f>
        <v/>
      </c>
      <c r="AE44" s="144" t="str">
        <f t="shared" ca="1" si="33"/>
        <v/>
      </c>
      <c r="AF44" t="str">
        <f t="shared" ca="1" si="19"/>
        <v/>
      </c>
      <c r="AG44" s="525" t="str">
        <f ca="1"/>
        <v/>
      </c>
      <c r="AH44" s="467" t="str">
        <f t="shared" ca="1" si="34"/>
        <v/>
      </c>
      <c r="AI44" s="533" t="str">
        <f t="shared" ca="1" si="37"/>
        <v/>
      </c>
      <c r="AJ44" s="533" t="str">
        <f t="shared" ca="1" si="50"/>
        <v/>
      </c>
      <c r="AK44" t="str">
        <f t="shared" ca="1" si="35"/>
        <v/>
      </c>
      <c r="AL44" s="140" t="str">
        <f t="shared" ca="1" si="51"/>
        <v/>
      </c>
      <c r="AM44" t="str">
        <f t="shared" ca="1" si="21"/>
        <v/>
      </c>
      <c r="AN44" s="144" t="str">
        <f t="shared" ca="1" si="22"/>
        <v/>
      </c>
      <c r="AR44" s="483">
        <f t="shared" si="43"/>
        <v>299</v>
      </c>
      <c r="AS44" s="157" t="str">
        <f t="shared" si="41"/>
        <v>B299</v>
      </c>
      <c r="AT44" s="479" t="str">
        <f t="shared" si="42"/>
        <v>B305</v>
      </c>
      <c r="AU44" s="477"/>
      <c r="AW44" s="140" t="str">
        <f t="shared" si="2"/>
        <v>N44</v>
      </c>
      <c r="AX44" t="str">
        <f t="shared" si="36"/>
        <v>$N$11:N43</v>
      </c>
      <c r="AY44" s="144" t="str">
        <f t="shared" si="23"/>
        <v>N45:$N$99</v>
      </c>
      <c r="BA44" s="139" t="str" cm="1">
        <f t="array" aca="1" ref="BA44" ca="1">IFERROR(CELL("address",INDEX('Project Mull Review'!AF:AF, SMALL(IF('Project Mull Review'!AF$35:AF$682&lt;&gt;"",ROW('Project Mull Review'!AF$35:AF$682),""),ROWS('Project Mull Review'!AF$35:AF68)))),"")</f>
        <v/>
      </c>
      <c r="BB44" s="155" t="str">
        <f t="shared" ca="1" si="24"/>
        <v/>
      </c>
      <c r="BC44" s="155" t="str">
        <f t="shared" ca="1" si="25"/>
        <v/>
      </c>
      <c r="BD44" s="155" t="str" cm="1">
        <f t="array" aca="1" ref="BD44" ca="1">IFERROR(INDEX(MainCell,BE44,2),"")</f>
        <v/>
      </c>
      <c r="BE44" s="155" t="str">
        <f t="shared" ca="1" si="26"/>
        <v/>
      </c>
      <c r="BF44" s="64" t="str">
        <f t="shared" ca="1" si="27"/>
        <v/>
      </c>
      <c r="BG44" s="64" t="str">
        <f t="shared" ca="1" si="44"/>
        <v/>
      </c>
      <c r="BH44" s="64" t="str" cm="1">
        <f t="array" aca="1" ref="BH44" ca="1">IFERROR(CONCATENATE(INDIRECT(BF44)," ", INDIRECT(BG44)),"")</f>
        <v/>
      </c>
      <c r="BI44" s="64" t="str">
        <f t="shared" ca="1" si="29"/>
        <v/>
      </c>
      <c r="BJ44" s="155">
        <f t="shared" ca="1" si="52"/>
        <v>0</v>
      </c>
      <c r="BK44" s="155">
        <f t="shared" ca="1" si="53"/>
        <v>0</v>
      </c>
      <c r="BL44" s="155">
        <f t="shared" ca="1" si="46"/>
        <v>0</v>
      </c>
      <c r="BM44" s="155">
        <f t="shared" ca="1" si="46"/>
        <v>0</v>
      </c>
      <c r="BN44" s="155">
        <f t="shared" ca="1" si="46"/>
        <v>0</v>
      </c>
      <c r="BO44" s="155">
        <f t="shared" ca="1" si="46"/>
        <v>0</v>
      </c>
      <c r="BP44" s="155">
        <f t="shared" ca="1" si="46"/>
        <v>0</v>
      </c>
      <c r="BQ44" s="155">
        <f t="shared" ca="1" si="46"/>
        <v>0</v>
      </c>
      <c r="BR44" s="155">
        <f t="shared" ca="1" si="46"/>
        <v>0</v>
      </c>
      <c r="BS44" s="479">
        <f t="shared" ca="1" si="46"/>
        <v>0</v>
      </c>
      <c r="BV44" s="505" t="str" cm="1">
        <f t="array" aca="1" ref="BV44" ca="1">IF(BJ45=0,"",CONCATENATE(INDEX(FinalSort,BJ45,4),": ",INDEX(FinalSort,BJ45,8)))</f>
        <v/>
      </c>
      <c r="BW44" s="506" t="str" cm="1">
        <f t="array" aca="1" ref="BW44" ca="1">IF(BK45=0,"",CONCATENATE(INDEX(FinalSort,BK45,4),": ",INDEX(FinalSort,BK45,8)))</f>
        <v/>
      </c>
      <c r="BX44" s="506" t="str" cm="1">
        <f t="array" aca="1" ref="BX44" ca="1">IF(BL45=0,"",CONCATENATE(INDEX(FinalSort,BL45,4),": ",INDEX(FinalSort,BL45,8)))</f>
        <v/>
      </c>
      <c r="BY44" s="506" t="str" cm="1">
        <f t="array" aca="1" ref="BY44" ca="1">IF(BM45=0,"",CONCATENATE(INDEX(FinalSort,BM45,4),": ",INDEX(FinalSort,BM45,8)))</f>
        <v/>
      </c>
      <c r="BZ44" s="506" t="str" cm="1">
        <f t="array" aca="1" ref="BZ44" ca="1">IF(BN45=0,"",CONCATENATE(INDEX(FinalSort,BN45,4),": ",INDEX(FinalSort,BN45,8)))</f>
        <v/>
      </c>
      <c r="CA44" s="506" t="str" cm="1">
        <f t="array" aca="1" ref="CA44" ca="1">IF(BO45=0,"",CONCATENATE(INDEX(FinalSort,BO45,4),": ",INDEX(FinalSort,BO45,8)))</f>
        <v/>
      </c>
      <c r="CB44" s="506" t="str" cm="1">
        <f t="array" aca="1" ref="CB44" ca="1">IF(BP45=0,"",CONCATENATE(INDEX(FinalSort,BP45,4),": ",INDEX(FinalSort,BP45,8)))</f>
        <v/>
      </c>
      <c r="CC44" s="506" t="str" cm="1">
        <f t="array" aca="1" ref="CC44" ca="1">IF(BQ45=0,"",CONCATENATE(INDEX(FinalSort,BQ45,4),": ",INDEX(FinalSort,BQ45,8)))</f>
        <v/>
      </c>
      <c r="CD44" s="506" t="str" cm="1">
        <f t="array" aca="1" ref="CD44" ca="1">IF(BR45=0,"",CONCATENATE(INDEX(FinalSort,BR45,4),": ",INDEX(FinalSort,BR45,8)))</f>
        <v/>
      </c>
      <c r="CE44" s="507" t="str" cm="1">
        <f t="array" aca="1" ref="CE44" ca="1">IF(BS45=0,"",CONCATENATE(INDEX(FinalSort,BS45,4),": ",INDEX(FinalSort,BS45,8)))</f>
        <v/>
      </c>
    </row>
    <row r="45" spans="1:83" ht="15" customHeight="1" x14ac:dyDescent="0.25">
      <c r="A45" s="4">
        <v>36</v>
      </c>
      <c r="B45" s="326" t="str">
        <f t="shared" ca="1" si="47"/>
        <v/>
      </c>
      <c r="C45" s="462" t="str">
        <f t="shared" ca="1" si="4"/>
        <v/>
      </c>
      <c r="D45" s="463" t="str">
        <f t="shared" ca="1" si="5"/>
        <v/>
      </c>
      <c r="E45" s="471" t="str">
        <f t="shared" ca="1" si="6"/>
        <v/>
      </c>
      <c r="F45" s="473" t="str">
        <f t="shared" ca="1" si="48"/>
        <v/>
      </c>
      <c r="G45" s="522"/>
      <c r="H45" s="155"/>
      <c r="I45" s="443" t="str" cm="1">
        <f t="array" ref="I45">IFERROR(INDEX('Project Mull Review'!AF:AF, SMALL(IF('Project Mull Review'!AF$35:AF$682&lt;&gt;"",ROW('Project Mull Review'!AF$35:AF$682),""),ROWS('Project Mull Review'!AF$35:AF69))),"")</f>
        <v/>
      </c>
      <c r="J45" s="389" t="str" cm="1">
        <f t="array" ref="J45">IFERROR(INDEX('Project Mull Review'!AI:AI, SMALL(IF('Project Mull Review'!AI$35:AI$682&lt;&gt;"",ROW('Project Mull Review'!AI$35:AI$682),""),ROWS('Project Mull Review'!AI$35:AI69))),"")</f>
        <v/>
      </c>
      <c r="K45" s="442" t="str" cm="1">
        <f t="array" ref="K45">IFERROR(ROUND(INDEX('Project Mull Review'!AT:AT, SMALL(IF('Project Mull Review'!AI$35:AI$682&lt;&gt;"",ROW('Project Mull Review'!AI$35:AI$682),""),ROWS('Project Mull Review'!AI$35:AI69))),0),"")</f>
        <v/>
      </c>
      <c r="M45" s="140">
        <f>ROW()</f>
        <v>45</v>
      </c>
      <c r="N45" t="str">
        <f t="shared" si="11"/>
        <v/>
      </c>
      <c r="O45" t="str">
        <f t="shared" si="12"/>
        <v/>
      </c>
      <c r="P45" s="144">
        <f t="shared" ca="1" si="49"/>
        <v>0</v>
      </c>
      <c r="Q45" t="str">
        <f t="shared" ca="1" si="14"/>
        <v/>
      </c>
      <c r="R45" t="str">
        <f t="shared" ca="1" si="15"/>
        <v/>
      </c>
      <c r="S45" t="str">
        <f ca="1"/>
        <v/>
      </c>
      <c r="T45" s="144" t="str">
        <f ca="1"/>
        <v/>
      </c>
      <c r="U45" t="str">
        <f t="shared" ca="1" si="16"/>
        <v/>
      </c>
      <c r="V45" s="144" t="str">
        <f t="shared" ca="1" si="17"/>
        <v/>
      </c>
      <c r="W45">
        <f t="shared" ca="1" si="38"/>
        <v>0</v>
      </c>
      <c r="X45" t="str" cm="1">
        <f t="array" aca="1" ref="X45" ca="1">IFERROR(INDEX(INDIRECT(CONCATENATE(AS$14,":",AS$16)),V45-AR$12+1),"")</f>
        <v/>
      </c>
      <c r="Y45" t="str">
        <f t="shared" si="18"/>
        <v>X45</v>
      </c>
      <c r="Z45" t="str">
        <f t="shared" ca="1" si="31"/>
        <v>X45</v>
      </c>
      <c r="AA45">
        <f t="shared" ca="1" si="39"/>
        <v>0</v>
      </c>
      <c r="AB45">
        <f t="shared" ca="1" si="32"/>
        <v>0</v>
      </c>
      <c r="AC45" t="str">
        <f t="shared" ca="1" si="7"/>
        <v/>
      </c>
      <c r="AD45" t="str" cm="1">
        <f t="array" aca="1" ref="AD45" ca="1">IF($AB45=0,"",INDIRECT(_xlfn.CONCAT(AU$14,$V45)))</f>
        <v/>
      </c>
      <c r="AE45" s="144" t="str">
        <f t="shared" ca="1" si="33"/>
        <v/>
      </c>
      <c r="AF45" t="str">
        <f t="shared" ca="1" si="19"/>
        <v/>
      </c>
      <c r="AG45" s="525" t="str">
        <f ca="1"/>
        <v/>
      </c>
      <c r="AH45" s="467" t="str">
        <f t="shared" ca="1" si="34"/>
        <v/>
      </c>
      <c r="AI45" s="533" t="str">
        <f t="shared" ca="1" si="37"/>
        <v/>
      </c>
      <c r="AJ45" s="533" t="str">
        <f t="shared" ca="1" si="50"/>
        <v/>
      </c>
      <c r="AK45" t="str">
        <f t="shared" ca="1" si="35"/>
        <v/>
      </c>
      <c r="AL45" s="140" t="str">
        <f t="shared" ca="1" si="51"/>
        <v/>
      </c>
      <c r="AM45" t="str">
        <f t="shared" ca="1" si="21"/>
        <v/>
      </c>
      <c r="AN45" s="144" t="str">
        <f t="shared" ca="1" si="22"/>
        <v/>
      </c>
      <c r="AR45" s="483">
        <f t="shared" si="43"/>
        <v>311</v>
      </c>
      <c r="AS45" s="157" t="str">
        <f t="shared" si="41"/>
        <v>B311</v>
      </c>
      <c r="AT45" s="479" t="str">
        <f t="shared" si="42"/>
        <v>B317</v>
      </c>
      <c r="AU45" s="477"/>
      <c r="AW45" s="140" t="str">
        <f t="shared" si="2"/>
        <v>N45</v>
      </c>
      <c r="AX45" t="str">
        <f t="shared" si="36"/>
        <v>$N$11:N44</v>
      </c>
      <c r="AY45" s="144" t="str">
        <f t="shared" si="23"/>
        <v>N46:$N$99</v>
      </c>
      <c r="BA45" s="139" t="str" cm="1">
        <f t="array" aca="1" ref="BA45" ca="1">IFERROR(CELL("address",INDEX('Project Mull Review'!AF:AF, SMALL(IF('Project Mull Review'!AF$35:AF$682&lt;&gt;"",ROW('Project Mull Review'!AF$35:AF$682),""),ROWS('Project Mull Review'!AF$35:AF69)))),"")</f>
        <v/>
      </c>
      <c r="BB45" s="155" t="str">
        <f t="shared" ca="1" si="24"/>
        <v/>
      </c>
      <c r="BC45" s="155" t="str">
        <f t="shared" ca="1" si="25"/>
        <v/>
      </c>
      <c r="BD45" s="155" t="str" cm="1">
        <f t="array" aca="1" ref="BD45" ca="1">IFERROR(INDEX(MainCell,BE45,2),"")</f>
        <v/>
      </c>
      <c r="BE45" s="155" t="str">
        <f t="shared" ca="1" si="26"/>
        <v/>
      </c>
      <c r="BF45" s="64" t="str">
        <f t="shared" ca="1" si="27"/>
        <v/>
      </c>
      <c r="BG45" s="64" t="str">
        <f t="shared" ca="1" si="44"/>
        <v/>
      </c>
      <c r="BH45" s="64" t="str" cm="1">
        <f t="array" aca="1" ref="BH45" ca="1">IFERROR(CONCATENATE(INDIRECT(BF45)," ", INDIRECT(BG45)),"")</f>
        <v/>
      </c>
      <c r="BI45" s="64" t="str">
        <f t="shared" ca="1" si="29"/>
        <v/>
      </c>
      <c r="BJ45" s="155">
        <f t="shared" ca="1" si="52"/>
        <v>0</v>
      </c>
      <c r="BK45" s="155">
        <f t="shared" ca="1" si="53"/>
        <v>0</v>
      </c>
      <c r="BL45" s="155">
        <f t="shared" ca="1" si="46"/>
        <v>0</v>
      </c>
      <c r="BM45" s="155">
        <f t="shared" ca="1" si="46"/>
        <v>0</v>
      </c>
      <c r="BN45" s="155">
        <f t="shared" ca="1" si="46"/>
        <v>0</v>
      </c>
      <c r="BO45" s="155">
        <f t="shared" ca="1" si="46"/>
        <v>0</v>
      </c>
      <c r="BP45" s="155">
        <f t="shared" ca="1" si="46"/>
        <v>0</v>
      </c>
      <c r="BQ45" s="155">
        <f t="shared" ca="1" si="46"/>
        <v>0</v>
      </c>
      <c r="BR45" s="155">
        <f t="shared" ca="1" si="46"/>
        <v>0</v>
      </c>
      <c r="BS45" s="479">
        <f t="shared" ca="1" si="46"/>
        <v>0</v>
      </c>
      <c r="BV45" s="505" t="str" cm="1">
        <f t="array" aca="1" ref="BV45" ca="1">IF(BJ46=0,"",CONCATENATE(INDEX(FinalSort,BJ46,4),": ",INDEX(FinalSort,BJ46,8)))</f>
        <v/>
      </c>
      <c r="BW45" s="506" t="str" cm="1">
        <f t="array" aca="1" ref="BW45" ca="1">IF(BK46=0,"",CONCATENATE(INDEX(FinalSort,BK46,4),": ",INDEX(FinalSort,BK46,8)))</f>
        <v/>
      </c>
      <c r="BX45" s="506" t="str" cm="1">
        <f t="array" aca="1" ref="BX45" ca="1">IF(BL46=0,"",CONCATENATE(INDEX(FinalSort,BL46,4),": ",INDEX(FinalSort,BL46,8)))</f>
        <v/>
      </c>
      <c r="BY45" s="506" t="str" cm="1">
        <f t="array" aca="1" ref="BY45" ca="1">IF(BM46=0,"",CONCATENATE(INDEX(FinalSort,BM46,4),": ",INDEX(FinalSort,BM46,8)))</f>
        <v/>
      </c>
      <c r="BZ45" s="506" t="str" cm="1">
        <f t="array" aca="1" ref="BZ45" ca="1">IF(BN46=0,"",CONCATENATE(INDEX(FinalSort,BN46,4),": ",INDEX(FinalSort,BN46,8)))</f>
        <v/>
      </c>
      <c r="CA45" s="506" t="str" cm="1">
        <f t="array" aca="1" ref="CA45" ca="1">IF(BO46=0,"",CONCATENATE(INDEX(FinalSort,BO46,4),": ",INDEX(FinalSort,BO46,8)))</f>
        <v/>
      </c>
      <c r="CB45" s="506" t="str" cm="1">
        <f t="array" aca="1" ref="CB45" ca="1">IF(BP46=0,"",CONCATENATE(INDEX(FinalSort,BP46,4),": ",INDEX(FinalSort,BP46,8)))</f>
        <v/>
      </c>
      <c r="CC45" s="506" t="str" cm="1">
        <f t="array" aca="1" ref="CC45" ca="1">IF(BQ46=0,"",CONCATENATE(INDEX(FinalSort,BQ46,4),": ",INDEX(FinalSort,BQ46,8)))</f>
        <v/>
      </c>
      <c r="CD45" s="506" t="str" cm="1">
        <f t="array" aca="1" ref="CD45" ca="1">IF(BR46=0,"",CONCATENATE(INDEX(FinalSort,BR46,4),": ",INDEX(FinalSort,BR46,8)))</f>
        <v/>
      </c>
      <c r="CE45" s="507" t="str" cm="1">
        <f t="array" aca="1" ref="CE45" ca="1">IF(BS46=0,"",CONCATENATE(INDEX(FinalSort,BS46,4),": ",INDEX(FinalSort,BS46,8)))</f>
        <v/>
      </c>
    </row>
    <row r="46" spans="1:83" ht="15" customHeight="1" x14ac:dyDescent="0.25">
      <c r="A46" s="4">
        <v>37</v>
      </c>
      <c r="B46" s="326" t="str">
        <f t="shared" ca="1" si="47"/>
        <v/>
      </c>
      <c r="C46" s="462" t="str">
        <f t="shared" ca="1" si="4"/>
        <v/>
      </c>
      <c r="D46" s="463" t="str">
        <f t="shared" ca="1" si="5"/>
        <v/>
      </c>
      <c r="E46" s="471" t="str">
        <f t="shared" ca="1" si="6"/>
        <v/>
      </c>
      <c r="F46" s="473" t="str">
        <f t="shared" ca="1" si="48"/>
        <v/>
      </c>
      <c r="G46" s="522"/>
      <c r="H46" s="155"/>
      <c r="I46" s="443" t="str" cm="1">
        <f t="array" ref="I46">IFERROR(INDEX('Project Mull Review'!AF:AF, SMALL(IF('Project Mull Review'!AF$35:AF$682&lt;&gt;"",ROW('Project Mull Review'!AF$35:AF$682),""),ROWS('Project Mull Review'!AF$35:AF70))),"")</f>
        <v/>
      </c>
      <c r="J46" s="389" t="str" cm="1">
        <f t="array" ref="J46">IFERROR(INDEX('Project Mull Review'!AI:AI, SMALL(IF('Project Mull Review'!AI$35:AI$682&lt;&gt;"",ROW('Project Mull Review'!AI$35:AI$682),""),ROWS('Project Mull Review'!AI$35:AI70))),"")</f>
        <v/>
      </c>
      <c r="K46" s="442" t="str" cm="1">
        <f t="array" ref="K46">IFERROR(ROUND(INDEX('Project Mull Review'!AT:AT, SMALL(IF('Project Mull Review'!AI$35:AI$682&lt;&gt;"",ROW('Project Mull Review'!AI$35:AI$682),""),ROWS('Project Mull Review'!AI$35:AI70))),0),"")</f>
        <v/>
      </c>
      <c r="M46" s="140">
        <f>ROW()</f>
        <v>46</v>
      </c>
      <c r="N46" t="str">
        <f t="shared" si="11"/>
        <v/>
      </c>
      <c r="O46" t="str">
        <f t="shared" si="12"/>
        <v/>
      </c>
      <c r="P46" s="144">
        <f t="shared" ca="1" si="49"/>
        <v>0</v>
      </c>
      <c r="Q46" t="str">
        <f t="shared" ref="Q46:Q98" ca="1" si="54">IF(P46=1,O46,"")</f>
        <v/>
      </c>
      <c r="R46" t="str">
        <f t="shared" ref="R46:R99" ca="1" si="55">IF(P46=0,IF(O46="","",O46),"")</f>
        <v/>
      </c>
      <c r="S46" t="str">
        <f ca="1"/>
        <v/>
      </c>
      <c r="T46" s="144" t="str">
        <f ca="1"/>
        <v/>
      </c>
      <c r="U46" t="str">
        <f t="shared" ref="U46:U54" ca="1" si="56">IFERROR(MID(S46,1,LEN(S46)-2),"")</f>
        <v/>
      </c>
      <c r="V46" s="144" t="str">
        <f t="shared" ref="V46:V54" ca="1" si="57">RIGHT(S46,2)</f>
        <v/>
      </c>
      <c r="W46">
        <f t="shared" ref="W46:W54" ca="1" si="58">IF(U46="",0,IF(ISNUMBER(MATCH(U46,U47:U59,0))=TRUE,1,0))</f>
        <v>0</v>
      </c>
      <c r="X46" t="str" cm="1">
        <f t="array" aca="1" ref="X46" ca="1">IFERROR(INDEX(INDIRECT(CONCATENATE(AS$14,":",AS$16)),V46-AR$12+1),"")</f>
        <v/>
      </c>
      <c r="Y46" t="str">
        <f t="shared" si="18"/>
        <v>X46</v>
      </c>
      <c r="Z46" t="str">
        <f t="shared" ca="1" si="31"/>
        <v>X46</v>
      </c>
      <c r="AA46">
        <f t="shared" ref="AA46:AA54" ca="1" si="59">IF(IFERROR(MATCH(Z46,Z47:Z83,0),0)=1,AA45+1,0)</f>
        <v>0</v>
      </c>
      <c r="AB46">
        <f t="shared" ref="AB46:AB54" ca="1" si="60">IF(AA46=0,MAX(INDIRECT(CONCATENATE(Z46,":",LEFT(Z46),ROW()-AA45))),0)</f>
        <v>0</v>
      </c>
      <c r="AC46" t="str">
        <f t="shared" ca="1" si="7"/>
        <v/>
      </c>
      <c r="AD46" t="str" cm="1">
        <f t="array" aca="1" ref="AD46" ca="1">IF($AB46=0,"",INDIRECT(_xlfn.CONCAT(AU$14,$V46)))</f>
        <v/>
      </c>
      <c r="AE46" s="144" t="str">
        <f t="shared" ref="AE46:AE54" ca="1" si="61">IF(AB46=0,"",AB46)</f>
        <v/>
      </c>
      <c r="AF46" t="str">
        <f t="shared" ca="1" si="19"/>
        <v/>
      </c>
      <c r="AG46" s="525" t="str">
        <f ca="1"/>
        <v/>
      </c>
      <c r="AH46" s="467" t="str">
        <f t="shared" ca="1" si="34"/>
        <v/>
      </c>
      <c r="AI46" s="533" t="str">
        <f t="shared" ca="1" si="37"/>
        <v/>
      </c>
      <c r="AJ46" s="533" t="str">
        <f t="shared" ca="1" si="50"/>
        <v/>
      </c>
      <c r="AK46" t="str">
        <f t="shared" ca="1" si="35"/>
        <v/>
      </c>
      <c r="AL46" s="140" t="str">
        <f t="shared" ca="1" si="51"/>
        <v/>
      </c>
      <c r="AM46" t="str">
        <f t="shared" ca="1" si="21"/>
        <v/>
      </c>
      <c r="AN46" s="144" t="str">
        <f t="shared" ca="1" si="22"/>
        <v/>
      </c>
      <c r="AR46" s="483">
        <f t="shared" si="43"/>
        <v>323</v>
      </c>
      <c r="AS46" s="157" t="str">
        <f t="shared" si="41"/>
        <v>B323</v>
      </c>
      <c r="AT46" s="479" t="str">
        <f t="shared" si="42"/>
        <v>B329</v>
      </c>
      <c r="AU46" s="477"/>
      <c r="AW46" s="140" t="str">
        <f t="shared" si="2"/>
        <v>N46</v>
      </c>
      <c r="AX46" t="str">
        <f t="shared" si="36"/>
        <v>$N$11:N45</v>
      </c>
      <c r="AY46" s="144" t="str">
        <f t="shared" si="23"/>
        <v>N47:$N$99</v>
      </c>
      <c r="BA46" s="139" t="str" cm="1">
        <f t="array" aca="1" ref="BA46" ca="1">IFERROR(CELL("address",INDEX('Project Mull Review'!AF:AF, SMALL(IF('Project Mull Review'!AF$35:AF$682&lt;&gt;"",ROW('Project Mull Review'!AF$35:AF$682),""),ROWS('Project Mull Review'!AF$35:AF70)))),"")</f>
        <v/>
      </c>
      <c r="BB46" s="155" t="str">
        <f t="shared" ca="1" si="24"/>
        <v/>
      </c>
      <c r="BC46" s="155" t="str">
        <f t="shared" ca="1" si="25"/>
        <v/>
      </c>
      <c r="BD46" s="155" t="str" cm="1">
        <f t="array" aca="1" ref="BD46" ca="1">IFERROR(INDEX(MainCell,BE46,2),"")</f>
        <v/>
      </c>
      <c r="BE46" s="155" t="str">
        <f t="shared" ca="1" si="26"/>
        <v/>
      </c>
      <c r="BF46" s="64" t="str">
        <f t="shared" ca="1" si="27"/>
        <v/>
      </c>
      <c r="BG46" s="64" t="str">
        <f t="shared" ca="1" si="44"/>
        <v/>
      </c>
      <c r="BH46" s="64" t="str" cm="1">
        <f t="array" aca="1" ref="BH46" ca="1">IFERROR(CONCATENATE(INDIRECT(BF46)," ", INDIRECT(BG46)),"")</f>
        <v/>
      </c>
      <c r="BI46" s="64" t="str">
        <f t="shared" ca="1" si="29"/>
        <v/>
      </c>
      <c r="BJ46" s="155">
        <f t="shared" ca="1" si="52"/>
        <v>0</v>
      </c>
      <c r="BK46" s="155">
        <f t="shared" ca="1" si="53"/>
        <v>0</v>
      </c>
      <c r="BL46" s="155">
        <f t="shared" ca="1" si="46"/>
        <v>0</v>
      </c>
      <c r="BM46" s="155">
        <f t="shared" ca="1" si="46"/>
        <v>0</v>
      </c>
      <c r="BN46" s="155">
        <f t="shared" ca="1" si="46"/>
        <v>0</v>
      </c>
      <c r="BO46" s="155">
        <f t="shared" ca="1" si="46"/>
        <v>0</v>
      </c>
      <c r="BP46" s="155">
        <f t="shared" ca="1" si="46"/>
        <v>0</v>
      </c>
      <c r="BQ46" s="155">
        <f t="shared" ca="1" si="46"/>
        <v>0</v>
      </c>
      <c r="BR46" s="155">
        <f t="shared" ca="1" si="46"/>
        <v>0</v>
      </c>
      <c r="BS46" s="479">
        <f t="shared" ca="1" si="46"/>
        <v>0</v>
      </c>
      <c r="BV46" s="505" t="str" cm="1">
        <f t="array" aca="1" ref="BV46" ca="1">IF(BJ47=0,"",CONCATENATE(INDEX(FinalSort,BJ47,4),": ",INDEX(FinalSort,BJ47,8)))</f>
        <v/>
      </c>
      <c r="BW46" s="506" t="str" cm="1">
        <f t="array" aca="1" ref="BW46" ca="1">IF(BK47=0,"",CONCATENATE(INDEX(FinalSort,BK47,4),": ",INDEX(FinalSort,BK47,8)))</f>
        <v/>
      </c>
      <c r="BX46" s="506" t="str" cm="1">
        <f t="array" aca="1" ref="BX46" ca="1">IF(BL47=0,"",CONCATENATE(INDEX(FinalSort,BL47,4),": ",INDEX(FinalSort,BL47,8)))</f>
        <v/>
      </c>
      <c r="BY46" s="506" t="str" cm="1">
        <f t="array" aca="1" ref="BY46" ca="1">IF(BM47=0,"",CONCATENATE(INDEX(FinalSort,BM47,4),": ",INDEX(FinalSort,BM47,8)))</f>
        <v/>
      </c>
      <c r="BZ46" s="506" t="str" cm="1">
        <f t="array" aca="1" ref="BZ46" ca="1">IF(BN47=0,"",CONCATENATE(INDEX(FinalSort,BN47,4),": ",INDEX(FinalSort,BN47,8)))</f>
        <v/>
      </c>
      <c r="CA46" s="506" t="str" cm="1">
        <f t="array" aca="1" ref="CA46" ca="1">IF(BO47=0,"",CONCATENATE(INDEX(FinalSort,BO47,4),": ",INDEX(FinalSort,BO47,8)))</f>
        <v/>
      </c>
      <c r="CB46" s="506" t="str" cm="1">
        <f t="array" aca="1" ref="CB46" ca="1">IF(BP47=0,"",CONCATENATE(INDEX(FinalSort,BP47,4),": ",INDEX(FinalSort,BP47,8)))</f>
        <v/>
      </c>
      <c r="CC46" s="506" t="str" cm="1">
        <f t="array" aca="1" ref="CC46" ca="1">IF(BQ47=0,"",CONCATENATE(INDEX(FinalSort,BQ47,4),": ",INDEX(FinalSort,BQ47,8)))</f>
        <v/>
      </c>
      <c r="CD46" s="506" t="str" cm="1">
        <f t="array" aca="1" ref="CD46" ca="1">IF(BR47=0,"",CONCATENATE(INDEX(FinalSort,BR47,4),": ",INDEX(FinalSort,BR47,8)))</f>
        <v/>
      </c>
      <c r="CE46" s="507" t="str" cm="1">
        <f t="array" aca="1" ref="CE46" ca="1">IF(BS47=0,"",CONCATENATE(INDEX(FinalSort,BS47,4),": ",INDEX(FinalSort,BS47,8)))</f>
        <v/>
      </c>
    </row>
    <row r="47" spans="1:83" ht="15" customHeight="1" x14ac:dyDescent="0.25">
      <c r="A47" s="4">
        <v>38</v>
      </c>
      <c r="B47" s="326" t="str">
        <f t="shared" ca="1" si="47"/>
        <v/>
      </c>
      <c r="C47" s="462" t="str">
        <f t="shared" ca="1" si="4"/>
        <v/>
      </c>
      <c r="D47" s="463" t="str">
        <f t="shared" ca="1" si="5"/>
        <v/>
      </c>
      <c r="E47" s="471" t="str">
        <f t="shared" ca="1" si="6"/>
        <v/>
      </c>
      <c r="F47" s="473" t="str">
        <f t="shared" ca="1" si="48"/>
        <v/>
      </c>
      <c r="G47" s="522"/>
      <c r="H47" s="155"/>
      <c r="I47" s="443" t="str" cm="1">
        <f t="array" ref="I47">IFERROR(INDEX('Project Mull Review'!AF:AF, SMALL(IF('Project Mull Review'!AF$35:AF$682&lt;&gt;"",ROW('Project Mull Review'!AF$35:AF$682),""),ROWS('Project Mull Review'!AF$35:AF71))),"")</f>
        <v/>
      </c>
      <c r="J47" s="389" t="str" cm="1">
        <f t="array" ref="J47">IFERROR(INDEX('Project Mull Review'!AI:AI, SMALL(IF('Project Mull Review'!AI$35:AI$682&lt;&gt;"",ROW('Project Mull Review'!AI$35:AI$682),""),ROWS('Project Mull Review'!AI$35:AI71))),"")</f>
        <v/>
      </c>
      <c r="K47" s="442" t="str" cm="1">
        <f t="array" ref="K47">IFERROR(ROUND(INDEX('Project Mull Review'!AT:AT, SMALL(IF('Project Mull Review'!AI$35:AI$682&lt;&gt;"",ROW('Project Mull Review'!AI$35:AI$682),""),ROWS('Project Mull Review'!AI$35:AI71))),0),"")</f>
        <v/>
      </c>
      <c r="M47" s="140">
        <f>ROW()</f>
        <v>47</v>
      </c>
      <c r="N47" t="str">
        <f t="shared" si="11"/>
        <v/>
      </c>
      <c r="O47" t="str">
        <f t="shared" si="12"/>
        <v/>
      </c>
      <c r="P47" s="144">
        <f t="shared" ca="1" si="49"/>
        <v>0</v>
      </c>
      <c r="Q47" t="str">
        <f t="shared" ca="1" si="54"/>
        <v/>
      </c>
      <c r="R47" t="str">
        <f t="shared" ca="1" si="55"/>
        <v/>
      </c>
      <c r="S47" t="str">
        <f ca="1"/>
        <v/>
      </c>
      <c r="T47" s="144" t="str">
        <f ca="1"/>
        <v/>
      </c>
      <c r="U47" t="str">
        <f t="shared" ca="1" si="56"/>
        <v/>
      </c>
      <c r="V47" s="144" t="str">
        <f t="shared" ca="1" si="57"/>
        <v/>
      </c>
      <c r="W47">
        <f t="shared" ca="1" si="58"/>
        <v>0</v>
      </c>
      <c r="X47" t="str" cm="1">
        <f t="array" aca="1" ref="X47" ca="1">IFERROR(INDEX(INDIRECT(CONCATENATE(AS$14,":",AS$16)),V47-AR$12+1),"")</f>
        <v/>
      </c>
      <c r="Y47" t="str">
        <f t="shared" si="18"/>
        <v>X47</v>
      </c>
      <c r="Z47" t="str">
        <f t="shared" ca="1" si="31"/>
        <v>X47</v>
      </c>
      <c r="AA47">
        <f t="shared" ca="1" si="59"/>
        <v>0</v>
      </c>
      <c r="AB47">
        <f t="shared" ca="1" si="60"/>
        <v>0</v>
      </c>
      <c r="AC47" t="str">
        <f t="shared" ca="1" si="7"/>
        <v/>
      </c>
      <c r="AD47" t="str" cm="1">
        <f t="array" aca="1" ref="AD47" ca="1">IF($AB47=0,"",INDIRECT(_xlfn.CONCAT(AU$14,$V47)))</f>
        <v/>
      </c>
      <c r="AE47" s="144" t="str">
        <f t="shared" ca="1" si="61"/>
        <v/>
      </c>
      <c r="AF47" t="str">
        <f t="shared" ca="1" si="19"/>
        <v/>
      </c>
      <c r="AG47" s="525" t="str">
        <f ca="1"/>
        <v/>
      </c>
      <c r="AH47" s="467" t="str">
        <f t="shared" ca="1" si="34"/>
        <v/>
      </c>
      <c r="AI47" s="533" t="str">
        <f t="shared" ca="1" si="37"/>
        <v/>
      </c>
      <c r="AJ47" s="533" t="str">
        <f t="shared" ca="1" si="50"/>
        <v/>
      </c>
      <c r="AK47" t="str">
        <f t="shared" ca="1" si="35"/>
        <v/>
      </c>
      <c r="AL47" s="140" t="str">
        <f t="shared" ca="1" si="51"/>
        <v/>
      </c>
      <c r="AM47" t="str">
        <f t="shared" ca="1" si="21"/>
        <v/>
      </c>
      <c r="AN47" s="144" t="str">
        <f t="shared" ca="1" si="22"/>
        <v/>
      </c>
      <c r="AR47" s="483">
        <f t="shared" si="43"/>
        <v>335</v>
      </c>
      <c r="AS47" s="157" t="str">
        <f t="shared" si="41"/>
        <v>B335</v>
      </c>
      <c r="AT47" s="479" t="str">
        <f t="shared" si="42"/>
        <v>B341</v>
      </c>
      <c r="AU47" s="477"/>
      <c r="AW47" s="140" t="str">
        <f t="shared" si="2"/>
        <v>N47</v>
      </c>
      <c r="AX47" t="str">
        <f t="shared" si="36"/>
        <v>$N$11:N46</v>
      </c>
      <c r="AY47" s="144" t="str">
        <f t="shared" si="23"/>
        <v>N48:$N$99</v>
      </c>
      <c r="BA47" s="139" t="str" cm="1">
        <f t="array" aca="1" ref="BA47" ca="1">IFERROR(CELL("address",INDEX('Project Mull Review'!AF:AF, SMALL(IF('Project Mull Review'!AF$35:AF$682&lt;&gt;"",ROW('Project Mull Review'!AF$35:AF$682),""),ROWS('Project Mull Review'!AF$35:AF71)))),"")</f>
        <v/>
      </c>
      <c r="BB47" s="155" t="str">
        <f t="shared" ca="1" si="24"/>
        <v/>
      </c>
      <c r="BC47" s="155" t="str">
        <f t="shared" ca="1" si="25"/>
        <v/>
      </c>
      <c r="BD47" s="155" t="str" cm="1">
        <f t="array" aca="1" ref="BD47" ca="1">IFERROR(INDEX(MainCell,BE47,2),"")</f>
        <v/>
      </c>
      <c r="BE47" s="155" t="str">
        <f t="shared" ca="1" si="26"/>
        <v/>
      </c>
      <c r="BF47" s="64" t="str">
        <f t="shared" ca="1" si="27"/>
        <v/>
      </c>
      <c r="BG47" s="64" t="str">
        <f t="shared" ca="1" si="44"/>
        <v/>
      </c>
      <c r="BH47" s="64" t="str" cm="1">
        <f t="array" aca="1" ref="BH47" ca="1">IFERROR(CONCATENATE(INDIRECT(BF47)," ", INDIRECT(BG47)),"")</f>
        <v/>
      </c>
      <c r="BI47" s="64" t="str">
        <f t="shared" ca="1" si="29"/>
        <v/>
      </c>
      <c r="BJ47" s="155">
        <f t="shared" ca="1" si="52"/>
        <v>0</v>
      </c>
      <c r="BK47" s="155">
        <f t="shared" ca="1" si="53"/>
        <v>0</v>
      </c>
      <c r="BL47" s="155">
        <f t="shared" ca="1" si="46"/>
        <v>0</v>
      </c>
      <c r="BM47" s="155">
        <f t="shared" ca="1" si="46"/>
        <v>0</v>
      </c>
      <c r="BN47" s="155">
        <f t="shared" ca="1" si="46"/>
        <v>0</v>
      </c>
      <c r="BO47" s="155">
        <f t="shared" ca="1" si="46"/>
        <v>0</v>
      </c>
      <c r="BP47" s="155">
        <f t="shared" ca="1" si="46"/>
        <v>0</v>
      </c>
      <c r="BQ47" s="155">
        <f t="shared" ca="1" si="46"/>
        <v>0</v>
      </c>
      <c r="BR47" s="155">
        <f t="shared" ca="1" si="46"/>
        <v>0</v>
      </c>
      <c r="BS47" s="479">
        <f t="shared" ca="1" si="46"/>
        <v>0</v>
      </c>
      <c r="BV47" s="505" t="str" cm="1">
        <f t="array" aca="1" ref="BV47" ca="1">IF(BJ48=0,"",CONCATENATE(INDEX(FinalSort,BJ48,4),": ",INDEX(FinalSort,BJ48,8)))</f>
        <v/>
      </c>
      <c r="BW47" s="506" t="str" cm="1">
        <f t="array" aca="1" ref="BW47" ca="1">IF(BK48=0,"",CONCATENATE(INDEX(FinalSort,BK48,4),": ",INDEX(FinalSort,BK48,8)))</f>
        <v/>
      </c>
      <c r="BX47" s="506" t="str" cm="1">
        <f t="array" aca="1" ref="BX47" ca="1">IF(BL48=0,"",CONCATENATE(INDEX(FinalSort,BL48,4),": ",INDEX(FinalSort,BL48,8)))</f>
        <v/>
      </c>
      <c r="BY47" s="506" t="str" cm="1">
        <f t="array" aca="1" ref="BY47" ca="1">IF(BM48=0,"",CONCATENATE(INDEX(FinalSort,BM48,4),": ",INDEX(FinalSort,BM48,8)))</f>
        <v/>
      </c>
      <c r="BZ47" s="506" t="str" cm="1">
        <f t="array" aca="1" ref="BZ47" ca="1">IF(BN48=0,"",CONCATENATE(INDEX(FinalSort,BN48,4),": ",INDEX(FinalSort,BN48,8)))</f>
        <v/>
      </c>
      <c r="CA47" s="506" t="str" cm="1">
        <f t="array" aca="1" ref="CA47" ca="1">IF(BO48=0,"",CONCATENATE(INDEX(FinalSort,BO48,4),": ",INDEX(FinalSort,BO48,8)))</f>
        <v/>
      </c>
      <c r="CB47" s="506" t="str" cm="1">
        <f t="array" aca="1" ref="CB47" ca="1">IF(BP48=0,"",CONCATENATE(INDEX(FinalSort,BP48,4),": ",INDEX(FinalSort,BP48,8)))</f>
        <v/>
      </c>
      <c r="CC47" s="506" t="str" cm="1">
        <f t="array" aca="1" ref="CC47" ca="1">IF(BQ48=0,"",CONCATENATE(INDEX(FinalSort,BQ48,4),": ",INDEX(FinalSort,BQ48,8)))</f>
        <v/>
      </c>
      <c r="CD47" s="506" t="str" cm="1">
        <f t="array" aca="1" ref="CD47" ca="1">IF(BR48=0,"",CONCATENATE(INDEX(FinalSort,BR48,4),": ",INDEX(FinalSort,BR48,8)))</f>
        <v/>
      </c>
      <c r="CE47" s="507" t="str" cm="1">
        <f t="array" aca="1" ref="CE47" ca="1">IF(BS48=0,"",CONCATENATE(INDEX(FinalSort,BS48,4),": ",INDEX(FinalSort,BS48,8)))</f>
        <v/>
      </c>
    </row>
    <row r="48" spans="1:83" ht="15" customHeight="1" x14ac:dyDescent="0.25">
      <c r="A48" s="4">
        <v>39</v>
      </c>
      <c r="B48" s="326" t="str">
        <f t="shared" ca="1" si="47"/>
        <v/>
      </c>
      <c r="C48" s="462" t="str">
        <f t="shared" ca="1" si="4"/>
        <v/>
      </c>
      <c r="D48" s="463" t="str">
        <f t="shared" ca="1" si="5"/>
        <v/>
      </c>
      <c r="E48" s="471" t="str">
        <f t="shared" ca="1" si="6"/>
        <v/>
      </c>
      <c r="F48" s="473" t="str">
        <f t="shared" ca="1" si="48"/>
        <v/>
      </c>
      <c r="G48" s="522"/>
      <c r="H48" s="155"/>
      <c r="I48" s="443" t="str" cm="1">
        <f t="array" ref="I48">IFERROR(INDEX('Project Mull Review'!AF:AF, SMALL(IF('Project Mull Review'!AF$35:AF$682&lt;&gt;"",ROW('Project Mull Review'!AF$35:AF$682),""),ROWS('Project Mull Review'!AF$35:AF72))),"")</f>
        <v/>
      </c>
      <c r="J48" s="389" t="str" cm="1">
        <f t="array" ref="J48">IFERROR(INDEX('Project Mull Review'!AI:AI, SMALL(IF('Project Mull Review'!AI$35:AI$682&lt;&gt;"",ROW('Project Mull Review'!AI$35:AI$682),""),ROWS('Project Mull Review'!AI$35:AI72))),"")</f>
        <v/>
      </c>
      <c r="K48" s="442" t="str" cm="1">
        <f t="array" ref="K48">IFERROR(ROUND(INDEX('Project Mull Review'!AT:AT, SMALL(IF('Project Mull Review'!AI$35:AI$682&lt;&gt;"",ROW('Project Mull Review'!AI$35:AI$682),""),ROWS('Project Mull Review'!AI$35:AI72))),0),"")</f>
        <v/>
      </c>
      <c r="M48" s="140">
        <f>ROW()</f>
        <v>48</v>
      </c>
      <c r="N48" t="str">
        <f t="shared" si="11"/>
        <v/>
      </c>
      <c r="O48" t="str">
        <f t="shared" si="12"/>
        <v/>
      </c>
      <c r="P48" s="144">
        <f t="shared" ca="1" si="49"/>
        <v>0</v>
      </c>
      <c r="Q48" t="str">
        <f t="shared" ca="1" si="54"/>
        <v/>
      </c>
      <c r="R48" t="str">
        <f t="shared" ca="1" si="55"/>
        <v/>
      </c>
      <c r="S48" t="str">
        <f ca="1"/>
        <v/>
      </c>
      <c r="T48" s="144" t="str">
        <f ca="1"/>
        <v/>
      </c>
      <c r="U48" t="str">
        <f t="shared" ca="1" si="56"/>
        <v/>
      </c>
      <c r="V48" s="144" t="str">
        <f t="shared" ca="1" si="57"/>
        <v/>
      </c>
      <c r="W48">
        <f t="shared" ca="1" si="58"/>
        <v>0</v>
      </c>
      <c r="X48" t="str" cm="1">
        <f t="array" aca="1" ref="X48" ca="1">IFERROR(INDEX(INDIRECT(CONCATENATE(AS$14,":",AS$16)),V48-AR$12+1),"")</f>
        <v/>
      </c>
      <c r="Y48" t="str">
        <f t="shared" si="18"/>
        <v>X48</v>
      </c>
      <c r="Z48" t="str">
        <f t="shared" ca="1" si="31"/>
        <v>X48</v>
      </c>
      <c r="AA48">
        <f t="shared" ca="1" si="59"/>
        <v>0</v>
      </c>
      <c r="AB48">
        <f t="shared" ca="1" si="60"/>
        <v>0</v>
      </c>
      <c r="AC48" t="str">
        <f t="shared" ca="1" si="7"/>
        <v/>
      </c>
      <c r="AD48" t="str" cm="1">
        <f t="array" aca="1" ref="AD48" ca="1">IF($AB48=0,"",INDIRECT(_xlfn.CONCAT(AU$14,$V48)))</f>
        <v/>
      </c>
      <c r="AE48" s="144" t="str">
        <f t="shared" ca="1" si="61"/>
        <v/>
      </c>
      <c r="AF48" t="str">
        <f t="shared" ca="1" si="19"/>
        <v/>
      </c>
      <c r="AG48" s="525" t="str">
        <f ca="1"/>
        <v/>
      </c>
      <c r="AH48" s="467" t="str">
        <f t="shared" ca="1" si="34"/>
        <v/>
      </c>
      <c r="AI48" s="533" t="str">
        <f t="shared" ca="1" si="37"/>
        <v/>
      </c>
      <c r="AJ48" s="533" t="str">
        <f t="shared" ca="1" si="50"/>
        <v/>
      </c>
      <c r="AK48" t="str">
        <f t="shared" ca="1" si="35"/>
        <v/>
      </c>
      <c r="AL48" s="140" t="str">
        <f t="shared" ca="1" si="51"/>
        <v/>
      </c>
      <c r="AM48" t="str">
        <f t="shared" ca="1" si="21"/>
        <v/>
      </c>
      <c r="AN48" s="144" t="str">
        <f t="shared" ca="1" si="22"/>
        <v/>
      </c>
      <c r="AR48" s="483">
        <f t="shared" si="43"/>
        <v>347</v>
      </c>
      <c r="AS48" s="157" t="str">
        <f t="shared" si="41"/>
        <v>B347</v>
      </c>
      <c r="AT48" s="479" t="str">
        <f t="shared" si="42"/>
        <v>B353</v>
      </c>
      <c r="AU48" s="477"/>
      <c r="AW48" s="140" t="str">
        <f t="shared" si="2"/>
        <v>N48</v>
      </c>
      <c r="AX48" t="str">
        <f t="shared" si="36"/>
        <v>$N$11:N47</v>
      </c>
      <c r="AY48" s="144" t="str">
        <f t="shared" si="23"/>
        <v>N49:$N$99</v>
      </c>
      <c r="BA48" s="139" t="str" cm="1">
        <f t="array" aca="1" ref="BA48" ca="1">IFERROR(CELL("address",INDEX('Project Mull Review'!AF:AF, SMALL(IF('Project Mull Review'!AF$35:AF$682&lt;&gt;"",ROW('Project Mull Review'!AF$35:AF$682),""),ROWS('Project Mull Review'!AF$35:AF72)))),"")</f>
        <v/>
      </c>
      <c r="BB48" s="155" t="str">
        <f t="shared" ca="1" si="24"/>
        <v/>
      </c>
      <c r="BC48" s="155" t="str">
        <f t="shared" ca="1" si="25"/>
        <v/>
      </c>
      <c r="BD48" s="155" t="str" cm="1">
        <f t="array" aca="1" ref="BD48" ca="1">IFERROR(INDEX(MainCell,BE48,2),"")</f>
        <v/>
      </c>
      <c r="BE48" s="155" t="str">
        <f t="shared" ca="1" si="26"/>
        <v/>
      </c>
      <c r="BF48" s="64" t="str">
        <f t="shared" ca="1" si="27"/>
        <v/>
      </c>
      <c r="BG48" s="64" t="str">
        <f t="shared" ca="1" si="44"/>
        <v/>
      </c>
      <c r="BH48" s="64" t="str" cm="1">
        <f t="array" aca="1" ref="BH48" ca="1">IFERROR(CONCATENATE(INDIRECT(BF48)," ", INDIRECT(BG48)),"")</f>
        <v/>
      </c>
      <c r="BI48" s="64" t="str">
        <f t="shared" ca="1" si="29"/>
        <v/>
      </c>
      <c r="BJ48" s="155">
        <f t="shared" ca="1" si="52"/>
        <v>0</v>
      </c>
      <c r="BK48" s="155">
        <f t="shared" ca="1" si="53"/>
        <v>0</v>
      </c>
      <c r="BL48" s="155">
        <f t="shared" ca="1" si="46"/>
        <v>0</v>
      </c>
      <c r="BM48" s="155">
        <f t="shared" ca="1" si="46"/>
        <v>0</v>
      </c>
      <c r="BN48" s="155">
        <f t="shared" ca="1" si="46"/>
        <v>0</v>
      </c>
      <c r="BO48" s="155">
        <f t="shared" ca="1" si="46"/>
        <v>0</v>
      </c>
      <c r="BP48" s="155">
        <f t="shared" ca="1" si="46"/>
        <v>0</v>
      </c>
      <c r="BQ48" s="155">
        <f t="shared" ca="1" si="46"/>
        <v>0</v>
      </c>
      <c r="BR48" s="155">
        <f t="shared" ca="1" si="46"/>
        <v>0</v>
      </c>
      <c r="BS48" s="479">
        <f t="shared" ca="1" si="46"/>
        <v>0</v>
      </c>
      <c r="BV48" s="505" t="str" cm="1">
        <f t="array" aca="1" ref="BV48" ca="1">IF(BJ49=0,"",CONCATENATE(INDEX(FinalSort,BJ49,4),": ",INDEX(FinalSort,BJ49,8)))</f>
        <v/>
      </c>
      <c r="BW48" s="506" t="str" cm="1">
        <f t="array" aca="1" ref="BW48" ca="1">IF(BK49=0,"",CONCATENATE(INDEX(FinalSort,BK49,4),": ",INDEX(FinalSort,BK49,8)))</f>
        <v/>
      </c>
      <c r="BX48" s="506" t="str" cm="1">
        <f t="array" aca="1" ref="BX48" ca="1">IF(BL49=0,"",CONCATENATE(INDEX(FinalSort,BL49,4),": ",INDEX(FinalSort,BL49,8)))</f>
        <v/>
      </c>
      <c r="BY48" s="506" t="str" cm="1">
        <f t="array" aca="1" ref="BY48" ca="1">IF(BM49=0,"",CONCATENATE(INDEX(FinalSort,BM49,4),": ",INDEX(FinalSort,BM49,8)))</f>
        <v/>
      </c>
      <c r="BZ48" s="506" t="str" cm="1">
        <f t="array" aca="1" ref="BZ48" ca="1">IF(BN49=0,"",CONCATENATE(INDEX(FinalSort,BN49,4),": ",INDEX(FinalSort,BN49,8)))</f>
        <v/>
      </c>
      <c r="CA48" s="506" t="str" cm="1">
        <f t="array" aca="1" ref="CA48" ca="1">IF(BO49=0,"",CONCATENATE(INDEX(FinalSort,BO49,4),": ",INDEX(FinalSort,BO49,8)))</f>
        <v/>
      </c>
      <c r="CB48" s="506" t="str" cm="1">
        <f t="array" aca="1" ref="CB48" ca="1">IF(BP49=0,"",CONCATENATE(INDEX(FinalSort,BP49,4),": ",INDEX(FinalSort,BP49,8)))</f>
        <v/>
      </c>
      <c r="CC48" s="506" t="str" cm="1">
        <f t="array" aca="1" ref="CC48" ca="1">IF(BQ49=0,"",CONCATENATE(INDEX(FinalSort,BQ49,4),": ",INDEX(FinalSort,BQ49,8)))</f>
        <v/>
      </c>
      <c r="CD48" s="506" t="str" cm="1">
        <f t="array" aca="1" ref="CD48" ca="1">IF(BR49=0,"",CONCATENATE(INDEX(FinalSort,BR49,4),": ",INDEX(FinalSort,BR49,8)))</f>
        <v/>
      </c>
      <c r="CE48" s="507" t="str" cm="1">
        <f t="array" aca="1" ref="CE48" ca="1">IF(BS49=0,"",CONCATENATE(INDEX(FinalSort,BS49,4),": ",INDEX(FinalSort,BS49,8)))</f>
        <v/>
      </c>
    </row>
    <row r="49" spans="1:83" x14ac:dyDescent="0.25">
      <c r="A49" s="4">
        <v>40</v>
      </c>
      <c r="B49" s="326" t="str">
        <f t="shared" ca="1" si="47"/>
        <v/>
      </c>
      <c r="C49" s="462" t="str">
        <f t="shared" ca="1" si="4"/>
        <v/>
      </c>
      <c r="D49" s="463" t="str">
        <f t="shared" ca="1" si="5"/>
        <v/>
      </c>
      <c r="E49" s="471" t="str">
        <f t="shared" ca="1" si="6"/>
        <v/>
      </c>
      <c r="F49" s="473" t="str">
        <f t="shared" ca="1" si="48"/>
        <v/>
      </c>
      <c r="G49" s="522"/>
      <c r="H49" s="155"/>
      <c r="I49" s="443" t="str" cm="1">
        <f t="array" ref="I49">IFERROR(INDEX('Project Mull Review'!AF:AF, SMALL(IF('Project Mull Review'!AF$35:AF$682&lt;&gt;"",ROW('Project Mull Review'!AF$35:AF$682),""),ROWS('Project Mull Review'!AF$35:AF73))),"")</f>
        <v/>
      </c>
      <c r="J49" s="389" t="str" cm="1">
        <f t="array" ref="J49">IFERROR(INDEX('Project Mull Review'!AI:AI, SMALL(IF('Project Mull Review'!AI$35:AI$682&lt;&gt;"",ROW('Project Mull Review'!AI$35:AI$682),""),ROWS('Project Mull Review'!AI$35:AI73))),"")</f>
        <v/>
      </c>
      <c r="K49" s="442" t="str" cm="1">
        <f t="array" ref="K49">IFERROR(ROUND(INDEX('Project Mull Review'!AT:AT, SMALL(IF('Project Mull Review'!AI$35:AI$682&lt;&gt;"",ROW('Project Mull Review'!AI$35:AI$682),""),ROWS('Project Mull Review'!AI$35:AI73))),0),"")</f>
        <v/>
      </c>
      <c r="M49" s="140">
        <f>ROW()</f>
        <v>49</v>
      </c>
      <c r="N49" t="str">
        <f t="shared" si="11"/>
        <v/>
      </c>
      <c r="O49" t="str">
        <f t="shared" si="12"/>
        <v/>
      </c>
      <c r="P49" s="144">
        <f t="shared" ca="1" si="49"/>
        <v>0</v>
      </c>
      <c r="Q49" t="str">
        <f t="shared" ca="1" si="54"/>
        <v/>
      </c>
      <c r="R49" t="str">
        <f t="shared" ca="1" si="55"/>
        <v/>
      </c>
      <c r="S49" t="str">
        <f ca="1"/>
        <v/>
      </c>
      <c r="T49" s="144" t="str">
        <f ca="1"/>
        <v/>
      </c>
      <c r="U49" t="str">
        <f t="shared" ca="1" si="56"/>
        <v/>
      </c>
      <c r="V49" s="144" t="str">
        <f t="shared" ca="1" si="57"/>
        <v/>
      </c>
      <c r="W49">
        <f t="shared" ca="1" si="58"/>
        <v>0</v>
      </c>
      <c r="X49" t="str" cm="1">
        <f t="array" aca="1" ref="X49" ca="1">IFERROR(INDEX(INDIRECT(CONCATENATE(AS$14,":",AS$16)),V49-AR$12+1),"")</f>
        <v/>
      </c>
      <c r="Y49" t="str">
        <f t="shared" si="18"/>
        <v>X49</v>
      </c>
      <c r="Z49" t="str">
        <f t="shared" ca="1" si="31"/>
        <v>X49</v>
      </c>
      <c r="AA49">
        <f t="shared" ca="1" si="59"/>
        <v>0</v>
      </c>
      <c r="AB49">
        <f t="shared" ca="1" si="60"/>
        <v>0</v>
      </c>
      <c r="AC49" t="str">
        <f t="shared" ca="1" si="7"/>
        <v/>
      </c>
      <c r="AD49" t="str" cm="1">
        <f t="array" aca="1" ref="AD49" ca="1">IF($AB49=0,"",INDIRECT(_xlfn.CONCAT(AU$14,$V49)))</f>
        <v/>
      </c>
      <c r="AE49" s="144" t="str">
        <f t="shared" ca="1" si="61"/>
        <v/>
      </c>
      <c r="AF49" t="str">
        <f t="shared" ca="1" si="19"/>
        <v/>
      </c>
      <c r="AG49" s="525" t="str">
        <f ca="1"/>
        <v/>
      </c>
      <c r="AH49" s="467" t="str">
        <f t="shared" ca="1" si="34"/>
        <v/>
      </c>
      <c r="AI49" s="533" t="str">
        <f t="shared" ca="1" si="37"/>
        <v/>
      </c>
      <c r="AJ49" s="533" t="str">
        <f t="shared" ca="1" si="50"/>
        <v/>
      </c>
      <c r="AK49" t="str">
        <f t="shared" ca="1" si="35"/>
        <v/>
      </c>
      <c r="AL49" s="140" t="str">
        <f t="shared" ca="1" si="51"/>
        <v/>
      </c>
      <c r="AM49" t="str">
        <f t="shared" ca="1" si="21"/>
        <v/>
      </c>
      <c r="AN49" s="144" t="str">
        <f t="shared" ca="1" si="22"/>
        <v/>
      </c>
      <c r="AR49" s="483">
        <f t="shared" si="43"/>
        <v>359</v>
      </c>
      <c r="AS49" s="157" t="str">
        <f t="shared" si="41"/>
        <v>B359</v>
      </c>
      <c r="AT49" s="479" t="str">
        <f t="shared" si="42"/>
        <v>B365</v>
      </c>
      <c r="AU49" s="477"/>
      <c r="AW49" s="140" t="str">
        <f t="shared" si="2"/>
        <v>N49</v>
      </c>
      <c r="AX49" t="str">
        <f t="shared" ref="AX49:AX54" si="62">CONCATENATE(AW$9,":",AW48)</f>
        <v>$N$11:N48</v>
      </c>
      <c r="AY49" s="144" t="str">
        <f t="shared" ref="AY49:AY54" si="63">CONCATENATE(AW50,":",AX$9)</f>
        <v>N50:$N$99</v>
      </c>
      <c r="BA49" s="139" t="str" cm="1">
        <f t="array" aca="1" ref="BA49" ca="1">IFERROR(CELL("address",INDEX('Project Mull Review'!AF:AF, SMALL(IF('Project Mull Review'!AF$35:AF$682&lt;&gt;"",ROW('Project Mull Review'!AF$35:AF$682),""),ROWS('Project Mull Review'!AF$35:AF73)))),"")</f>
        <v/>
      </c>
      <c r="BB49" s="155" t="str">
        <f t="shared" ca="1" si="24"/>
        <v/>
      </c>
      <c r="BC49" s="155" t="str">
        <f t="shared" ca="1" si="25"/>
        <v/>
      </c>
      <c r="BD49" s="155" t="str" cm="1">
        <f t="array" aca="1" ref="BD49" ca="1">IFERROR(INDEX(MainCell,BE49,2),"")</f>
        <v/>
      </c>
      <c r="BE49" s="155" t="str">
        <f t="shared" ca="1" si="26"/>
        <v/>
      </c>
      <c r="BF49" s="64" t="str">
        <f t="shared" ca="1" si="27"/>
        <v/>
      </c>
      <c r="BG49" s="64" t="str">
        <f t="shared" ca="1" si="44"/>
        <v/>
      </c>
      <c r="BH49" s="64" t="str" cm="1">
        <f t="array" aca="1" ref="BH49" ca="1">IFERROR(CONCATENATE(INDIRECT(BF49)," ", INDIRECT(BG49)),"")</f>
        <v/>
      </c>
      <c r="BI49" s="64" t="str">
        <f t="shared" ca="1" si="29"/>
        <v/>
      </c>
      <c r="BJ49" s="155">
        <f t="shared" ca="1" si="52"/>
        <v>0</v>
      </c>
      <c r="BK49" s="155">
        <f t="shared" ca="1" si="53"/>
        <v>0</v>
      </c>
      <c r="BL49" s="155">
        <f t="shared" ca="1" si="46"/>
        <v>0</v>
      </c>
      <c r="BM49" s="155">
        <f t="shared" ca="1" si="46"/>
        <v>0</v>
      </c>
      <c r="BN49" s="155">
        <f t="shared" ca="1" si="46"/>
        <v>0</v>
      </c>
      <c r="BO49" s="155">
        <f t="shared" ca="1" si="46"/>
        <v>0</v>
      </c>
      <c r="BP49" s="155">
        <f t="shared" ca="1" si="46"/>
        <v>0</v>
      </c>
      <c r="BQ49" s="155">
        <f t="shared" ca="1" si="46"/>
        <v>0</v>
      </c>
      <c r="BR49" s="155">
        <f t="shared" ca="1" si="46"/>
        <v>0</v>
      </c>
      <c r="BS49" s="479">
        <f t="shared" ca="1" si="46"/>
        <v>0</v>
      </c>
      <c r="BV49" s="505" t="str" cm="1">
        <f t="array" aca="1" ref="BV49" ca="1">IF(BJ50=0,"",CONCATENATE(INDEX(FinalSort,BJ50,4),": ",INDEX(FinalSort,BJ50,8)))</f>
        <v/>
      </c>
      <c r="BW49" s="506" t="str" cm="1">
        <f t="array" aca="1" ref="BW49" ca="1">IF(BK50=0,"",CONCATENATE(INDEX(FinalSort,BK50,4),": ",INDEX(FinalSort,BK50,8)))</f>
        <v/>
      </c>
      <c r="BX49" s="506" t="str" cm="1">
        <f t="array" aca="1" ref="BX49" ca="1">IF(BL50=0,"",CONCATENATE(INDEX(FinalSort,BL50,4),": ",INDEX(FinalSort,BL50,8)))</f>
        <v/>
      </c>
      <c r="BY49" s="506" t="str" cm="1">
        <f t="array" aca="1" ref="BY49" ca="1">IF(BM50=0,"",CONCATENATE(INDEX(FinalSort,BM50,4),": ",INDEX(FinalSort,BM50,8)))</f>
        <v/>
      </c>
      <c r="BZ49" s="506" t="str" cm="1">
        <f t="array" aca="1" ref="BZ49" ca="1">IF(BN50=0,"",CONCATENATE(INDEX(FinalSort,BN50,4),": ",INDEX(FinalSort,BN50,8)))</f>
        <v/>
      </c>
      <c r="CA49" s="506" t="str" cm="1">
        <f t="array" aca="1" ref="CA49" ca="1">IF(BO50=0,"",CONCATENATE(INDEX(FinalSort,BO50,4),": ",INDEX(FinalSort,BO50,8)))</f>
        <v/>
      </c>
      <c r="CB49" s="506" t="str" cm="1">
        <f t="array" aca="1" ref="CB49" ca="1">IF(BP50=0,"",CONCATENATE(INDEX(FinalSort,BP50,4),": ",INDEX(FinalSort,BP50,8)))</f>
        <v/>
      </c>
      <c r="CC49" s="506" t="str" cm="1">
        <f t="array" aca="1" ref="CC49" ca="1">IF(BQ50=0,"",CONCATENATE(INDEX(FinalSort,BQ50,4),": ",INDEX(FinalSort,BQ50,8)))</f>
        <v/>
      </c>
      <c r="CD49" s="506" t="str" cm="1">
        <f t="array" aca="1" ref="CD49" ca="1">IF(BR50=0,"",CONCATENATE(INDEX(FinalSort,BR50,4),": ",INDEX(FinalSort,BR50,8)))</f>
        <v/>
      </c>
      <c r="CE49" s="507" t="str" cm="1">
        <f t="array" aca="1" ref="CE49" ca="1">IF(BS50=0,"",CONCATENATE(INDEX(FinalSort,BS50,4),": ",INDEX(FinalSort,BS50,8)))</f>
        <v/>
      </c>
    </row>
    <row r="50" spans="1:83" x14ac:dyDescent="0.25">
      <c r="A50" s="4">
        <v>41</v>
      </c>
      <c r="B50" s="326" t="str">
        <f t="shared" ca="1" si="47"/>
        <v/>
      </c>
      <c r="C50" s="462" t="str">
        <f t="shared" ca="1" si="4"/>
        <v/>
      </c>
      <c r="D50" s="463" t="str">
        <f t="shared" ca="1" si="5"/>
        <v/>
      </c>
      <c r="E50" s="471" t="str">
        <f t="shared" ca="1" si="6"/>
        <v/>
      </c>
      <c r="F50" s="473" t="str">
        <f t="shared" ca="1" si="48"/>
        <v/>
      </c>
      <c r="G50" s="522"/>
      <c r="H50" s="155"/>
      <c r="I50" s="443" t="str" cm="1">
        <f t="array" ref="I50">IFERROR(INDEX('Project Mull Review'!AF:AF, SMALL(IF('Project Mull Review'!AF$35:AF$682&lt;&gt;"",ROW('Project Mull Review'!AF$35:AF$682),""),ROWS('Project Mull Review'!AF$35:AF74))),"")</f>
        <v/>
      </c>
      <c r="J50" s="389" t="str" cm="1">
        <f t="array" ref="J50">IFERROR(INDEX('Project Mull Review'!AI:AI, SMALL(IF('Project Mull Review'!AI$35:AI$682&lt;&gt;"",ROW('Project Mull Review'!AI$35:AI$682),""),ROWS('Project Mull Review'!AI$35:AI74))),"")</f>
        <v/>
      </c>
      <c r="K50" s="442" t="str" cm="1">
        <f t="array" ref="K50">IFERROR(ROUND(INDEX('Project Mull Review'!AT:AT, SMALL(IF('Project Mull Review'!AI$35:AI$682&lt;&gt;"",ROW('Project Mull Review'!AI$35:AI$682),""),ROWS('Project Mull Review'!AI$35:AI74))),0),"")</f>
        <v/>
      </c>
      <c r="M50" s="140">
        <f>ROW()</f>
        <v>50</v>
      </c>
      <c r="N50" t="str">
        <f t="shared" si="11"/>
        <v/>
      </c>
      <c r="O50" t="str">
        <f t="shared" si="12"/>
        <v/>
      </c>
      <c r="P50" s="144">
        <f t="shared" ca="1" si="49"/>
        <v>0</v>
      </c>
      <c r="Q50" t="str">
        <f t="shared" ca="1" si="54"/>
        <v/>
      </c>
      <c r="R50" t="str">
        <f t="shared" ca="1" si="55"/>
        <v/>
      </c>
      <c r="S50" t="str">
        <f ca="1"/>
        <v/>
      </c>
      <c r="T50" s="144" t="str">
        <f ca="1"/>
        <v/>
      </c>
      <c r="U50" t="str">
        <f t="shared" ca="1" si="56"/>
        <v/>
      </c>
      <c r="V50" s="144" t="str">
        <f t="shared" ca="1" si="57"/>
        <v/>
      </c>
      <c r="W50">
        <f t="shared" ca="1" si="58"/>
        <v>0</v>
      </c>
      <c r="X50" t="str" cm="1">
        <f t="array" aca="1" ref="X50" ca="1">IFERROR(INDEX(INDIRECT(CONCATENATE(AS$14,":",AS$16)),V50-AR$12+1),"")</f>
        <v/>
      </c>
      <c r="Y50" t="str">
        <f t="shared" si="18"/>
        <v>X50</v>
      </c>
      <c r="Z50" t="str">
        <f t="shared" ca="1" si="31"/>
        <v>X50</v>
      </c>
      <c r="AA50">
        <f t="shared" ca="1" si="59"/>
        <v>0</v>
      </c>
      <c r="AB50">
        <f t="shared" ca="1" si="60"/>
        <v>0</v>
      </c>
      <c r="AC50" t="str">
        <f t="shared" ca="1" si="7"/>
        <v/>
      </c>
      <c r="AD50" t="str" cm="1">
        <f t="array" aca="1" ref="AD50" ca="1">IF($AB50=0,"",INDIRECT(_xlfn.CONCAT(AU$14,$V50)))</f>
        <v/>
      </c>
      <c r="AE50" s="144" t="str">
        <f t="shared" ca="1" si="61"/>
        <v/>
      </c>
      <c r="AF50" t="str">
        <f t="shared" ca="1" si="19"/>
        <v/>
      </c>
      <c r="AG50" s="525" t="str">
        <f ca="1"/>
        <v/>
      </c>
      <c r="AH50" s="467" t="str">
        <f t="shared" ca="1" si="34"/>
        <v/>
      </c>
      <c r="AI50" s="533" t="str">
        <f t="shared" ca="1" si="37"/>
        <v/>
      </c>
      <c r="AJ50" s="533" t="str">
        <f t="shared" ca="1" si="50"/>
        <v/>
      </c>
      <c r="AK50" t="str">
        <f t="shared" ca="1" si="35"/>
        <v/>
      </c>
      <c r="AL50" s="140" t="str">
        <f t="shared" ca="1" si="51"/>
        <v/>
      </c>
      <c r="AM50" t="str">
        <f t="shared" ca="1" si="21"/>
        <v/>
      </c>
      <c r="AN50" s="144" t="str">
        <f t="shared" ca="1" si="22"/>
        <v/>
      </c>
      <c r="AR50" s="483">
        <f t="shared" si="43"/>
        <v>371</v>
      </c>
      <c r="AS50" s="157" t="str">
        <f t="shared" si="41"/>
        <v>B371</v>
      </c>
      <c r="AT50" s="479" t="str">
        <f t="shared" si="42"/>
        <v>B377</v>
      </c>
      <c r="AU50" s="477"/>
      <c r="AW50" s="140" t="str">
        <f t="shared" si="2"/>
        <v>N50</v>
      </c>
      <c r="AX50" t="str">
        <f t="shared" si="62"/>
        <v>$N$11:N49</v>
      </c>
      <c r="AY50" s="144" t="str">
        <f t="shared" si="63"/>
        <v>N51:$N$99</v>
      </c>
      <c r="BA50" s="139" t="str" cm="1">
        <f t="array" aca="1" ref="BA50" ca="1">IFERROR(CELL("address",INDEX('Project Mull Review'!AF:AF, SMALL(IF('Project Mull Review'!AF$35:AF$682&lt;&gt;"",ROW('Project Mull Review'!AF$35:AF$682),""),ROWS('Project Mull Review'!AF$35:AF74)))),"")</f>
        <v/>
      </c>
      <c r="BB50" s="155" t="str">
        <f t="shared" ca="1" si="24"/>
        <v/>
      </c>
      <c r="BC50" s="155" t="str">
        <f t="shared" ca="1" si="25"/>
        <v/>
      </c>
      <c r="BD50" s="155" t="str" cm="1">
        <f t="array" aca="1" ref="BD50" ca="1">IFERROR(INDEX(MainCell,BE50,2),"")</f>
        <v/>
      </c>
      <c r="BE50" s="155" t="str">
        <f t="shared" ca="1" si="26"/>
        <v/>
      </c>
      <c r="BF50" s="64" t="str">
        <f t="shared" ca="1" si="27"/>
        <v/>
      </c>
      <c r="BG50" s="64" t="str">
        <f t="shared" ca="1" si="44"/>
        <v/>
      </c>
      <c r="BH50" s="64" t="str" cm="1">
        <f t="array" aca="1" ref="BH50" ca="1">IFERROR(CONCATENATE(INDIRECT(BF50)," ", INDIRECT(BG50)),"")</f>
        <v/>
      </c>
      <c r="BI50" s="64" t="str">
        <f t="shared" ca="1" si="29"/>
        <v/>
      </c>
      <c r="BJ50" s="155">
        <f t="shared" ca="1" si="52"/>
        <v>0</v>
      </c>
      <c r="BK50" s="155">
        <f t="shared" ca="1" si="53"/>
        <v>0</v>
      </c>
      <c r="BL50" s="155">
        <f t="shared" ca="1" si="46"/>
        <v>0</v>
      </c>
      <c r="BM50" s="155">
        <f t="shared" ca="1" si="46"/>
        <v>0</v>
      </c>
      <c r="BN50" s="155">
        <f t="shared" ca="1" si="46"/>
        <v>0</v>
      </c>
      <c r="BO50" s="155">
        <f t="shared" ca="1" si="46"/>
        <v>0</v>
      </c>
      <c r="BP50" s="155">
        <f t="shared" ca="1" si="46"/>
        <v>0</v>
      </c>
      <c r="BQ50" s="155">
        <f t="shared" ca="1" si="46"/>
        <v>0</v>
      </c>
      <c r="BR50" s="155">
        <f t="shared" ca="1" si="46"/>
        <v>0</v>
      </c>
      <c r="BS50" s="479">
        <f t="shared" ca="1" si="46"/>
        <v>0</v>
      </c>
      <c r="BV50" s="505" t="str" cm="1">
        <f t="array" aca="1" ref="BV50" ca="1">IF(BJ51=0,"",CONCATENATE(INDEX(FinalSort,BJ51,4),": ",INDEX(FinalSort,BJ51,8)))</f>
        <v/>
      </c>
      <c r="BW50" s="506" t="str" cm="1">
        <f t="array" aca="1" ref="BW50" ca="1">IF(BK51=0,"",CONCATENATE(INDEX(FinalSort,BK51,4),": ",INDEX(FinalSort,BK51,8)))</f>
        <v/>
      </c>
      <c r="BX50" s="506" t="str" cm="1">
        <f t="array" aca="1" ref="BX50" ca="1">IF(BL51=0,"",CONCATENATE(INDEX(FinalSort,BL51,4),": ",INDEX(FinalSort,BL51,8)))</f>
        <v/>
      </c>
      <c r="BY50" s="506" t="str" cm="1">
        <f t="array" aca="1" ref="BY50" ca="1">IF(BM51=0,"",CONCATENATE(INDEX(FinalSort,BM51,4),": ",INDEX(FinalSort,BM51,8)))</f>
        <v/>
      </c>
      <c r="BZ50" s="506" t="str" cm="1">
        <f t="array" aca="1" ref="BZ50" ca="1">IF(BN51=0,"",CONCATENATE(INDEX(FinalSort,BN51,4),": ",INDEX(FinalSort,BN51,8)))</f>
        <v/>
      </c>
      <c r="CA50" s="506" t="str" cm="1">
        <f t="array" aca="1" ref="CA50" ca="1">IF(BO51=0,"",CONCATENATE(INDEX(FinalSort,BO51,4),": ",INDEX(FinalSort,BO51,8)))</f>
        <v/>
      </c>
      <c r="CB50" s="506" t="str" cm="1">
        <f t="array" aca="1" ref="CB50" ca="1">IF(BP51=0,"",CONCATENATE(INDEX(FinalSort,BP51,4),": ",INDEX(FinalSort,BP51,8)))</f>
        <v/>
      </c>
      <c r="CC50" s="506" t="str" cm="1">
        <f t="array" aca="1" ref="CC50" ca="1">IF(BQ51=0,"",CONCATENATE(INDEX(FinalSort,BQ51,4),": ",INDEX(FinalSort,BQ51,8)))</f>
        <v/>
      </c>
      <c r="CD50" s="506" t="str" cm="1">
        <f t="array" aca="1" ref="CD50" ca="1">IF(BR51=0,"",CONCATENATE(INDEX(FinalSort,BR51,4),": ",INDEX(FinalSort,BR51,8)))</f>
        <v/>
      </c>
      <c r="CE50" s="507" t="str" cm="1">
        <f t="array" aca="1" ref="CE50" ca="1">IF(BS51=0,"",CONCATENATE(INDEX(FinalSort,BS51,4),": ",INDEX(FinalSort,BS51,8)))</f>
        <v/>
      </c>
    </row>
    <row r="51" spans="1:83" ht="15" customHeight="1" x14ac:dyDescent="0.25">
      <c r="A51" s="4">
        <v>42</v>
      </c>
      <c r="B51" s="326" t="str">
        <f t="shared" ca="1" si="47"/>
        <v/>
      </c>
      <c r="C51" s="462" t="str">
        <f t="shared" ca="1" si="4"/>
        <v/>
      </c>
      <c r="D51" s="463" t="str">
        <f t="shared" ca="1" si="5"/>
        <v/>
      </c>
      <c r="E51" s="471" t="str">
        <f t="shared" ca="1" si="6"/>
        <v/>
      </c>
      <c r="F51" s="473" t="str">
        <f t="shared" ca="1" si="48"/>
        <v/>
      </c>
      <c r="G51" s="522"/>
      <c r="H51" s="155"/>
      <c r="I51" s="443" t="str" cm="1">
        <f t="array" ref="I51">IFERROR(INDEX('Project Mull Review'!AF:AF, SMALL(IF('Project Mull Review'!AF$35:AF$682&lt;&gt;"",ROW('Project Mull Review'!AF$35:AF$682),""),ROWS('Project Mull Review'!AF$35:AF75))),"")</f>
        <v/>
      </c>
      <c r="J51" s="389" t="str" cm="1">
        <f t="array" ref="J51">IFERROR(INDEX('Project Mull Review'!AI:AI, SMALL(IF('Project Mull Review'!AI$35:AI$682&lt;&gt;"",ROW('Project Mull Review'!AI$35:AI$682),""),ROWS('Project Mull Review'!AI$35:AI75))),"")</f>
        <v/>
      </c>
      <c r="K51" s="442" t="str" cm="1">
        <f t="array" ref="K51">IFERROR(ROUND(INDEX('Project Mull Review'!AT:AT, SMALL(IF('Project Mull Review'!AI$35:AI$682&lt;&gt;"",ROW('Project Mull Review'!AI$35:AI$682),""),ROWS('Project Mull Review'!AI$35:AI75))),0),"")</f>
        <v/>
      </c>
      <c r="M51" s="140">
        <f>ROW()</f>
        <v>51</v>
      </c>
      <c r="N51" t="str">
        <f t="shared" si="11"/>
        <v/>
      </c>
      <c r="O51" t="str">
        <f t="shared" si="12"/>
        <v/>
      </c>
      <c r="P51" s="144">
        <f t="shared" ca="1" si="49"/>
        <v>0</v>
      </c>
      <c r="Q51" t="str">
        <f t="shared" ca="1" si="54"/>
        <v/>
      </c>
      <c r="R51" t="str">
        <f t="shared" ca="1" si="55"/>
        <v/>
      </c>
      <c r="S51" t="str">
        <f ca="1"/>
        <v/>
      </c>
      <c r="T51" s="144" t="str">
        <f ca="1"/>
        <v/>
      </c>
      <c r="U51" t="str">
        <f t="shared" ca="1" si="56"/>
        <v/>
      </c>
      <c r="V51" s="144" t="str">
        <f t="shared" ca="1" si="57"/>
        <v/>
      </c>
      <c r="W51">
        <f t="shared" ca="1" si="58"/>
        <v>0</v>
      </c>
      <c r="X51" t="str" cm="1">
        <f t="array" aca="1" ref="X51" ca="1">IFERROR(INDEX(INDIRECT(CONCATENATE(AS$14,":",AS$16)),V51-AR$12+1),"")</f>
        <v/>
      </c>
      <c r="Y51" t="str">
        <f t="shared" si="18"/>
        <v>X51</v>
      </c>
      <c r="Z51" t="str">
        <f t="shared" ca="1" si="31"/>
        <v>X51</v>
      </c>
      <c r="AA51">
        <f t="shared" ca="1" si="59"/>
        <v>0</v>
      </c>
      <c r="AB51">
        <f t="shared" ca="1" si="60"/>
        <v>0</v>
      </c>
      <c r="AC51" t="str">
        <f t="shared" ca="1" si="7"/>
        <v/>
      </c>
      <c r="AD51" t="str" cm="1">
        <f t="array" aca="1" ref="AD51" ca="1">IF($AB51=0,"",INDIRECT(_xlfn.CONCAT(AU$14,$V51)))</f>
        <v/>
      </c>
      <c r="AE51" s="144" t="str">
        <f t="shared" ca="1" si="61"/>
        <v/>
      </c>
      <c r="AF51" t="str">
        <f t="shared" ca="1" si="19"/>
        <v/>
      </c>
      <c r="AG51" s="525" t="str">
        <f ca="1"/>
        <v/>
      </c>
      <c r="AH51" s="467" t="str">
        <f t="shared" ca="1" si="34"/>
        <v/>
      </c>
      <c r="AI51" s="533" t="str">
        <f t="shared" ca="1" si="37"/>
        <v/>
      </c>
      <c r="AJ51" s="533" t="str">
        <f t="shared" ca="1" si="50"/>
        <v/>
      </c>
      <c r="AK51" t="str">
        <f t="shared" ca="1" si="35"/>
        <v/>
      </c>
      <c r="AL51" s="140" t="str">
        <f t="shared" ca="1" si="51"/>
        <v/>
      </c>
      <c r="AM51" t="str">
        <f t="shared" ca="1" si="21"/>
        <v/>
      </c>
      <c r="AN51" s="144" t="str">
        <f t="shared" ca="1" si="22"/>
        <v/>
      </c>
      <c r="AR51" s="483">
        <f t="shared" si="43"/>
        <v>383</v>
      </c>
      <c r="AS51" s="157" t="str">
        <f t="shared" si="41"/>
        <v>B383</v>
      </c>
      <c r="AT51" s="479" t="str">
        <f t="shared" si="42"/>
        <v>B389</v>
      </c>
      <c r="AU51" s="477"/>
      <c r="AW51" s="140" t="str">
        <f t="shared" si="2"/>
        <v>N51</v>
      </c>
      <c r="AX51" t="str">
        <f t="shared" si="62"/>
        <v>$N$11:N50</v>
      </c>
      <c r="AY51" s="144" t="str">
        <f t="shared" si="63"/>
        <v>N52:$N$99</v>
      </c>
      <c r="BA51" s="139" t="str" cm="1">
        <f t="array" aca="1" ref="BA51" ca="1">IFERROR(CELL("address",INDEX('Project Mull Review'!AF:AF, SMALL(IF('Project Mull Review'!AF$35:AF$682&lt;&gt;"",ROW('Project Mull Review'!AF$35:AF$682),""),ROWS('Project Mull Review'!AF$35:AF75)))),"")</f>
        <v/>
      </c>
      <c r="BB51" s="155" t="str">
        <f t="shared" ca="1" si="24"/>
        <v/>
      </c>
      <c r="BC51" s="155" t="str">
        <f t="shared" ca="1" si="25"/>
        <v/>
      </c>
      <c r="BD51" s="155" t="str" cm="1">
        <f t="array" aca="1" ref="BD51" ca="1">IFERROR(INDEX(MainCell,BE51,2),"")</f>
        <v/>
      </c>
      <c r="BE51" s="155" t="str">
        <f t="shared" ca="1" si="26"/>
        <v/>
      </c>
      <c r="BF51" s="64" t="str">
        <f t="shared" ca="1" si="27"/>
        <v/>
      </c>
      <c r="BG51" s="64" t="str">
        <f t="shared" ca="1" si="44"/>
        <v/>
      </c>
      <c r="BH51" s="64" t="str" cm="1">
        <f t="array" aca="1" ref="BH51" ca="1">IFERROR(CONCATENATE(INDIRECT(BF51)," ", INDIRECT(BG51)),"")</f>
        <v/>
      </c>
      <c r="BI51" s="64" t="str">
        <f t="shared" ca="1" si="29"/>
        <v/>
      </c>
      <c r="BJ51" s="155">
        <f t="shared" ca="1" si="52"/>
        <v>0</v>
      </c>
      <c r="BK51" s="155">
        <f t="shared" ca="1" si="53"/>
        <v>0</v>
      </c>
      <c r="BL51" s="155">
        <f t="shared" ref="BL51:BS60" ca="1" si="64">IF(BK51=0,0,IFERROR(IF(MATCH($BI51,OFFSET(Combo,BK51,0),0)&gt;=($AS$18-BK51),0,BK51+MATCH($BI51,OFFSET(Combo,BK51,0),0)),0))</f>
        <v>0</v>
      </c>
      <c r="BM51" s="155">
        <f t="shared" ca="1" si="64"/>
        <v>0</v>
      </c>
      <c r="BN51" s="155">
        <f t="shared" ca="1" si="64"/>
        <v>0</v>
      </c>
      <c r="BO51" s="155">
        <f t="shared" ca="1" si="64"/>
        <v>0</v>
      </c>
      <c r="BP51" s="155">
        <f t="shared" ca="1" si="64"/>
        <v>0</v>
      </c>
      <c r="BQ51" s="155">
        <f t="shared" ca="1" si="64"/>
        <v>0</v>
      </c>
      <c r="BR51" s="155">
        <f t="shared" ca="1" si="64"/>
        <v>0</v>
      </c>
      <c r="BS51" s="479">
        <f t="shared" ca="1" si="64"/>
        <v>0</v>
      </c>
      <c r="BV51" s="505" t="str" cm="1">
        <f t="array" aca="1" ref="BV51" ca="1">IF(BJ52=0,"",CONCATENATE(INDEX(FinalSort,BJ52,4),": ",INDEX(FinalSort,BJ52,8)))</f>
        <v/>
      </c>
      <c r="BW51" s="506" t="str" cm="1">
        <f t="array" aca="1" ref="BW51" ca="1">IF(BK52=0,"",CONCATENATE(INDEX(FinalSort,BK52,4),": ",INDEX(FinalSort,BK52,8)))</f>
        <v/>
      </c>
      <c r="BX51" s="506" t="str" cm="1">
        <f t="array" aca="1" ref="BX51" ca="1">IF(BL52=0,"",CONCATENATE(INDEX(FinalSort,BL52,4),": ",INDEX(FinalSort,BL52,8)))</f>
        <v/>
      </c>
      <c r="BY51" s="506" t="str" cm="1">
        <f t="array" aca="1" ref="BY51" ca="1">IF(BM52=0,"",CONCATENATE(INDEX(FinalSort,BM52,4),": ",INDEX(FinalSort,BM52,8)))</f>
        <v/>
      </c>
      <c r="BZ51" s="506" t="str" cm="1">
        <f t="array" aca="1" ref="BZ51" ca="1">IF(BN52=0,"",CONCATENATE(INDEX(FinalSort,BN52,4),": ",INDEX(FinalSort,BN52,8)))</f>
        <v/>
      </c>
      <c r="CA51" s="506" t="str" cm="1">
        <f t="array" aca="1" ref="CA51" ca="1">IF(BO52=0,"",CONCATENATE(INDEX(FinalSort,BO52,4),": ",INDEX(FinalSort,BO52,8)))</f>
        <v/>
      </c>
      <c r="CB51" s="506" t="str" cm="1">
        <f t="array" aca="1" ref="CB51" ca="1">IF(BP52=0,"",CONCATENATE(INDEX(FinalSort,BP52,4),": ",INDEX(FinalSort,BP52,8)))</f>
        <v/>
      </c>
      <c r="CC51" s="506" t="str" cm="1">
        <f t="array" aca="1" ref="CC51" ca="1">IF(BQ52=0,"",CONCATENATE(INDEX(FinalSort,BQ52,4),": ",INDEX(FinalSort,BQ52,8)))</f>
        <v/>
      </c>
      <c r="CD51" s="506" t="str" cm="1">
        <f t="array" aca="1" ref="CD51" ca="1">IF(BR52=0,"",CONCATENATE(INDEX(FinalSort,BR52,4),": ",INDEX(FinalSort,BR52,8)))</f>
        <v/>
      </c>
      <c r="CE51" s="507" t="str" cm="1">
        <f t="array" aca="1" ref="CE51" ca="1">IF(BS52=0,"",CONCATENATE(INDEX(FinalSort,BS52,4),": ",INDEX(FinalSort,BS52,8)))</f>
        <v/>
      </c>
    </row>
    <row r="52" spans="1:83" x14ac:dyDescent="0.25">
      <c r="A52" s="4">
        <v>43</v>
      </c>
      <c r="B52" s="326" t="str">
        <f t="shared" ca="1" si="47"/>
        <v/>
      </c>
      <c r="C52" s="462" t="str">
        <f t="shared" ca="1" si="4"/>
        <v/>
      </c>
      <c r="D52" s="463" t="str">
        <f t="shared" ca="1" si="5"/>
        <v/>
      </c>
      <c r="E52" s="471" t="str">
        <f t="shared" ca="1" si="6"/>
        <v/>
      </c>
      <c r="F52" s="473" t="str">
        <f t="shared" ca="1" si="48"/>
        <v/>
      </c>
      <c r="G52" s="522"/>
      <c r="H52" s="155"/>
      <c r="I52" s="443" t="str" cm="1">
        <f t="array" ref="I52">IFERROR(INDEX('Project Mull Review'!AF:AF, SMALL(IF('Project Mull Review'!AF$35:AF$682&lt;&gt;"",ROW('Project Mull Review'!AF$35:AF$682),""),ROWS('Project Mull Review'!AF$35:AF76))),"")</f>
        <v/>
      </c>
      <c r="J52" s="389" t="str" cm="1">
        <f t="array" ref="J52">IFERROR(INDEX('Project Mull Review'!AI:AI, SMALL(IF('Project Mull Review'!AI$35:AI$682&lt;&gt;"",ROW('Project Mull Review'!AI$35:AI$682),""),ROWS('Project Mull Review'!AI$35:AI76))),"")</f>
        <v/>
      </c>
      <c r="K52" s="442" t="str" cm="1">
        <f t="array" ref="K52">IFERROR(ROUND(INDEX('Project Mull Review'!AT:AT, SMALL(IF('Project Mull Review'!AI$35:AI$682&lt;&gt;"",ROW('Project Mull Review'!AI$35:AI$682),""),ROWS('Project Mull Review'!AI$35:AI76))),0),"")</f>
        <v/>
      </c>
      <c r="M52" s="140">
        <f>ROW()</f>
        <v>52</v>
      </c>
      <c r="N52" t="str">
        <f t="shared" si="11"/>
        <v/>
      </c>
      <c r="O52" t="str">
        <f t="shared" si="12"/>
        <v/>
      </c>
      <c r="P52" s="144">
        <f t="shared" ca="1" si="49"/>
        <v>0</v>
      </c>
      <c r="Q52" t="str">
        <f t="shared" ca="1" si="54"/>
        <v/>
      </c>
      <c r="R52" t="str">
        <f t="shared" ca="1" si="55"/>
        <v/>
      </c>
      <c r="S52" t="str">
        <f ca="1"/>
        <v/>
      </c>
      <c r="T52" s="144" t="str">
        <f ca="1"/>
        <v/>
      </c>
      <c r="U52" t="str">
        <f t="shared" ca="1" si="56"/>
        <v/>
      </c>
      <c r="V52" s="144" t="str">
        <f t="shared" ca="1" si="57"/>
        <v/>
      </c>
      <c r="W52">
        <f t="shared" ca="1" si="58"/>
        <v>0</v>
      </c>
      <c r="X52" t="str" cm="1">
        <f t="array" aca="1" ref="X52" ca="1">IFERROR(INDEX(INDIRECT(CONCATENATE(AS$14,":",AS$16)),V52-AR$12+1),"")</f>
        <v/>
      </c>
      <c r="Y52" t="str">
        <f t="shared" si="18"/>
        <v>X52</v>
      </c>
      <c r="Z52" t="str">
        <f t="shared" ca="1" si="31"/>
        <v>X52</v>
      </c>
      <c r="AA52">
        <f t="shared" ca="1" si="59"/>
        <v>0</v>
      </c>
      <c r="AB52">
        <f t="shared" ca="1" si="60"/>
        <v>0</v>
      </c>
      <c r="AC52" t="str">
        <f t="shared" ca="1" si="7"/>
        <v/>
      </c>
      <c r="AD52" t="str" cm="1">
        <f t="array" aca="1" ref="AD52" ca="1">IF($AB52=0,"",INDIRECT(_xlfn.CONCAT(AU$14,$V52)))</f>
        <v/>
      </c>
      <c r="AE52" s="144" t="str">
        <f t="shared" ca="1" si="61"/>
        <v/>
      </c>
      <c r="AF52" t="str">
        <f t="shared" ca="1" si="19"/>
        <v/>
      </c>
      <c r="AG52" s="525" t="str">
        <f ca="1"/>
        <v/>
      </c>
      <c r="AH52" s="467" t="str">
        <f t="shared" ca="1" si="34"/>
        <v/>
      </c>
      <c r="AI52" s="533" t="str">
        <f t="shared" ca="1" si="37"/>
        <v/>
      </c>
      <c r="AJ52" s="533" t="str">
        <f t="shared" ca="1" si="50"/>
        <v/>
      </c>
      <c r="AK52" t="str">
        <f t="shared" ca="1" si="35"/>
        <v/>
      </c>
      <c r="AL52" s="140" t="str">
        <f t="shared" ca="1" si="51"/>
        <v/>
      </c>
      <c r="AM52" t="str">
        <f t="shared" ca="1" si="21"/>
        <v/>
      </c>
      <c r="AN52" s="144" t="str">
        <f t="shared" ca="1" si="22"/>
        <v/>
      </c>
      <c r="AR52" s="483">
        <f t="shared" si="43"/>
        <v>395</v>
      </c>
      <c r="AS52" s="157" t="str">
        <f t="shared" si="41"/>
        <v>B395</v>
      </c>
      <c r="AT52" s="479" t="str">
        <f t="shared" si="42"/>
        <v>B401</v>
      </c>
      <c r="AU52" s="477"/>
      <c r="AW52" s="140" t="str">
        <f t="shared" si="2"/>
        <v>N52</v>
      </c>
      <c r="AX52" t="str">
        <f t="shared" si="62"/>
        <v>$N$11:N51</v>
      </c>
      <c r="AY52" s="144" t="str">
        <f t="shared" si="63"/>
        <v>N53:$N$99</v>
      </c>
      <c r="BA52" s="139" t="str" cm="1">
        <f t="array" aca="1" ref="BA52" ca="1">IFERROR(CELL("address",INDEX('Project Mull Review'!AF:AF, SMALL(IF('Project Mull Review'!AF$35:AF$682&lt;&gt;"",ROW('Project Mull Review'!AF$35:AF$682),""),ROWS('Project Mull Review'!AF$35:AF76)))),"")</f>
        <v/>
      </c>
      <c r="BB52" s="155" t="str">
        <f t="shared" ca="1" si="24"/>
        <v/>
      </c>
      <c r="BC52" s="155" t="str">
        <f t="shared" ca="1" si="25"/>
        <v/>
      </c>
      <c r="BD52" s="155" t="str" cm="1">
        <f t="array" aca="1" ref="BD52" ca="1">IFERROR(INDEX(MainCell,BE52,2),"")</f>
        <v/>
      </c>
      <c r="BE52" s="155" t="str">
        <f t="shared" ca="1" si="26"/>
        <v/>
      </c>
      <c r="BF52" s="64" t="str">
        <f t="shared" ca="1" si="27"/>
        <v/>
      </c>
      <c r="BG52" s="64" t="str">
        <f t="shared" ca="1" si="44"/>
        <v/>
      </c>
      <c r="BH52" s="64" t="str" cm="1">
        <f t="array" aca="1" ref="BH52" ca="1">IFERROR(CONCATENATE(INDIRECT(BF52)," ", INDIRECT(BG52)),"")</f>
        <v/>
      </c>
      <c r="BI52" s="64" t="str">
        <f t="shared" ca="1" si="29"/>
        <v/>
      </c>
      <c r="BJ52" s="155">
        <f t="shared" ca="1" si="52"/>
        <v>0</v>
      </c>
      <c r="BK52" s="155">
        <f t="shared" ca="1" si="53"/>
        <v>0</v>
      </c>
      <c r="BL52" s="155">
        <f t="shared" ca="1" si="64"/>
        <v>0</v>
      </c>
      <c r="BM52" s="155">
        <f t="shared" ca="1" si="64"/>
        <v>0</v>
      </c>
      <c r="BN52" s="155">
        <f t="shared" ca="1" si="64"/>
        <v>0</v>
      </c>
      <c r="BO52" s="155">
        <f t="shared" ca="1" si="64"/>
        <v>0</v>
      </c>
      <c r="BP52" s="155">
        <f t="shared" ca="1" si="64"/>
        <v>0</v>
      </c>
      <c r="BQ52" s="155">
        <f t="shared" ca="1" si="64"/>
        <v>0</v>
      </c>
      <c r="BR52" s="155">
        <f t="shared" ca="1" si="64"/>
        <v>0</v>
      </c>
      <c r="BS52" s="479">
        <f t="shared" ca="1" si="64"/>
        <v>0</v>
      </c>
      <c r="BV52" s="505" t="str" cm="1">
        <f t="array" aca="1" ref="BV52" ca="1">IF(BJ53=0,"",CONCATENATE(INDEX(FinalSort,BJ53,4),": ",INDEX(FinalSort,BJ53,8)))</f>
        <v/>
      </c>
      <c r="BW52" s="506" t="str" cm="1">
        <f t="array" aca="1" ref="BW52" ca="1">IF(BK53=0,"",CONCATENATE(INDEX(FinalSort,BK53,4),": ",INDEX(FinalSort,BK53,8)))</f>
        <v/>
      </c>
      <c r="BX52" s="506" t="str" cm="1">
        <f t="array" aca="1" ref="BX52" ca="1">IF(BL53=0,"",CONCATENATE(INDEX(FinalSort,BL53,4),": ",INDEX(FinalSort,BL53,8)))</f>
        <v/>
      </c>
      <c r="BY52" s="506" t="str" cm="1">
        <f t="array" aca="1" ref="BY52" ca="1">IF(BM53=0,"",CONCATENATE(INDEX(FinalSort,BM53,4),": ",INDEX(FinalSort,BM53,8)))</f>
        <v/>
      </c>
      <c r="BZ52" s="506" t="str" cm="1">
        <f t="array" aca="1" ref="BZ52" ca="1">IF(BN53=0,"",CONCATENATE(INDEX(FinalSort,BN53,4),": ",INDEX(FinalSort,BN53,8)))</f>
        <v/>
      </c>
      <c r="CA52" s="506" t="str" cm="1">
        <f t="array" aca="1" ref="CA52" ca="1">IF(BO53=0,"",CONCATENATE(INDEX(FinalSort,BO53,4),": ",INDEX(FinalSort,BO53,8)))</f>
        <v/>
      </c>
      <c r="CB52" s="506" t="str" cm="1">
        <f t="array" aca="1" ref="CB52" ca="1">IF(BP53=0,"",CONCATENATE(INDEX(FinalSort,BP53,4),": ",INDEX(FinalSort,BP53,8)))</f>
        <v/>
      </c>
      <c r="CC52" s="506" t="str" cm="1">
        <f t="array" aca="1" ref="CC52" ca="1">IF(BQ53=0,"",CONCATENATE(INDEX(FinalSort,BQ53,4),": ",INDEX(FinalSort,BQ53,8)))</f>
        <v/>
      </c>
      <c r="CD52" s="506" t="str" cm="1">
        <f t="array" aca="1" ref="CD52" ca="1">IF(BR53=0,"",CONCATENATE(INDEX(FinalSort,BR53,4),": ",INDEX(FinalSort,BR53,8)))</f>
        <v/>
      </c>
      <c r="CE52" s="507" t="str" cm="1">
        <f t="array" aca="1" ref="CE52" ca="1">IF(BS53=0,"",CONCATENATE(INDEX(FinalSort,BS53,4),": ",INDEX(FinalSort,BS53,8)))</f>
        <v/>
      </c>
    </row>
    <row r="53" spans="1:83" x14ac:dyDescent="0.25">
      <c r="A53" s="4">
        <v>44</v>
      </c>
      <c r="B53" s="326" t="str">
        <f t="shared" ca="1" si="47"/>
        <v/>
      </c>
      <c r="C53" s="462" t="str">
        <f t="shared" ca="1" si="4"/>
        <v/>
      </c>
      <c r="D53" s="463" t="str">
        <f t="shared" ca="1" si="5"/>
        <v/>
      </c>
      <c r="E53" s="471" t="str">
        <f t="shared" ca="1" si="6"/>
        <v/>
      </c>
      <c r="F53" s="473" t="str">
        <f t="shared" ca="1" si="48"/>
        <v/>
      </c>
      <c r="G53" s="522"/>
      <c r="H53" s="155"/>
      <c r="I53" s="443" t="str" cm="1">
        <f t="array" ref="I53">IFERROR(INDEX('Project Mull Review'!AF:AF, SMALL(IF('Project Mull Review'!AF$35:AF$682&lt;&gt;"",ROW('Project Mull Review'!AF$35:AF$682),""),ROWS('Project Mull Review'!AF$35:AF77))),"")</f>
        <v/>
      </c>
      <c r="J53" s="389" t="str" cm="1">
        <f t="array" ref="J53">IFERROR(INDEX('Project Mull Review'!AI:AI, SMALL(IF('Project Mull Review'!AI$35:AI$682&lt;&gt;"",ROW('Project Mull Review'!AI$35:AI$682),""),ROWS('Project Mull Review'!AI$35:AI77))),"")</f>
        <v/>
      </c>
      <c r="K53" s="442" t="str" cm="1">
        <f t="array" ref="K53">IFERROR(ROUND(INDEX('Project Mull Review'!AT:AT, SMALL(IF('Project Mull Review'!AI$35:AI$682&lt;&gt;"",ROW('Project Mull Review'!AI$35:AI$682),""),ROWS('Project Mull Review'!AI$35:AI77))),0),"")</f>
        <v/>
      </c>
      <c r="M53" s="140">
        <f>ROW()</f>
        <v>53</v>
      </c>
      <c r="N53" t="str">
        <f t="shared" si="11"/>
        <v/>
      </c>
      <c r="O53" t="str">
        <f t="shared" si="12"/>
        <v/>
      </c>
      <c r="P53" s="144">
        <f t="shared" ca="1" si="49"/>
        <v>0</v>
      </c>
      <c r="Q53" t="str">
        <f t="shared" ca="1" si="54"/>
        <v/>
      </c>
      <c r="R53" t="str">
        <f t="shared" ca="1" si="55"/>
        <v/>
      </c>
      <c r="S53" t="str">
        <f ca="1"/>
        <v/>
      </c>
      <c r="T53" s="144" t="str">
        <f ca="1"/>
        <v/>
      </c>
      <c r="U53" t="str">
        <f t="shared" ca="1" si="56"/>
        <v/>
      </c>
      <c r="V53" s="144" t="str">
        <f t="shared" ca="1" si="57"/>
        <v/>
      </c>
      <c r="W53">
        <f t="shared" ca="1" si="58"/>
        <v>0</v>
      </c>
      <c r="X53" t="str" cm="1">
        <f t="array" aca="1" ref="X53" ca="1">IFERROR(INDEX(INDIRECT(CONCATENATE(AS$14,":",AS$16)),V53-AR$12+1),"")</f>
        <v/>
      </c>
      <c r="Y53" t="str">
        <f t="shared" si="18"/>
        <v>X53</v>
      </c>
      <c r="Z53" t="str">
        <f t="shared" ca="1" si="31"/>
        <v>X53</v>
      </c>
      <c r="AA53">
        <f t="shared" ca="1" si="59"/>
        <v>0</v>
      </c>
      <c r="AB53">
        <f t="shared" ca="1" si="60"/>
        <v>0</v>
      </c>
      <c r="AC53" t="str">
        <f t="shared" ca="1" si="7"/>
        <v/>
      </c>
      <c r="AD53" t="str" cm="1">
        <f t="array" aca="1" ref="AD53" ca="1">IF($AB53=0,"",INDIRECT(_xlfn.CONCAT(AU$14,$V53)))</f>
        <v/>
      </c>
      <c r="AE53" s="144" t="str">
        <f t="shared" ca="1" si="61"/>
        <v/>
      </c>
      <c r="AF53" t="str">
        <f t="shared" ca="1" si="19"/>
        <v/>
      </c>
      <c r="AG53" s="525" t="str">
        <f ca="1"/>
        <v/>
      </c>
      <c r="AH53" s="467" t="str">
        <f t="shared" ca="1" si="34"/>
        <v/>
      </c>
      <c r="AI53" s="533" t="str">
        <f t="shared" ca="1" si="37"/>
        <v/>
      </c>
      <c r="AJ53" s="533" t="str">
        <f t="shared" ca="1" si="50"/>
        <v/>
      </c>
      <c r="AK53" t="str">
        <f t="shared" ca="1" si="35"/>
        <v/>
      </c>
      <c r="AL53" s="140" t="str">
        <f t="shared" ca="1" si="51"/>
        <v/>
      </c>
      <c r="AM53" t="str">
        <f t="shared" ca="1" si="21"/>
        <v/>
      </c>
      <c r="AN53" s="144" t="str">
        <f t="shared" ca="1" si="22"/>
        <v/>
      </c>
      <c r="AR53" s="483">
        <f t="shared" si="43"/>
        <v>407</v>
      </c>
      <c r="AS53" s="157" t="str">
        <f t="shared" si="41"/>
        <v>B407</v>
      </c>
      <c r="AT53" s="479" t="str">
        <f t="shared" si="42"/>
        <v>B413</v>
      </c>
      <c r="AU53" s="477"/>
      <c r="AW53" s="140" t="str">
        <f t="shared" si="2"/>
        <v>N53</v>
      </c>
      <c r="AX53" t="str">
        <f t="shared" si="62"/>
        <v>$N$11:N52</v>
      </c>
      <c r="AY53" s="144" t="str">
        <f t="shared" si="63"/>
        <v>N54:$N$99</v>
      </c>
      <c r="BA53" s="139" t="str" cm="1">
        <f t="array" aca="1" ref="BA53" ca="1">IFERROR(CELL("address",INDEX('Project Mull Review'!AF:AF, SMALL(IF('Project Mull Review'!AF$35:AF$682&lt;&gt;"",ROW('Project Mull Review'!AF$35:AF$682),""),ROWS('Project Mull Review'!AF$35:AF77)))),"")</f>
        <v/>
      </c>
      <c r="BB53" s="155" t="str">
        <f t="shared" ca="1" si="24"/>
        <v/>
      </c>
      <c r="BC53" s="155" t="str">
        <f t="shared" ca="1" si="25"/>
        <v/>
      </c>
      <c r="BD53" s="155" t="str" cm="1">
        <f t="array" aca="1" ref="BD53" ca="1">IFERROR(INDEX(MainCell,BE53,2),"")</f>
        <v/>
      </c>
      <c r="BE53" s="155" t="str">
        <f t="shared" ca="1" si="26"/>
        <v/>
      </c>
      <c r="BF53" s="64" t="str">
        <f t="shared" ca="1" si="27"/>
        <v/>
      </c>
      <c r="BG53" s="64" t="str">
        <f t="shared" ca="1" si="44"/>
        <v/>
      </c>
      <c r="BH53" s="64" t="str" cm="1">
        <f t="array" aca="1" ref="BH53" ca="1">IFERROR(CONCATENATE(INDIRECT(BF53)," ", INDIRECT(BG53)),"")</f>
        <v/>
      </c>
      <c r="BI53" s="64" t="str">
        <f t="shared" ca="1" si="29"/>
        <v/>
      </c>
      <c r="BJ53" s="155">
        <f t="shared" ca="1" si="52"/>
        <v>0</v>
      </c>
      <c r="BK53" s="155">
        <f t="shared" ca="1" si="53"/>
        <v>0</v>
      </c>
      <c r="BL53" s="155">
        <f t="shared" ca="1" si="64"/>
        <v>0</v>
      </c>
      <c r="BM53" s="155">
        <f t="shared" ca="1" si="64"/>
        <v>0</v>
      </c>
      <c r="BN53" s="155">
        <f t="shared" ca="1" si="64"/>
        <v>0</v>
      </c>
      <c r="BO53" s="155">
        <f t="shared" ca="1" si="64"/>
        <v>0</v>
      </c>
      <c r="BP53" s="155">
        <f t="shared" ca="1" si="64"/>
        <v>0</v>
      </c>
      <c r="BQ53" s="155">
        <f t="shared" ca="1" si="64"/>
        <v>0</v>
      </c>
      <c r="BR53" s="155">
        <f t="shared" ca="1" si="64"/>
        <v>0</v>
      </c>
      <c r="BS53" s="479">
        <f t="shared" ca="1" si="64"/>
        <v>0</v>
      </c>
      <c r="BV53" s="505" t="str" cm="1">
        <f t="array" aca="1" ref="BV53" ca="1">IF(BJ54=0,"",CONCATENATE(INDEX(FinalSort,BJ54,4),": ",INDEX(FinalSort,BJ54,8)))</f>
        <v/>
      </c>
      <c r="BW53" s="506" t="str" cm="1">
        <f t="array" aca="1" ref="BW53" ca="1">IF(BK54=0,"",CONCATENATE(INDEX(FinalSort,BK54,4),": ",INDEX(FinalSort,BK54,8)))</f>
        <v/>
      </c>
      <c r="BX53" s="506" t="str" cm="1">
        <f t="array" aca="1" ref="BX53" ca="1">IF(BL54=0,"",CONCATENATE(INDEX(FinalSort,BL54,4),": ",INDEX(FinalSort,BL54,8)))</f>
        <v/>
      </c>
      <c r="BY53" s="506" t="str" cm="1">
        <f t="array" aca="1" ref="BY53" ca="1">IF(BM54=0,"",CONCATENATE(INDEX(FinalSort,BM54,4),": ",INDEX(FinalSort,BM54,8)))</f>
        <v/>
      </c>
      <c r="BZ53" s="506" t="str" cm="1">
        <f t="array" aca="1" ref="BZ53" ca="1">IF(BN54=0,"",CONCATENATE(INDEX(FinalSort,BN54,4),": ",INDEX(FinalSort,BN54,8)))</f>
        <v/>
      </c>
      <c r="CA53" s="506" t="str" cm="1">
        <f t="array" aca="1" ref="CA53" ca="1">IF(BO54=0,"",CONCATENATE(INDEX(FinalSort,BO54,4),": ",INDEX(FinalSort,BO54,8)))</f>
        <v/>
      </c>
      <c r="CB53" s="506" t="str" cm="1">
        <f t="array" aca="1" ref="CB53" ca="1">IF(BP54=0,"",CONCATENATE(INDEX(FinalSort,BP54,4),": ",INDEX(FinalSort,BP54,8)))</f>
        <v/>
      </c>
      <c r="CC53" s="506" t="str" cm="1">
        <f t="array" aca="1" ref="CC53" ca="1">IF(BQ54=0,"",CONCATENATE(INDEX(FinalSort,BQ54,4),": ",INDEX(FinalSort,BQ54,8)))</f>
        <v/>
      </c>
      <c r="CD53" s="506" t="str" cm="1">
        <f t="array" aca="1" ref="CD53" ca="1">IF(BR54=0,"",CONCATENATE(INDEX(FinalSort,BR54,4),": ",INDEX(FinalSort,BR54,8)))</f>
        <v/>
      </c>
      <c r="CE53" s="507" t="str" cm="1">
        <f t="array" aca="1" ref="CE53" ca="1">IF(BS54=0,"",CONCATENATE(INDEX(FinalSort,BS54,4),": ",INDEX(FinalSort,BS54,8)))</f>
        <v/>
      </c>
    </row>
    <row r="54" spans="1:83" ht="15.75" thickBot="1" x14ac:dyDescent="0.3">
      <c r="A54" s="4">
        <v>45</v>
      </c>
      <c r="B54" s="326" t="str">
        <f t="shared" ca="1" si="47"/>
        <v/>
      </c>
      <c r="C54" s="462" t="str">
        <f t="shared" ca="1" si="4"/>
        <v/>
      </c>
      <c r="D54" s="463" t="str">
        <f t="shared" ca="1" si="5"/>
        <v/>
      </c>
      <c r="E54" s="471" t="str">
        <f t="shared" ca="1" si="6"/>
        <v/>
      </c>
      <c r="F54" s="473" t="str">
        <f t="shared" ca="1" si="48"/>
        <v/>
      </c>
      <c r="G54" s="522"/>
      <c r="H54" s="155"/>
      <c r="I54" s="443" t="str" cm="1">
        <f t="array" ref="I54">IFERROR(INDEX('Project Mull Review'!AF:AF, SMALL(IF('Project Mull Review'!AF$35:AF$682&lt;&gt;"",ROW('Project Mull Review'!AF$35:AF$682),""),ROWS('Project Mull Review'!AF$35:AF78))),"")</f>
        <v/>
      </c>
      <c r="J54" s="389" t="str" cm="1">
        <f t="array" ref="J54">IFERROR(INDEX('Project Mull Review'!AI:AI, SMALL(IF('Project Mull Review'!AI$35:AI$682&lt;&gt;"",ROW('Project Mull Review'!AI$35:AI$682),""),ROWS('Project Mull Review'!AI$35:AI78))),"")</f>
        <v/>
      </c>
      <c r="K54" s="442" t="str" cm="1">
        <f t="array" ref="K54">IFERROR(ROUND(INDEX('Project Mull Review'!AT:AT, SMALL(IF('Project Mull Review'!AI$35:AI$682&lt;&gt;"",ROW('Project Mull Review'!AI$35:AI$682),""),ROWS('Project Mull Review'!AI$35:AI78))),0),"")</f>
        <v/>
      </c>
      <c r="M54" s="140">
        <f>ROW()</f>
        <v>54</v>
      </c>
      <c r="N54" t="str">
        <f t="shared" si="11"/>
        <v/>
      </c>
      <c r="O54" t="str">
        <f t="shared" si="12"/>
        <v/>
      </c>
      <c r="P54" s="144">
        <f t="shared" ca="1" si="49"/>
        <v>0</v>
      </c>
      <c r="Q54" t="str">
        <f t="shared" ca="1" si="54"/>
        <v/>
      </c>
      <c r="R54" t="str">
        <f t="shared" ca="1" si="55"/>
        <v/>
      </c>
      <c r="S54" t="str">
        <f ca="1"/>
        <v/>
      </c>
      <c r="T54" s="144" t="str">
        <f ca="1"/>
        <v/>
      </c>
      <c r="U54" s="377" t="str">
        <f t="shared" ca="1" si="56"/>
        <v/>
      </c>
      <c r="V54" s="378" t="str">
        <f t="shared" ca="1" si="57"/>
        <v/>
      </c>
      <c r="W54" s="377">
        <f t="shared" ca="1" si="58"/>
        <v>0</v>
      </c>
      <c r="X54" s="377" t="str" cm="1">
        <f t="array" aca="1" ref="X54" ca="1">IFERROR(INDEX(INDIRECT(CONCATENATE(AS$14,":",AS$16)),V54-AR$12+1),"")</f>
        <v/>
      </c>
      <c r="Y54" s="377" t="str">
        <f t="shared" si="18"/>
        <v>X54</v>
      </c>
      <c r="Z54" s="377" t="str">
        <f t="shared" ca="1" si="31"/>
        <v>X54</v>
      </c>
      <c r="AA54" s="377">
        <f t="shared" ca="1" si="59"/>
        <v>0</v>
      </c>
      <c r="AB54" s="377">
        <f t="shared" ca="1" si="60"/>
        <v>0</v>
      </c>
      <c r="AC54" s="377" t="str">
        <f t="shared" ca="1" si="7"/>
        <v/>
      </c>
      <c r="AD54" s="377" t="str" cm="1">
        <f t="array" aca="1" ref="AD54" ca="1">IF($AB54=0,"",INDIRECT(_xlfn.CONCAT(AU$14,$V54)))</f>
        <v/>
      </c>
      <c r="AE54" s="378" t="str">
        <f t="shared" ca="1" si="61"/>
        <v/>
      </c>
      <c r="AF54" t="str">
        <f t="shared" ca="1" si="19"/>
        <v/>
      </c>
      <c r="AG54" s="525" t="str">
        <f ca="1"/>
        <v/>
      </c>
      <c r="AH54" s="467" t="str">
        <f t="shared" ca="1" si="34"/>
        <v/>
      </c>
      <c r="AI54" s="533" t="str">
        <f t="shared" ca="1" si="37"/>
        <v/>
      </c>
      <c r="AJ54" s="533" t="str">
        <f t="shared" ca="1" si="50"/>
        <v/>
      </c>
      <c r="AK54" t="str">
        <f t="shared" ca="1" si="35"/>
        <v/>
      </c>
      <c r="AL54" s="140" t="str">
        <f t="shared" ca="1" si="51"/>
        <v/>
      </c>
      <c r="AM54" t="str">
        <f t="shared" ca="1" si="21"/>
        <v/>
      </c>
      <c r="AN54" s="144" t="str">
        <f t="shared" ca="1" si="22"/>
        <v/>
      </c>
      <c r="AR54" s="483">
        <f t="shared" si="43"/>
        <v>419</v>
      </c>
      <c r="AS54" s="157" t="str">
        <f t="shared" si="41"/>
        <v>B419</v>
      </c>
      <c r="AT54" s="479" t="str">
        <f t="shared" si="42"/>
        <v>B425</v>
      </c>
      <c r="AU54" s="477"/>
      <c r="AW54" s="140" t="str">
        <f t="shared" si="2"/>
        <v>N54</v>
      </c>
      <c r="AX54" t="str">
        <f t="shared" si="62"/>
        <v>$N$11:N53</v>
      </c>
      <c r="AY54" s="144" t="str">
        <f t="shared" si="63"/>
        <v>N55:$N$99</v>
      </c>
      <c r="BA54" s="139" t="str" cm="1">
        <f t="array" aca="1" ref="BA54" ca="1">IFERROR(CELL("address",INDEX('Project Mull Review'!AF:AF, SMALL(IF('Project Mull Review'!AF$35:AF$682&lt;&gt;"",ROW('Project Mull Review'!AF$35:AF$682),""),ROWS('Project Mull Review'!AF$35:AF78)))),"")</f>
        <v/>
      </c>
      <c r="BB54" s="155" t="str">
        <f t="shared" ca="1" si="24"/>
        <v/>
      </c>
      <c r="BC54" s="155" t="str">
        <f t="shared" ca="1" si="25"/>
        <v/>
      </c>
      <c r="BD54" s="155" t="str" cm="1">
        <f t="array" aca="1" ref="BD54" ca="1">IFERROR(INDEX(MainCell,BE54,2),"")</f>
        <v/>
      </c>
      <c r="BE54" s="155" t="str">
        <f t="shared" ca="1" si="26"/>
        <v/>
      </c>
      <c r="BF54" s="64" t="str">
        <f t="shared" ca="1" si="27"/>
        <v/>
      </c>
      <c r="BG54" s="64" t="str">
        <f t="shared" ca="1" si="44"/>
        <v/>
      </c>
      <c r="BH54" s="64" t="str" cm="1">
        <f t="array" aca="1" ref="BH54" ca="1">IFERROR(CONCATENATE(INDIRECT(BF54)," ", INDIRECT(BG54)),"")</f>
        <v/>
      </c>
      <c r="BI54" s="64" t="str">
        <f t="shared" ca="1" si="29"/>
        <v/>
      </c>
      <c r="BJ54" s="155">
        <f t="shared" ca="1" si="52"/>
        <v>0</v>
      </c>
      <c r="BK54" s="155">
        <f t="shared" ca="1" si="53"/>
        <v>0</v>
      </c>
      <c r="BL54" s="155">
        <f t="shared" ca="1" si="64"/>
        <v>0</v>
      </c>
      <c r="BM54" s="155">
        <f t="shared" ca="1" si="64"/>
        <v>0</v>
      </c>
      <c r="BN54" s="155">
        <f t="shared" ca="1" si="64"/>
        <v>0</v>
      </c>
      <c r="BO54" s="155">
        <f t="shared" ca="1" si="64"/>
        <v>0</v>
      </c>
      <c r="BP54" s="155">
        <f t="shared" ca="1" si="64"/>
        <v>0</v>
      </c>
      <c r="BQ54" s="155">
        <f t="shared" ca="1" si="64"/>
        <v>0</v>
      </c>
      <c r="BR54" s="155">
        <f t="shared" ca="1" si="64"/>
        <v>0</v>
      </c>
      <c r="BS54" s="479">
        <f t="shared" ca="1" si="64"/>
        <v>0</v>
      </c>
      <c r="BV54" s="505" t="str" cm="1">
        <f t="array" aca="1" ref="BV54" ca="1">IF(BJ55=0,"",CONCATENATE(INDEX(FinalSort,BJ55,4),": ",INDEX(FinalSort,BJ55,8)))</f>
        <v/>
      </c>
      <c r="BW54" s="506" t="str" cm="1">
        <f t="array" aca="1" ref="BW54" ca="1">IF(BK55=0,"",CONCATENATE(INDEX(FinalSort,BK55,4),": ",INDEX(FinalSort,BK55,8)))</f>
        <v/>
      </c>
      <c r="BX54" s="506" t="str" cm="1">
        <f t="array" aca="1" ref="BX54" ca="1">IF(BL55=0,"",CONCATENATE(INDEX(FinalSort,BL55,4),": ",INDEX(FinalSort,BL55,8)))</f>
        <v/>
      </c>
      <c r="BY54" s="506" t="str" cm="1">
        <f t="array" aca="1" ref="BY54" ca="1">IF(BM55=0,"",CONCATENATE(INDEX(FinalSort,BM55,4),": ",INDEX(FinalSort,BM55,8)))</f>
        <v/>
      </c>
      <c r="BZ54" s="506" t="str" cm="1">
        <f t="array" aca="1" ref="BZ54" ca="1">IF(BN55=0,"",CONCATENATE(INDEX(FinalSort,BN55,4),": ",INDEX(FinalSort,BN55,8)))</f>
        <v/>
      </c>
      <c r="CA54" s="506" t="str" cm="1">
        <f t="array" aca="1" ref="CA54" ca="1">IF(BO55=0,"",CONCATENATE(INDEX(FinalSort,BO55,4),": ",INDEX(FinalSort,BO55,8)))</f>
        <v/>
      </c>
      <c r="CB54" s="506" t="str" cm="1">
        <f t="array" aca="1" ref="CB54" ca="1">IF(BP55=0,"",CONCATENATE(INDEX(FinalSort,BP55,4),": ",INDEX(FinalSort,BP55,8)))</f>
        <v/>
      </c>
      <c r="CC54" s="506" t="str" cm="1">
        <f t="array" aca="1" ref="CC54" ca="1">IF(BQ55=0,"",CONCATENATE(INDEX(FinalSort,BQ55,4),": ",INDEX(FinalSort,BQ55,8)))</f>
        <v/>
      </c>
      <c r="CD54" s="506" t="str" cm="1">
        <f t="array" aca="1" ref="CD54" ca="1">IF(BR55=0,"",CONCATENATE(INDEX(FinalSort,BR55,4),": ",INDEX(FinalSort,BR55,8)))</f>
        <v/>
      </c>
      <c r="CE54" s="507" t="str" cm="1">
        <f t="array" aca="1" ref="CE54" ca="1">IF(BS55=0,"",CONCATENATE(INDEX(FinalSort,BS55,4),": ",INDEX(FinalSort,BS55,8)))</f>
        <v/>
      </c>
    </row>
    <row r="55" spans="1:83" x14ac:dyDescent="0.25">
      <c r="A55" s="4">
        <v>46</v>
      </c>
      <c r="B55" s="326" t="str">
        <f t="shared" ca="1" si="47"/>
        <v/>
      </c>
      <c r="C55" s="462" t="str">
        <f t="shared" ca="1" si="4"/>
        <v/>
      </c>
      <c r="D55" s="463" t="str">
        <f t="shared" ca="1" si="5"/>
        <v/>
      </c>
      <c r="E55" s="471" t="str">
        <f t="shared" ca="1" si="6"/>
        <v/>
      </c>
      <c r="F55" s="473" t="str">
        <f t="shared" ca="1" si="48"/>
        <v/>
      </c>
      <c r="G55" s="522"/>
      <c r="H55" s="155"/>
      <c r="I55" s="443" t="str" cm="1">
        <f t="array" ref="I55">IFERROR(INDEX('Project Mull Review'!AF:AF, SMALL(IF('Project Mull Review'!AF$35:AF$682&lt;&gt;"",ROW('Project Mull Review'!AF$35:AF$682),""),ROWS('Project Mull Review'!AF$35:AF79))),"")</f>
        <v/>
      </c>
      <c r="J55" s="389" t="str" cm="1">
        <f t="array" ref="J55">IFERROR(INDEX('Project Mull Review'!AI:AI, SMALL(IF('Project Mull Review'!AI$35:AI$682&lt;&gt;"",ROW('Project Mull Review'!AI$35:AI$682),""),ROWS('Project Mull Review'!AI$35:AI79))),"")</f>
        <v/>
      </c>
      <c r="K55" s="442" t="str" cm="1">
        <f t="array" ref="K55">IFERROR(ROUND(INDEX('Project Mull Review'!AT:AT, SMALL(IF('Project Mull Review'!AI$35:AI$682&lt;&gt;"",ROW('Project Mull Review'!AI$35:AI$682),""),ROWS('Project Mull Review'!AI$35:AI79))),0),"")</f>
        <v/>
      </c>
      <c r="M55" s="140">
        <f>ROW()</f>
        <v>55</v>
      </c>
      <c r="N55" t="str">
        <f t="shared" si="11"/>
        <v/>
      </c>
      <c r="O55" t="str">
        <f t="shared" si="12"/>
        <v/>
      </c>
      <c r="P55" s="144">
        <f t="shared" ca="1" si="49"/>
        <v>0</v>
      </c>
      <c r="Q55" t="str">
        <f t="shared" ca="1" si="54"/>
        <v/>
      </c>
      <c r="R55" t="str">
        <f t="shared" ca="1" si="55"/>
        <v/>
      </c>
      <c r="S55" t="str">
        <f ca="1"/>
        <v/>
      </c>
      <c r="T55" s="144" t="str">
        <f ca="1"/>
        <v/>
      </c>
      <c r="U55" s="375" t="str">
        <f ca="1">IFERROR(MID(T11,1,LEN(T11)-2),"")</f>
        <v/>
      </c>
      <c r="V55" s="375" t="str">
        <f ca="1">RIGHT(T11,2)</f>
        <v/>
      </c>
      <c r="W55" s="375"/>
      <c r="X55" s="375"/>
      <c r="Y55" s="375"/>
      <c r="Z55" s="375"/>
      <c r="AA55" s="375"/>
      <c r="AB55" s="375"/>
      <c r="AC55" s="375" t="str">
        <f t="shared" ref="AC55:AC99" ca="1" si="65">IFERROR(_xlfn.CONCAT(INDIRECT(_xlfn.CONCAT(AU$12,$V55)),V55),"")</f>
        <v/>
      </c>
      <c r="AD55" s="375" t="str" cm="1">
        <f t="array" aca="1" ref="AD55" ca="1">IFERROR(INDIRECT(_xlfn.CONCAT(AU$14,$V55)),"")</f>
        <v/>
      </c>
      <c r="AE55" s="376" t="str" cm="1">
        <f t="array" aca="1" ref="AE55" ca="1">IFERROR(INDIRECT(_xlfn.CONCAT(AU$16,$V55)),"")</f>
        <v/>
      </c>
      <c r="AF55" t="str">
        <f t="shared" ca="1" si="19"/>
        <v/>
      </c>
      <c r="AG55" s="525" t="str">
        <f ca="1"/>
        <v/>
      </c>
      <c r="AH55" s="467" t="str">
        <f t="shared" ca="1" si="34"/>
        <v/>
      </c>
      <c r="AI55" s="533" t="str">
        <f t="shared" ca="1" si="37"/>
        <v/>
      </c>
      <c r="AJ55" s="533" t="str">
        <f t="shared" ca="1" si="50"/>
        <v/>
      </c>
      <c r="AK55" t="str">
        <f t="shared" ca="1" si="35"/>
        <v/>
      </c>
      <c r="AL55" s="140" t="str">
        <f t="shared" ca="1" si="51"/>
        <v/>
      </c>
      <c r="AM55" t="str">
        <f t="shared" ca="1" si="21"/>
        <v/>
      </c>
      <c r="AN55" s="144" t="str">
        <f t="shared" ca="1" si="22"/>
        <v/>
      </c>
      <c r="AR55" s="483">
        <f t="shared" si="43"/>
        <v>431</v>
      </c>
      <c r="AS55" s="157" t="str">
        <f t="shared" si="41"/>
        <v>B431</v>
      </c>
      <c r="AT55" s="479" t="str">
        <f t="shared" si="42"/>
        <v>B437</v>
      </c>
      <c r="AU55" s="477"/>
      <c r="AW55" s="140" t="str">
        <f t="shared" ref="AW55:AW101" si="66">_xlfn.CONCAT(N$9,ROW())</f>
        <v>N55</v>
      </c>
      <c r="AX55" t="str">
        <f t="shared" ref="AX55:AX99" si="67">CONCATENATE(AW$9,":",AW54)</f>
        <v>$N$11:N54</v>
      </c>
      <c r="AY55" s="144" t="str">
        <f t="shared" ref="AY55:AY99" si="68">CONCATENATE(AW56,":",AX$9)</f>
        <v>N56:$N$99</v>
      </c>
      <c r="BA55" s="139" t="str" cm="1">
        <f t="array" aca="1" ref="BA55" ca="1">IFERROR(CELL("address",INDEX('Project Mull Review'!AF:AF, SMALL(IF('Project Mull Review'!AF$35:AF$682&lt;&gt;"",ROW('Project Mull Review'!AF$35:AF$682),""),ROWS('Project Mull Review'!AF$35:AF79)))),"")</f>
        <v/>
      </c>
      <c r="BB55" s="155" t="str">
        <f t="shared" ca="1" si="24"/>
        <v/>
      </c>
      <c r="BC55" s="155" t="str">
        <f t="shared" ca="1" si="25"/>
        <v/>
      </c>
      <c r="BD55" s="155" t="str" cm="1">
        <f t="array" aca="1" ref="BD55" ca="1">IFERROR(INDEX(MainCell,BE55,2),"")</f>
        <v/>
      </c>
      <c r="BE55" s="155" t="str">
        <f t="shared" ca="1" si="26"/>
        <v/>
      </c>
      <c r="BF55" s="64" t="str">
        <f t="shared" ca="1" si="27"/>
        <v/>
      </c>
      <c r="BG55" s="64" t="str">
        <f t="shared" ca="1" si="44"/>
        <v/>
      </c>
      <c r="BH55" s="64" t="str" cm="1">
        <f t="array" aca="1" ref="BH55" ca="1">IFERROR(CONCATENATE(INDIRECT(BF55)," ", INDIRECT(BG55)),"")</f>
        <v/>
      </c>
      <c r="BI55" s="64" t="str">
        <f t="shared" ca="1" si="29"/>
        <v/>
      </c>
      <c r="BJ55" s="155">
        <f t="shared" ca="1" si="52"/>
        <v>0</v>
      </c>
      <c r="BK55" s="155">
        <f t="shared" ca="1" si="53"/>
        <v>0</v>
      </c>
      <c r="BL55" s="155">
        <f t="shared" ca="1" si="64"/>
        <v>0</v>
      </c>
      <c r="BM55" s="155">
        <f t="shared" ca="1" si="64"/>
        <v>0</v>
      </c>
      <c r="BN55" s="155">
        <f t="shared" ca="1" si="64"/>
        <v>0</v>
      </c>
      <c r="BO55" s="155">
        <f t="shared" ca="1" si="64"/>
        <v>0</v>
      </c>
      <c r="BP55" s="155">
        <f t="shared" ca="1" si="64"/>
        <v>0</v>
      </c>
      <c r="BQ55" s="155">
        <f t="shared" ca="1" si="64"/>
        <v>0</v>
      </c>
      <c r="BR55" s="155">
        <f t="shared" ca="1" si="64"/>
        <v>0</v>
      </c>
      <c r="BS55" s="479">
        <f t="shared" ca="1" si="64"/>
        <v>0</v>
      </c>
      <c r="BV55" s="505" t="str" cm="1">
        <f t="array" aca="1" ref="BV55" ca="1">IF(BJ56=0,"",CONCATENATE(INDEX(FinalSort,BJ56,4),": ",INDEX(FinalSort,BJ56,8)))</f>
        <v/>
      </c>
      <c r="BW55" s="506" t="str" cm="1">
        <f t="array" aca="1" ref="BW55" ca="1">IF(BK56=0,"",CONCATENATE(INDEX(FinalSort,BK56,4),": ",INDEX(FinalSort,BK56,8)))</f>
        <v/>
      </c>
      <c r="BX55" s="506" t="str" cm="1">
        <f t="array" aca="1" ref="BX55" ca="1">IF(BL56=0,"",CONCATENATE(INDEX(FinalSort,BL56,4),": ",INDEX(FinalSort,BL56,8)))</f>
        <v/>
      </c>
      <c r="BY55" s="506" t="str" cm="1">
        <f t="array" aca="1" ref="BY55" ca="1">IF(BM56=0,"",CONCATENATE(INDEX(FinalSort,BM56,4),": ",INDEX(FinalSort,BM56,8)))</f>
        <v/>
      </c>
      <c r="BZ55" s="506" t="str" cm="1">
        <f t="array" aca="1" ref="BZ55" ca="1">IF(BN56=0,"",CONCATENATE(INDEX(FinalSort,BN56,4),": ",INDEX(FinalSort,BN56,8)))</f>
        <v/>
      </c>
      <c r="CA55" s="506" t="str" cm="1">
        <f t="array" aca="1" ref="CA55" ca="1">IF(BO56=0,"",CONCATENATE(INDEX(FinalSort,BO56,4),": ",INDEX(FinalSort,BO56,8)))</f>
        <v/>
      </c>
      <c r="CB55" s="506" t="str" cm="1">
        <f t="array" aca="1" ref="CB55" ca="1">IF(BP56=0,"",CONCATENATE(INDEX(FinalSort,BP56,4),": ",INDEX(FinalSort,BP56,8)))</f>
        <v/>
      </c>
      <c r="CC55" s="506" t="str" cm="1">
        <f t="array" aca="1" ref="CC55" ca="1">IF(BQ56=0,"",CONCATENATE(INDEX(FinalSort,BQ56,4),": ",INDEX(FinalSort,BQ56,8)))</f>
        <v/>
      </c>
      <c r="CD55" s="506" t="str" cm="1">
        <f t="array" aca="1" ref="CD55" ca="1">IF(BR56=0,"",CONCATENATE(INDEX(FinalSort,BR56,4),": ",INDEX(FinalSort,BR56,8)))</f>
        <v/>
      </c>
      <c r="CE55" s="507" t="str" cm="1">
        <f t="array" aca="1" ref="CE55" ca="1">IF(BS56=0,"",CONCATENATE(INDEX(FinalSort,BS56,4),": ",INDEX(FinalSort,BS56,8)))</f>
        <v/>
      </c>
    </row>
    <row r="56" spans="1:83" x14ac:dyDescent="0.25">
      <c r="A56" s="4">
        <v>47</v>
      </c>
      <c r="B56" s="326" t="str">
        <f t="shared" ca="1" si="47"/>
        <v/>
      </c>
      <c r="C56" s="462" t="str">
        <f t="shared" ca="1" si="4"/>
        <v/>
      </c>
      <c r="D56" s="463" t="str">
        <f t="shared" ca="1" si="5"/>
        <v/>
      </c>
      <c r="E56" s="471" t="str">
        <f t="shared" ca="1" si="6"/>
        <v/>
      </c>
      <c r="F56" s="473" t="str">
        <f t="shared" ca="1" si="48"/>
        <v/>
      </c>
      <c r="G56" s="522"/>
      <c r="H56" s="155"/>
      <c r="I56" s="443" t="str" cm="1">
        <f t="array" ref="I56">IFERROR(INDEX('Project Mull Review'!AF:AF, SMALL(IF('Project Mull Review'!AF$35:AF$682&lt;&gt;"",ROW('Project Mull Review'!AF$35:AF$682),""),ROWS('Project Mull Review'!AF$35:AF80))),"")</f>
        <v/>
      </c>
      <c r="J56" s="389" t="str" cm="1">
        <f t="array" ref="J56">IFERROR(INDEX('Project Mull Review'!AI:AI, SMALL(IF('Project Mull Review'!AI$35:AI$682&lt;&gt;"",ROW('Project Mull Review'!AI$35:AI$682),""),ROWS('Project Mull Review'!AI$35:AI80))),"")</f>
        <v/>
      </c>
      <c r="K56" s="442" t="str" cm="1">
        <f t="array" ref="K56">IFERROR(ROUND(INDEX('Project Mull Review'!AT:AT, SMALL(IF('Project Mull Review'!AI$35:AI$682&lt;&gt;"",ROW('Project Mull Review'!AI$35:AI$682),""),ROWS('Project Mull Review'!AI$35:AI80))),0),"")</f>
        <v/>
      </c>
      <c r="M56" s="140">
        <f>ROW()</f>
        <v>56</v>
      </c>
      <c r="N56" t="str">
        <f t="shared" si="11"/>
        <v/>
      </c>
      <c r="O56" t="str">
        <f t="shared" si="12"/>
        <v/>
      </c>
      <c r="P56" s="144">
        <f t="shared" ca="1" si="49"/>
        <v>0</v>
      </c>
      <c r="Q56" t="str">
        <f t="shared" ca="1" si="54"/>
        <v/>
      </c>
      <c r="R56" t="str">
        <f t="shared" ca="1" si="55"/>
        <v/>
      </c>
      <c r="S56" t="str">
        <f ca="1"/>
        <v/>
      </c>
      <c r="T56" s="144" t="str">
        <f ca="1"/>
        <v/>
      </c>
      <c r="U56" t="str">
        <f ca="1">IFERROR(MID(T12,1,LEN(T12)-2),"")</f>
        <v/>
      </c>
      <c r="V56" t="str">
        <f t="shared" ref="V56:V99" ca="1" si="69">RIGHT(T12,2)</f>
        <v/>
      </c>
      <c r="AC56" t="str">
        <f t="shared" ca="1" si="65"/>
        <v/>
      </c>
      <c r="AD56" t="str" cm="1">
        <f t="array" aca="1" ref="AD56" ca="1">IFERROR(INDIRECT(_xlfn.CONCAT(AU$14,$V56)),"")</f>
        <v/>
      </c>
      <c r="AE56" s="144" t="str" cm="1">
        <f t="array" aca="1" ref="AE56" ca="1">IFERROR(INDIRECT(_xlfn.CONCAT(AU$16,$V56)),"")</f>
        <v/>
      </c>
      <c r="AF56" t="str">
        <f t="shared" ca="1" si="19"/>
        <v/>
      </c>
      <c r="AG56" s="525" t="str">
        <f ca="1"/>
        <v/>
      </c>
      <c r="AH56" s="467" t="str">
        <f t="shared" ca="1" si="34"/>
        <v/>
      </c>
      <c r="AI56" s="533" t="str">
        <f t="shared" ca="1" si="37"/>
        <v/>
      </c>
      <c r="AJ56" s="533" t="str">
        <f t="shared" ca="1" si="50"/>
        <v/>
      </c>
      <c r="AK56" t="str">
        <f t="shared" ca="1" si="35"/>
        <v/>
      </c>
      <c r="AL56" s="140" t="str">
        <f t="shared" ca="1" si="51"/>
        <v/>
      </c>
      <c r="AM56" t="str">
        <f t="shared" ca="1" si="21"/>
        <v/>
      </c>
      <c r="AN56" s="144" t="str">
        <f t="shared" ca="1" si="22"/>
        <v/>
      </c>
      <c r="AR56" s="483">
        <f t="shared" si="43"/>
        <v>443</v>
      </c>
      <c r="AS56" s="157" t="str">
        <f t="shared" si="41"/>
        <v>B443</v>
      </c>
      <c r="AT56" s="479" t="str">
        <f t="shared" si="42"/>
        <v>B449</v>
      </c>
      <c r="AU56" s="477"/>
      <c r="AW56" s="140" t="str">
        <f t="shared" si="66"/>
        <v>N56</v>
      </c>
      <c r="AX56" t="str">
        <f t="shared" si="67"/>
        <v>$N$11:N55</v>
      </c>
      <c r="AY56" s="144" t="str">
        <f t="shared" si="68"/>
        <v>N57:$N$99</v>
      </c>
      <c r="BA56" s="139" t="str" cm="1">
        <f t="array" aca="1" ref="BA56" ca="1">IFERROR(CELL("address",INDEX('Project Mull Review'!AF:AF, SMALL(IF('Project Mull Review'!AF$35:AF$682&lt;&gt;"",ROW('Project Mull Review'!AF$35:AF$682),""),ROWS('Project Mull Review'!AF$35:AF80)))),"")</f>
        <v/>
      </c>
      <c r="BB56" s="155" t="str">
        <f t="shared" ca="1" si="24"/>
        <v/>
      </c>
      <c r="BC56" s="155" t="str">
        <f t="shared" ca="1" si="25"/>
        <v/>
      </c>
      <c r="BD56" s="155" t="str" cm="1">
        <f t="array" aca="1" ref="BD56" ca="1">IFERROR(INDEX(MainCell,BE56,2),"")</f>
        <v/>
      </c>
      <c r="BE56" s="155" t="str">
        <f t="shared" ca="1" si="26"/>
        <v/>
      </c>
      <c r="BF56" s="64" t="str">
        <f t="shared" ca="1" si="27"/>
        <v/>
      </c>
      <c r="BG56" s="64" t="str">
        <f t="shared" ca="1" si="44"/>
        <v/>
      </c>
      <c r="BH56" s="64" t="str" cm="1">
        <f t="array" aca="1" ref="BH56" ca="1">IFERROR(CONCATENATE(INDIRECT(BF56)," ", INDIRECT(BG56)),"")</f>
        <v/>
      </c>
      <c r="BI56" s="64" t="str">
        <f t="shared" ca="1" si="29"/>
        <v/>
      </c>
      <c r="BJ56" s="155">
        <f t="shared" ca="1" si="52"/>
        <v>0</v>
      </c>
      <c r="BK56" s="155">
        <f t="shared" ca="1" si="53"/>
        <v>0</v>
      </c>
      <c r="BL56" s="155">
        <f t="shared" ca="1" si="64"/>
        <v>0</v>
      </c>
      <c r="BM56" s="155">
        <f t="shared" ca="1" si="64"/>
        <v>0</v>
      </c>
      <c r="BN56" s="155">
        <f t="shared" ca="1" si="64"/>
        <v>0</v>
      </c>
      <c r="BO56" s="155">
        <f t="shared" ca="1" si="64"/>
        <v>0</v>
      </c>
      <c r="BP56" s="155">
        <f t="shared" ca="1" si="64"/>
        <v>0</v>
      </c>
      <c r="BQ56" s="155">
        <f t="shared" ca="1" si="64"/>
        <v>0</v>
      </c>
      <c r="BR56" s="155">
        <f t="shared" ca="1" si="64"/>
        <v>0</v>
      </c>
      <c r="BS56" s="479">
        <f t="shared" ca="1" si="64"/>
        <v>0</v>
      </c>
      <c r="BV56" s="505" t="str" cm="1">
        <f t="array" aca="1" ref="BV56" ca="1">IF(BJ57=0,"",CONCATENATE(INDEX(FinalSort,BJ57,4),": ",INDEX(FinalSort,BJ57,8)))</f>
        <v/>
      </c>
      <c r="BW56" s="506" t="str" cm="1">
        <f t="array" aca="1" ref="BW56" ca="1">IF(BK57=0,"",CONCATENATE(INDEX(FinalSort,BK57,4),": ",INDEX(FinalSort,BK57,8)))</f>
        <v/>
      </c>
      <c r="BX56" s="506" t="str" cm="1">
        <f t="array" aca="1" ref="BX56" ca="1">IF(BL57=0,"",CONCATENATE(INDEX(FinalSort,BL57,4),": ",INDEX(FinalSort,BL57,8)))</f>
        <v/>
      </c>
      <c r="BY56" s="506" t="str" cm="1">
        <f t="array" aca="1" ref="BY56" ca="1">IF(BM57=0,"",CONCATENATE(INDEX(FinalSort,BM57,4),": ",INDEX(FinalSort,BM57,8)))</f>
        <v/>
      </c>
      <c r="BZ56" s="506" t="str" cm="1">
        <f t="array" aca="1" ref="BZ56" ca="1">IF(BN57=0,"",CONCATENATE(INDEX(FinalSort,BN57,4),": ",INDEX(FinalSort,BN57,8)))</f>
        <v/>
      </c>
      <c r="CA56" s="506" t="str" cm="1">
        <f t="array" aca="1" ref="CA56" ca="1">IF(BO57=0,"",CONCATENATE(INDEX(FinalSort,BO57,4),": ",INDEX(FinalSort,BO57,8)))</f>
        <v/>
      </c>
      <c r="CB56" s="506" t="str" cm="1">
        <f t="array" aca="1" ref="CB56" ca="1">IF(BP57=0,"",CONCATENATE(INDEX(FinalSort,BP57,4),": ",INDEX(FinalSort,BP57,8)))</f>
        <v/>
      </c>
      <c r="CC56" s="506" t="str" cm="1">
        <f t="array" aca="1" ref="CC56" ca="1">IF(BQ57=0,"",CONCATENATE(INDEX(FinalSort,BQ57,4),": ",INDEX(FinalSort,BQ57,8)))</f>
        <v/>
      </c>
      <c r="CD56" s="506" t="str" cm="1">
        <f t="array" aca="1" ref="CD56" ca="1">IF(BR57=0,"",CONCATENATE(INDEX(FinalSort,BR57,4),": ",INDEX(FinalSort,BR57,8)))</f>
        <v/>
      </c>
      <c r="CE56" s="507" t="str" cm="1">
        <f t="array" aca="1" ref="CE56" ca="1">IF(BS57=0,"",CONCATENATE(INDEX(FinalSort,BS57,4),": ",INDEX(FinalSort,BS57,8)))</f>
        <v/>
      </c>
    </row>
    <row r="57" spans="1:83" x14ac:dyDescent="0.25">
      <c r="A57" s="4">
        <v>48</v>
      </c>
      <c r="B57" s="326" t="str">
        <f t="shared" ca="1" si="47"/>
        <v/>
      </c>
      <c r="C57" s="462" t="str">
        <f t="shared" ca="1" si="4"/>
        <v/>
      </c>
      <c r="D57" s="463" t="str">
        <f t="shared" ca="1" si="5"/>
        <v/>
      </c>
      <c r="E57" s="471" t="str">
        <f t="shared" ca="1" si="6"/>
        <v/>
      </c>
      <c r="F57" s="473" t="str">
        <f t="shared" ca="1" si="48"/>
        <v/>
      </c>
      <c r="G57" s="522"/>
      <c r="H57" s="155"/>
      <c r="I57" s="443" t="str" cm="1">
        <f t="array" ref="I57">IFERROR(INDEX('Project Mull Review'!AF:AF, SMALL(IF('Project Mull Review'!AF$35:AF$682&lt;&gt;"",ROW('Project Mull Review'!AF$35:AF$682),""),ROWS('Project Mull Review'!AF$35:AF81))),"")</f>
        <v/>
      </c>
      <c r="J57" s="389" t="str" cm="1">
        <f t="array" ref="J57">IFERROR(INDEX('Project Mull Review'!AI:AI, SMALL(IF('Project Mull Review'!AI$35:AI$682&lt;&gt;"",ROW('Project Mull Review'!AI$35:AI$682),""),ROWS('Project Mull Review'!AI$35:AI81))),"")</f>
        <v/>
      </c>
      <c r="K57" s="442" t="str" cm="1">
        <f t="array" ref="K57">IFERROR(ROUND(INDEX('Project Mull Review'!AT:AT, SMALL(IF('Project Mull Review'!AI$35:AI$682&lt;&gt;"",ROW('Project Mull Review'!AI$35:AI$682),""),ROWS('Project Mull Review'!AI$35:AI81))),0),"")</f>
        <v/>
      </c>
      <c r="M57" s="140">
        <f>ROW()</f>
        <v>57</v>
      </c>
      <c r="N57" t="str">
        <f t="shared" si="11"/>
        <v/>
      </c>
      <c r="O57" t="str">
        <f t="shared" si="12"/>
        <v/>
      </c>
      <c r="P57" s="144">
        <f t="shared" ca="1" si="49"/>
        <v>0</v>
      </c>
      <c r="Q57" t="str">
        <f t="shared" ca="1" si="54"/>
        <v/>
      </c>
      <c r="R57" t="str">
        <f t="shared" ca="1" si="55"/>
        <v/>
      </c>
      <c r="S57" t="str">
        <f ca="1"/>
        <v/>
      </c>
      <c r="T57" s="144" t="str">
        <f ca="1"/>
        <v/>
      </c>
      <c r="U57" t="str">
        <f t="shared" ref="U57:U99" ca="1" si="70">IFERROR(MID(T13,1,LEN(T13)-2),"")</f>
        <v/>
      </c>
      <c r="V57" t="str">
        <f t="shared" ca="1" si="69"/>
        <v/>
      </c>
      <c r="AC57" t="str">
        <f t="shared" ca="1" si="65"/>
        <v/>
      </c>
      <c r="AD57" t="str" cm="1">
        <f t="array" aca="1" ref="AD57" ca="1">IFERROR(INDIRECT(_xlfn.CONCAT(AU$14,$V57)),"")</f>
        <v/>
      </c>
      <c r="AE57" s="144" t="str" cm="1">
        <f t="array" aca="1" ref="AE57" ca="1">IFERROR(INDIRECT(_xlfn.CONCAT(AU$16,$V57)),"")</f>
        <v/>
      </c>
      <c r="AF57" t="str">
        <f t="shared" ca="1" si="19"/>
        <v/>
      </c>
      <c r="AG57" s="525" t="str">
        <f ca="1"/>
        <v/>
      </c>
      <c r="AH57" s="467" t="str">
        <f t="shared" ca="1" si="34"/>
        <v/>
      </c>
      <c r="AI57" s="533" t="str">
        <f t="shared" ca="1" si="37"/>
        <v/>
      </c>
      <c r="AJ57" s="533" t="str">
        <f t="shared" ca="1" si="50"/>
        <v/>
      </c>
      <c r="AK57" t="str">
        <f t="shared" ca="1" si="35"/>
        <v/>
      </c>
      <c r="AL57" s="140" t="str">
        <f t="shared" ca="1" si="51"/>
        <v/>
      </c>
      <c r="AM57" t="str">
        <f t="shared" ca="1" si="21"/>
        <v/>
      </c>
      <c r="AN57" s="144" t="str">
        <f t="shared" ca="1" si="22"/>
        <v/>
      </c>
      <c r="AR57" s="483">
        <f t="shared" si="43"/>
        <v>455</v>
      </c>
      <c r="AS57" s="157" t="str">
        <f t="shared" si="41"/>
        <v>B455</v>
      </c>
      <c r="AT57" s="479" t="str">
        <f t="shared" si="42"/>
        <v>B461</v>
      </c>
      <c r="AU57" s="477"/>
      <c r="AW57" s="140" t="str">
        <f t="shared" si="66"/>
        <v>N57</v>
      </c>
      <c r="AX57" t="str">
        <f t="shared" si="67"/>
        <v>$N$11:N56</v>
      </c>
      <c r="AY57" s="144" t="str">
        <f t="shared" si="68"/>
        <v>N58:$N$99</v>
      </c>
      <c r="BA57" s="139" t="str" cm="1">
        <f t="array" aca="1" ref="BA57" ca="1">IFERROR(CELL("address",INDEX('Project Mull Review'!AF:AF, SMALL(IF('Project Mull Review'!AF$35:AF$682&lt;&gt;"",ROW('Project Mull Review'!AF$35:AF$682),""),ROWS('Project Mull Review'!AF$35:AF81)))),"")</f>
        <v/>
      </c>
      <c r="BB57" s="155" t="str">
        <f t="shared" ca="1" si="24"/>
        <v/>
      </c>
      <c r="BC57" s="155" t="str">
        <f t="shared" ca="1" si="25"/>
        <v/>
      </c>
      <c r="BD57" s="155" t="str" cm="1">
        <f t="array" aca="1" ref="BD57" ca="1">IFERROR(INDEX(MainCell,BE57,2),"")</f>
        <v/>
      </c>
      <c r="BE57" s="155" t="str">
        <f t="shared" ca="1" si="26"/>
        <v/>
      </c>
      <c r="BF57" s="64" t="str">
        <f t="shared" ca="1" si="27"/>
        <v/>
      </c>
      <c r="BG57" s="64" t="str">
        <f t="shared" ca="1" si="44"/>
        <v/>
      </c>
      <c r="BH57" s="64" t="str" cm="1">
        <f t="array" aca="1" ref="BH57" ca="1">IFERROR(CONCATENATE(INDIRECT(BF57)," ", INDIRECT(BG57)),"")</f>
        <v/>
      </c>
      <c r="BI57" s="64" t="str">
        <f t="shared" ca="1" si="29"/>
        <v/>
      </c>
      <c r="BJ57" s="155">
        <f t="shared" ca="1" si="52"/>
        <v>0</v>
      </c>
      <c r="BK57" s="155">
        <f t="shared" ca="1" si="53"/>
        <v>0</v>
      </c>
      <c r="BL57" s="155">
        <f t="shared" ca="1" si="64"/>
        <v>0</v>
      </c>
      <c r="BM57" s="155">
        <f t="shared" ca="1" si="64"/>
        <v>0</v>
      </c>
      <c r="BN57" s="155">
        <f t="shared" ca="1" si="64"/>
        <v>0</v>
      </c>
      <c r="BO57" s="155">
        <f t="shared" ca="1" si="64"/>
        <v>0</v>
      </c>
      <c r="BP57" s="155">
        <f t="shared" ca="1" si="64"/>
        <v>0</v>
      </c>
      <c r="BQ57" s="155">
        <f t="shared" ca="1" si="64"/>
        <v>0</v>
      </c>
      <c r="BR57" s="155">
        <f t="shared" ca="1" si="64"/>
        <v>0</v>
      </c>
      <c r="BS57" s="479">
        <f t="shared" ca="1" si="64"/>
        <v>0</v>
      </c>
      <c r="BV57" s="505" t="str" cm="1">
        <f t="array" aca="1" ref="BV57" ca="1">IF(BJ58=0,"",CONCATENATE(INDEX(FinalSort,BJ58,4),": ",INDEX(FinalSort,BJ58,8)))</f>
        <v/>
      </c>
      <c r="BW57" s="506" t="str" cm="1">
        <f t="array" aca="1" ref="BW57" ca="1">IF(BK58=0,"",CONCATENATE(INDEX(FinalSort,BK58,4),": ",INDEX(FinalSort,BK58,8)))</f>
        <v/>
      </c>
      <c r="BX57" s="506" t="str" cm="1">
        <f t="array" aca="1" ref="BX57" ca="1">IF(BL58=0,"",CONCATENATE(INDEX(FinalSort,BL58,4),": ",INDEX(FinalSort,BL58,8)))</f>
        <v/>
      </c>
      <c r="BY57" s="506" t="str" cm="1">
        <f t="array" aca="1" ref="BY57" ca="1">IF(BM58=0,"",CONCATENATE(INDEX(FinalSort,BM58,4),": ",INDEX(FinalSort,BM58,8)))</f>
        <v/>
      </c>
      <c r="BZ57" s="506" t="str" cm="1">
        <f t="array" aca="1" ref="BZ57" ca="1">IF(BN58=0,"",CONCATENATE(INDEX(FinalSort,BN58,4),": ",INDEX(FinalSort,BN58,8)))</f>
        <v/>
      </c>
      <c r="CA57" s="506" t="str" cm="1">
        <f t="array" aca="1" ref="CA57" ca="1">IF(BO58=0,"",CONCATENATE(INDEX(FinalSort,BO58,4),": ",INDEX(FinalSort,BO58,8)))</f>
        <v/>
      </c>
      <c r="CB57" s="506" t="str" cm="1">
        <f t="array" aca="1" ref="CB57" ca="1">IF(BP58=0,"",CONCATENATE(INDEX(FinalSort,BP58,4),": ",INDEX(FinalSort,BP58,8)))</f>
        <v/>
      </c>
      <c r="CC57" s="506" t="str" cm="1">
        <f t="array" aca="1" ref="CC57" ca="1">IF(BQ58=0,"",CONCATENATE(INDEX(FinalSort,BQ58,4),": ",INDEX(FinalSort,BQ58,8)))</f>
        <v/>
      </c>
      <c r="CD57" s="506" t="str" cm="1">
        <f t="array" aca="1" ref="CD57" ca="1">IF(BR58=0,"",CONCATENATE(INDEX(FinalSort,BR58,4),": ",INDEX(FinalSort,BR58,8)))</f>
        <v/>
      </c>
      <c r="CE57" s="507" t="str" cm="1">
        <f t="array" aca="1" ref="CE57" ca="1">IF(BS58=0,"",CONCATENATE(INDEX(FinalSort,BS58,4),": ",INDEX(FinalSort,BS58,8)))</f>
        <v/>
      </c>
    </row>
    <row r="58" spans="1:83" x14ac:dyDescent="0.25">
      <c r="A58" s="4">
        <v>49</v>
      </c>
      <c r="B58" s="326" t="str">
        <f t="shared" ca="1" si="47"/>
        <v/>
      </c>
      <c r="C58" s="462" t="str">
        <f t="shared" ca="1" si="4"/>
        <v/>
      </c>
      <c r="D58" s="463" t="str">
        <f t="shared" ca="1" si="5"/>
        <v/>
      </c>
      <c r="E58" s="471" t="str">
        <f t="shared" ca="1" si="6"/>
        <v/>
      </c>
      <c r="F58" s="473" t="str">
        <f t="shared" ca="1" si="48"/>
        <v/>
      </c>
      <c r="G58" s="522"/>
      <c r="H58" s="155"/>
      <c r="I58" s="443" t="str" cm="1">
        <f t="array" ref="I58">IFERROR(INDEX('Project Mull Review'!AF:AF, SMALL(IF('Project Mull Review'!AF$35:AF$682&lt;&gt;"",ROW('Project Mull Review'!AF$35:AF$682),""),ROWS('Project Mull Review'!AF$35:AF82))),"")</f>
        <v/>
      </c>
      <c r="J58" s="389" t="str" cm="1">
        <f t="array" ref="J58">IFERROR(INDEX('Project Mull Review'!AI:AI, SMALL(IF('Project Mull Review'!AI$35:AI$682&lt;&gt;"",ROW('Project Mull Review'!AI$35:AI$682),""),ROWS('Project Mull Review'!AI$35:AI82))),"")</f>
        <v/>
      </c>
      <c r="K58" s="442" t="str" cm="1">
        <f t="array" ref="K58">IFERROR(ROUND(INDEX('Project Mull Review'!AT:AT, SMALL(IF('Project Mull Review'!AI$35:AI$682&lt;&gt;"",ROW('Project Mull Review'!AI$35:AI$682),""),ROWS('Project Mull Review'!AI$35:AI82))),0),"")</f>
        <v/>
      </c>
      <c r="M58" s="140">
        <f>ROW()</f>
        <v>58</v>
      </c>
      <c r="N58" t="str">
        <f t="shared" si="11"/>
        <v/>
      </c>
      <c r="O58" t="str">
        <f t="shared" si="12"/>
        <v/>
      </c>
      <c r="P58" s="144">
        <f t="shared" ca="1" si="49"/>
        <v>0</v>
      </c>
      <c r="Q58" t="str">
        <f t="shared" ca="1" si="54"/>
        <v/>
      </c>
      <c r="R58" t="str">
        <f t="shared" ca="1" si="55"/>
        <v/>
      </c>
      <c r="S58" t="str">
        <f ca="1"/>
        <v/>
      </c>
      <c r="T58" s="144" t="str">
        <f ca="1"/>
        <v/>
      </c>
      <c r="U58" t="str">
        <f t="shared" ca="1" si="70"/>
        <v/>
      </c>
      <c r="V58" t="str">
        <f t="shared" ca="1" si="69"/>
        <v/>
      </c>
      <c r="AC58" t="str">
        <f t="shared" ca="1" si="65"/>
        <v/>
      </c>
      <c r="AD58" t="str" cm="1">
        <f t="array" aca="1" ref="AD58" ca="1">IFERROR(INDIRECT(_xlfn.CONCAT(AU$14,$V58)),"")</f>
        <v/>
      </c>
      <c r="AE58" s="144" t="str" cm="1">
        <f t="array" aca="1" ref="AE58" ca="1">IFERROR(INDIRECT(_xlfn.CONCAT(AU$16,$V58)),"")</f>
        <v/>
      </c>
      <c r="AF58" t="str">
        <f t="shared" ca="1" si="19"/>
        <v/>
      </c>
      <c r="AG58" s="525" t="str">
        <f ca="1"/>
        <v/>
      </c>
      <c r="AH58" s="467" t="str">
        <f t="shared" ca="1" si="34"/>
        <v/>
      </c>
      <c r="AI58" s="533" t="str">
        <f t="shared" ca="1" si="37"/>
        <v/>
      </c>
      <c r="AJ58" s="533" t="str">
        <f t="shared" ca="1" si="50"/>
        <v/>
      </c>
      <c r="AK58" t="str">
        <f t="shared" ca="1" si="35"/>
        <v/>
      </c>
      <c r="AL58" s="140" t="str">
        <f t="shared" ca="1" si="51"/>
        <v/>
      </c>
      <c r="AM58" t="str">
        <f t="shared" ca="1" si="21"/>
        <v/>
      </c>
      <c r="AN58" s="144" t="str">
        <f t="shared" ca="1" si="22"/>
        <v/>
      </c>
      <c r="AR58" s="483">
        <f t="shared" si="43"/>
        <v>467</v>
      </c>
      <c r="AS58" s="157" t="str">
        <f t="shared" si="41"/>
        <v>B467</v>
      </c>
      <c r="AT58" s="479" t="str">
        <f t="shared" si="42"/>
        <v>B473</v>
      </c>
      <c r="AU58" s="477"/>
      <c r="AW58" s="140" t="str">
        <f t="shared" si="66"/>
        <v>N58</v>
      </c>
      <c r="AX58" t="str">
        <f t="shared" si="67"/>
        <v>$N$11:N57</v>
      </c>
      <c r="AY58" s="144" t="str">
        <f t="shared" si="68"/>
        <v>N59:$N$99</v>
      </c>
      <c r="BA58" s="139" t="str" cm="1">
        <f t="array" aca="1" ref="BA58" ca="1">IFERROR(CELL("address",INDEX('Project Mull Review'!AF:AF, SMALL(IF('Project Mull Review'!AF$35:AF$682&lt;&gt;"",ROW('Project Mull Review'!AF$35:AF$682),""),ROWS('Project Mull Review'!AF$35:AF82)))),"")</f>
        <v/>
      </c>
      <c r="BB58" s="155" t="str">
        <f t="shared" ca="1" si="24"/>
        <v/>
      </c>
      <c r="BC58" s="155" t="str">
        <f t="shared" ca="1" si="25"/>
        <v/>
      </c>
      <c r="BD58" s="155" t="str" cm="1">
        <f t="array" aca="1" ref="BD58" ca="1">IFERROR(INDEX(MainCell,BE58,2),"")</f>
        <v/>
      </c>
      <c r="BE58" s="155" t="str">
        <f t="shared" ca="1" si="26"/>
        <v/>
      </c>
      <c r="BF58" s="64" t="str">
        <f t="shared" ca="1" si="27"/>
        <v/>
      </c>
      <c r="BG58" s="64" t="str">
        <f t="shared" ca="1" si="44"/>
        <v/>
      </c>
      <c r="BH58" s="64" t="str" cm="1">
        <f t="array" aca="1" ref="BH58" ca="1">IFERROR(CONCATENATE(INDIRECT(BF58)," ", INDIRECT(BG58)),"")</f>
        <v/>
      </c>
      <c r="BI58" s="64" t="str">
        <f t="shared" ca="1" si="29"/>
        <v/>
      </c>
      <c r="BJ58" s="155">
        <f t="shared" ca="1" si="52"/>
        <v>0</v>
      </c>
      <c r="BK58" s="155">
        <f t="shared" ca="1" si="53"/>
        <v>0</v>
      </c>
      <c r="BL58" s="155">
        <f t="shared" ca="1" si="64"/>
        <v>0</v>
      </c>
      <c r="BM58" s="155">
        <f t="shared" ca="1" si="64"/>
        <v>0</v>
      </c>
      <c r="BN58" s="155">
        <f t="shared" ca="1" si="64"/>
        <v>0</v>
      </c>
      <c r="BO58" s="155">
        <f t="shared" ca="1" si="64"/>
        <v>0</v>
      </c>
      <c r="BP58" s="155">
        <f t="shared" ca="1" si="64"/>
        <v>0</v>
      </c>
      <c r="BQ58" s="155">
        <f t="shared" ca="1" si="64"/>
        <v>0</v>
      </c>
      <c r="BR58" s="155">
        <f t="shared" ca="1" si="64"/>
        <v>0</v>
      </c>
      <c r="BS58" s="479">
        <f t="shared" ca="1" si="64"/>
        <v>0</v>
      </c>
      <c r="BV58" s="505" t="str" cm="1">
        <f t="array" aca="1" ref="BV58" ca="1">IF(BJ59=0,"",CONCATENATE(INDEX(FinalSort,BJ59,4),": ",INDEX(FinalSort,BJ59,8)))</f>
        <v/>
      </c>
      <c r="BW58" s="506" t="str" cm="1">
        <f t="array" aca="1" ref="BW58" ca="1">IF(BK59=0,"",CONCATENATE(INDEX(FinalSort,BK59,4),": ",INDEX(FinalSort,BK59,8)))</f>
        <v/>
      </c>
      <c r="BX58" s="506" t="str" cm="1">
        <f t="array" aca="1" ref="BX58" ca="1">IF(BL59=0,"",CONCATENATE(INDEX(FinalSort,BL59,4),": ",INDEX(FinalSort,BL59,8)))</f>
        <v/>
      </c>
      <c r="BY58" s="506" t="str" cm="1">
        <f t="array" aca="1" ref="BY58" ca="1">IF(BM59=0,"",CONCATENATE(INDEX(FinalSort,BM59,4),": ",INDEX(FinalSort,BM59,8)))</f>
        <v/>
      </c>
      <c r="BZ58" s="506" t="str" cm="1">
        <f t="array" aca="1" ref="BZ58" ca="1">IF(BN59=0,"",CONCATENATE(INDEX(FinalSort,BN59,4),": ",INDEX(FinalSort,BN59,8)))</f>
        <v/>
      </c>
      <c r="CA58" s="506" t="str" cm="1">
        <f t="array" aca="1" ref="CA58" ca="1">IF(BO59=0,"",CONCATENATE(INDEX(FinalSort,BO59,4),": ",INDEX(FinalSort,BO59,8)))</f>
        <v/>
      </c>
      <c r="CB58" s="506" t="str" cm="1">
        <f t="array" aca="1" ref="CB58" ca="1">IF(BP59=0,"",CONCATENATE(INDEX(FinalSort,BP59,4),": ",INDEX(FinalSort,BP59,8)))</f>
        <v/>
      </c>
      <c r="CC58" s="506" t="str" cm="1">
        <f t="array" aca="1" ref="CC58" ca="1">IF(BQ59=0,"",CONCATENATE(INDEX(FinalSort,BQ59,4),": ",INDEX(FinalSort,BQ59,8)))</f>
        <v/>
      </c>
      <c r="CD58" s="506" t="str" cm="1">
        <f t="array" aca="1" ref="CD58" ca="1">IF(BR59=0,"",CONCATENATE(INDEX(FinalSort,BR59,4),": ",INDEX(FinalSort,BR59,8)))</f>
        <v/>
      </c>
      <c r="CE58" s="507" t="str" cm="1">
        <f t="array" aca="1" ref="CE58" ca="1">IF(BS59=0,"",CONCATENATE(INDEX(FinalSort,BS59,4),": ",INDEX(FinalSort,BS59,8)))</f>
        <v/>
      </c>
    </row>
    <row r="59" spans="1:83" x14ac:dyDescent="0.25">
      <c r="A59" s="4">
        <v>50</v>
      </c>
      <c r="B59" s="326" t="str">
        <f t="shared" ca="1" si="47"/>
        <v/>
      </c>
      <c r="C59" s="462" t="str">
        <f t="shared" ca="1" si="4"/>
        <v/>
      </c>
      <c r="D59" s="463" t="str">
        <f t="shared" ca="1" si="5"/>
        <v/>
      </c>
      <c r="E59" s="471" t="str">
        <f t="shared" ca="1" si="6"/>
        <v/>
      </c>
      <c r="F59" s="473" t="str">
        <f t="shared" ca="1" si="48"/>
        <v/>
      </c>
      <c r="G59" s="522"/>
      <c r="H59" s="155"/>
      <c r="I59" s="443" t="str" cm="1">
        <f t="array" ref="I59">IFERROR(INDEX('Project Mull Review'!AF:AF, SMALL(IF('Project Mull Review'!AF$35:AF$682&lt;&gt;"",ROW('Project Mull Review'!AF$35:AF$682),""),ROWS('Project Mull Review'!AF$35:AF83))),"")</f>
        <v/>
      </c>
      <c r="J59" s="389" t="str" cm="1">
        <f t="array" ref="J59">IFERROR(INDEX('Project Mull Review'!AI:AI, SMALL(IF('Project Mull Review'!AI$35:AI$682&lt;&gt;"",ROW('Project Mull Review'!AI$35:AI$682),""),ROWS('Project Mull Review'!AI$35:AI83))),"")</f>
        <v/>
      </c>
      <c r="K59" s="442" t="str" cm="1">
        <f t="array" ref="K59">IFERROR(ROUND(INDEX('Project Mull Review'!AT:AT, SMALL(IF('Project Mull Review'!AI$35:AI$682&lt;&gt;"",ROW('Project Mull Review'!AI$35:AI$682),""),ROWS('Project Mull Review'!AI$35:AI83))),0),"")</f>
        <v/>
      </c>
      <c r="M59" s="140">
        <f>ROW()</f>
        <v>59</v>
      </c>
      <c r="N59" t="str">
        <f t="shared" si="11"/>
        <v/>
      </c>
      <c r="O59" t="str">
        <f t="shared" si="12"/>
        <v/>
      </c>
      <c r="P59" s="144">
        <f t="shared" ca="1" si="49"/>
        <v>0</v>
      </c>
      <c r="Q59" t="str">
        <f t="shared" ca="1" si="54"/>
        <v/>
      </c>
      <c r="R59" t="str">
        <f t="shared" ca="1" si="55"/>
        <v/>
      </c>
      <c r="S59" t="str">
        <f ca="1"/>
        <v/>
      </c>
      <c r="T59" s="144" t="str">
        <f ca="1"/>
        <v/>
      </c>
      <c r="U59" t="str">
        <f t="shared" ca="1" si="70"/>
        <v/>
      </c>
      <c r="V59" t="str">
        <f t="shared" ca="1" si="69"/>
        <v/>
      </c>
      <c r="AC59" t="str">
        <f t="shared" ca="1" si="65"/>
        <v/>
      </c>
      <c r="AD59" t="str" cm="1">
        <f t="array" aca="1" ref="AD59" ca="1">IFERROR(INDIRECT(_xlfn.CONCAT(AU$14,$V59)),"")</f>
        <v/>
      </c>
      <c r="AE59" s="144" t="str" cm="1">
        <f t="array" aca="1" ref="AE59" ca="1">IFERROR(INDIRECT(_xlfn.CONCAT(AU$16,$V59)),"")</f>
        <v/>
      </c>
      <c r="AF59" t="str">
        <f t="shared" ca="1" si="19"/>
        <v/>
      </c>
      <c r="AG59" s="525" t="str">
        <f ca="1"/>
        <v/>
      </c>
      <c r="AH59" s="467" t="str">
        <f t="shared" ca="1" si="34"/>
        <v/>
      </c>
      <c r="AI59" s="533" t="str">
        <f t="shared" ca="1" si="37"/>
        <v/>
      </c>
      <c r="AJ59" s="533" t="str">
        <f t="shared" ca="1" si="50"/>
        <v/>
      </c>
      <c r="AK59" t="str">
        <f t="shared" ca="1" si="35"/>
        <v/>
      </c>
      <c r="AL59" s="140" t="str">
        <f t="shared" ca="1" si="51"/>
        <v/>
      </c>
      <c r="AM59" t="str">
        <f t="shared" ca="1" si="21"/>
        <v/>
      </c>
      <c r="AN59" s="144" t="str">
        <f t="shared" ca="1" si="22"/>
        <v/>
      </c>
      <c r="AR59" s="483">
        <f t="shared" si="43"/>
        <v>479</v>
      </c>
      <c r="AS59" s="157" t="str">
        <f t="shared" si="41"/>
        <v>B479</v>
      </c>
      <c r="AT59" s="479" t="str">
        <f t="shared" si="42"/>
        <v>B485</v>
      </c>
      <c r="AU59" s="477"/>
      <c r="AW59" s="140" t="str">
        <f t="shared" si="66"/>
        <v>N59</v>
      </c>
      <c r="AX59" t="str">
        <f t="shared" si="67"/>
        <v>$N$11:N58</v>
      </c>
      <c r="AY59" s="144" t="str">
        <f t="shared" si="68"/>
        <v>N60:$N$99</v>
      </c>
      <c r="BA59" s="139" t="str" cm="1">
        <f t="array" aca="1" ref="BA59" ca="1">IFERROR(CELL("address",INDEX('Project Mull Review'!AF:AF, SMALL(IF('Project Mull Review'!AF$35:AF$682&lt;&gt;"",ROW('Project Mull Review'!AF$35:AF$682),""),ROWS('Project Mull Review'!AF$35:AF83)))),"")</f>
        <v/>
      </c>
      <c r="BB59" s="155" t="str">
        <f t="shared" ca="1" si="24"/>
        <v/>
      </c>
      <c r="BC59" s="155" t="str">
        <f t="shared" ca="1" si="25"/>
        <v/>
      </c>
      <c r="BD59" s="155" t="str" cm="1">
        <f t="array" aca="1" ref="BD59" ca="1">IFERROR(INDEX(MainCell,BE59,2),"")</f>
        <v/>
      </c>
      <c r="BE59" s="155" t="str">
        <f t="shared" ca="1" si="26"/>
        <v/>
      </c>
      <c r="BF59" s="64" t="str">
        <f t="shared" ca="1" si="27"/>
        <v/>
      </c>
      <c r="BG59" s="64" t="str">
        <f t="shared" ca="1" si="44"/>
        <v/>
      </c>
      <c r="BH59" s="64" t="str" cm="1">
        <f t="array" aca="1" ref="BH59" ca="1">IFERROR(CONCATENATE(INDIRECT(BF59)," ", INDIRECT(BG59)),"")</f>
        <v/>
      </c>
      <c r="BI59" s="64" t="str">
        <f t="shared" ca="1" si="29"/>
        <v/>
      </c>
      <c r="BJ59" s="155">
        <f t="shared" ca="1" si="52"/>
        <v>0</v>
      </c>
      <c r="BK59" s="155">
        <f t="shared" ca="1" si="53"/>
        <v>0</v>
      </c>
      <c r="BL59" s="155">
        <f t="shared" ca="1" si="64"/>
        <v>0</v>
      </c>
      <c r="BM59" s="155">
        <f t="shared" ca="1" si="64"/>
        <v>0</v>
      </c>
      <c r="BN59" s="155">
        <f t="shared" ca="1" si="64"/>
        <v>0</v>
      </c>
      <c r="BO59" s="155">
        <f t="shared" ca="1" si="64"/>
        <v>0</v>
      </c>
      <c r="BP59" s="155">
        <f t="shared" ca="1" si="64"/>
        <v>0</v>
      </c>
      <c r="BQ59" s="155">
        <f t="shared" ca="1" si="64"/>
        <v>0</v>
      </c>
      <c r="BR59" s="155">
        <f t="shared" ca="1" si="64"/>
        <v>0</v>
      </c>
      <c r="BS59" s="479">
        <f t="shared" ca="1" si="64"/>
        <v>0</v>
      </c>
      <c r="BV59" s="505" t="str" cm="1">
        <f t="array" aca="1" ref="BV59" ca="1">IF(BJ60=0,"",CONCATENATE(INDEX(FinalSort,BJ60,4),": ",INDEX(FinalSort,BJ60,8)))</f>
        <v/>
      </c>
      <c r="BW59" s="506" t="str" cm="1">
        <f t="array" aca="1" ref="BW59" ca="1">IF(BK60=0,"",CONCATENATE(INDEX(FinalSort,BK60,4),": ",INDEX(FinalSort,BK60,8)))</f>
        <v/>
      </c>
      <c r="BX59" s="506" t="str" cm="1">
        <f t="array" aca="1" ref="BX59" ca="1">IF(BL60=0,"",CONCATENATE(INDEX(FinalSort,BL60,4),": ",INDEX(FinalSort,BL60,8)))</f>
        <v/>
      </c>
      <c r="BY59" s="506" t="str" cm="1">
        <f t="array" aca="1" ref="BY59" ca="1">IF(BM60=0,"",CONCATENATE(INDEX(FinalSort,BM60,4),": ",INDEX(FinalSort,BM60,8)))</f>
        <v/>
      </c>
      <c r="BZ59" s="506" t="str" cm="1">
        <f t="array" aca="1" ref="BZ59" ca="1">IF(BN60=0,"",CONCATENATE(INDEX(FinalSort,BN60,4),": ",INDEX(FinalSort,BN60,8)))</f>
        <v/>
      </c>
      <c r="CA59" s="506" t="str" cm="1">
        <f t="array" aca="1" ref="CA59" ca="1">IF(BO60=0,"",CONCATENATE(INDEX(FinalSort,BO60,4),": ",INDEX(FinalSort,BO60,8)))</f>
        <v/>
      </c>
      <c r="CB59" s="506" t="str" cm="1">
        <f t="array" aca="1" ref="CB59" ca="1">IF(BP60=0,"",CONCATENATE(INDEX(FinalSort,BP60,4),": ",INDEX(FinalSort,BP60,8)))</f>
        <v/>
      </c>
      <c r="CC59" s="506" t="str" cm="1">
        <f t="array" aca="1" ref="CC59" ca="1">IF(BQ60=0,"",CONCATENATE(INDEX(FinalSort,BQ60,4),": ",INDEX(FinalSort,BQ60,8)))</f>
        <v/>
      </c>
      <c r="CD59" s="506" t="str" cm="1">
        <f t="array" aca="1" ref="CD59" ca="1">IF(BR60=0,"",CONCATENATE(INDEX(FinalSort,BR60,4),": ",INDEX(FinalSort,BR60,8)))</f>
        <v/>
      </c>
      <c r="CE59" s="507" t="str" cm="1">
        <f t="array" aca="1" ref="CE59" ca="1">IF(BS60=0,"",CONCATENATE(INDEX(FinalSort,BS60,4),": ",INDEX(FinalSort,BS60,8)))</f>
        <v/>
      </c>
    </row>
    <row r="60" spans="1:83" x14ac:dyDescent="0.25">
      <c r="A60" s="4">
        <v>51</v>
      </c>
      <c r="B60" s="326" t="str">
        <f t="shared" ca="1" si="47"/>
        <v/>
      </c>
      <c r="C60" s="462" t="str">
        <f t="shared" ca="1" si="4"/>
        <v/>
      </c>
      <c r="D60" s="463" t="str">
        <f t="shared" ca="1" si="5"/>
        <v/>
      </c>
      <c r="E60" s="471" t="str">
        <f t="shared" ca="1" si="6"/>
        <v/>
      </c>
      <c r="F60" s="473" t="str">
        <f t="shared" ca="1" si="48"/>
        <v/>
      </c>
      <c r="G60" s="522"/>
      <c r="H60" s="155"/>
      <c r="I60" s="443" t="str" cm="1">
        <f t="array" ref="I60">IFERROR(INDEX('Project Mull Review'!AF:AF, SMALL(IF('Project Mull Review'!AF$35:AF$682&lt;&gt;"",ROW('Project Mull Review'!AF$35:AF$682),""),ROWS('Project Mull Review'!AF$35:AF84))),"")</f>
        <v/>
      </c>
      <c r="J60" s="389" t="str" cm="1">
        <f t="array" ref="J60">IFERROR(INDEX('Project Mull Review'!AI:AI, SMALL(IF('Project Mull Review'!AI$35:AI$682&lt;&gt;"",ROW('Project Mull Review'!AI$35:AI$682),""),ROWS('Project Mull Review'!AI$35:AI84))),"")</f>
        <v/>
      </c>
      <c r="K60" s="442" t="str" cm="1">
        <f t="array" ref="K60">IFERROR(ROUND(INDEX('Project Mull Review'!AT:AT, SMALL(IF('Project Mull Review'!AI$35:AI$682&lt;&gt;"",ROW('Project Mull Review'!AI$35:AI$682),""),ROWS('Project Mull Review'!AI$35:AI84))),0),"")</f>
        <v/>
      </c>
      <c r="M60" s="140">
        <f>ROW()</f>
        <v>60</v>
      </c>
      <c r="N60" t="str">
        <f t="shared" si="11"/>
        <v/>
      </c>
      <c r="O60" t="str">
        <f t="shared" si="12"/>
        <v/>
      </c>
      <c r="P60" s="144">
        <f t="shared" ca="1" si="49"/>
        <v>0</v>
      </c>
      <c r="Q60" t="str">
        <f t="shared" ca="1" si="54"/>
        <v/>
      </c>
      <c r="R60" t="str">
        <f t="shared" ca="1" si="55"/>
        <v/>
      </c>
      <c r="S60" t="str">
        <f ca="1"/>
        <v/>
      </c>
      <c r="T60" s="144" t="str">
        <f ca="1"/>
        <v/>
      </c>
      <c r="U60" t="str">
        <f t="shared" ca="1" si="70"/>
        <v/>
      </c>
      <c r="V60" t="str">
        <f t="shared" ca="1" si="69"/>
        <v/>
      </c>
      <c r="AC60" t="str">
        <f t="shared" ca="1" si="65"/>
        <v/>
      </c>
      <c r="AD60" t="str" cm="1">
        <f t="array" aca="1" ref="AD60" ca="1">IFERROR(INDIRECT(_xlfn.CONCAT(AU$14,$V60)),"")</f>
        <v/>
      </c>
      <c r="AE60" s="144" t="str" cm="1">
        <f t="array" aca="1" ref="AE60" ca="1">IFERROR(INDIRECT(_xlfn.CONCAT(AU$16,$V60)),"")</f>
        <v/>
      </c>
      <c r="AF60" t="str">
        <f t="shared" ca="1" si="19"/>
        <v/>
      </c>
      <c r="AG60" s="525" t="str">
        <f ca="1"/>
        <v/>
      </c>
      <c r="AH60" s="467" t="str">
        <f t="shared" ca="1" si="34"/>
        <v/>
      </c>
      <c r="AI60" s="533" t="str">
        <f t="shared" ca="1" si="37"/>
        <v/>
      </c>
      <c r="AJ60" s="533" t="str">
        <f t="shared" ca="1" si="50"/>
        <v/>
      </c>
      <c r="AK60" t="str">
        <f t="shared" ca="1" si="35"/>
        <v/>
      </c>
      <c r="AL60" s="140" t="str">
        <f t="shared" ca="1" si="51"/>
        <v/>
      </c>
      <c r="AM60" t="str">
        <f t="shared" ca="1" si="21"/>
        <v/>
      </c>
      <c r="AN60" s="144" t="str">
        <f t="shared" ca="1" si="22"/>
        <v/>
      </c>
      <c r="AR60" s="483">
        <f t="shared" si="43"/>
        <v>491</v>
      </c>
      <c r="AS60" s="157" t="str">
        <f t="shared" si="41"/>
        <v>B491</v>
      </c>
      <c r="AT60" s="479" t="str">
        <f t="shared" si="42"/>
        <v>B497</v>
      </c>
      <c r="AU60" s="477"/>
      <c r="AW60" s="140" t="str">
        <f t="shared" si="66"/>
        <v>N60</v>
      </c>
      <c r="AX60" t="str">
        <f t="shared" si="67"/>
        <v>$N$11:N59</v>
      </c>
      <c r="AY60" s="144" t="str">
        <f t="shared" si="68"/>
        <v>N61:$N$99</v>
      </c>
      <c r="BA60" s="139" t="str" cm="1">
        <f t="array" aca="1" ref="BA60" ca="1">IFERROR(CELL("address",INDEX('Project Mull Review'!AF:AF, SMALL(IF('Project Mull Review'!AF$35:AF$682&lt;&gt;"",ROW('Project Mull Review'!AF$35:AF$682),""),ROWS('Project Mull Review'!AF$35:AF84)))),"")</f>
        <v/>
      </c>
      <c r="BB60" s="155" t="str">
        <f t="shared" ca="1" si="24"/>
        <v/>
      </c>
      <c r="BC60" s="155" t="str">
        <f t="shared" ca="1" si="25"/>
        <v/>
      </c>
      <c r="BD60" s="155" t="str" cm="1">
        <f t="array" aca="1" ref="BD60" ca="1">IFERROR(INDEX(MainCell,BE60,2),"")</f>
        <v/>
      </c>
      <c r="BE60" s="155" t="str">
        <f t="shared" ca="1" si="26"/>
        <v/>
      </c>
      <c r="BF60" s="64" t="str">
        <f t="shared" ca="1" si="27"/>
        <v/>
      </c>
      <c r="BG60" s="64" t="str">
        <f t="shared" ca="1" si="44"/>
        <v/>
      </c>
      <c r="BH60" s="64" t="str" cm="1">
        <f t="array" aca="1" ref="BH60" ca="1">IFERROR(CONCATENATE(INDIRECT(BF60)," ", INDIRECT(BG60)),"")</f>
        <v/>
      </c>
      <c r="BI60" s="64" t="str">
        <f t="shared" ca="1" si="29"/>
        <v/>
      </c>
      <c r="BJ60" s="155">
        <f t="shared" ca="1" si="52"/>
        <v>0</v>
      </c>
      <c r="BK60" s="155">
        <f t="shared" ca="1" si="53"/>
        <v>0</v>
      </c>
      <c r="BL60" s="155">
        <f t="shared" ca="1" si="64"/>
        <v>0</v>
      </c>
      <c r="BM60" s="155">
        <f t="shared" ca="1" si="64"/>
        <v>0</v>
      </c>
      <c r="BN60" s="155">
        <f t="shared" ca="1" si="64"/>
        <v>0</v>
      </c>
      <c r="BO60" s="155">
        <f t="shared" ca="1" si="64"/>
        <v>0</v>
      </c>
      <c r="BP60" s="155">
        <f t="shared" ca="1" si="64"/>
        <v>0</v>
      </c>
      <c r="BQ60" s="155">
        <f t="shared" ca="1" si="64"/>
        <v>0</v>
      </c>
      <c r="BR60" s="155">
        <f t="shared" ca="1" si="64"/>
        <v>0</v>
      </c>
      <c r="BS60" s="479">
        <f t="shared" ca="1" si="64"/>
        <v>0</v>
      </c>
      <c r="BV60" s="505" t="str" cm="1">
        <f t="array" aca="1" ref="BV60" ca="1">IF(BJ61=0,"",CONCATENATE(INDEX(FinalSort,BJ61,4),": ",INDEX(FinalSort,BJ61,8)))</f>
        <v/>
      </c>
      <c r="BW60" s="506" t="str" cm="1">
        <f t="array" aca="1" ref="BW60" ca="1">IF(BK61=0,"",CONCATENATE(INDEX(FinalSort,BK61,4),": ",INDEX(FinalSort,BK61,8)))</f>
        <v/>
      </c>
      <c r="BX60" s="506" t="str" cm="1">
        <f t="array" aca="1" ref="BX60" ca="1">IF(BL61=0,"",CONCATENATE(INDEX(FinalSort,BL61,4),": ",INDEX(FinalSort,BL61,8)))</f>
        <v/>
      </c>
      <c r="BY60" s="506" t="str" cm="1">
        <f t="array" aca="1" ref="BY60" ca="1">IF(BM61=0,"",CONCATENATE(INDEX(FinalSort,BM61,4),": ",INDEX(FinalSort,BM61,8)))</f>
        <v/>
      </c>
      <c r="BZ60" s="506" t="str" cm="1">
        <f t="array" aca="1" ref="BZ60" ca="1">IF(BN61=0,"",CONCATENATE(INDEX(FinalSort,BN61,4),": ",INDEX(FinalSort,BN61,8)))</f>
        <v/>
      </c>
      <c r="CA60" s="506" t="str" cm="1">
        <f t="array" aca="1" ref="CA60" ca="1">IF(BO61=0,"",CONCATENATE(INDEX(FinalSort,BO61,4),": ",INDEX(FinalSort,BO61,8)))</f>
        <v/>
      </c>
      <c r="CB60" s="506" t="str" cm="1">
        <f t="array" aca="1" ref="CB60" ca="1">IF(BP61=0,"",CONCATENATE(INDEX(FinalSort,BP61,4),": ",INDEX(FinalSort,BP61,8)))</f>
        <v/>
      </c>
      <c r="CC60" s="506" t="str" cm="1">
        <f t="array" aca="1" ref="CC60" ca="1">IF(BQ61=0,"",CONCATENATE(INDEX(FinalSort,BQ61,4),": ",INDEX(FinalSort,BQ61,8)))</f>
        <v/>
      </c>
      <c r="CD60" s="506" t="str" cm="1">
        <f t="array" aca="1" ref="CD60" ca="1">IF(BR61=0,"",CONCATENATE(INDEX(FinalSort,BR61,4),": ",INDEX(FinalSort,BR61,8)))</f>
        <v/>
      </c>
      <c r="CE60" s="507" t="str" cm="1">
        <f t="array" aca="1" ref="CE60" ca="1">IF(BS61=0,"",CONCATENATE(INDEX(FinalSort,BS61,4),": ",INDEX(FinalSort,BS61,8)))</f>
        <v/>
      </c>
    </row>
    <row r="61" spans="1:83" x14ac:dyDescent="0.25">
      <c r="A61" s="4">
        <v>52</v>
      </c>
      <c r="B61" s="326" t="str">
        <f t="shared" ca="1" si="47"/>
        <v/>
      </c>
      <c r="C61" s="462" t="str">
        <f t="shared" ca="1" si="4"/>
        <v/>
      </c>
      <c r="D61" s="463" t="str">
        <f t="shared" ca="1" si="5"/>
        <v/>
      </c>
      <c r="E61" s="471" t="str">
        <f t="shared" ca="1" si="6"/>
        <v/>
      </c>
      <c r="F61" s="473" t="str">
        <f t="shared" ca="1" si="48"/>
        <v/>
      </c>
      <c r="G61" s="522"/>
      <c r="H61" s="155"/>
      <c r="I61" s="443" t="str" cm="1">
        <f t="array" ref="I61">IFERROR(INDEX('Project Mull Review'!AF:AF, SMALL(IF('Project Mull Review'!AF$35:AF$682&lt;&gt;"",ROW('Project Mull Review'!AF$35:AF$682),""),ROWS('Project Mull Review'!AF$35:AF85))),"")</f>
        <v/>
      </c>
      <c r="J61" s="389" t="str" cm="1">
        <f t="array" ref="J61">IFERROR(INDEX('Project Mull Review'!AI:AI, SMALL(IF('Project Mull Review'!AI$35:AI$682&lt;&gt;"",ROW('Project Mull Review'!AI$35:AI$682),""),ROWS('Project Mull Review'!AI$35:AI85))),"")</f>
        <v/>
      </c>
      <c r="K61" s="442" t="str" cm="1">
        <f t="array" ref="K61">IFERROR(ROUND(INDEX('Project Mull Review'!AT:AT, SMALL(IF('Project Mull Review'!AI$35:AI$682&lt;&gt;"",ROW('Project Mull Review'!AI$35:AI$682),""),ROWS('Project Mull Review'!AI$35:AI85))),0),"")</f>
        <v/>
      </c>
      <c r="M61" s="140">
        <f>ROW()</f>
        <v>61</v>
      </c>
      <c r="N61" t="str">
        <f t="shared" si="11"/>
        <v/>
      </c>
      <c r="O61" t="str">
        <f t="shared" si="12"/>
        <v/>
      </c>
      <c r="P61" s="144">
        <f t="shared" ca="1" si="49"/>
        <v>0</v>
      </c>
      <c r="Q61" t="str">
        <f t="shared" ca="1" si="54"/>
        <v/>
      </c>
      <c r="R61" t="str">
        <f t="shared" ca="1" si="55"/>
        <v/>
      </c>
      <c r="S61" t="str">
        <f ca="1"/>
        <v/>
      </c>
      <c r="T61" s="144" t="str">
        <f ca="1"/>
        <v/>
      </c>
      <c r="U61" t="str">
        <f t="shared" ca="1" si="70"/>
        <v/>
      </c>
      <c r="V61" t="str">
        <f t="shared" ca="1" si="69"/>
        <v/>
      </c>
      <c r="AC61" t="str">
        <f t="shared" ca="1" si="65"/>
        <v/>
      </c>
      <c r="AD61" t="str" cm="1">
        <f t="array" aca="1" ref="AD61" ca="1">IFERROR(INDIRECT(_xlfn.CONCAT(AU$14,$V61)),"")</f>
        <v/>
      </c>
      <c r="AE61" s="144" t="str" cm="1">
        <f t="array" aca="1" ref="AE61" ca="1">IFERROR(INDIRECT(_xlfn.CONCAT(AU$16,$V61)),"")</f>
        <v/>
      </c>
      <c r="AF61" t="str">
        <f t="shared" ca="1" si="19"/>
        <v/>
      </c>
      <c r="AG61" s="525" t="str">
        <f ca="1"/>
        <v/>
      </c>
      <c r="AH61" s="467" t="str">
        <f t="shared" ca="1" si="34"/>
        <v/>
      </c>
      <c r="AI61" s="533" t="str">
        <f t="shared" ca="1" si="37"/>
        <v/>
      </c>
      <c r="AJ61" s="533" t="str">
        <f t="shared" ca="1" si="50"/>
        <v/>
      </c>
      <c r="AK61" t="str">
        <f t="shared" ca="1" si="35"/>
        <v/>
      </c>
      <c r="AL61" s="140" t="str">
        <f t="shared" ca="1" si="51"/>
        <v/>
      </c>
      <c r="AM61" t="str">
        <f t="shared" ca="1" si="21"/>
        <v/>
      </c>
      <c r="AN61" s="144" t="str">
        <f t="shared" ca="1" si="22"/>
        <v/>
      </c>
      <c r="AR61" s="483">
        <f t="shared" si="43"/>
        <v>503</v>
      </c>
      <c r="AS61" s="157" t="str">
        <f t="shared" si="41"/>
        <v>B503</v>
      </c>
      <c r="AT61" s="479" t="str">
        <f t="shared" si="42"/>
        <v>B509</v>
      </c>
      <c r="AU61" s="477"/>
      <c r="AW61" s="140" t="str">
        <f t="shared" si="66"/>
        <v>N61</v>
      </c>
      <c r="AX61" t="str">
        <f t="shared" si="67"/>
        <v>$N$11:N60</v>
      </c>
      <c r="AY61" s="144" t="str">
        <f t="shared" si="68"/>
        <v>N62:$N$99</v>
      </c>
      <c r="BA61" s="139" t="str" cm="1">
        <f t="array" aca="1" ref="BA61" ca="1">IFERROR(CELL("address",INDEX('Project Mull Review'!AF:AF, SMALL(IF('Project Mull Review'!AF$35:AF$682&lt;&gt;"",ROW('Project Mull Review'!AF$35:AF$682),""),ROWS('Project Mull Review'!AF$35:AF85)))),"")</f>
        <v/>
      </c>
      <c r="BB61" s="155" t="str">
        <f t="shared" ca="1" si="24"/>
        <v/>
      </c>
      <c r="BC61" s="155" t="str">
        <f t="shared" ca="1" si="25"/>
        <v/>
      </c>
      <c r="BD61" s="155" t="str" cm="1">
        <f t="array" aca="1" ref="BD61" ca="1">IFERROR(INDEX(MainCell,BE61,2),"")</f>
        <v/>
      </c>
      <c r="BE61" s="155" t="str">
        <f t="shared" ca="1" si="26"/>
        <v/>
      </c>
      <c r="BF61" s="64" t="str">
        <f t="shared" ca="1" si="27"/>
        <v/>
      </c>
      <c r="BG61" s="64" t="str">
        <f t="shared" ca="1" si="44"/>
        <v/>
      </c>
      <c r="BH61" s="64" t="str" cm="1">
        <f t="array" aca="1" ref="BH61" ca="1">IFERROR(CONCATENATE(INDIRECT(BF61)," ", INDIRECT(BG61)),"")</f>
        <v/>
      </c>
      <c r="BI61" s="64" t="str">
        <f t="shared" ca="1" si="29"/>
        <v/>
      </c>
      <c r="BJ61" s="155">
        <f t="shared" ca="1" si="52"/>
        <v>0</v>
      </c>
      <c r="BK61" s="155">
        <f t="shared" ca="1" si="53"/>
        <v>0</v>
      </c>
      <c r="BL61" s="155">
        <f t="shared" ref="BL61:BS70" ca="1" si="71">IF(BK61=0,0,IFERROR(IF(MATCH($BI61,OFFSET(Combo,BK61,0),0)&gt;=($AS$18-BK61),0,BK61+MATCH($BI61,OFFSET(Combo,BK61,0),0)),0))</f>
        <v>0</v>
      </c>
      <c r="BM61" s="155">
        <f t="shared" ca="1" si="71"/>
        <v>0</v>
      </c>
      <c r="BN61" s="155">
        <f t="shared" ca="1" si="71"/>
        <v>0</v>
      </c>
      <c r="BO61" s="155">
        <f t="shared" ca="1" si="71"/>
        <v>0</v>
      </c>
      <c r="BP61" s="155">
        <f t="shared" ca="1" si="71"/>
        <v>0</v>
      </c>
      <c r="BQ61" s="155">
        <f t="shared" ca="1" si="71"/>
        <v>0</v>
      </c>
      <c r="BR61" s="155">
        <f t="shared" ca="1" si="71"/>
        <v>0</v>
      </c>
      <c r="BS61" s="479">
        <f t="shared" ca="1" si="71"/>
        <v>0</v>
      </c>
      <c r="BV61" s="505" t="str" cm="1">
        <f t="array" aca="1" ref="BV61" ca="1">IF(BJ62=0,"",CONCATENATE(INDEX(FinalSort,BJ62,4),": ",INDEX(FinalSort,BJ62,8)))</f>
        <v/>
      </c>
      <c r="BW61" s="506" t="str" cm="1">
        <f t="array" aca="1" ref="BW61" ca="1">IF(BK62=0,"",CONCATENATE(INDEX(FinalSort,BK62,4),": ",INDEX(FinalSort,BK62,8)))</f>
        <v/>
      </c>
      <c r="BX61" s="506" t="str" cm="1">
        <f t="array" aca="1" ref="BX61" ca="1">IF(BL62=0,"",CONCATENATE(INDEX(FinalSort,BL62,4),": ",INDEX(FinalSort,BL62,8)))</f>
        <v/>
      </c>
      <c r="BY61" s="506" t="str" cm="1">
        <f t="array" aca="1" ref="BY61" ca="1">IF(BM62=0,"",CONCATENATE(INDEX(FinalSort,BM62,4),": ",INDEX(FinalSort,BM62,8)))</f>
        <v/>
      </c>
      <c r="BZ61" s="506" t="str" cm="1">
        <f t="array" aca="1" ref="BZ61" ca="1">IF(BN62=0,"",CONCATENATE(INDEX(FinalSort,BN62,4),": ",INDEX(FinalSort,BN62,8)))</f>
        <v/>
      </c>
      <c r="CA61" s="506" t="str" cm="1">
        <f t="array" aca="1" ref="CA61" ca="1">IF(BO62=0,"",CONCATENATE(INDEX(FinalSort,BO62,4),": ",INDEX(FinalSort,BO62,8)))</f>
        <v/>
      </c>
      <c r="CB61" s="506" t="str" cm="1">
        <f t="array" aca="1" ref="CB61" ca="1">IF(BP62=0,"",CONCATENATE(INDEX(FinalSort,BP62,4),": ",INDEX(FinalSort,BP62,8)))</f>
        <v/>
      </c>
      <c r="CC61" s="506" t="str" cm="1">
        <f t="array" aca="1" ref="CC61" ca="1">IF(BQ62=0,"",CONCATENATE(INDEX(FinalSort,BQ62,4),": ",INDEX(FinalSort,BQ62,8)))</f>
        <v/>
      </c>
      <c r="CD61" s="506" t="str" cm="1">
        <f t="array" aca="1" ref="CD61" ca="1">IF(BR62=0,"",CONCATENATE(INDEX(FinalSort,BR62,4),": ",INDEX(FinalSort,BR62,8)))</f>
        <v/>
      </c>
      <c r="CE61" s="507" t="str" cm="1">
        <f t="array" aca="1" ref="CE61" ca="1">IF(BS62=0,"",CONCATENATE(INDEX(FinalSort,BS62,4),": ",INDEX(FinalSort,BS62,8)))</f>
        <v/>
      </c>
    </row>
    <row r="62" spans="1:83" x14ac:dyDescent="0.25">
      <c r="A62" s="4">
        <v>53</v>
      </c>
      <c r="B62" s="326" t="str">
        <f t="shared" ca="1" si="47"/>
        <v/>
      </c>
      <c r="C62" s="462" t="str">
        <f t="shared" ca="1" si="4"/>
        <v/>
      </c>
      <c r="D62" s="463" t="str">
        <f t="shared" ca="1" si="5"/>
        <v/>
      </c>
      <c r="E62" s="471" t="str">
        <f t="shared" ca="1" si="6"/>
        <v/>
      </c>
      <c r="F62" s="473" t="str">
        <f t="shared" ca="1" si="48"/>
        <v/>
      </c>
      <c r="G62" s="522"/>
      <c r="H62" s="155"/>
      <c r="I62" s="443" t="str" cm="1">
        <f t="array" ref="I62">IFERROR(INDEX('Project Mull Review'!AF:AF, SMALL(IF('Project Mull Review'!AF$35:AF$682&lt;&gt;"",ROW('Project Mull Review'!AF$35:AF$682),""),ROWS('Project Mull Review'!AF$35:AF86))),"")</f>
        <v/>
      </c>
      <c r="J62" s="389" t="str" cm="1">
        <f t="array" ref="J62">IFERROR(INDEX('Project Mull Review'!AI:AI, SMALL(IF('Project Mull Review'!AI$35:AI$682&lt;&gt;"",ROW('Project Mull Review'!AI$35:AI$682),""),ROWS('Project Mull Review'!AI$35:AI86))),"")</f>
        <v/>
      </c>
      <c r="K62" s="442" t="str" cm="1">
        <f t="array" ref="K62">IFERROR(ROUND(INDEX('Project Mull Review'!AT:AT, SMALL(IF('Project Mull Review'!AI$35:AI$682&lt;&gt;"",ROW('Project Mull Review'!AI$35:AI$682),""),ROWS('Project Mull Review'!AI$35:AI86))),0),"")</f>
        <v/>
      </c>
      <c r="M62" s="140">
        <f>ROW()</f>
        <v>62</v>
      </c>
      <c r="N62" t="str">
        <f t="shared" si="11"/>
        <v/>
      </c>
      <c r="O62" t="str">
        <f t="shared" si="12"/>
        <v/>
      </c>
      <c r="P62" s="144">
        <f t="shared" ca="1" si="49"/>
        <v>0</v>
      </c>
      <c r="Q62" t="str">
        <f t="shared" ca="1" si="54"/>
        <v/>
      </c>
      <c r="R62" t="str">
        <f t="shared" ca="1" si="55"/>
        <v/>
      </c>
      <c r="S62" t="str">
        <f ca="1"/>
        <v/>
      </c>
      <c r="T62" s="144" t="str">
        <f ca="1"/>
        <v/>
      </c>
      <c r="U62" t="str">
        <f t="shared" ca="1" si="70"/>
        <v/>
      </c>
      <c r="V62" t="str">
        <f t="shared" ca="1" si="69"/>
        <v/>
      </c>
      <c r="AC62" t="str">
        <f t="shared" ca="1" si="65"/>
        <v/>
      </c>
      <c r="AD62" t="str" cm="1">
        <f t="array" aca="1" ref="AD62" ca="1">IFERROR(INDIRECT(_xlfn.CONCAT(AU$14,$V62)),"")</f>
        <v/>
      </c>
      <c r="AE62" s="144" t="str" cm="1">
        <f t="array" aca="1" ref="AE62" ca="1">IFERROR(INDIRECT(_xlfn.CONCAT(AU$16,$V62)),"")</f>
        <v/>
      </c>
      <c r="AF62" t="str">
        <f t="shared" ca="1" si="19"/>
        <v/>
      </c>
      <c r="AG62" s="525" t="str">
        <f ca="1"/>
        <v/>
      </c>
      <c r="AH62" s="467" t="str">
        <f t="shared" ca="1" si="34"/>
        <v/>
      </c>
      <c r="AI62" s="533" t="str">
        <f t="shared" ca="1" si="37"/>
        <v/>
      </c>
      <c r="AJ62" s="533" t="str">
        <f t="shared" ca="1" si="50"/>
        <v/>
      </c>
      <c r="AK62" t="str">
        <f t="shared" ca="1" si="35"/>
        <v/>
      </c>
      <c r="AL62" s="140" t="str">
        <f t="shared" ca="1" si="51"/>
        <v/>
      </c>
      <c r="AM62" t="str">
        <f t="shared" ca="1" si="21"/>
        <v/>
      </c>
      <c r="AN62" s="144" t="str">
        <f t="shared" ca="1" si="22"/>
        <v/>
      </c>
      <c r="AR62" s="483">
        <f t="shared" si="43"/>
        <v>515</v>
      </c>
      <c r="AS62" s="157" t="str">
        <f t="shared" si="41"/>
        <v>B515</v>
      </c>
      <c r="AT62" s="479" t="str">
        <f t="shared" si="42"/>
        <v>B521</v>
      </c>
      <c r="AU62" s="477"/>
      <c r="AW62" s="140" t="str">
        <f t="shared" si="66"/>
        <v>N62</v>
      </c>
      <c r="AX62" t="str">
        <f t="shared" si="67"/>
        <v>$N$11:N61</v>
      </c>
      <c r="AY62" s="144" t="str">
        <f t="shared" si="68"/>
        <v>N63:$N$99</v>
      </c>
      <c r="BA62" s="139" t="str" cm="1">
        <f t="array" aca="1" ref="BA62" ca="1">IFERROR(CELL("address",INDEX('Project Mull Review'!AF:AF, SMALL(IF('Project Mull Review'!AF$35:AF$682&lt;&gt;"",ROW('Project Mull Review'!AF$35:AF$682),""),ROWS('Project Mull Review'!AF$35:AF86)))),"")</f>
        <v/>
      </c>
      <c r="BB62" s="155" t="str">
        <f t="shared" ca="1" si="24"/>
        <v/>
      </c>
      <c r="BC62" s="155" t="str">
        <f t="shared" ca="1" si="25"/>
        <v/>
      </c>
      <c r="BD62" s="155" t="str" cm="1">
        <f t="array" aca="1" ref="BD62" ca="1">IFERROR(INDEX(MainCell,BE62,2),"")</f>
        <v/>
      </c>
      <c r="BE62" s="155" t="str">
        <f t="shared" ca="1" si="26"/>
        <v/>
      </c>
      <c r="BF62" s="64" t="str">
        <f t="shared" ca="1" si="27"/>
        <v/>
      </c>
      <c r="BG62" s="64" t="str">
        <f t="shared" ca="1" si="44"/>
        <v/>
      </c>
      <c r="BH62" s="64" t="str" cm="1">
        <f t="array" aca="1" ref="BH62" ca="1">IFERROR(CONCATENATE(INDIRECT(BF62)," ", INDIRECT(BG62)),"")</f>
        <v/>
      </c>
      <c r="BI62" s="64" t="str">
        <f t="shared" ca="1" si="29"/>
        <v/>
      </c>
      <c r="BJ62" s="155">
        <f t="shared" ca="1" si="52"/>
        <v>0</v>
      </c>
      <c r="BK62" s="155">
        <f t="shared" ca="1" si="53"/>
        <v>0</v>
      </c>
      <c r="BL62" s="155">
        <f t="shared" ca="1" si="71"/>
        <v>0</v>
      </c>
      <c r="BM62" s="155">
        <f t="shared" ca="1" si="71"/>
        <v>0</v>
      </c>
      <c r="BN62" s="155">
        <f t="shared" ca="1" si="71"/>
        <v>0</v>
      </c>
      <c r="BO62" s="155">
        <f t="shared" ca="1" si="71"/>
        <v>0</v>
      </c>
      <c r="BP62" s="155">
        <f t="shared" ca="1" si="71"/>
        <v>0</v>
      </c>
      <c r="BQ62" s="155">
        <f t="shared" ca="1" si="71"/>
        <v>0</v>
      </c>
      <c r="BR62" s="155">
        <f t="shared" ca="1" si="71"/>
        <v>0</v>
      </c>
      <c r="BS62" s="479">
        <f t="shared" ca="1" si="71"/>
        <v>0</v>
      </c>
      <c r="BV62" s="505" t="str" cm="1">
        <f t="array" aca="1" ref="BV62" ca="1">IF(BJ63=0,"",CONCATENATE(INDEX(FinalSort,BJ63,4),": ",INDEX(FinalSort,BJ63,8)))</f>
        <v/>
      </c>
      <c r="BW62" s="506" t="str" cm="1">
        <f t="array" aca="1" ref="BW62" ca="1">IF(BK63=0,"",CONCATENATE(INDEX(FinalSort,BK63,4),": ",INDEX(FinalSort,BK63,8)))</f>
        <v/>
      </c>
      <c r="BX62" s="506" t="str" cm="1">
        <f t="array" aca="1" ref="BX62" ca="1">IF(BL63=0,"",CONCATENATE(INDEX(FinalSort,BL63,4),": ",INDEX(FinalSort,BL63,8)))</f>
        <v/>
      </c>
      <c r="BY62" s="506" t="str" cm="1">
        <f t="array" aca="1" ref="BY62" ca="1">IF(BM63=0,"",CONCATENATE(INDEX(FinalSort,BM63,4),": ",INDEX(FinalSort,BM63,8)))</f>
        <v/>
      </c>
      <c r="BZ62" s="506" t="str" cm="1">
        <f t="array" aca="1" ref="BZ62" ca="1">IF(BN63=0,"",CONCATENATE(INDEX(FinalSort,BN63,4),": ",INDEX(FinalSort,BN63,8)))</f>
        <v/>
      </c>
      <c r="CA62" s="506" t="str" cm="1">
        <f t="array" aca="1" ref="CA62" ca="1">IF(BO63=0,"",CONCATENATE(INDEX(FinalSort,BO63,4),": ",INDEX(FinalSort,BO63,8)))</f>
        <v/>
      </c>
      <c r="CB62" s="506" t="str" cm="1">
        <f t="array" aca="1" ref="CB62" ca="1">IF(BP63=0,"",CONCATENATE(INDEX(FinalSort,BP63,4),": ",INDEX(FinalSort,BP63,8)))</f>
        <v/>
      </c>
      <c r="CC62" s="506" t="str" cm="1">
        <f t="array" aca="1" ref="CC62" ca="1">IF(BQ63=0,"",CONCATENATE(INDEX(FinalSort,BQ63,4),": ",INDEX(FinalSort,BQ63,8)))</f>
        <v/>
      </c>
      <c r="CD62" s="506" t="str" cm="1">
        <f t="array" aca="1" ref="CD62" ca="1">IF(BR63=0,"",CONCATENATE(INDEX(FinalSort,BR63,4),": ",INDEX(FinalSort,BR63,8)))</f>
        <v/>
      </c>
      <c r="CE62" s="507" t="str" cm="1">
        <f t="array" aca="1" ref="CE62" ca="1">IF(BS63=0,"",CONCATENATE(INDEX(FinalSort,BS63,4),": ",INDEX(FinalSort,BS63,8)))</f>
        <v/>
      </c>
    </row>
    <row r="63" spans="1:83" x14ac:dyDescent="0.25">
      <c r="A63" s="4">
        <v>54</v>
      </c>
      <c r="B63" s="326" t="str">
        <f t="shared" ca="1" si="47"/>
        <v/>
      </c>
      <c r="C63" s="462" t="str">
        <f t="shared" ca="1" si="4"/>
        <v/>
      </c>
      <c r="D63" s="463" t="str">
        <f t="shared" ca="1" si="5"/>
        <v/>
      </c>
      <c r="E63" s="471" t="str">
        <f t="shared" ca="1" si="6"/>
        <v/>
      </c>
      <c r="F63" s="473" t="str">
        <f t="shared" ca="1" si="48"/>
        <v/>
      </c>
      <c r="G63" s="522"/>
      <c r="H63" s="155"/>
      <c r="I63" s="443" t="str" cm="1">
        <f t="array" ref="I63">IFERROR(INDEX('Project Mull Review'!AF:AF, SMALL(IF('Project Mull Review'!AF$35:AF$682&lt;&gt;"",ROW('Project Mull Review'!AF$35:AF$682),""),ROWS('Project Mull Review'!AF$35:AF87))),"")</f>
        <v/>
      </c>
      <c r="J63" s="389" t="str" cm="1">
        <f t="array" ref="J63">IFERROR(INDEX('Project Mull Review'!AI:AI, SMALL(IF('Project Mull Review'!AI$35:AI$682&lt;&gt;"",ROW('Project Mull Review'!AI$35:AI$682),""),ROWS('Project Mull Review'!AI$35:AI87))),"")</f>
        <v/>
      </c>
      <c r="K63" s="442" t="str" cm="1">
        <f t="array" ref="K63">IFERROR(ROUND(INDEX('Project Mull Review'!AT:AT, SMALL(IF('Project Mull Review'!AI$35:AI$682&lt;&gt;"",ROW('Project Mull Review'!AI$35:AI$682),""),ROWS('Project Mull Review'!AI$35:AI87))),0),"")</f>
        <v/>
      </c>
      <c r="M63" s="140">
        <f>ROW()</f>
        <v>63</v>
      </c>
      <c r="N63" t="str">
        <f t="shared" si="11"/>
        <v/>
      </c>
      <c r="O63" t="str">
        <f t="shared" si="12"/>
        <v/>
      </c>
      <c r="P63" s="144">
        <f t="shared" ca="1" si="49"/>
        <v>0</v>
      </c>
      <c r="Q63" t="str">
        <f t="shared" ca="1" si="54"/>
        <v/>
      </c>
      <c r="R63" t="str">
        <f t="shared" ca="1" si="55"/>
        <v/>
      </c>
      <c r="S63" t="str">
        <f ca="1"/>
        <v/>
      </c>
      <c r="T63" s="144" t="str">
        <f ca="1"/>
        <v/>
      </c>
      <c r="U63" t="str">
        <f t="shared" ca="1" si="70"/>
        <v/>
      </c>
      <c r="V63" t="str">
        <f t="shared" ca="1" si="69"/>
        <v/>
      </c>
      <c r="AC63" t="str">
        <f t="shared" ca="1" si="65"/>
        <v/>
      </c>
      <c r="AD63" t="str" cm="1">
        <f t="array" aca="1" ref="AD63" ca="1">IFERROR(INDIRECT(_xlfn.CONCAT(AU$14,$V63)),"")</f>
        <v/>
      </c>
      <c r="AE63" s="144" t="str" cm="1">
        <f t="array" aca="1" ref="AE63" ca="1">IFERROR(INDIRECT(_xlfn.CONCAT(AU$16,$V63)),"")</f>
        <v/>
      </c>
      <c r="AF63" t="str">
        <f t="shared" ca="1" si="19"/>
        <v/>
      </c>
      <c r="AG63" s="525" t="str">
        <f ca="1"/>
        <v/>
      </c>
      <c r="AH63" s="467" t="str">
        <f t="shared" ca="1" si="34"/>
        <v/>
      </c>
      <c r="AI63" s="533" t="str">
        <f t="shared" ca="1" si="37"/>
        <v/>
      </c>
      <c r="AJ63" s="533" t="str">
        <f t="shared" ca="1" si="50"/>
        <v/>
      </c>
      <c r="AK63" t="str">
        <f t="shared" ca="1" si="35"/>
        <v/>
      </c>
      <c r="AL63" s="140" t="str">
        <f t="shared" ca="1" si="51"/>
        <v/>
      </c>
      <c r="AM63" t="str">
        <f t="shared" ca="1" si="21"/>
        <v/>
      </c>
      <c r="AN63" s="144" t="str">
        <f t="shared" ca="1" si="22"/>
        <v/>
      </c>
      <c r="AR63" s="483">
        <f t="shared" si="43"/>
        <v>527</v>
      </c>
      <c r="AS63" s="157" t="str">
        <f t="shared" si="41"/>
        <v>B527</v>
      </c>
      <c r="AT63" s="479" t="str">
        <f t="shared" si="42"/>
        <v>B533</v>
      </c>
      <c r="AU63" s="477"/>
      <c r="AW63" s="140" t="str">
        <f t="shared" si="66"/>
        <v>N63</v>
      </c>
      <c r="AX63" t="str">
        <f t="shared" si="67"/>
        <v>$N$11:N62</v>
      </c>
      <c r="AY63" s="144" t="str">
        <f t="shared" si="68"/>
        <v>N64:$N$99</v>
      </c>
      <c r="BA63" s="139" t="str" cm="1">
        <f t="array" aca="1" ref="BA63" ca="1">IFERROR(CELL("address",INDEX('Project Mull Review'!AF:AF, SMALL(IF('Project Mull Review'!AF$35:AF$682&lt;&gt;"",ROW('Project Mull Review'!AF$35:AF$682),""),ROWS('Project Mull Review'!AF$35:AF87)))),"")</f>
        <v/>
      </c>
      <c r="BB63" s="155" t="str">
        <f t="shared" ca="1" si="24"/>
        <v/>
      </c>
      <c r="BC63" s="155" t="str">
        <f t="shared" ca="1" si="25"/>
        <v/>
      </c>
      <c r="BD63" s="155" t="str" cm="1">
        <f t="array" aca="1" ref="BD63" ca="1">IFERROR(INDEX(MainCell,BE63,2),"")</f>
        <v/>
      </c>
      <c r="BE63" s="155" t="str">
        <f t="shared" ca="1" si="26"/>
        <v/>
      </c>
      <c r="BF63" s="64" t="str">
        <f t="shared" ca="1" si="27"/>
        <v/>
      </c>
      <c r="BG63" s="64" t="str">
        <f t="shared" ca="1" si="44"/>
        <v/>
      </c>
      <c r="BH63" s="64" t="str" cm="1">
        <f t="array" aca="1" ref="BH63" ca="1">IFERROR(CONCATENATE(INDIRECT(BF63)," ", INDIRECT(BG63)),"")</f>
        <v/>
      </c>
      <c r="BI63" s="64" t="str">
        <f t="shared" ca="1" si="29"/>
        <v/>
      </c>
      <c r="BJ63" s="155">
        <f t="shared" ca="1" si="52"/>
        <v>0</v>
      </c>
      <c r="BK63" s="155">
        <f t="shared" ca="1" si="53"/>
        <v>0</v>
      </c>
      <c r="BL63" s="155">
        <f t="shared" ca="1" si="71"/>
        <v>0</v>
      </c>
      <c r="BM63" s="155">
        <f t="shared" ca="1" si="71"/>
        <v>0</v>
      </c>
      <c r="BN63" s="155">
        <f t="shared" ca="1" si="71"/>
        <v>0</v>
      </c>
      <c r="BO63" s="155">
        <f t="shared" ca="1" si="71"/>
        <v>0</v>
      </c>
      <c r="BP63" s="155">
        <f t="shared" ca="1" si="71"/>
        <v>0</v>
      </c>
      <c r="BQ63" s="155">
        <f t="shared" ca="1" si="71"/>
        <v>0</v>
      </c>
      <c r="BR63" s="155">
        <f t="shared" ca="1" si="71"/>
        <v>0</v>
      </c>
      <c r="BS63" s="479">
        <f t="shared" ca="1" si="71"/>
        <v>0</v>
      </c>
      <c r="BV63" s="505" t="str" cm="1">
        <f t="array" aca="1" ref="BV63" ca="1">IF(BJ64=0,"",CONCATENATE(INDEX(FinalSort,BJ64,4),": ",INDEX(FinalSort,BJ64,8)))</f>
        <v/>
      </c>
      <c r="BW63" s="506" t="str" cm="1">
        <f t="array" aca="1" ref="BW63" ca="1">IF(BK64=0,"",CONCATENATE(INDEX(FinalSort,BK64,4),": ",INDEX(FinalSort,BK64,8)))</f>
        <v/>
      </c>
      <c r="BX63" s="506" t="str" cm="1">
        <f t="array" aca="1" ref="BX63" ca="1">IF(BL64=0,"",CONCATENATE(INDEX(FinalSort,BL64,4),": ",INDEX(FinalSort,BL64,8)))</f>
        <v/>
      </c>
      <c r="BY63" s="506" t="str" cm="1">
        <f t="array" aca="1" ref="BY63" ca="1">IF(BM64=0,"",CONCATENATE(INDEX(FinalSort,BM64,4),": ",INDEX(FinalSort,BM64,8)))</f>
        <v/>
      </c>
      <c r="BZ63" s="506" t="str" cm="1">
        <f t="array" aca="1" ref="BZ63" ca="1">IF(BN64=0,"",CONCATENATE(INDEX(FinalSort,BN64,4),": ",INDEX(FinalSort,BN64,8)))</f>
        <v/>
      </c>
      <c r="CA63" s="506" t="str" cm="1">
        <f t="array" aca="1" ref="CA63" ca="1">IF(BO64=0,"",CONCATENATE(INDEX(FinalSort,BO64,4),": ",INDEX(FinalSort,BO64,8)))</f>
        <v/>
      </c>
      <c r="CB63" s="506" t="str" cm="1">
        <f t="array" aca="1" ref="CB63" ca="1">IF(BP64=0,"",CONCATENATE(INDEX(FinalSort,BP64,4),": ",INDEX(FinalSort,BP64,8)))</f>
        <v/>
      </c>
      <c r="CC63" s="506" t="str" cm="1">
        <f t="array" aca="1" ref="CC63" ca="1">IF(BQ64=0,"",CONCATENATE(INDEX(FinalSort,BQ64,4),": ",INDEX(FinalSort,BQ64,8)))</f>
        <v/>
      </c>
      <c r="CD63" s="506" t="str" cm="1">
        <f t="array" aca="1" ref="CD63" ca="1">IF(BR64=0,"",CONCATENATE(INDEX(FinalSort,BR64,4),": ",INDEX(FinalSort,BR64,8)))</f>
        <v/>
      </c>
      <c r="CE63" s="507" t="str" cm="1">
        <f t="array" aca="1" ref="CE63" ca="1">IF(BS64=0,"",CONCATENATE(INDEX(FinalSort,BS64,4),": ",INDEX(FinalSort,BS64,8)))</f>
        <v/>
      </c>
    </row>
    <row r="64" spans="1:83" x14ac:dyDescent="0.25">
      <c r="A64" s="4">
        <v>55</v>
      </c>
      <c r="B64" s="326" t="str">
        <f t="shared" ca="1" si="47"/>
        <v/>
      </c>
      <c r="C64" s="462" t="str">
        <f t="shared" ca="1" si="4"/>
        <v/>
      </c>
      <c r="D64" s="463" t="str">
        <f t="shared" ca="1" si="5"/>
        <v/>
      </c>
      <c r="E64" s="471" t="str">
        <f t="shared" ca="1" si="6"/>
        <v/>
      </c>
      <c r="F64" s="473" t="str">
        <f t="shared" ca="1" si="48"/>
        <v/>
      </c>
      <c r="G64" s="522"/>
      <c r="H64" s="155"/>
      <c r="I64" s="443" t="str" cm="1">
        <f t="array" ref="I64">IFERROR(INDEX('Project Mull Review'!AF:AF, SMALL(IF('Project Mull Review'!AF$35:AF$682&lt;&gt;"",ROW('Project Mull Review'!AF$35:AF$682),""),ROWS('Project Mull Review'!AF$35:AF88))),"")</f>
        <v/>
      </c>
      <c r="J64" s="389" t="str" cm="1">
        <f t="array" ref="J64">IFERROR(INDEX('Project Mull Review'!AI:AI, SMALL(IF('Project Mull Review'!AI$35:AI$682&lt;&gt;"",ROW('Project Mull Review'!AI$35:AI$682),""),ROWS('Project Mull Review'!AI$35:AI88))),"")</f>
        <v/>
      </c>
      <c r="K64" s="442" t="str" cm="1">
        <f t="array" ref="K64">IFERROR(ROUND(INDEX('Project Mull Review'!AT:AT, SMALL(IF('Project Mull Review'!AI$35:AI$682&lt;&gt;"",ROW('Project Mull Review'!AI$35:AI$682),""),ROWS('Project Mull Review'!AI$35:AI88))),0),"")</f>
        <v/>
      </c>
      <c r="M64" s="140">
        <f>ROW()</f>
        <v>64</v>
      </c>
      <c r="N64" t="str">
        <f t="shared" si="11"/>
        <v/>
      </c>
      <c r="O64" t="str">
        <f t="shared" si="12"/>
        <v/>
      </c>
      <c r="P64" s="144">
        <f t="shared" ca="1" si="49"/>
        <v>0</v>
      </c>
      <c r="Q64" t="str">
        <f t="shared" ca="1" si="54"/>
        <v/>
      </c>
      <c r="R64" t="str">
        <f t="shared" ca="1" si="55"/>
        <v/>
      </c>
      <c r="S64" t="str">
        <f ca="1"/>
        <v/>
      </c>
      <c r="T64" s="144" t="str">
        <f ca="1"/>
        <v/>
      </c>
      <c r="U64" t="str">
        <f t="shared" ca="1" si="70"/>
        <v/>
      </c>
      <c r="V64" t="str">
        <f t="shared" ca="1" si="69"/>
        <v/>
      </c>
      <c r="AC64" t="str">
        <f t="shared" ca="1" si="65"/>
        <v/>
      </c>
      <c r="AD64" t="str" cm="1">
        <f t="array" aca="1" ref="AD64" ca="1">IFERROR(INDIRECT(_xlfn.CONCAT(AU$14,$V64)),"")</f>
        <v/>
      </c>
      <c r="AE64" s="144" t="str" cm="1">
        <f t="array" aca="1" ref="AE64" ca="1">IFERROR(INDIRECT(_xlfn.CONCAT(AU$16,$V64)),"")</f>
        <v/>
      </c>
      <c r="AF64" t="str">
        <f t="shared" ca="1" si="19"/>
        <v/>
      </c>
      <c r="AG64" s="525" t="str">
        <f ca="1"/>
        <v/>
      </c>
      <c r="AH64" s="467" t="str">
        <f t="shared" ca="1" si="34"/>
        <v/>
      </c>
      <c r="AI64" s="533" t="str">
        <f t="shared" ca="1" si="37"/>
        <v/>
      </c>
      <c r="AJ64" s="533" t="str">
        <f t="shared" ca="1" si="50"/>
        <v/>
      </c>
      <c r="AK64" t="str">
        <f t="shared" ca="1" si="35"/>
        <v/>
      </c>
      <c r="AL64" s="140" t="str">
        <f t="shared" ca="1" si="51"/>
        <v/>
      </c>
      <c r="AM64" t="str">
        <f t="shared" ca="1" si="21"/>
        <v/>
      </c>
      <c r="AN64" s="144" t="str">
        <f t="shared" ca="1" si="22"/>
        <v/>
      </c>
      <c r="AR64" s="483">
        <f t="shared" si="43"/>
        <v>539</v>
      </c>
      <c r="AS64" s="157" t="str">
        <f t="shared" si="41"/>
        <v>B539</v>
      </c>
      <c r="AT64" s="479" t="str">
        <f t="shared" si="42"/>
        <v>B545</v>
      </c>
      <c r="AU64" s="477"/>
      <c r="AW64" s="140" t="str">
        <f t="shared" si="66"/>
        <v>N64</v>
      </c>
      <c r="AX64" t="str">
        <f t="shared" si="67"/>
        <v>$N$11:N63</v>
      </c>
      <c r="AY64" s="144" t="str">
        <f t="shared" si="68"/>
        <v>N65:$N$99</v>
      </c>
      <c r="BA64" s="139" t="str" cm="1">
        <f t="array" aca="1" ref="BA64" ca="1">IFERROR(CELL("address",INDEX('Project Mull Review'!AF:AF, SMALL(IF('Project Mull Review'!AF$35:AF$682&lt;&gt;"",ROW('Project Mull Review'!AF$35:AF$682),""),ROWS('Project Mull Review'!AF$35:AF88)))),"")</f>
        <v/>
      </c>
      <c r="BB64" s="155" t="str">
        <f t="shared" ca="1" si="24"/>
        <v/>
      </c>
      <c r="BC64" s="155" t="str">
        <f t="shared" ca="1" si="25"/>
        <v/>
      </c>
      <c r="BD64" s="155" t="str" cm="1">
        <f t="array" aca="1" ref="BD64" ca="1">IFERROR(INDEX(MainCell,BE64,2),"")</f>
        <v/>
      </c>
      <c r="BE64" s="155" t="str">
        <f t="shared" ca="1" si="26"/>
        <v/>
      </c>
      <c r="BF64" s="64" t="str">
        <f t="shared" ca="1" si="27"/>
        <v/>
      </c>
      <c r="BG64" s="64" t="str">
        <f t="shared" ca="1" si="44"/>
        <v/>
      </c>
      <c r="BH64" s="64" t="str" cm="1">
        <f t="array" aca="1" ref="BH64" ca="1">IFERROR(CONCATENATE(INDIRECT(BF64)," ", INDIRECT(BG64)),"")</f>
        <v/>
      </c>
      <c r="BI64" s="64" t="str">
        <f t="shared" ca="1" si="29"/>
        <v/>
      </c>
      <c r="BJ64" s="155">
        <f t="shared" ca="1" si="52"/>
        <v>0</v>
      </c>
      <c r="BK64" s="155">
        <f t="shared" ca="1" si="53"/>
        <v>0</v>
      </c>
      <c r="BL64" s="155">
        <f t="shared" ca="1" si="71"/>
        <v>0</v>
      </c>
      <c r="BM64" s="155">
        <f t="shared" ca="1" si="71"/>
        <v>0</v>
      </c>
      <c r="BN64" s="155">
        <f t="shared" ca="1" si="71"/>
        <v>0</v>
      </c>
      <c r="BO64" s="155">
        <f t="shared" ca="1" si="71"/>
        <v>0</v>
      </c>
      <c r="BP64" s="155">
        <f t="shared" ca="1" si="71"/>
        <v>0</v>
      </c>
      <c r="BQ64" s="155">
        <f t="shared" ca="1" si="71"/>
        <v>0</v>
      </c>
      <c r="BR64" s="155">
        <f t="shared" ca="1" si="71"/>
        <v>0</v>
      </c>
      <c r="BS64" s="479">
        <f t="shared" ca="1" si="71"/>
        <v>0</v>
      </c>
      <c r="BV64" s="505" t="str" cm="1">
        <f t="array" aca="1" ref="BV64" ca="1">IF(BJ65=0,"",CONCATENATE(INDEX(FinalSort,BJ65,4),": ",INDEX(FinalSort,BJ65,8)))</f>
        <v/>
      </c>
      <c r="BW64" s="506" t="str" cm="1">
        <f t="array" aca="1" ref="BW64" ca="1">IF(BK65=0,"",CONCATENATE(INDEX(FinalSort,BK65,4),": ",INDEX(FinalSort,BK65,8)))</f>
        <v/>
      </c>
      <c r="BX64" s="506" t="str" cm="1">
        <f t="array" aca="1" ref="BX64" ca="1">IF(BL65=0,"",CONCATENATE(INDEX(FinalSort,BL65,4),": ",INDEX(FinalSort,BL65,8)))</f>
        <v/>
      </c>
      <c r="BY64" s="506" t="str" cm="1">
        <f t="array" aca="1" ref="BY64" ca="1">IF(BM65=0,"",CONCATENATE(INDEX(FinalSort,BM65,4),": ",INDEX(FinalSort,BM65,8)))</f>
        <v/>
      </c>
      <c r="BZ64" s="506" t="str" cm="1">
        <f t="array" aca="1" ref="BZ64" ca="1">IF(BN65=0,"",CONCATENATE(INDEX(FinalSort,BN65,4),": ",INDEX(FinalSort,BN65,8)))</f>
        <v/>
      </c>
      <c r="CA64" s="506" t="str" cm="1">
        <f t="array" aca="1" ref="CA64" ca="1">IF(BO65=0,"",CONCATENATE(INDEX(FinalSort,BO65,4),": ",INDEX(FinalSort,BO65,8)))</f>
        <v/>
      </c>
      <c r="CB64" s="506" t="str" cm="1">
        <f t="array" aca="1" ref="CB64" ca="1">IF(BP65=0,"",CONCATENATE(INDEX(FinalSort,BP65,4),": ",INDEX(FinalSort,BP65,8)))</f>
        <v/>
      </c>
      <c r="CC64" s="506" t="str" cm="1">
        <f t="array" aca="1" ref="CC64" ca="1">IF(BQ65=0,"",CONCATENATE(INDEX(FinalSort,BQ65,4),": ",INDEX(FinalSort,BQ65,8)))</f>
        <v/>
      </c>
      <c r="CD64" s="506" t="str" cm="1">
        <f t="array" aca="1" ref="CD64" ca="1">IF(BR65=0,"",CONCATENATE(INDEX(FinalSort,BR65,4),": ",INDEX(FinalSort,BR65,8)))</f>
        <v/>
      </c>
      <c r="CE64" s="507" t="str" cm="1">
        <f t="array" aca="1" ref="CE64" ca="1">IF(BS65=0,"",CONCATENATE(INDEX(FinalSort,BS65,4),": ",INDEX(FinalSort,BS65,8)))</f>
        <v/>
      </c>
    </row>
    <row r="65" spans="1:83" x14ac:dyDescent="0.25">
      <c r="A65" s="4">
        <v>56</v>
      </c>
      <c r="B65" s="326" t="str">
        <f t="shared" ca="1" si="47"/>
        <v/>
      </c>
      <c r="C65" s="462" t="str">
        <f t="shared" ca="1" si="4"/>
        <v/>
      </c>
      <c r="D65" s="463" t="str">
        <f t="shared" ca="1" si="5"/>
        <v/>
      </c>
      <c r="E65" s="471" t="str">
        <f t="shared" ca="1" si="6"/>
        <v/>
      </c>
      <c r="F65" s="473" t="str">
        <f t="shared" ca="1" si="48"/>
        <v/>
      </c>
      <c r="G65" s="522"/>
      <c r="H65" s="155"/>
      <c r="I65" s="443" t="str" cm="1">
        <f t="array" ref="I65">IFERROR(INDEX('Project Mull Review'!AF:AF, SMALL(IF('Project Mull Review'!AF$35:AF$682&lt;&gt;"",ROW('Project Mull Review'!AF$35:AF$682),""),ROWS('Project Mull Review'!AF$35:AF89))),"")</f>
        <v/>
      </c>
      <c r="J65" s="389" t="str" cm="1">
        <f t="array" ref="J65">IFERROR(INDEX('Project Mull Review'!AI:AI, SMALL(IF('Project Mull Review'!AI$35:AI$682&lt;&gt;"",ROW('Project Mull Review'!AI$35:AI$682),""),ROWS('Project Mull Review'!AI$35:AI89))),"")</f>
        <v/>
      </c>
      <c r="K65" s="442" t="str" cm="1">
        <f t="array" ref="K65">IFERROR(ROUND(INDEX('Project Mull Review'!AT:AT, SMALL(IF('Project Mull Review'!AI$35:AI$682&lt;&gt;"",ROW('Project Mull Review'!AI$35:AI$682),""),ROWS('Project Mull Review'!AI$35:AI89))),0),"")</f>
        <v/>
      </c>
      <c r="M65" s="140">
        <f>ROW()</f>
        <v>65</v>
      </c>
      <c r="N65" t="str">
        <f t="shared" si="11"/>
        <v/>
      </c>
      <c r="O65" t="str">
        <f t="shared" si="12"/>
        <v/>
      </c>
      <c r="P65" s="144">
        <f t="shared" ca="1" si="49"/>
        <v>0</v>
      </c>
      <c r="Q65" t="str">
        <f t="shared" ca="1" si="54"/>
        <v/>
      </c>
      <c r="R65" t="str">
        <f t="shared" ca="1" si="55"/>
        <v/>
      </c>
      <c r="S65" t="str">
        <f ca="1"/>
        <v/>
      </c>
      <c r="T65" s="144" t="str">
        <f ca="1"/>
        <v/>
      </c>
      <c r="U65" t="str">
        <f t="shared" ca="1" si="70"/>
        <v/>
      </c>
      <c r="V65" t="str">
        <f t="shared" ca="1" si="69"/>
        <v/>
      </c>
      <c r="AC65" t="str">
        <f t="shared" ca="1" si="65"/>
        <v/>
      </c>
      <c r="AD65" t="str" cm="1">
        <f t="array" aca="1" ref="AD65" ca="1">IFERROR(INDIRECT(_xlfn.CONCAT(AU$14,$V65)),"")</f>
        <v/>
      </c>
      <c r="AE65" s="144" t="str" cm="1">
        <f t="array" aca="1" ref="AE65" ca="1">IFERROR(INDIRECT(_xlfn.CONCAT(AU$16,$V65)),"")</f>
        <v/>
      </c>
      <c r="AF65" t="str">
        <f t="shared" ca="1" si="19"/>
        <v/>
      </c>
      <c r="AG65" s="525" t="str">
        <f ca="1"/>
        <v/>
      </c>
      <c r="AH65" s="467" t="str">
        <f t="shared" ca="1" si="34"/>
        <v/>
      </c>
      <c r="AI65" s="533" t="str">
        <f t="shared" ca="1" si="37"/>
        <v/>
      </c>
      <c r="AJ65" s="533" t="str">
        <f t="shared" ca="1" si="50"/>
        <v/>
      </c>
      <c r="AK65" t="str">
        <f t="shared" ca="1" si="35"/>
        <v/>
      </c>
      <c r="AL65" s="140" t="str">
        <f t="shared" ca="1" si="51"/>
        <v/>
      </c>
      <c r="AM65" t="str">
        <f t="shared" ca="1" si="21"/>
        <v/>
      </c>
      <c r="AN65" s="144" t="str">
        <f t="shared" ca="1" si="22"/>
        <v/>
      </c>
      <c r="AR65" s="483">
        <f t="shared" si="43"/>
        <v>551</v>
      </c>
      <c r="AS65" s="157" t="str">
        <f t="shared" si="41"/>
        <v>B551</v>
      </c>
      <c r="AT65" s="479" t="str">
        <f t="shared" si="42"/>
        <v>B557</v>
      </c>
      <c r="AU65" s="477"/>
      <c r="AW65" s="140" t="str">
        <f t="shared" si="66"/>
        <v>N65</v>
      </c>
      <c r="AX65" t="str">
        <f t="shared" si="67"/>
        <v>$N$11:N64</v>
      </c>
      <c r="AY65" s="144" t="str">
        <f t="shared" si="68"/>
        <v>N66:$N$99</v>
      </c>
      <c r="BA65" s="139" t="str" cm="1">
        <f t="array" aca="1" ref="BA65" ca="1">IFERROR(CELL("address",INDEX('Project Mull Review'!AF:AF, SMALL(IF('Project Mull Review'!AF$35:AF$682&lt;&gt;"",ROW('Project Mull Review'!AF$35:AF$682),""),ROWS('Project Mull Review'!AF$35:AF89)))),"")</f>
        <v/>
      </c>
      <c r="BB65" s="155" t="str">
        <f t="shared" ca="1" si="24"/>
        <v/>
      </c>
      <c r="BC65" s="155" t="str">
        <f t="shared" ca="1" si="25"/>
        <v/>
      </c>
      <c r="BD65" s="155" t="str" cm="1">
        <f t="array" aca="1" ref="BD65" ca="1">IFERROR(INDEX(MainCell,BE65,2),"")</f>
        <v/>
      </c>
      <c r="BE65" s="155" t="str">
        <f t="shared" ca="1" si="26"/>
        <v/>
      </c>
      <c r="BF65" s="64" t="str">
        <f t="shared" ca="1" si="27"/>
        <v/>
      </c>
      <c r="BG65" s="64" t="str">
        <f t="shared" ca="1" si="44"/>
        <v/>
      </c>
      <c r="BH65" s="64" t="str" cm="1">
        <f t="array" aca="1" ref="BH65" ca="1">IFERROR(CONCATENATE(INDIRECT(BF65)," ", INDIRECT(BG65)),"")</f>
        <v/>
      </c>
      <c r="BI65" s="64" t="str">
        <f t="shared" ca="1" si="29"/>
        <v/>
      </c>
      <c r="BJ65" s="155">
        <f t="shared" ca="1" si="52"/>
        <v>0</v>
      </c>
      <c r="BK65" s="155">
        <f t="shared" ca="1" si="53"/>
        <v>0</v>
      </c>
      <c r="BL65" s="155">
        <f t="shared" ca="1" si="71"/>
        <v>0</v>
      </c>
      <c r="BM65" s="155">
        <f t="shared" ca="1" si="71"/>
        <v>0</v>
      </c>
      <c r="BN65" s="155">
        <f t="shared" ca="1" si="71"/>
        <v>0</v>
      </c>
      <c r="BO65" s="155">
        <f t="shared" ca="1" si="71"/>
        <v>0</v>
      </c>
      <c r="BP65" s="155">
        <f t="shared" ca="1" si="71"/>
        <v>0</v>
      </c>
      <c r="BQ65" s="155">
        <f t="shared" ca="1" si="71"/>
        <v>0</v>
      </c>
      <c r="BR65" s="155">
        <f t="shared" ca="1" si="71"/>
        <v>0</v>
      </c>
      <c r="BS65" s="479">
        <f t="shared" ca="1" si="71"/>
        <v>0</v>
      </c>
      <c r="BV65" s="505" t="str" cm="1">
        <f t="array" aca="1" ref="BV65" ca="1">IF(BJ66=0,"",CONCATENATE(INDEX(FinalSort,BJ66,4),": ",INDEX(FinalSort,BJ66,8)))</f>
        <v/>
      </c>
      <c r="BW65" s="506" t="str" cm="1">
        <f t="array" aca="1" ref="BW65" ca="1">IF(BK66=0,"",CONCATENATE(INDEX(FinalSort,BK66,4),": ",INDEX(FinalSort,BK66,8)))</f>
        <v/>
      </c>
      <c r="BX65" s="506" t="str" cm="1">
        <f t="array" aca="1" ref="BX65" ca="1">IF(BL66=0,"",CONCATENATE(INDEX(FinalSort,BL66,4),": ",INDEX(FinalSort,BL66,8)))</f>
        <v/>
      </c>
      <c r="BY65" s="506" t="str" cm="1">
        <f t="array" aca="1" ref="BY65" ca="1">IF(BM66=0,"",CONCATENATE(INDEX(FinalSort,BM66,4),": ",INDEX(FinalSort,BM66,8)))</f>
        <v/>
      </c>
      <c r="BZ65" s="506" t="str" cm="1">
        <f t="array" aca="1" ref="BZ65" ca="1">IF(BN66=0,"",CONCATENATE(INDEX(FinalSort,BN66,4),": ",INDEX(FinalSort,BN66,8)))</f>
        <v/>
      </c>
      <c r="CA65" s="506" t="str" cm="1">
        <f t="array" aca="1" ref="CA65" ca="1">IF(BO66=0,"",CONCATENATE(INDEX(FinalSort,BO66,4),": ",INDEX(FinalSort,BO66,8)))</f>
        <v/>
      </c>
      <c r="CB65" s="506" t="str" cm="1">
        <f t="array" aca="1" ref="CB65" ca="1">IF(BP66=0,"",CONCATENATE(INDEX(FinalSort,BP66,4),": ",INDEX(FinalSort,BP66,8)))</f>
        <v/>
      </c>
      <c r="CC65" s="506" t="str" cm="1">
        <f t="array" aca="1" ref="CC65" ca="1">IF(BQ66=0,"",CONCATENATE(INDEX(FinalSort,BQ66,4),": ",INDEX(FinalSort,BQ66,8)))</f>
        <v/>
      </c>
      <c r="CD65" s="506" t="str" cm="1">
        <f t="array" aca="1" ref="CD65" ca="1">IF(BR66=0,"",CONCATENATE(INDEX(FinalSort,BR66,4),": ",INDEX(FinalSort,BR66,8)))</f>
        <v/>
      </c>
      <c r="CE65" s="507" t="str" cm="1">
        <f t="array" aca="1" ref="CE65" ca="1">IF(BS66=0,"",CONCATENATE(INDEX(FinalSort,BS66,4),": ",INDEX(FinalSort,BS66,8)))</f>
        <v/>
      </c>
    </row>
    <row r="66" spans="1:83" x14ac:dyDescent="0.25">
      <c r="A66" s="4">
        <v>57</v>
      </c>
      <c r="B66" s="326" t="str">
        <f t="shared" ca="1" si="47"/>
        <v/>
      </c>
      <c r="C66" s="462" t="str">
        <f t="shared" ca="1" si="4"/>
        <v/>
      </c>
      <c r="D66" s="463" t="str">
        <f t="shared" ca="1" si="5"/>
        <v/>
      </c>
      <c r="E66" s="471" t="str">
        <f t="shared" ca="1" si="6"/>
        <v/>
      </c>
      <c r="F66" s="473" t="str">
        <f t="shared" ca="1" si="48"/>
        <v/>
      </c>
      <c r="G66" s="522"/>
      <c r="H66" s="155"/>
      <c r="I66" s="443" t="str" cm="1">
        <f t="array" ref="I66">IFERROR(INDEX('Project Mull Review'!AF:AF, SMALL(IF('Project Mull Review'!AF$35:AF$682&lt;&gt;"",ROW('Project Mull Review'!AF$35:AF$682),""),ROWS('Project Mull Review'!AF$35:AF90))),"")</f>
        <v/>
      </c>
      <c r="J66" s="389" t="str" cm="1">
        <f t="array" ref="J66">IFERROR(INDEX('Project Mull Review'!AI:AI, SMALL(IF('Project Mull Review'!AI$35:AI$682&lt;&gt;"",ROW('Project Mull Review'!AI$35:AI$682),""),ROWS('Project Mull Review'!AI$35:AI90))),"")</f>
        <v/>
      </c>
      <c r="K66" s="442" t="str" cm="1">
        <f t="array" ref="K66">IFERROR(ROUND(INDEX('Project Mull Review'!AT:AT, SMALL(IF('Project Mull Review'!AI$35:AI$682&lt;&gt;"",ROW('Project Mull Review'!AI$35:AI$682),""),ROWS('Project Mull Review'!AI$35:AI90))),0),"")</f>
        <v/>
      </c>
      <c r="M66" s="140">
        <f>ROW()</f>
        <v>66</v>
      </c>
      <c r="N66" t="str">
        <f t="shared" si="11"/>
        <v/>
      </c>
      <c r="O66" t="str">
        <f t="shared" si="12"/>
        <v/>
      </c>
      <c r="P66" s="144">
        <f t="shared" ca="1" si="49"/>
        <v>0</v>
      </c>
      <c r="Q66" t="str">
        <f t="shared" ca="1" si="54"/>
        <v/>
      </c>
      <c r="R66" t="str">
        <f t="shared" ca="1" si="55"/>
        <v/>
      </c>
      <c r="S66" t="str">
        <f ca="1"/>
        <v/>
      </c>
      <c r="T66" s="144" t="str">
        <f ca="1"/>
        <v/>
      </c>
      <c r="U66" t="str">
        <f t="shared" ca="1" si="70"/>
        <v/>
      </c>
      <c r="V66" t="str">
        <f t="shared" ca="1" si="69"/>
        <v/>
      </c>
      <c r="AC66" t="str">
        <f t="shared" ca="1" si="65"/>
        <v/>
      </c>
      <c r="AD66" t="str" cm="1">
        <f t="array" aca="1" ref="AD66" ca="1">IFERROR(INDIRECT(_xlfn.CONCAT(AU$14,$V66)),"")</f>
        <v/>
      </c>
      <c r="AE66" s="144" t="str" cm="1">
        <f t="array" aca="1" ref="AE66" ca="1">IFERROR(INDIRECT(_xlfn.CONCAT(AU$16,$V66)),"")</f>
        <v/>
      </c>
      <c r="AF66" t="str">
        <f t="shared" ca="1" si="19"/>
        <v/>
      </c>
      <c r="AG66" s="525" t="str">
        <f ca="1"/>
        <v/>
      </c>
      <c r="AH66" s="467" t="str">
        <f t="shared" ca="1" si="34"/>
        <v/>
      </c>
      <c r="AI66" s="533" t="str">
        <f t="shared" ca="1" si="37"/>
        <v/>
      </c>
      <c r="AJ66" s="533" t="str">
        <f t="shared" ca="1" si="50"/>
        <v/>
      </c>
      <c r="AK66" t="str">
        <f t="shared" ca="1" si="35"/>
        <v/>
      </c>
      <c r="AL66" s="140" t="str">
        <f t="shared" ca="1" si="51"/>
        <v/>
      </c>
      <c r="AM66" t="str">
        <f t="shared" ca="1" si="21"/>
        <v/>
      </c>
      <c r="AN66" s="144" t="str">
        <f t="shared" ca="1" si="22"/>
        <v/>
      </c>
      <c r="AR66" s="483">
        <f t="shared" si="43"/>
        <v>563</v>
      </c>
      <c r="AS66" s="157" t="str">
        <f t="shared" si="41"/>
        <v>B563</v>
      </c>
      <c r="AT66" s="479" t="str">
        <f t="shared" si="42"/>
        <v>B569</v>
      </c>
      <c r="AU66" s="477"/>
      <c r="AW66" s="140" t="str">
        <f t="shared" si="66"/>
        <v>N66</v>
      </c>
      <c r="AX66" t="str">
        <f t="shared" si="67"/>
        <v>$N$11:N65</v>
      </c>
      <c r="AY66" s="144" t="str">
        <f t="shared" si="68"/>
        <v>N67:$N$99</v>
      </c>
      <c r="BA66" s="139" t="str" cm="1">
        <f t="array" aca="1" ref="BA66" ca="1">IFERROR(CELL("address",INDEX('Project Mull Review'!AF:AF, SMALL(IF('Project Mull Review'!AF$35:AF$682&lt;&gt;"",ROW('Project Mull Review'!AF$35:AF$682),""),ROWS('Project Mull Review'!AF$35:AF90)))),"")</f>
        <v/>
      </c>
      <c r="BB66" s="155" t="str">
        <f t="shared" ca="1" si="24"/>
        <v/>
      </c>
      <c r="BC66" s="155" t="str">
        <f t="shared" ca="1" si="25"/>
        <v/>
      </c>
      <c r="BD66" s="155" t="str" cm="1">
        <f t="array" aca="1" ref="BD66" ca="1">IFERROR(INDEX(MainCell,BE66,2),"")</f>
        <v/>
      </c>
      <c r="BE66" s="155" t="str">
        <f t="shared" ca="1" si="26"/>
        <v/>
      </c>
      <c r="BF66" s="64" t="str">
        <f t="shared" ca="1" si="27"/>
        <v/>
      </c>
      <c r="BG66" s="64" t="str">
        <f t="shared" ca="1" si="44"/>
        <v/>
      </c>
      <c r="BH66" s="64" t="str" cm="1">
        <f t="array" aca="1" ref="BH66" ca="1">IFERROR(CONCATENATE(INDIRECT(BF66)," ", INDIRECT(BG66)),"")</f>
        <v/>
      </c>
      <c r="BI66" s="64" t="str">
        <f t="shared" ca="1" si="29"/>
        <v/>
      </c>
      <c r="BJ66" s="155">
        <f t="shared" ca="1" si="52"/>
        <v>0</v>
      </c>
      <c r="BK66" s="155">
        <f t="shared" ca="1" si="53"/>
        <v>0</v>
      </c>
      <c r="BL66" s="155">
        <f t="shared" ca="1" si="71"/>
        <v>0</v>
      </c>
      <c r="BM66" s="155">
        <f t="shared" ca="1" si="71"/>
        <v>0</v>
      </c>
      <c r="BN66" s="155">
        <f t="shared" ca="1" si="71"/>
        <v>0</v>
      </c>
      <c r="BO66" s="155">
        <f t="shared" ca="1" si="71"/>
        <v>0</v>
      </c>
      <c r="BP66" s="155">
        <f t="shared" ca="1" si="71"/>
        <v>0</v>
      </c>
      <c r="BQ66" s="155">
        <f t="shared" ca="1" si="71"/>
        <v>0</v>
      </c>
      <c r="BR66" s="155">
        <f t="shared" ca="1" si="71"/>
        <v>0</v>
      </c>
      <c r="BS66" s="479">
        <f t="shared" ca="1" si="71"/>
        <v>0</v>
      </c>
      <c r="BV66" s="505" t="str" cm="1">
        <f t="array" aca="1" ref="BV66" ca="1">IF(BJ67=0,"",CONCATENATE(INDEX(FinalSort,BJ67,4),": ",INDEX(FinalSort,BJ67,8)))</f>
        <v/>
      </c>
      <c r="BW66" s="506" t="str" cm="1">
        <f t="array" aca="1" ref="BW66" ca="1">IF(BK67=0,"",CONCATENATE(INDEX(FinalSort,BK67,4),": ",INDEX(FinalSort,BK67,8)))</f>
        <v/>
      </c>
      <c r="BX66" s="506" t="str" cm="1">
        <f t="array" aca="1" ref="BX66" ca="1">IF(BL67=0,"",CONCATENATE(INDEX(FinalSort,BL67,4),": ",INDEX(FinalSort,BL67,8)))</f>
        <v/>
      </c>
      <c r="BY66" s="506" t="str" cm="1">
        <f t="array" aca="1" ref="BY66" ca="1">IF(BM67=0,"",CONCATENATE(INDEX(FinalSort,BM67,4),": ",INDEX(FinalSort,BM67,8)))</f>
        <v/>
      </c>
      <c r="BZ66" s="506" t="str" cm="1">
        <f t="array" aca="1" ref="BZ66" ca="1">IF(BN67=0,"",CONCATENATE(INDEX(FinalSort,BN67,4),": ",INDEX(FinalSort,BN67,8)))</f>
        <v/>
      </c>
      <c r="CA66" s="506" t="str" cm="1">
        <f t="array" aca="1" ref="CA66" ca="1">IF(BO67=0,"",CONCATENATE(INDEX(FinalSort,BO67,4),": ",INDEX(FinalSort,BO67,8)))</f>
        <v/>
      </c>
      <c r="CB66" s="506" t="str" cm="1">
        <f t="array" aca="1" ref="CB66" ca="1">IF(BP67=0,"",CONCATENATE(INDEX(FinalSort,BP67,4),": ",INDEX(FinalSort,BP67,8)))</f>
        <v/>
      </c>
      <c r="CC66" s="506" t="str" cm="1">
        <f t="array" aca="1" ref="CC66" ca="1">IF(BQ67=0,"",CONCATENATE(INDEX(FinalSort,BQ67,4),": ",INDEX(FinalSort,BQ67,8)))</f>
        <v/>
      </c>
      <c r="CD66" s="506" t="str" cm="1">
        <f t="array" aca="1" ref="CD66" ca="1">IF(BR67=0,"",CONCATENATE(INDEX(FinalSort,BR67,4),": ",INDEX(FinalSort,BR67,8)))</f>
        <v/>
      </c>
      <c r="CE66" s="507" t="str" cm="1">
        <f t="array" aca="1" ref="CE66" ca="1">IF(BS67=0,"",CONCATENATE(INDEX(FinalSort,BS67,4),": ",INDEX(FinalSort,BS67,8)))</f>
        <v/>
      </c>
    </row>
    <row r="67" spans="1:83" x14ac:dyDescent="0.25">
      <c r="A67" s="4">
        <v>58</v>
      </c>
      <c r="B67" s="326" t="str">
        <f t="shared" ca="1" si="47"/>
        <v/>
      </c>
      <c r="C67" s="462" t="str">
        <f t="shared" ca="1" si="4"/>
        <v/>
      </c>
      <c r="D67" s="463" t="str">
        <f t="shared" ca="1" si="5"/>
        <v/>
      </c>
      <c r="E67" s="471" t="str">
        <f t="shared" ca="1" si="6"/>
        <v/>
      </c>
      <c r="F67" s="473" t="str">
        <f t="shared" ca="1" si="48"/>
        <v/>
      </c>
      <c r="G67" s="522"/>
      <c r="H67" s="155"/>
      <c r="I67" s="443" t="str" cm="1">
        <f t="array" ref="I67">IFERROR(INDEX('Project Mull Review'!AF:AF, SMALL(IF('Project Mull Review'!AF$35:AF$682&lt;&gt;"",ROW('Project Mull Review'!AF$35:AF$682),""),ROWS('Project Mull Review'!AF$35:AF91))),"")</f>
        <v/>
      </c>
      <c r="J67" s="389" t="str" cm="1">
        <f t="array" ref="J67">IFERROR(INDEX('Project Mull Review'!AI:AI, SMALL(IF('Project Mull Review'!AI$35:AI$682&lt;&gt;"",ROW('Project Mull Review'!AI$35:AI$682),""),ROWS('Project Mull Review'!AI$35:AI91))),"")</f>
        <v/>
      </c>
      <c r="K67" s="442" t="str" cm="1">
        <f t="array" ref="K67">IFERROR(ROUND(INDEX('Project Mull Review'!AT:AT, SMALL(IF('Project Mull Review'!AI$35:AI$682&lt;&gt;"",ROW('Project Mull Review'!AI$35:AI$682),""),ROWS('Project Mull Review'!AI$35:AI91))),0),"")</f>
        <v/>
      </c>
      <c r="M67" s="140">
        <f>ROW()</f>
        <v>67</v>
      </c>
      <c r="N67" t="str">
        <f t="shared" si="11"/>
        <v/>
      </c>
      <c r="O67" t="str">
        <f t="shared" si="12"/>
        <v/>
      </c>
      <c r="P67" s="144">
        <f t="shared" ca="1" si="49"/>
        <v>0</v>
      </c>
      <c r="Q67" t="str">
        <f t="shared" ca="1" si="54"/>
        <v/>
      </c>
      <c r="R67" t="str">
        <f t="shared" ca="1" si="55"/>
        <v/>
      </c>
      <c r="S67" t="str">
        <f ca="1"/>
        <v/>
      </c>
      <c r="T67" s="144" t="str">
        <f ca="1"/>
        <v/>
      </c>
      <c r="U67" t="str">
        <f t="shared" ca="1" si="70"/>
        <v/>
      </c>
      <c r="V67" t="str">
        <f t="shared" ca="1" si="69"/>
        <v/>
      </c>
      <c r="AC67" t="str">
        <f t="shared" ca="1" si="65"/>
        <v/>
      </c>
      <c r="AD67" t="str" cm="1">
        <f t="array" aca="1" ref="AD67" ca="1">IFERROR(INDIRECT(_xlfn.CONCAT(AU$14,$V67)),"")</f>
        <v/>
      </c>
      <c r="AE67" s="144" t="str" cm="1">
        <f t="array" aca="1" ref="AE67" ca="1">IFERROR(INDIRECT(_xlfn.CONCAT(AU$16,$V67)),"")</f>
        <v/>
      </c>
      <c r="AF67" t="str">
        <f t="shared" ca="1" si="19"/>
        <v/>
      </c>
      <c r="AG67" s="525" t="str">
        <f ca="1"/>
        <v/>
      </c>
      <c r="AH67" s="467" t="str">
        <f t="shared" ca="1" si="34"/>
        <v/>
      </c>
      <c r="AI67" s="533" t="str">
        <f t="shared" ca="1" si="37"/>
        <v/>
      </c>
      <c r="AJ67" s="533" t="str">
        <f t="shared" ca="1" si="50"/>
        <v/>
      </c>
      <c r="AK67" t="str">
        <f t="shared" ca="1" si="35"/>
        <v/>
      </c>
      <c r="AL67" s="140" t="str">
        <f t="shared" ca="1" si="51"/>
        <v/>
      </c>
      <c r="AM67" t="str">
        <f t="shared" ca="1" si="21"/>
        <v/>
      </c>
      <c r="AN67" s="144" t="str">
        <f t="shared" ca="1" si="22"/>
        <v/>
      </c>
      <c r="AR67" s="483">
        <f t="shared" si="43"/>
        <v>575</v>
      </c>
      <c r="AS67" s="157" t="str">
        <f t="shared" si="41"/>
        <v>B575</v>
      </c>
      <c r="AT67" s="479" t="str">
        <f t="shared" si="42"/>
        <v>B581</v>
      </c>
      <c r="AU67" s="477"/>
      <c r="AW67" s="140" t="str">
        <f t="shared" si="66"/>
        <v>N67</v>
      </c>
      <c r="AX67" t="str">
        <f t="shared" si="67"/>
        <v>$N$11:N66</v>
      </c>
      <c r="AY67" s="144" t="str">
        <f t="shared" si="68"/>
        <v>N68:$N$99</v>
      </c>
      <c r="BA67" s="139" t="str" cm="1">
        <f t="array" aca="1" ref="BA67" ca="1">IFERROR(CELL("address",INDEX('Project Mull Review'!AF:AF, SMALL(IF('Project Mull Review'!AF$35:AF$682&lt;&gt;"",ROW('Project Mull Review'!AF$35:AF$682),""),ROWS('Project Mull Review'!AF$35:AF91)))),"")</f>
        <v/>
      </c>
      <c r="BB67" s="155" t="str">
        <f t="shared" ca="1" si="24"/>
        <v/>
      </c>
      <c r="BC67" s="155" t="str">
        <f t="shared" ca="1" si="25"/>
        <v/>
      </c>
      <c r="BD67" s="155" t="str" cm="1">
        <f t="array" aca="1" ref="BD67" ca="1">IFERROR(INDEX(MainCell,BE67,2),"")</f>
        <v/>
      </c>
      <c r="BE67" s="155" t="str">
        <f t="shared" ca="1" si="26"/>
        <v/>
      </c>
      <c r="BF67" s="64" t="str">
        <f t="shared" ca="1" si="27"/>
        <v/>
      </c>
      <c r="BG67" s="64" t="str">
        <f t="shared" ca="1" si="44"/>
        <v/>
      </c>
      <c r="BH67" s="64" t="str" cm="1">
        <f t="array" aca="1" ref="BH67" ca="1">IFERROR(CONCATENATE(INDIRECT(BF67)," ", INDIRECT(BG67)),"")</f>
        <v/>
      </c>
      <c r="BI67" s="64" t="str">
        <f t="shared" ca="1" si="29"/>
        <v/>
      </c>
      <c r="BJ67" s="155">
        <f t="shared" ca="1" si="52"/>
        <v>0</v>
      </c>
      <c r="BK67" s="155">
        <f t="shared" ca="1" si="53"/>
        <v>0</v>
      </c>
      <c r="BL67" s="155">
        <f t="shared" ca="1" si="71"/>
        <v>0</v>
      </c>
      <c r="BM67" s="155">
        <f t="shared" ca="1" si="71"/>
        <v>0</v>
      </c>
      <c r="BN67" s="155">
        <f t="shared" ca="1" si="71"/>
        <v>0</v>
      </c>
      <c r="BO67" s="155">
        <f t="shared" ca="1" si="71"/>
        <v>0</v>
      </c>
      <c r="BP67" s="155">
        <f t="shared" ca="1" si="71"/>
        <v>0</v>
      </c>
      <c r="BQ67" s="155">
        <f t="shared" ca="1" si="71"/>
        <v>0</v>
      </c>
      <c r="BR67" s="155">
        <f t="shared" ca="1" si="71"/>
        <v>0</v>
      </c>
      <c r="BS67" s="479">
        <f t="shared" ca="1" si="71"/>
        <v>0</v>
      </c>
      <c r="BV67" s="505" t="str" cm="1">
        <f t="array" aca="1" ref="BV67" ca="1">IF(BJ68=0,"",CONCATENATE(INDEX(FinalSort,BJ68,4),": ",INDEX(FinalSort,BJ68,8)))</f>
        <v/>
      </c>
      <c r="BW67" s="506" t="str" cm="1">
        <f t="array" aca="1" ref="BW67" ca="1">IF(BK68=0,"",CONCATENATE(INDEX(FinalSort,BK68,4),": ",INDEX(FinalSort,BK68,8)))</f>
        <v/>
      </c>
      <c r="BX67" s="506" t="str" cm="1">
        <f t="array" aca="1" ref="BX67" ca="1">IF(BL68=0,"",CONCATENATE(INDEX(FinalSort,BL68,4),": ",INDEX(FinalSort,BL68,8)))</f>
        <v/>
      </c>
      <c r="BY67" s="506" t="str" cm="1">
        <f t="array" aca="1" ref="BY67" ca="1">IF(BM68=0,"",CONCATENATE(INDEX(FinalSort,BM68,4),": ",INDEX(FinalSort,BM68,8)))</f>
        <v/>
      </c>
      <c r="BZ67" s="506" t="str" cm="1">
        <f t="array" aca="1" ref="BZ67" ca="1">IF(BN68=0,"",CONCATENATE(INDEX(FinalSort,BN68,4),": ",INDEX(FinalSort,BN68,8)))</f>
        <v/>
      </c>
      <c r="CA67" s="506" t="str" cm="1">
        <f t="array" aca="1" ref="CA67" ca="1">IF(BO68=0,"",CONCATENATE(INDEX(FinalSort,BO68,4),": ",INDEX(FinalSort,BO68,8)))</f>
        <v/>
      </c>
      <c r="CB67" s="506" t="str" cm="1">
        <f t="array" aca="1" ref="CB67" ca="1">IF(BP68=0,"",CONCATENATE(INDEX(FinalSort,BP68,4),": ",INDEX(FinalSort,BP68,8)))</f>
        <v/>
      </c>
      <c r="CC67" s="506" t="str" cm="1">
        <f t="array" aca="1" ref="CC67" ca="1">IF(BQ68=0,"",CONCATENATE(INDEX(FinalSort,BQ68,4),": ",INDEX(FinalSort,BQ68,8)))</f>
        <v/>
      </c>
      <c r="CD67" s="506" t="str" cm="1">
        <f t="array" aca="1" ref="CD67" ca="1">IF(BR68=0,"",CONCATENATE(INDEX(FinalSort,BR68,4),": ",INDEX(FinalSort,BR68,8)))</f>
        <v/>
      </c>
      <c r="CE67" s="507" t="str" cm="1">
        <f t="array" aca="1" ref="CE67" ca="1">IF(BS68=0,"",CONCATENATE(INDEX(FinalSort,BS68,4),": ",INDEX(FinalSort,BS68,8)))</f>
        <v/>
      </c>
    </row>
    <row r="68" spans="1:83" x14ac:dyDescent="0.25">
      <c r="A68" s="4">
        <v>59</v>
      </c>
      <c r="B68" s="326" t="str">
        <f t="shared" ca="1" si="47"/>
        <v/>
      </c>
      <c r="C68" s="462" t="str">
        <f t="shared" ca="1" si="4"/>
        <v/>
      </c>
      <c r="D68" s="463" t="str">
        <f t="shared" ca="1" si="5"/>
        <v/>
      </c>
      <c r="E68" s="471" t="str">
        <f t="shared" ca="1" si="6"/>
        <v/>
      </c>
      <c r="F68" s="473" t="str">
        <f t="shared" ca="1" si="48"/>
        <v/>
      </c>
      <c r="G68" s="522"/>
      <c r="H68" s="155"/>
      <c r="I68" s="443" t="str" cm="1">
        <f t="array" ref="I68">IFERROR(INDEX('Project Mull Review'!AF:AF, SMALL(IF('Project Mull Review'!AF$35:AF$682&lt;&gt;"",ROW('Project Mull Review'!AF$35:AF$682),""),ROWS('Project Mull Review'!AF$35:AF92))),"")</f>
        <v/>
      </c>
      <c r="J68" s="389" t="str" cm="1">
        <f t="array" ref="J68">IFERROR(INDEX('Project Mull Review'!AI:AI, SMALL(IF('Project Mull Review'!AI$35:AI$682&lt;&gt;"",ROW('Project Mull Review'!AI$35:AI$682),""),ROWS('Project Mull Review'!AI$35:AI92))),"")</f>
        <v/>
      </c>
      <c r="K68" s="442" t="str" cm="1">
        <f t="array" ref="K68">IFERROR(ROUND(INDEX('Project Mull Review'!AT:AT, SMALL(IF('Project Mull Review'!AI$35:AI$682&lt;&gt;"",ROW('Project Mull Review'!AI$35:AI$682),""),ROWS('Project Mull Review'!AI$35:AI92))),0),"")</f>
        <v/>
      </c>
      <c r="M68" s="140">
        <f>ROW()</f>
        <v>68</v>
      </c>
      <c r="N68" t="str">
        <f t="shared" si="11"/>
        <v/>
      </c>
      <c r="O68" t="str">
        <f t="shared" si="12"/>
        <v/>
      </c>
      <c r="P68" s="144">
        <f t="shared" ca="1" si="49"/>
        <v>0</v>
      </c>
      <c r="Q68" t="str">
        <f t="shared" ca="1" si="54"/>
        <v/>
      </c>
      <c r="R68" t="str">
        <f t="shared" ca="1" si="55"/>
        <v/>
      </c>
      <c r="S68" t="str">
        <f ca="1"/>
        <v/>
      </c>
      <c r="T68" s="144" t="str">
        <f ca="1"/>
        <v/>
      </c>
      <c r="U68" t="str">
        <f t="shared" ca="1" si="70"/>
        <v/>
      </c>
      <c r="V68" t="str">
        <f t="shared" ca="1" si="69"/>
        <v/>
      </c>
      <c r="AC68" t="str">
        <f t="shared" ca="1" si="65"/>
        <v/>
      </c>
      <c r="AD68" t="str" cm="1">
        <f t="array" aca="1" ref="AD68" ca="1">IFERROR(INDIRECT(_xlfn.CONCAT(AU$14,$V68)),"")</f>
        <v/>
      </c>
      <c r="AE68" s="144" t="str" cm="1">
        <f t="array" aca="1" ref="AE68" ca="1">IFERROR(INDIRECT(_xlfn.CONCAT(AU$16,$V68)),"")</f>
        <v/>
      </c>
      <c r="AF68" t="str">
        <f t="shared" ca="1" si="19"/>
        <v/>
      </c>
      <c r="AG68" s="525" t="str">
        <f ca="1"/>
        <v/>
      </c>
      <c r="AH68" s="467" t="str">
        <f t="shared" ca="1" si="34"/>
        <v/>
      </c>
      <c r="AI68" s="533" t="str">
        <f t="shared" ca="1" si="37"/>
        <v/>
      </c>
      <c r="AJ68" s="533" t="str">
        <f t="shared" ca="1" si="50"/>
        <v/>
      </c>
      <c r="AK68" t="str">
        <f t="shared" ca="1" si="35"/>
        <v/>
      </c>
      <c r="AL68" s="140" t="str">
        <f t="shared" ca="1" si="51"/>
        <v/>
      </c>
      <c r="AM68" t="str">
        <f t="shared" ca="1" si="21"/>
        <v/>
      </c>
      <c r="AN68" s="144" t="str">
        <f t="shared" ca="1" si="22"/>
        <v/>
      </c>
      <c r="AR68" s="483">
        <f t="shared" si="43"/>
        <v>587</v>
      </c>
      <c r="AS68" s="157" t="str">
        <f t="shared" si="41"/>
        <v>B587</v>
      </c>
      <c r="AT68" s="479" t="str">
        <f t="shared" si="42"/>
        <v>B593</v>
      </c>
      <c r="AU68" s="477"/>
      <c r="AW68" s="140" t="str">
        <f t="shared" si="66"/>
        <v>N68</v>
      </c>
      <c r="AX68" t="str">
        <f t="shared" si="67"/>
        <v>$N$11:N67</v>
      </c>
      <c r="AY68" s="144" t="str">
        <f t="shared" si="68"/>
        <v>N69:$N$99</v>
      </c>
      <c r="BA68" s="139" t="str" cm="1">
        <f t="array" aca="1" ref="BA68" ca="1">IFERROR(CELL("address",INDEX('Project Mull Review'!AF:AF, SMALL(IF('Project Mull Review'!AF$35:AF$682&lt;&gt;"",ROW('Project Mull Review'!AF$35:AF$682),""),ROWS('Project Mull Review'!AF$35:AF92)))),"")</f>
        <v/>
      </c>
      <c r="BB68" s="155" t="str">
        <f t="shared" ca="1" si="24"/>
        <v/>
      </c>
      <c r="BC68" s="155" t="str">
        <f t="shared" ca="1" si="25"/>
        <v/>
      </c>
      <c r="BD68" s="155" t="str" cm="1">
        <f t="array" aca="1" ref="BD68" ca="1">IFERROR(INDEX(MainCell,BE68,2),"")</f>
        <v/>
      </c>
      <c r="BE68" s="155" t="str">
        <f t="shared" ca="1" si="26"/>
        <v/>
      </c>
      <c r="BF68" s="64" t="str">
        <f t="shared" ca="1" si="27"/>
        <v/>
      </c>
      <c r="BG68" s="64" t="str">
        <f t="shared" ca="1" si="44"/>
        <v/>
      </c>
      <c r="BH68" s="64" t="str" cm="1">
        <f t="array" aca="1" ref="BH68" ca="1">IFERROR(CONCATENATE(INDIRECT(BF68)," ", INDIRECT(BG68)),"")</f>
        <v/>
      </c>
      <c r="BI68" s="64" t="str">
        <f t="shared" ca="1" si="29"/>
        <v/>
      </c>
      <c r="BJ68" s="155">
        <f t="shared" ca="1" si="52"/>
        <v>0</v>
      </c>
      <c r="BK68" s="155">
        <f t="shared" ca="1" si="53"/>
        <v>0</v>
      </c>
      <c r="BL68" s="155">
        <f t="shared" ca="1" si="71"/>
        <v>0</v>
      </c>
      <c r="BM68" s="155">
        <f t="shared" ca="1" si="71"/>
        <v>0</v>
      </c>
      <c r="BN68" s="155">
        <f t="shared" ca="1" si="71"/>
        <v>0</v>
      </c>
      <c r="BO68" s="155">
        <f t="shared" ca="1" si="71"/>
        <v>0</v>
      </c>
      <c r="BP68" s="155">
        <f t="shared" ca="1" si="71"/>
        <v>0</v>
      </c>
      <c r="BQ68" s="155">
        <f t="shared" ca="1" si="71"/>
        <v>0</v>
      </c>
      <c r="BR68" s="155">
        <f t="shared" ca="1" si="71"/>
        <v>0</v>
      </c>
      <c r="BS68" s="479">
        <f t="shared" ca="1" si="71"/>
        <v>0</v>
      </c>
      <c r="BV68" s="505" t="str" cm="1">
        <f t="array" aca="1" ref="BV68" ca="1">IF(BJ69=0,"",CONCATENATE(INDEX(FinalSort,BJ69,4),": ",INDEX(FinalSort,BJ69,8)))</f>
        <v/>
      </c>
      <c r="BW68" s="506" t="str" cm="1">
        <f t="array" aca="1" ref="BW68" ca="1">IF(BK69=0,"",CONCATENATE(INDEX(FinalSort,BK69,4),": ",INDEX(FinalSort,BK69,8)))</f>
        <v/>
      </c>
      <c r="BX68" s="506" t="str" cm="1">
        <f t="array" aca="1" ref="BX68" ca="1">IF(BL69=0,"",CONCATENATE(INDEX(FinalSort,BL69,4),": ",INDEX(FinalSort,BL69,8)))</f>
        <v/>
      </c>
      <c r="BY68" s="506" t="str" cm="1">
        <f t="array" aca="1" ref="BY68" ca="1">IF(BM69=0,"",CONCATENATE(INDEX(FinalSort,BM69,4),": ",INDEX(FinalSort,BM69,8)))</f>
        <v/>
      </c>
      <c r="BZ68" s="506" t="str" cm="1">
        <f t="array" aca="1" ref="BZ68" ca="1">IF(BN69=0,"",CONCATENATE(INDEX(FinalSort,BN69,4),": ",INDEX(FinalSort,BN69,8)))</f>
        <v/>
      </c>
      <c r="CA68" s="506" t="str" cm="1">
        <f t="array" aca="1" ref="CA68" ca="1">IF(BO69=0,"",CONCATENATE(INDEX(FinalSort,BO69,4),": ",INDEX(FinalSort,BO69,8)))</f>
        <v/>
      </c>
      <c r="CB68" s="506" t="str" cm="1">
        <f t="array" aca="1" ref="CB68" ca="1">IF(BP69=0,"",CONCATENATE(INDEX(FinalSort,BP69,4),": ",INDEX(FinalSort,BP69,8)))</f>
        <v/>
      </c>
      <c r="CC68" s="506" t="str" cm="1">
        <f t="array" aca="1" ref="CC68" ca="1">IF(BQ69=0,"",CONCATENATE(INDEX(FinalSort,BQ69,4),": ",INDEX(FinalSort,BQ69,8)))</f>
        <v/>
      </c>
      <c r="CD68" s="506" t="str" cm="1">
        <f t="array" aca="1" ref="CD68" ca="1">IF(BR69=0,"",CONCATENATE(INDEX(FinalSort,BR69,4),": ",INDEX(FinalSort,BR69,8)))</f>
        <v/>
      </c>
      <c r="CE68" s="507" t="str" cm="1">
        <f t="array" aca="1" ref="CE68" ca="1">IF(BS69=0,"",CONCATENATE(INDEX(FinalSort,BS69,4),": ",INDEX(FinalSort,BS69,8)))</f>
        <v/>
      </c>
    </row>
    <row r="69" spans="1:83" x14ac:dyDescent="0.25">
      <c r="A69" s="4">
        <v>60</v>
      </c>
      <c r="B69" s="326" t="str">
        <f t="shared" ca="1" si="47"/>
        <v/>
      </c>
      <c r="C69" s="462" t="str">
        <f t="shared" ca="1" si="4"/>
        <v/>
      </c>
      <c r="D69" s="463" t="str">
        <f t="shared" ca="1" si="5"/>
        <v/>
      </c>
      <c r="E69" s="471" t="str">
        <f t="shared" ca="1" si="6"/>
        <v/>
      </c>
      <c r="F69" s="473" t="str">
        <f t="shared" ca="1" si="48"/>
        <v/>
      </c>
      <c r="G69" s="522"/>
      <c r="H69" s="155"/>
      <c r="I69" s="443" t="str" cm="1">
        <f t="array" ref="I69">IFERROR(INDEX('Project Mull Review'!AF:AF, SMALL(IF('Project Mull Review'!AF$35:AF$682&lt;&gt;"",ROW('Project Mull Review'!AF$35:AF$682),""),ROWS('Project Mull Review'!AF$35:AF93))),"")</f>
        <v/>
      </c>
      <c r="J69" s="389" t="str" cm="1">
        <f t="array" ref="J69">IFERROR(INDEX('Project Mull Review'!AI:AI, SMALL(IF('Project Mull Review'!AI$35:AI$682&lt;&gt;"",ROW('Project Mull Review'!AI$35:AI$682),""),ROWS('Project Mull Review'!AI$35:AI93))),"")</f>
        <v/>
      </c>
      <c r="K69" s="442" t="str" cm="1">
        <f t="array" ref="K69">IFERROR(ROUND(INDEX('Project Mull Review'!AT:AT, SMALL(IF('Project Mull Review'!AI$35:AI$682&lt;&gt;"",ROW('Project Mull Review'!AI$35:AI$682),""),ROWS('Project Mull Review'!AI$35:AI93))),0),"")</f>
        <v/>
      </c>
      <c r="M69" s="140">
        <f>ROW()</f>
        <v>69</v>
      </c>
      <c r="N69" t="str">
        <f t="shared" si="11"/>
        <v/>
      </c>
      <c r="O69" t="str">
        <f t="shared" si="12"/>
        <v/>
      </c>
      <c r="P69" s="144">
        <f t="shared" ca="1" si="49"/>
        <v>0</v>
      </c>
      <c r="Q69" t="str">
        <f t="shared" ca="1" si="54"/>
        <v/>
      </c>
      <c r="R69" t="str">
        <f t="shared" ca="1" si="55"/>
        <v/>
      </c>
      <c r="S69" t="str">
        <f ca="1"/>
        <v/>
      </c>
      <c r="T69" s="144" t="str">
        <f ca="1"/>
        <v/>
      </c>
      <c r="U69" t="str">
        <f t="shared" ca="1" si="70"/>
        <v/>
      </c>
      <c r="V69" t="str">
        <f t="shared" ca="1" si="69"/>
        <v/>
      </c>
      <c r="AC69" t="str">
        <f t="shared" ca="1" si="65"/>
        <v/>
      </c>
      <c r="AD69" t="str" cm="1">
        <f t="array" aca="1" ref="AD69" ca="1">IFERROR(INDIRECT(_xlfn.CONCAT(AU$14,$V69)),"")</f>
        <v/>
      </c>
      <c r="AE69" s="144" t="str" cm="1">
        <f t="array" aca="1" ref="AE69" ca="1">IFERROR(INDIRECT(_xlfn.CONCAT(AU$16,$V69)),"")</f>
        <v/>
      </c>
      <c r="AF69" t="str">
        <f t="shared" ca="1" si="19"/>
        <v/>
      </c>
      <c r="AG69" s="525" t="str">
        <f ca="1"/>
        <v/>
      </c>
      <c r="AH69" s="467" t="str">
        <f t="shared" ca="1" si="34"/>
        <v/>
      </c>
      <c r="AI69" s="533" t="str">
        <f t="shared" ca="1" si="37"/>
        <v/>
      </c>
      <c r="AJ69" s="533" t="str">
        <f t="shared" ca="1" si="50"/>
        <v/>
      </c>
      <c r="AK69" t="str">
        <f t="shared" ca="1" si="35"/>
        <v/>
      </c>
      <c r="AL69" s="140" t="str">
        <f t="shared" ca="1" si="51"/>
        <v/>
      </c>
      <c r="AM69" t="str">
        <f t="shared" ca="1" si="21"/>
        <v/>
      </c>
      <c r="AN69" s="144" t="str">
        <f t="shared" ca="1" si="22"/>
        <v/>
      </c>
      <c r="AR69" s="483">
        <f t="shared" si="43"/>
        <v>599</v>
      </c>
      <c r="AS69" s="157" t="str">
        <f t="shared" si="41"/>
        <v>B599</v>
      </c>
      <c r="AT69" s="479" t="str">
        <f t="shared" si="42"/>
        <v>B605</v>
      </c>
      <c r="AU69" s="477"/>
      <c r="AW69" s="140" t="str">
        <f t="shared" si="66"/>
        <v>N69</v>
      </c>
      <c r="AX69" t="str">
        <f t="shared" si="67"/>
        <v>$N$11:N68</v>
      </c>
      <c r="AY69" s="144" t="str">
        <f t="shared" si="68"/>
        <v>N70:$N$99</v>
      </c>
      <c r="BA69" s="139" t="str" cm="1">
        <f t="array" aca="1" ref="BA69" ca="1">IFERROR(CELL("address",INDEX('Project Mull Review'!AF:AF, SMALL(IF('Project Mull Review'!AF$35:AF$682&lt;&gt;"",ROW('Project Mull Review'!AF$35:AF$682),""),ROWS('Project Mull Review'!AF$35:AF93)))),"")</f>
        <v/>
      </c>
      <c r="BB69" s="155" t="str">
        <f t="shared" ca="1" si="24"/>
        <v/>
      </c>
      <c r="BC69" s="155" t="str">
        <f t="shared" ca="1" si="25"/>
        <v/>
      </c>
      <c r="BD69" s="155" t="str" cm="1">
        <f t="array" aca="1" ref="BD69" ca="1">IFERROR(INDEX(MainCell,BE69,2),"")</f>
        <v/>
      </c>
      <c r="BE69" s="155" t="str">
        <f t="shared" ca="1" si="26"/>
        <v/>
      </c>
      <c r="BF69" s="64" t="str">
        <f t="shared" ca="1" si="27"/>
        <v/>
      </c>
      <c r="BG69" s="64" t="str">
        <f t="shared" ca="1" si="44"/>
        <v/>
      </c>
      <c r="BH69" s="64" t="str" cm="1">
        <f t="array" aca="1" ref="BH69" ca="1">IFERROR(CONCATENATE(INDIRECT(BF69)," ", INDIRECT(BG69)),"")</f>
        <v/>
      </c>
      <c r="BI69" s="64" t="str">
        <f t="shared" ca="1" si="29"/>
        <v/>
      </c>
      <c r="BJ69" s="155">
        <f t="shared" ca="1" si="52"/>
        <v>0</v>
      </c>
      <c r="BK69" s="155">
        <f t="shared" ca="1" si="53"/>
        <v>0</v>
      </c>
      <c r="BL69" s="155">
        <f t="shared" ca="1" si="71"/>
        <v>0</v>
      </c>
      <c r="BM69" s="155">
        <f t="shared" ca="1" si="71"/>
        <v>0</v>
      </c>
      <c r="BN69" s="155">
        <f t="shared" ca="1" si="71"/>
        <v>0</v>
      </c>
      <c r="BO69" s="155">
        <f t="shared" ca="1" si="71"/>
        <v>0</v>
      </c>
      <c r="BP69" s="155">
        <f t="shared" ca="1" si="71"/>
        <v>0</v>
      </c>
      <c r="BQ69" s="155">
        <f t="shared" ca="1" si="71"/>
        <v>0</v>
      </c>
      <c r="BR69" s="155">
        <f t="shared" ca="1" si="71"/>
        <v>0</v>
      </c>
      <c r="BS69" s="479">
        <f t="shared" ca="1" si="71"/>
        <v>0</v>
      </c>
      <c r="BV69" s="505" t="str" cm="1">
        <f t="array" aca="1" ref="BV69" ca="1">IF(BJ70=0,"",CONCATENATE(INDEX(FinalSort,BJ70,4),": ",INDEX(FinalSort,BJ70,8)))</f>
        <v/>
      </c>
      <c r="BW69" s="506" t="str" cm="1">
        <f t="array" aca="1" ref="BW69" ca="1">IF(BK70=0,"",CONCATENATE(INDEX(FinalSort,BK70,4),": ",INDEX(FinalSort,BK70,8)))</f>
        <v/>
      </c>
      <c r="BX69" s="506" t="str" cm="1">
        <f t="array" aca="1" ref="BX69" ca="1">IF(BL70=0,"",CONCATENATE(INDEX(FinalSort,BL70,4),": ",INDEX(FinalSort,BL70,8)))</f>
        <v/>
      </c>
      <c r="BY69" s="506" t="str" cm="1">
        <f t="array" aca="1" ref="BY69" ca="1">IF(BM70=0,"",CONCATENATE(INDEX(FinalSort,BM70,4),": ",INDEX(FinalSort,BM70,8)))</f>
        <v/>
      </c>
      <c r="BZ69" s="506" t="str" cm="1">
        <f t="array" aca="1" ref="BZ69" ca="1">IF(BN70=0,"",CONCATENATE(INDEX(FinalSort,BN70,4),": ",INDEX(FinalSort,BN70,8)))</f>
        <v/>
      </c>
      <c r="CA69" s="506" t="str" cm="1">
        <f t="array" aca="1" ref="CA69" ca="1">IF(BO70=0,"",CONCATENATE(INDEX(FinalSort,BO70,4),": ",INDEX(FinalSort,BO70,8)))</f>
        <v/>
      </c>
      <c r="CB69" s="506" t="str" cm="1">
        <f t="array" aca="1" ref="CB69" ca="1">IF(BP70=0,"",CONCATENATE(INDEX(FinalSort,BP70,4),": ",INDEX(FinalSort,BP70,8)))</f>
        <v/>
      </c>
      <c r="CC69" s="506" t="str" cm="1">
        <f t="array" aca="1" ref="CC69" ca="1">IF(BQ70=0,"",CONCATENATE(INDEX(FinalSort,BQ70,4),": ",INDEX(FinalSort,BQ70,8)))</f>
        <v/>
      </c>
      <c r="CD69" s="506" t="str" cm="1">
        <f t="array" aca="1" ref="CD69" ca="1">IF(BR70=0,"",CONCATENATE(INDEX(FinalSort,BR70,4),": ",INDEX(FinalSort,BR70,8)))</f>
        <v/>
      </c>
      <c r="CE69" s="507" t="str" cm="1">
        <f t="array" aca="1" ref="CE69" ca="1">IF(BS70=0,"",CONCATENATE(INDEX(FinalSort,BS70,4),": ",INDEX(FinalSort,BS70,8)))</f>
        <v/>
      </c>
    </row>
    <row r="70" spans="1:83" x14ac:dyDescent="0.25">
      <c r="A70" s="4">
        <v>61</v>
      </c>
      <c r="B70" s="326" t="str">
        <f t="shared" ca="1" si="47"/>
        <v/>
      </c>
      <c r="C70" s="462" t="str">
        <f t="shared" ca="1" si="4"/>
        <v/>
      </c>
      <c r="D70" s="463" t="str">
        <f t="shared" ca="1" si="5"/>
        <v/>
      </c>
      <c r="E70" s="471" t="str">
        <f t="shared" ca="1" si="6"/>
        <v/>
      </c>
      <c r="F70" s="473" t="str">
        <f t="shared" ca="1" si="48"/>
        <v/>
      </c>
      <c r="G70" s="522"/>
      <c r="H70" s="155"/>
      <c r="I70" s="443" t="str" cm="1">
        <f t="array" ref="I70">IFERROR(INDEX('Project Mull Review'!AF:AF, SMALL(IF('Project Mull Review'!AF$35:AF$682&lt;&gt;"",ROW('Project Mull Review'!AF$35:AF$682),""),ROWS('Project Mull Review'!AF$35:AF94))),"")</f>
        <v/>
      </c>
      <c r="J70" s="389" t="str" cm="1">
        <f t="array" ref="J70">IFERROR(INDEX('Project Mull Review'!AI:AI, SMALL(IF('Project Mull Review'!AI$35:AI$682&lt;&gt;"",ROW('Project Mull Review'!AI$35:AI$682),""),ROWS('Project Mull Review'!AI$35:AI94))),"")</f>
        <v/>
      </c>
      <c r="K70" s="442" t="str" cm="1">
        <f t="array" ref="K70">IFERROR(ROUND(INDEX('Project Mull Review'!AT:AT, SMALL(IF('Project Mull Review'!AI$35:AI$682&lt;&gt;"",ROW('Project Mull Review'!AI$35:AI$682),""),ROWS('Project Mull Review'!AI$35:AI94))),0),"")</f>
        <v/>
      </c>
      <c r="M70" s="140">
        <f>ROW()</f>
        <v>70</v>
      </c>
      <c r="N70" t="str">
        <f t="shared" si="11"/>
        <v/>
      </c>
      <c r="O70" t="str">
        <f t="shared" si="12"/>
        <v/>
      </c>
      <c r="P70" s="144">
        <f t="shared" ca="1" si="49"/>
        <v>0</v>
      </c>
      <c r="Q70" t="str">
        <f t="shared" ca="1" si="54"/>
        <v/>
      </c>
      <c r="R70" t="str">
        <f t="shared" ca="1" si="55"/>
        <v/>
      </c>
      <c r="S70" t="str">
        <f ca="1"/>
        <v/>
      </c>
      <c r="T70" s="144" t="str">
        <f ca="1"/>
        <v/>
      </c>
      <c r="U70" t="str">
        <f t="shared" ca="1" si="70"/>
        <v/>
      </c>
      <c r="V70" t="str">
        <f t="shared" ca="1" si="69"/>
        <v/>
      </c>
      <c r="AC70" t="str">
        <f t="shared" ca="1" si="65"/>
        <v/>
      </c>
      <c r="AD70" t="str" cm="1">
        <f t="array" aca="1" ref="AD70" ca="1">IFERROR(INDIRECT(_xlfn.CONCAT(AU$14,$V70)),"")</f>
        <v/>
      </c>
      <c r="AE70" s="144" t="str" cm="1">
        <f t="array" aca="1" ref="AE70" ca="1">IFERROR(INDIRECT(_xlfn.CONCAT(AU$16,$V70)),"")</f>
        <v/>
      </c>
      <c r="AF70" t="str">
        <f t="shared" ca="1" si="19"/>
        <v/>
      </c>
      <c r="AG70" s="525" t="str">
        <f ca="1"/>
        <v/>
      </c>
      <c r="AH70" s="467" t="str">
        <f t="shared" ca="1" si="34"/>
        <v/>
      </c>
      <c r="AI70" s="533" t="str">
        <f t="shared" ca="1" si="37"/>
        <v/>
      </c>
      <c r="AJ70" s="533" t="str">
        <f t="shared" ca="1" si="50"/>
        <v/>
      </c>
      <c r="AK70" t="str">
        <f t="shared" ca="1" si="35"/>
        <v/>
      </c>
      <c r="AL70" s="140" t="str">
        <f t="shared" ca="1" si="51"/>
        <v/>
      </c>
      <c r="AM70" t="str">
        <f t="shared" ca="1" si="21"/>
        <v/>
      </c>
      <c r="AN70" s="144" t="str">
        <f t="shared" ca="1" si="22"/>
        <v/>
      </c>
      <c r="AR70" s="483">
        <f t="shared" si="43"/>
        <v>611</v>
      </c>
      <c r="AS70" s="157" t="str">
        <f t="shared" si="41"/>
        <v>B611</v>
      </c>
      <c r="AT70" s="479" t="str">
        <f t="shared" si="42"/>
        <v>B617</v>
      </c>
      <c r="AU70" s="477"/>
      <c r="AW70" s="140" t="str">
        <f t="shared" si="66"/>
        <v>N70</v>
      </c>
      <c r="AX70" t="str">
        <f t="shared" si="67"/>
        <v>$N$11:N69</v>
      </c>
      <c r="AY70" s="144" t="str">
        <f t="shared" si="68"/>
        <v>N71:$N$99</v>
      </c>
      <c r="BA70" s="139" t="str" cm="1">
        <f t="array" aca="1" ref="BA70" ca="1">IFERROR(CELL("address",INDEX('Project Mull Review'!AF:AF, SMALL(IF('Project Mull Review'!AF$35:AF$682&lt;&gt;"",ROW('Project Mull Review'!AF$35:AF$682),""),ROWS('Project Mull Review'!AF$35:AF94)))),"")</f>
        <v/>
      </c>
      <c r="BB70" s="155" t="str">
        <f t="shared" ca="1" si="24"/>
        <v/>
      </c>
      <c r="BC70" s="155" t="str">
        <f t="shared" ca="1" si="25"/>
        <v/>
      </c>
      <c r="BD70" s="155" t="str" cm="1">
        <f t="array" aca="1" ref="BD70" ca="1">IFERROR(INDEX(MainCell,BE70,2),"")</f>
        <v/>
      </c>
      <c r="BE70" s="155" t="str">
        <f t="shared" ca="1" si="26"/>
        <v/>
      </c>
      <c r="BF70" s="64" t="str">
        <f t="shared" ca="1" si="27"/>
        <v/>
      </c>
      <c r="BG70" s="64" t="str">
        <f t="shared" ca="1" si="44"/>
        <v/>
      </c>
      <c r="BH70" s="64" t="str" cm="1">
        <f t="array" aca="1" ref="BH70" ca="1">IFERROR(CONCATENATE(INDIRECT(BF70)," ", INDIRECT(BG70)),"")</f>
        <v/>
      </c>
      <c r="BI70" s="64" t="str">
        <f t="shared" ca="1" si="29"/>
        <v/>
      </c>
      <c r="BJ70" s="155">
        <f t="shared" ca="1" si="52"/>
        <v>0</v>
      </c>
      <c r="BK70" s="155">
        <f t="shared" ca="1" si="53"/>
        <v>0</v>
      </c>
      <c r="BL70" s="155">
        <f t="shared" ca="1" si="71"/>
        <v>0</v>
      </c>
      <c r="BM70" s="155">
        <f t="shared" ca="1" si="71"/>
        <v>0</v>
      </c>
      <c r="BN70" s="155">
        <f t="shared" ca="1" si="71"/>
        <v>0</v>
      </c>
      <c r="BO70" s="155">
        <f t="shared" ca="1" si="71"/>
        <v>0</v>
      </c>
      <c r="BP70" s="155">
        <f t="shared" ca="1" si="71"/>
        <v>0</v>
      </c>
      <c r="BQ70" s="155">
        <f t="shared" ca="1" si="71"/>
        <v>0</v>
      </c>
      <c r="BR70" s="155">
        <f t="shared" ca="1" si="71"/>
        <v>0</v>
      </c>
      <c r="BS70" s="479">
        <f t="shared" ca="1" si="71"/>
        <v>0</v>
      </c>
      <c r="BV70" s="505" t="str" cm="1">
        <f t="array" aca="1" ref="BV70" ca="1">IF(BJ71=0,"",CONCATENATE(INDEX(FinalSort,BJ71,4),": ",INDEX(FinalSort,BJ71,8)))</f>
        <v/>
      </c>
      <c r="BW70" s="506" t="str" cm="1">
        <f t="array" aca="1" ref="BW70" ca="1">IF(BK71=0,"",CONCATENATE(INDEX(FinalSort,BK71,4),": ",INDEX(FinalSort,BK71,8)))</f>
        <v/>
      </c>
      <c r="BX70" s="506" t="str" cm="1">
        <f t="array" aca="1" ref="BX70" ca="1">IF(BL71=0,"",CONCATENATE(INDEX(FinalSort,BL71,4),": ",INDEX(FinalSort,BL71,8)))</f>
        <v/>
      </c>
      <c r="BY70" s="506" t="str" cm="1">
        <f t="array" aca="1" ref="BY70" ca="1">IF(BM71=0,"",CONCATENATE(INDEX(FinalSort,BM71,4),": ",INDEX(FinalSort,BM71,8)))</f>
        <v/>
      </c>
      <c r="BZ70" s="506" t="str" cm="1">
        <f t="array" aca="1" ref="BZ70" ca="1">IF(BN71=0,"",CONCATENATE(INDEX(FinalSort,BN71,4),": ",INDEX(FinalSort,BN71,8)))</f>
        <v/>
      </c>
      <c r="CA70" s="506" t="str" cm="1">
        <f t="array" aca="1" ref="CA70" ca="1">IF(BO71=0,"",CONCATENATE(INDEX(FinalSort,BO71,4),": ",INDEX(FinalSort,BO71,8)))</f>
        <v/>
      </c>
      <c r="CB70" s="506" t="str" cm="1">
        <f t="array" aca="1" ref="CB70" ca="1">IF(BP71=0,"",CONCATENATE(INDEX(FinalSort,BP71,4),": ",INDEX(FinalSort,BP71,8)))</f>
        <v/>
      </c>
      <c r="CC70" s="506" t="str" cm="1">
        <f t="array" aca="1" ref="CC70" ca="1">IF(BQ71=0,"",CONCATENATE(INDEX(FinalSort,BQ71,4),": ",INDEX(FinalSort,BQ71,8)))</f>
        <v/>
      </c>
      <c r="CD70" s="506" t="str" cm="1">
        <f t="array" aca="1" ref="CD70" ca="1">IF(BR71=0,"",CONCATENATE(INDEX(FinalSort,BR71,4),": ",INDEX(FinalSort,BR71,8)))</f>
        <v/>
      </c>
      <c r="CE70" s="507" t="str" cm="1">
        <f t="array" aca="1" ref="CE70" ca="1">IF(BS71=0,"",CONCATENATE(INDEX(FinalSort,BS71,4),": ",INDEX(FinalSort,BS71,8)))</f>
        <v/>
      </c>
    </row>
    <row r="71" spans="1:83" x14ac:dyDescent="0.25">
      <c r="A71" s="4">
        <v>62</v>
      </c>
      <c r="B71" s="326" t="str">
        <f t="shared" ca="1" si="47"/>
        <v/>
      </c>
      <c r="C71" s="462" t="str">
        <f t="shared" ca="1" si="4"/>
        <v/>
      </c>
      <c r="D71" s="463" t="str">
        <f t="shared" ca="1" si="5"/>
        <v/>
      </c>
      <c r="E71" s="471" t="str">
        <f t="shared" ca="1" si="6"/>
        <v/>
      </c>
      <c r="F71" s="473" t="str">
        <f t="shared" ca="1" si="48"/>
        <v/>
      </c>
      <c r="G71" s="522"/>
      <c r="H71" s="155"/>
      <c r="I71" s="443" t="str" cm="1">
        <f t="array" ref="I71">IFERROR(INDEX('Project Mull Review'!AF:AF, SMALL(IF('Project Mull Review'!AF$35:AF$682&lt;&gt;"",ROW('Project Mull Review'!AF$35:AF$682),""),ROWS('Project Mull Review'!AF$35:AF95))),"")</f>
        <v/>
      </c>
      <c r="J71" s="389" t="str" cm="1">
        <f t="array" ref="J71">IFERROR(INDEX('Project Mull Review'!AI:AI, SMALL(IF('Project Mull Review'!AI$35:AI$682&lt;&gt;"",ROW('Project Mull Review'!AI$35:AI$682),""),ROWS('Project Mull Review'!AI$35:AI95))),"")</f>
        <v/>
      </c>
      <c r="K71" s="442" t="str" cm="1">
        <f t="array" ref="K71">IFERROR(ROUND(INDEX('Project Mull Review'!AT:AT, SMALL(IF('Project Mull Review'!AI$35:AI$682&lt;&gt;"",ROW('Project Mull Review'!AI$35:AI$682),""),ROWS('Project Mull Review'!AI$35:AI95))),0),"")</f>
        <v/>
      </c>
      <c r="M71" s="140">
        <f>ROW()</f>
        <v>71</v>
      </c>
      <c r="N71" t="str">
        <f t="shared" si="11"/>
        <v/>
      </c>
      <c r="O71" t="str">
        <f t="shared" si="12"/>
        <v/>
      </c>
      <c r="P71" s="144">
        <f t="shared" ca="1" si="49"/>
        <v>0</v>
      </c>
      <c r="Q71" t="str">
        <f t="shared" ca="1" si="54"/>
        <v/>
      </c>
      <c r="R71" t="str">
        <f t="shared" ca="1" si="55"/>
        <v/>
      </c>
      <c r="S71" t="str">
        <f ca="1"/>
        <v/>
      </c>
      <c r="T71" s="144" t="str">
        <f ca="1"/>
        <v/>
      </c>
      <c r="U71" t="str">
        <f t="shared" ca="1" si="70"/>
        <v/>
      </c>
      <c r="V71" t="str">
        <f t="shared" ca="1" si="69"/>
        <v/>
      </c>
      <c r="AC71" t="str">
        <f t="shared" ca="1" si="65"/>
        <v/>
      </c>
      <c r="AD71" t="str" cm="1">
        <f t="array" aca="1" ref="AD71" ca="1">IFERROR(INDIRECT(_xlfn.CONCAT(AU$14,$V71)),"")</f>
        <v/>
      </c>
      <c r="AE71" s="144" t="str" cm="1">
        <f t="array" aca="1" ref="AE71" ca="1">IFERROR(INDIRECT(_xlfn.CONCAT(AU$16,$V71)),"")</f>
        <v/>
      </c>
      <c r="AF71" t="str">
        <f t="shared" ca="1" si="19"/>
        <v/>
      </c>
      <c r="AG71" s="525" t="str">
        <f ca="1"/>
        <v/>
      </c>
      <c r="AH71" s="467" t="str">
        <f t="shared" ca="1" si="34"/>
        <v/>
      </c>
      <c r="AI71" s="533" t="str">
        <f t="shared" ca="1" si="37"/>
        <v/>
      </c>
      <c r="AJ71" s="533" t="str">
        <f t="shared" ca="1" si="50"/>
        <v/>
      </c>
      <c r="AK71" t="str">
        <f t="shared" ca="1" si="35"/>
        <v/>
      </c>
      <c r="AL71" s="140" t="str">
        <f t="shared" ca="1" si="51"/>
        <v/>
      </c>
      <c r="AM71" t="str">
        <f t="shared" ca="1" si="21"/>
        <v/>
      </c>
      <c r="AN71" s="144" t="str">
        <f t="shared" ca="1" si="22"/>
        <v/>
      </c>
      <c r="AR71" s="483">
        <f t="shared" si="43"/>
        <v>623</v>
      </c>
      <c r="AS71" s="157" t="str">
        <f t="shared" si="41"/>
        <v>B623</v>
      </c>
      <c r="AT71" s="479" t="str">
        <f t="shared" si="42"/>
        <v>B629</v>
      </c>
      <c r="AU71" s="477"/>
      <c r="AW71" s="140" t="str">
        <f t="shared" si="66"/>
        <v>N71</v>
      </c>
      <c r="AX71" t="str">
        <f t="shared" si="67"/>
        <v>$N$11:N70</v>
      </c>
      <c r="AY71" s="144" t="str">
        <f t="shared" si="68"/>
        <v>N72:$N$99</v>
      </c>
      <c r="BA71" s="139" t="str" cm="1">
        <f t="array" aca="1" ref="BA71" ca="1">IFERROR(CELL("address",INDEX('Project Mull Review'!AF:AF, SMALL(IF('Project Mull Review'!AF$35:AF$682&lt;&gt;"",ROW('Project Mull Review'!AF$35:AF$682),""),ROWS('Project Mull Review'!AF$35:AF95)))),"")</f>
        <v/>
      </c>
      <c r="BB71" s="155" t="str">
        <f t="shared" ca="1" si="24"/>
        <v/>
      </c>
      <c r="BC71" s="155" t="str">
        <f t="shared" ca="1" si="25"/>
        <v/>
      </c>
      <c r="BD71" s="155" t="str" cm="1">
        <f t="array" aca="1" ref="BD71" ca="1">IFERROR(INDEX(MainCell,BE71,2),"")</f>
        <v/>
      </c>
      <c r="BE71" s="155" t="str">
        <f t="shared" ca="1" si="26"/>
        <v/>
      </c>
      <c r="BF71" s="64" t="str">
        <f t="shared" ca="1" si="27"/>
        <v/>
      </c>
      <c r="BG71" s="64" t="str">
        <f t="shared" ca="1" si="44"/>
        <v/>
      </c>
      <c r="BH71" s="64" t="str" cm="1">
        <f t="array" aca="1" ref="BH71" ca="1">IFERROR(CONCATENATE(INDIRECT(BF71)," ", INDIRECT(BG71)),"")</f>
        <v/>
      </c>
      <c r="BI71" s="64" t="str">
        <f t="shared" ca="1" si="29"/>
        <v/>
      </c>
      <c r="BJ71" s="155">
        <f t="shared" ca="1" si="52"/>
        <v>0</v>
      </c>
      <c r="BK71" s="155">
        <f t="shared" ca="1" si="53"/>
        <v>0</v>
      </c>
      <c r="BL71" s="155">
        <f t="shared" ref="BL71:BS80" ca="1" si="72">IF(BK71=0,0,IFERROR(IF(MATCH($BI71,OFFSET(Combo,BK71,0),0)&gt;=($AS$18-BK71),0,BK71+MATCH($BI71,OFFSET(Combo,BK71,0),0)),0))</f>
        <v>0</v>
      </c>
      <c r="BM71" s="155">
        <f t="shared" ca="1" si="72"/>
        <v>0</v>
      </c>
      <c r="BN71" s="155">
        <f t="shared" ca="1" si="72"/>
        <v>0</v>
      </c>
      <c r="BO71" s="155">
        <f t="shared" ca="1" si="72"/>
        <v>0</v>
      </c>
      <c r="BP71" s="155">
        <f t="shared" ca="1" si="72"/>
        <v>0</v>
      </c>
      <c r="BQ71" s="155">
        <f t="shared" ca="1" si="72"/>
        <v>0</v>
      </c>
      <c r="BR71" s="155">
        <f t="shared" ca="1" si="72"/>
        <v>0</v>
      </c>
      <c r="BS71" s="479">
        <f t="shared" ca="1" si="72"/>
        <v>0</v>
      </c>
      <c r="BV71" s="505" t="str" cm="1">
        <f t="array" aca="1" ref="BV71" ca="1">IF(BJ72=0,"",CONCATENATE(INDEX(FinalSort,BJ72,4),": ",INDEX(FinalSort,BJ72,8)))</f>
        <v/>
      </c>
      <c r="BW71" s="506" t="str" cm="1">
        <f t="array" aca="1" ref="BW71" ca="1">IF(BK72=0,"",CONCATENATE(INDEX(FinalSort,BK72,4),": ",INDEX(FinalSort,BK72,8)))</f>
        <v/>
      </c>
      <c r="BX71" s="506" t="str" cm="1">
        <f t="array" aca="1" ref="BX71" ca="1">IF(BL72=0,"",CONCATENATE(INDEX(FinalSort,BL72,4),": ",INDEX(FinalSort,BL72,8)))</f>
        <v/>
      </c>
      <c r="BY71" s="506" t="str" cm="1">
        <f t="array" aca="1" ref="BY71" ca="1">IF(BM72=0,"",CONCATENATE(INDEX(FinalSort,BM72,4),": ",INDEX(FinalSort,BM72,8)))</f>
        <v/>
      </c>
      <c r="BZ71" s="506" t="str" cm="1">
        <f t="array" aca="1" ref="BZ71" ca="1">IF(BN72=0,"",CONCATENATE(INDEX(FinalSort,BN72,4),": ",INDEX(FinalSort,BN72,8)))</f>
        <v/>
      </c>
      <c r="CA71" s="506" t="str" cm="1">
        <f t="array" aca="1" ref="CA71" ca="1">IF(BO72=0,"",CONCATENATE(INDEX(FinalSort,BO72,4),": ",INDEX(FinalSort,BO72,8)))</f>
        <v/>
      </c>
      <c r="CB71" s="506" t="str" cm="1">
        <f t="array" aca="1" ref="CB71" ca="1">IF(BP72=0,"",CONCATENATE(INDEX(FinalSort,BP72,4),": ",INDEX(FinalSort,BP72,8)))</f>
        <v/>
      </c>
      <c r="CC71" s="506" t="str" cm="1">
        <f t="array" aca="1" ref="CC71" ca="1">IF(BQ72=0,"",CONCATENATE(INDEX(FinalSort,BQ72,4),": ",INDEX(FinalSort,BQ72,8)))</f>
        <v/>
      </c>
      <c r="CD71" s="506" t="str" cm="1">
        <f t="array" aca="1" ref="CD71" ca="1">IF(BR72=0,"",CONCATENATE(INDEX(FinalSort,BR72,4),": ",INDEX(FinalSort,BR72,8)))</f>
        <v/>
      </c>
      <c r="CE71" s="507" t="str" cm="1">
        <f t="array" aca="1" ref="CE71" ca="1">IF(BS72=0,"",CONCATENATE(INDEX(FinalSort,BS72,4),": ",INDEX(FinalSort,BS72,8)))</f>
        <v/>
      </c>
    </row>
    <row r="72" spans="1:83" x14ac:dyDescent="0.25">
      <c r="A72" s="4">
        <v>63</v>
      </c>
      <c r="B72" s="326" t="str">
        <f t="shared" ca="1" si="47"/>
        <v/>
      </c>
      <c r="C72" s="462" t="str">
        <f t="shared" ca="1" si="4"/>
        <v/>
      </c>
      <c r="D72" s="463" t="str">
        <f t="shared" ca="1" si="5"/>
        <v/>
      </c>
      <c r="E72" s="471" t="str">
        <f t="shared" ca="1" si="6"/>
        <v/>
      </c>
      <c r="F72" s="473" t="str">
        <f t="shared" ca="1" si="48"/>
        <v/>
      </c>
      <c r="G72" s="522"/>
      <c r="H72" s="155"/>
      <c r="I72" s="443" t="str" cm="1">
        <f t="array" ref="I72">IFERROR(INDEX('Project Mull Review'!AF:AF, SMALL(IF('Project Mull Review'!AF$35:AF$682&lt;&gt;"",ROW('Project Mull Review'!AF$35:AF$682),""),ROWS('Project Mull Review'!AF$35:AF96))),"")</f>
        <v/>
      </c>
      <c r="J72" s="389" t="str" cm="1">
        <f t="array" ref="J72">IFERROR(INDEX('Project Mull Review'!AI:AI, SMALL(IF('Project Mull Review'!AI$35:AI$682&lt;&gt;"",ROW('Project Mull Review'!AI$35:AI$682),""),ROWS('Project Mull Review'!AI$35:AI96))),"")</f>
        <v/>
      </c>
      <c r="K72" s="442" t="str" cm="1">
        <f t="array" ref="K72">IFERROR(ROUND(INDEX('Project Mull Review'!AT:AT, SMALL(IF('Project Mull Review'!AI$35:AI$682&lt;&gt;"",ROW('Project Mull Review'!AI$35:AI$682),""),ROWS('Project Mull Review'!AI$35:AI96))),0),"")</f>
        <v/>
      </c>
      <c r="M72" s="140">
        <f>ROW()</f>
        <v>72</v>
      </c>
      <c r="N72" t="str">
        <f t="shared" si="11"/>
        <v/>
      </c>
      <c r="O72" t="str">
        <f t="shared" si="12"/>
        <v/>
      </c>
      <c r="P72" s="144">
        <f t="shared" ca="1" si="49"/>
        <v>0</v>
      </c>
      <c r="Q72" t="str">
        <f t="shared" ca="1" si="54"/>
        <v/>
      </c>
      <c r="R72" t="str">
        <f t="shared" ca="1" si="55"/>
        <v/>
      </c>
      <c r="S72" t="str">
        <f ca="1"/>
        <v/>
      </c>
      <c r="T72" s="144" t="str">
        <f ca="1"/>
        <v/>
      </c>
      <c r="U72" t="str">
        <f t="shared" ca="1" si="70"/>
        <v/>
      </c>
      <c r="V72" t="str">
        <f t="shared" ca="1" si="69"/>
        <v/>
      </c>
      <c r="AC72" t="str">
        <f t="shared" ca="1" si="65"/>
        <v/>
      </c>
      <c r="AD72" t="str" cm="1">
        <f t="array" aca="1" ref="AD72" ca="1">IFERROR(INDIRECT(_xlfn.CONCAT(AU$14,$V72)),"")</f>
        <v/>
      </c>
      <c r="AE72" s="144" t="str" cm="1">
        <f t="array" aca="1" ref="AE72" ca="1">IFERROR(INDIRECT(_xlfn.CONCAT(AU$16,$V72)),"")</f>
        <v/>
      </c>
      <c r="AF72" t="str">
        <f t="shared" ca="1" si="19"/>
        <v/>
      </c>
      <c r="AG72" s="525" t="str">
        <f ca="1"/>
        <v/>
      </c>
      <c r="AH72" s="467" t="str">
        <f t="shared" ca="1" si="34"/>
        <v/>
      </c>
      <c r="AI72" s="533" t="str">
        <f t="shared" ca="1" si="37"/>
        <v/>
      </c>
      <c r="AJ72" s="533" t="str">
        <f t="shared" ca="1" si="50"/>
        <v/>
      </c>
      <c r="AK72" t="str">
        <f t="shared" ca="1" si="35"/>
        <v/>
      </c>
      <c r="AL72" s="140" t="str">
        <f t="shared" ca="1" si="51"/>
        <v/>
      </c>
      <c r="AM72" t="str">
        <f t="shared" ca="1" si="21"/>
        <v/>
      </c>
      <c r="AN72" s="144" t="str">
        <f t="shared" ca="1" si="22"/>
        <v/>
      </c>
      <c r="AR72" s="483">
        <f t="shared" si="43"/>
        <v>635</v>
      </c>
      <c r="AS72" s="157" t="str">
        <f t="shared" si="41"/>
        <v>B635</v>
      </c>
      <c r="AT72" s="479" t="str">
        <f t="shared" si="42"/>
        <v>B641</v>
      </c>
      <c r="AU72" s="477"/>
      <c r="AW72" s="140" t="str">
        <f t="shared" si="66"/>
        <v>N72</v>
      </c>
      <c r="AX72" t="str">
        <f t="shared" si="67"/>
        <v>$N$11:N71</v>
      </c>
      <c r="AY72" s="144" t="str">
        <f t="shared" si="68"/>
        <v>N73:$N$99</v>
      </c>
      <c r="BA72" s="139" t="str" cm="1">
        <f t="array" aca="1" ref="BA72" ca="1">IFERROR(CELL("address",INDEX('Project Mull Review'!AF:AF, SMALL(IF('Project Mull Review'!AF$35:AF$682&lt;&gt;"",ROW('Project Mull Review'!AF$35:AF$682),""),ROWS('Project Mull Review'!AF$35:AF96)))),"")</f>
        <v/>
      </c>
      <c r="BB72" s="155" t="str">
        <f t="shared" ca="1" si="24"/>
        <v/>
      </c>
      <c r="BC72" s="155" t="str">
        <f t="shared" ca="1" si="25"/>
        <v/>
      </c>
      <c r="BD72" s="155" t="str" cm="1">
        <f t="array" aca="1" ref="BD72" ca="1">IFERROR(INDEX(MainCell,BE72,2),"")</f>
        <v/>
      </c>
      <c r="BE72" s="155" t="str">
        <f t="shared" ca="1" si="26"/>
        <v/>
      </c>
      <c r="BF72" s="64" t="str">
        <f t="shared" ca="1" si="27"/>
        <v/>
      </c>
      <c r="BG72" s="64" t="str">
        <f t="shared" ca="1" si="44"/>
        <v/>
      </c>
      <c r="BH72" s="64" t="str" cm="1">
        <f t="array" aca="1" ref="BH72" ca="1">IFERROR(CONCATENATE(INDIRECT(BF72)," ", INDIRECT(BG72)),"")</f>
        <v/>
      </c>
      <c r="BI72" s="64" t="str">
        <f t="shared" ca="1" si="29"/>
        <v/>
      </c>
      <c r="BJ72" s="155">
        <f t="shared" ca="1" si="52"/>
        <v>0</v>
      </c>
      <c r="BK72" s="155">
        <f t="shared" ca="1" si="53"/>
        <v>0</v>
      </c>
      <c r="BL72" s="155">
        <f t="shared" ca="1" si="72"/>
        <v>0</v>
      </c>
      <c r="BM72" s="155">
        <f t="shared" ca="1" si="72"/>
        <v>0</v>
      </c>
      <c r="BN72" s="155">
        <f t="shared" ca="1" si="72"/>
        <v>0</v>
      </c>
      <c r="BO72" s="155">
        <f t="shared" ca="1" si="72"/>
        <v>0</v>
      </c>
      <c r="BP72" s="155">
        <f t="shared" ca="1" si="72"/>
        <v>0</v>
      </c>
      <c r="BQ72" s="155">
        <f t="shared" ca="1" si="72"/>
        <v>0</v>
      </c>
      <c r="BR72" s="155">
        <f t="shared" ca="1" si="72"/>
        <v>0</v>
      </c>
      <c r="BS72" s="479">
        <f t="shared" ca="1" si="72"/>
        <v>0</v>
      </c>
      <c r="BV72" s="505" t="str" cm="1">
        <f t="array" aca="1" ref="BV72" ca="1">IF(BJ73=0,"",CONCATENATE(INDEX(FinalSort,BJ73,4),": ",INDEX(FinalSort,BJ73,8)))</f>
        <v/>
      </c>
      <c r="BW72" s="506" t="str" cm="1">
        <f t="array" aca="1" ref="BW72" ca="1">IF(BK73=0,"",CONCATENATE(INDEX(FinalSort,BK73,4),": ",INDEX(FinalSort,BK73,8)))</f>
        <v/>
      </c>
      <c r="BX72" s="506" t="str" cm="1">
        <f t="array" aca="1" ref="BX72" ca="1">IF(BL73=0,"",CONCATENATE(INDEX(FinalSort,BL73,4),": ",INDEX(FinalSort,BL73,8)))</f>
        <v/>
      </c>
      <c r="BY72" s="506" t="str" cm="1">
        <f t="array" aca="1" ref="BY72" ca="1">IF(BM73=0,"",CONCATENATE(INDEX(FinalSort,BM73,4),": ",INDEX(FinalSort,BM73,8)))</f>
        <v/>
      </c>
      <c r="BZ72" s="506" t="str" cm="1">
        <f t="array" aca="1" ref="BZ72" ca="1">IF(BN73=0,"",CONCATENATE(INDEX(FinalSort,BN73,4),": ",INDEX(FinalSort,BN73,8)))</f>
        <v/>
      </c>
      <c r="CA72" s="506" t="str" cm="1">
        <f t="array" aca="1" ref="CA72" ca="1">IF(BO73=0,"",CONCATENATE(INDEX(FinalSort,BO73,4),": ",INDEX(FinalSort,BO73,8)))</f>
        <v/>
      </c>
      <c r="CB72" s="506" t="str" cm="1">
        <f t="array" aca="1" ref="CB72" ca="1">IF(BP73=0,"",CONCATENATE(INDEX(FinalSort,BP73,4),": ",INDEX(FinalSort,BP73,8)))</f>
        <v/>
      </c>
      <c r="CC72" s="506" t="str" cm="1">
        <f t="array" aca="1" ref="CC72" ca="1">IF(BQ73=0,"",CONCATENATE(INDEX(FinalSort,BQ73,4),": ",INDEX(FinalSort,BQ73,8)))</f>
        <v/>
      </c>
      <c r="CD72" s="506" t="str" cm="1">
        <f t="array" aca="1" ref="CD72" ca="1">IF(BR73=0,"",CONCATENATE(INDEX(FinalSort,BR73,4),": ",INDEX(FinalSort,BR73,8)))</f>
        <v/>
      </c>
      <c r="CE72" s="507" t="str" cm="1">
        <f t="array" aca="1" ref="CE72" ca="1">IF(BS73=0,"",CONCATENATE(INDEX(FinalSort,BS73,4),": ",INDEX(FinalSort,BS73,8)))</f>
        <v/>
      </c>
    </row>
    <row r="73" spans="1:83" x14ac:dyDescent="0.25">
      <c r="A73" s="4">
        <v>64</v>
      </c>
      <c r="B73" s="326" t="str">
        <f t="shared" ca="1" si="47"/>
        <v/>
      </c>
      <c r="C73" s="462" t="str">
        <f t="shared" ca="1" si="4"/>
        <v/>
      </c>
      <c r="D73" s="463" t="str">
        <f t="shared" ca="1" si="5"/>
        <v/>
      </c>
      <c r="E73" s="471" t="str">
        <f t="shared" ca="1" si="6"/>
        <v/>
      </c>
      <c r="F73" s="473" t="str">
        <f t="shared" ca="1" si="48"/>
        <v/>
      </c>
      <c r="G73" s="522"/>
      <c r="H73" s="155"/>
      <c r="I73" s="443" t="str" cm="1">
        <f t="array" ref="I73">IFERROR(INDEX('Project Mull Review'!AF:AF, SMALL(IF('Project Mull Review'!AF$35:AF$682&lt;&gt;"",ROW('Project Mull Review'!AF$35:AF$682),""),ROWS('Project Mull Review'!AF$35:AF97))),"")</f>
        <v/>
      </c>
      <c r="J73" s="389" t="str" cm="1">
        <f t="array" ref="J73">IFERROR(INDEX('Project Mull Review'!AI:AI, SMALL(IF('Project Mull Review'!AI$35:AI$682&lt;&gt;"",ROW('Project Mull Review'!AI$35:AI$682),""),ROWS('Project Mull Review'!AI$35:AI97))),"")</f>
        <v/>
      </c>
      <c r="K73" s="442" t="str" cm="1">
        <f t="array" ref="K73">IFERROR(ROUND(INDEX('Project Mull Review'!AT:AT, SMALL(IF('Project Mull Review'!AI$35:AI$682&lt;&gt;"",ROW('Project Mull Review'!AI$35:AI$682),""),ROWS('Project Mull Review'!AI$35:AI97))),0),"")</f>
        <v/>
      </c>
      <c r="M73" s="140">
        <f>ROW()</f>
        <v>73</v>
      </c>
      <c r="N73" t="str">
        <f t="shared" si="11"/>
        <v/>
      </c>
      <c r="O73" t="str">
        <f t="shared" si="12"/>
        <v/>
      </c>
      <c r="P73" s="144">
        <f t="shared" ca="1" si="49"/>
        <v>0</v>
      </c>
      <c r="Q73" t="str">
        <f t="shared" ca="1" si="54"/>
        <v/>
      </c>
      <c r="R73" t="str">
        <f t="shared" ca="1" si="55"/>
        <v/>
      </c>
      <c r="S73" t="str">
        <f ca="1"/>
        <v/>
      </c>
      <c r="T73" s="144" t="str">
        <f ca="1"/>
        <v/>
      </c>
      <c r="U73" t="str">
        <f t="shared" ca="1" si="70"/>
        <v/>
      </c>
      <c r="V73" t="str">
        <f t="shared" ca="1" si="69"/>
        <v/>
      </c>
      <c r="AC73" t="str">
        <f t="shared" ca="1" si="65"/>
        <v/>
      </c>
      <c r="AD73" t="str" cm="1">
        <f t="array" aca="1" ref="AD73" ca="1">IFERROR(INDIRECT(_xlfn.CONCAT(AU$14,$V73)),"")</f>
        <v/>
      </c>
      <c r="AE73" s="144" t="str" cm="1">
        <f t="array" aca="1" ref="AE73" ca="1">IFERROR(INDIRECT(_xlfn.CONCAT(AU$16,$V73)),"")</f>
        <v/>
      </c>
      <c r="AF73" t="str">
        <f t="shared" ca="1" si="19"/>
        <v/>
      </c>
      <c r="AG73" s="525" t="str">
        <f ca="1"/>
        <v/>
      </c>
      <c r="AH73" s="467" t="str">
        <f t="shared" ca="1" si="34"/>
        <v/>
      </c>
      <c r="AI73" s="533" t="str">
        <f t="shared" ca="1" si="37"/>
        <v/>
      </c>
      <c r="AJ73" s="533" t="str">
        <f t="shared" ca="1" si="50"/>
        <v/>
      </c>
      <c r="AK73" t="str">
        <f t="shared" ca="1" si="35"/>
        <v/>
      </c>
      <c r="AL73" s="140" t="str">
        <f t="shared" ca="1" si="51"/>
        <v/>
      </c>
      <c r="AM73" t="str">
        <f t="shared" ca="1" si="21"/>
        <v/>
      </c>
      <c r="AN73" s="144" t="str">
        <f t="shared" ca="1" si="22"/>
        <v/>
      </c>
      <c r="AR73" s="483">
        <f t="shared" si="43"/>
        <v>647</v>
      </c>
      <c r="AS73" s="157" t="str">
        <f t="shared" si="41"/>
        <v>B647</v>
      </c>
      <c r="AT73" s="479" t="str">
        <f t="shared" si="42"/>
        <v>B653</v>
      </c>
      <c r="AU73" s="477"/>
      <c r="AW73" s="140" t="str">
        <f t="shared" si="66"/>
        <v>N73</v>
      </c>
      <c r="AX73" t="str">
        <f t="shared" si="67"/>
        <v>$N$11:N72</v>
      </c>
      <c r="AY73" s="144" t="str">
        <f t="shared" si="68"/>
        <v>N74:$N$99</v>
      </c>
      <c r="BA73" s="139" t="str" cm="1">
        <f t="array" aca="1" ref="BA73" ca="1">IFERROR(CELL("address",INDEX('Project Mull Review'!AF:AF, SMALL(IF('Project Mull Review'!AF$35:AF$682&lt;&gt;"",ROW('Project Mull Review'!AF$35:AF$682),""),ROWS('Project Mull Review'!AF$35:AF97)))),"")</f>
        <v/>
      </c>
      <c r="BB73" s="155" t="str">
        <f t="shared" ca="1" si="24"/>
        <v/>
      </c>
      <c r="BC73" s="155" t="str">
        <f t="shared" ca="1" si="25"/>
        <v/>
      </c>
      <c r="BD73" s="155" t="str" cm="1">
        <f t="array" aca="1" ref="BD73" ca="1">IFERROR(INDEX(MainCell,BE73,2),"")</f>
        <v/>
      </c>
      <c r="BE73" s="155" t="str">
        <f t="shared" ca="1" si="26"/>
        <v/>
      </c>
      <c r="BF73" s="64" t="str">
        <f t="shared" ca="1" si="27"/>
        <v/>
      </c>
      <c r="BG73" s="64" t="str">
        <f t="shared" ca="1" si="44"/>
        <v/>
      </c>
      <c r="BH73" s="64" t="str" cm="1">
        <f t="array" aca="1" ref="BH73" ca="1">IFERROR(CONCATENATE(INDIRECT(BF73)," ", INDIRECT(BG73)),"")</f>
        <v/>
      </c>
      <c r="BI73" s="64" t="str">
        <f t="shared" ca="1" si="29"/>
        <v/>
      </c>
      <c r="BJ73" s="155">
        <f t="shared" ca="1" si="52"/>
        <v>0</v>
      </c>
      <c r="BK73" s="155">
        <f t="shared" ca="1" si="53"/>
        <v>0</v>
      </c>
      <c r="BL73" s="155">
        <f t="shared" ca="1" si="72"/>
        <v>0</v>
      </c>
      <c r="BM73" s="155">
        <f t="shared" ca="1" si="72"/>
        <v>0</v>
      </c>
      <c r="BN73" s="155">
        <f t="shared" ca="1" si="72"/>
        <v>0</v>
      </c>
      <c r="BO73" s="155">
        <f t="shared" ca="1" si="72"/>
        <v>0</v>
      </c>
      <c r="BP73" s="155">
        <f t="shared" ca="1" si="72"/>
        <v>0</v>
      </c>
      <c r="BQ73" s="155">
        <f t="shared" ca="1" si="72"/>
        <v>0</v>
      </c>
      <c r="BR73" s="155">
        <f t="shared" ca="1" si="72"/>
        <v>0</v>
      </c>
      <c r="BS73" s="479">
        <f t="shared" ca="1" si="72"/>
        <v>0</v>
      </c>
      <c r="BV73" s="505" t="str" cm="1">
        <f t="array" aca="1" ref="BV73" ca="1">IF(BJ74=0,"",CONCATENATE(INDEX(FinalSort,BJ74,4),": ",INDEX(FinalSort,BJ74,8)))</f>
        <v/>
      </c>
      <c r="BW73" s="506" t="str" cm="1">
        <f t="array" aca="1" ref="BW73" ca="1">IF(BK74=0,"",CONCATENATE(INDEX(FinalSort,BK74,4),": ",INDEX(FinalSort,BK74,8)))</f>
        <v/>
      </c>
      <c r="BX73" s="506" t="str" cm="1">
        <f t="array" aca="1" ref="BX73" ca="1">IF(BL74=0,"",CONCATENATE(INDEX(FinalSort,BL74,4),": ",INDEX(FinalSort,BL74,8)))</f>
        <v/>
      </c>
      <c r="BY73" s="506" t="str" cm="1">
        <f t="array" aca="1" ref="BY73" ca="1">IF(BM74=0,"",CONCATENATE(INDEX(FinalSort,BM74,4),": ",INDEX(FinalSort,BM74,8)))</f>
        <v/>
      </c>
      <c r="BZ73" s="506" t="str" cm="1">
        <f t="array" aca="1" ref="BZ73" ca="1">IF(BN74=0,"",CONCATENATE(INDEX(FinalSort,BN74,4),": ",INDEX(FinalSort,BN74,8)))</f>
        <v/>
      </c>
      <c r="CA73" s="506" t="str" cm="1">
        <f t="array" aca="1" ref="CA73" ca="1">IF(BO74=0,"",CONCATENATE(INDEX(FinalSort,BO74,4),": ",INDEX(FinalSort,BO74,8)))</f>
        <v/>
      </c>
      <c r="CB73" s="506" t="str" cm="1">
        <f t="array" aca="1" ref="CB73" ca="1">IF(BP74=0,"",CONCATENATE(INDEX(FinalSort,BP74,4),": ",INDEX(FinalSort,BP74,8)))</f>
        <v/>
      </c>
      <c r="CC73" s="506" t="str" cm="1">
        <f t="array" aca="1" ref="CC73" ca="1">IF(BQ74=0,"",CONCATENATE(INDEX(FinalSort,BQ74,4),": ",INDEX(FinalSort,BQ74,8)))</f>
        <v/>
      </c>
      <c r="CD73" s="506" t="str" cm="1">
        <f t="array" aca="1" ref="CD73" ca="1">IF(BR74=0,"",CONCATENATE(INDEX(FinalSort,BR74,4),": ",INDEX(FinalSort,BR74,8)))</f>
        <v/>
      </c>
      <c r="CE73" s="507" t="str" cm="1">
        <f t="array" aca="1" ref="CE73" ca="1">IF(BS74=0,"",CONCATENATE(INDEX(FinalSort,BS74,4),": ",INDEX(FinalSort,BS74,8)))</f>
        <v/>
      </c>
    </row>
    <row r="74" spans="1:83" x14ac:dyDescent="0.25">
      <c r="A74" s="4">
        <v>65</v>
      </c>
      <c r="B74" s="326" t="str">
        <f t="shared" ref="B74:B99" ca="1" si="73">_xlfn.CONCAT(AK75,AJ75)</f>
        <v/>
      </c>
      <c r="C74" s="462" t="str">
        <f t="shared" ca="1" si="4"/>
        <v/>
      </c>
      <c r="D74" s="463" t="str">
        <f t="shared" ca="1" si="5"/>
        <v/>
      </c>
      <c r="E74" s="471" t="str">
        <f t="shared" ca="1" si="6"/>
        <v/>
      </c>
      <c r="F74" s="473" t="str">
        <f t="shared" ref="F74:F99" ca="1" si="74">IFERROR(MID(C74,FIND("[",C74)+1,FIND("]",C74)-FIND("[",C74)-1),"")</f>
        <v/>
      </c>
      <c r="G74" s="522"/>
      <c r="H74" s="155"/>
      <c r="I74" s="443" t="str" cm="1">
        <f t="array" ref="I74">IFERROR(INDEX('Project Mull Review'!AF:AF, SMALL(IF('Project Mull Review'!AF$35:AF$682&lt;&gt;"",ROW('Project Mull Review'!AF$35:AF$682),""),ROWS('Project Mull Review'!AF$35:AF98))),"")</f>
        <v/>
      </c>
      <c r="J74" s="389" t="str" cm="1">
        <f t="array" ref="J74">IFERROR(INDEX('Project Mull Review'!AI:AI, SMALL(IF('Project Mull Review'!AI$35:AI$682&lt;&gt;"",ROW('Project Mull Review'!AI$35:AI$682),""),ROWS('Project Mull Review'!AI$35:AI98))),"")</f>
        <v/>
      </c>
      <c r="K74" s="442" t="str" cm="1">
        <f t="array" ref="K74">IFERROR(ROUND(INDEX('Project Mull Review'!AT:AT, SMALL(IF('Project Mull Review'!AI$35:AI$682&lt;&gt;"",ROW('Project Mull Review'!AI$35:AI$682),""),ROWS('Project Mull Review'!AI$35:AI98))),0),"")</f>
        <v/>
      </c>
      <c r="M74" s="140">
        <f>ROW()</f>
        <v>74</v>
      </c>
      <c r="N74" t="str">
        <f t="shared" si="11"/>
        <v/>
      </c>
      <c r="O74" t="str">
        <f t="shared" si="12"/>
        <v/>
      </c>
      <c r="P74" s="144">
        <f t="shared" ca="1" si="49"/>
        <v>0</v>
      </c>
      <c r="Q74" t="str">
        <f t="shared" ca="1" si="54"/>
        <v/>
      </c>
      <c r="R74" t="str">
        <f t="shared" ca="1" si="55"/>
        <v/>
      </c>
      <c r="S74" t="str">
        <f ca="1"/>
        <v/>
      </c>
      <c r="T74" s="144" t="str">
        <f ca="1"/>
        <v/>
      </c>
      <c r="U74" t="str">
        <f t="shared" ca="1" si="70"/>
        <v/>
      </c>
      <c r="V74" t="str">
        <f t="shared" ca="1" si="69"/>
        <v/>
      </c>
      <c r="AC74" t="str">
        <f t="shared" ca="1" si="65"/>
        <v/>
      </c>
      <c r="AD74" t="str" cm="1">
        <f t="array" aca="1" ref="AD74" ca="1">IFERROR(INDIRECT(_xlfn.CONCAT(AU$14,$V74)),"")</f>
        <v/>
      </c>
      <c r="AE74" s="144" t="str" cm="1">
        <f t="array" aca="1" ref="AE74" ca="1">IFERROR(INDIRECT(_xlfn.CONCAT(AU$16,$V74)),"")</f>
        <v/>
      </c>
      <c r="AF74" t="str">
        <f t="shared" ca="1" si="19"/>
        <v/>
      </c>
      <c r="AG74" s="525" t="str">
        <f ca="1"/>
        <v/>
      </c>
      <c r="AH74" s="467" t="str">
        <f t="shared" ca="1" si="34"/>
        <v/>
      </c>
      <c r="AI74" s="533" t="str">
        <f t="shared" ca="1" si="37"/>
        <v/>
      </c>
      <c r="AJ74" s="533" t="str">
        <f t="shared" ca="1" si="50"/>
        <v/>
      </c>
      <c r="AK74" t="str">
        <f t="shared" ca="1" si="35"/>
        <v/>
      </c>
      <c r="AL74" s="140" t="str">
        <f t="shared" ca="1" si="51"/>
        <v/>
      </c>
      <c r="AM74" t="str">
        <f t="shared" ca="1" si="21"/>
        <v/>
      </c>
      <c r="AN74" s="144" t="str">
        <f t="shared" ca="1" si="22"/>
        <v/>
      </c>
      <c r="AR74" s="483">
        <f t="shared" si="43"/>
        <v>659</v>
      </c>
      <c r="AS74" s="157" t="str">
        <f t="shared" si="41"/>
        <v>B659</v>
      </c>
      <c r="AT74" s="479" t="str">
        <f t="shared" si="42"/>
        <v>B665</v>
      </c>
      <c r="AU74" s="477"/>
      <c r="AW74" s="140" t="str">
        <f t="shared" si="66"/>
        <v>N74</v>
      </c>
      <c r="AX74" t="str">
        <f t="shared" si="67"/>
        <v>$N$11:N73</v>
      </c>
      <c r="AY74" s="144" t="str">
        <f t="shared" si="68"/>
        <v>N75:$N$99</v>
      </c>
      <c r="BA74" s="139" t="str" cm="1">
        <f t="array" aca="1" ref="BA74" ca="1">IFERROR(CELL("address",INDEX('Project Mull Review'!AF:AF, SMALL(IF('Project Mull Review'!AF$35:AF$682&lt;&gt;"",ROW('Project Mull Review'!AF$35:AF$682),""),ROWS('Project Mull Review'!AF$35:AF98)))),"")</f>
        <v/>
      </c>
      <c r="BB74" s="155" t="str">
        <f t="shared" ca="1" si="24"/>
        <v/>
      </c>
      <c r="BC74" s="155" t="str">
        <f t="shared" ca="1" si="25"/>
        <v/>
      </c>
      <c r="BD74" s="155" t="str" cm="1">
        <f t="array" aca="1" ref="BD74" ca="1">IFERROR(INDEX(MainCell,BE74,2),"")</f>
        <v/>
      </c>
      <c r="BE74" s="155" t="str">
        <f t="shared" ca="1" si="26"/>
        <v/>
      </c>
      <c r="BF74" s="64" t="str">
        <f t="shared" ca="1" si="27"/>
        <v/>
      </c>
      <c r="BG74" s="64" t="str">
        <f t="shared" ca="1" si="44"/>
        <v/>
      </c>
      <c r="BH74" s="64" t="str" cm="1">
        <f t="array" aca="1" ref="BH74" ca="1">IFERROR(CONCATENATE(INDIRECT(BF74)," ", INDIRECT(BG74)),"")</f>
        <v/>
      </c>
      <c r="BI74" s="64" t="str">
        <f t="shared" ca="1" si="29"/>
        <v/>
      </c>
      <c r="BJ74" s="155">
        <f t="shared" ca="1" si="52"/>
        <v>0</v>
      </c>
      <c r="BK74" s="155">
        <f t="shared" ca="1" si="53"/>
        <v>0</v>
      </c>
      <c r="BL74" s="155">
        <f t="shared" ca="1" si="72"/>
        <v>0</v>
      </c>
      <c r="BM74" s="155">
        <f t="shared" ca="1" si="72"/>
        <v>0</v>
      </c>
      <c r="BN74" s="155">
        <f t="shared" ca="1" si="72"/>
        <v>0</v>
      </c>
      <c r="BO74" s="155">
        <f t="shared" ca="1" si="72"/>
        <v>0</v>
      </c>
      <c r="BP74" s="155">
        <f t="shared" ca="1" si="72"/>
        <v>0</v>
      </c>
      <c r="BQ74" s="155">
        <f t="shared" ca="1" si="72"/>
        <v>0</v>
      </c>
      <c r="BR74" s="155">
        <f t="shared" ca="1" si="72"/>
        <v>0</v>
      </c>
      <c r="BS74" s="479">
        <f t="shared" ca="1" si="72"/>
        <v>0</v>
      </c>
      <c r="BV74" s="505" t="str" cm="1">
        <f t="array" aca="1" ref="BV74" ca="1">IF(BJ75=0,"",CONCATENATE(INDEX(FinalSort,BJ75,4),": ",INDEX(FinalSort,BJ75,8)))</f>
        <v/>
      </c>
      <c r="BW74" s="506" t="str" cm="1">
        <f t="array" aca="1" ref="BW74" ca="1">IF(BK75=0,"",CONCATENATE(INDEX(FinalSort,BK75,4),": ",INDEX(FinalSort,BK75,8)))</f>
        <v/>
      </c>
      <c r="BX74" s="506" t="str" cm="1">
        <f t="array" aca="1" ref="BX74" ca="1">IF(BL75=0,"",CONCATENATE(INDEX(FinalSort,BL75,4),": ",INDEX(FinalSort,BL75,8)))</f>
        <v/>
      </c>
      <c r="BY74" s="506" t="str" cm="1">
        <f t="array" aca="1" ref="BY74" ca="1">IF(BM75=0,"",CONCATENATE(INDEX(FinalSort,BM75,4),": ",INDEX(FinalSort,BM75,8)))</f>
        <v/>
      </c>
      <c r="BZ74" s="506" t="str" cm="1">
        <f t="array" aca="1" ref="BZ74" ca="1">IF(BN75=0,"",CONCATENATE(INDEX(FinalSort,BN75,4),": ",INDEX(FinalSort,BN75,8)))</f>
        <v/>
      </c>
      <c r="CA74" s="506" t="str" cm="1">
        <f t="array" aca="1" ref="CA74" ca="1">IF(BO75=0,"",CONCATENATE(INDEX(FinalSort,BO75,4),": ",INDEX(FinalSort,BO75,8)))</f>
        <v/>
      </c>
      <c r="CB74" s="506" t="str" cm="1">
        <f t="array" aca="1" ref="CB74" ca="1">IF(BP75=0,"",CONCATENATE(INDEX(FinalSort,BP75,4),": ",INDEX(FinalSort,BP75,8)))</f>
        <v/>
      </c>
      <c r="CC74" s="506" t="str" cm="1">
        <f t="array" aca="1" ref="CC74" ca="1">IF(BQ75=0,"",CONCATENATE(INDEX(FinalSort,BQ75,4),": ",INDEX(FinalSort,BQ75,8)))</f>
        <v/>
      </c>
      <c r="CD74" s="506" t="str" cm="1">
        <f t="array" aca="1" ref="CD74" ca="1">IF(BR75=0,"",CONCATENATE(INDEX(FinalSort,BR75,4),": ",INDEX(FinalSort,BR75,8)))</f>
        <v/>
      </c>
      <c r="CE74" s="507" t="str" cm="1">
        <f t="array" aca="1" ref="CE74" ca="1">IF(BS75=0,"",CONCATENATE(INDEX(FinalSort,BS75,4),": ",INDEX(FinalSort,BS75,8)))</f>
        <v/>
      </c>
    </row>
    <row r="75" spans="1:83" ht="15.75" thickBot="1" x14ac:dyDescent="0.3">
      <c r="A75" s="4">
        <v>66</v>
      </c>
      <c r="B75" s="326" t="str">
        <f t="shared" ca="1" si="73"/>
        <v/>
      </c>
      <c r="C75" s="462" t="str">
        <f t="shared" ref="C75:C99" ca="1" si="75">AM76</f>
        <v/>
      </c>
      <c r="D75" s="463" t="str">
        <f t="shared" ref="D75:D99" ca="1" si="76">AN76</f>
        <v/>
      </c>
      <c r="E75" s="471" t="str">
        <f t="shared" ref="E75:E99" ca="1" si="77">IFERROR(MID(AJ76,2,FIND("]",AJ76)-FIND("[",AJ76)-1),"")</f>
        <v/>
      </c>
      <c r="F75" s="473" t="str">
        <f t="shared" ca="1" si="74"/>
        <v/>
      </c>
      <c r="G75" s="522"/>
      <c r="H75" s="155"/>
      <c r="I75" s="443" t="str" cm="1">
        <f t="array" ref="I75">IFERROR(INDEX('Project Mull Review'!AF:AF, SMALL(IF('Project Mull Review'!AF$35:AF$682&lt;&gt;"",ROW('Project Mull Review'!AF$35:AF$682),""),ROWS('Project Mull Review'!AF$35:AF99))),"")</f>
        <v/>
      </c>
      <c r="J75" s="389" t="str" cm="1">
        <f t="array" ref="J75">IFERROR(INDEX('Project Mull Review'!AI:AI, SMALL(IF('Project Mull Review'!AI$35:AI$682&lt;&gt;"",ROW('Project Mull Review'!AI$35:AI$682),""),ROWS('Project Mull Review'!AI$35:AI99))),"")</f>
        <v/>
      </c>
      <c r="K75" s="442" t="str" cm="1">
        <f t="array" ref="K75">IFERROR(ROUND(INDEX('Project Mull Review'!AT:AT, SMALL(IF('Project Mull Review'!AI$35:AI$682&lt;&gt;"",ROW('Project Mull Review'!AI$35:AI$682),""),ROWS('Project Mull Review'!AI$35:AI99))),0),"")</f>
        <v/>
      </c>
      <c r="M75" s="140">
        <f>ROW()</f>
        <v>75</v>
      </c>
      <c r="N75" t="str">
        <f t="shared" si="11"/>
        <v/>
      </c>
      <c r="O75" t="str">
        <f t="shared" si="12"/>
        <v/>
      </c>
      <c r="P75" s="144">
        <f t="shared" ref="P75:P99" ca="1" si="78">IF(N75="",0,IF(OR(ISNUMBER(MATCH(N75,INDIRECT(AX75),0))=TRUE,ISNUMBER(MATCH(N75,INDIRECT(AY75),0))=TRUE),1,0))</f>
        <v>0</v>
      </c>
      <c r="Q75" t="str">
        <f t="shared" ca="1" si="54"/>
        <v/>
      </c>
      <c r="R75" t="str">
        <f t="shared" ca="1" si="55"/>
        <v/>
      </c>
      <c r="S75" t="str">
        <f ca="1"/>
        <v/>
      </c>
      <c r="T75" s="144" t="str">
        <f ca="1"/>
        <v/>
      </c>
      <c r="U75" t="str">
        <f t="shared" ca="1" si="70"/>
        <v/>
      </c>
      <c r="V75" t="str">
        <f t="shared" ca="1" si="69"/>
        <v/>
      </c>
      <c r="AC75" t="str">
        <f t="shared" ca="1" si="65"/>
        <v/>
      </c>
      <c r="AD75" t="str" cm="1">
        <f t="array" aca="1" ref="AD75" ca="1">IFERROR(INDIRECT(_xlfn.CONCAT(AU$14,$V75)),"")</f>
        <v/>
      </c>
      <c r="AE75" s="144" t="str" cm="1">
        <f t="array" aca="1" ref="AE75" ca="1">IFERROR(INDIRECT(_xlfn.CONCAT(AU$16,$V75)),"")</f>
        <v/>
      </c>
      <c r="AF75" t="str">
        <f t="shared" ca="1" si="19"/>
        <v/>
      </c>
      <c r="AG75" s="525" t="str">
        <f ca="1"/>
        <v/>
      </c>
      <c r="AH75" s="467" t="str">
        <f t="shared" ca="1" si="34"/>
        <v/>
      </c>
      <c r="AI75" s="533" t="str">
        <f t="shared" ca="1" si="37"/>
        <v/>
      </c>
      <c r="AJ75" s="533" t="str">
        <f t="shared" ref="AJ75:AJ99" ca="1" si="79">IFERROR(CONCATENATE(AI75,AH75,IF(AK75="","","]")),"")</f>
        <v/>
      </c>
      <c r="AK75" t="str">
        <f t="shared" ca="1" si="35"/>
        <v/>
      </c>
      <c r="AL75" s="140" t="str">
        <f t="shared" ref="AL75:AL99" ca="1" si="80">IFERROR(MID(AG75,5,LEN(AG75)-4),"")</f>
        <v/>
      </c>
      <c r="AM75" t="str">
        <f t="shared" ca="1" si="21"/>
        <v/>
      </c>
      <c r="AN75" s="144" t="str">
        <f t="shared" ca="1" si="22"/>
        <v/>
      </c>
      <c r="AR75" s="437">
        <f t="shared" si="43"/>
        <v>671</v>
      </c>
      <c r="AS75" s="486" t="str">
        <f t="shared" si="41"/>
        <v>B671</v>
      </c>
      <c r="AT75" s="484" t="str">
        <f t="shared" si="42"/>
        <v>B677</v>
      </c>
      <c r="AU75" s="477"/>
      <c r="AW75" s="140" t="str">
        <f t="shared" si="66"/>
        <v>N75</v>
      </c>
      <c r="AX75" t="str">
        <f t="shared" si="67"/>
        <v>$N$11:N74</v>
      </c>
      <c r="AY75" s="144" t="str">
        <f t="shared" si="68"/>
        <v>N76:$N$99</v>
      </c>
      <c r="BA75" s="139" t="str" cm="1">
        <f t="array" aca="1" ref="BA75" ca="1">IFERROR(CELL("address",INDEX('Project Mull Review'!AF:AF, SMALL(IF('Project Mull Review'!AF$35:AF$682&lt;&gt;"",ROW('Project Mull Review'!AF$35:AF$682),""),ROWS('Project Mull Review'!AF$35:AF99)))),"")</f>
        <v/>
      </c>
      <c r="BB75" s="155" t="str">
        <f t="shared" ca="1" si="24"/>
        <v/>
      </c>
      <c r="BC75" s="155" t="str">
        <f t="shared" ca="1" si="25"/>
        <v/>
      </c>
      <c r="BD75" s="155" t="str" cm="1">
        <f t="array" aca="1" ref="BD75" ca="1">IFERROR(INDEX(MainCell,BE75,2),"")</f>
        <v/>
      </c>
      <c r="BE75" s="155" t="str">
        <f t="shared" ca="1" si="26"/>
        <v/>
      </c>
      <c r="BF75" s="64" t="str">
        <f t="shared" ca="1" si="27"/>
        <v/>
      </c>
      <c r="BG75" s="64" t="str">
        <f t="shared" ca="1" si="44"/>
        <v/>
      </c>
      <c r="BH75" s="64" t="str" cm="1">
        <f t="array" aca="1" ref="BH75" ca="1">IFERROR(CONCATENATE(INDIRECT(BF75)," ", INDIRECT(BG75)),"")</f>
        <v/>
      </c>
      <c r="BI75" s="64" t="str">
        <f t="shared" ca="1" si="29"/>
        <v/>
      </c>
      <c r="BJ75" s="155">
        <f t="shared" ref="BJ75:BJ99" ca="1" si="81">IF(MATCH(BI75,Combo,0)&gt;=$AS$18,0,MATCH(BI75,Combo,0))</f>
        <v>0</v>
      </c>
      <c r="BK75" s="155">
        <f t="shared" ref="BK75:BK99" ca="1" si="82">IFERROR(IF(MATCH($BI75,OFFSET(Combo,BJ75,0),0)&gt;=($AS$18-BJ75),0,BJ75+MATCH($BI75,OFFSET(Combo,BJ75,0),0)),0)</f>
        <v>0</v>
      </c>
      <c r="BL75" s="155">
        <f t="shared" ca="1" si="72"/>
        <v>0</v>
      </c>
      <c r="BM75" s="155">
        <f t="shared" ca="1" si="72"/>
        <v>0</v>
      </c>
      <c r="BN75" s="155">
        <f t="shared" ca="1" si="72"/>
        <v>0</v>
      </c>
      <c r="BO75" s="155">
        <f t="shared" ca="1" si="72"/>
        <v>0</v>
      </c>
      <c r="BP75" s="155">
        <f t="shared" ca="1" si="72"/>
        <v>0</v>
      </c>
      <c r="BQ75" s="155">
        <f t="shared" ca="1" si="72"/>
        <v>0</v>
      </c>
      <c r="BR75" s="155">
        <f t="shared" ca="1" si="72"/>
        <v>0</v>
      </c>
      <c r="BS75" s="479">
        <f t="shared" ca="1" si="72"/>
        <v>0</v>
      </c>
      <c r="BV75" s="505" t="str" cm="1">
        <f t="array" aca="1" ref="BV75" ca="1">IF(BJ76=0,"",CONCATENATE(INDEX(FinalSort,BJ76,4),": ",INDEX(FinalSort,BJ76,8)))</f>
        <v/>
      </c>
      <c r="BW75" s="506" t="str" cm="1">
        <f t="array" aca="1" ref="BW75" ca="1">IF(BK76=0,"",CONCATENATE(INDEX(FinalSort,BK76,4),": ",INDEX(FinalSort,BK76,8)))</f>
        <v/>
      </c>
      <c r="BX75" s="506" t="str" cm="1">
        <f t="array" aca="1" ref="BX75" ca="1">IF(BL76=0,"",CONCATENATE(INDEX(FinalSort,BL76,4),": ",INDEX(FinalSort,BL76,8)))</f>
        <v/>
      </c>
      <c r="BY75" s="506" t="str" cm="1">
        <f t="array" aca="1" ref="BY75" ca="1">IF(BM76=0,"",CONCATENATE(INDEX(FinalSort,BM76,4),": ",INDEX(FinalSort,BM76,8)))</f>
        <v/>
      </c>
      <c r="BZ75" s="506" t="str" cm="1">
        <f t="array" aca="1" ref="BZ75" ca="1">IF(BN76=0,"",CONCATENATE(INDEX(FinalSort,BN76,4),": ",INDEX(FinalSort,BN76,8)))</f>
        <v/>
      </c>
      <c r="CA75" s="506" t="str" cm="1">
        <f t="array" aca="1" ref="CA75" ca="1">IF(BO76=0,"",CONCATENATE(INDEX(FinalSort,BO76,4),": ",INDEX(FinalSort,BO76,8)))</f>
        <v/>
      </c>
      <c r="CB75" s="506" t="str" cm="1">
        <f t="array" aca="1" ref="CB75" ca="1">IF(BP76=0,"",CONCATENATE(INDEX(FinalSort,BP76,4),": ",INDEX(FinalSort,BP76,8)))</f>
        <v/>
      </c>
      <c r="CC75" s="506" t="str" cm="1">
        <f t="array" aca="1" ref="CC75" ca="1">IF(BQ76=0,"",CONCATENATE(INDEX(FinalSort,BQ76,4),": ",INDEX(FinalSort,BQ76,8)))</f>
        <v/>
      </c>
      <c r="CD75" s="506" t="str" cm="1">
        <f t="array" aca="1" ref="CD75" ca="1">IF(BR76=0,"",CONCATENATE(INDEX(FinalSort,BR76,4),": ",INDEX(FinalSort,BR76,8)))</f>
        <v/>
      </c>
      <c r="CE75" s="507" t="str" cm="1">
        <f t="array" aca="1" ref="CE75" ca="1">IF(BS76=0,"",CONCATENATE(INDEX(FinalSort,BS76,4),": ",INDEX(FinalSort,BS76,8)))</f>
        <v/>
      </c>
    </row>
    <row r="76" spans="1:83" x14ac:dyDescent="0.25">
      <c r="A76" s="4">
        <v>67</v>
      </c>
      <c r="B76" s="326" t="str">
        <f t="shared" ca="1" si="73"/>
        <v/>
      </c>
      <c r="C76" s="462" t="str">
        <f t="shared" ca="1" si="75"/>
        <v/>
      </c>
      <c r="D76" s="463" t="str">
        <f t="shared" ca="1" si="76"/>
        <v/>
      </c>
      <c r="E76" s="471" t="str">
        <f t="shared" ca="1" si="77"/>
        <v/>
      </c>
      <c r="F76" s="473" t="str">
        <f t="shared" ca="1" si="74"/>
        <v/>
      </c>
      <c r="G76" s="522"/>
      <c r="H76" s="155"/>
      <c r="I76" s="443" t="str" cm="1">
        <f t="array" ref="I76">IFERROR(INDEX('Project Mull Review'!AF:AF, SMALL(IF('Project Mull Review'!AF$35:AF$682&lt;&gt;"",ROW('Project Mull Review'!AF$35:AF$682),""),ROWS('Project Mull Review'!AF$35:AF100))),"")</f>
        <v/>
      </c>
      <c r="J76" s="389" t="str" cm="1">
        <f t="array" ref="J76">IFERROR(INDEX('Project Mull Review'!AI:AI, SMALL(IF('Project Mull Review'!AI$35:AI$682&lt;&gt;"",ROW('Project Mull Review'!AI$35:AI$682),""),ROWS('Project Mull Review'!AI$35:AI100))),"")</f>
        <v/>
      </c>
      <c r="K76" s="442" t="str" cm="1">
        <f t="array" ref="K76">IFERROR(ROUND(INDEX('Project Mull Review'!AT:AT, SMALL(IF('Project Mull Review'!AI$35:AI$682&lt;&gt;"",ROW('Project Mull Review'!AI$35:AI$682),""),ROWS('Project Mull Review'!AI$35:AI100))),0),"")</f>
        <v/>
      </c>
      <c r="M76" s="140">
        <f>ROW()</f>
        <v>76</v>
      </c>
      <c r="N76" t="str">
        <f t="shared" ref="N76:N99" si="83">IF(OR(J76="Nail Fin Fasteners are sufficient",J76= "Product Clip/Thru-Frame Fasteners are sufficient"), "----",_xlfn.CONCAT(I76,J76))</f>
        <v/>
      </c>
      <c r="O76" t="str">
        <f t="shared" ref="O76:O99" si="84">IF(OR(I76="",N76="----"),"",CONCATENATE(I76,J76,M76))</f>
        <v/>
      </c>
      <c r="P76" s="144">
        <f t="shared" ca="1" si="78"/>
        <v>0</v>
      </c>
      <c r="Q76" t="str">
        <f t="shared" ca="1" si="54"/>
        <v/>
      </c>
      <c r="R76" t="str">
        <f t="shared" ca="1" si="55"/>
        <v/>
      </c>
      <c r="S76" t="str">
        <f ca="1"/>
        <v/>
      </c>
      <c r="T76" s="144" t="str">
        <f ca="1"/>
        <v/>
      </c>
      <c r="U76" t="str">
        <f t="shared" ca="1" si="70"/>
        <v/>
      </c>
      <c r="V76" t="str">
        <f t="shared" ca="1" si="69"/>
        <v/>
      </c>
      <c r="AC76" t="str">
        <f t="shared" ca="1" si="65"/>
        <v/>
      </c>
      <c r="AD76" t="str" cm="1">
        <f t="array" aca="1" ref="AD76" ca="1">IFERROR(INDIRECT(_xlfn.CONCAT(AU$14,$V76)),"")</f>
        <v/>
      </c>
      <c r="AE76" s="144" t="str" cm="1">
        <f t="array" aca="1" ref="AE76" ca="1">IFERROR(INDIRECT(_xlfn.CONCAT(AU$16,$V76)),"")</f>
        <v/>
      </c>
      <c r="AF76" t="str">
        <f t="shared" ref="AF76:AF99" ca="1" si="85">IFERROR(_xlfn.CONCAT(MID(AC76,FIND("[",AC76)+1,FIND("]",AC76)-FIND("[",AC76)-1),MID(AC76,1,LEN(AC76))),"")</f>
        <v/>
      </c>
      <c r="AG76" s="525" t="str">
        <f ca="1"/>
        <v/>
      </c>
      <c r="AH76" s="467" t="str">
        <f t="shared" ca="1" si="34"/>
        <v/>
      </c>
      <c r="AI76" s="533" t="str">
        <f t="shared" ref="AI76:AI99" ca="1" si="86">IFERROR(MID(AL76,FIND("[",AL76),FIND("]",AL76)-FIND("[",AL76)),"")</f>
        <v/>
      </c>
      <c r="AJ76" s="533" t="str">
        <f t="shared" ca="1" si="79"/>
        <v/>
      </c>
      <c r="AK76" t="str">
        <f t="shared" ref="AK76:AK99" ca="1" si="87">IFERROR(MID(AL76,1,LEN(AL76)-8),"")</f>
        <v/>
      </c>
      <c r="AL76" s="140" t="str">
        <f t="shared" ca="1" si="80"/>
        <v/>
      </c>
      <c r="AM76" t="str">
        <f t="shared" ref="AM76:AM99" ca="1" si="88">IFERROR(VLOOKUP(AL76,$AC$11:$AE$99,2,FALSE),"")</f>
        <v/>
      </c>
      <c r="AN76" s="144" t="str">
        <f t="shared" ref="AN76:AN99" ca="1" si="89">IFERROR(VLOOKUP(AL76,$AC$11:$AE$99,3,FALSE),"")</f>
        <v/>
      </c>
      <c r="AR76" s="4"/>
      <c r="AS76" s="155"/>
      <c r="AT76" s="155"/>
      <c r="AW76" s="140" t="str">
        <f t="shared" si="66"/>
        <v>N76</v>
      </c>
      <c r="AX76" t="str">
        <f t="shared" si="67"/>
        <v>$N$11:N75</v>
      </c>
      <c r="AY76" s="144" t="str">
        <f t="shared" si="68"/>
        <v>N77:$N$99</v>
      </c>
      <c r="BA76" s="139" t="str" cm="1">
        <f t="array" aca="1" ref="BA76" ca="1">IFERROR(CELL("address",INDEX('Project Mull Review'!AF:AF, SMALL(IF('Project Mull Review'!AF$35:AF$682&lt;&gt;"",ROW('Project Mull Review'!AF$35:AF$682),""),ROWS('Project Mull Review'!AF$35:AF100)))),"")</f>
        <v/>
      </c>
      <c r="BB76" s="155" t="str">
        <f t="shared" ca="1" si="24"/>
        <v/>
      </c>
      <c r="BC76" s="155" t="str">
        <f t="shared" ca="1" si="25"/>
        <v/>
      </c>
      <c r="BD76" s="155" t="str" cm="1">
        <f t="array" aca="1" ref="BD76" ca="1">IFERROR(INDEX(MainCell,BE76,2),"")</f>
        <v/>
      </c>
      <c r="BE76" s="155" t="str">
        <f t="shared" ref="BE76" ca="1" si="90">IFERROR(MATCH(VALUE(RIGHT(BC76,LEN(BC76)-2)),AR$22:AR$76,1),"")</f>
        <v/>
      </c>
      <c r="BF76" s="64" t="str">
        <f t="shared" ref="BF76:BF99" ca="1" si="91">IF(BD76="","",_xlfn.CONCAT($AT$16,BD76))</f>
        <v/>
      </c>
      <c r="BG76" s="64" t="str">
        <f t="shared" ca="1" si="44"/>
        <v/>
      </c>
      <c r="BH76" s="64" t="str" cm="1">
        <f t="array" aca="1" ref="BH76" ca="1">IFERROR(CONCATENATE(INDIRECT(BF76)," ", INDIRECT(BG76)),"")</f>
        <v/>
      </c>
      <c r="BI76" s="64" t="str">
        <f t="shared" ref="BI76:BI99" ca="1" si="92">IFERROR(_xlfn.CONCAT(LEFT(AL76,LEN(AL76)-2),AM76),"")</f>
        <v/>
      </c>
      <c r="BJ76" s="155">
        <f t="shared" ca="1" si="81"/>
        <v>0</v>
      </c>
      <c r="BK76" s="155">
        <f t="shared" ca="1" si="82"/>
        <v>0</v>
      </c>
      <c r="BL76" s="155">
        <f t="shared" ca="1" si="72"/>
        <v>0</v>
      </c>
      <c r="BM76" s="155">
        <f t="shared" ca="1" si="72"/>
        <v>0</v>
      </c>
      <c r="BN76" s="155">
        <f t="shared" ca="1" si="72"/>
        <v>0</v>
      </c>
      <c r="BO76" s="155">
        <f t="shared" ca="1" si="72"/>
        <v>0</v>
      </c>
      <c r="BP76" s="155">
        <f t="shared" ca="1" si="72"/>
        <v>0</v>
      </c>
      <c r="BQ76" s="155">
        <f t="shared" ca="1" si="72"/>
        <v>0</v>
      </c>
      <c r="BR76" s="155">
        <f t="shared" ca="1" si="72"/>
        <v>0</v>
      </c>
      <c r="BS76" s="479">
        <f t="shared" ca="1" si="72"/>
        <v>0</v>
      </c>
      <c r="BV76" s="505" t="str" cm="1">
        <f t="array" aca="1" ref="BV76" ca="1">IF(BJ77=0,"",CONCATENATE(INDEX(FinalSort,BJ77,4),": ",INDEX(FinalSort,BJ77,8)))</f>
        <v/>
      </c>
      <c r="BW76" s="506" t="str" cm="1">
        <f t="array" aca="1" ref="BW76" ca="1">IF(BK77=0,"",CONCATENATE(INDEX(FinalSort,BK77,4),": ",INDEX(FinalSort,BK77,8)))</f>
        <v/>
      </c>
      <c r="BX76" s="506" t="str" cm="1">
        <f t="array" aca="1" ref="BX76" ca="1">IF(BL77=0,"",CONCATENATE(INDEX(FinalSort,BL77,4),": ",INDEX(FinalSort,BL77,8)))</f>
        <v/>
      </c>
      <c r="BY76" s="506" t="str" cm="1">
        <f t="array" aca="1" ref="BY76" ca="1">IF(BM77=0,"",CONCATENATE(INDEX(FinalSort,BM77,4),": ",INDEX(FinalSort,BM77,8)))</f>
        <v/>
      </c>
      <c r="BZ76" s="506" t="str" cm="1">
        <f t="array" aca="1" ref="BZ76" ca="1">IF(BN77=0,"",CONCATENATE(INDEX(FinalSort,BN77,4),": ",INDEX(FinalSort,BN77,8)))</f>
        <v/>
      </c>
      <c r="CA76" s="506" t="str" cm="1">
        <f t="array" aca="1" ref="CA76" ca="1">IF(BO77=0,"",CONCATENATE(INDEX(FinalSort,BO77,4),": ",INDEX(FinalSort,BO77,8)))</f>
        <v/>
      </c>
      <c r="CB76" s="506" t="str" cm="1">
        <f t="array" aca="1" ref="CB76" ca="1">IF(BP77=0,"",CONCATENATE(INDEX(FinalSort,BP77,4),": ",INDEX(FinalSort,BP77,8)))</f>
        <v/>
      </c>
      <c r="CC76" s="506" t="str" cm="1">
        <f t="array" aca="1" ref="CC76" ca="1">IF(BQ77=0,"",CONCATENATE(INDEX(FinalSort,BQ77,4),": ",INDEX(FinalSort,BQ77,8)))</f>
        <v/>
      </c>
      <c r="CD76" s="506" t="str" cm="1">
        <f t="array" aca="1" ref="CD76" ca="1">IF(BR77=0,"",CONCATENATE(INDEX(FinalSort,BR77,4),": ",INDEX(FinalSort,BR77,8)))</f>
        <v/>
      </c>
      <c r="CE76" s="507" t="str" cm="1">
        <f t="array" aca="1" ref="CE76" ca="1">IF(BS77=0,"",CONCATENATE(INDEX(FinalSort,BS77,4),": ",INDEX(FinalSort,BS77,8)))</f>
        <v/>
      </c>
    </row>
    <row r="77" spans="1:83" x14ac:dyDescent="0.25">
      <c r="A77" s="4">
        <v>68</v>
      </c>
      <c r="B77" s="326" t="str">
        <f t="shared" ca="1" si="73"/>
        <v/>
      </c>
      <c r="C77" s="462" t="str">
        <f t="shared" ca="1" si="75"/>
        <v/>
      </c>
      <c r="D77" s="463" t="str">
        <f t="shared" ca="1" si="76"/>
        <v/>
      </c>
      <c r="E77" s="471" t="str">
        <f t="shared" ca="1" si="77"/>
        <v/>
      </c>
      <c r="F77" s="473" t="str">
        <f t="shared" ca="1" si="74"/>
        <v/>
      </c>
      <c r="G77" s="522"/>
      <c r="H77" s="155"/>
      <c r="I77" s="443" t="str" cm="1">
        <f t="array" ref="I77">IFERROR(INDEX('Project Mull Review'!AF:AF, SMALL(IF('Project Mull Review'!AF$35:AF$682&lt;&gt;"",ROW('Project Mull Review'!AF$35:AF$682),""),ROWS('Project Mull Review'!AF$35:AF101))),"")</f>
        <v/>
      </c>
      <c r="J77" s="389" t="str" cm="1">
        <f t="array" ref="J77">IFERROR(INDEX('Project Mull Review'!AI:AI, SMALL(IF('Project Mull Review'!AI$35:AI$682&lt;&gt;"",ROW('Project Mull Review'!AI$35:AI$682),""),ROWS('Project Mull Review'!AI$35:AI101))),"")</f>
        <v/>
      </c>
      <c r="K77" s="442" t="str" cm="1">
        <f t="array" ref="K77">IFERROR(ROUND(INDEX('Project Mull Review'!AT:AT, SMALL(IF('Project Mull Review'!AI$35:AI$682&lt;&gt;"",ROW('Project Mull Review'!AI$35:AI$682),""),ROWS('Project Mull Review'!AI$35:AI101))),0),"")</f>
        <v/>
      </c>
      <c r="M77" s="140">
        <f>ROW()</f>
        <v>77</v>
      </c>
      <c r="N77" t="str">
        <f t="shared" si="83"/>
        <v/>
      </c>
      <c r="O77" t="str">
        <f t="shared" si="84"/>
        <v/>
      </c>
      <c r="P77" s="144">
        <f t="shared" ca="1" si="78"/>
        <v>0</v>
      </c>
      <c r="Q77" t="str">
        <f t="shared" ca="1" si="54"/>
        <v/>
      </c>
      <c r="R77" t="str">
        <f t="shared" ca="1" si="55"/>
        <v/>
      </c>
      <c r="S77" t="str">
        <f ca="1"/>
        <v/>
      </c>
      <c r="T77" s="144" t="str">
        <f ca="1"/>
        <v/>
      </c>
      <c r="U77" t="str">
        <f t="shared" ca="1" si="70"/>
        <v/>
      </c>
      <c r="V77" t="str">
        <f t="shared" ca="1" si="69"/>
        <v/>
      </c>
      <c r="AC77" t="str">
        <f t="shared" ca="1" si="65"/>
        <v/>
      </c>
      <c r="AD77" t="str" cm="1">
        <f t="array" aca="1" ref="AD77" ca="1">IFERROR(INDIRECT(_xlfn.CONCAT(AU$14,$V77)),"")</f>
        <v/>
      </c>
      <c r="AE77" s="144" t="str" cm="1">
        <f t="array" aca="1" ref="AE77" ca="1">IFERROR(INDIRECT(_xlfn.CONCAT(AU$16,$V77)),"")</f>
        <v/>
      </c>
      <c r="AF77" t="str">
        <f t="shared" ca="1" si="85"/>
        <v/>
      </c>
      <c r="AG77" s="525" t="str">
        <f ca="1"/>
        <v/>
      </c>
      <c r="AH77" s="467" t="str">
        <f t="shared" ref="AH77:AH99" ca="1" si="93">IF(AI77="","",IF(MID(AI76,4,1)=MID(AI77,4,1),AH76+1,1))</f>
        <v/>
      </c>
      <c r="AI77" s="533" t="str">
        <f t="shared" ca="1" si="86"/>
        <v/>
      </c>
      <c r="AJ77" s="533" t="str">
        <f t="shared" ca="1" si="79"/>
        <v/>
      </c>
      <c r="AK77" t="str">
        <f t="shared" ca="1" si="87"/>
        <v/>
      </c>
      <c r="AL77" s="140" t="str">
        <f t="shared" ca="1" si="80"/>
        <v/>
      </c>
      <c r="AM77" t="str">
        <f t="shared" ca="1" si="88"/>
        <v/>
      </c>
      <c r="AN77" s="144" t="str">
        <f t="shared" ca="1" si="89"/>
        <v/>
      </c>
      <c r="AR77" s="155"/>
      <c r="AW77" s="140" t="str">
        <f t="shared" si="66"/>
        <v>N77</v>
      </c>
      <c r="AX77" t="str">
        <f t="shared" si="67"/>
        <v>$N$11:N76</v>
      </c>
      <c r="AY77" s="144" t="str">
        <f t="shared" si="68"/>
        <v>N78:$N$99</v>
      </c>
      <c r="BA77" s="139" t="str" cm="1">
        <f t="array" aca="1" ref="BA77" ca="1">IFERROR(CELL("address",INDEX('Project Mull Review'!AF:AF, SMALL(IF('Project Mull Review'!AF$35:AF$682&lt;&gt;"",ROW('Project Mull Review'!AF$35:AF$682),""),ROWS('Project Mull Review'!AF$35:AF101)))),"")</f>
        <v/>
      </c>
      <c r="BB77" s="155" t="str">
        <f t="shared" ca="1" si="24"/>
        <v/>
      </c>
      <c r="BC77" s="155" t="str">
        <f t="shared" ca="1" si="25"/>
        <v/>
      </c>
      <c r="BD77" s="155" t="str" cm="1">
        <f t="array" aca="1" ref="BD77" ca="1">IFERROR(INDEX(MainCell,BE77,2),"")</f>
        <v/>
      </c>
      <c r="BE77" s="155" t="str">
        <f ca="1">IFERROR(MATCH(VALUE(RIGHT(BC77,LEN(BC77)-2)),AR$22:AR$76,1),"")</f>
        <v/>
      </c>
      <c r="BF77" s="64" t="str">
        <f t="shared" ca="1" si="91"/>
        <v/>
      </c>
      <c r="BG77" s="64" t="str">
        <f t="shared" ca="1" si="44"/>
        <v/>
      </c>
      <c r="BH77" s="64" t="str" cm="1">
        <f t="array" aca="1" ref="BH77" ca="1">IFERROR(CONCATENATE(INDIRECT(BF77)," ", INDIRECT(BG77)),"")</f>
        <v/>
      </c>
      <c r="BI77" s="64" t="str">
        <f t="shared" ca="1" si="92"/>
        <v/>
      </c>
      <c r="BJ77" s="155">
        <f t="shared" ca="1" si="81"/>
        <v>0</v>
      </c>
      <c r="BK77" s="155">
        <f t="shared" ca="1" si="82"/>
        <v>0</v>
      </c>
      <c r="BL77" s="155">
        <f t="shared" ca="1" si="72"/>
        <v>0</v>
      </c>
      <c r="BM77" s="155">
        <f t="shared" ca="1" si="72"/>
        <v>0</v>
      </c>
      <c r="BN77" s="155">
        <f t="shared" ca="1" si="72"/>
        <v>0</v>
      </c>
      <c r="BO77" s="155">
        <f t="shared" ca="1" si="72"/>
        <v>0</v>
      </c>
      <c r="BP77" s="155">
        <f t="shared" ca="1" si="72"/>
        <v>0</v>
      </c>
      <c r="BQ77" s="155">
        <f t="shared" ca="1" si="72"/>
        <v>0</v>
      </c>
      <c r="BR77" s="155">
        <f t="shared" ca="1" si="72"/>
        <v>0</v>
      </c>
      <c r="BS77" s="479">
        <f t="shared" ca="1" si="72"/>
        <v>0</v>
      </c>
      <c r="BV77" s="505" t="str" cm="1">
        <f t="array" aca="1" ref="BV77" ca="1">IF(BJ78=0,"",CONCATENATE(INDEX(FinalSort,BJ78,4),": ",INDEX(FinalSort,BJ78,8)))</f>
        <v/>
      </c>
      <c r="BW77" s="506" t="str" cm="1">
        <f t="array" aca="1" ref="BW77" ca="1">IF(BK78=0,"",CONCATENATE(INDEX(FinalSort,BK78,4),": ",INDEX(FinalSort,BK78,8)))</f>
        <v/>
      </c>
      <c r="BX77" s="506" t="str" cm="1">
        <f t="array" aca="1" ref="BX77" ca="1">IF(BL78=0,"",CONCATENATE(INDEX(FinalSort,BL78,4),": ",INDEX(FinalSort,BL78,8)))</f>
        <v/>
      </c>
      <c r="BY77" s="506" t="str" cm="1">
        <f t="array" aca="1" ref="BY77" ca="1">IF(BM78=0,"",CONCATENATE(INDEX(FinalSort,BM78,4),": ",INDEX(FinalSort,BM78,8)))</f>
        <v/>
      </c>
      <c r="BZ77" s="506" t="str" cm="1">
        <f t="array" aca="1" ref="BZ77" ca="1">IF(BN78=0,"",CONCATENATE(INDEX(FinalSort,BN78,4),": ",INDEX(FinalSort,BN78,8)))</f>
        <v/>
      </c>
      <c r="CA77" s="506" t="str" cm="1">
        <f t="array" aca="1" ref="CA77" ca="1">IF(BO78=0,"",CONCATENATE(INDEX(FinalSort,BO78,4),": ",INDEX(FinalSort,BO78,8)))</f>
        <v/>
      </c>
      <c r="CB77" s="506" t="str" cm="1">
        <f t="array" aca="1" ref="CB77" ca="1">IF(BP78=0,"",CONCATENATE(INDEX(FinalSort,BP78,4),": ",INDEX(FinalSort,BP78,8)))</f>
        <v/>
      </c>
      <c r="CC77" s="506" t="str" cm="1">
        <f t="array" aca="1" ref="CC77" ca="1">IF(BQ78=0,"",CONCATENATE(INDEX(FinalSort,BQ78,4),": ",INDEX(FinalSort,BQ78,8)))</f>
        <v/>
      </c>
      <c r="CD77" s="506" t="str" cm="1">
        <f t="array" aca="1" ref="CD77" ca="1">IF(BR78=0,"",CONCATENATE(INDEX(FinalSort,BR78,4),": ",INDEX(FinalSort,BR78,8)))</f>
        <v/>
      </c>
      <c r="CE77" s="507" t="str" cm="1">
        <f t="array" aca="1" ref="CE77" ca="1">IF(BS78=0,"",CONCATENATE(INDEX(FinalSort,BS78,4),": ",INDEX(FinalSort,BS78,8)))</f>
        <v/>
      </c>
    </row>
    <row r="78" spans="1:83" x14ac:dyDescent="0.25">
      <c r="A78" s="4">
        <v>69</v>
      </c>
      <c r="B78" s="326" t="str">
        <f t="shared" ca="1" si="73"/>
        <v/>
      </c>
      <c r="C78" s="462" t="str">
        <f t="shared" ca="1" si="75"/>
        <v/>
      </c>
      <c r="D78" s="463" t="str">
        <f t="shared" ca="1" si="76"/>
        <v/>
      </c>
      <c r="E78" s="471" t="str">
        <f t="shared" ca="1" si="77"/>
        <v/>
      </c>
      <c r="F78" s="473" t="str">
        <f t="shared" ca="1" si="74"/>
        <v/>
      </c>
      <c r="G78" s="522"/>
      <c r="H78" s="155"/>
      <c r="I78" s="443" t="str" cm="1">
        <f t="array" ref="I78">IFERROR(INDEX('Project Mull Review'!AF:AF, SMALL(IF('Project Mull Review'!AF$35:AF$682&lt;&gt;"",ROW('Project Mull Review'!AF$35:AF$682),""),ROWS('Project Mull Review'!AF$35:AF102))),"")</f>
        <v/>
      </c>
      <c r="J78" s="389" t="str" cm="1">
        <f t="array" ref="J78">IFERROR(INDEX('Project Mull Review'!AI:AI, SMALL(IF('Project Mull Review'!AI$35:AI$682&lt;&gt;"",ROW('Project Mull Review'!AI$35:AI$682),""),ROWS('Project Mull Review'!AI$35:AI102))),"")</f>
        <v/>
      </c>
      <c r="K78" s="442" t="str" cm="1">
        <f t="array" ref="K78">IFERROR(ROUND(INDEX('Project Mull Review'!AT:AT, SMALL(IF('Project Mull Review'!AI$35:AI$682&lt;&gt;"",ROW('Project Mull Review'!AI$35:AI$682),""),ROWS('Project Mull Review'!AI$35:AI102))),0),"")</f>
        <v/>
      </c>
      <c r="M78" s="140">
        <f>ROW()</f>
        <v>78</v>
      </c>
      <c r="N78" t="str">
        <f t="shared" si="83"/>
        <v/>
      </c>
      <c r="O78" t="str">
        <f t="shared" si="84"/>
        <v/>
      </c>
      <c r="P78" s="144">
        <f t="shared" ca="1" si="78"/>
        <v>0</v>
      </c>
      <c r="Q78" t="str">
        <f t="shared" ca="1" si="54"/>
        <v/>
      </c>
      <c r="R78" t="str">
        <f t="shared" ca="1" si="55"/>
        <v/>
      </c>
      <c r="S78" t="str">
        <f ca="1"/>
        <v/>
      </c>
      <c r="T78" s="144" t="str">
        <f ca="1"/>
        <v/>
      </c>
      <c r="U78" t="str">
        <f t="shared" ca="1" si="70"/>
        <v/>
      </c>
      <c r="V78" t="str">
        <f t="shared" ca="1" si="69"/>
        <v/>
      </c>
      <c r="AC78" t="str">
        <f t="shared" ca="1" si="65"/>
        <v/>
      </c>
      <c r="AD78" t="str" cm="1">
        <f t="array" aca="1" ref="AD78" ca="1">IFERROR(INDIRECT(_xlfn.CONCAT(AU$14,$V78)),"")</f>
        <v/>
      </c>
      <c r="AE78" s="144" t="str" cm="1">
        <f t="array" aca="1" ref="AE78" ca="1">IFERROR(INDIRECT(_xlfn.CONCAT(AU$16,$V78)),"")</f>
        <v/>
      </c>
      <c r="AF78" t="str">
        <f t="shared" ca="1" si="85"/>
        <v/>
      </c>
      <c r="AG78" s="525" t="str">
        <f ca="1"/>
        <v/>
      </c>
      <c r="AH78" s="467" t="str">
        <f t="shared" ca="1" si="93"/>
        <v/>
      </c>
      <c r="AI78" s="533" t="str">
        <f t="shared" ca="1" si="86"/>
        <v/>
      </c>
      <c r="AJ78" s="533" t="str">
        <f t="shared" ca="1" si="79"/>
        <v/>
      </c>
      <c r="AK78" t="str">
        <f t="shared" ca="1" si="87"/>
        <v/>
      </c>
      <c r="AL78" s="140" t="str">
        <f t="shared" ca="1" si="80"/>
        <v/>
      </c>
      <c r="AM78" t="str">
        <f t="shared" ca="1" si="88"/>
        <v/>
      </c>
      <c r="AN78" s="144" t="str">
        <f t="shared" ca="1" si="89"/>
        <v/>
      </c>
      <c r="AR78" s="155"/>
      <c r="AW78" s="140" t="str">
        <f t="shared" si="66"/>
        <v>N78</v>
      </c>
      <c r="AX78" t="str">
        <f t="shared" si="67"/>
        <v>$N$11:N77</v>
      </c>
      <c r="AY78" s="144" t="str">
        <f t="shared" si="68"/>
        <v>N79:$N$99</v>
      </c>
      <c r="BA78" s="139" t="str" cm="1">
        <f t="array" aca="1" ref="BA78" ca="1">IFERROR(CELL("address",INDEX('Project Mull Review'!AF:AF, SMALL(IF('Project Mull Review'!AF$35:AF$682&lt;&gt;"",ROW('Project Mull Review'!AF$35:AF$682),""),ROWS('Project Mull Review'!AF$35:AF102)))),"")</f>
        <v/>
      </c>
      <c r="BB78" s="155" t="str">
        <f t="shared" ca="1" si="24"/>
        <v/>
      </c>
      <c r="BC78" s="155" t="str">
        <f t="shared" ca="1" si="25"/>
        <v/>
      </c>
      <c r="BD78" s="155" t="str" cm="1">
        <f t="array" aca="1" ref="BD78" ca="1">IFERROR(INDEX(MainCell,BE78,2),"")</f>
        <v/>
      </c>
      <c r="BE78" s="155" t="str">
        <f t="shared" ref="BE78:BE98" ca="1" si="94">IFERROR(MATCH(VALUE(RIGHT(BC78,LEN(BC78)-2)),AR$22:AR$76,1),"")</f>
        <v/>
      </c>
      <c r="BF78" s="64" t="str">
        <f t="shared" ca="1" si="91"/>
        <v/>
      </c>
      <c r="BG78" s="64" t="str">
        <f t="shared" ca="1" si="44"/>
        <v/>
      </c>
      <c r="BH78" s="64" t="str" cm="1">
        <f t="array" aca="1" ref="BH78" ca="1">IFERROR(CONCATENATE(INDIRECT(BF78)," ", INDIRECT(BG78)),"")</f>
        <v/>
      </c>
      <c r="BI78" s="64" t="str">
        <f t="shared" ca="1" si="92"/>
        <v/>
      </c>
      <c r="BJ78" s="155">
        <f t="shared" ca="1" si="81"/>
        <v>0</v>
      </c>
      <c r="BK78" s="155">
        <f t="shared" ca="1" si="82"/>
        <v>0</v>
      </c>
      <c r="BL78" s="155">
        <f t="shared" ca="1" si="72"/>
        <v>0</v>
      </c>
      <c r="BM78" s="155">
        <f t="shared" ca="1" si="72"/>
        <v>0</v>
      </c>
      <c r="BN78" s="155">
        <f t="shared" ca="1" si="72"/>
        <v>0</v>
      </c>
      <c r="BO78" s="155">
        <f t="shared" ca="1" si="72"/>
        <v>0</v>
      </c>
      <c r="BP78" s="155">
        <f t="shared" ca="1" si="72"/>
        <v>0</v>
      </c>
      <c r="BQ78" s="155">
        <f t="shared" ca="1" si="72"/>
        <v>0</v>
      </c>
      <c r="BR78" s="155">
        <f t="shared" ca="1" si="72"/>
        <v>0</v>
      </c>
      <c r="BS78" s="479">
        <f t="shared" ca="1" si="72"/>
        <v>0</v>
      </c>
      <c r="BV78" s="505" t="str" cm="1">
        <f t="array" aca="1" ref="BV78" ca="1">IF(BJ79=0,"",CONCATENATE(INDEX(FinalSort,BJ79,4),": ",INDEX(FinalSort,BJ79,8)))</f>
        <v/>
      </c>
      <c r="BW78" s="506" t="str" cm="1">
        <f t="array" aca="1" ref="BW78" ca="1">IF(BK79=0,"",CONCATENATE(INDEX(FinalSort,BK79,4),": ",INDEX(FinalSort,BK79,8)))</f>
        <v/>
      </c>
      <c r="BX78" s="506" t="str" cm="1">
        <f t="array" aca="1" ref="BX78" ca="1">IF(BL79=0,"",CONCATENATE(INDEX(FinalSort,BL79,4),": ",INDEX(FinalSort,BL79,8)))</f>
        <v/>
      </c>
      <c r="BY78" s="506" t="str" cm="1">
        <f t="array" aca="1" ref="BY78" ca="1">IF(BM79=0,"",CONCATENATE(INDEX(FinalSort,BM79,4),": ",INDEX(FinalSort,BM79,8)))</f>
        <v/>
      </c>
      <c r="BZ78" s="506" t="str" cm="1">
        <f t="array" aca="1" ref="BZ78" ca="1">IF(BN79=0,"",CONCATENATE(INDEX(FinalSort,BN79,4),": ",INDEX(FinalSort,BN79,8)))</f>
        <v/>
      </c>
      <c r="CA78" s="506" t="str" cm="1">
        <f t="array" aca="1" ref="CA78" ca="1">IF(BO79=0,"",CONCATENATE(INDEX(FinalSort,BO79,4),": ",INDEX(FinalSort,BO79,8)))</f>
        <v/>
      </c>
      <c r="CB78" s="506" t="str" cm="1">
        <f t="array" aca="1" ref="CB78" ca="1">IF(BP79=0,"",CONCATENATE(INDEX(FinalSort,BP79,4),": ",INDEX(FinalSort,BP79,8)))</f>
        <v/>
      </c>
      <c r="CC78" s="506" t="str" cm="1">
        <f t="array" aca="1" ref="CC78" ca="1">IF(BQ79=0,"",CONCATENATE(INDEX(FinalSort,BQ79,4),": ",INDEX(FinalSort,BQ79,8)))</f>
        <v/>
      </c>
      <c r="CD78" s="506" t="str" cm="1">
        <f t="array" aca="1" ref="CD78" ca="1">IF(BR79=0,"",CONCATENATE(INDEX(FinalSort,BR79,4),": ",INDEX(FinalSort,BR79,8)))</f>
        <v/>
      </c>
      <c r="CE78" s="507" t="str" cm="1">
        <f t="array" aca="1" ref="CE78" ca="1">IF(BS79=0,"",CONCATENATE(INDEX(FinalSort,BS79,4),": ",INDEX(FinalSort,BS79,8)))</f>
        <v/>
      </c>
    </row>
    <row r="79" spans="1:83" x14ac:dyDescent="0.25">
      <c r="A79" s="4">
        <v>70</v>
      </c>
      <c r="B79" s="326" t="str">
        <f t="shared" ca="1" si="73"/>
        <v/>
      </c>
      <c r="C79" s="462" t="str">
        <f t="shared" ca="1" si="75"/>
        <v/>
      </c>
      <c r="D79" s="463" t="str">
        <f t="shared" ca="1" si="76"/>
        <v/>
      </c>
      <c r="E79" s="471" t="str">
        <f t="shared" ca="1" si="77"/>
        <v/>
      </c>
      <c r="F79" s="473" t="str">
        <f t="shared" ca="1" si="74"/>
        <v/>
      </c>
      <c r="G79" s="522"/>
      <c r="H79" s="155"/>
      <c r="I79" s="443" t="str" cm="1">
        <f t="array" ref="I79">IFERROR(INDEX('Project Mull Review'!AF:AF, SMALL(IF('Project Mull Review'!AF$35:AF$682&lt;&gt;"",ROW('Project Mull Review'!AF$35:AF$682),""),ROWS('Project Mull Review'!AF$35:AF103))),"")</f>
        <v/>
      </c>
      <c r="J79" s="389" t="str" cm="1">
        <f t="array" ref="J79">IFERROR(INDEX('Project Mull Review'!AI:AI, SMALL(IF('Project Mull Review'!AI$35:AI$682&lt;&gt;"",ROW('Project Mull Review'!AI$35:AI$682),""),ROWS('Project Mull Review'!AI$35:AI103))),"")</f>
        <v/>
      </c>
      <c r="K79" s="442" t="str" cm="1">
        <f t="array" ref="K79">IFERROR(ROUND(INDEX('Project Mull Review'!AT:AT, SMALL(IF('Project Mull Review'!AI$35:AI$682&lt;&gt;"",ROW('Project Mull Review'!AI$35:AI$682),""),ROWS('Project Mull Review'!AI$35:AI103))),0),"")</f>
        <v/>
      </c>
      <c r="M79" s="140">
        <f>ROW()</f>
        <v>79</v>
      </c>
      <c r="N79" t="str">
        <f t="shared" si="83"/>
        <v/>
      </c>
      <c r="O79" t="str">
        <f t="shared" si="84"/>
        <v/>
      </c>
      <c r="P79" s="144">
        <f t="shared" ca="1" si="78"/>
        <v>0</v>
      </c>
      <c r="Q79" t="str">
        <f t="shared" ca="1" si="54"/>
        <v/>
      </c>
      <c r="R79" t="str">
        <f t="shared" ca="1" si="55"/>
        <v/>
      </c>
      <c r="S79" t="str">
        <f ca="1"/>
        <v/>
      </c>
      <c r="T79" s="144" t="str">
        <f ca="1"/>
        <v/>
      </c>
      <c r="U79" t="str">
        <f t="shared" ca="1" si="70"/>
        <v/>
      </c>
      <c r="V79" t="str">
        <f t="shared" ca="1" si="69"/>
        <v/>
      </c>
      <c r="AC79" t="str">
        <f t="shared" ca="1" si="65"/>
        <v/>
      </c>
      <c r="AD79" t="str" cm="1">
        <f t="array" aca="1" ref="AD79" ca="1">IFERROR(INDIRECT(_xlfn.CONCAT(AU$14,$V79)),"")</f>
        <v/>
      </c>
      <c r="AE79" s="144" t="str" cm="1">
        <f t="array" aca="1" ref="AE79" ca="1">IFERROR(INDIRECT(_xlfn.CONCAT(AU$16,$V79)),"")</f>
        <v/>
      </c>
      <c r="AF79" t="str">
        <f t="shared" ca="1" si="85"/>
        <v/>
      </c>
      <c r="AG79" s="525" t="str">
        <f ca="1"/>
        <v/>
      </c>
      <c r="AH79" s="467" t="str">
        <f t="shared" ca="1" si="93"/>
        <v/>
      </c>
      <c r="AI79" s="533" t="str">
        <f t="shared" ca="1" si="86"/>
        <v/>
      </c>
      <c r="AJ79" s="533" t="str">
        <f t="shared" ca="1" si="79"/>
        <v/>
      </c>
      <c r="AK79" t="str">
        <f t="shared" ca="1" si="87"/>
        <v/>
      </c>
      <c r="AL79" s="140" t="str">
        <f t="shared" ca="1" si="80"/>
        <v/>
      </c>
      <c r="AM79" t="str">
        <f t="shared" ca="1" si="88"/>
        <v/>
      </c>
      <c r="AN79" s="144" t="str">
        <f t="shared" ca="1" si="89"/>
        <v/>
      </c>
      <c r="AR79" s="155"/>
      <c r="AW79" s="140" t="str">
        <f t="shared" si="66"/>
        <v>N79</v>
      </c>
      <c r="AX79" t="str">
        <f t="shared" si="67"/>
        <v>$N$11:N78</v>
      </c>
      <c r="AY79" s="144" t="str">
        <f t="shared" si="68"/>
        <v>N80:$N$99</v>
      </c>
      <c r="BA79" s="139" t="str" cm="1">
        <f t="array" aca="1" ref="BA79" ca="1">IFERROR(CELL("address",INDEX('Project Mull Review'!AF:AF, SMALL(IF('Project Mull Review'!AF$35:AF$682&lt;&gt;"",ROW('Project Mull Review'!AF$35:AF$682),""),ROWS('Project Mull Review'!AF$35:AF103)))),"")</f>
        <v/>
      </c>
      <c r="BB79" s="155" t="str">
        <f t="shared" ca="1" si="24"/>
        <v/>
      </c>
      <c r="BC79" s="155" t="str">
        <f t="shared" ca="1" si="25"/>
        <v/>
      </c>
      <c r="BD79" s="155" t="str" cm="1">
        <f t="array" aca="1" ref="BD79" ca="1">IFERROR(INDEX(MainCell,BE79,2),"")</f>
        <v/>
      </c>
      <c r="BE79" s="155" t="str">
        <f t="shared" ca="1" si="94"/>
        <v/>
      </c>
      <c r="BF79" s="64" t="str">
        <f t="shared" ca="1" si="91"/>
        <v/>
      </c>
      <c r="BG79" s="64" t="str">
        <f t="shared" ca="1" si="44"/>
        <v/>
      </c>
      <c r="BH79" s="64" t="str" cm="1">
        <f t="array" aca="1" ref="BH79" ca="1">IFERROR(CONCATENATE(INDIRECT(BF79)," ", INDIRECT(BG79)),"")</f>
        <v/>
      </c>
      <c r="BI79" s="64" t="str">
        <f t="shared" ca="1" si="92"/>
        <v/>
      </c>
      <c r="BJ79" s="155">
        <f t="shared" ca="1" si="81"/>
        <v>0</v>
      </c>
      <c r="BK79" s="155">
        <f t="shared" ca="1" si="82"/>
        <v>0</v>
      </c>
      <c r="BL79" s="155">
        <f t="shared" ca="1" si="72"/>
        <v>0</v>
      </c>
      <c r="BM79" s="155">
        <f t="shared" ca="1" si="72"/>
        <v>0</v>
      </c>
      <c r="BN79" s="155">
        <f t="shared" ca="1" si="72"/>
        <v>0</v>
      </c>
      <c r="BO79" s="155">
        <f t="shared" ca="1" si="72"/>
        <v>0</v>
      </c>
      <c r="BP79" s="155">
        <f t="shared" ca="1" si="72"/>
        <v>0</v>
      </c>
      <c r="BQ79" s="155">
        <f t="shared" ca="1" si="72"/>
        <v>0</v>
      </c>
      <c r="BR79" s="155">
        <f t="shared" ca="1" si="72"/>
        <v>0</v>
      </c>
      <c r="BS79" s="479">
        <f t="shared" ca="1" si="72"/>
        <v>0</v>
      </c>
      <c r="BV79" s="505" t="str" cm="1">
        <f t="array" aca="1" ref="BV79" ca="1">IF(BJ80=0,"",CONCATENATE(INDEX(FinalSort,BJ80,4),": ",INDEX(FinalSort,BJ80,8)))</f>
        <v/>
      </c>
      <c r="BW79" s="506" t="str" cm="1">
        <f t="array" aca="1" ref="BW79" ca="1">IF(BK80=0,"",CONCATENATE(INDEX(FinalSort,BK80,4),": ",INDEX(FinalSort,BK80,8)))</f>
        <v/>
      </c>
      <c r="BX79" s="506" t="str" cm="1">
        <f t="array" aca="1" ref="BX79" ca="1">IF(BL80=0,"",CONCATENATE(INDEX(FinalSort,BL80,4),": ",INDEX(FinalSort,BL80,8)))</f>
        <v/>
      </c>
      <c r="BY79" s="506" t="str" cm="1">
        <f t="array" aca="1" ref="BY79" ca="1">IF(BM80=0,"",CONCATENATE(INDEX(FinalSort,BM80,4),": ",INDEX(FinalSort,BM80,8)))</f>
        <v/>
      </c>
      <c r="BZ79" s="506" t="str" cm="1">
        <f t="array" aca="1" ref="BZ79" ca="1">IF(BN80=0,"",CONCATENATE(INDEX(FinalSort,BN80,4),": ",INDEX(FinalSort,BN80,8)))</f>
        <v/>
      </c>
      <c r="CA79" s="506" t="str" cm="1">
        <f t="array" aca="1" ref="CA79" ca="1">IF(BO80=0,"",CONCATENATE(INDEX(FinalSort,BO80,4),": ",INDEX(FinalSort,BO80,8)))</f>
        <v/>
      </c>
      <c r="CB79" s="506" t="str" cm="1">
        <f t="array" aca="1" ref="CB79" ca="1">IF(BP80=0,"",CONCATENATE(INDEX(FinalSort,BP80,4),": ",INDEX(FinalSort,BP80,8)))</f>
        <v/>
      </c>
      <c r="CC79" s="506" t="str" cm="1">
        <f t="array" aca="1" ref="CC79" ca="1">IF(BQ80=0,"",CONCATENATE(INDEX(FinalSort,BQ80,4),": ",INDEX(FinalSort,BQ80,8)))</f>
        <v/>
      </c>
      <c r="CD79" s="506" t="str" cm="1">
        <f t="array" aca="1" ref="CD79" ca="1">IF(BR80=0,"",CONCATENATE(INDEX(FinalSort,BR80,4),": ",INDEX(FinalSort,BR80,8)))</f>
        <v/>
      </c>
      <c r="CE79" s="507" t="str" cm="1">
        <f t="array" aca="1" ref="CE79" ca="1">IF(BS80=0,"",CONCATENATE(INDEX(FinalSort,BS80,4),": ",INDEX(FinalSort,BS80,8)))</f>
        <v/>
      </c>
    </row>
    <row r="80" spans="1:83" x14ac:dyDescent="0.25">
      <c r="A80" s="4">
        <v>71</v>
      </c>
      <c r="B80" s="326" t="str">
        <f t="shared" ca="1" si="73"/>
        <v/>
      </c>
      <c r="C80" s="462" t="str">
        <f t="shared" ca="1" si="75"/>
        <v/>
      </c>
      <c r="D80" s="463" t="str">
        <f t="shared" ca="1" si="76"/>
        <v/>
      </c>
      <c r="E80" s="471" t="str">
        <f t="shared" ca="1" si="77"/>
        <v/>
      </c>
      <c r="F80" s="473" t="str">
        <f t="shared" ca="1" si="74"/>
        <v/>
      </c>
      <c r="G80" s="522"/>
      <c r="H80" s="155"/>
      <c r="I80" s="443" t="str" cm="1">
        <f t="array" ref="I80">IFERROR(INDEX('Project Mull Review'!AF:AF, SMALL(IF('Project Mull Review'!AF$35:AF$682&lt;&gt;"",ROW('Project Mull Review'!AF$35:AF$682),""),ROWS('Project Mull Review'!AF$35:AF104))),"")</f>
        <v/>
      </c>
      <c r="J80" s="389" t="str" cm="1">
        <f t="array" ref="J80">IFERROR(INDEX('Project Mull Review'!AI:AI, SMALL(IF('Project Mull Review'!AI$35:AI$682&lt;&gt;"",ROW('Project Mull Review'!AI$35:AI$682),""),ROWS('Project Mull Review'!AI$35:AI104))),"")</f>
        <v/>
      </c>
      <c r="K80" s="442" t="str" cm="1">
        <f t="array" ref="K80">IFERROR(ROUND(INDEX('Project Mull Review'!AT:AT, SMALL(IF('Project Mull Review'!AI$35:AI$682&lt;&gt;"",ROW('Project Mull Review'!AI$35:AI$682),""),ROWS('Project Mull Review'!AI$35:AI104))),0),"")</f>
        <v/>
      </c>
      <c r="M80" s="140">
        <f>ROW()</f>
        <v>80</v>
      </c>
      <c r="N80" t="str">
        <f t="shared" si="83"/>
        <v/>
      </c>
      <c r="O80" t="str">
        <f t="shared" si="84"/>
        <v/>
      </c>
      <c r="P80" s="144">
        <f t="shared" ca="1" si="78"/>
        <v>0</v>
      </c>
      <c r="Q80" t="str">
        <f t="shared" ca="1" si="54"/>
        <v/>
      </c>
      <c r="R80" t="str">
        <f t="shared" ca="1" si="55"/>
        <v/>
      </c>
      <c r="S80" t="str">
        <f ca="1"/>
        <v/>
      </c>
      <c r="T80" s="144" t="str">
        <f ca="1"/>
        <v/>
      </c>
      <c r="U80" t="str">
        <f t="shared" ca="1" si="70"/>
        <v/>
      </c>
      <c r="V80" t="str">
        <f t="shared" ca="1" si="69"/>
        <v/>
      </c>
      <c r="AC80" t="str">
        <f t="shared" ca="1" si="65"/>
        <v/>
      </c>
      <c r="AD80" t="str" cm="1">
        <f t="array" aca="1" ref="AD80" ca="1">IFERROR(INDIRECT(_xlfn.CONCAT(AU$14,$V80)),"")</f>
        <v/>
      </c>
      <c r="AE80" s="144" t="str" cm="1">
        <f t="array" aca="1" ref="AE80" ca="1">IFERROR(INDIRECT(_xlfn.CONCAT(AU$16,$V80)),"")</f>
        <v/>
      </c>
      <c r="AF80" t="str">
        <f t="shared" ca="1" si="85"/>
        <v/>
      </c>
      <c r="AG80" s="525" t="str">
        <f ca="1"/>
        <v/>
      </c>
      <c r="AH80" s="467" t="str">
        <f t="shared" ca="1" si="93"/>
        <v/>
      </c>
      <c r="AI80" s="533" t="str">
        <f t="shared" ca="1" si="86"/>
        <v/>
      </c>
      <c r="AJ80" s="533" t="str">
        <f t="shared" ca="1" si="79"/>
        <v/>
      </c>
      <c r="AK80" t="str">
        <f t="shared" ca="1" si="87"/>
        <v/>
      </c>
      <c r="AL80" s="140" t="str">
        <f t="shared" ca="1" si="80"/>
        <v/>
      </c>
      <c r="AM80" t="str">
        <f t="shared" ca="1" si="88"/>
        <v/>
      </c>
      <c r="AN80" s="144" t="str">
        <f t="shared" ca="1" si="89"/>
        <v/>
      </c>
      <c r="AR80" s="155"/>
      <c r="AW80" s="140" t="str">
        <f t="shared" si="66"/>
        <v>N80</v>
      </c>
      <c r="AX80" t="str">
        <f t="shared" si="67"/>
        <v>$N$11:N79</v>
      </c>
      <c r="AY80" s="144" t="str">
        <f t="shared" si="68"/>
        <v>N81:$N$99</v>
      </c>
      <c r="BA80" s="139" t="str" cm="1">
        <f t="array" aca="1" ref="BA80" ca="1">IFERROR(CELL("address",INDEX('Project Mull Review'!AF:AF, SMALL(IF('Project Mull Review'!AF$35:AF$682&lt;&gt;"",ROW('Project Mull Review'!AF$35:AF$682),""),ROWS('Project Mull Review'!AF$35:AF104)))),"")</f>
        <v/>
      </c>
      <c r="BB80" s="155" t="str">
        <f t="shared" ca="1" si="24"/>
        <v/>
      </c>
      <c r="BC80" s="155" t="str">
        <f t="shared" ca="1" si="25"/>
        <v/>
      </c>
      <c r="BD80" s="155" t="str" cm="1">
        <f t="array" aca="1" ref="BD80" ca="1">IFERROR(INDEX(MainCell,BE80,2),"")</f>
        <v/>
      </c>
      <c r="BE80" s="155" t="str">
        <f t="shared" ca="1" si="94"/>
        <v/>
      </c>
      <c r="BF80" s="64" t="str">
        <f t="shared" ca="1" si="91"/>
        <v/>
      </c>
      <c r="BG80" s="64" t="str">
        <f t="shared" ca="1" si="44"/>
        <v/>
      </c>
      <c r="BH80" s="64" t="str" cm="1">
        <f t="array" aca="1" ref="BH80" ca="1">IFERROR(CONCATENATE(INDIRECT(BF80)," ", INDIRECT(BG80)),"")</f>
        <v/>
      </c>
      <c r="BI80" s="64" t="str">
        <f t="shared" ca="1" si="92"/>
        <v/>
      </c>
      <c r="BJ80" s="155">
        <f t="shared" ca="1" si="81"/>
        <v>0</v>
      </c>
      <c r="BK80" s="155">
        <f t="shared" ca="1" si="82"/>
        <v>0</v>
      </c>
      <c r="BL80" s="155">
        <f t="shared" ca="1" si="72"/>
        <v>0</v>
      </c>
      <c r="BM80" s="155">
        <f t="shared" ca="1" si="72"/>
        <v>0</v>
      </c>
      <c r="BN80" s="155">
        <f t="shared" ca="1" si="72"/>
        <v>0</v>
      </c>
      <c r="BO80" s="155">
        <f t="shared" ca="1" si="72"/>
        <v>0</v>
      </c>
      <c r="BP80" s="155">
        <f t="shared" ca="1" si="72"/>
        <v>0</v>
      </c>
      <c r="BQ80" s="155">
        <f t="shared" ca="1" si="72"/>
        <v>0</v>
      </c>
      <c r="BR80" s="155">
        <f t="shared" ca="1" si="72"/>
        <v>0</v>
      </c>
      <c r="BS80" s="479">
        <f t="shared" ca="1" si="72"/>
        <v>0</v>
      </c>
      <c r="BV80" s="505" t="str" cm="1">
        <f t="array" aca="1" ref="BV80" ca="1">IF(BJ81=0,"",CONCATENATE(INDEX(FinalSort,BJ81,4),": ",INDEX(FinalSort,BJ81,8)))</f>
        <v/>
      </c>
      <c r="BW80" s="506" t="str" cm="1">
        <f t="array" aca="1" ref="BW80" ca="1">IF(BK81=0,"",CONCATENATE(INDEX(FinalSort,BK81,4),": ",INDEX(FinalSort,BK81,8)))</f>
        <v/>
      </c>
      <c r="BX80" s="506" t="str" cm="1">
        <f t="array" aca="1" ref="BX80" ca="1">IF(BL81=0,"",CONCATENATE(INDEX(FinalSort,BL81,4),": ",INDEX(FinalSort,BL81,8)))</f>
        <v/>
      </c>
      <c r="BY80" s="506" t="str" cm="1">
        <f t="array" aca="1" ref="BY80" ca="1">IF(BM81=0,"",CONCATENATE(INDEX(FinalSort,BM81,4),": ",INDEX(FinalSort,BM81,8)))</f>
        <v/>
      </c>
      <c r="BZ80" s="506" t="str" cm="1">
        <f t="array" aca="1" ref="BZ80" ca="1">IF(BN81=0,"",CONCATENATE(INDEX(FinalSort,BN81,4),": ",INDEX(FinalSort,BN81,8)))</f>
        <v/>
      </c>
      <c r="CA80" s="506" t="str" cm="1">
        <f t="array" aca="1" ref="CA80" ca="1">IF(BO81=0,"",CONCATENATE(INDEX(FinalSort,BO81,4),": ",INDEX(FinalSort,BO81,8)))</f>
        <v/>
      </c>
      <c r="CB80" s="506" t="str" cm="1">
        <f t="array" aca="1" ref="CB80" ca="1">IF(BP81=0,"",CONCATENATE(INDEX(FinalSort,BP81,4),": ",INDEX(FinalSort,BP81,8)))</f>
        <v/>
      </c>
      <c r="CC80" s="506" t="str" cm="1">
        <f t="array" aca="1" ref="CC80" ca="1">IF(BQ81=0,"",CONCATENATE(INDEX(FinalSort,BQ81,4),": ",INDEX(FinalSort,BQ81,8)))</f>
        <v/>
      </c>
      <c r="CD80" s="506" t="str" cm="1">
        <f t="array" aca="1" ref="CD80" ca="1">IF(BR81=0,"",CONCATENATE(INDEX(FinalSort,BR81,4),": ",INDEX(FinalSort,BR81,8)))</f>
        <v/>
      </c>
      <c r="CE80" s="507" t="str" cm="1">
        <f t="array" aca="1" ref="CE80" ca="1">IF(BS81=0,"",CONCATENATE(INDEX(FinalSort,BS81,4),": ",INDEX(FinalSort,BS81,8)))</f>
        <v/>
      </c>
    </row>
    <row r="81" spans="1:83" x14ac:dyDescent="0.25">
      <c r="A81" s="4">
        <v>72</v>
      </c>
      <c r="B81" s="326" t="str">
        <f t="shared" ca="1" si="73"/>
        <v/>
      </c>
      <c r="C81" s="462" t="str">
        <f t="shared" ca="1" si="75"/>
        <v/>
      </c>
      <c r="D81" s="463" t="str">
        <f t="shared" ca="1" si="76"/>
        <v/>
      </c>
      <c r="E81" s="471" t="str">
        <f t="shared" ca="1" si="77"/>
        <v/>
      </c>
      <c r="F81" s="473" t="str">
        <f t="shared" ca="1" si="74"/>
        <v/>
      </c>
      <c r="G81" s="522"/>
      <c r="H81" s="155"/>
      <c r="I81" s="443" t="str" cm="1">
        <f t="array" ref="I81">IFERROR(INDEX('Project Mull Review'!AF:AF, SMALL(IF('Project Mull Review'!AF$35:AF$682&lt;&gt;"",ROW('Project Mull Review'!AF$35:AF$682),""),ROWS('Project Mull Review'!AF$35:AF105))),"")</f>
        <v/>
      </c>
      <c r="J81" s="389" t="str" cm="1">
        <f t="array" ref="J81">IFERROR(INDEX('Project Mull Review'!AI:AI, SMALL(IF('Project Mull Review'!AI$35:AI$682&lt;&gt;"",ROW('Project Mull Review'!AI$35:AI$682),""),ROWS('Project Mull Review'!AI$35:AI105))),"")</f>
        <v/>
      </c>
      <c r="K81" s="442" t="str" cm="1">
        <f t="array" ref="K81">IFERROR(ROUND(INDEX('Project Mull Review'!AT:AT, SMALL(IF('Project Mull Review'!AI$35:AI$682&lt;&gt;"",ROW('Project Mull Review'!AI$35:AI$682),""),ROWS('Project Mull Review'!AI$35:AI105))),0),"")</f>
        <v/>
      </c>
      <c r="M81" s="140">
        <f>ROW()</f>
        <v>81</v>
      </c>
      <c r="N81" t="str">
        <f t="shared" si="83"/>
        <v/>
      </c>
      <c r="O81" t="str">
        <f t="shared" si="84"/>
        <v/>
      </c>
      <c r="P81" s="144">
        <f t="shared" ca="1" si="78"/>
        <v>0</v>
      </c>
      <c r="Q81" t="str">
        <f t="shared" ca="1" si="54"/>
        <v/>
      </c>
      <c r="R81" t="str">
        <f t="shared" ca="1" si="55"/>
        <v/>
      </c>
      <c r="S81" t="str">
        <f ca="1"/>
        <v/>
      </c>
      <c r="T81" s="144" t="str">
        <f ca="1"/>
        <v/>
      </c>
      <c r="U81" t="str">
        <f t="shared" ca="1" si="70"/>
        <v/>
      </c>
      <c r="V81" t="str">
        <f t="shared" ca="1" si="69"/>
        <v/>
      </c>
      <c r="AC81" t="str">
        <f t="shared" ca="1" si="65"/>
        <v/>
      </c>
      <c r="AD81" t="str" cm="1">
        <f t="array" aca="1" ref="AD81" ca="1">IFERROR(INDIRECT(_xlfn.CONCAT(AU$14,$V81)),"")</f>
        <v/>
      </c>
      <c r="AE81" s="144" t="str" cm="1">
        <f t="array" aca="1" ref="AE81" ca="1">IFERROR(INDIRECT(_xlfn.CONCAT(AU$16,$V81)),"")</f>
        <v/>
      </c>
      <c r="AF81" t="str">
        <f t="shared" ca="1" si="85"/>
        <v/>
      </c>
      <c r="AG81" s="525" t="str">
        <f ca="1"/>
        <v/>
      </c>
      <c r="AH81" s="467" t="str">
        <f t="shared" ca="1" si="93"/>
        <v/>
      </c>
      <c r="AI81" s="533" t="str">
        <f t="shared" ca="1" si="86"/>
        <v/>
      </c>
      <c r="AJ81" s="533" t="str">
        <f t="shared" ca="1" si="79"/>
        <v/>
      </c>
      <c r="AK81" t="str">
        <f t="shared" ca="1" si="87"/>
        <v/>
      </c>
      <c r="AL81" s="140" t="str">
        <f t="shared" ca="1" si="80"/>
        <v/>
      </c>
      <c r="AM81" t="str">
        <f t="shared" ca="1" si="88"/>
        <v/>
      </c>
      <c r="AN81" s="144" t="str">
        <f t="shared" ca="1" si="89"/>
        <v/>
      </c>
      <c r="AR81" s="155"/>
      <c r="AW81" s="140" t="str">
        <f t="shared" si="66"/>
        <v>N81</v>
      </c>
      <c r="AX81" t="str">
        <f t="shared" si="67"/>
        <v>$N$11:N80</v>
      </c>
      <c r="AY81" s="144" t="str">
        <f t="shared" si="68"/>
        <v>N82:$N$99</v>
      </c>
      <c r="BA81" s="139" t="str" cm="1">
        <f t="array" aca="1" ref="BA81" ca="1">IFERROR(CELL("address",INDEX('Project Mull Review'!AF:AF, SMALL(IF('Project Mull Review'!AF$35:AF$682&lt;&gt;"",ROW('Project Mull Review'!AF$35:AF$682),""),ROWS('Project Mull Review'!AF$35:AF105)))),"")</f>
        <v/>
      </c>
      <c r="BB81" s="155" t="str">
        <f t="shared" ca="1" si="24"/>
        <v/>
      </c>
      <c r="BC81" s="155" t="str">
        <f t="shared" ca="1" si="25"/>
        <v/>
      </c>
      <c r="BD81" s="155" t="str" cm="1">
        <f t="array" aca="1" ref="BD81" ca="1">IFERROR(INDEX(MainCell,BE81,2),"")</f>
        <v/>
      </c>
      <c r="BE81" s="155" t="str">
        <f t="shared" ca="1" si="94"/>
        <v/>
      </c>
      <c r="BF81" s="64" t="str">
        <f t="shared" ca="1" si="91"/>
        <v/>
      </c>
      <c r="BG81" s="64" t="str">
        <f t="shared" ca="1" si="44"/>
        <v/>
      </c>
      <c r="BH81" s="64" t="str" cm="1">
        <f t="array" aca="1" ref="BH81" ca="1">IFERROR(CONCATENATE(INDIRECT(BF81)," ", INDIRECT(BG81)),"")</f>
        <v/>
      </c>
      <c r="BI81" s="64" t="str">
        <f t="shared" ca="1" si="92"/>
        <v/>
      </c>
      <c r="BJ81" s="155">
        <f t="shared" ca="1" si="81"/>
        <v>0</v>
      </c>
      <c r="BK81" s="155">
        <f t="shared" ca="1" si="82"/>
        <v>0</v>
      </c>
      <c r="BL81" s="155">
        <f t="shared" ref="BL81:BS90" ca="1" si="95">IF(BK81=0,0,IFERROR(IF(MATCH($BI81,OFFSET(Combo,BK81,0),0)&gt;=($AS$18-BK81),0,BK81+MATCH($BI81,OFFSET(Combo,BK81,0),0)),0))</f>
        <v>0</v>
      </c>
      <c r="BM81" s="155">
        <f t="shared" ca="1" si="95"/>
        <v>0</v>
      </c>
      <c r="BN81" s="155">
        <f t="shared" ca="1" si="95"/>
        <v>0</v>
      </c>
      <c r="BO81" s="155">
        <f t="shared" ca="1" si="95"/>
        <v>0</v>
      </c>
      <c r="BP81" s="155">
        <f t="shared" ca="1" si="95"/>
        <v>0</v>
      </c>
      <c r="BQ81" s="155">
        <f t="shared" ca="1" si="95"/>
        <v>0</v>
      </c>
      <c r="BR81" s="155">
        <f t="shared" ca="1" si="95"/>
        <v>0</v>
      </c>
      <c r="BS81" s="479">
        <f t="shared" ca="1" si="95"/>
        <v>0</v>
      </c>
      <c r="BV81" s="505" t="str" cm="1">
        <f t="array" aca="1" ref="BV81" ca="1">IF(BJ82=0,"",CONCATENATE(INDEX(FinalSort,BJ82,4),": ",INDEX(FinalSort,BJ82,8)))</f>
        <v/>
      </c>
      <c r="BW81" s="506" t="str" cm="1">
        <f t="array" aca="1" ref="BW81" ca="1">IF(BK82=0,"",CONCATENATE(INDEX(FinalSort,BK82,4),": ",INDEX(FinalSort,BK82,8)))</f>
        <v/>
      </c>
      <c r="BX81" s="506" t="str" cm="1">
        <f t="array" aca="1" ref="BX81" ca="1">IF(BL82=0,"",CONCATENATE(INDEX(FinalSort,BL82,4),": ",INDEX(FinalSort,BL82,8)))</f>
        <v/>
      </c>
      <c r="BY81" s="506" t="str" cm="1">
        <f t="array" aca="1" ref="BY81" ca="1">IF(BM82=0,"",CONCATENATE(INDEX(FinalSort,BM82,4),": ",INDEX(FinalSort,BM82,8)))</f>
        <v/>
      </c>
      <c r="BZ81" s="506" t="str" cm="1">
        <f t="array" aca="1" ref="BZ81" ca="1">IF(BN82=0,"",CONCATENATE(INDEX(FinalSort,BN82,4),": ",INDEX(FinalSort,BN82,8)))</f>
        <v/>
      </c>
      <c r="CA81" s="506" t="str" cm="1">
        <f t="array" aca="1" ref="CA81" ca="1">IF(BO82=0,"",CONCATENATE(INDEX(FinalSort,BO82,4),": ",INDEX(FinalSort,BO82,8)))</f>
        <v/>
      </c>
      <c r="CB81" s="506" t="str" cm="1">
        <f t="array" aca="1" ref="CB81" ca="1">IF(BP82=0,"",CONCATENATE(INDEX(FinalSort,BP82,4),": ",INDEX(FinalSort,BP82,8)))</f>
        <v/>
      </c>
      <c r="CC81" s="506" t="str" cm="1">
        <f t="array" aca="1" ref="CC81" ca="1">IF(BQ82=0,"",CONCATENATE(INDEX(FinalSort,BQ82,4),": ",INDEX(FinalSort,BQ82,8)))</f>
        <v/>
      </c>
      <c r="CD81" s="506" t="str" cm="1">
        <f t="array" aca="1" ref="CD81" ca="1">IF(BR82=0,"",CONCATENATE(INDEX(FinalSort,BR82,4),": ",INDEX(FinalSort,BR82,8)))</f>
        <v/>
      </c>
      <c r="CE81" s="507" t="str" cm="1">
        <f t="array" aca="1" ref="CE81" ca="1">IF(BS82=0,"",CONCATENATE(INDEX(FinalSort,BS82,4),": ",INDEX(FinalSort,BS82,8)))</f>
        <v/>
      </c>
    </row>
    <row r="82" spans="1:83" x14ac:dyDescent="0.25">
      <c r="A82" s="4">
        <v>73</v>
      </c>
      <c r="B82" s="326" t="str">
        <f t="shared" ca="1" si="73"/>
        <v/>
      </c>
      <c r="C82" s="462" t="str">
        <f t="shared" ca="1" si="75"/>
        <v/>
      </c>
      <c r="D82" s="463" t="str">
        <f t="shared" ca="1" si="76"/>
        <v/>
      </c>
      <c r="E82" s="471" t="str">
        <f t="shared" ca="1" si="77"/>
        <v/>
      </c>
      <c r="F82" s="473" t="str">
        <f t="shared" ca="1" si="74"/>
        <v/>
      </c>
      <c r="G82" s="522"/>
      <c r="H82" s="155"/>
      <c r="I82" s="443" t="str" cm="1">
        <f t="array" ref="I82">IFERROR(INDEX('Project Mull Review'!AF:AF, SMALL(IF('Project Mull Review'!AF$35:AF$682&lt;&gt;"",ROW('Project Mull Review'!AF$35:AF$682),""),ROWS('Project Mull Review'!AF$35:AF106))),"")</f>
        <v/>
      </c>
      <c r="J82" s="389" t="str" cm="1">
        <f t="array" ref="J82">IFERROR(INDEX('Project Mull Review'!AI:AI, SMALL(IF('Project Mull Review'!AI$35:AI$682&lt;&gt;"",ROW('Project Mull Review'!AI$35:AI$682),""),ROWS('Project Mull Review'!AI$35:AI106))),"")</f>
        <v/>
      </c>
      <c r="K82" s="442" t="str" cm="1">
        <f t="array" ref="K82">IFERROR(ROUND(INDEX('Project Mull Review'!AT:AT, SMALL(IF('Project Mull Review'!AI$35:AI$682&lt;&gt;"",ROW('Project Mull Review'!AI$35:AI$682),""),ROWS('Project Mull Review'!AI$35:AI106))),0),"")</f>
        <v/>
      </c>
      <c r="M82" s="140">
        <f>ROW()</f>
        <v>82</v>
      </c>
      <c r="N82" t="str">
        <f t="shared" si="83"/>
        <v/>
      </c>
      <c r="O82" t="str">
        <f t="shared" si="84"/>
        <v/>
      </c>
      <c r="P82" s="144">
        <f t="shared" ca="1" si="78"/>
        <v>0</v>
      </c>
      <c r="Q82" t="str">
        <f t="shared" ca="1" si="54"/>
        <v/>
      </c>
      <c r="R82" t="str">
        <f t="shared" ca="1" si="55"/>
        <v/>
      </c>
      <c r="S82" t="str">
        <f ca="1"/>
        <v/>
      </c>
      <c r="T82" s="144" t="str">
        <f ca="1"/>
        <v/>
      </c>
      <c r="U82" t="str">
        <f t="shared" ca="1" si="70"/>
        <v/>
      </c>
      <c r="V82" t="str">
        <f t="shared" ca="1" si="69"/>
        <v/>
      </c>
      <c r="AC82" t="str">
        <f t="shared" ca="1" si="65"/>
        <v/>
      </c>
      <c r="AD82" t="str" cm="1">
        <f t="array" aca="1" ref="AD82" ca="1">IFERROR(INDIRECT(_xlfn.CONCAT(AU$14,$V82)),"")</f>
        <v/>
      </c>
      <c r="AE82" s="144" t="str" cm="1">
        <f t="array" aca="1" ref="AE82" ca="1">IFERROR(INDIRECT(_xlfn.CONCAT(AU$16,$V82)),"")</f>
        <v/>
      </c>
      <c r="AF82" t="str">
        <f t="shared" ca="1" si="85"/>
        <v/>
      </c>
      <c r="AG82" s="525" t="str">
        <f ca="1"/>
        <v/>
      </c>
      <c r="AH82" s="467" t="str">
        <f t="shared" ca="1" si="93"/>
        <v/>
      </c>
      <c r="AI82" s="533" t="str">
        <f t="shared" ca="1" si="86"/>
        <v/>
      </c>
      <c r="AJ82" s="533" t="str">
        <f t="shared" ca="1" si="79"/>
        <v/>
      </c>
      <c r="AK82" t="str">
        <f t="shared" ca="1" si="87"/>
        <v/>
      </c>
      <c r="AL82" s="140" t="str">
        <f t="shared" ca="1" si="80"/>
        <v/>
      </c>
      <c r="AM82" t="str">
        <f t="shared" ca="1" si="88"/>
        <v/>
      </c>
      <c r="AN82" s="144" t="str">
        <f t="shared" ca="1" si="89"/>
        <v/>
      </c>
      <c r="AW82" s="140" t="str">
        <f t="shared" si="66"/>
        <v>N82</v>
      </c>
      <c r="AX82" t="str">
        <f t="shared" si="67"/>
        <v>$N$11:N81</v>
      </c>
      <c r="AY82" s="144" t="str">
        <f t="shared" si="68"/>
        <v>N83:$N$99</v>
      </c>
      <c r="BA82" s="139" t="str" cm="1">
        <f t="array" aca="1" ref="BA82" ca="1">IFERROR(CELL("address",INDEX('Project Mull Review'!AF:AF, SMALL(IF('Project Mull Review'!AF$35:AF$682&lt;&gt;"",ROW('Project Mull Review'!AF$35:AF$682),""),ROWS('Project Mull Review'!AF$35:AF106)))),"")</f>
        <v/>
      </c>
      <c r="BB82" s="155" t="str">
        <f t="shared" ca="1" si="24"/>
        <v/>
      </c>
      <c r="BC82" s="155" t="str">
        <f t="shared" ca="1" si="25"/>
        <v/>
      </c>
      <c r="BD82" s="155" t="str" cm="1">
        <f t="array" aca="1" ref="BD82" ca="1">IFERROR(INDEX(MainCell,BE82,2),"")</f>
        <v/>
      </c>
      <c r="BE82" s="155" t="str">
        <f t="shared" ca="1" si="94"/>
        <v/>
      </c>
      <c r="BF82" s="64" t="str">
        <f t="shared" ca="1" si="91"/>
        <v/>
      </c>
      <c r="BG82" s="64" t="str">
        <f t="shared" ca="1" si="44"/>
        <v/>
      </c>
      <c r="BH82" s="64" t="str" cm="1">
        <f t="array" aca="1" ref="BH82" ca="1">IFERROR(CONCATENATE(INDIRECT(BF82)," ", INDIRECT(BG82)),"")</f>
        <v/>
      </c>
      <c r="BI82" s="64" t="str">
        <f t="shared" ca="1" si="92"/>
        <v/>
      </c>
      <c r="BJ82" s="155">
        <f t="shared" ca="1" si="81"/>
        <v>0</v>
      </c>
      <c r="BK82" s="155">
        <f t="shared" ca="1" si="82"/>
        <v>0</v>
      </c>
      <c r="BL82" s="155">
        <f t="shared" ca="1" si="95"/>
        <v>0</v>
      </c>
      <c r="BM82" s="155">
        <f t="shared" ca="1" si="95"/>
        <v>0</v>
      </c>
      <c r="BN82" s="155">
        <f t="shared" ca="1" si="95"/>
        <v>0</v>
      </c>
      <c r="BO82" s="155">
        <f t="shared" ca="1" si="95"/>
        <v>0</v>
      </c>
      <c r="BP82" s="155">
        <f t="shared" ca="1" si="95"/>
        <v>0</v>
      </c>
      <c r="BQ82" s="155">
        <f t="shared" ca="1" si="95"/>
        <v>0</v>
      </c>
      <c r="BR82" s="155">
        <f t="shared" ca="1" si="95"/>
        <v>0</v>
      </c>
      <c r="BS82" s="479">
        <f t="shared" ca="1" si="95"/>
        <v>0</v>
      </c>
      <c r="BV82" s="505" t="str" cm="1">
        <f t="array" aca="1" ref="BV82" ca="1">IF(BJ83=0,"",CONCATENATE(INDEX(FinalSort,BJ83,4),": ",INDEX(FinalSort,BJ83,8)))</f>
        <v/>
      </c>
      <c r="BW82" s="506" t="str" cm="1">
        <f t="array" aca="1" ref="BW82" ca="1">IF(BK83=0,"",CONCATENATE(INDEX(FinalSort,BK83,4),": ",INDEX(FinalSort,BK83,8)))</f>
        <v/>
      </c>
      <c r="BX82" s="506" t="str" cm="1">
        <f t="array" aca="1" ref="BX82" ca="1">IF(BL83=0,"",CONCATENATE(INDEX(FinalSort,BL83,4),": ",INDEX(FinalSort,BL83,8)))</f>
        <v/>
      </c>
      <c r="BY82" s="506" t="str" cm="1">
        <f t="array" aca="1" ref="BY82" ca="1">IF(BM83=0,"",CONCATENATE(INDEX(FinalSort,BM83,4),": ",INDEX(FinalSort,BM83,8)))</f>
        <v/>
      </c>
      <c r="BZ82" s="506" t="str" cm="1">
        <f t="array" aca="1" ref="BZ82" ca="1">IF(BN83=0,"",CONCATENATE(INDEX(FinalSort,BN83,4),": ",INDEX(FinalSort,BN83,8)))</f>
        <v/>
      </c>
      <c r="CA82" s="506" t="str" cm="1">
        <f t="array" aca="1" ref="CA82" ca="1">IF(BO83=0,"",CONCATENATE(INDEX(FinalSort,BO83,4),": ",INDEX(FinalSort,BO83,8)))</f>
        <v/>
      </c>
      <c r="CB82" s="506" t="str" cm="1">
        <f t="array" aca="1" ref="CB82" ca="1">IF(BP83=0,"",CONCATENATE(INDEX(FinalSort,BP83,4),": ",INDEX(FinalSort,BP83,8)))</f>
        <v/>
      </c>
      <c r="CC82" s="506" t="str" cm="1">
        <f t="array" aca="1" ref="CC82" ca="1">IF(BQ83=0,"",CONCATENATE(INDEX(FinalSort,BQ83,4),": ",INDEX(FinalSort,BQ83,8)))</f>
        <v/>
      </c>
      <c r="CD82" s="506" t="str" cm="1">
        <f t="array" aca="1" ref="CD82" ca="1">IF(BR83=0,"",CONCATENATE(INDEX(FinalSort,BR83,4),": ",INDEX(FinalSort,BR83,8)))</f>
        <v/>
      </c>
      <c r="CE82" s="507" t="str" cm="1">
        <f t="array" aca="1" ref="CE82" ca="1">IF(BS83=0,"",CONCATENATE(INDEX(FinalSort,BS83,4),": ",INDEX(FinalSort,BS83,8)))</f>
        <v/>
      </c>
    </row>
    <row r="83" spans="1:83" x14ac:dyDescent="0.25">
      <c r="A83" s="4">
        <v>74</v>
      </c>
      <c r="B83" s="326" t="str">
        <f t="shared" ca="1" si="73"/>
        <v/>
      </c>
      <c r="C83" s="462" t="str">
        <f t="shared" ca="1" si="75"/>
        <v/>
      </c>
      <c r="D83" s="463" t="str">
        <f t="shared" ca="1" si="76"/>
        <v/>
      </c>
      <c r="E83" s="471" t="str">
        <f t="shared" ca="1" si="77"/>
        <v/>
      </c>
      <c r="F83" s="473" t="str">
        <f t="shared" ca="1" si="74"/>
        <v/>
      </c>
      <c r="G83" s="522"/>
      <c r="H83" s="155"/>
      <c r="I83" s="443" t="str" cm="1">
        <f t="array" ref="I83">IFERROR(INDEX('Project Mull Review'!AF:AF, SMALL(IF('Project Mull Review'!AF$35:AF$682&lt;&gt;"",ROW('Project Mull Review'!AF$35:AF$682),""),ROWS('Project Mull Review'!AF$35:AF107))),"")</f>
        <v/>
      </c>
      <c r="J83" s="389" t="str" cm="1">
        <f t="array" ref="J83">IFERROR(INDEX('Project Mull Review'!AI:AI, SMALL(IF('Project Mull Review'!AI$35:AI$682&lt;&gt;"",ROW('Project Mull Review'!AI$35:AI$682),""),ROWS('Project Mull Review'!AI$35:AI107))),"")</f>
        <v/>
      </c>
      <c r="K83" s="442" t="str" cm="1">
        <f t="array" ref="K83">IFERROR(ROUND(INDEX('Project Mull Review'!AT:AT, SMALL(IF('Project Mull Review'!AI$35:AI$682&lt;&gt;"",ROW('Project Mull Review'!AI$35:AI$682),""),ROWS('Project Mull Review'!AI$35:AI107))),0),"")</f>
        <v/>
      </c>
      <c r="M83" s="140">
        <f>ROW()</f>
        <v>83</v>
      </c>
      <c r="N83" t="str">
        <f t="shared" si="83"/>
        <v/>
      </c>
      <c r="O83" t="str">
        <f t="shared" si="84"/>
        <v/>
      </c>
      <c r="P83" s="144">
        <f t="shared" ca="1" si="78"/>
        <v>0</v>
      </c>
      <c r="Q83" t="str">
        <f t="shared" ca="1" si="54"/>
        <v/>
      </c>
      <c r="R83" t="str">
        <f t="shared" ca="1" si="55"/>
        <v/>
      </c>
      <c r="S83" t="str">
        <f ca="1"/>
        <v/>
      </c>
      <c r="T83" s="144" t="str">
        <f ca="1"/>
        <v/>
      </c>
      <c r="U83" t="str">
        <f t="shared" ca="1" si="70"/>
        <v/>
      </c>
      <c r="V83" t="str">
        <f t="shared" ca="1" si="69"/>
        <v/>
      </c>
      <c r="AC83" t="str">
        <f t="shared" ca="1" si="65"/>
        <v/>
      </c>
      <c r="AD83" t="str" cm="1">
        <f t="array" aca="1" ref="AD83" ca="1">IFERROR(INDIRECT(_xlfn.CONCAT(AU$14,$V83)),"")</f>
        <v/>
      </c>
      <c r="AE83" s="144" t="str" cm="1">
        <f t="array" aca="1" ref="AE83" ca="1">IFERROR(INDIRECT(_xlfn.CONCAT(AU$16,$V83)),"")</f>
        <v/>
      </c>
      <c r="AF83" t="str">
        <f t="shared" ca="1" si="85"/>
        <v/>
      </c>
      <c r="AG83" s="525" t="str">
        <f ca="1"/>
        <v/>
      </c>
      <c r="AH83" s="467" t="str">
        <f t="shared" ca="1" si="93"/>
        <v/>
      </c>
      <c r="AI83" s="533" t="str">
        <f t="shared" ca="1" si="86"/>
        <v/>
      </c>
      <c r="AJ83" s="533" t="str">
        <f t="shared" ca="1" si="79"/>
        <v/>
      </c>
      <c r="AK83" t="str">
        <f t="shared" ca="1" si="87"/>
        <v/>
      </c>
      <c r="AL83" s="140" t="str">
        <f t="shared" ca="1" si="80"/>
        <v/>
      </c>
      <c r="AM83" t="str">
        <f t="shared" ca="1" si="88"/>
        <v/>
      </c>
      <c r="AN83" s="144" t="str">
        <f t="shared" ca="1" si="89"/>
        <v/>
      </c>
      <c r="AW83" s="140" t="str">
        <f t="shared" si="66"/>
        <v>N83</v>
      </c>
      <c r="AX83" t="str">
        <f t="shared" si="67"/>
        <v>$N$11:N82</v>
      </c>
      <c r="AY83" s="144" t="str">
        <f t="shared" si="68"/>
        <v>N84:$N$99</v>
      </c>
      <c r="BA83" s="139" t="str" cm="1">
        <f t="array" aca="1" ref="BA83" ca="1">IFERROR(CELL("address",INDEX('Project Mull Review'!AF:AF, SMALL(IF('Project Mull Review'!AF$35:AF$682&lt;&gt;"",ROW('Project Mull Review'!AF$35:AF$682),""),ROWS('Project Mull Review'!AF$35:AF107)))),"")</f>
        <v/>
      </c>
      <c r="BB83" s="155" t="str">
        <f t="shared" ca="1" si="24"/>
        <v/>
      </c>
      <c r="BC83" s="155" t="str">
        <f t="shared" ca="1" si="25"/>
        <v/>
      </c>
      <c r="BD83" s="155" t="str" cm="1">
        <f t="array" aca="1" ref="BD83" ca="1">IFERROR(INDEX(MainCell,BE83,2),"")</f>
        <v/>
      </c>
      <c r="BE83" s="155" t="str">
        <f t="shared" ca="1" si="94"/>
        <v/>
      </c>
      <c r="BF83" s="64" t="str">
        <f t="shared" ca="1" si="91"/>
        <v/>
      </c>
      <c r="BG83" s="64" t="str">
        <f t="shared" ca="1" si="44"/>
        <v/>
      </c>
      <c r="BH83" s="64" t="str" cm="1">
        <f t="array" aca="1" ref="BH83" ca="1">IFERROR(CONCATENATE(INDIRECT(BF83)," ", INDIRECT(BG83)),"")</f>
        <v/>
      </c>
      <c r="BI83" s="64" t="str">
        <f t="shared" ca="1" si="92"/>
        <v/>
      </c>
      <c r="BJ83" s="155">
        <f t="shared" ca="1" si="81"/>
        <v>0</v>
      </c>
      <c r="BK83" s="155">
        <f t="shared" ca="1" si="82"/>
        <v>0</v>
      </c>
      <c r="BL83" s="155">
        <f t="shared" ca="1" si="95"/>
        <v>0</v>
      </c>
      <c r="BM83" s="155">
        <f t="shared" ca="1" si="95"/>
        <v>0</v>
      </c>
      <c r="BN83" s="155">
        <f t="shared" ca="1" si="95"/>
        <v>0</v>
      </c>
      <c r="BO83" s="155">
        <f t="shared" ca="1" si="95"/>
        <v>0</v>
      </c>
      <c r="BP83" s="155">
        <f t="shared" ca="1" si="95"/>
        <v>0</v>
      </c>
      <c r="BQ83" s="155">
        <f t="shared" ca="1" si="95"/>
        <v>0</v>
      </c>
      <c r="BR83" s="155">
        <f t="shared" ca="1" si="95"/>
        <v>0</v>
      </c>
      <c r="BS83" s="479">
        <f t="shared" ca="1" si="95"/>
        <v>0</v>
      </c>
      <c r="BV83" s="505" t="str" cm="1">
        <f t="array" aca="1" ref="BV83" ca="1">IF(BJ84=0,"",CONCATENATE(INDEX(FinalSort,BJ84,4),": ",INDEX(FinalSort,BJ84,8)))</f>
        <v/>
      </c>
      <c r="BW83" s="506" t="str" cm="1">
        <f t="array" aca="1" ref="BW83" ca="1">IF(BK84=0,"",CONCATENATE(INDEX(FinalSort,BK84,4),": ",INDEX(FinalSort,BK84,8)))</f>
        <v/>
      </c>
      <c r="BX83" s="506" t="str" cm="1">
        <f t="array" aca="1" ref="BX83" ca="1">IF(BL84=0,"",CONCATENATE(INDEX(FinalSort,BL84,4),": ",INDEX(FinalSort,BL84,8)))</f>
        <v/>
      </c>
      <c r="BY83" s="506" t="str" cm="1">
        <f t="array" aca="1" ref="BY83" ca="1">IF(BM84=0,"",CONCATENATE(INDEX(FinalSort,BM84,4),": ",INDEX(FinalSort,BM84,8)))</f>
        <v/>
      </c>
      <c r="BZ83" s="506" t="str" cm="1">
        <f t="array" aca="1" ref="BZ83" ca="1">IF(BN84=0,"",CONCATENATE(INDEX(FinalSort,BN84,4),": ",INDEX(FinalSort,BN84,8)))</f>
        <v/>
      </c>
      <c r="CA83" s="506" t="str" cm="1">
        <f t="array" aca="1" ref="CA83" ca="1">IF(BO84=0,"",CONCATENATE(INDEX(FinalSort,BO84,4),": ",INDEX(FinalSort,BO84,8)))</f>
        <v/>
      </c>
      <c r="CB83" s="506" t="str" cm="1">
        <f t="array" aca="1" ref="CB83" ca="1">IF(BP84=0,"",CONCATENATE(INDEX(FinalSort,BP84,4),": ",INDEX(FinalSort,BP84,8)))</f>
        <v/>
      </c>
      <c r="CC83" s="506" t="str" cm="1">
        <f t="array" aca="1" ref="CC83" ca="1">IF(BQ84=0,"",CONCATENATE(INDEX(FinalSort,BQ84,4),": ",INDEX(FinalSort,BQ84,8)))</f>
        <v/>
      </c>
      <c r="CD83" s="506" t="str" cm="1">
        <f t="array" aca="1" ref="CD83" ca="1">IF(BR84=0,"",CONCATENATE(INDEX(FinalSort,BR84,4),": ",INDEX(FinalSort,BR84,8)))</f>
        <v/>
      </c>
      <c r="CE83" s="507" t="str" cm="1">
        <f t="array" aca="1" ref="CE83" ca="1">IF(BS84=0,"",CONCATENATE(INDEX(FinalSort,BS84,4),": ",INDEX(FinalSort,BS84,8)))</f>
        <v/>
      </c>
    </row>
    <row r="84" spans="1:83" x14ac:dyDescent="0.25">
      <c r="A84" s="4">
        <v>75</v>
      </c>
      <c r="B84" s="326" t="str">
        <f t="shared" ca="1" si="73"/>
        <v/>
      </c>
      <c r="C84" s="462" t="str">
        <f t="shared" ca="1" si="75"/>
        <v/>
      </c>
      <c r="D84" s="463" t="str">
        <f t="shared" ca="1" si="76"/>
        <v/>
      </c>
      <c r="E84" s="471" t="str">
        <f t="shared" ca="1" si="77"/>
        <v/>
      </c>
      <c r="F84" s="473" t="str">
        <f t="shared" ca="1" si="74"/>
        <v/>
      </c>
      <c r="G84" s="522"/>
      <c r="H84" s="155"/>
      <c r="I84" s="443" t="str" cm="1">
        <f t="array" ref="I84">IFERROR(INDEX('Project Mull Review'!AF:AF, SMALL(IF('Project Mull Review'!AF$35:AF$682&lt;&gt;"",ROW('Project Mull Review'!AF$35:AF$682),""),ROWS('Project Mull Review'!AF$35:AF108))),"")</f>
        <v/>
      </c>
      <c r="J84" s="389" t="str" cm="1">
        <f t="array" ref="J84">IFERROR(INDEX('Project Mull Review'!AI:AI, SMALL(IF('Project Mull Review'!AI$35:AI$682&lt;&gt;"",ROW('Project Mull Review'!AI$35:AI$682),""),ROWS('Project Mull Review'!AI$35:AI108))),"")</f>
        <v/>
      </c>
      <c r="K84" s="442" t="str" cm="1">
        <f t="array" ref="K84">IFERROR(ROUND(INDEX('Project Mull Review'!AT:AT, SMALL(IF('Project Mull Review'!AI$35:AI$682&lt;&gt;"",ROW('Project Mull Review'!AI$35:AI$682),""),ROWS('Project Mull Review'!AI$35:AI108))),0),"")</f>
        <v/>
      </c>
      <c r="M84" s="140">
        <f>ROW()</f>
        <v>84</v>
      </c>
      <c r="N84" t="str">
        <f t="shared" si="83"/>
        <v/>
      </c>
      <c r="O84" t="str">
        <f t="shared" si="84"/>
        <v/>
      </c>
      <c r="P84" s="144">
        <f t="shared" ca="1" si="78"/>
        <v>0</v>
      </c>
      <c r="Q84" t="str">
        <f t="shared" ca="1" si="54"/>
        <v/>
      </c>
      <c r="R84" t="str">
        <f t="shared" ca="1" si="55"/>
        <v/>
      </c>
      <c r="S84" t="str">
        <f ca="1"/>
        <v/>
      </c>
      <c r="T84" s="144" t="str">
        <f ca="1"/>
        <v/>
      </c>
      <c r="U84" t="str">
        <f t="shared" ca="1" si="70"/>
        <v/>
      </c>
      <c r="V84" t="str">
        <f t="shared" ca="1" si="69"/>
        <v/>
      </c>
      <c r="AC84" t="str">
        <f t="shared" ca="1" si="65"/>
        <v/>
      </c>
      <c r="AD84" t="str" cm="1">
        <f t="array" aca="1" ref="AD84" ca="1">IFERROR(INDIRECT(_xlfn.CONCAT(AU$14,$V84)),"")</f>
        <v/>
      </c>
      <c r="AE84" s="144" t="str" cm="1">
        <f t="array" aca="1" ref="AE84" ca="1">IFERROR(INDIRECT(_xlfn.CONCAT(AU$16,$V84)),"")</f>
        <v/>
      </c>
      <c r="AF84" t="str">
        <f t="shared" ca="1" si="85"/>
        <v/>
      </c>
      <c r="AG84" s="525" t="str">
        <f ca="1"/>
        <v/>
      </c>
      <c r="AH84" s="467" t="str">
        <f t="shared" ca="1" si="93"/>
        <v/>
      </c>
      <c r="AI84" s="533" t="str">
        <f t="shared" ca="1" si="86"/>
        <v/>
      </c>
      <c r="AJ84" s="533" t="str">
        <f t="shared" ca="1" si="79"/>
        <v/>
      </c>
      <c r="AK84" t="str">
        <f t="shared" ca="1" si="87"/>
        <v/>
      </c>
      <c r="AL84" s="140" t="str">
        <f t="shared" ca="1" si="80"/>
        <v/>
      </c>
      <c r="AM84" t="str">
        <f t="shared" ca="1" si="88"/>
        <v/>
      </c>
      <c r="AN84" s="144" t="str">
        <f t="shared" ca="1" si="89"/>
        <v/>
      </c>
      <c r="AW84" s="140" t="str">
        <f t="shared" si="66"/>
        <v>N84</v>
      </c>
      <c r="AX84" t="str">
        <f t="shared" si="67"/>
        <v>$N$11:N83</v>
      </c>
      <c r="AY84" s="144" t="str">
        <f t="shared" si="68"/>
        <v>N85:$N$99</v>
      </c>
      <c r="BA84" s="139" t="str" cm="1">
        <f t="array" aca="1" ref="BA84" ca="1">IFERROR(CELL("address",INDEX('Project Mull Review'!AF:AF, SMALL(IF('Project Mull Review'!AF$35:AF$682&lt;&gt;"",ROW('Project Mull Review'!AF$35:AF$682),""),ROWS('Project Mull Review'!AF$35:AF108)))),"")</f>
        <v/>
      </c>
      <c r="BB84" s="155" t="str">
        <f t="shared" ca="1" si="24"/>
        <v/>
      </c>
      <c r="BC84" s="155" t="str">
        <f t="shared" ca="1" si="25"/>
        <v/>
      </c>
      <c r="BD84" s="155" t="str" cm="1">
        <f t="array" aca="1" ref="BD84" ca="1">IFERROR(INDEX(MainCell,BE84,2),"")</f>
        <v/>
      </c>
      <c r="BE84" s="155" t="str">
        <f t="shared" ca="1" si="94"/>
        <v/>
      </c>
      <c r="BF84" s="64" t="str">
        <f t="shared" ca="1" si="91"/>
        <v/>
      </c>
      <c r="BG84" s="64" t="str">
        <f t="shared" ca="1" si="44"/>
        <v/>
      </c>
      <c r="BH84" s="64" t="str" cm="1">
        <f t="array" aca="1" ref="BH84" ca="1">IFERROR(CONCATENATE(INDIRECT(BF84)," ", INDIRECT(BG84)),"")</f>
        <v/>
      </c>
      <c r="BI84" s="64" t="str">
        <f t="shared" ca="1" si="92"/>
        <v/>
      </c>
      <c r="BJ84" s="155">
        <f t="shared" ca="1" si="81"/>
        <v>0</v>
      </c>
      <c r="BK84" s="155">
        <f t="shared" ca="1" si="82"/>
        <v>0</v>
      </c>
      <c r="BL84" s="155">
        <f t="shared" ca="1" si="95"/>
        <v>0</v>
      </c>
      <c r="BM84" s="155">
        <f t="shared" ca="1" si="95"/>
        <v>0</v>
      </c>
      <c r="BN84" s="155">
        <f t="shared" ca="1" si="95"/>
        <v>0</v>
      </c>
      <c r="BO84" s="155">
        <f t="shared" ca="1" si="95"/>
        <v>0</v>
      </c>
      <c r="BP84" s="155">
        <f t="shared" ca="1" si="95"/>
        <v>0</v>
      </c>
      <c r="BQ84" s="155">
        <f t="shared" ca="1" si="95"/>
        <v>0</v>
      </c>
      <c r="BR84" s="155">
        <f t="shared" ca="1" si="95"/>
        <v>0</v>
      </c>
      <c r="BS84" s="479">
        <f t="shared" ca="1" si="95"/>
        <v>0</v>
      </c>
      <c r="BV84" s="505" t="str" cm="1">
        <f t="array" aca="1" ref="BV84" ca="1">IF(BJ85=0,"",CONCATENATE(INDEX(FinalSort,BJ85,4),": ",INDEX(FinalSort,BJ85,8)))</f>
        <v/>
      </c>
      <c r="BW84" s="506" t="str" cm="1">
        <f t="array" aca="1" ref="BW84" ca="1">IF(BK85=0,"",CONCATENATE(INDEX(FinalSort,BK85,4),": ",INDEX(FinalSort,BK85,8)))</f>
        <v/>
      </c>
      <c r="BX84" s="506" t="str" cm="1">
        <f t="array" aca="1" ref="BX84" ca="1">IF(BL85=0,"",CONCATENATE(INDEX(FinalSort,BL85,4),": ",INDEX(FinalSort,BL85,8)))</f>
        <v/>
      </c>
      <c r="BY84" s="506" t="str" cm="1">
        <f t="array" aca="1" ref="BY84" ca="1">IF(BM85=0,"",CONCATENATE(INDEX(FinalSort,BM85,4),": ",INDEX(FinalSort,BM85,8)))</f>
        <v/>
      </c>
      <c r="BZ84" s="506" t="str" cm="1">
        <f t="array" aca="1" ref="BZ84" ca="1">IF(BN85=0,"",CONCATENATE(INDEX(FinalSort,BN85,4),": ",INDEX(FinalSort,BN85,8)))</f>
        <v/>
      </c>
      <c r="CA84" s="506" t="str" cm="1">
        <f t="array" aca="1" ref="CA84" ca="1">IF(BO85=0,"",CONCATENATE(INDEX(FinalSort,BO85,4),": ",INDEX(FinalSort,BO85,8)))</f>
        <v/>
      </c>
      <c r="CB84" s="506" t="str" cm="1">
        <f t="array" aca="1" ref="CB84" ca="1">IF(BP85=0,"",CONCATENATE(INDEX(FinalSort,BP85,4),": ",INDEX(FinalSort,BP85,8)))</f>
        <v/>
      </c>
      <c r="CC84" s="506" t="str" cm="1">
        <f t="array" aca="1" ref="CC84" ca="1">IF(BQ85=0,"",CONCATENATE(INDEX(FinalSort,BQ85,4),": ",INDEX(FinalSort,BQ85,8)))</f>
        <v/>
      </c>
      <c r="CD84" s="506" t="str" cm="1">
        <f t="array" aca="1" ref="CD84" ca="1">IF(BR85=0,"",CONCATENATE(INDEX(FinalSort,BR85,4),": ",INDEX(FinalSort,BR85,8)))</f>
        <v/>
      </c>
      <c r="CE84" s="507" t="str" cm="1">
        <f t="array" aca="1" ref="CE84" ca="1">IF(BS85=0,"",CONCATENATE(INDEX(FinalSort,BS85,4),": ",INDEX(FinalSort,BS85,8)))</f>
        <v/>
      </c>
    </row>
    <row r="85" spans="1:83" x14ac:dyDescent="0.25">
      <c r="A85" s="4">
        <v>76</v>
      </c>
      <c r="B85" s="326" t="str">
        <f t="shared" ca="1" si="73"/>
        <v/>
      </c>
      <c r="C85" s="462" t="str">
        <f t="shared" ca="1" si="75"/>
        <v/>
      </c>
      <c r="D85" s="463" t="str">
        <f t="shared" ca="1" si="76"/>
        <v/>
      </c>
      <c r="E85" s="471" t="str">
        <f t="shared" ca="1" si="77"/>
        <v/>
      </c>
      <c r="F85" s="473" t="str">
        <f t="shared" ca="1" si="74"/>
        <v/>
      </c>
      <c r="G85" s="522"/>
      <c r="H85" s="155"/>
      <c r="I85" s="443" t="str" cm="1">
        <f t="array" ref="I85">IFERROR(INDEX('Project Mull Review'!AF:AF, SMALL(IF('Project Mull Review'!AF$35:AF$682&lt;&gt;"",ROW('Project Mull Review'!AF$35:AF$682),""),ROWS('Project Mull Review'!AF$35:AF109))),"")</f>
        <v/>
      </c>
      <c r="J85" s="389" t="str" cm="1">
        <f t="array" ref="J85">IFERROR(INDEX('Project Mull Review'!AI:AI, SMALL(IF('Project Mull Review'!AI$35:AI$682&lt;&gt;"",ROW('Project Mull Review'!AI$35:AI$682),""),ROWS('Project Mull Review'!AI$35:AI109))),"")</f>
        <v/>
      </c>
      <c r="K85" s="442" t="str" cm="1">
        <f t="array" ref="K85">IFERROR(ROUND(INDEX('Project Mull Review'!AT:AT, SMALL(IF('Project Mull Review'!AI$35:AI$682&lt;&gt;"",ROW('Project Mull Review'!AI$35:AI$682),""),ROWS('Project Mull Review'!AI$35:AI109))),0),"")</f>
        <v/>
      </c>
      <c r="M85" s="140">
        <f>ROW()</f>
        <v>85</v>
      </c>
      <c r="N85" t="str">
        <f t="shared" si="83"/>
        <v/>
      </c>
      <c r="O85" t="str">
        <f t="shared" si="84"/>
        <v/>
      </c>
      <c r="P85" s="144">
        <f t="shared" ca="1" si="78"/>
        <v>0</v>
      </c>
      <c r="Q85" t="str">
        <f t="shared" ca="1" si="54"/>
        <v/>
      </c>
      <c r="R85" t="str">
        <f t="shared" ca="1" si="55"/>
        <v/>
      </c>
      <c r="S85" t="str">
        <f ca="1"/>
        <v/>
      </c>
      <c r="T85" s="144" t="str">
        <f ca="1"/>
        <v/>
      </c>
      <c r="U85" t="str">
        <f t="shared" ca="1" si="70"/>
        <v/>
      </c>
      <c r="V85" t="str">
        <f t="shared" ca="1" si="69"/>
        <v/>
      </c>
      <c r="AC85" t="str">
        <f t="shared" ca="1" si="65"/>
        <v/>
      </c>
      <c r="AD85" t="str" cm="1">
        <f t="array" aca="1" ref="AD85" ca="1">IFERROR(INDIRECT(_xlfn.CONCAT(AU$14,$V85)),"")</f>
        <v/>
      </c>
      <c r="AE85" s="144" t="str" cm="1">
        <f t="array" aca="1" ref="AE85" ca="1">IFERROR(INDIRECT(_xlfn.CONCAT(AU$16,$V85)),"")</f>
        <v/>
      </c>
      <c r="AF85" t="str">
        <f t="shared" ca="1" si="85"/>
        <v/>
      </c>
      <c r="AG85" s="525" t="str">
        <f ca="1"/>
        <v/>
      </c>
      <c r="AH85" s="467" t="str">
        <f t="shared" ca="1" si="93"/>
        <v/>
      </c>
      <c r="AI85" s="533" t="str">
        <f t="shared" ca="1" si="86"/>
        <v/>
      </c>
      <c r="AJ85" s="533" t="str">
        <f t="shared" ca="1" si="79"/>
        <v/>
      </c>
      <c r="AK85" t="str">
        <f t="shared" ca="1" si="87"/>
        <v/>
      </c>
      <c r="AL85" s="140" t="str">
        <f t="shared" ca="1" si="80"/>
        <v/>
      </c>
      <c r="AM85" t="str">
        <f t="shared" ca="1" si="88"/>
        <v/>
      </c>
      <c r="AN85" s="144" t="str">
        <f t="shared" ca="1" si="89"/>
        <v/>
      </c>
      <c r="AW85" s="140" t="str">
        <f t="shared" si="66"/>
        <v>N85</v>
      </c>
      <c r="AX85" t="str">
        <f t="shared" si="67"/>
        <v>$N$11:N84</v>
      </c>
      <c r="AY85" s="144" t="str">
        <f t="shared" si="68"/>
        <v>N86:$N$99</v>
      </c>
      <c r="BA85" s="139" t="str" cm="1">
        <f t="array" aca="1" ref="BA85" ca="1">IFERROR(CELL("address",INDEX('Project Mull Review'!AF:AF, SMALL(IF('Project Mull Review'!AF$35:AF$682&lt;&gt;"",ROW('Project Mull Review'!AF$35:AF$682),""),ROWS('Project Mull Review'!AF$35:AF109)))),"")</f>
        <v/>
      </c>
      <c r="BB85" s="155" t="str">
        <f t="shared" ca="1" si="24"/>
        <v/>
      </c>
      <c r="BC85" s="155" t="str">
        <f t="shared" ca="1" si="25"/>
        <v/>
      </c>
      <c r="BD85" s="155" t="str" cm="1">
        <f t="array" aca="1" ref="BD85" ca="1">IFERROR(INDEX(MainCell,BE85,2),"")</f>
        <v/>
      </c>
      <c r="BE85" s="155" t="str">
        <f t="shared" ca="1" si="94"/>
        <v/>
      </c>
      <c r="BF85" s="64" t="str">
        <f t="shared" ca="1" si="91"/>
        <v/>
      </c>
      <c r="BG85" s="64" t="str">
        <f t="shared" ca="1" si="44"/>
        <v/>
      </c>
      <c r="BH85" s="64" t="str" cm="1">
        <f t="array" aca="1" ref="BH85" ca="1">IFERROR(CONCATENATE(INDIRECT(BF85)," ", INDIRECT(BG85)),"")</f>
        <v/>
      </c>
      <c r="BI85" s="64" t="str">
        <f t="shared" ca="1" si="92"/>
        <v/>
      </c>
      <c r="BJ85" s="155">
        <f t="shared" ca="1" si="81"/>
        <v>0</v>
      </c>
      <c r="BK85" s="155">
        <f t="shared" ca="1" si="82"/>
        <v>0</v>
      </c>
      <c r="BL85" s="155">
        <f t="shared" ca="1" si="95"/>
        <v>0</v>
      </c>
      <c r="BM85" s="155">
        <f t="shared" ca="1" si="95"/>
        <v>0</v>
      </c>
      <c r="BN85" s="155">
        <f t="shared" ca="1" si="95"/>
        <v>0</v>
      </c>
      <c r="BO85" s="155">
        <f t="shared" ca="1" si="95"/>
        <v>0</v>
      </c>
      <c r="BP85" s="155">
        <f t="shared" ca="1" si="95"/>
        <v>0</v>
      </c>
      <c r="BQ85" s="155">
        <f t="shared" ca="1" si="95"/>
        <v>0</v>
      </c>
      <c r="BR85" s="155">
        <f t="shared" ca="1" si="95"/>
        <v>0</v>
      </c>
      <c r="BS85" s="479">
        <f t="shared" ca="1" si="95"/>
        <v>0</v>
      </c>
      <c r="BV85" s="505" t="str" cm="1">
        <f t="array" aca="1" ref="BV85" ca="1">IF(BJ86=0,"",CONCATENATE(INDEX(FinalSort,BJ86,4),": ",INDEX(FinalSort,BJ86,8)))</f>
        <v/>
      </c>
      <c r="BW85" s="506" t="str" cm="1">
        <f t="array" aca="1" ref="BW85" ca="1">IF(BK86=0,"",CONCATENATE(INDEX(FinalSort,BK86,4),": ",INDEX(FinalSort,BK86,8)))</f>
        <v/>
      </c>
      <c r="BX85" s="506" t="str" cm="1">
        <f t="array" aca="1" ref="BX85" ca="1">IF(BL86=0,"",CONCATENATE(INDEX(FinalSort,BL86,4),": ",INDEX(FinalSort,BL86,8)))</f>
        <v/>
      </c>
      <c r="BY85" s="506" t="str" cm="1">
        <f t="array" aca="1" ref="BY85" ca="1">IF(BM86=0,"",CONCATENATE(INDEX(FinalSort,BM86,4),": ",INDEX(FinalSort,BM86,8)))</f>
        <v/>
      </c>
      <c r="BZ85" s="506" t="str" cm="1">
        <f t="array" aca="1" ref="BZ85" ca="1">IF(BN86=0,"",CONCATENATE(INDEX(FinalSort,BN86,4),": ",INDEX(FinalSort,BN86,8)))</f>
        <v/>
      </c>
      <c r="CA85" s="506" t="str" cm="1">
        <f t="array" aca="1" ref="CA85" ca="1">IF(BO86=0,"",CONCATENATE(INDEX(FinalSort,BO86,4),": ",INDEX(FinalSort,BO86,8)))</f>
        <v/>
      </c>
      <c r="CB85" s="506" t="str" cm="1">
        <f t="array" aca="1" ref="CB85" ca="1">IF(BP86=0,"",CONCATENATE(INDEX(FinalSort,BP86,4),": ",INDEX(FinalSort,BP86,8)))</f>
        <v/>
      </c>
      <c r="CC85" s="506" t="str" cm="1">
        <f t="array" aca="1" ref="CC85" ca="1">IF(BQ86=0,"",CONCATENATE(INDEX(FinalSort,BQ86,4),": ",INDEX(FinalSort,BQ86,8)))</f>
        <v/>
      </c>
      <c r="CD85" s="506" t="str" cm="1">
        <f t="array" aca="1" ref="CD85" ca="1">IF(BR86=0,"",CONCATENATE(INDEX(FinalSort,BR86,4),": ",INDEX(FinalSort,BR86,8)))</f>
        <v/>
      </c>
      <c r="CE85" s="507" t="str" cm="1">
        <f t="array" aca="1" ref="CE85" ca="1">IF(BS86=0,"",CONCATENATE(INDEX(FinalSort,BS86,4),": ",INDEX(FinalSort,BS86,8)))</f>
        <v/>
      </c>
    </row>
    <row r="86" spans="1:83" x14ac:dyDescent="0.25">
      <c r="A86" s="4">
        <v>77</v>
      </c>
      <c r="B86" s="326" t="str">
        <f t="shared" ca="1" si="73"/>
        <v/>
      </c>
      <c r="C86" s="462" t="str">
        <f t="shared" ca="1" si="75"/>
        <v/>
      </c>
      <c r="D86" s="463" t="str">
        <f t="shared" ca="1" si="76"/>
        <v/>
      </c>
      <c r="E86" s="471" t="str">
        <f t="shared" ca="1" si="77"/>
        <v/>
      </c>
      <c r="F86" s="473" t="str">
        <f t="shared" ca="1" si="74"/>
        <v/>
      </c>
      <c r="G86" s="522"/>
      <c r="H86" s="155"/>
      <c r="I86" s="443" t="str" cm="1">
        <f t="array" ref="I86">IFERROR(INDEX('Project Mull Review'!AF:AF, SMALL(IF('Project Mull Review'!AF$35:AF$682&lt;&gt;"",ROW('Project Mull Review'!AF$35:AF$682),""),ROWS('Project Mull Review'!AF$35:AF110))),"")</f>
        <v/>
      </c>
      <c r="J86" s="389" t="str" cm="1">
        <f t="array" ref="J86">IFERROR(INDEX('Project Mull Review'!AI:AI, SMALL(IF('Project Mull Review'!AI$35:AI$682&lt;&gt;"",ROW('Project Mull Review'!AI$35:AI$682),""),ROWS('Project Mull Review'!AI$35:AI110))),"")</f>
        <v/>
      </c>
      <c r="K86" s="442" t="str" cm="1">
        <f t="array" ref="K86">IFERROR(ROUND(INDEX('Project Mull Review'!AT:AT, SMALL(IF('Project Mull Review'!AI$35:AI$682&lt;&gt;"",ROW('Project Mull Review'!AI$35:AI$682),""),ROWS('Project Mull Review'!AI$35:AI110))),0),"")</f>
        <v/>
      </c>
      <c r="M86" s="140">
        <f>ROW()</f>
        <v>86</v>
      </c>
      <c r="N86" t="str">
        <f t="shared" si="83"/>
        <v/>
      </c>
      <c r="O86" t="str">
        <f t="shared" si="84"/>
        <v/>
      </c>
      <c r="P86" s="144">
        <f t="shared" ca="1" si="78"/>
        <v>0</v>
      </c>
      <c r="Q86" t="str">
        <f t="shared" ca="1" si="54"/>
        <v/>
      </c>
      <c r="R86" t="str">
        <f t="shared" ca="1" si="55"/>
        <v/>
      </c>
      <c r="S86" t="str">
        <f ca="1"/>
        <v/>
      </c>
      <c r="T86" s="144" t="str">
        <f ca="1"/>
        <v/>
      </c>
      <c r="U86" t="str">
        <f t="shared" ca="1" si="70"/>
        <v/>
      </c>
      <c r="V86" t="str">
        <f t="shared" ca="1" si="69"/>
        <v/>
      </c>
      <c r="AC86" t="str">
        <f t="shared" ca="1" si="65"/>
        <v/>
      </c>
      <c r="AD86" t="str" cm="1">
        <f t="array" aca="1" ref="AD86" ca="1">IFERROR(INDIRECT(_xlfn.CONCAT(AU$14,$V86)),"")</f>
        <v/>
      </c>
      <c r="AE86" s="144" t="str" cm="1">
        <f t="array" aca="1" ref="AE86" ca="1">IFERROR(INDIRECT(_xlfn.CONCAT(AU$16,$V86)),"")</f>
        <v/>
      </c>
      <c r="AF86" t="str">
        <f t="shared" ca="1" si="85"/>
        <v/>
      </c>
      <c r="AG86" s="525" t="str">
        <f ca="1"/>
        <v/>
      </c>
      <c r="AH86" s="467" t="str">
        <f t="shared" ca="1" si="93"/>
        <v/>
      </c>
      <c r="AI86" s="533" t="str">
        <f t="shared" ca="1" si="86"/>
        <v/>
      </c>
      <c r="AJ86" s="533" t="str">
        <f t="shared" ca="1" si="79"/>
        <v/>
      </c>
      <c r="AK86" t="str">
        <f t="shared" ca="1" si="87"/>
        <v/>
      </c>
      <c r="AL86" s="140" t="str">
        <f t="shared" ca="1" si="80"/>
        <v/>
      </c>
      <c r="AM86" t="str">
        <f t="shared" ca="1" si="88"/>
        <v/>
      </c>
      <c r="AN86" s="144" t="str">
        <f t="shared" ca="1" si="89"/>
        <v/>
      </c>
      <c r="AW86" s="140" t="str">
        <f t="shared" si="66"/>
        <v>N86</v>
      </c>
      <c r="AX86" t="str">
        <f t="shared" si="67"/>
        <v>$N$11:N85</v>
      </c>
      <c r="AY86" s="144" t="str">
        <f t="shared" si="68"/>
        <v>N87:$N$99</v>
      </c>
      <c r="BA86" s="139" t="str" cm="1">
        <f t="array" aca="1" ref="BA86" ca="1">IFERROR(CELL("address",INDEX('Project Mull Review'!AF:AF, SMALL(IF('Project Mull Review'!AF$35:AF$682&lt;&gt;"",ROW('Project Mull Review'!AF$35:AF$682),""),ROWS('Project Mull Review'!AF$35:AF110)))),"")</f>
        <v/>
      </c>
      <c r="BB86" s="155" t="str">
        <f t="shared" ca="1" si="24"/>
        <v/>
      </c>
      <c r="BC86" s="155" t="str">
        <f t="shared" ca="1" si="25"/>
        <v/>
      </c>
      <c r="BD86" s="155" t="str" cm="1">
        <f t="array" aca="1" ref="BD86" ca="1">IFERROR(INDEX(MainCell,BE86,2),"")</f>
        <v/>
      </c>
      <c r="BE86" s="155" t="str">
        <f t="shared" ca="1" si="94"/>
        <v/>
      </c>
      <c r="BF86" s="64" t="str">
        <f t="shared" ca="1" si="91"/>
        <v/>
      </c>
      <c r="BG86" s="64" t="str">
        <f t="shared" ca="1" si="44"/>
        <v/>
      </c>
      <c r="BH86" s="64" t="str" cm="1">
        <f t="array" aca="1" ref="BH86" ca="1">IFERROR(CONCATENATE(INDIRECT(BF86)," ", INDIRECT(BG86)),"")</f>
        <v/>
      </c>
      <c r="BI86" s="64" t="str">
        <f t="shared" ca="1" si="92"/>
        <v/>
      </c>
      <c r="BJ86" s="155">
        <f t="shared" ca="1" si="81"/>
        <v>0</v>
      </c>
      <c r="BK86" s="155">
        <f t="shared" ca="1" si="82"/>
        <v>0</v>
      </c>
      <c r="BL86" s="155">
        <f t="shared" ca="1" si="95"/>
        <v>0</v>
      </c>
      <c r="BM86" s="155">
        <f t="shared" ca="1" si="95"/>
        <v>0</v>
      </c>
      <c r="BN86" s="155">
        <f t="shared" ca="1" si="95"/>
        <v>0</v>
      </c>
      <c r="BO86" s="155">
        <f t="shared" ca="1" si="95"/>
        <v>0</v>
      </c>
      <c r="BP86" s="155">
        <f t="shared" ca="1" si="95"/>
        <v>0</v>
      </c>
      <c r="BQ86" s="155">
        <f t="shared" ca="1" si="95"/>
        <v>0</v>
      </c>
      <c r="BR86" s="155">
        <f t="shared" ca="1" si="95"/>
        <v>0</v>
      </c>
      <c r="BS86" s="479">
        <f t="shared" ca="1" si="95"/>
        <v>0</v>
      </c>
      <c r="BV86" s="505" t="str" cm="1">
        <f t="array" aca="1" ref="BV86" ca="1">IF(BJ87=0,"",CONCATENATE(INDEX(FinalSort,BJ87,4),": ",INDEX(FinalSort,BJ87,8)))</f>
        <v/>
      </c>
      <c r="BW86" s="506" t="str" cm="1">
        <f t="array" aca="1" ref="BW86" ca="1">IF(BK87=0,"",CONCATENATE(INDEX(FinalSort,BK87,4),": ",INDEX(FinalSort,BK87,8)))</f>
        <v/>
      </c>
      <c r="BX86" s="506" t="str" cm="1">
        <f t="array" aca="1" ref="BX86" ca="1">IF(BL87=0,"",CONCATENATE(INDEX(FinalSort,BL87,4),": ",INDEX(FinalSort,BL87,8)))</f>
        <v/>
      </c>
      <c r="BY86" s="506" t="str" cm="1">
        <f t="array" aca="1" ref="BY86" ca="1">IF(BM87=0,"",CONCATENATE(INDEX(FinalSort,BM87,4),": ",INDEX(FinalSort,BM87,8)))</f>
        <v/>
      </c>
      <c r="BZ86" s="506" t="str" cm="1">
        <f t="array" aca="1" ref="BZ86" ca="1">IF(BN87=0,"",CONCATENATE(INDEX(FinalSort,BN87,4),": ",INDEX(FinalSort,BN87,8)))</f>
        <v/>
      </c>
      <c r="CA86" s="506" t="str" cm="1">
        <f t="array" aca="1" ref="CA86" ca="1">IF(BO87=0,"",CONCATENATE(INDEX(FinalSort,BO87,4),": ",INDEX(FinalSort,BO87,8)))</f>
        <v/>
      </c>
      <c r="CB86" s="506" t="str" cm="1">
        <f t="array" aca="1" ref="CB86" ca="1">IF(BP87=0,"",CONCATENATE(INDEX(FinalSort,BP87,4),": ",INDEX(FinalSort,BP87,8)))</f>
        <v/>
      </c>
      <c r="CC86" s="506" t="str" cm="1">
        <f t="array" aca="1" ref="CC86" ca="1">IF(BQ87=0,"",CONCATENATE(INDEX(FinalSort,BQ87,4),": ",INDEX(FinalSort,BQ87,8)))</f>
        <v/>
      </c>
      <c r="CD86" s="506" t="str" cm="1">
        <f t="array" aca="1" ref="CD86" ca="1">IF(BR87=0,"",CONCATENATE(INDEX(FinalSort,BR87,4),": ",INDEX(FinalSort,BR87,8)))</f>
        <v/>
      </c>
      <c r="CE86" s="507" t="str" cm="1">
        <f t="array" aca="1" ref="CE86" ca="1">IF(BS87=0,"",CONCATENATE(INDEX(FinalSort,BS87,4),": ",INDEX(FinalSort,BS87,8)))</f>
        <v/>
      </c>
    </row>
    <row r="87" spans="1:83" x14ac:dyDescent="0.25">
      <c r="A87" s="4">
        <v>78</v>
      </c>
      <c r="B87" s="326" t="str">
        <f t="shared" ca="1" si="73"/>
        <v/>
      </c>
      <c r="C87" s="462" t="str">
        <f t="shared" ca="1" si="75"/>
        <v/>
      </c>
      <c r="D87" s="463" t="str">
        <f t="shared" ca="1" si="76"/>
        <v/>
      </c>
      <c r="E87" s="471" t="str">
        <f t="shared" ca="1" si="77"/>
        <v/>
      </c>
      <c r="F87" s="473" t="str">
        <f t="shared" ca="1" si="74"/>
        <v/>
      </c>
      <c r="G87" s="522"/>
      <c r="H87" s="155"/>
      <c r="I87" s="443" t="str" cm="1">
        <f t="array" ref="I87">IFERROR(INDEX('Project Mull Review'!AF:AF, SMALL(IF('Project Mull Review'!AF$35:AF$682&lt;&gt;"",ROW('Project Mull Review'!AF$35:AF$682),""),ROWS('Project Mull Review'!AF$35:AF111))),"")</f>
        <v/>
      </c>
      <c r="J87" s="389" t="str" cm="1">
        <f t="array" ref="J87">IFERROR(INDEX('Project Mull Review'!AI:AI, SMALL(IF('Project Mull Review'!AI$35:AI$682&lt;&gt;"",ROW('Project Mull Review'!AI$35:AI$682),""),ROWS('Project Mull Review'!AI$35:AI111))),"")</f>
        <v/>
      </c>
      <c r="K87" s="442" t="str" cm="1">
        <f t="array" ref="K87">IFERROR(ROUND(INDEX('Project Mull Review'!AT:AT, SMALL(IF('Project Mull Review'!AI$35:AI$682&lt;&gt;"",ROW('Project Mull Review'!AI$35:AI$682),""),ROWS('Project Mull Review'!AI$35:AI111))),0),"")</f>
        <v/>
      </c>
      <c r="M87" s="140">
        <f>ROW()</f>
        <v>87</v>
      </c>
      <c r="N87" t="str">
        <f t="shared" si="83"/>
        <v/>
      </c>
      <c r="O87" t="str">
        <f t="shared" si="84"/>
        <v/>
      </c>
      <c r="P87" s="144">
        <f t="shared" ca="1" si="78"/>
        <v>0</v>
      </c>
      <c r="Q87" t="str">
        <f t="shared" ca="1" si="54"/>
        <v/>
      </c>
      <c r="R87" t="str">
        <f t="shared" ca="1" si="55"/>
        <v/>
      </c>
      <c r="S87" t="str">
        <f ca="1"/>
        <v/>
      </c>
      <c r="T87" s="144" t="str">
        <f ca="1"/>
        <v/>
      </c>
      <c r="U87" t="str">
        <f t="shared" ca="1" si="70"/>
        <v/>
      </c>
      <c r="V87" t="str">
        <f t="shared" ca="1" si="69"/>
        <v/>
      </c>
      <c r="AC87" t="str">
        <f t="shared" ca="1" si="65"/>
        <v/>
      </c>
      <c r="AD87" t="str" cm="1">
        <f t="array" aca="1" ref="AD87" ca="1">IFERROR(INDIRECT(_xlfn.CONCAT(AU$14,$V87)),"")</f>
        <v/>
      </c>
      <c r="AE87" s="144" t="str" cm="1">
        <f t="array" aca="1" ref="AE87" ca="1">IFERROR(INDIRECT(_xlfn.CONCAT(AU$16,$V87)),"")</f>
        <v/>
      </c>
      <c r="AF87" t="str">
        <f t="shared" ca="1" si="85"/>
        <v/>
      </c>
      <c r="AG87" s="525" t="str">
        <f ca="1"/>
        <v/>
      </c>
      <c r="AH87" s="467" t="str">
        <f t="shared" ca="1" si="93"/>
        <v/>
      </c>
      <c r="AI87" s="533" t="str">
        <f t="shared" ca="1" si="86"/>
        <v/>
      </c>
      <c r="AJ87" s="533" t="str">
        <f t="shared" ca="1" si="79"/>
        <v/>
      </c>
      <c r="AK87" t="str">
        <f t="shared" ca="1" si="87"/>
        <v/>
      </c>
      <c r="AL87" s="140" t="str">
        <f t="shared" ca="1" si="80"/>
        <v/>
      </c>
      <c r="AM87" t="str">
        <f t="shared" ca="1" si="88"/>
        <v/>
      </c>
      <c r="AN87" s="144" t="str">
        <f t="shared" ca="1" si="89"/>
        <v/>
      </c>
      <c r="AW87" s="140" t="str">
        <f t="shared" si="66"/>
        <v>N87</v>
      </c>
      <c r="AX87" t="str">
        <f t="shared" si="67"/>
        <v>$N$11:N86</v>
      </c>
      <c r="AY87" s="144" t="str">
        <f t="shared" si="68"/>
        <v>N88:$N$99</v>
      </c>
      <c r="BA87" s="139" t="str" cm="1">
        <f t="array" aca="1" ref="BA87" ca="1">IFERROR(CELL("address",INDEX('Project Mull Review'!AF:AF, SMALL(IF('Project Mull Review'!AF$35:AF$682&lt;&gt;"",ROW('Project Mull Review'!AF$35:AF$682),""),ROWS('Project Mull Review'!AF$35:AF111)))),"")</f>
        <v/>
      </c>
      <c r="BB87" s="155" t="str">
        <f t="shared" ca="1" si="24"/>
        <v/>
      </c>
      <c r="BC87" s="155" t="str">
        <f t="shared" ca="1" si="25"/>
        <v/>
      </c>
      <c r="BD87" s="155" t="str" cm="1">
        <f t="array" aca="1" ref="BD87" ca="1">IFERROR(INDEX(MainCell,BE87,2),"")</f>
        <v/>
      </c>
      <c r="BE87" s="155" t="str">
        <f t="shared" ca="1" si="94"/>
        <v/>
      </c>
      <c r="BF87" s="64" t="str">
        <f t="shared" ca="1" si="91"/>
        <v/>
      </c>
      <c r="BG87" s="64" t="str">
        <f t="shared" ca="1" si="44"/>
        <v/>
      </c>
      <c r="BH87" s="64" t="str" cm="1">
        <f t="array" aca="1" ref="BH87" ca="1">IFERROR(CONCATENATE(INDIRECT(BF87)," ", INDIRECT(BG87)),"")</f>
        <v/>
      </c>
      <c r="BI87" s="64" t="str">
        <f t="shared" ca="1" si="92"/>
        <v/>
      </c>
      <c r="BJ87" s="155">
        <f t="shared" ca="1" si="81"/>
        <v>0</v>
      </c>
      <c r="BK87" s="155">
        <f t="shared" ca="1" si="82"/>
        <v>0</v>
      </c>
      <c r="BL87" s="155">
        <f t="shared" ca="1" si="95"/>
        <v>0</v>
      </c>
      <c r="BM87" s="155">
        <f t="shared" ca="1" si="95"/>
        <v>0</v>
      </c>
      <c r="BN87" s="155">
        <f t="shared" ca="1" si="95"/>
        <v>0</v>
      </c>
      <c r="BO87" s="155">
        <f t="shared" ca="1" si="95"/>
        <v>0</v>
      </c>
      <c r="BP87" s="155">
        <f t="shared" ca="1" si="95"/>
        <v>0</v>
      </c>
      <c r="BQ87" s="155">
        <f t="shared" ca="1" si="95"/>
        <v>0</v>
      </c>
      <c r="BR87" s="155">
        <f t="shared" ca="1" si="95"/>
        <v>0</v>
      </c>
      <c r="BS87" s="479">
        <f t="shared" ca="1" si="95"/>
        <v>0</v>
      </c>
      <c r="BV87" s="505" t="str" cm="1">
        <f t="array" aca="1" ref="BV87" ca="1">IF(BJ88=0,"",CONCATENATE(INDEX(FinalSort,BJ88,4),": ",INDEX(FinalSort,BJ88,8)))</f>
        <v/>
      </c>
      <c r="BW87" s="506" t="str" cm="1">
        <f t="array" aca="1" ref="BW87" ca="1">IF(BK88=0,"",CONCATENATE(INDEX(FinalSort,BK88,4),": ",INDEX(FinalSort,BK88,8)))</f>
        <v/>
      </c>
      <c r="BX87" s="506" t="str" cm="1">
        <f t="array" aca="1" ref="BX87" ca="1">IF(BL88=0,"",CONCATENATE(INDEX(FinalSort,BL88,4),": ",INDEX(FinalSort,BL88,8)))</f>
        <v/>
      </c>
      <c r="BY87" s="506" t="str" cm="1">
        <f t="array" aca="1" ref="BY87" ca="1">IF(BM88=0,"",CONCATENATE(INDEX(FinalSort,BM88,4),": ",INDEX(FinalSort,BM88,8)))</f>
        <v/>
      </c>
      <c r="BZ87" s="506" t="str" cm="1">
        <f t="array" aca="1" ref="BZ87" ca="1">IF(BN88=0,"",CONCATENATE(INDEX(FinalSort,BN88,4),": ",INDEX(FinalSort,BN88,8)))</f>
        <v/>
      </c>
      <c r="CA87" s="506" t="str" cm="1">
        <f t="array" aca="1" ref="CA87" ca="1">IF(BO88=0,"",CONCATENATE(INDEX(FinalSort,BO88,4),": ",INDEX(FinalSort,BO88,8)))</f>
        <v/>
      </c>
      <c r="CB87" s="506" t="str" cm="1">
        <f t="array" aca="1" ref="CB87" ca="1">IF(BP88=0,"",CONCATENATE(INDEX(FinalSort,BP88,4),": ",INDEX(FinalSort,BP88,8)))</f>
        <v/>
      </c>
      <c r="CC87" s="506" t="str" cm="1">
        <f t="array" aca="1" ref="CC87" ca="1">IF(BQ88=0,"",CONCATENATE(INDEX(FinalSort,BQ88,4),": ",INDEX(FinalSort,BQ88,8)))</f>
        <v/>
      </c>
      <c r="CD87" s="506" t="str" cm="1">
        <f t="array" aca="1" ref="CD87" ca="1">IF(BR88=0,"",CONCATENATE(INDEX(FinalSort,BR88,4),": ",INDEX(FinalSort,BR88,8)))</f>
        <v/>
      </c>
      <c r="CE87" s="507" t="str" cm="1">
        <f t="array" aca="1" ref="CE87" ca="1">IF(BS88=0,"",CONCATENATE(INDEX(FinalSort,BS88,4),": ",INDEX(FinalSort,BS88,8)))</f>
        <v/>
      </c>
    </row>
    <row r="88" spans="1:83" x14ac:dyDescent="0.25">
      <c r="A88" s="4">
        <v>79</v>
      </c>
      <c r="B88" s="326" t="str">
        <f t="shared" ca="1" si="73"/>
        <v/>
      </c>
      <c r="C88" s="462" t="str">
        <f t="shared" ca="1" si="75"/>
        <v/>
      </c>
      <c r="D88" s="463" t="str">
        <f t="shared" ca="1" si="76"/>
        <v/>
      </c>
      <c r="E88" s="471" t="str">
        <f t="shared" ca="1" si="77"/>
        <v/>
      </c>
      <c r="F88" s="473" t="str">
        <f t="shared" ca="1" si="74"/>
        <v/>
      </c>
      <c r="G88" s="522"/>
      <c r="H88" s="155"/>
      <c r="I88" s="443" t="str" cm="1">
        <f t="array" ref="I88">IFERROR(INDEX('Project Mull Review'!AF:AF, SMALL(IF('Project Mull Review'!AF$35:AF$682&lt;&gt;"",ROW('Project Mull Review'!AF$35:AF$682),""),ROWS('Project Mull Review'!AF$35:AF112))),"")</f>
        <v/>
      </c>
      <c r="J88" s="389" t="str" cm="1">
        <f t="array" ref="J88">IFERROR(INDEX('Project Mull Review'!AI:AI, SMALL(IF('Project Mull Review'!AI$35:AI$682&lt;&gt;"",ROW('Project Mull Review'!AI$35:AI$682),""),ROWS('Project Mull Review'!AI$35:AI112))),"")</f>
        <v/>
      </c>
      <c r="K88" s="442" t="str" cm="1">
        <f t="array" ref="K88">IFERROR(ROUND(INDEX('Project Mull Review'!AT:AT, SMALL(IF('Project Mull Review'!AI$35:AI$682&lt;&gt;"",ROW('Project Mull Review'!AI$35:AI$682),""),ROWS('Project Mull Review'!AI$35:AI112))),0),"")</f>
        <v/>
      </c>
      <c r="M88" s="140">
        <f>ROW()</f>
        <v>88</v>
      </c>
      <c r="N88" t="str">
        <f t="shared" si="83"/>
        <v/>
      </c>
      <c r="O88" t="str">
        <f t="shared" si="84"/>
        <v/>
      </c>
      <c r="P88" s="144">
        <f t="shared" ca="1" si="78"/>
        <v>0</v>
      </c>
      <c r="Q88" t="str">
        <f t="shared" ca="1" si="54"/>
        <v/>
      </c>
      <c r="R88" t="str">
        <f t="shared" ca="1" si="55"/>
        <v/>
      </c>
      <c r="S88" t="str">
        <f ca="1"/>
        <v/>
      </c>
      <c r="T88" s="144" t="str">
        <f ca="1"/>
        <v/>
      </c>
      <c r="U88" t="str">
        <f t="shared" ca="1" si="70"/>
        <v/>
      </c>
      <c r="V88" t="str">
        <f t="shared" ca="1" si="69"/>
        <v/>
      </c>
      <c r="AC88" t="str">
        <f t="shared" ca="1" si="65"/>
        <v/>
      </c>
      <c r="AD88" t="str" cm="1">
        <f t="array" aca="1" ref="AD88" ca="1">IFERROR(INDIRECT(_xlfn.CONCAT(AU$14,$V88)),"")</f>
        <v/>
      </c>
      <c r="AE88" s="144" t="str" cm="1">
        <f t="array" aca="1" ref="AE88" ca="1">IFERROR(INDIRECT(_xlfn.CONCAT(AU$16,$V88)),"")</f>
        <v/>
      </c>
      <c r="AF88" t="str">
        <f t="shared" ca="1" si="85"/>
        <v/>
      </c>
      <c r="AG88" s="525" t="str">
        <f ca="1"/>
        <v/>
      </c>
      <c r="AH88" s="467" t="str">
        <f t="shared" ca="1" si="93"/>
        <v/>
      </c>
      <c r="AI88" s="533" t="str">
        <f t="shared" ca="1" si="86"/>
        <v/>
      </c>
      <c r="AJ88" s="533" t="str">
        <f t="shared" ca="1" si="79"/>
        <v/>
      </c>
      <c r="AK88" t="str">
        <f t="shared" ca="1" si="87"/>
        <v/>
      </c>
      <c r="AL88" s="140" t="str">
        <f t="shared" ca="1" si="80"/>
        <v/>
      </c>
      <c r="AM88" t="str">
        <f t="shared" ca="1" si="88"/>
        <v/>
      </c>
      <c r="AN88" s="144" t="str">
        <f t="shared" ca="1" si="89"/>
        <v/>
      </c>
      <c r="AW88" s="140" t="str">
        <f t="shared" si="66"/>
        <v>N88</v>
      </c>
      <c r="AX88" t="str">
        <f t="shared" si="67"/>
        <v>$N$11:N87</v>
      </c>
      <c r="AY88" s="144" t="str">
        <f t="shared" si="68"/>
        <v>N89:$N$99</v>
      </c>
      <c r="BA88" s="139" t="str" cm="1">
        <f t="array" aca="1" ref="BA88" ca="1">IFERROR(CELL("address",INDEX('Project Mull Review'!AF:AF, SMALL(IF('Project Mull Review'!AF$35:AF$682&lt;&gt;"",ROW('Project Mull Review'!AF$35:AF$682),""),ROWS('Project Mull Review'!AF$35:AF112)))),"")</f>
        <v/>
      </c>
      <c r="BB88" s="155" t="str">
        <f t="shared" ca="1" si="24"/>
        <v/>
      </c>
      <c r="BC88" s="155" t="str">
        <f t="shared" ca="1" si="25"/>
        <v/>
      </c>
      <c r="BD88" s="155" t="str" cm="1">
        <f t="array" aca="1" ref="BD88" ca="1">IFERROR(INDEX(MainCell,BE88,2),"")</f>
        <v/>
      </c>
      <c r="BE88" s="155" t="str">
        <f t="shared" ca="1" si="94"/>
        <v/>
      </c>
      <c r="BF88" s="64" t="str">
        <f t="shared" ca="1" si="91"/>
        <v/>
      </c>
      <c r="BG88" s="64" t="str">
        <f t="shared" ca="1" si="44"/>
        <v/>
      </c>
      <c r="BH88" s="64" t="str" cm="1">
        <f t="array" aca="1" ref="BH88" ca="1">IFERROR(CONCATENATE(INDIRECT(BF88)," ", INDIRECT(BG88)),"")</f>
        <v/>
      </c>
      <c r="BI88" s="64" t="str">
        <f t="shared" ca="1" si="92"/>
        <v/>
      </c>
      <c r="BJ88" s="155">
        <f t="shared" ca="1" si="81"/>
        <v>0</v>
      </c>
      <c r="BK88" s="155">
        <f t="shared" ca="1" si="82"/>
        <v>0</v>
      </c>
      <c r="BL88" s="155">
        <f t="shared" ca="1" si="95"/>
        <v>0</v>
      </c>
      <c r="BM88" s="155">
        <f t="shared" ca="1" si="95"/>
        <v>0</v>
      </c>
      <c r="BN88" s="155">
        <f t="shared" ca="1" si="95"/>
        <v>0</v>
      </c>
      <c r="BO88" s="155">
        <f t="shared" ca="1" si="95"/>
        <v>0</v>
      </c>
      <c r="BP88" s="155">
        <f t="shared" ca="1" si="95"/>
        <v>0</v>
      </c>
      <c r="BQ88" s="155">
        <f t="shared" ca="1" si="95"/>
        <v>0</v>
      </c>
      <c r="BR88" s="155">
        <f t="shared" ca="1" si="95"/>
        <v>0</v>
      </c>
      <c r="BS88" s="479">
        <f t="shared" ca="1" si="95"/>
        <v>0</v>
      </c>
      <c r="BV88" s="505" t="str" cm="1">
        <f t="array" aca="1" ref="BV88" ca="1">IF(BJ89=0,"",CONCATENATE(INDEX(FinalSort,BJ89,4),": ",INDEX(FinalSort,BJ89,8)))</f>
        <v/>
      </c>
      <c r="BW88" s="506" t="str" cm="1">
        <f t="array" aca="1" ref="BW88" ca="1">IF(BK89=0,"",CONCATENATE(INDEX(FinalSort,BK89,4),": ",INDEX(FinalSort,BK89,8)))</f>
        <v/>
      </c>
      <c r="BX88" s="506" t="str" cm="1">
        <f t="array" aca="1" ref="BX88" ca="1">IF(BL89=0,"",CONCATENATE(INDEX(FinalSort,BL89,4),": ",INDEX(FinalSort,BL89,8)))</f>
        <v/>
      </c>
      <c r="BY88" s="506" t="str" cm="1">
        <f t="array" aca="1" ref="BY88" ca="1">IF(BM89=0,"",CONCATENATE(INDEX(FinalSort,BM89,4),": ",INDEX(FinalSort,BM89,8)))</f>
        <v/>
      </c>
      <c r="BZ88" s="506" t="str" cm="1">
        <f t="array" aca="1" ref="BZ88" ca="1">IF(BN89=0,"",CONCATENATE(INDEX(FinalSort,BN89,4),": ",INDEX(FinalSort,BN89,8)))</f>
        <v/>
      </c>
      <c r="CA88" s="506" t="str" cm="1">
        <f t="array" aca="1" ref="CA88" ca="1">IF(BO89=0,"",CONCATENATE(INDEX(FinalSort,BO89,4),": ",INDEX(FinalSort,BO89,8)))</f>
        <v/>
      </c>
      <c r="CB88" s="506" t="str" cm="1">
        <f t="array" aca="1" ref="CB88" ca="1">IF(BP89=0,"",CONCATENATE(INDEX(FinalSort,BP89,4),": ",INDEX(FinalSort,BP89,8)))</f>
        <v/>
      </c>
      <c r="CC88" s="506" t="str" cm="1">
        <f t="array" aca="1" ref="CC88" ca="1">IF(BQ89=0,"",CONCATENATE(INDEX(FinalSort,BQ89,4),": ",INDEX(FinalSort,BQ89,8)))</f>
        <v/>
      </c>
      <c r="CD88" s="506" t="str" cm="1">
        <f t="array" aca="1" ref="CD88" ca="1">IF(BR89=0,"",CONCATENATE(INDEX(FinalSort,BR89,4),": ",INDEX(FinalSort,BR89,8)))</f>
        <v/>
      </c>
      <c r="CE88" s="507" t="str" cm="1">
        <f t="array" aca="1" ref="CE88" ca="1">IF(BS89=0,"",CONCATENATE(INDEX(FinalSort,BS89,4),": ",INDEX(FinalSort,BS89,8)))</f>
        <v/>
      </c>
    </row>
    <row r="89" spans="1:83" x14ac:dyDescent="0.25">
      <c r="A89" s="4">
        <v>80</v>
      </c>
      <c r="B89" s="326" t="str">
        <f t="shared" ca="1" si="73"/>
        <v/>
      </c>
      <c r="C89" s="462" t="str">
        <f t="shared" ca="1" si="75"/>
        <v/>
      </c>
      <c r="D89" s="463" t="str">
        <f t="shared" ca="1" si="76"/>
        <v/>
      </c>
      <c r="E89" s="471" t="str">
        <f t="shared" ca="1" si="77"/>
        <v/>
      </c>
      <c r="F89" s="473" t="str">
        <f t="shared" ca="1" si="74"/>
        <v/>
      </c>
      <c r="G89" s="522"/>
      <c r="H89" s="155"/>
      <c r="I89" s="443" t="str" cm="1">
        <f t="array" ref="I89">IFERROR(INDEX('Project Mull Review'!AF:AF, SMALL(IF('Project Mull Review'!AF$35:AF$682&lt;&gt;"",ROW('Project Mull Review'!AF$35:AF$682),""),ROWS('Project Mull Review'!AF$35:AF113))),"")</f>
        <v/>
      </c>
      <c r="J89" s="389" t="str" cm="1">
        <f t="array" ref="J89">IFERROR(INDEX('Project Mull Review'!AI:AI, SMALL(IF('Project Mull Review'!AI$35:AI$682&lt;&gt;"",ROW('Project Mull Review'!AI$35:AI$682),""),ROWS('Project Mull Review'!AI$35:AI113))),"")</f>
        <v/>
      </c>
      <c r="K89" s="442" t="str" cm="1">
        <f t="array" ref="K89">IFERROR(ROUND(INDEX('Project Mull Review'!AT:AT, SMALL(IF('Project Mull Review'!AI$35:AI$682&lt;&gt;"",ROW('Project Mull Review'!AI$35:AI$682),""),ROWS('Project Mull Review'!AI$35:AI113))),0),"")</f>
        <v/>
      </c>
      <c r="M89" s="140">
        <f>ROW()</f>
        <v>89</v>
      </c>
      <c r="N89" t="str">
        <f t="shared" si="83"/>
        <v/>
      </c>
      <c r="O89" t="str">
        <f t="shared" si="84"/>
        <v/>
      </c>
      <c r="P89" s="144">
        <f t="shared" ca="1" si="78"/>
        <v>0</v>
      </c>
      <c r="Q89" t="str">
        <f t="shared" ca="1" si="54"/>
        <v/>
      </c>
      <c r="R89" t="str">
        <f t="shared" ca="1" si="55"/>
        <v/>
      </c>
      <c r="S89" t="str">
        <f ca="1"/>
        <v/>
      </c>
      <c r="T89" s="144" t="str">
        <f ca="1"/>
        <v/>
      </c>
      <c r="U89" t="str">
        <f t="shared" ca="1" si="70"/>
        <v/>
      </c>
      <c r="V89" t="str">
        <f t="shared" ca="1" si="69"/>
        <v/>
      </c>
      <c r="AC89" t="str">
        <f t="shared" ca="1" si="65"/>
        <v/>
      </c>
      <c r="AD89" t="str" cm="1">
        <f t="array" aca="1" ref="AD89" ca="1">IFERROR(INDIRECT(_xlfn.CONCAT(AU$14,$V89)),"")</f>
        <v/>
      </c>
      <c r="AE89" s="144" t="str" cm="1">
        <f t="array" aca="1" ref="AE89" ca="1">IFERROR(INDIRECT(_xlfn.CONCAT(AU$16,$V89)),"")</f>
        <v/>
      </c>
      <c r="AF89" t="str">
        <f t="shared" ca="1" si="85"/>
        <v/>
      </c>
      <c r="AG89" s="525" t="str">
        <f ca="1"/>
        <v/>
      </c>
      <c r="AH89" s="467" t="str">
        <f t="shared" ca="1" si="93"/>
        <v/>
      </c>
      <c r="AI89" s="533" t="str">
        <f t="shared" ca="1" si="86"/>
        <v/>
      </c>
      <c r="AJ89" s="533" t="str">
        <f t="shared" ca="1" si="79"/>
        <v/>
      </c>
      <c r="AK89" t="str">
        <f t="shared" ca="1" si="87"/>
        <v/>
      </c>
      <c r="AL89" s="140" t="str">
        <f t="shared" ca="1" si="80"/>
        <v/>
      </c>
      <c r="AM89" t="str">
        <f t="shared" ca="1" si="88"/>
        <v/>
      </c>
      <c r="AN89" s="144" t="str">
        <f t="shared" ca="1" si="89"/>
        <v/>
      </c>
      <c r="AW89" s="140" t="str">
        <f t="shared" si="66"/>
        <v>N89</v>
      </c>
      <c r="AX89" t="str">
        <f t="shared" si="67"/>
        <v>$N$11:N88</v>
      </c>
      <c r="AY89" s="144" t="str">
        <f t="shared" si="68"/>
        <v>N90:$N$99</v>
      </c>
      <c r="BA89" s="139" t="str" cm="1">
        <f t="array" aca="1" ref="BA89" ca="1">IFERROR(CELL("address",INDEX('Project Mull Review'!AF:AF, SMALL(IF('Project Mull Review'!AF$35:AF$682&lt;&gt;"",ROW('Project Mull Review'!AF$35:AF$682),""),ROWS('Project Mull Review'!AF$35:AF113)))),"")</f>
        <v/>
      </c>
      <c r="BB89" s="155" t="str">
        <f t="shared" ca="1" si="24"/>
        <v/>
      </c>
      <c r="BC89" s="155" t="str">
        <f t="shared" ca="1" si="25"/>
        <v/>
      </c>
      <c r="BD89" s="155" t="str" cm="1">
        <f t="array" aca="1" ref="BD89" ca="1">IFERROR(INDEX(MainCell,BE89,2),"")</f>
        <v/>
      </c>
      <c r="BE89" s="155" t="str">
        <f t="shared" ca="1" si="94"/>
        <v/>
      </c>
      <c r="BF89" s="64" t="str">
        <f t="shared" ca="1" si="91"/>
        <v/>
      </c>
      <c r="BG89" s="64" t="str">
        <f t="shared" ca="1" si="44"/>
        <v/>
      </c>
      <c r="BH89" s="64" t="str" cm="1">
        <f t="array" aca="1" ref="BH89" ca="1">IFERROR(CONCATENATE(INDIRECT(BF89)," ", INDIRECT(BG89)),"")</f>
        <v/>
      </c>
      <c r="BI89" s="64" t="str">
        <f t="shared" ca="1" si="92"/>
        <v/>
      </c>
      <c r="BJ89" s="155">
        <f t="shared" ca="1" si="81"/>
        <v>0</v>
      </c>
      <c r="BK89" s="155">
        <f t="shared" ca="1" si="82"/>
        <v>0</v>
      </c>
      <c r="BL89" s="155">
        <f t="shared" ca="1" si="95"/>
        <v>0</v>
      </c>
      <c r="BM89" s="155">
        <f t="shared" ca="1" si="95"/>
        <v>0</v>
      </c>
      <c r="BN89" s="155">
        <f t="shared" ca="1" si="95"/>
        <v>0</v>
      </c>
      <c r="BO89" s="155">
        <f t="shared" ca="1" si="95"/>
        <v>0</v>
      </c>
      <c r="BP89" s="155">
        <f t="shared" ca="1" si="95"/>
        <v>0</v>
      </c>
      <c r="BQ89" s="155">
        <f t="shared" ca="1" si="95"/>
        <v>0</v>
      </c>
      <c r="BR89" s="155">
        <f t="shared" ca="1" si="95"/>
        <v>0</v>
      </c>
      <c r="BS89" s="479">
        <f t="shared" ca="1" si="95"/>
        <v>0</v>
      </c>
      <c r="BV89" s="505" t="str" cm="1">
        <f t="array" aca="1" ref="BV89" ca="1">IF(BJ90=0,"",CONCATENATE(INDEX(FinalSort,BJ90,4),": ",INDEX(FinalSort,BJ90,8)))</f>
        <v/>
      </c>
      <c r="BW89" s="506" t="str" cm="1">
        <f t="array" aca="1" ref="BW89" ca="1">IF(BK90=0,"",CONCATENATE(INDEX(FinalSort,BK90,4),": ",INDEX(FinalSort,BK90,8)))</f>
        <v/>
      </c>
      <c r="BX89" s="506" t="str" cm="1">
        <f t="array" aca="1" ref="BX89" ca="1">IF(BL90=0,"",CONCATENATE(INDEX(FinalSort,BL90,4),": ",INDEX(FinalSort,BL90,8)))</f>
        <v/>
      </c>
      <c r="BY89" s="506" t="str" cm="1">
        <f t="array" aca="1" ref="BY89" ca="1">IF(BM90=0,"",CONCATENATE(INDEX(FinalSort,BM90,4),": ",INDEX(FinalSort,BM90,8)))</f>
        <v/>
      </c>
      <c r="BZ89" s="506" t="str" cm="1">
        <f t="array" aca="1" ref="BZ89" ca="1">IF(BN90=0,"",CONCATENATE(INDEX(FinalSort,BN90,4),": ",INDEX(FinalSort,BN90,8)))</f>
        <v/>
      </c>
      <c r="CA89" s="506" t="str" cm="1">
        <f t="array" aca="1" ref="CA89" ca="1">IF(BO90=0,"",CONCATENATE(INDEX(FinalSort,BO90,4),": ",INDEX(FinalSort,BO90,8)))</f>
        <v/>
      </c>
      <c r="CB89" s="506" t="str" cm="1">
        <f t="array" aca="1" ref="CB89" ca="1">IF(BP90=0,"",CONCATENATE(INDEX(FinalSort,BP90,4),": ",INDEX(FinalSort,BP90,8)))</f>
        <v/>
      </c>
      <c r="CC89" s="506" t="str" cm="1">
        <f t="array" aca="1" ref="CC89" ca="1">IF(BQ90=0,"",CONCATENATE(INDEX(FinalSort,BQ90,4),": ",INDEX(FinalSort,BQ90,8)))</f>
        <v/>
      </c>
      <c r="CD89" s="506" t="str" cm="1">
        <f t="array" aca="1" ref="CD89" ca="1">IF(BR90=0,"",CONCATENATE(INDEX(FinalSort,BR90,4),": ",INDEX(FinalSort,BR90,8)))</f>
        <v/>
      </c>
      <c r="CE89" s="507" t="str" cm="1">
        <f t="array" aca="1" ref="CE89" ca="1">IF(BS90=0,"",CONCATENATE(INDEX(FinalSort,BS90,4),": ",INDEX(FinalSort,BS90,8)))</f>
        <v/>
      </c>
    </row>
    <row r="90" spans="1:83" x14ac:dyDescent="0.25">
      <c r="A90" s="4">
        <v>81</v>
      </c>
      <c r="B90" s="326" t="str">
        <f t="shared" ca="1" si="73"/>
        <v/>
      </c>
      <c r="C90" s="462" t="str">
        <f t="shared" ca="1" si="75"/>
        <v/>
      </c>
      <c r="D90" s="463" t="str">
        <f t="shared" ca="1" si="76"/>
        <v/>
      </c>
      <c r="E90" s="471" t="str">
        <f t="shared" ca="1" si="77"/>
        <v/>
      </c>
      <c r="F90" s="473" t="str">
        <f t="shared" ca="1" si="74"/>
        <v/>
      </c>
      <c r="G90" s="522"/>
      <c r="H90" s="155"/>
      <c r="I90" s="443" t="str" cm="1">
        <f t="array" ref="I90">IFERROR(INDEX('Project Mull Review'!AF:AF, SMALL(IF('Project Mull Review'!AF$35:AF$682&lt;&gt;"",ROW('Project Mull Review'!AF$35:AF$682),""),ROWS('Project Mull Review'!AF$35:AF114))),"")</f>
        <v/>
      </c>
      <c r="J90" s="389" t="str" cm="1">
        <f t="array" ref="J90">IFERROR(INDEX('Project Mull Review'!AI:AI, SMALL(IF('Project Mull Review'!AI$35:AI$682&lt;&gt;"",ROW('Project Mull Review'!AI$35:AI$682),""),ROWS('Project Mull Review'!AI$35:AI114))),"")</f>
        <v/>
      </c>
      <c r="K90" s="442" t="str" cm="1">
        <f t="array" ref="K90">IFERROR(ROUND(INDEX('Project Mull Review'!AT:AT, SMALL(IF('Project Mull Review'!AI$35:AI$682&lt;&gt;"",ROW('Project Mull Review'!AI$35:AI$682),""),ROWS('Project Mull Review'!AI$35:AI114))),0),"")</f>
        <v/>
      </c>
      <c r="M90" s="140">
        <f>ROW()</f>
        <v>90</v>
      </c>
      <c r="N90" t="str">
        <f t="shared" si="83"/>
        <v/>
      </c>
      <c r="O90" t="str">
        <f t="shared" si="84"/>
        <v/>
      </c>
      <c r="P90" s="144">
        <f t="shared" ca="1" si="78"/>
        <v>0</v>
      </c>
      <c r="Q90" t="str">
        <f t="shared" ca="1" si="54"/>
        <v/>
      </c>
      <c r="R90" t="str">
        <f t="shared" ca="1" si="55"/>
        <v/>
      </c>
      <c r="S90" t="str">
        <f ca="1"/>
        <v/>
      </c>
      <c r="T90" s="144" t="str">
        <f ca="1"/>
        <v/>
      </c>
      <c r="U90" t="str">
        <f t="shared" ca="1" si="70"/>
        <v/>
      </c>
      <c r="V90" t="str">
        <f t="shared" ca="1" si="69"/>
        <v/>
      </c>
      <c r="AC90" t="str">
        <f t="shared" ca="1" si="65"/>
        <v/>
      </c>
      <c r="AD90" t="str" cm="1">
        <f t="array" aca="1" ref="AD90" ca="1">IFERROR(INDIRECT(_xlfn.CONCAT(AU$14,$V90)),"")</f>
        <v/>
      </c>
      <c r="AE90" s="144" t="str" cm="1">
        <f t="array" aca="1" ref="AE90" ca="1">IFERROR(INDIRECT(_xlfn.CONCAT(AU$16,$V90)),"")</f>
        <v/>
      </c>
      <c r="AF90" t="str">
        <f t="shared" ca="1" si="85"/>
        <v/>
      </c>
      <c r="AG90" s="525" t="str">
        <f ca="1"/>
        <v/>
      </c>
      <c r="AH90" s="467" t="str">
        <f t="shared" ca="1" si="93"/>
        <v/>
      </c>
      <c r="AI90" s="533" t="str">
        <f t="shared" ca="1" si="86"/>
        <v/>
      </c>
      <c r="AJ90" s="533" t="str">
        <f t="shared" ca="1" si="79"/>
        <v/>
      </c>
      <c r="AK90" t="str">
        <f t="shared" ca="1" si="87"/>
        <v/>
      </c>
      <c r="AL90" s="140" t="str">
        <f t="shared" ca="1" si="80"/>
        <v/>
      </c>
      <c r="AM90" t="str">
        <f t="shared" ca="1" si="88"/>
        <v/>
      </c>
      <c r="AN90" s="144" t="str">
        <f t="shared" ca="1" si="89"/>
        <v/>
      </c>
      <c r="AW90" s="140" t="str">
        <f t="shared" si="66"/>
        <v>N90</v>
      </c>
      <c r="AX90" t="str">
        <f t="shared" si="67"/>
        <v>$N$11:N89</v>
      </c>
      <c r="AY90" s="144" t="str">
        <f t="shared" si="68"/>
        <v>N91:$N$99</v>
      </c>
      <c r="BA90" s="139" t="str" cm="1">
        <f t="array" aca="1" ref="BA90" ca="1">IFERROR(CELL("address",INDEX('Project Mull Review'!AF:AF, SMALL(IF('Project Mull Review'!AF$35:AF$682&lt;&gt;"",ROW('Project Mull Review'!AF$35:AF$682),""),ROWS('Project Mull Review'!AF$35:AF114)))),"")</f>
        <v/>
      </c>
      <c r="BB90" s="155" t="str">
        <f t="shared" ca="1" si="24"/>
        <v/>
      </c>
      <c r="BC90" s="155" t="str">
        <f t="shared" ca="1" si="25"/>
        <v/>
      </c>
      <c r="BD90" s="155" t="str" cm="1">
        <f t="array" aca="1" ref="BD90" ca="1">IFERROR(INDEX(MainCell,BE90,2),"")</f>
        <v/>
      </c>
      <c r="BE90" s="155" t="str">
        <f t="shared" ca="1" si="94"/>
        <v/>
      </c>
      <c r="BF90" s="64" t="str">
        <f t="shared" ca="1" si="91"/>
        <v/>
      </c>
      <c r="BG90" s="64" t="str">
        <f t="shared" ca="1" si="44"/>
        <v/>
      </c>
      <c r="BH90" s="64" t="str" cm="1">
        <f t="array" aca="1" ref="BH90" ca="1">IFERROR(CONCATENATE(INDIRECT(BF90)," ", INDIRECT(BG90)),"")</f>
        <v/>
      </c>
      <c r="BI90" s="64" t="str">
        <f t="shared" ca="1" si="92"/>
        <v/>
      </c>
      <c r="BJ90" s="155">
        <f t="shared" ca="1" si="81"/>
        <v>0</v>
      </c>
      <c r="BK90" s="155">
        <f t="shared" ca="1" si="82"/>
        <v>0</v>
      </c>
      <c r="BL90" s="155">
        <f t="shared" ca="1" si="95"/>
        <v>0</v>
      </c>
      <c r="BM90" s="155">
        <f t="shared" ca="1" si="95"/>
        <v>0</v>
      </c>
      <c r="BN90" s="155">
        <f t="shared" ca="1" si="95"/>
        <v>0</v>
      </c>
      <c r="BO90" s="155">
        <f t="shared" ca="1" si="95"/>
        <v>0</v>
      </c>
      <c r="BP90" s="155">
        <f t="shared" ca="1" si="95"/>
        <v>0</v>
      </c>
      <c r="BQ90" s="155">
        <f t="shared" ca="1" si="95"/>
        <v>0</v>
      </c>
      <c r="BR90" s="155">
        <f t="shared" ca="1" si="95"/>
        <v>0</v>
      </c>
      <c r="BS90" s="479">
        <f t="shared" ca="1" si="95"/>
        <v>0</v>
      </c>
      <c r="BV90" s="505" t="str" cm="1">
        <f t="array" aca="1" ref="BV90" ca="1">IF(BJ91=0,"",CONCATENATE(INDEX(FinalSort,BJ91,4),": ",INDEX(FinalSort,BJ91,8)))</f>
        <v/>
      </c>
      <c r="BW90" s="506" t="str" cm="1">
        <f t="array" aca="1" ref="BW90" ca="1">IF(BK91=0,"",CONCATENATE(INDEX(FinalSort,BK91,4),": ",INDEX(FinalSort,BK91,8)))</f>
        <v/>
      </c>
      <c r="BX90" s="506" t="str" cm="1">
        <f t="array" aca="1" ref="BX90" ca="1">IF(BL91=0,"",CONCATENATE(INDEX(FinalSort,BL91,4),": ",INDEX(FinalSort,BL91,8)))</f>
        <v/>
      </c>
      <c r="BY90" s="506" t="str" cm="1">
        <f t="array" aca="1" ref="BY90" ca="1">IF(BM91=0,"",CONCATENATE(INDEX(FinalSort,BM91,4),": ",INDEX(FinalSort,BM91,8)))</f>
        <v/>
      </c>
      <c r="BZ90" s="506" t="str" cm="1">
        <f t="array" aca="1" ref="BZ90" ca="1">IF(BN91=0,"",CONCATENATE(INDEX(FinalSort,BN91,4),": ",INDEX(FinalSort,BN91,8)))</f>
        <v/>
      </c>
      <c r="CA90" s="506" t="str" cm="1">
        <f t="array" aca="1" ref="CA90" ca="1">IF(BO91=0,"",CONCATENATE(INDEX(FinalSort,BO91,4),": ",INDEX(FinalSort,BO91,8)))</f>
        <v/>
      </c>
      <c r="CB90" s="506" t="str" cm="1">
        <f t="array" aca="1" ref="CB90" ca="1">IF(BP91=0,"",CONCATENATE(INDEX(FinalSort,BP91,4),": ",INDEX(FinalSort,BP91,8)))</f>
        <v/>
      </c>
      <c r="CC90" s="506" t="str" cm="1">
        <f t="array" aca="1" ref="CC90" ca="1">IF(BQ91=0,"",CONCATENATE(INDEX(FinalSort,BQ91,4),": ",INDEX(FinalSort,BQ91,8)))</f>
        <v/>
      </c>
      <c r="CD90" s="506" t="str" cm="1">
        <f t="array" aca="1" ref="CD90" ca="1">IF(BR91=0,"",CONCATENATE(INDEX(FinalSort,BR91,4),": ",INDEX(FinalSort,BR91,8)))</f>
        <v/>
      </c>
      <c r="CE90" s="507" t="str" cm="1">
        <f t="array" aca="1" ref="CE90" ca="1">IF(BS91=0,"",CONCATENATE(INDEX(FinalSort,BS91,4),": ",INDEX(FinalSort,BS91,8)))</f>
        <v/>
      </c>
    </row>
    <row r="91" spans="1:83" x14ac:dyDescent="0.25">
      <c r="A91" s="4">
        <v>82</v>
      </c>
      <c r="B91" s="326" t="str">
        <f t="shared" ca="1" si="73"/>
        <v/>
      </c>
      <c r="C91" s="462" t="str">
        <f t="shared" ca="1" si="75"/>
        <v/>
      </c>
      <c r="D91" s="463" t="str">
        <f t="shared" ca="1" si="76"/>
        <v/>
      </c>
      <c r="E91" s="471" t="str">
        <f t="shared" ca="1" si="77"/>
        <v/>
      </c>
      <c r="F91" s="473" t="str">
        <f t="shared" ca="1" si="74"/>
        <v/>
      </c>
      <c r="G91" s="522"/>
      <c r="H91" s="155"/>
      <c r="I91" s="443" t="str" cm="1">
        <f t="array" ref="I91">IFERROR(INDEX('Project Mull Review'!AF:AF, SMALL(IF('Project Mull Review'!AF$35:AF$682&lt;&gt;"",ROW('Project Mull Review'!AF$35:AF$682),""),ROWS('Project Mull Review'!AF$35:AF115))),"")</f>
        <v/>
      </c>
      <c r="J91" s="389" t="str" cm="1">
        <f t="array" ref="J91">IFERROR(INDEX('Project Mull Review'!AI:AI, SMALL(IF('Project Mull Review'!AI$35:AI$682&lt;&gt;"",ROW('Project Mull Review'!AI$35:AI$682),""),ROWS('Project Mull Review'!AI$35:AI115))),"")</f>
        <v/>
      </c>
      <c r="K91" s="442" t="str" cm="1">
        <f t="array" ref="K91">IFERROR(ROUND(INDEX('Project Mull Review'!AT:AT, SMALL(IF('Project Mull Review'!AI$35:AI$682&lt;&gt;"",ROW('Project Mull Review'!AI$35:AI$682),""),ROWS('Project Mull Review'!AI$35:AI115))),0),"")</f>
        <v/>
      </c>
      <c r="M91" s="140">
        <f>ROW()</f>
        <v>91</v>
      </c>
      <c r="N91" t="str">
        <f t="shared" si="83"/>
        <v/>
      </c>
      <c r="O91" t="str">
        <f t="shared" si="84"/>
        <v/>
      </c>
      <c r="P91" s="144">
        <f t="shared" ca="1" si="78"/>
        <v>0</v>
      </c>
      <c r="Q91" t="str">
        <f t="shared" ca="1" si="54"/>
        <v/>
      </c>
      <c r="R91" t="str">
        <f t="shared" ca="1" si="55"/>
        <v/>
      </c>
      <c r="S91" t="str">
        <f ca="1"/>
        <v/>
      </c>
      <c r="T91" s="144" t="str">
        <f ca="1"/>
        <v/>
      </c>
      <c r="U91" t="str">
        <f t="shared" ca="1" si="70"/>
        <v/>
      </c>
      <c r="V91" t="str">
        <f t="shared" ca="1" si="69"/>
        <v/>
      </c>
      <c r="AC91" t="str">
        <f t="shared" ca="1" si="65"/>
        <v/>
      </c>
      <c r="AD91" t="str" cm="1">
        <f t="array" aca="1" ref="AD91" ca="1">IFERROR(INDIRECT(_xlfn.CONCAT(AU$14,$V91)),"")</f>
        <v/>
      </c>
      <c r="AE91" s="144" t="str" cm="1">
        <f t="array" aca="1" ref="AE91" ca="1">IFERROR(INDIRECT(_xlfn.CONCAT(AU$16,$V91)),"")</f>
        <v/>
      </c>
      <c r="AF91" t="str">
        <f t="shared" ca="1" si="85"/>
        <v/>
      </c>
      <c r="AG91" s="525" t="str">
        <f ca="1"/>
        <v/>
      </c>
      <c r="AH91" s="467" t="str">
        <f t="shared" ca="1" si="93"/>
        <v/>
      </c>
      <c r="AI91" s="533" t="str">
        <f t="shared" ca="1" si="86"/>
        <v/>
      </c>
      <c r="AJ91" s="533" t="str">
        <f t="shared" ca="1" si="79"/>
        <v/>
      </c>
      <c r="AK91" t="str">
        <f t="shared" ca="1" si="87"/>
        <v/>
      </c>
      <c r="AL91" s="140" t="str">
        <f t="shared" ca="1" si="80"/>
        <v/>
      </c>
      <c r="AM91" t="str">
        <f t="shared" ca="1" si="88"/>
        <v/>
      </c>
      <c r="AN91" s="144" t="str">
        <f t="shared" ca="1" si="89"/>
        <v/>
      </c>
      <c r="AW91" s="140" t="str">
        <f t="shared" si="66"/>
        <v>N91</v>
      </c>
      <c r="AX91" t="str">
        <f t="shared" si="67"/>
        <v>$N$11:N90</v>
      </c>
      <c r="AY91" s="144" t="str">
        <f t="shared" si="68"/>
        <v>N92:$N$99</v>
      </c>
      <c r="BA91" s="139" t="str" cm="1">
        <f t="array" aca="1" ref="BA91" ca="1">IFERROR(CELL("address",INDEX('Project Mull Review'!AF:AF, SMALL(IF('Project Mull Review'!AF$35:AF$682&lt;&gt;"",ROW('Project Mull Review'!AF$35:AF$682),""),ROWS('Project Mull Review'!AF$35:AF115)))),"")</f>
        <v/>
      </c>
      <c r="BB91" s="155" t="str">
        <f t="shared" ca="1" si="24"/>
        <v/>
      </c>
      <c r="BC91" s="155" t="str">
        <f t="shared" ca="1" si="25"/>
        <v/>
      </c>
      <c r="BD91" s="155" t="str" cm="1">
        <f t="array" aca="1" ref="BD91" ca="1">IFERROR(INDEX(MainCell,BE91,2),"")</f>
        <v/>
      </c>
      <c r="BE91" s="155" t="str">
        <f t="shared" ca="1" si="94"/>
        <v/>
      </c>
      <c r="BF91" s="64" t="str">
        <f t="shared" ca="1" si="91"/>
        <v/>
      </c>
      <c r="BG91" s="64" t="str">
        <f t="shared" ref="BG91:BG99" ca="1" si="96">IFERROR(_xlfn.CONCAT($AT$16,INDEX(MainCell,BE91,3)),"")</f>
        <v/>
      </c>
      <c r="BH91" s="64" t="str" cm="1">
        <f t="array" aca="1" ref="BH91" ca="1">IFERROR(CONCATENATE(INDIRECT(BF91)," ", INDIRECT(BG91)),"")</f>
        <v/>
      </c>
      <c r="BI91" s="64" t="str">
        <f t="shared" ca="1" si="92"/>
        <v/>
      </c>
      <c r="BJ91" s="155">
        <f t="shared" ca="1" si="81"/>
        <v>0</v>
      </c>
      <c r="BK91" s="155">
        <f t="shared" ca="1" si="82"/>
        <v>0</v>
      </c>
      <c r="BL91" s="155">
        <f t="shared" ref="BL91:BS99" ca="1" si="97">IF(BK91=0,0,IFERROR(IF(MATCH($BI91,OFFSET(Combo,BK91,0),0)&gt;=($AS$18-BK91),0,BK91+MATCH($BI91,OFFSET(Combo,BK91,0),0)),0))</f>
        <v>0</v>
      </c>
      <c r="BM91" s="155">
        <f t="shared" ca="1" si="97"/>
        <v>0</v>
      </c>
      <c r="BN91" s="155">
        <f t="shared" ca="1" si="97"/>
        <v>0</v>
      </c>
      <c r="BO91" s="155">
        <f t="shared" ca="1" si="97"/>
        <v>0</v>
      </c>
      <c r="BP91" s="155">
        <f t="shared" ca="1" si="97"/>
        <v>0</v>
      </c>
      <c r="BQ91" s="155">
        <f t="shared" ca="1" si="97"/>
        <v>0</v>
      </c>
      <c r="BR91" s="155">
        <f t="shared" ca="1" si="97"/>
        <v>0</v>
      </c>
      <c r="BS91" s="479">
        <f t="shared" ca="1" si="97"/>
        <v>0</v>
      </c>
      <c r="BV91" s="505" t="str" cm="1">
        <f t="array" aca="1" ref="BV91" ca="1">IF(BJ92=0,"",CONCATENATE(INDEX(FinalSort,BJ92,4),": ",INDEX(FinalSort,BJ92,8)))</f>
        <v/>
      </c>
      <c r="BW91" s="506" t="str" cm="1">
        <f t="array" aca="1" ref="BW91" ca="1">IF(BK92=0,"",CONCATENATE(INDEX(FinalSort,BK92,4),": ",INDEX(FinalSort,BK92,8)))</f>
        <v/>
      </c>
      <c r="BX91" s="506" t="str" cm="1">
        <f t="array" aca="1" ref="BX91" ca="1">IF(BL92=0,"",CONCATENATE(INDEX(FinalSort,BL92,4),": ",INDEX(FinalSort,BL92,8)))</f>
        <v/>
      </c>
      <c r="BY91" s="506" t="str" cm="1">
        <f t="array" aca="1" ref="BY91" ca="1">IF(BM92=0,"",CONCATENATE(INDEX(FinalSort,BM92,4),": ",INDEX(FinalSort,BM92,8)))</f>
        <v/>
      </c>
      <c r="BZ91" s="506" t="str" cm="1">
        <f t="array" aca="1" ref="BZ91" ca="1">IF(BN92=0,"",CONCATENATE(INDEX(FinalSort,BN92,4),": ",INDEX(FinalSort,BN92,8)))</f>
        <v/>
      </c>
      <c r="CA91" s="506" t="str" cm="1">
        <f t="array" aca="1" ref="CA91" ca="1">IF(BO92=0,"",CONCATENATE(INDEX(FinalSort,BO92,4),": ",INDEX(FinalSort,BO92,8)))</f>
        <v/>
      </c>
      <c r="CB91" s="506" t="str" cm="1">
        <f t="array" aca="1" ref="CB91" ca="1">IF(BP92=0,"",CONCATENATE(INDEX(FinalSort,BP92,4),": ",INDEX(FinalSort,BP92,8)))</f>
        <v/>
      </c>
      <c r="CC91" s="506" t="str" cm="1">
        <f t="array" aca="1" ref="CC91" ca="1">IF(BQ92=0,"",CONCATENATE(INDEX(FinalSort,BQ92,4),": ",INDEX(FinalSort,BQ92,8)))</f>
        <v/>
      </c>
      <c r="CD91" s="506" t="str" cm="1">
        <f t="array" aca="1" ref="CD91" ca="1">IF(BR92=0,"",CONCATENATE(INDEX(FinalSort,BR92,4),": ",INDEX(FinalSort,BR92,8)))</f>
        <v/>
      </c>
      <c r="CE91" s="507" t="str" cm="1">
        <f t="array" aca="1" ref="CE91" ca="1">IF(BS92=0,"",CONCATENATE(INDEX(FinalSort,BS92,4),": ",INDEX(FinalSort,BS92,8)))</f>
        <v/>
      </c>
    </row>
    <row r="92" spans="1:83" x14ac:dyDescent="0.25">
      <c r="A92" s="4">
        <v>83</v>
      </c>
      <c r="B92" s="326" t="str">
        <f t="shared" ca="1" si="73"/>
        <v/>
      </c>
      <c r="C92" s="462" t="str">
        <f t="shared" ca="1" si="75"/>
        <v/>
      </c>
      <c r="D92" s="463" t="str">
        <f t="shared" ca="1" si="76"/>
        <v/>
      </c>
      <c r="E92" s="471" t="str">
        <f t="shared" ca="1" si="77"/>
        <v/>
      </c>
      <c r="F92" s="473" t="str">
        <f t="shared" ca="1" si="74"/>
        <v/>
      </c>
      <c r="G92" s="522"/>
      <c r="H92" s="155"/>
      <c r="I92" s="443" t="str" cm="1">
        <f t="array" ref="I92">IFERROR(INDEX('Project Mull Review'!AF:AF, SMALL(IF('Project Mull Review'!AF$35:AF$682&lt;&gt;"",ROW('Project Mull Review'!AF$35:AF$682),""),ROWS('Project Mull Review'!AF$35:AF116))),"")</f>
        <v/>
      </c>
      <c r="J92" s="389" t="str" cm="1">
        <f t="array" ref="J92">IFERROR(INDEX('Project Mull Review'!AI:AI, SMALL(IF('Project Mull Review'!AI$35:AI$682&lt;&gt;"",ROW('Project Mull Review'!AI$35:AI$682),""),ROWS('Project Mull Review'!AI$35:AI116))),"")</f>
        <v/>
      </c>
      <c r="K92" s="442" t="str" cm="1">
        <f t="array" ref="K92">IFERROR(ROUND(INDEX('Project Mull Review'!AT:AT, SMALL(IF('Project Mull Review'!AI$35:AI$682&lt;&gt;"",ROW('Project Mull Review'!AI$35:AI$682),""),ROWS('Project Mull Review'!AI$35:AI116))),0),"")</f>
        <v/>
      </c>
      <c r="M92" s="140">
        <f>ROW()</f>
        <v>92</v>
      </c>
      <c r="N92" t="str">
        <f t="shared" si="83"/>
        <v/>
      </c>
      <c r="O92" t="str">
        <f t="shared" si="84"/>
        <v/>
      </c>
      <c r="P92" s="144">
        <f t="shared" ca="1" si="78"/>
        <v>0</v>
      </c>
      <c r="Q92" t="str">
        <f t="shared" ca="1" si="54"/>
        <v/>
      </c>
      <c r="R92" t="str">
        <f t="shared" ca="1" si="55"/>
        <v/>
      </c>
      <c r="S92" t="str">
        <f ca="1"/>
        <v/>
      </c>
      <c r="T92" s="144" t="str">
        <f ca="1"/>
        <v/>
      </c>
      <c r="U92" t="str">
        <f t="shared" ca="1" si="70"/>
        <v/>
      </c>
      <c r="V92" t="str">
        <f t="shared" ca="1" si="69"/>
        <v/>
      </c>
      <c r="AC92" t="str">
        <f t="shared" ca="1" si="65"/>
        <v/>
      </c>
      <c r="AD92" t="str" cm="1">
        <f t="array" aca="1" ref="AD92" ca="1">IFERROR(INDIRECT(_xlfn.CONCAT(AU$14,$V92)),"")</f>
        <v/>
      </c>
      <c r="AE92" s="144" t="str" cm="1">
        <f t="array" aca="1" ref="AE92" ca="1">IFERROR(INDIRECT(_xlfn.CONCAT(AU$16,$V92)),"")</f>
        <v/>
      </c>
      <c r="AF92" t="str">
        <f t="shared" ca="1" si="85"/>
        <v/>
      </c>
      <c r="AG92" s="525" t="str">
        <f ca="1"/>
        <v/>
      </c>
      <c r="AH92" s="467" t="str">
        <f t="shared" ca="1" si="93"/>
        <v/>
      </c>
      <c r="AI92" s="533" t="str">
        <f t="shared" ca="1" si="86"/>
        <v/>
      </c>
      <c r="AJ92" s="533" t="str">
        <f t="shared" ca="1" si="79"/>
        <v/>
      </c>
      <c r="AK92" t="str">
        <f t="shared" ca="1" si="87"/>
        <v/>
      </c>
      <c r="AL92" s="140" t="str">
        <f t="shared" ca="1" si="80"/>
        <v/>
      </c>
      <c r="AM92" t="str">
        <f t="shared" ca="1" si="88"/>
        <v/>
      </c>
      <c r="AN92" s="144" t="str">
        <f t="shared" ca="1" si="89"/>
        <v/>
      </c>
      <c r="AW92" s="140" t="str">
        <f t="shared" si="66"/>
        <v>N92</v>
      </c>
      <c r="AX92" t="str">
        <f t="shared" si="67"/>
        <v>$N$11:N91</v>
      </c>
      <c r="AY92" s="144" t="str">
        <f t="shared" si="68"/>
        <v>N93:$N$99</v>
      </c>
      <c r="BA92" s="139" t="str" cm="1">
        <f t="array" aca="1" ref="BA92" ca="1">IFERROR(CELL("address",INDEX('Project Mull Review'!AF:AF, SMALL(IF('Project Mull Review'!AF$35:AF$682&lt;&gt;"",ROW('Project Mull Review'!AF$35:AF$682),""),ROWS('Project Mull Review'!AF$35:AF116)))),"")</f>
        <v/>
      </c>
      <c r="BB92" s="155" t="str">
        <f t="shared" ca="1" si="24"/>
        <v/>
      </c>
      <c r="BC92" s="155" t="str">
        <f t="shared" ca="1" si="25"/>
        <v/>
      </c>
      <c r="BD92" s="155" t="str" cm="1">
        <f t="array" aca="1" ref="BD92" ca="1">IFERROR(INDEX(MainCell,BE92,2),"")</f>
        <v/>
      </c>
      <c r="BE92" s="155" t="str">
        <f t="shared" ca="1" si="94"/>
        <v/>
      </c>
      <c r="BF92" s="64" t="str">
        <f t="shared" ca="1" si="91"/>
        <v/>
      </c>
      <c r="BG92" s="64" t="str">
        <f t="shared" ca="1" si="96"/>
        <v/>
      </c>
      <c r="BH92" s="64" t="str" cm="1">
        <f t="array" aca="1" ref="BH92" ca="1">IFERROR(CONCATENATE(INDIRECT(BF92)," ", INDIRECT(BG92)),"")</f>
        <v/>
      </c>
      <c r="BI92" s="64" t="str">
        <f t="shared" ca="1" si="92"/>
        <v/>
      </c>
      <c r="BJ92" s="155">
        <f t="shared" ca="1" si="81"/>
        <v>0</v>
      </c>
      <c r="BK92" s="155">
        <f t="shared" ca="1" si="82"/>
        <v>0</v>
      </c>
      <c r="BL92" s="155">
        <f t="shared" ca="1" si="97"/>
        <v>0</v>
      </c>
      <c r="BM92" s="155">
        <f t="shared" ca="1" si="97"/>
        <v>0</v>
      </c>
      <c r="BN92" s="155">
        <f t="shared" ca="1" si="97"/>
        <v>0</v>
      </c>
      <c r="BO92" s="155">
        <f t="shared" ca="1" si="97"/>
        <v>0</v>
      </c>
      <c r="BP92" s="155">
        <f t="shared" ca="1" si="97"/>
        <v>0</v>
      </c>
      <c r="BQ92" s="155">
        <f t="shared" ca="1" si="97"/>
        <v>0</v>
      </c>
      <c r="BR92" s="155">
        <f t="shared" ca="1" si="97"/>
        <v>0</v>
      </c>
      <c r="BS92" s="479">
        <f t="shared" ca="1" si="97"/>
        <v>0</v>
      </c>
      <c r="BV92" s="505" t="str" cm="1">
        <f t="array" aca="1" ref="BV92" ca="1">IF(BJ93=0,"",CONCATENATE(INDEX(FinalSort,BJ93,4),": ",INDEX(FinalSort,BJ93,8)))</f>
        <v/>
      </c>
      <c r="BW92" s="506" t="str" cm="1">
        <f t="array" aca="1" ref="BW92" ca="1">IF(BK93=0,"",CONCATENATE(INDEX(FinalSort,BK93,4),": ",INDEX(FinalSort,BK93,8)))</f>
        <v/>
      </c>
      <c r="BX92" s="506" t="str" cm="1">
        <f t="array" aca="1" ref="BX92" ca="1">IF(BL93=0,"",CONCATENATE(INDEX(FinalSort,BL93,4),": ",INDEX(FinalSort,BL93,8)))</f>
        <v/>
      </c>
      <c r="BY92" s="506" t="str" cm="1">
        <f t="array" aca="1" ref="BY92" ca="1">IF(BM93=0,"",CONCATENATE(INDEX(FinalSort,BM93,4),": ",INDEX(FinalSort,BM93,8)))</f>
        <v/>
      </c>
      <c r="BZ92" s="506" t="str" cm="1">
        <f t="array" aca="1" ref="BZ92" ca="1">IF(BN93=0,"",CONCATENATE(INDEX(FinalSort,BN93,4),": ",INDEX(FinalSort,BN93,8)))</f>
        <v/>
      </c>
      <c r="CA92" s="506" t="str" cm="1">
        <f t="array" aca="1" ref="CA92" ca="1">IF(BO93=0,"",CONCATENATE(INDEX(FinalSort,BO93,4),": ",INDEX(FinalSort,BO93,8)))</f>
        <v/>
      </c>
      <c r="CB92" s="506" t="str" cm="1">
        <f t="array" aca="1" ref="CB92" ca="1">IF(BP93=0,"",CONCATENATE(INDEX(FinalSort,BP93,4),": ",INDEX(FinalSort,BP93,8)))</f>
        <v/>
      </c>
      <c r="CC92" s="506" t="str" cm="1">
        <f t="array" aca="1" ref="CC92" ca="1">IF(BQ93=0,"",CONCATENATE(INDEX(FinalSort,BQ93,4),": ",INDEX(FinalSort,BQ93,8)))</f>
        <v/>
      </c>
      <c r="CD92" s="506" t="str" cm="1">
        <f t="array" aca="1" ref="CD92" ca="1">IF(BR93=0,"",CONCATENATE(INDEX(FinalSort,BR93,4),": ",INDEX(FinalSort,BR93,8)))</f>
        <v/>
      </c>
      <c r="CE92" s="507" t="str" cm="1">
        <f t="array" aca="1" ref="CE92" ca="1">IF(BS93=0,"",CONCATENATE(INDEX(FinalSort,BS93,4),": ",INDEX(FinalSort,BS93,8)))</f>
        <v/>
      </c>
    </row>
    <row r="93" spans="1:83" x14ac:dyDescent="0.25">
      <c r="A93" s="4">
        <v>84</v>
      </c>
      <c r="B93" s="326" t="str">
        <f t="shared" ca="1" si="73"/>
        <v/>
      </c>
      <c r="C93" s="462" t="str">
        <f t="shared" ca="1" si="75"/>
        <v/>
      </c>
      <c r="D93" s="463" t="str">
        <f t="shared" ca="1" si="76"/>
        <v/>
      </c>
      <c r="E93" s="471" t="str">
        <f t="shared" ca="1" si="77"/>
        <v/>
      </c>
      <c r="F93" s="473" t="str">
        <f t="shared" ca="1" si="74"/>
        <v/>
      </c>
      <c r="G93" s="522"/>
      <c r="H93" s="155"/>
      <c r="I93" s="443" t="str" cm="1">
        <f t="array" ref="I93">IFERROR(INDEX('Project Mull Review'!AF:AF, SMALL(IF('Project Mull Review'!AF$35:AF$682&lt;&gt;"",ROW('Project Mull Review'!AF$35:AF$682),""),ROWS('Project Mull Review'!AF$35:AF117))),"")</f>
        <v/>
      </c>
      <c r="J93" s="389" t="str" cm="1">
        <f t="array" ref="J93">IFERROR(INDEX('Project Mull Review'!AI:AI, SMALL(IF('Project Mull Review'!AI$35:AI$682&lt;&gt;"",ROW('Project Mull Review'!AI$35:AI$682),""),ROWS('Project Mull Review'!AI$35:AI117))),"")</f>
        <v/>
      </c>
      <c r="K93" s="442" t="str" cm="1">
        <f t="array" ref="K93">IFERROR(ROUND(INDEX('Project Mull Review'!AT:AT, SMALL(IF('Project Mull Review'!AI$35:AI$682&lt;&gt;"",ROW('Project Mull Review'!AI$35:AI$682),""),ROWS('Project Mull Review'!AI$35:AI117))),0),"")</f>
        <v/>
      </c>
      <c r="M93" s="140">
        <f>ROW()</f>
        <v>93</v>
      </c>
      <c r="N93" t="str">
        <f t="shared" si="83"/>
        <v/>
      </c>
      <c r="O93" t="str">
        <f t="shared" si="84"/>
        <v/>
      </c>
      <c r="P93" s="144">
        <f t="shared" ca="1" si="78"/>
        <v>0</v>
      </c>
      <c r="Q93" t="str">
        <f t="shared" ca="1" si="54"/>
        <v/>
      </c>
      <c r="R93" t="str">
        <f t="shared" ca="1" si="55"/>
        <v/>
      </c>
      <c r="S93" t="str">
        <f ca="1"/>
        <v/>
      </c>
      <c r="T93" s="144" t="str">
        <f ca="1"/>
        <v/>
      </c>
      <c r="U93" t="str">
        <f t="shared" ca="1" si="70"/>
        <v/>
      </c>
      <c r="V93" t="str">
        <f t="shared" ca="1" si="69"/>
        <v/>
      </c>
      <c r="AC93" t="str">
        <f t="shared" ca="1" si="65"/>
        <v/>
      </c>
      <c r="AD93" t="str" cm="1">
        <f t="array" aca="1" ref="AD93" ca="1">IFERROR(INDIRECT(_xlfn.CONCAT(AU$14,$V93)),"")</f>
        <v/>
      </c>
      <c r="AE93" s="144" t="str" cm="1">
        <f t="array" aca="1" ref="AE93" ca="1">IFERROR(INDIRECT(_xlfn.CONCAT(AU$16,$V93)),"")</f>
        <v/>
      </c>
      <c r="AF93" t="str">
        <f t="shared" ca="1" si="85"/>
        <v/>
      </c>
      <c r="AG93" s="525" t="str">
        <f ca="1"/>
        <v/>
      </c>
      <c r="AH93" s="467" t="str">
        <f t="shared" ca="1" si="93"/>
        <v/>
      </c>
      <c r="AI93" s="533" t="str">
        <f t="shared" ca="1" si="86"/>
        <v/>
      </c>
      <c r="AJ93" s="533" t="str">
        <f t="shared" ca="1" si="79"/>
        <v/>
      </c>
      <c r="AK93" t="str">
        <f t="shared" ca="1" si="87"/>
        <v/>
      </c>
      <c r="AL93" s="140" t="str">
        <f t="shared" ca="1" si="80"/>
        <v/>
      </c>
      <c r="AM93" t="str">
        <f t="shared" ca="1" si="88"/>
        <v/>
      </c>
      <c r="AN93" s="144" t="str">
        <f t="shared" ca="1" si="89"/>
        <v/>
      </c>
      <c r="AW93" s="140" t="str">
        <f t="shared" si="66"/>
        <v>N93</v>
      </c>
      <c r="AX93" t="str">
        <f t="shared" si="67"/>
        <v>$N$11:N92</v>
      </c>
      <c r="AY93" s="144" t="str">
        <f t="shared" si="68"/>
        <v>N94:$N$99</v>
      </c>
      <c r="BA93" s="139" t="str" cm="1">
        <f t="array" aca="1" ref="BA93" ca="1">IFERROR(CELL("address",INDEX('Project Mull Review'!AF:AF, SMALL(IF('Project Mull Review'!AF$35:AF$682&lt;&gt;"",ROW('Project Mull Review'!AF$35:AF$682),""),ROWS('Project Mull Review'!AF$35:AF117)))),"")</f>
        <v/>
      </c>
      <c r="BB93" s="155" t="str">
        <f t="shared" ca="1" si="24"/>
        <v/>
      </c>
      <c r="BC93" s="155" t="str">
        <f t="shared" ca="1" si="25"/>
        <v/>
      </c>
      <c r="BD93" s="155" t="str" cm="1">
        <f t="array" aca="1" ref="BD93" ca="1">IFERROR(INDEX(MainCell,BE93,2),"")</f>
        <v/>
      </c>
      <c r="BE93" s="155" t="str">
        <f ca="1">IFERROR(MATCH(VALUE(RIGHT(BC93,LEN(BC93)-2)),AR$22:AR$76,1),"")</f>
        <v/>
      </c>
      <c r="BF93" s="64" t="str">
        <f t="shared" ca="1" si="91"/>
        <v/>
      </c>
      <c r="BG93" s="64" t="str">
        <f t="shared" ca="1" si="96"/>
        <v/>
      </c>
      <c r="BH93" s="64" t="str" cm="1">
        <f t="array" aca="1" ref="BH93" ca="1">IFERROR(CONCATENATE(INDIRECT(BF93)," ", INDIRECT(BG93)),"")</f>
        <v/>
      </c>
      <c r="BI93" s="64" t="str">
        <f t="shared" ca="1" si="92"/>
        <v/>
      </c>
      <c r="BJ93" s="155">
        <f t="shared" ca="1" si="81"/>
        <v>0</v>
      </c>
      <c r="BK93" s="155">
        <f t="shared" ca="1" si="82"/>
        <v>0</v>
      </c>
      <c r="BL93" s="155">
        <f t="shared" ca="1" si="97"/>
        <v>0</v>
      </c>
      <c r="BM93" s="155">
        <f t="shared" ca="1" si="97"/>
        <v>0</v>
      </c>
      <c r="BN93" s="155">
        <f t="shared" ca="1" si="97"/>
        <v>0</v>
      </c>
      <c r="BO93" s="155">
        <f t="shared" ca="1" si="97"/>
        <v>0</v>
      </c>
      <c r="BP93" s="155">
        <f t="shared" ca="1" si="97"/>
        <v>0</v>
      </c>
      <c r="BQ93" s="155">
        <f t="shared" ca="1" si="97"/>
        <v>0</v>
      </c>
      <c r="BR93" s="155">
        <f t="shared" ca="1" si="97"/>
        <v>0</v>
      </c>
      <c r="BS93" s="479">
        <f t="shared" ca="1" si="97"/>
        <v>0</v>
      </c>
      <c r="BV93" s="505" t="str" cm="1">
        <f t="array" aca="1" ref="BV93" ca="1">IF(BJ94=0,"",CONCATENATE(INDEX(FinalSort,BJ94,4),": ",INDEX(FinalSort,BJ94,8)))</f>
        <v/>
      </c>
      <c r="BW93" s="506" t="str" cm="1">
        <f t="array" aca="1" ref="BW93" ca="1">IF(BK94=0,"",CONCATENATE(INDEX(FinalSort,BK94,4),": ",INDEX(FinalSort,BK94,8)))</f>
        <v/>
      </c>
      <c r="BX93" s="506" t="str" cm="1">
        <f t="array" aca="1" ref="BX93" ca="1">IF(BL94=0,"",CONCATENATE(INDEX(FinalSort,BL94,4),": ",INDEX(FinalSort,BL94,8)))</f>
        <v/>
      </c>
      <c r="BY93" s="506" t="str" cm="1">
        <f t="array" aca="1" ref="BY93" ca="1">IF(BM94=0,"",CONCATENATE(INDEX(FinalSort,BM94,4),": ",INDEX(FinalSort,BM94,8)))</f>
        <v/>
      </c>
      <c r="BZ93" s="506" t="str" cm="1">
        <f t="array" aca="1" ref="BZ93" ca="1">IF(BN94=0,"",CONCATENATE(INDEX(FinalSort,BN94,4),": ",INDEX(FinalSort,BN94,8)))</f>
        <v/>
      </c>
      <c r="CA93" s="506" t="str" cm="1">
        <f t="array" aca="1" ref="CA93" ca="1">IF(BO94=0,"",CONCATENATE(INDEX(FinalSort,BO94,4),": ",INDEX(FinalSort,BO94,8)))</f>
        <v/>
      </c>
      <c r="CB93" s="506" t="str" cm="1">
        <f t="array" aca="1" ref="CB93" ca="1">IF(BP94=0,"",CONCATENATE(INDEX(FinalSort,BP94,4),": ",INDEX(FinalSort,BP94,8)))</f>
        <v/>
      </c>
      <c r="CC93" s="506" t="str" cm="1">
        <f t="array" aca="1" ref="CC93" ca="1">IF(BQ94=0,"",CONCATENATE(INDEX(FinalSort,BQ94,4),": ",INDEX(FinalSort,BQ94,8)))</f>
        <v/>
      </c>
      <c r="CD93" s="506" t="str" cm="1">
        <f t="array" aca="1" ref="CD93" ca="1">IF(BR94=0,"",CONCATENATE(INDEX(FinalSort,BR94,4),": ",INDEX(FinalSort,BR94,8)))</f>
        <v/>
      </c>
      <c r="CE93" s="507" t="str" cm="1">
        <f t="array" aca="1" ref="CE93" ca="1">IF(BS94=0,"",CONCATENATE(INDEX(FinalSort,BS94,4),": ",INDEX(FinalSort,BS94,8)))</f>
        <v/>
      </c>
    </row>
    <row r="94" spans="1:83" x14ac:dyDescent="0.25">
      <c r="A94" s="4">
        <v>85</v>
      </c>
      <c r="B94" s="326" t="str">
        <f t="shared" ca="1" si="73"/>
        <v/>
      </c>
      <c r="C94" s="462" t="str">
        <f t="shared" ca="1" si="75"/>
        <v/>
      </c>
      <c r="D94" s="463" t="str">
        <f t="shared" ca="1" si="76"/>
        <v/>
      </c>
      <c r="E94" s="471" t="str">
        <f t="shared" ca="1" si="77"/>
        <v/>
      </c>
      <c r="F94" s="473" t="str">
        <f t="shared" ca="1" si="74"/>
        <v/>
      </c>
      <c r="G94" s="522"/>
      <c r="H94" s="155"/>
      <c r="I94" s="443" t="str" cm="1">
        <f t="array" ref="I94">IFERROR(INDEX('Project Mull Review'!AF:AF, SMALL(IF('Project Mull Review'!AF$35:AF$682&lt;&gt;"",ROW('Project Mull Review'!AF$35:AF$682),""),ROWS('Project Mull Review'!AF$35:AF118))),"")</f>
        <v/>
      </c>
      <c r="J94" s="389" t="str" cm="1">
        <f t="array" ref="J94">IFERROR(INDEX('Project Mull Review'!AI:AI, SMALL(IF('Project Mull Review'!AI$35:AI$682&lt;&gt;"",ROW('Project Mull Review'!AI$35:AI$682),""),ROWS('Project Mull Review'!AI$35:AI118))),"")</f>
        <v/>
      </c>
      <c r="K94" s="442" t="str" cm="1">
        <f t="array" ref="K94">IFERROR(ROUND(INDEX('Project Mull Review'!AT:AT, SMALL(IF('Project Mull Review'!AI$35:AI$682&lt;&gt;"",ROW('Project Mull Review'!AI$35:AI$682),""),ROWS('Project Mull Review'!AI$35:AI118))),0),"")</f>
        <v/>
      </c>
      <c r="M94" s="140">
        <f>ROW()</f>
        <v>94</v>
      </c>
      <c r="N94" t="str">
        <f t="shared" si="83"/>
        <v/>
      </c>
      <c r="O94" t="str">
        <f t="shared" si="84"/>
        <v/>
      </c>
      <c r="P94" s="144">
        <f t="shared" ca="1" si="78"/>
        <v>0</v>
      </c>
      <c r="Q94" t="str">
        <f t="shared" ca="1" si="54"/>
        <v/>
      </c>
      <c r="R94" t="str">
        <f t="shared" ca="1" si="55"/>
        <v/>
      </c>
      <c r="S94" t="str">
        <f ca="1"/>
        <v/>
      </c>
      <c r="T94" s="144" t="str">
        <f ca="1"/>
        <v/>
      </c>
      <c r="U94" t="str">
        <f t="shared" ca="1" si="70"/>
        <v/>
      </c>
      <c r="V94" t="str">
        <f t="shared" ca="1" si="69"/>
        <v/>
      </c>
      <c r="AC94" t="str">
        <f t="shared" ca="1" si="65"/>
        <v/>
      </c>
      <c r="AD94" t="str" cm="1">
        <f t="array" aca="1" ref="AD94" ca="1">IFERROR(INDIRECT(_xlfn.CONCAT(AU$14,$V94)),"")</f>
        <v/>
      </c>
      <c r="AE94" s="144" t="str" cm="1">
        <f t="array" aca="1" ref="AE94" ca="1">IFERROR(INDIRECT(_xlfn.CONCAT(AU$16,$V94)),"")</f>
        <v/>
      </c>
      <c r="AF94" t="str">
        <f t="shared" ca="1" si="85"/>
        <v/>
      </c>
      <c r="AG94" s="525" t="str">
        <f ca="1"/>
        <v/>
      </c>
      <c r="AH94" s="467" t="str">
        <f t="shared" ca="1" si="93"/>
        <v/>
      </c>
      <c r="AI94" s="533" t="str">
        <f t="shared" ca="1" si="86"/>
        <v/>
      </c>
      <c r="AJ94" s="533" t="str">
        <f t="shared" ca="1" si="79"/>
        <v/>
      </c>
      <c r="AK94" t="str">
        <f t="shared" ca="1" si="87"/>
        <v/>
      </c>
      <c r="AL94" s="140" t="str">
        <f t="shared" ca="1" si="80"/>
        <v/>
      </c>
      <c r="AM94" t="str">
        <f t="shared" ca="1" si="88"/>
        <v/>
      </c>
      <c r="AN94" s="144" t="str">
        <f t="shared" ca="1" si="89"/>
        <v/>
      </c>
      <c r="AW94" s="140" t="str">
        <f t="shared" si="66"/>
        <v>N94</v>
      </c>
      <c r="AX94" t="str">
        <f t="shared" si="67"/>
        <v>$N$11:N93</v>
      </c>
      <c r="AY94" s="144" t="str">
        <f t="shared" si="68"/>
        <v>N95:$N$99</v>
      </c>
      <c r="BA94" s="139" t="str" cm="1">
        <f t="array" aca="1" ref="BA94" ca="1">IFERROR(CELL("address",INDEX('Project Mull Review'!AF:AF, SMALL(IF('Project Mull Review'!AF$35:AF$682&lt;&gt;"",ROW('Project Mull Review'!AF$35:AF$682),""),ROWS('Project Mull Review'!AF$35:AF118)))),"")</f>
        <v/>
      </c>
      <c r="BB94" s="155" t="str">
        <f t="shared" ca="1" si="24"/>
        <v/>
      </c>
      <c r="BC94" s="155" t="str">
        <f t="shared" ca="1" si="25"/>
        <v/>
      </c>
      <c r="BD94" s="155" t="str" cm="1">
        <f t="array" aca="1" ref="BD94" ca="1">IFERROR(INDEX(MainCell,BE94,2),"")</f>
        <v/>
      </c>
      <c r="BE94" s="155" t="str">
        <f t="shared" ca="1" si="94"/>
        <v/>
      </c>
      <c r="BF94" s="64" t="str">
        <f t="shared" ca="1" si="91"/>
        <v/>
      </c>
      <c r="BG94" s="64" t="str">
        <f t="shared" ca="1" si="96"/>
        <v/>
      </c>
      <c r="BH94" s="64" t="str" cm="1">
        <f t="array" aca="1" ref="BH94" ca="1">IFERROR(CONCATENATE(INDIRECT(BF94)," ", INDIRECT(BG94)),"")</f>
        <v/>
      </c>
      <c r="BI94" s="64" t="str">
        <f t="shared" ca="1" si="92"/>
        <v/>
      </c>
      <c r="BJ94" s="155">
        <f t="shared" ca="1" si="81"/>
        <v>0</v>
      </c>
      <c r="BK94" s="155">
        <f t="shared" ca="1" si="82"/>
        <v>0</v>
      </c>
      <c r="BL94" s="155">
        <f t="shared" ca="1" si="97"/>
        <v>0</v>
      </c>
      <c r="BM94" s="155">
        <f t="shared" ca="1" si="97"/>
        <v>0</v>
      </c>
      <c r="BN94" s="155">
        <f t="shared" ca="1" si="97"/>
        <v>0</v>
      </c>
      <c r="BO94" s="155">
        <f t="shared" ca="1" si="97"/>
        <v>0</v>
      </c>
      <c r="BP94" s="155">
        <f t="shared" ca="1" si="97"/>
        <v>0</v>
      </c>
      <c r="BQ94" s="155">
        <f t="shared" ca="1" si="97"/>
        <v>0</v>
      </c>
      <c r="BR94" s="155">
        <f t="shared" ca="1" si="97"/>
        <v>0</v>
      </c>
      <c r="BS94" s="479">
        <f t="shared" ca="1" si="97"/>
        <v>0</v>
      </c>
      <c r="BV94" s="505" t="str" cm="1">
        <f t="array" aca="1" ref="BV94" ca="1">IF(BJ95=0,"",CONCATENATE(INDEX(FinalSort,BJ95,4),": ",INDEX(FinalSort,BJ95,8)))</f>
        <v/>
      </c>
      <c r="BW94" s="506" t="str" cm="1">
        <f t="array" aca="1" ref="BW94" ca="1">IF(BK95=0,"",CONCATENATE(INDEX(FinalSort,BK95,4),": ",INDEX(FinalSort,BK95,8)))</f>
        <v/>
      </c>
      <c r="BX94" s="506" t="str" cm="1">
        <f t="array" aca="1" ref="BX94" ca="1">IF(BL95=0,"",CONCATENATE(INDEX(FinalSort,BL95,4),": ",INDEX(FinalSort,BL95,8)))</f>
        <v/>
      </c>
      <c r="BY94" s="506" t="str" cm="1">
        <f t="array" aca="1" ref="BY94" ca="1">IF(BM95=0,"",CONCATENATE(INDEX(FinalSort,BM95,4),": ",INDEX(FinalSort,BM95,8)))</f>
        <v/>
      </c>
      <c r="BZ94" s="506" t="str" cm="1">
        <f t="array" aca="1" ref="BZ94" ca="1">IF(BN95=0,"",CONCATENATE(INDEX(FinalSort,BN95,4),": ",INDEX(FinalSort,BN95,8)))</f>
        <v/>
      </c>
      <c r="CA94" s="506" t="str" cm="1">
        <f t="array" aca="1" ref="CA94" ca="1">IF(BO95=0,"",CONCATENATE(INDEX(FinalSort,BO95,4),": ",INDEX(FinalSort,BO95,8)))</f>
        <v/>
      </c>
      <c r="CB94" s="506" t="str" cm="1">
        <f t="array" aca="1" ref="CB94" ca="1">IF(BP95=0,"",CONCATENATE(INDEX(FinalSort,BP95,4),": ",INDEX(FinalSort,BP95,8)))</f>
        <v/>
      </c>
      <c r="CC94" s="506" t="str" cm="1">
        <f t="array" aca="1" ref="CC94" ca="1">IF(BQ95=0,"",CONCATENATE(INDEX(FinalSort,BQ95,4),": ",INDEX(FinalSort,BQ95,8)))</f>
        <v/>
      </c>
      <c r="CD94" s="506" t="str" cm="1">
        <f t="array" aca="1" ref="CD94" ca="1">IF(BR95=0,"",CONCATENATE(INDEX(FinalSort,BR95,4),": ",INDEX(FinalSort,BR95,8)))</f>
        <v/>
      </c>
      <c r="CE94" s="507" t="str" cm="1">
        <f t="array" aca="1" ref="CE94" ca="1">IF(BS95=0,"",CONCATENATE(INDEX(FinalSort,BS95,4),": ",INDEX(FinalSort,BS95,8)))</f>
        <v/>
      </c>
    </row>
    <row r="95" spans="1:83" x14ac:dyDescent="0.25">
      <c r="A95" s="4">
        <v>86</v>
      </c>
      <c r="B95" s="326" t="str">
        <f t="shared" ca="1" si="73"/>
        <v/>
      </c>
      <c r="C95" s="462" t="str">
        <f t="shared" ca="1" si="75"/>
        <v/>
      </c>
      <c r="D95" s="463" t="str">
        <f t="shared" ca="1" si="76"/>
        <v/>
      </c>
      <c r="E95" s="471" t="str">
        <f t="shared" ca="1" si="77"/>
        <v/>
      </c>
      <c r="F95" s="473" t="str">
        <f t="shared" ca="1" si="74"/>
        <v/>
      </c>
      <c r="G95" s="522"/>
      <c r="H95" s="155"/>
      <c r="I95" s="443" t="str" cm="1">
        <f t="array" ref="I95">IFERROR(INDEX('Project Mull Review'!AF:AF, SMALL(IF('Project Mull Review'!AF$35:AF$682&lt;&gt;"",ROW('Project Mull Review'!AF$35:AF$682),""),ROWS('Project Mull Review'!AF$35:AF119))),"")</f>
        <v/>
      </c>
      <c r="J95" s="389" t="str" cm="1">
        <f t="array" ref="J95">IFERROR(INDEX('Project Mull Review'!AI:AI, SMALL(IF('Project Mull Review'!AI$35:AI$682&lt;&gt;"",ROW('Project Mull Review'!AI$35:AI$682),""),ROWS('Project Mull Review'!AI$35:AI119))),"")</f>
        <v/>
      </c>
      <c r="K95" s="442" t="str" cm="1">
        <f t="array" ref="K95">IFERROR(ROUND(INDEX('Project Mull Review'!AT:AT, SMALL(IF('Project Mull Review'!AI$35:AI$682&lt;&gt;"",ROW('Project Mull Review'!AI$35:AI$682),""),ROWS('Project Mull Review'!AI$35:AI119))),0),"")</f>
        <v/>
      </c>
      <c r="M95" s="140">
        <f>ROW()</f>
        <v>95</v>
      </c>
      <c r="N95" t="str">
        <f t="shared" si="83"/>
        <v/>
      </c>
      <c r="O95" t="str">
        <f t="shared" si="84"/>
        <v/>
      </c>
      <c r="P95" s="144">
        <f t="shared" ca="1" si="78"/>
        <v>0</v>
      </c>
      <c r="Q95" t="str">
        <f t="shared" ca="1" si="54"/>
        <v/>
      </c>
      <c r="R95" t="str">
        <f t="shared" ca="1" si="55"/>
        <v/>
      </c>
      <c r="S95" t="str">
        <f ca="1"/>
        <v/>
      </c>
      <c r="T95" s="144" t="str">
        <f ca="1"/>
        <v/>
      </c>
      <c r="U95" t="str">
        <f t="shared" ca="1" si="70"/>
        <v/>
      </c>
      <c r="V95" t="str">
        <f t="shared" ca="1" si="69"/>
        <v/>
      </c>
      <c r="AC95" t="str">
        <f t="shared" ca="1" si="65"/>
        <v/>
      </c>
      <c r="AD95" t="str" cm="1">
        <f t="array" aca="1" ref="AD95" ca="1">IFERROR(INDIRECT(_xlfn.CONCAT(AU$14,$V95)),"")</f>
        <v/>
      </c>
      <c r="AE95" s="144" t="str" cm="1">
        <f t="array" aca="1" ref="AE95" ca="1">IFERROR(INDIRECT(_xlfn.CONCAT(AU$16,$V95)),"")</f>
        <v/>
      </c>
      <c r="AF95" t="str">
        <f t="shared" ca="1" si="85"/>
        <v/>
      </c>
      <c r="AG95" s="525" t="str">
        <f ca="1"/>
        <v/>
      </c>
      <c r="AH95" s="467" t="str">
        <f t="shared" ca="1" si="93"/>
        <v/>
      </c>
      <c r="AI95" s="533" t="str">
        <f t="shared" ca="1" si="86"/>
        <v/>
      </c>
      <c r="AJ95" s="533" t="str">
        <f t="shared" ca="1" si="79"/>
        <v/>
      </c>
      <c r="AK95" t="str">
        <f t="shared" ca="1" si="87"/>
        <v/>
      </c>
      <c r="AL95" s="140" t="str">
        <f t="shared" ca="1" si="80"/>
        <v/>
      </c>
      <c r="AM95" t="str">
        <f t="shared" ca="1" si="88"/>
        <v/>
      </c>
      <c r="AN95" s="144" t="str">
        <f t="shared" ca="1" si="89"/>
        <v/>
      </c>
      <c r="AW95" s="140" t="str">
        <f t="shared" si="66"/>
        <v>N95</v>
      </c>
      <c r="AX95" t="str">
        <f t="shared" si="67"/>
        <v>$N$11:N94</v>
      </c>
      <c r="AY95" s="144" t="str">
        <f t="shared" si="68"/>
        <v>N96:$N$99</v>
      </c>
      <c r="BA95" s="139" t="str" cm="1">
        <f t="array" aca="1" ref="BA95" ca="1">IFERROR(CELL("address",INDEX('Project Mull Review'!AF:AF, SMALL(IF('Project Mull Review'!AF$35:AF$682&lt;&gt;"",ROW('Project Mull Review'!AF$35:AF$682),""),ROWS('Project Mull Review'!AF$35:AF119)))),"")</f>
        <v/>
      </c>
      <c r="BB95" s="155" t="str">
        <f t="shared" ca="1" si="24"/>
        <v/>
      </c>
      <c r="BC95" s="155" t="str">
        <f t="shared" ca="1" si="25"/>
        <v/>
      </c>
      <c r="BD95" s="155" t="str" cm="1">
        <f t="array" aca="1" ref="BD95" ca="1">IFERROR(INDEX(MainCell,BE95,2),"")</f>
        <v/>
      </c>
      <c r="BE95" s="155" t="str">
        <f t="shared" ca="1" si="94"/>
        <v/>
      </c>
      <c r="BF95" s="64" t="str">
        <f t="shared" ca="1" si="91"/>
        <v/>
      </c>
      <c r="BG95" s="64" t="str">
        <f t="shared" ca="1" si="96"/>
        <v/>
      </c>
      <c r="BH95" s="64" t="str" cm="1">
        <f t="array" aca="1" ref="BH95" ca="1">IFERROR(CONCATENATE(INDIRECT(BF95)," ", INDIRECT(BG95)),"")</f>
        <v/>
      </c>
      <c r="BI95" s="64" t="str">
        <f t="shared" ca="1" si="92"/>
        <v/>
      </c>
      <c r="BJ95" s="155">
        <f t="shared" ca="1" si="81"/>
        <v>0</v>
      </c>
      <c r="BK95" s="155">
        <f t="shared" ca="1" si="82"/>
        <v>0</v>
      </c>
      <c r="BL95" s="155">
        <f t="shared" ca="1" si="97"/>
        <v>0</v>
      </c>
      <c r="BM95" s="155">
        <f t="shared" ca="1" si="97"/>
        <v>0</v>
      </c>
      <c r="BN95" s="155">
        <f t="shared" ca="1" si="97"/>
        <v>0</v>
      </c>
      <c r="BO95" s="155">
        <f t="shared" ca="1" si="97"/>
        <v>0</v>
      </c>
      <c r="BP95" s="155">
        <f t="shared" ca="1" si="97"/>
        <v>0</v>
      </c>
      <c r="BQ95" s="155">
        <f t="shared" ca="1" si="97"/>
        <v>0</v>
      </c>
      <c r="BR95" s="155">
        <f t="shared" ca="1" si="97"/>
        <v>0</v>
      </c>
      <c r="BS95" s="479">
        <f t="shared" ca="1" si="97"/>
        <v>0</v>
      </c>
      <c r="BV95" s="505" t="str" cm="1">
        <f t="array" aca="1" ref="BV95" ca="1">IF(BJ96=0,"",CONCATENATE(INDEX(FinalSort,BJ96,4),": ",INDEX(FinalSort,BJ96,8)))</f>
        <v/>
      </c>
      <c r="BW95" s="506" t="str" cm="1">
        <f t="array" aca="1" ref="BW95" ca="1">IF(BK96=0,"",CONCATENATE(INDEX(FinalSort,BK96,4),": ",INDEX(FinalSort,BK96,8)))</f>
        <v/>
      </c>
      <c r="BX95" s="506" t="str" cm="1">
        <f t="array" aca="1" ref="BX95" ca="1">IF(BL96=0,"",CONCATENATE(INDEX(FinalSort,BL96,4),": ",INDEX(FinalSort,BL96,8)))</f>
        <v/>
      </c>
      <c r="BY95" s="506" t="str" cm="1">
        <f t="array" aca="1" ref="BY95" ca="1">IF(BM96=0,"",CONCATENATE(INDEX(FinalSort,BM96,4),": ",INDEX(FinalSort,BM96,8)))</f>
        <v/>
      </c>
      <c r="BZ95" s="506" t="str" cm="1">
        <f t="array" aca="1" ref="BZ95" ca="1">IF(BN96=0,"",CONCATENATE(INDEX(FinalSort,BN96,4),": ",INDEX(FinalSort,BN96,8)))</f>
        <v/>
      </c>
      <c r="CA95" s="506" t="str" cm="1">
        <f t="array" aca="1" ref="CA95" ca="1">IF(BO96=0,"",CONCATENATE(INDEX(FinalSort,BO96,4),": ",INDEX(FinalSort,BO96,8)))</f>
        <v/>
      </c>
      <c r="CB95" s="506" t="str" cm="1">
        <f t="array" aca="1" ref="CB95" ca="1">IF(BP96=0,"",CONCATENATE(INDEX(FinalSort,BP96,4),": ",INDEX(FinalSort,BP96,8)))</f>
        <v/>
      </c>
      <c r="CC95" s="506" t="str" cm="1">
        <f t="array" aca="1" ref="CC95" ca="1">IF(BQ96=0,"",CONCATENATE(INDEX(FinalSort,BQ96,4),": ",INDEX(FinalSort,BQ96,8)))</f>
        <v/>
      </c>
      <c r="CD95" s="506" t="str" cm="1">
        <f t="array" aca="1" ref="CD95" ca="1">IF(BR96=0,"",CONCATENATE(INDEX(FinalSort,BR96,4),": ",INDEX(FinalSort,BR96,8)))</f>
        <v/>
      </c>
      <c r="CE95" s="507" t="str" cm="1">
        <f t="array" aca="1" ref="CE95" ca="1">IF(BS96=0,"",CONCATENATE(INDEX(FinalSort,BS96,4),": ",INDEX(FinalSort,BS96,8)))</f>
        <v/>
      </c>
    </row>
    <row r="96" spans="1:83" x14ac:dyDescent="0.25">
      <c r="A96" s="4">
        <v>87</v>
      </c>
      <c r="B96" s="326" t="str">
        <f t="shared" ca="1" si="73"/>
        <v/>
      </c>
      <c r="C96" s="462" t="str">
        <f t="shared" ca="1" si="75"/>
        <v/>
      </c>
      <c r="D96" s="463" t="str">
        <f t="shared" ca="1" si="76"/>
        <v/>
      </c>
      <c r="E96" s="471" t="str">
        <f t="shared" ca="1" si="77"/>
        <v/>
      </c>
      <c r="F96" s="473" t="str">
        <f t="shared" ca="1" si="74"/>
        <v/>
      </c>
      <c r="G96" s="522"/>
      <c r="H96" s="155"/>
      <c r="I96" s="443" t="str" cm="1">
        <f t="array" ref="I96">IFERROR(INDEX('Project Mull Review'!AF:AF, SMALL(IF('Project Mull Review'!AF$35:AF$682&lt;&gt;"",ROW('Project Mull Review'!AF$35:AF$682),""),ROWS('Project Mull Review'!AF$35:AF120))),"")</f>
        <v/>
      </c>
      <c r="J96" s="389" t="str" cm="1">
        <f t="array" ref="J96">IFERROR(INDEX('Project Mull Review'!AI:AI, SMALL(IF('Project Mull Review'!AI$35:AI$682&lt;&gt;"",ROW('Project Mull Review'!AI$35:AI$682),""),ROWS('Project Mull Review'!AI$35:AI120))),"")</f>
        <v/>
      </c>
      <c r="K96" s="442" t="str" cm="1">
        <f t="array" ref="K96">IFERROR(ROUND(INDEX('Project Mull Review'!AT:AT, SMALL(IF('Project Mull Review'!AI$35:AI$682&lt;&gt;"",ROW('Project Mull Review'!AI$35:AI$682),""),ROWS('Project Mull Review'!AI$35:AI120))),0),"")</f>
        <v/>
      </c>
      <c r="M96" s="140">
        <f>ROW()</f>
        <v>96</v>
      </c>
      <c r="N96" t="str">
        <f t="shared" si="83"/>
        <v/>
      </c>
      <c r="O96" t="str">
        <f t="shared" si="84"/>
        <v/>
      </c>
      <c r="P96" s="144">
        <f t="shared" ca="1" si="78"/>
        <v>0</v>
      </c>
      <c r="Q96" t="str">
        <f t="shared" ca="1" si="54"/>
        <v/>
      </c>
      <c r="R96" t="str">
        <f t="shared" ca="1" si="55"/>
        <v/>
      </c>
      <c r="S96" t="str">
        <f ca="1"/>
        <v/>
      </c>
      <c r="T96" s="144" t="str">
        <f ca="1"/>
        <v/>
      </c>
      <c r="U96" t="str">
        <f t="shared" ca="1" si="70"/>
        <v/>
      </c>
      <c r="V96" t="str">
        <f t="shared" ca="1" si="69"/>
        <v/>
      </c>
      <c r="AC96" t="str">
        <f t="shared" ca="1" si="65"/>
        <v/>
      </c>
      <c r="AD96" t="str" cm="1">
        <f t="array" aca="1" ref="AD96" ca="1">IFERROR(INDIRECT(_xlfn.CONCAT(AU$14,$V96)),"")</f>
        <v/>
      </c>
      <c r="AE96" s="144" t="str" cm="1">
        <f t="array" aca="1" ref="AE96" ca="1">IFERROR(INDIRECT(_xlfn.CONCAT(AU$16,$V96)),"")</f>
        <v/>
      </c>
      <c r="AF96" t="str">
        <f t="shared" ca="1" si="85"/>
        <v/>
      </c>
      <c r="AG96" s="525" t="str">
        <f ca="1"/>
        <v/>
      </c>
      <c r="AH96" s="467" t="str">
        <f t="shared" ca="1" si="93"/>
        <v/>
      </c>
      <c r="AI96" s="533" t="str">
        <f t="shared" ca="1" si="86"/>
        <v/>
      </c>
      <c r="AJ96" s="533" t="str">
        <f t="shared" ca="1" si="79"/>
        <v/>
      </c>
      <c r="AK96" t="str">
        <f t="shared" ca="1" si="87"/>
        <v/>
      </c>
      <c r="AL96" s="140" t="str">
        <f t="shared" ca="1" si="80"/>
        <v/>
      </c>
      <c r="AM96" t="str">
        <f t="shared" ca="1" si="88"/>
        <v/>
      </c>
      <c r="AN96" s="144" t="str">
        <f t="shared" ca="1" si="89"/>
        <v/>
      </c>
      <c r="AW96" s="140" t="str">
        <f t="shared" si="66"/>
        <v>N96</v>
      </c>
      <c r="AX96" t="str">
        <f t="shared" si="67"/>
        <v>$N$11:N95</v>
      </c>
      <c r="AY96" s="144" t="str">
        <f t="shared" si="68"/>
        <v>N97:$N$99</v>
      </c>
      <c r="BA96" s="139" t="str" cm="1">
        <f t="array" aca="1" ref="BA96" ca="1">IFERROR(CELL("address",INDEX('Project Mull Review'!AF:AF, SMALL(IF('Project Mull Review'!AF$35:AF$682&lt;&gt;"",ROW('Project Mull Review'!AF$35:AF$682),""),ROWS('Project Mull Review'!AF$35:AF120)))),"")</f>
        <v/>
      </c>
      <c r="BB96" s="155" t="str">
        <f t="shared" ca="1" si="24"/>
        <v/>
      </c>
      <c r="BC96" s="155" t="str">
        <f t="shared" ca="1" si="25"/>
        <v/>
      </c>
      <c r="BD96" s="155" t="str" cm="1">
        <f t="array" aca="1" ref="BD96" ca="1">IFERROR(INDEX(MainCell,BE96,2),"")</f>
        <v/>
      </c>
      <c r="BE96" s="155" t="str">
        <f t="shared" ca="1" si="94"/>
        <v/>
      </c>
      <c r="BF96" s="64" t="str">
        <f t="shared" ca="1" si="91"/>
        <v/>
      </c>
      <c r="BG96" s="64" t="str">
        <f t="shared" ca="1" si="96"/>
        <v/>
      </c>
      <c r="BH96" s="64" t="str" cm="1">
        <f t="array" aca="1" ref="BH96" ca="1">IFERROR(CONCATENATE(INDIRECT(BF96)," ", INDIRECT(BG96)),"")</f>
        <v/>
      </c>
      <c r="BI96" s="64" t="str">
        <f t="shared" ca="1" si="92"/>
        <v/>
      </c>
      <c r="BJ96" s="155">
        <f t="shared" ca="1" si="81"/>
        <v>0</v>
      </c>
      <c r="BK96" s="155">
        <f t="shared" ca="1" si="82"/>
        <v>0</v>
      </c>
      <c r="BL96" s="155">
        <f t="shared" ca="1" si="97"/>
        <v>0</v>
      </c>
      <c r="BM96" s="155">
        <f t="shared" ca="1" si="97"/>
        <v>0</v>
      </c>
      <c r="BN96" s="155">
        <f t="shared" ca="1" si="97"/>
        <v>0</v>
      </c>
      <c r="BO96" s="155">
        <f t="shared" ca="1" si="97"/>
        <v>0</v>
      </c>
      <c r="BP96" s="155">
        <f t="shared" ca="1" si="97"/>
        <v>0</v>
      </c>
      <c r="BQ96" s="155">
        <f t="shared" ca="1" si="97"/>
        <v>0</v>
      </c>
      <c r="BR96" s="155">
        <f t="shared" ca="1" si="97"/>
        <v>0</v>
      </c>
      <c r="BS96" s="479">
        <f t="shared" ca="1" si="97"/>
        <v>0</v>
      </c>
      <c r="BV96" s="505" t="str" cm="1">
        <f t="array" aca="1" ref="BV96" ca="1">IF(BJ97=0,"",CONCATENATE(INDEX(FinalSort,BJ97,4),": ",INDEX(FinalSort,BJ97,8)))</f>
        <v/>
      </c>
      <c r="BW96" s="506" t="str" cm="1">
        <f t="array" aca="1" ref="BW96" ca="1">IF(BK97=0,"",CONCATENATE(INDEX(FinalSort,BK97,4),": ",INDEX(FinalSort,BK97,8)))</f>
        <v/>
      </c>
      <c r="BX96" s="506" t="str" cm="1">
        <f t="array" aca="1" ref="BX96" ca="1">IF(BL97=0,"",CONCATENATE(INDEX(FinalSort,BL97,4),": ",INDEX(FinalSort,BL97,8)))</f>
        <v/>
      </c>
      <c r="BY96" s="506" t="str" cm="1">
        <f t="array" aca="1" ref="BY96" ca="1">IF(BM97=0,"",CONCATENATE(INDEX(FinalSort,BM97,4),": ",INDEX(FinalSort,BM97,8)))</f>
        <v/>
      </c>
      <c r="BZ96" s="506" t="str" cm="1">
        <f t="array" aca="1" ref="BZ96" ca="1">IF(BN97=0,"",CONCATENATE(INDEX(FinalSort,BN97,4),": ",INDEX(FinalSort,BN97,8)))</f>
        <v/>
      </c>
      <c r="CA96" s="506" t="str" cm="1">
        <f t="array" aca="1" ref="CA96" ca="1">IF(BO97=0,"",CONCATENATE(INDEX(FinalSort,BO97,4),": ",INDEX(FinalSort,BO97,8)))</f>
        <v/>
      </c>
      <c r="CB96" s="506" t="str" cm="1">
        <f t="array" aca="1" ref="CB96" ca="1">IF(BP97=0,"",CONCATENATE(INDEX(FinalSort,BP97,4),": ",INDEX(FinalSort,BP97,8)))</f>
        <v/>
      </c>
      <c r="CC96" s="506" t="str" cm="1">
        <f t="array" aca="1" ref="CC96" ca="1">IF(BQ97=0,"",CONCATENATE(INDEX(FinalSort,BQ97,4),": ",INDEX(FinalSort,BQ97,8)))</f>
        <v/>
      </c>
      <c r="CD96" s="506" t="str" cm="1">
        <f t="array" aca="1" ref="CD96" ca="1">IF(BR97=0,"",CONCATENATE(INDEX(FinalSort,BR97,4),": ",INDEX(FinalSort,BR97,8)))</f>
        <v/>
      </c>
      <c r="CE96" s="507" t="str" cm="1">
        <f t="array" aca="1" ref="CE96" ca="1">IF(BS97=0,"",CONCATENATE(INDEX(FinalSort,BS97,4),": ",INDEX(FinalSort,BS97,8)))</f>
        <v/>
      </c>
    </row>
    <row r="97" spans="1:83" x14ac:dyDescent="0.25">
      <c r="A97" s="4">
        <v>88</v>
      </c>
      <c r="B97" s="326" t="str">
        <f t="shared" ca="1" si="73"/>
        <v/>
      </c>
      <c r="C97" s="462" t="str">
        <f t="shared" ca="1" si="75"/>
        <v/>
      </c>
      <c r="D97" s="463" t="str">
        <f t="shared" ca="1" si="76"/>
        <v/>
      </c>
      <c r="E97" s="471" t="str">
        <f t="shared" ca="1" si="77"/>
        <v/>
      </c>
      <c r="F97" s="473" t="str">
        <f t="shared" ca="1" si="74"/>
        <v/>
      </c>
      <c r="G97" s="522"/>
      <c r="H97" s="155"/>
      <c r="I97" s="443" t="str" cm="1">
        <f t="array" ref="I97">IFERROR(INDEX('Project Mull Review'!AF:AF, SMALL(IF('Project Mull Review'!AF$35:AF$682&lt;&gt;"",ROW('Project Mull Review'!AF$35:AF$682),""),ROWS('Project Mull Review'!AF$35:AF121))),"")</f>
        <v/>
      </c>
      <c r="J97" s="389" t="str" cm="1">
        <f t="array" ref="J97">IFERROR(INDEX('Project Mull Review'!AI:AI, SMALL(IF('Project Mull Review'!AI$35:AI$682&lt;&gt;"",ROW('Project Mull Review'!AI$35:AI$682),""),ROWS('Project Mull Review'!AI$35:AI121))),"")</f>
        <v/>
      </c>
      <c r="K97" s="442" t="str" cm="1">
        <f t="array" ref="K97">IFERROR(ROUND(INDEX('Project Mull Review'!AT:AT, SMALL(IF('Project Mull Review'!AI$35:AI$682&lt;&gt;"",ROW('Project Mull Review'!AI$35:AI$682),""),ROWS('Project Mull Review'!AI$35:AI121))),0),"")</f>
        <v/>
      </c>
      <c r="M97" s="140">
        <f>ROW()</f>
        <v>97</v>
      </c>
      <c r="N97" t="str">
        <f t="shared" si="83"/>
        <v/>
      </c>
      <c r="O97" t="str">
        <f t="shared" si="84"/>
        <v/>
      </c>
      <c r="P97" s="144">
        <f t="shared" ca="1" si="78"/>
        <v>0</v>
      </c>
      <c r="Q97" t="str">
        <f t="shared" ca="1" si="54"/>
        <v/>
      </c>
      <c r="R97" t="str">
        <f t="shared" ca="1" si="55"/>
        <v/>
      </c>
      <c r="S97" t="str">
        <f ca="1"/>
        <v/>
      </c>
      <c r="T97" s="144" t="str">
        <f ca="1"/>
        <v/>
      </c>
      <c r="U97" t="str">
        <f t="shared" ca="1" si="70"/>
        <v/>
      </c>
      <c r="V97" t="str">
        <f t="shared" ca="1" si="69"/>
        <v/>
      </c>
      <c r="AC97" t="str">
        <f t="shared" ca="1" si="65"/>
        <v/>
      </c>
      <c r="AD97" t="str" cm="1">
        <f t="array" aca="1" ref="AD97" ca="1">IFERROR(INDIRECT(_xlfn.CONCAT(AU$14,$V97)),"")</f>
        <v/>
      </c>
      <c r="AE97" s="144" t="str" cm="1">
        <f t="array" aca="1" ref="AE97" ca="1">IFERROR(INDIRECT(_xlfn.CONCAT(AU$16,$V97)),"")</f>
        <v/>
      </c>
      <c r="AF97" t="str">
        <f t="shared" ca="1" si="85"/>
        <v/>
      </c>
      <c r="AG97" s="525" t="str">
        <f ca="1"/>
        <v/>
      </c>
      <c r="AH97" s="467" t="str">
        <f t="shared" ca="1" si="93"/>
        <v/>
      </c>
      <c r="AI97" s="533" t="str">
        <f t="shared" ca="1" si="86"/>
        <v/>
      </c>
      <c r="AJ97" s="533" t="str">
        <f t="shared" ca="1" si="79"/>
        <v/>
      </c>
      <c r="AK97" t="str">
        <f t="shared" ca="1" si="87"/>
        <v/>
      </c>
      <c r="AL97" s="140" t="str">
        <f t="shared" ca="1" si="80"/>
        <v/>
      </c>
      <c r="AM97" t="str">
        <f t="shared" ca="1" si="88"/>
        <v/>
      </c>
      <c r="AN97" s="144" t="str">
        <f t="shared" ca="1" si="89"/>
        <v/>
      </c>
      <c r="AW97" s="140" t="str">
        <f t="shared" si="66"/>
        <v>N97</v>
      </c>
      <c r="AX97" t="str">
        <f t="shared" si="67"/>
        <v>$N$11:N96</v>
      </c>
      <c r="AY97" s="144" t="str">
        <f t="shared" si="68"/>
        <v>N98:$N$99</v>
      </c>
      <c r="BA97" s="139" t="str" cm="1">
        <f t="array" aca="1" ref="BA97" ca="1">IFERROR(CELL("address",INDEX('Project Mull Review'!AF:AF, SMALL(IF('Project Mull Review'!AF$35:AF$682&lt;&gt;"",ROW('Project Mull Review'!AF$35:AF$682),""),ROWS('Project Mull Review'!AF$35:AF121)))),"")</f>
        <v/>
      </c>
      <c r="BB97" s="155" t="str">
        <f t="shared" ca="1" si="24"/>
        <v/>
      </c>
      <c r="BC97" s="155" t="str">
        <f t="shared" ca="1" si="25"/>
        <v/>
      </c>
      <c r="BD97" s="155" t="str" cm="1">
        <f t="array" aca="1" ref="BD97" ca="1">IFERROR(INDEX(MainCell,BE97,2),"")</f>
        <v/>
      </c>
      <c r="BE97" s="155" t="str">
        <f t="shared" ca="1" si="94"/>
        <v/>
      </c>
      <c r="BF97" s="64" t="str">
        <f t="shared" ca="1" si="91"/>
        <v/>
      </c>
      <c r="BG97" s="64" t="str">
        <f t="shared" ca="1" si="96"/>
        <v/>
      </c>
      <c r="BH97" s="64" t="str" cm="1">
        <f t="array" aca="1" ref="BH97" ca="1">IFERROR(CONCATENATE(INDIRECT(BF97)," ", INDIRECT(BG97)),"")</f>
        <v/>
      </c>
      <c r="BI97" s="64" t="str">
        <f t="shared" ca="1" si="92"/>
        <v/>
      </c>
      <c r="BJ97" s="155">
        <f t="shared" ca="1" si="81"/>
        <v>0</v>
      </c>
      <c r="BK97" s="155">
        <f t="shared" ca="1" si="82"/>
        <v>0</v>
      </c>
      <c r="BL97" s="155">
        <f t="shared" ca="1" si="97"/>
        <v>0</v>
      </c>
      <c r="BM97" s="155">
        <f t="shared" ca="1" si="97"/>
        <v>0</v>
      </c>
      <c r="BN97" s="155">
        <f t="shared" ca="1" si="97"/>
        <v>0</v>
      </c>
      <c r="BO97" s="155">
        <f t="shared" ca="1" si="97"/>
        <v>0</v>
      </c>
      <c r="BP97" s="155">
        <f t="shared" ca="1" si="97"/>
        <v>0</v>
      </c>
      <c r="BQ97" s="155">
        <f t="shared" ca="1" si="97"/>
        <v>0</v>
      </c>
      <c r="BR97" s="155">
        <f t="shared" ca="1" si="97"/>
        <v>0</v>
      </c>
      <c r="BS97" s="479">
        <f t="shared" ca="1" si="97"/>
        <v>0</v>
      </c>
      <c r="BV97" s="505" t="str" cm="1">
        <f t="array" aca="1" ref="BV97" ca="1">IF(BJ98=0,"",CONCATENATE(INDEX(FinalSort,BJ98,4),": ",INDEX(FinalSort,BJ98,8)))</f>
        <v/>
      </c>
      <c r="BW97" s="506" t="str" cm="1">
        <f t="array" aca="1" ref="BW97" ca="1">IF(BK98=0,"",CONCATENATE(INDEX(FinalSort,BK98,4),": ",INDEX(FinalSort,BK98,8)))</f>
        <v/>
      </c>
      <c r="BX97" s="506" t="str" cm="1">
        <f t="array" aca="1" ref="BX97" ca="1">IF(BL98=0,"",CONCATENATE(INDEX(FinalSort,BL98,4),": ",INDEX(FinalSort,BL98,8)))</f>
        <v/>
      </c>
      <c r="BY97" s="506" t="str" cm="1">
        <f t="array" aca="1" ref="BY97" ca="1">IF(BM98=0,"",CONCATENATE(INDEX(FinalSort,BM98,4),": ",INDEX(FinalSort,BM98,8)))</f>
        <v/>
      </c>
      <c r="BZ97" s="506" t="str" cm="1">
        <f t="array" aca="1" ref="BZ97" ca="1">IF(BN98=0,"",CONCATENATE(INDEX(FinalSort,BN98,4),": ",INDEX(FinalSort,BN98,8)))</f>
        <v/>
      </c>
      <c r="CA97" s="506" t="str" cm="1">
        <f t="array" aca="1" ref="CA97" ca="1">IF(BO98=0,"",CONCATENATE(INDEX(FinalSort,BO98,4),": ",INDEX(FinalSort,BO98,8)))</f>
        <v/>
      </c>
      <c r="CB97" s="506" t="str" cm="1">
        <f t="array" aca="1" ref="CB97" ca="1">IF(BP98=0,"",CONCATENATE(INDEX(FinalSort,BP98,4),": ",INDEX(FinalSort,BP98,8)))</f>
        <v/>
      </c>
      <c r="CC97" s="506" t="str" cm="1">
        <f t="array" aca="1" ref="CC97" ca="1">IF(BQ98=0,"",CONCATENATE(INDEX(FinalSort,BQ98,4),": ",INDEX(FinalSort,BQ98,8)))</f>
        <v/>
      </c>
      <c r="CD97" s="506" t="str" cm="1">
        <f t="array" aca="1" ref="CD97" ca="1">IF(BR98=0,"",CONCATENATE(INDEX(FinalSort,BR98,4),": ",INDEX(FinalSort,BR98,8)))</f>
        <v/>
      </c>
      <c r="CE97" s="507" t="str" cm="1">
        <f t="array" aca="1" ref="CE97" ca="1">IF(BS98=0,"",CONCATENATE(INDEX(FinalSort,BS98,4),": ",INDEX(FinalSort,BS98,8)))</f>
        <v/>
      </c>
    </row>
    <row r="98" spans="1:83" x14ac:dyDescent="0.25">
      <c r="A98" s="4">
        <v>89</v>
      </c>
      <c r="B98" s="326" t="str">
        <f t="shared" ca="1" si="73"/>
        <v/>
      </c>
      <c r="C98" s="462" t="str">
        <f t="shared" ca="1" si="75"/>
        <v/>
      </c>
      <c r="D98" s="463" t="str">
        <f t="shared" ca="1" si="76"/>
        <v/>
      </c>
      <c r="E98" s="471" t="str">
        <f t="shared" ca="1" si="77"/>
        <v/>
      </c>
      <c r="F98" s="473" t="str">
        <f t="shared" ca="1" si="74"/>
        <v/>
      </c>
      <c r="G98" s="522"/>
      <c r="H98" s="155"/>
      <c r="I98" s="443" t="str" cm="1">
        <f t="array" ref="I98">IFERROR(INDEX('Project Mull Review'!AF:AF, SMALL(IF('Project Mull Review'!AF$35:AF$682&lt;&gt;"",ROW('Project Mull Review'!AF$35:AF$682),""),ROWS('Project Mull Review'!AF$35:AF122))),"")</f>
        <v/>
      </c>
      <c r="J98" s="389" t="str" cm="1">
        <f t="array" ref="J98">IFERROR(INDEX('Project Mull Review'!AI:AI, SMALL(IF('Project Mull Review'!AI$35:AI$682&lt;&gt;"",ROW('Project Mull Review'!AI$35:AI$682),""),ROWS('Project Mull Review'!AI$35:AI122))),"")</f>
        <v/>
      </c>
      <c r="K98" s="442" t="str" cm="1">
        <f t="array" ref="K98">IFERROR(ROUND(INDEX('Project Mull Review'!AT:AT, SMALL(IF('Project Mull Review'!AI$35:AI$682&lt;&gt;"",ROW('Project Mull Review'!AI$35:AI$682),""),ROWS('Project Mull Review'!AI$35:AI122))),0),"")</f>
        <v/>
      </c>
      <c r="M98" s="140">
        <f>ROW()</f>
        <v>98</v>
      </c>
      <c r="N98" t="str">
        <f t="shared" si="83"/>
        <v/>
      </c>
      <c r="O98" t="str">
        <f t="shared" si="84"/>
        <v/>
      </c>
      <c r="P98" s="144">
        <f t="shared" ca="1" si="78"/>
        <v>0</v>
      </c>
      <c r="Q98" t="str">
        <f t="shared" ca="1" si="54"/>
        <v/>
      </c>
      <c r="R98" t="str">
        <f t="shared" ca="1" si="55"/>
        <v/>
      </c>
      <c r="S98" t="str">
        <f ca="1"/>
        <v/>
      </c>
      <c r="T98" s="144" t="str">
        <f ca="1"/>
        <v/>
      </c>
      <c r="U98" t="str">
        <f t="shared" ca="1" si="70"/>
        <v/>
      </c>
      <c r="V98" t="str">
        <f t="shared" ca="1" si="69"/>
        <v/>
      </c>
      <c r="AC98" t="str">
        <f t="shared" ca="1" si="65"/>
        <v/>
      </c>
      <c r="AD98" t="str" cm="1">
        <f t="array" aca="1" ref="AD98" ca="1">IFERROR(INDIRECT(_xlfn.CONCAT(AU$14,$V98)),"")</f>
        <v/>
      </c>
      <c r="AE98" s="144" t="str" cm="1">
        <f t="array" aca="1" ref="AE98" ca="1">IFERROR(INDIRECT(_xlfn.CONCAT(AU$16,$V98)),"")</f>
        <v/>
      </c>
      <c r="AF98" t="str">
        <f t="shared" ca="1" si="85"/>
        <v/>
      </c>
      <c r="AG98" s="525" t="str">
        <f ca="1"/>
        <v/>
      </c>
      <c r="AH98" s="467" t="str">
        <f t="shared" ca="1" si="93"/>
        <v/>
      </c>
      <c r="AI98" s="533" t="str">
        <f t="shared" ca="1" si="86"/>
        <v/>
      </c>
      <c r="AJ98" s="533" t="str">
        <f t="shared" ca="1" si="79"/>
        <v/>
      </c>
      <c r="AK98" t="str">
        <f t="shared" ca="1" si="87"/>
        <v/>
      </c>
      <c r="AL98" s="140" t="str">
        <f t="shared" ca="1" si="80"/>
        <v/>
      </c>
      <c r="AM98" t="str">
        <f t="shared" ca="1" si="88"/>
        <v/>
      </c>
      <c r="AN98" s="144" t="str">
        <f t="shared" ca="1" si="89"/>
        <v/>
      </c>
      <c r="AW98" s="140" t="str">
        <f t="shared" si="66"/>
        <v>N98</v>
      </c>
      <c r="AX98" t="str">
        <f t="shared" si="67"/>
        <v>$N$11:N97</v>
      </c>
      <c r="AY98" s="144" t="str">
        <f t="shared" si="68"/>
        <v>N99:$N$99</v>
      </c>
      <c r="BA98" s="139" t="str" cm="1">
        <f t="array" aca="1" ref="BA98" ca="1">IFERROR(CELL("address",INDEX('Project Mull Review'!AF:AF, SMALL(IF('Project Mull Review'!AF$35:AF$682&lt;&gt;"",ROW('Project Mull Review'!AF$35:AF$682),""),ROWS('Project Mull Review'!AF$35:AF122)))),"")</f>
        <v/>
      </c>
      <c r="BB98" s="155" t="str">
        <f t="shared" ca="1" si="24"/>
        <v/>
      </c>
      <c r="BC98" s="155" t="str">
        <f t="shared" ca="1" si="25"/>
        <v/>
      </c>
      <c r="BD98" s="155" t="str" cm="1">
        <f t="array" aca="1" ref="BD98" ca="1">IFERROR(INDEX(MainCell,BE98,2),"")</f>
        <v/>
      </c>
      <c r="BE98" s="155" t="str">
        <f t="shared" ca="1" si="94"/>
        <v/>
      </c>
      <c r="BF98" s="64" t="str">
        <f t="shared" ca="1" si="91"/>
        <v/>
      </c>
      <c r="BG98" s="64" t="str">
        <f t="shared" ca="1" si="96"/>
        <v/>
      </c>
      <c r="BH98" s="64" t="str" cm="1">
        <f t="array" aca="1" ref="BH98" ca="1">IFERROR(CONCATENATE(INDIRECT(BF98)," ", INDIRECT(BG98)),"")</f>
        <v/>
      </c>
      <c r="BI98" s="64" t="str">
        <f t="shared" ca="1" si="92"/>
        <v/>
      </c>
      <c r="BJ98" s="155">
        <f t="shared" ca="1" si="81"/>
        <v>0</v>
      </c>
      <c r="BK98" s="155">
        <f t="shared" ca="1" si="82"/>
        <v>0</v>
      </c>
      <c r="BL98" s="155">
        <f t="shared" ca="1" si="97"/>
        <v>0</v>
      </c>
      <c r="BM98" s="155">
        <f t="shared" ca="1" si="97"/>
        <v>0</v>
      </c>
      <c r="BN98" s="155">
        <f t="shared" ca="1" si="97"/>
        <v>0</v>
      </c>
      <c r="BO98" s="155">
        <f t="shared" ca="1" si="97"/>
        <v>0</v>
      </c>
      <c r="BP98" s="155">
        <f t="shared" ca="1" si="97"/>
        <v>0</v>
      </c>
      <c r="BQ98" s="155">
        <f t="shared" ca="1" si="97"/>
        <v>0</v>
      </c>
      <c r="BR98" s="155">
        <f t="shared" ca="1" si="97"/>
        <v>0</v>
      </c>
      <c r="BS98" s="479">
        <f t="shared" ca="1" si="97"/>
        <v>0</v>
      </c>
      <c r="BV98" s="505" t="str" cm="1">
        <f t="array" aca="1" ref="BV98" ca="1">IF(BJ99=0,"",CONCATENATE(INDEX(FinalSort,BJ99,4),": ",INDEX(FinalSort,BJ99,8)))</f>
        <v/>
      </c>
      <c r="BW98" s="506" t="str" cm="1">
        <f t="array" aca="1" ref="BW98" ca="1">IF(BK99=0,"",CONCATENATE(INDEX(FinalSort,BK99,4),": ",INDEX(FinalSort,BK99,8)))</f>
        <v/>
      </c>
      <c r="BX98" s="506" t="str" cm="1">
        <f t="array" aca="1" ref="BX98" ca="1">IF(BL99=0,"",CONCATENATE(INDEX(FinalSort,BL99,4),": ",INDEX(FinalSort,BL99,8)))</f>
        <v/>
      </c>
      <c r="BY98" s="506" t="str" cm="1">
        <f t="array" aca="1" ref="BY98" ca="1">IF(BM99=0,"",CONCATENATE(INDEX(FinalSort,BM99,4),": ",INDEX(FinalSort,BM99,8)))</f>
        <v/>
      </c>
      <c r="BZ98" s="506" t="str" cm="1">
        <f t="array" aca="1" ref="BZ98" ca="1">IF(BN99=0,"",CONCATENATE(INDEX(FinalSort,BN99,4),": ",INDEX(FinalSort,BN99,8)))</f>
        <v/>
      </c>
      <c r="CA98" s="506" t="str" cm="1">
        <f t="array" aca="1" ref="CA98" ca="1">IF(BO99=0,"",CONCATENATE(INDEX(FinalSort,BO99,4),": ",INDEX(FinalSort,BO99,8)))</f>
        <v/>
      </c>
      <c r="CB98" s="506" t="str" cm="1">
        <f t="array" aca="1" ref="CB98" ca="1">IF(BP99=0,"",CONCATENATE(INDEX(FinalSort,BP99,4),": ",INDEX(FinalSort,BP99,8)))</f>
        <v/>
      </c>
      <c r="CC98" s="506" t="str" cm="1">
        <f t="array" aca="1" ref="CC98" ca="1">IF(BQ99=0,"",CONCATENATE(INDEX(FinalSort,BQ99,4),": ",INDEX(FinalSort,BQ99,8)))</f>
        <v/>
      </c>
      <c r="CD98" s="506" t="str" cm="1">
        <f t="array" aca="1" ref="CD98" ca="1">IF(BR99=0,"",CONCATENATE(INDEX(FinalSort,BR99,4),": ",INDEX(FinalSort,BR99,8)))</f>
        <v/>
      </c>
      <c r="CE98" s="507" t="str" cm="1">
        <f t="array" aca="1" ref="CE98" ca="1">IF(BS99=0,"",CONCATENATE(INDEX(FinalSort,BS99,4),": ",INDEX(FinalSort,BS99,8)))</f>
        <v/>
      </c>
    </row>
    <row r="99" spans="1:83" ht="15.75" thickBot="1" x14ac:dyDescent="0.3">
      <c r="A99" s="4">
        <v>90</v>
      </c>
      <c r="B99" s="331" t="str">
        <f t="shared" si="73"/>
        <v/>
      </c>
      <c r="C99" s="333">
        <f t="shared" si="75"/>
        <v>0</v>
      </c>
      <c r="D99" s="334">
        <f t="shared" si="76"/>
        <v>0</v>
      </c>
      <c r="E99" s="474" t="str">
        <f t="shared" si="77"/>
        <v/>
      </c>
      <c r="F99" s="475" t="str">
        <f t="shared" si="74"/>
        <v/>
      </c>
      <c r="G99" s="522"/>
      <c r="H99" s="155"/>
      <c r="I99" s="444" t="str" cm="1">
        <f t="array" ref="I99">IFERROR(INDEX('Project Mull Review'!AF:AF, SMALL(IF('Project Mull Review'!AF$35:AF$682&lt;&gt;"",ROW('Project Mull Review'!AF$35:AF$682),""),ROWS('Project Mull Review'!AF$35:AF123))),"")</f>
        <v/>
      </c>
      <c r="J99" s="445" t="str" cm="1">
        <f t="array" ref="J99">IFERROR(INDEX('Project Mull Review'!AI:AI, SMALL(IF('Project Mull Review'!AI$35:AI$682&lt;&gt;"",ROW('Project Mull Review'!AI$35:AI$682),""),ROWS('Project Mull Review'!AI$35:AI123))),"")</f>
        <v/>
      </c>
      <c r="K99" s="446" t="str" cm="1">
        <f t="array" ref="K99">IFERROR(ROUND(INDEX('Project Mull Review'!AT:AT, SMALL(IF('Project Mull Review'!AI$35:AI$682&lt;&gt;"",ROW('Project Mull Review'!AI$35:AI$682),""),ROWS('Project Mull Review'!AI$35:AI123))),0),"")</f>
        <v/>
      </c>
      <c r="M99" s="448">
        <f>ROW()</f>
        <v>99</v>
      </c>
      <c r="N99" s="377" t="str">
        <f t="shared" si="83"/>
        <v/>
      </c>
      <c r="O99" s="377" t="str">
        <f t="shared" si="84"/>
        <v/>
      </c>
      <c r="P99" s="378">
        <f t="shared" ca="1" si="78"/>
        <v>0</v>
      </c>
      <c r="Q99" s="377" t="str">
        <f ca="1">IF(P99=1,O99,"")</f>
        <v/>
      </c>
      <c r="R99" s="377" t="str">
        <f t="shared" ca="1" si="55"/>
        <v/>
      </c>
      <c r="S99" s="377" t="str">
        <f ca="1"/>
        <v/>
      </c>
      <c r="T99" s="378" t="str">
        <f ca="1"/>
        <v/>
      </c>
      <c r="U99" s="377" t="str">
        <f t="shared" ca="1" si="70"/>
        <v/>
      </c>
      <c r="V99" s="377" t="str">
        <f t="shared" ca="1" si="69"/>
        <v/>
      </c>
      <c r="W99" s="377"/>
      <c r="X99" s="377"/>
      <c r="Y99" s="377"/>
      <c r="Z99" s="377"/>
      <c r="AA99" s="377"/>
      <c r="AB99" s="377"/>
      <c r="AC99" s="377" t="str">
        <f t="shared" ca="1" si="65"/>
        <v/>
      </c>
      <c r="AD99" s="377" t="str" cm="1">
        <f t="array" aca="1" ref="AD99" ca="1">IFERROR(INDIRECT(_xlfn.CONCAT(AU$14,$V99)),"")</f>
        <v/>
      </c>
      <c r="AE99" s="378" t="str" cm="1">
        <f t="array" aca="1" ref="AE99" ca="1">IFERROR(INDIRECT(_xlfn.CONCAT(AU$16,$V99)),"")</f>
        <v/>
      </c>
      <c r="AF99" s="377" t="str">
        <f t="shared" ca="1" si="85"/>
        <v/>
      </c>
      <c r="AG99" s="526" t="str">
        <f ca="1"/>
        <v/>
      </c>
      <c r="AH99" s="535" t="str">
        <f t="shared" ca="1" si="93"/>
        <v/>
      </c>
      <c r="AI99" s="534" t="str">
        <f t="shared" ca="1" si="86"/>
        <v/>
      </c>
      <c r="AJ99" s="534" t="str">
        <f t="shared" ca="1" si="79"/>
        <v/>
      </c>
      <c r="AK99" s="377" t="str">
        <f t="shared" ca="1" si="87"/>
        <v/>
      </c>
      <c r="AL99" s="448" t="str">
        <f t="shared" ca="1" si="80"/>
        <v/>
      </c>
      <c r="AM99" s="377" t="str">
        <f t="shared" ca="1" si="88"/>
        <v/>
      </c>
      <c r="AN99" s="378" t="str">
        <f t="shared" ca="1" si="89"/>
        <v/>
      </c>
      <c r="AW99" s="140" t="str">
        <f t="shared" si="66"/>
        <v>N99</v>
      </c>
      <c r="AX99" t="str">
        <f t="shared" si="67"/>
        <v>$N$11:N98</v>
      </c>
      <c r="AY99" s="144" t="str">
        <f t="shared" si="68"/>
        <v>N100:$N$99</v>
      </c>
      <c r="BA99" s="142" t="str" cm="1">
        <f t="array" aca="1" ref="BA99" ca="1">IFERROR(CELL("address",INDEX('Project Mull Review'!AF:AF, SMALL(IF('Project Mull Review'!AF$35:AF$682&lt;&gt;"",ROW('Project Mull Review'!AF$35:AF$682),""),ROWS('Project Mull Review'!AF$35:AF123)))),"")</f>
        <v/>
      </c>
      <c r="BB99" s="476" t="str">
        <f t="shared" ca="1" si="24"/>
        <v/>
      </c>
      <c r="BC99" s="476" t="str">
        <f t="shared" ca="1" si="25"/>
        <v/>
      </c>
      <c r="BD99" s="476" t="str" cm="1">
        <f t="array" aca="1" ref="BD99" ca="1">IFERROR(INDEX(MainCell,BE99,2),"")</f>
        <v/>
      </c>
      <c r="BE99" s="476" t="str">
        <f ca="1">IFERROR(MATCH(VALUE(RIGHT(BC99,LEN(BC99)-2)),AR$22:AR$76,1),"")</f>
        <v/>
      </c>
      <c r="BF99" s="136" t="str">
        <f t="shared" ca="1" si="91"/>
        <v/>
      </c>
      <c r="BG99" s="136" t="str">
        <f t="shared" ca="1" si="96"/>
        <v/>
      </c>
      <c r="BH99" s="136" t="str" cm="1">
        <f t="array" aca="1" ref="BH99" ca="1">IFERROR(CONCATENATE(INDIRECT(BF99)," ", INDIRECT(BG99)),"")</f>
        <v/>
      </c>
      <c r="BI99" s="136" t="str">
        <f t="shared" ca="1" si="92"/>
        <v/>
      </c>
      <c r="BJ99" s="476">
        <f t="shared" ca="1" si="81"/>
        <v>0</v>
      </c>
      <c r="BK99" s="476">
        <f t="shared" ca="1" si="82"/>
        <v>0</v>
      </c>
      <c r="BL99" s="476">
        <f t="shared" ca="1" si="97"/>
        <v>0</v>
      </c>
      <c r="BM99" s="476">
        <f t="shared" ca="1" si="97"/>
        <v>0</v>
      </c>
      <c r="BN99" s="476">
        <f t="shared" ca="1" si="97"/>
        <v>0</v>
      </c>
      <c r="BO99" s="476">
        <f t="shared" ca="1" si="97"/>
        <v>0</v>
      </c>
      <c r="BP99" s="476">
        <f t="shared" ca="1" si="97"/>
        <v>0</v>
      </c>
      <c r="BQ99" s="476">
        <f t="shared" ca="1" si="97"/>
        <v>0</v>
      </c>
      <c r="BR99" s="476">
        <f t="shared" ca="1" si="97"/>
        <v>0</v>
      </c>
      <c r="BS99" s="484">
        <f t="shared" ca="1" si="97"/>
        <v>0</v>
      </c>
      <c r="BV99" s="508" t="str" cm="1">
        <f t="array" ref="BV99">IF(BJ100=0,"",CONCATENATE(INDEX(FinalSort,BJ100,4),": ",INDEX(FinalSort,BJ100,8)))</f>
        <v/>
      </c>
      <c r="BW99" s="509" t="str" cm="1">
        <f t="array" ref="BW99">IF(BK100=0,"",CONCATENATE(INDEX(FinalSort,BK100,4),": ",INDEX(FinalSort,BK100,8)))</f>
        <v/>
      </c>
      <c r="BX99" s="509" t="str" cm="1">
        <f t="array" ref="BX99">IF(BL100=0,"",CONCATENATE(INDEX(FinalSort,BL100,4),": ",INDEX(FinalSort,BL100,8)))</f>
        <v/>
      </c>
      <c r="BY99" s="509" t="str" cm="1">
        <f t="array" ref="BY99">IF(BM100=0,"",CONCATENATE(INDEX(FinalSort,BM100,4),": ",INDEX(FinalSort,BM100,8)))</f>
        <v/>
      </c>
      <c r="BZ99" s="509" t="str" cm="1">
        <f t="array" ref="BZ99">IF(BN100=0,"",CONCATENATE(INDEX(FinalSort,BN100,4),": ",INDEX(FinalSort,BN100,8)))</f>
        <v/>
      </c>
      <c r="CA99" s="509" t="str" cm="1">
        <f t="array" ref="CA99">IF(BO100=0,"",CONCATENATE(INDEX(FinalSort,BO100,4),": ",INDEX(FinalSort,BO100,8)))</f>
        <v/>
      </c>
      <c r="CB99" s="509" t="str" cm="1">
        <f t="array" ref="CB99">IF(BP100=0,"",CONCATENATE(INDEX(FinalSort,BP100,4),": ",INDEX(FinalSort,BP100,8)))</f>
        <v/>
      </c>
      <c r="CC99" s="509" t="str" cm="1">
        <f t="array" ref="CC99">IF(BQ100=0,"",CONCATENATE(INDEX(FinalSort,BQ100,4),": ",INDEX(FinalSort,BQ100,8)))</f>
        <v/>
      </c>
      <c r="CD99" s="509" t="str" cm="1">
        <f t="array" ref="CD99">IF(BR100=0,"",CONCATENATE(INDEX(FinalSort,BR100,4),": ",INDEX(FinalSort,BR100,8)))</f>
        <v/>
      </c>
      <c r="CE99" s="510" t="str" cm="1">
        <f t="array" ref="CE99">IF(BS100=0,"",CONCATENATE(INDEX(FinalSort,BS100,4),": ",INDEX(FinalSort,BS100,8)))</f>
        <v/>
      </c>
    </row>
    <row r="100" spans="1:83" x14ac:dyDescent="0.25">
      <c r="AW100" s="140" t="str">
        <f t="shared" si="66"/>
        <v>N100</v>
      </c>
      <c r="AY100" s="144"/>
    </row>
    <row r="101" spans="1:83" ht="15.75" thickBot="1" x14ac:dyDescent="0.3">
      <c r="AW101" s="448" t="str">
        <f t="shared" si="66"/>
        <v>N101</v>
      </c>
      <c r="AX101" s="377"/>
      <c r="AY101" s="378"/>
    </row>
    <row r="105" spans="1:83" hidden="1" x14ac:dyDescent="0.25"/>
    <row r="106" spans="1:83" hidden="1" x14ac:dyDescent="0.25"/>
    <row r="107" spans="1:83" hidden="1" x14ac:dyDescent="0.25"/>
    <row r="108" spans="1:83" hidden="1" x14ac:dyDescent="0.25"/>
    <row r="109" spans="1:83" hidden="1" x14ac:dyDescent="0.25"/>
    <row r="110" spans="1:83" hidden="1" x14ac:dyDescent="0.25"/>
    <row r="111" spans="1:83" hidden="1" x14ac:dyDescent="0.25"/>
    <row r="112" spans="1:83"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sheetData>
  <sheetProtection algorithmName="SHA-512" hashValue="jD+qGqHnjQYmNH7IzXGzSVWY/IZAuGxi93+eSMLFEFpyIZ/aBZqQtAF2vkzy173Y1Nbfv2kJ7Zmjy9LZWq5/Qg==" saltValue="hT7+BHwmfig0bmVNSGgkzw==" spinCount="100000" sheet="1" objects="1" scenarios="1"/>
  <mergeCells count="54">
    <mergeCell ref="BA9:BA10"/>
    <mergeCell ref="BS9:BS10"/>
    <mergeCell ref="BH9:BH10"/>
    <mergeCell ref="BC9:BC10"/>
    <mergeCell ref="BE9:BE10"/>
    <mergeCell ref="BF9:BF10"/>
    <mergeCell ref="BG9:BG10"/>
    <mergeCell ref="BD9:BD10"/>
    <mergeCell ref="P9:P10"/>
    <mergeCell ref="AR10:AU10"/>
    <mergeCell ref="AR13:AS13"/>
    <mergeCell ref="AR15:AS15"/>
    <mergeCell ref="Q9:V9"/>
    <mergeCell ref="AL9:AN9"/>
    <mergeCell ref="AH9:AH10"/>
    <mergeCell ref="AJ9:AJ10"/>
    <mergeCell ref="AK9:AK10"/>
    <mergeCell ref="AI9:AI10"/>
    <mergeCell ref="AF9:AG10"/>
    <mergeCell ref="I8:K9"/>
    <mergeCell ref="B1:D5"/>
    <mergeCell ref="I1:K1"/>
    <mergeCell ref="I6:K6"/>
    <mergeCell ref="I2:K5"/>
    <mergeCell ref="B7:B9"/>
    <mergeCell ref="C7:C9"/>
    <mergeCell ref="D7:D9"/>
    <mergeCell ref="E8:E9"/>
    <mergeCell ref="F8:F9"/>
    <mergeCell ref="E7:F7"/>
    <mergeCell ref="AW7:AY7"/>
    <mergeCell ref="AW1:AY5"/>
    <mergeCell ref="N1:P5"/>
    <mergeCell ref="Q1:V5"/>
    <mergeCell ref="W1:AE5"/>
    <mergeCell ref="AL1:AP5"/>
    <mergeCell ref="AR1:AU5"/>
    <mergeCell ref="AF1:AK5"/>
    <mergeCell ref="BZ3:CE4"/>
    <mergeCell ref="BV7:CE8"/>
    <mergeCell ref="BI9:BI10"/>
    <mergeCell ref="BJ9:BJ10"/>
    <mergeCell ref="BK9:BK10"/>
    <mergeCell ref="BL9:BL10"/>
    <mergeCell ref="BM9:BM10"/>
    <mergeCell ref="BN9:BN10"/>
    <mergeCell ref="BO9:BO10"/>
    <mergeCell ref="BP9:BP10"/>
    <mergeCell ref="BQ9:BQ10"/>
    <mergeCell ref="BR9:BR10"/>
    <mergeCell ref="BJ8:BS8"/>
    <mergeCell ref="BA1:BI5"/>
    <mergeCell ref="BJ1:BS5"/>
    <mergeCell ref="BB9:BB10"/>
  </mergeCells>
  <phoneticPr fontId="11" type="noConversion"/>
  <conditionalFormatting sqref="BJ11:BS99">
    <cfRule type="cellIs" dxfId="8" priority="2" operator="greaterThan">
      <formula>0</formula>
    </cfRule>
  </conditionalFormatting>
  <conditionalFormatting sqref="BV10:CE99">
    <cfRule type="containsText" dxfId="7" priority="1" operator="containsText" text=":">
      <formula>NOT(ISERROR(SEARCH(":",BV10)))</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theme="0" tint="-0.34998626667073579"/>
  </sheetPr>
  <dimension ref="A1:AA68"/>
  <sheetViews>
    <sheetView topLeftCell="A8" zoomScale="85" zoomScaleNormal="85" workbookViewId="0">
      <selection activeCell="B10" sqref="B10"/>
    </sheetView>
  </sheetViews>
  <sheetFormatPr defaultColWidth="9.140625" defaultRowHeight="15" x14ac:dyDescent="0.25"/>
  <cols>
    <col min="1" max="1" width="3.140625" style="1" customWidth="1"/>
    <col min="2" max="2" width="9.5703125" style="3" bestFit="1" customWidth="1"/>
    <col min="3" max="3" width="60.42578125" style="1" bestFit="1" customWidth="1"/>
    <col min="4" max="4" width="11.5703125" style="1" bestFit="1" customWidth="1"/>
    <col min="5" max="5" width="9.7109375" style="1" bestFit="1" customWidth="1"/>
    <col min="6" max="6" width="10.5703125" style="1" bestFit="1" customWidth="1"/>
    <col min="7" max="7" width="9.7109375" style="1" bestFit="1" customWidth="1"/>
    <col min="8" max="8" width="6.28515625" style="1" customWidth="1"/>
    <col min="9" max="9" width="9.5703125" style="3" bestFit="1" customWidth="1"/>
    <col min="10" max="10" width="61.28515625" style="1" bestFit="1" customWidth="1"/>
    <col min="11" max="11" width="13.5703125" style="1" bestFit="1" customWidth="1"/>
    <col min="12" max="12" width="9.85546875" style="1" customWidth="1"/>
    <col min="13" max="13" width="10.5703125" style="1" bestFit="1" customWidth="1"/>
    <col min="14" max="14" width="10" style="1" bestFit="1" customWidth="1"/>
    <col min="15" max="15" width="6.5703125" style="1" customWidth="1"/>
    <col min="16" max="16" width="8.7109375" style="1" bestFit="1" customWidth="1"/>
    <col min="17" max="17" width="56.140625" style="1" bestFit="1" customWidth="1"/>
    <col min="18" max="18" width="11.5703125" style="1" customWidth="1"/>
    <col min="19" max="19" width="9.28515625" style="1" bestFit="1" customWidth="1"/>
    <col min="20" max="20" width="10.5703125" style="1" bestFit="1" customWidth="1"/>
    <col min="21" max="21" width="9.28515625" style="1" bestFit="1" customWidth="1"/>
    <col min="22" max="22" width="12.42578125" style="1" customWidth="1"/>
    <col min="23" max="24" width="9.140625" style="1"/>
    <col min="25" max="25" width="29.5703125" style="1" customWidth="1"/>
    <col min="26" max="26" width="12.5703125" style="1" customWidth="1"/>
    <col min="27" max="16384" width="9.140625" style="1"/>
  </cols>
  <sheetData>
    <row r="1" spans="2:21" ht="15" customHeight="1" thickBot="1" x14ac:dyDescent="0.3"/>
    <row r="2" spans="2:21" ht="15" customHeight="1" x14ac:dyDescent="0.25">
      <c r="C2" s="1342" t="s">
        <v>933</v>
      </c>
      <c r="D2" s="1343"/>
      <c r="E2" s="1344"/>
    </row>
    <row r="3" spans="2:21" ht="15" customHeight="1" x14ac:dyDescent="0.25">
      <c r="C3" s="1345"/>
      <c r="D3" s="1346"/>
      <c r="E3" s="1347"/>
    </row>
    <row r="4" spans="2:21" ht="15" customHeight="1" x14ac:dyDescent="0.25">
      <c r="C4" s="1345"/>
      <c r="D4" s="1346"/>
      <c r="E4" s="1347"/>
    </row>
    <row r="5" spans="2:21" ht="15" customHeight="1" x14ac:dyDescent="0.25">
      <c r="C5" s="1345"/>
      <c r="D5" s="1346"/>
      <c r="E5" s="1347"/>
    </row>
    <row r="6" spans="2:21" ht="15" customHeight="1" x14ac:dyDescent="0.25">
      <c r="C6" s="1345"/>
      <c r="D6" s="1346"/>
      <c r="E6" s="1347"/>
    </row>
    <row r="7" spans="2:21" ht="15" customHeight="1" thickBot="1" x14ac:dyDescent="0.3">
      <c r="C7" s="1348"/>
      <c r="D7" s="1349"/>
      <c r="E7" s="1350"/>
    </row>
    <row r="8" spans="2:21" ht="15" customHeight="1" x14ac:dyDescent="0.25"/>
    <row r="9" spans="2:21" ht="15.75" customHeight="1" x14ac:dyDescent="0.25"/>
    <row r="10" spans="2:21" x14ac:dyDescent="0.25">
      <c r="P10" s="3"/>
      <c r="Q10" s="164" t="s">
        <v>626</v>
      </c>
    </row>
    <row r="11" spans="2:21" x14ac:dyDescent="0.25">
      <c r="C11" s="164" t="s">
        <v>150</v>
      </c>
      <c r="D11" s="3"/>
      <c r="E11" s="3"/>
      <c r="F11" s="3"/>
      <c r="G11" s="3"/>
      <c r="J11" s="164" t="s">
        <v>151</v>
      </c>
      <c r="L11" s="3"/>
      <c r="M11" s="3"/>
      <c r="N11" s="3"/>
      <c r="P11" s="3">
        <v>1</v>
      </c>
      <c r="Q11" s="3">
        <v>2</v>
      </c>
      <c r="R11" s="3">
        <v>3</v>
      </c>
      <c r="S11" s="3">
        <v>4</v>
      </c>
      <c r="T11" s="3">
        <v>5</v>
      </c>
      <c r="U11" s="3">
        <v>6</v>
      </c>
    </row>
    <row r="12" spans="2:21" ht="15.75" thickBot="1" x14ac:dyDescent="0.3">
      <c r="B12" s="3" t="s">
        <v>152</v>
      </c>
      <c r="C12" s="165" t="s">
        <v>153</v>
      </c>
      <c r="D12" s="165" t="s">
        <v>154</v>
      </c>
      <c r="E12" s="165" t="s">
        <v>155</v>
      </c>
      <c r="F12" s="165" t="s">
        <v>156</v>
      </c>
      <c r="G12" s="165" t="s">
        <v>157</v>
      </c>
      <c r="H12" s="165"/>
      <c r="I12" s="3" t="s">
        <v>158</v>
      </c>
      <c r="J12" s="165" t="s">
        <v>153</v>
      </c>
      <c r="K12" s="3" t="s">
        <v>17</v>
      </c>
      <c r="L12" s="165" t="s">
        <v>159</v>
      </c>
      <c r="M12" s="165" t="s">
        <v>160</v>
      </c>
      <c r="N12" s="165" t="s">
        <v>161</v>
      </c>
      <c r="P12" s="3" t="s">
        <v>629</v>
      </c>
      <c r="Q12" s="165" t="s">
        <v>153</v>
      </c>
      <c r="R12" s="165" t="s">
        <v>631</v>
      </c>
      <c r="S12" s="165" t="s">
        <v>633</v>
      </c>
      <c r="T12" s="165" t="s">
        <v>634</v>
      </c>
      <c r="U12" s="165" t="s">
        <v>635</v>
      </c>
    </row>
    <row r="13" spans="2:21" x14ac:dyDescent="0.25">
      <c r="B13" s="390">
        <v>1</v>
      </c>
      <c r="C13" s="431" t="s">
        <v>1320</v>
      </c>
      <c r="D13" s="405">
        <v>91300000.000000015</v>
      </c>
      <c r="E13" s="405">
        <v>55758</v>
      </c>
      <c r="F13" s="405">
        <v>0</v>
      </c>
      <c r="G13" s="406">
        <v>0</v>
      </c>
      <c r="H13" s="167"/>
      <c r="I13" s="390">
        <v>1</v>
      </c>
      <c r="J13" s="432" t="s">
        <v>1340</v>
      </c>
      <c r="K13" s="399">
        <v>29174148</v>
      </c>
      <c r="L13" s="396">
        <v>26990</v>
      </c>
      <c r="M13" s="396">
        <v>1618612</v>
      </c>
      <c r="N13" s="308">
        <v>5057</v>
      </c>
      <c r="P13" s="166">
        <v>1</v>
      </c>
      <c r="Q13" s="455" t="s">
        <v>1340</v>
      </c>
      <c r="R13" s="421">
        <v>39981424</v>
      </c>
      <c r="S13" s="421">
        <v>99999</v>
      </c>
      <c r="T13" s="421">
        <v>1618612</v>
      </c>
      <c r="U13" s="421">
        <v>5057</v>
      </c>
    </row>
    <row r="14" spans="2:21" x14ac:dyDescent="0.25">
      <c r="B14" s="391">
        <v>2</v>
      </c>
      <c r="C14" s="394" t="s">
        <v>1319</v>
      </c>
      <c r="D14" s="407">
        <v>50265600</v>
      </c>
      <c r="E14" s="407">
        <v>30512</v>
      </c>
      <c r="F14" s="407">
        <v>326600</v>
      </c>
      <c r="G14" s="408">
        <v>1181</v>
      </c>
      <c r="H14" s="167"/>
      <c r="I14" s="391">
        <v>2</v>
      </c>
      <c r="J14" s="433" t="s">
        <v>1339</v>
      </c>
      <c r="K14" s="400">
        <v>29174148</v>
      </c>
      <c r="L14" s="397">
        <v>26990</v>
      </c>
      <c r="M14" s="397">
        <v>1618612</v>
      </c>
      <c r="N14" s="169">
        <v>5057</v>
      </c>
      <c r="P14" s="168">
        <v>2</v>
      </c>
      <c r="Q14" s="456" t="s">
        <v>1339</v>
      </c>
      <c r="R14" s="410">
        <v>39981424</v>
      </c>
      <c r="S14" s="410">
        <v>99999</v>
      </c>
      <c r="T14" s="410">
        <v>1618612</v>
      </c>
      <c r="U14" s="410">
        <v>5057</v>
      </c>
    </row>
    <row r="15" spans="2:21" x14ac:dyDescent="0.25">
      <c r="B15" s="391">
        <v>3</v>
      </c>
      <c r="C15" s="394" t="s">
        <v>1321</v>
      </c>
      <c r="D15" s="407">
        <v>36885000</v>
      </c>
      <c r="E15" s="407">
        <v>22735</v>
      </c>
      <c r="F15" s="407">
        <v>315000</v>
      </c>
      <c r="G15" s="408">
        <v>940</v>
      </c>
      <c r="H15" s="167"/>
      <c r="I15" s="391">
        <v>3</v>
      </c>
      <c r="J15" s="433" t="s">
        <v>1341</v>
      </c>
      <c r="K15" s="400">
        <v>25310104</v>
      </c>
      <c r="L15" s="397">
        <v>20367</v>
      </c>
      <c r="M15" s="397">
        <v>0</v>
      </c>
      <c r="N15" s="169">
        <v>0</v>
      </c>
      <c r="O15" s="3"/>
      <c r="P15" s="168">
        <v>3</v>
      </c>
      <c r="Q15" s="456" t="s">
        <v>1343</v>
      </c>
      <c r="R15" s="410">
        <v>30541320</v>
      </c>
      <c r="S15" s="410">
        <v>99999</v>
      </c>
      <c r="T15" s="410">
        <v>1524211</v>
      </c>
      <c r="U15" s="410">
        <v>4234</v>
      </c>
    </row>
    <row r="16" spans="2:21" x14ac:dyDescent="0.25">
      <c r="B16" s="392">
        <v>4</v>
      </c>
      <c r="C16" s="394" t="s">
        <v>1322</v>
      </c>
      <c r="D16" s="407">
        <v>36885000</v>
      </c>
      <c r="E16" s="407">
        <v>22735</v>
      </c>
      <c r="F16" s="407">
        <v>315000</v>
      </c>
      <c r="G16" s="408">
        <v>940</v>
      </c>
      <c r="H16" s="167"/>
      <c r="I16" s="391">
        <v>4</v>
      </c>
      <c r="J16" s="433" t="s">
        <v>1342</v>
      </c>
      <c r="K16" s="400">
        <v>19734044</v>
      </c>
      <c r="L16" s="397">
        <v>18760</v>
      </c>
      <c r="M16" s="397">
        <v>1524211</v>
      </c>
      <c r="N16" s="169">
        <v>4234</v>
      </c>
      <c r="O16" s="3"/>
      <c r="P16" s="168">
        <v>4</v>
      </c>
      <c r="Q16" s="456" t="s">
        <v>1342</v>
      </c>
      <c r="R16" s="410">
        <v>30541320</v>
      </c>
      <c r="S16" s="410">
        <v>99999</v>
      </c>
      <c r="T16" s="410">
        <v>1524211</v>
      </c>
      <c r="U16" s="410">
        <v>4234</v>
      </c>
    </row>
    <row r="17" spans="2:22" x14ac:dyDescent="0.25">
      <c r="B17" s="392">
        <v>5</v>
      </c>
      <c r="C17" s="394" t="s">
        <v>1323</v>
      </c>
      <c r="D17" s="407">
        <v>35133000</v>
      </c>
      <c r="E17" s="407">
        <v>19517</v>
      </c>
      <c r="F17" s="407">
        <v>0</v>
      </c>
      <c r="G17" s="408">
        <v>0</v>
      </c>
      <c r="H17" s="167"/>
      <c r="I17" s="391">
        <v>5</v>
      </c>
      <c r="J17" s="433" t="s">
        <v>1343</v>
      </c>
      <c r="K17" s="400">
        <v>19734044</v>
      </c>
      <c r="L17" s="397">
        <v>18760</v>
      </c>
      <c r="M17" s="397">
        <v>1524211</v>
      </c>
      <c r="N17" s="169">
        <v>4234</v>
      </c>
      <c r="O17" s="167"/>
      <c r="P17" s="168">
        <v>5</v>
      </c>
      <c r="Q17" s="456" t="s">
        <v>1347</v>
      </c>
      <c r="R17" s="410">
        <v>25000000</v>
      </c>
      <c r="S17" s="410">
        <v>99999</v>
      </c>
      <c r="T17" s="410">
        <v>306971</v>
      </c>
      <c r="U17" s="410">
        <v>1659</v>
      </c>
    </row>
    <row r="18" spans="2:22" x14ac:dyDescent="0.25">
      <c r="B18" s="392">
        <v>6</v>
      </c>
      <c r="C18" s="394" t="s">
        <v>1324</v>
      </c>
      <c r="D18" s="407">
        <v>21260000</v>
      </c>
      <c r="E18" s="407">
        <v>15141</v>
      </c>
      <c r="F18" s="407">
        <v>246000</v>
      </c>
      <c r="G18" s="408">
        <v>721</v>
      </c>
      <c r="H18" s="167"/>
      <c r="I18" s="391">
        <v>6</v>
      </c>
      <c r="J18" s="433" t="s">
        <v>1344</v>
      </c>
      <c r="K18" s="400">
        <v>19125208</v>
      </c>
      <c r="L18" s="397">
        <v>16084</v>
      </c>
      <c r="M18" s="397">
        <v>0</v>
      </c>
      <c r="N18" s="169">
        <v>0</v>
      </c>
      <c r="O18" s="167"/>
      <c r="P18" s="168">
        <v>6</v>
      </c>
      <c r="Q18" s="456" t="s">
        <v>1346</v>
      </c>
      <c r="R18" s="410">
        <v>25000000</v>
      </c>
      <c r="S18" s="410">
        <v>99999</v>
      </c>
      <c r="T18" s="410">
        <v>306971</v>
      </c>
      <c r="U18" s="410">
        <v>1659</v>
      </c>
    </row>
    <row r="19" spans="2:22" x14ac:dyDescent="0.25">
      <c r="B19" s="392">
        <v>7</v>
      </c>
      <c r="C19" s="394" t="s">
        <v>1325</v>
      </c>
      <c r="D19" s="407">
        <v>21260000</v>
      </c>
      <c r="E19" s="407">
        <v>15141</v>
      </c>
      <c r="F19" s="407">
        <v>246000</v>
      </c>
      <c r="G19" s="408">
        <v>721</v>
      </c>
      <c r="H19" s="167"/>
      <c r="I19" s="391">
        <v>7</v>
      </c>
      <c r="J19" s="433" t="s">
        <v>1345</v>
      </c>
      <c r="K19" s="400">
        <v>15870000</v>
      </c>
      <c r="L19" s="397">
        <v>15208</v>
      </c>
      <c r="M19" s="397">
        <v>6484000</v>
      </c>
      <c r="N19" s="169">
        <v>6522</v>
      </c>
      <c r="O19" s="3"/>
      <c r="P19" s="168">
        <v>7</v>
      </c>
      <c r="Q19" s="456" t="s">
        <v>1349</v>
      </c>
      <c r="R19" s="410">
        <v>21101216</v>
      </c>
      <c r="S19" s="410">
        <v>99999</v>
      </c>
      <c r="T19" s="410">
        <v>1429810</v>
      </c>
      <c r="U19" s="410">
        <v>3412</v>
      </c>
    </row>
    <row r="20" spans="2:22" x14ac:dyDescent="0.25">
      <c r="B20" s="392">
        <v>8</v>
      </c>
      <c r="C20" s="394" t="s">
        <v>1326</v>
      </c>
      <c r="D20" s="407">
        <v>13675000</v>
      </c>
      <c r="E20" s="407">
        <v>8034</v>
      </c>
      <c r="F20" s="407">
        <v>0</v>
      </c>
      <c r="G20" s="408">
        <v>0</v>
      </c>
      <c r="H20" s="167"/>
      <c r="I20" s="391">
        <v>8</v>
      </c>
      <c r="J20" s="433" t="s">
        <v>1346</v>
      </c>
      <c r="K20" s="400">
        <v>14192724</v>
      </c>
      <c r="L20" s="397">
        <v>13078</v>
      </c>
      <c r="M20" s="397">
        <v>306971</v>
      </c>
      <c r="N20" s="169">
        <v>1659</v>
      </c>
      <c r="O20" s="168"/>
      <c r="P20" s="168">
        <v>8</v>
      </c>
      <c r="Q20" s="456" t="s">
        <v>1348</v>
      </c>
      <c r="R20" s="410">
        <v>21101216</v>
      </c>
      <c r="S20" s="410">
        <v>99999</v>
      </c>
      <c r="T20" s="410">
        <v>1429810</v>
      </c>
      <c r="U20" s="410">
        <v>3412</v>
      </c>
    </row>
    <row r="21" spans="2:22" x14ac:dyDescent="0.25">
      <c r="B21" s="392">
        <v>9</v>
      </c>
      <c r="C21" s="394" t="s">
        <v>1327</v>
      </c>
      <c r="D21" s="407">
        <v>6837500</v>
      </c>
      <c r="E21" s="407">
        <v>4017</v>
      </c>
      <c r="F21" s="407">
        <v>0</v>
      </c>
      <c r="G21" s="408">
        <v>0</v>
      </c>
      <c r="H21" s="3"/>
      <c r="I21" s="391">
        <v>9</v>
      </c>
      <c r="J21" s="433" t="s">
        <v>1347</v>
      </c>
      <c r="K21" s="400">
        <v>14192724</v>
      </c>
      <c r="L21" s="397">
        <v>13078</v>
      </c>
      <c r="M21" s="397">
        <v>306971</v>
      </c>
      <c r="N21" s="169">
        <v>1659</v>
      </c>
      <c r="O21" s="168"/>
      <c r="P21" s="168">
        <v>9</v>
      </c>
      <c r="Q21" s="456" t="s">
        <v>1351</v>
      </c>
      <c r="R21" s="410">
        <v>15559896</v>
      </c>
      <c r="S21" s="410">
        <v>99999</v>
      </c>
      <c r="T21" s="410">
        <v>212570</v>
      </c>
      <c r="U21" s="410">
        <v>837</v>
      </c>
    </row>
    <row r="22" spans="2:22" x14ac:dyDescent="0.25">
      <c r="B22" s="392">
        <v>10</v>
      </c>
      <c r="C22" s="394" t="s">
        <v>1328</v>
      </c>
      <c r="D22" s="407">
        <v>0</v>
      </c>
      <c r="E22" s="407">
        <v>0</v>
      </c>
      <c r="F22" s="407">
        <v>0</v>
      </c>
      <c r="G22" s="408">
        <v>0</v>
      </c>
      <c r="H22" s="3"/>
      <c r="I22" s="391">
        <v>10</v>
      </c>
      <c r="J22" s="433" t="s">
        <v>1348</v>
      </c>
      <c r="K22" s="400">
        <v>10293940</v>
      </c>
      <c r="L22" s="397">
        <v>10531</v>
      </c>
      <c r="M22" s="397">
        <v>1429810</v>
      </c>
      <c r="N22" s="169">
        <v>3412</v>
      </c>
      <c r="O22" s="3"/>
      <c r="P22" s="168">
        <v>10</v>
      </c>
      <c r="Q22" s="456" t="s">
        <v>1350</v>
      </c>
      <c r="R22" s="410">
        <v>15559896</v>
      </c>
      <c r="S22" s="410">
        <v>99999</v>
      </c>
      <c r="T22" s="410">
        <v>212570</v>
      </c>
      <c r="U22" s="410">
        <v>837</v>
      </c>
    </row>
    <row r="23" spans="2:22" x14ac:dyDescent="0.25">
      <c r="B23" s="392"/>
      <c r="C23" s="394"/>
      <c r="D23" s="407"/>
      <c r="E23" s="407"/>
      <c r="F23" s="407"/>
      <c r="G23" s="408"/>
      <c r="H23" s="3"/>
      <c r="I23" s="391">
        <v>11</v>
      </c>
      <c r="J23" s="433" t="s">
        <v>1349</v>
      </c>
      <c r="K23" s="400">
        <v>10293940</v>
      </c>
      <c r="L23" s="397">
        <v>10531</v>
      </c>
      <c r="M23" s="397">
        <v>1429810</v>
      </c>
      <c r="N23" s="169">
        <v>3412</v>
      </c>
      <c r="O23" s="3"/>
      <c r="P23" s="168">
        <v>11</v>
      </c>
      <c r="Q23" s="456" t="s">
        <v>1328</v>
      </c>
      <c r="R23" s="410">
        <v>8770357</v>
      </c>
      <c r="S23" s="410">
        <v>99999</v>
      </c>
      <c r="T23" s="410">
        <v>0</v>
      </c>
      <c r="U23" s="410">
        <v>0</v>
      </c>
    </row>
    <row r="24" spans="2:22" ht="15.75" thickBot="1" x14ac:dyDescent="0.3">
      <c r="B24" s="393"/>
      <c r="C24" s="395"/>
      <c r="D24" s="398"/>
      <c r="E24" s="398"/>
      <c r="F24" s="398"/>
      <c r="G24" s="177"/>
      <c r="I24" s="391">
        <v>12</v>
      </c>
      <c r="J24" s="433" t="s">
        <v>1350</v>
      </c>
      <c r="K24" s="400">
        <v>4750620</v>
      </c>
      <c r="L24" s="397">
        <v>4849</v>
      </c>
      <c r="M24" s="397">
        <v>212570</v>
      </c>
      <c r="N24" s="169">
        <v>837</v>
      </c>
      <c r="O24" s="3"/>
      <c r="P24" s="168"/>
      <c r="Q24" s="456"/>
      <c r="R24" s="410"/>
      <c r="S24" s="410"/>
      <c r="T24" s="410"/>
      <c r="U24" s="410"/>
    </row>
    <row r="25" spans="2:22" ht="15.75" thickBot="1" x14ac:dyDescent="0.3">
      <c r="B25" s="1"/>
      <c r="I25" s="391">
        <v>13</v>
      </c>
      <c r="J25" s="433" t="s">
        <v>1351</v>
      </c>
      <c r="K25" s="400">
        <v>4750620</v>
      </c>
      <c r="L25" s="397">
        <v>4849</v>
      </c>
      <c r="M25" s="397">
        <v>212570</v>
      </c>
      <c r="N25" s="169">
        <v>837</v>
      </c>
      <c r="O25" s="3"/>
      <c r="P25" s="171"/>
      <c r="Q25" s="172"/>
      <c r="R25" s="177"/>
      <c r="S25" s="177"/>
      <c r="T25" s="177"/>
      <c r="U25" s="177"/>
    </row>
    <row r="26" spans="2:22" x14ac:dyDescent="0.25">
      <c r="B26" s="1"/>
      <c r="C26" s="1" t="s">
        <v>482</v>
      </c>
      <c r="I26" s="391">
        <v>14</v>
      </c>
      <c r="J26" s="433" t="s">
        <v>1328</v>
      </c>
      <c r="K26" s="400">
        <v>0</v>
      </c>
      <c r="L26" s="397">
        <v>0</v>
      </c>
      <c r="M26" s="397">
        <v>0</v>
      </c>
      <c r="N26" s="169">
        <v>0</v>
      </c>
      <c r="O26" s="3"/>
      <c r="P26" s="95"/>
      <c r="Q26" s="456"/>
      <c r="R26" s="179"/>
      <c r="S26" s="179"/>
      <c r="T26" s="179"/>
      <c r="U26" s="179"/>
    </row>
    <row r="27" spans="2:22" x14ac:dyDescent="0.25">
      <c r="B27" s="1"/>
      <c r="C27" s="1" t="s">
        <v>1515</v>
      </c>
      <c r="I27" s="391"/>
      <c r="J27" s="433"/>
      <c r="K27" s="400"/>
      <c r="L27" s="397"/>
      <c r="M27" s="397"/>
      <c r="N27" s="169"/>
      <c r="P27" s="95"/>
      <c r="Q27" s="456"/>
      <c r="R27" s="167"/>
      <c r="S27" s="167"/>
      <c r="T27" s="167"/>
      <c r="U27" s="167"/>
    </row>
    <row r="28" spans="2:22" ht="15.75" thickBot="1" x14ac:dyDescent="0.3">
      <c r="I28" s="171"/>
      <c r="J28" s="395"/>
      <c r="K28" s="418"/>
      <c r="L28" s="398"/>
      <c r="M28" s="398"/>
      <c r="N28" s="177"/>
      <c r="P28" s="95"/>
      <c r="Q28" s="456"/>
      <c r="R28" s="167"/>
      <c r="S28" s="167"/>
      <c r="T28" s="167"/>
      <c r="U28" s="167"/>
      <c r="V28" s="1" t="s">
        <v>676</v>
      </c>
    </row>
    <row r="29" spans="2:22" x14ac:dyDescent="0.25">
      <c r="I29" s="1"/>
      <c r="P29" s="95"/>
      <c r="Q29" s="456"/>
      <c r="S29" s="167"/>
      <c r="U29" s="167"/>
      <c r="V29" s="1" t="s">
        <v>642</v>
      </c>
    </row>
    <row r="31" spans="2:22" x14ac:dyDescent="0.25">
      <c r="B31" s="1"/>
      <c r="P31" s="3"/>
      <c r="Q31" s="164" t="s">
        <v>627</v>
      </c>
    </row>
    <row r="32" spans="2:22" x14ac:dyDescent="0.25">
      <c r="C32" s="180" t="s">
        <v>172</v>
      </c>
      <c r="J32" s="164" t="s">
        <v>164</v>
      </c>
      <c r="K32" s="3" t="s">
        <v>165</v>
      </c>
      <c r="L32" s="3"/>
      <c r="M32" s="3"/>
      <c r="N32" s="3"/>
      <c r="P32" s="3">
        <v>1</v>
      </c>
      <c r="Q32" s="3">
        <v>2</v>
      </c>
      <c r="R32" s="3">
        <v>3</v>
      </c>
      <c r="S32" s="3">
        <v>4</v>
      </c>
      <c r="T32" s="3">
        <v>5</v>
      </c>
      <c r="U32" s="3">
        <v>6</v>
      </c>
    </row>
    <row r="33" spans="2:23" ht="15.75" thickBot="1" x14ac:dyDescent="0.3">
      <c r="B33" s="165" t="s">
        <v>177</v>
      </c>
      <c r="C33" s="165" t="s">
        <v>153</v>
      </c>
      <c r="D33" s="165" t="s">
        <v>178</v>
      </c>
      <c r="E33" s="1" t="s">
        <v>71</v>
      </c>
      <c r="F33" s="1" t="s">
        <v>175</v>
      </c>
      <c r="G33" s="1" t="s">
        <v>176</v>
      </c>
      <c r="I33" s="3" t="s">
        <v>166</v>
      </c>
      <c r="J33" s="165" t="s">
        <v>153</v>
      </c>
      <c r="K33" s="165" t="s">
        <v>167</v>
      </c>
      <c r="L33" s="165" t="s">
        <v>168</v>
      </c>
      <c r="M33" s="165" t="s">
        <v>169</v>
      </c>
      <c r="N33" s="165" t="s">
        <v>170</v>
      </c>
      <c r="P33" s="3" t="s">
        <v>630</v>
      </c>
      <c r="Q33" s="165" t="s">
        <v>153</v>
      </c>
      <c r="R33" s="165" t="s">
        <v>632</v>
      </c>
      <c r="S33" s="165" t="s">
        <v>636</v>
      </c>
      <c r="T33" s="165" t="s">
        <v>637</v>
      </c>
      <c r="U33" s="165" t="s">
        <v>638</v>
      </c>
    </row>
    <row r="34" spans="2:23" x14ac:dyDescent="0.25">
      <c r="B34" s="390">
        <v>1</v>
      </c>
      <c r="C34" s="431" t="s">
        <v>1329</v>
      </c>
      <c r="D34" s="415">
        <v>31749000</v>
      </c>
      <c r="E34" s="415">
        <v>28644</v>
      </c>
      <c r="F34" s="415">
        <v>3145400</v>
      </c>
      <c r="G34" s="429">
        <v>8202</v>
      </c>
      <c r="H34" s="3"/>
      <c r="I34" s="390">
        <v>1</v>
      </c>
      <c r="J34" s="431" t="s">
        <v>1353</v>
      </c>
      <c r="K34" s="419">
        <v>58617528</v>
      </c>
      <c r="L34" s="420">
        <v>41545</v>
      </c>
      <c r="M34" s="419">
        <v>2077510</v>
      </c>
      <c r="N34" s="421">
        <v>6152</v>
      </c>
      <c r="P34" s="166">
        <v>1</v>
      </c>
      <c r="Q34" s="455" t="s">
        <v>1340</v>
      </c>
      <c r="R34" s="421">
        <v>36250000</v>
      </c>
      <c r="S34" s="421">
        <v>99999</v>
      </c>
      <c r="T34" s="421">
        <v>1618612</v>
      </c>
      <c r="U34" s="421">
        <v>5057</v>
      </c>
    </row>
    <row r="35" spans="2:23" x14ac:dyDescent="0.25">
      <c r="B35" s="391">
        <v>2</v>
      </c>
      <c r="C35" s="394" t="s">
        <v>1330</v>
      </c>
      <c r="D35" s="404">
        <v>26392692</v>
      </c>
      <c r="E35" s="404">
        <v>24992</v>
      </c>
      <c r="F35" s="404">
        <v>4065384</v>
      </c>
      <c r="G35" s="402">
        <v>9872</v>
      </c>
      <c r="I35" s="391">
        <v>2</v>
      </c>
      <c r="J35" s="394" t="s">
        <v>1352</v>
      </c>
      <c r="K35" s="409">
        <v>58617528</v>
      </c>
      <c r="L35" s="422">
        <v>41545</v>
      </c>
      <c r="M35" s="409">
        <v>2077510</v>
      </c>
      <c r="N35" s="410">
        <v>6152</v>
      </c>
      <c r="P35" s="168">
        <v>2</v>
      </c>
      <c r="Q35" s="456" t="s">
        <v>1339</v>
      </c>
      <c r="R35" s="410">
        <v>36250000</v>
      </c>
      <c r="S35" s="410">
        <v>99999</v>
      </c>
      <c r="T35" s="410">
        <v>1618612</v>
      </c>
      <c r="U35" s="410">
        <v>5057</v>
      </c>
    </row>
    <row r="36" spans="2:23" x14ac:dyDescent="0.25">
      <c r="B36" s="391">
        <v>3</v>
      </c>
      <c r="C36" s="394" t="s">
        <v>1331</v>
      </c>
      <c r="D36" s="404">
        <v>26392692</v>
      </c>
      <c r="E36" s="404">
        <v>24992</v>
      </c>
      <c r="F36" s="404">
        <v>4065384</v>
      </c>
      <c r="G36" s="402">
        <v>9872</v>
      </c>
      <c r="I36" s="391">
        <v>3</v>
      </c>
      <c r="J36" s="394" t="s">
        <v>1355</v>
      </c>
      <c r="K36" s="409">
        <v>49177419</v>
      </c>
      <c r="L36" s="422">
        <v>33315</v>
      </c>
      <c r="M36" s="409">
        <v>1983115</v>
      </c>
      <c r="N36" s="410">
        <v>5329</v>
      </c>
      <c r="P36" s="168">
        <v>3</v>
      </c>
      <c r="Q36" s="456" t="s">
        <v>1343</v>
      </c>
      <c r="R36" s="410">
        <v>25750000</v>
      </c>
      <c r="S36" s="410">
        <v>99999</v>
      </c>
      <c r="T36" s="410">
        <v>1524211</v>
      </c>
      <c r="U36" s="410">
        <v>4234</v>
      </c>
    </row>
    <row r="37" spans="2:23" x14ac:dyDescent="0.25">
      <c r="B37" s="391">
        <v>4</v>
      </c>
      <c r="C37" s="394" t="s">
        <v>1332</v>
      </c>
      <c r="D37" s="404">
        <v>21901923</v>
      </c>
      <c r="E37" s="404">
        <v>20739</v>
      </c>
      <c r="F37" s="404">
        <v>4020961</v>
      </c>
      <c r="G37" s="402">
        <v>9333</v>
      </c>
      <c r="I37" s="391">
        <v>4</v>
      </c>
      <c r="J37" s="394" t="s">
        <v>1354</v>
      </c>
      <c r="K37" s="409">
        <v>49177419</v>
      </c>
      <c r="L37" s="422">
        <v>33315</v>
      </c>
      <c r="M37" s="409">
        <v>1983115</v>
      </c>
      <c r="N37" s="410">
        <v>5329</v>
      </c>
      <c r="P37" s="168">
        <v>4</v>
      </c>
      <c r="Q37" s="456" t="s">
        <v>1342</v>
      </c>
      <c r="R37" s="410">
        <v>25750000</v>
      </c>
      <c r="S37" s="410">
        <v>99999</v>
      </c>
      <c r="T37" s="410">
        <v>1524211</v>
      </c>
      <c r="U37" s="410">
        <v>4234</v>
      </c>
    </row>
    <row r="38" spans="2:23" x14ac:dyDescent="0.25">
      <c r="B38" s="391">
        <v>5</v>
      </c>
      <c r="C38" s="394" t="s">
        <v>1333</v>
      </c>
      <c r="D38" s="404">
        <v>21901923</v>
      </c>
      <c r="E38" s="404">
        <v>20739</v>
      </c>
      <c r="F38" s="404">
        <v>4020961</v>
      </c>
      <c r="G38" s="402">
        <v>9333</v>
      </c>
      <c r="I38" s="391">
        <v>5</v>
      </c>
      <c r="J38" s="394" t="s">
        <v>1356</v>
      </c>
      <c r="K38" s="409">
        <v>39737310</v>
      </c>
      <c r="L38" s="422">
        <v>25086</v>
      </c>
      <c r="M38" s="409">
        <v>1888720</v>
      </c>
      <c r="N38" s="410">
        <v>4506</v>
      </c>
      <c r="P38" s="168">
        <v>5</v>
      </c>
      <c r="Q38" s="456" t="s">
        <v>1347</v>
      </c>
      <c r="R38" s="410">
        <v>18000000</v>
      </c>
      <c r="S38" s="410">
        <v>99999</v>
      </c>
      <c r="T38" s="410">
        <v>306971</v>
      </c>
      <c r="U38" s="410">
        <v>1659</v>
      </c>
    </row>
    <row r="39" spans="2:23" x14ac:dyDescent="0.25">
      <c r="B39" s="391">
        <v>6</v>
      </c>
      <c r="C39" s="394" t="s">
        <v>1334</v>
      </c>
      <c r="D39" s="404">
        <v>17325000</v>
      </c>
      <c r="E39" s="404">
        <v>16405</v>
      </c>
      <c r="F39" s="404">
        <v>3976538</v>
      </c>
      <c r="G39" s="402">
        <v>8795</v>
      </c>
      <c r="I39" s="391">
        <v>6</v>
      </c>
      <c r="J39" s="394" t="s">
        <v>1357</v>
      </c>
      <c r="K39" s="409">
        <v>39737310</v>
      </c>
      <c r="L39" s="422">
        <v>25086</v>
      </c>
      <c r="M39" s="409">
        <v>1888720</v>
      </c>
      <c r="N39" s="410">
        <v>4506</v>
      </c>
      <c r="P39" s="168">
        <v>6</v>
      </c>
      <c r="Q39" s="456" t="s">
        <v>1346</v>
      </c>
      <c r="R39" s="410">
        <v>18000000</v>
      </c>
      <c r="S39" s="410">
        <v>99999</v>
      </c>
      <c r="T39" s="410">
        <v>306971</v>
      </c>
      <c r="U39" s="410">
        <v>1659</v>
      </c>
    </row>
    <row r="40" spans="2:23" x14ac:dyDescent="0.25">
      <c r="B40" s="391">
        <v>7</v>
      </c>
      <c r="C40" s="394" t="s">
        <v>1335</v>
      </c>
      <c r="D40" s="404">
        <v>17325000</v>
      </c>
      <c r="E40" s="404">
        <v>16405</v>
      </c>
      <c r="F40" s="404">
        <v>3976538</v>
      </c>
      <c r="G40" s="402">
        <v>8795</v>
      </c>
      <c r="I40" s="391">
        <v>7</v>
      </c>
      <c r="J40" s="394" t="s">
        <v>1358</v>
      </c>
      <c r="K40" s="409">
        <v>30694749</v>
      </c>
      <c r="L40" s="422">
        <v>21230</v>
      </c>
      <c r="M40" s="409">
        <v>356915</v>
      </c>
      <c r="N40" s="410">
        <v>1856</v>
      </c>
      <c r="P40" s="168">
        <v>7</v>
      </c>
      <c r="Q40" s="456" t="s">
        <v>1349</v>
      </c>
      <c r="R40" s="410">
        <v>14000000</v>
      </c>
      <c r="S40" s="410">
        <v>99999</v>
      </c>
      <c r="T40" s="410">
        <v>1429810</v>
      </c>
      <c r="U40" s="410">
        <v>3412</v>
      </c>
    </row>
    <row r="41" spans="2:23" x14ac:dyDescent="0.25">
      <c r="B41" s="391">
        <v>8</v>
      </c>
      <c r="C41" s="394" t="s">
        <v>1336</v>
      </c>
      <c r="D41" s="404">
        <v>7424038</v>
      </c>
      <c r="E41" s="404">
        <v>9748</v>
      </c>
      <c r="F41" s="404">
        <v>558653</v>
      </c>
      <c r="G41" s="402">
        <v>1945</v>
      </c>
      <c r="I41" s="391">
        <v>8</v>
      </c>
      <c r="J41" s="394" t="s">
        <v>1359</v>
      </c>
      <c r="K41" s="409">
        <v>30694749</v>
      </c>
      <c r="L41" s="422">
        <v>21230</v>
      </c>
      <c r="M41" s="409">
        <v>356915</v>
      </c>
      <c r="N41" s="410">
        <v>1856</v>
      </c>
      <c r="P41" s="168">
        <v>8</v>
      </c>
      <c r="Q41" s="456" t="s">
        <v>1348</v>
      </c>
      <c r="R41" s="410">
        <v>14000000</v>
      </c>
      <c r="S41" s="410">
        <v>99999</v>
      </c>
      <c r="T41" s="410">
        <v>1429810</v>
      </c>
      <c r="U41" s="410">
        <v>3412</v>
      </c>
    </row>
    <row r="42" spans="2:23" x14ac:dyDescent="0.25">
      <c r="B42" s="391">
        <v>9</v>
      </c>
      <c r="C42" s="394" t="s">
        <v>1337</v>
      </c>
      <c r="D42" s="404">
        <v>7424038</v>
      </c>
      <c r="E42" s="404">
        <v>9748</v>
      </c>
      <c r="F42" s="404">
        <v>558653</v>
      </c>
      <c r="G42" s="402">
        <v>1945</v>
      </c>
      <c r="I42" s="391">
        <v>9</v>
      </c>
      <c r="J42" s="394" t="s">
        <v>1360</v>
      </c>
      <c r="K42" s="409">
        <v>21254640</v>
      </c>
      <c r="L42" s="422">
        <v>13001</v>
      </c>
      <c r="M42" s="409">
        <v>262520</v>
      </c>
      <c r="N42" s="410">
        <v>1033</v>
      </c>
      <c r="O42" s="3"/>
      <c r="P42" s="168">
        <v>9</v>
      </c>
      <c r="Q42" s="456" t="s">
        <v>1351</v>
      </c>
      <c r="R42" s="410">
        <v>7750000</v>
      </c>
      <c r="S42" s="410">
        <v>99999</v>
      </c>
      <c r="T42" s="410">
        <v>212570</v>
      </c>
      <c r="U42" s="410">
        <v>837</v>
      </c>
    </row>
    <row r="43" spans="2:23" x14ac:dyDescent="0.25">
      <c r="B43" s="391">
        <v>10</v>
      </c>
      <c r="C43" s="394" t="s">
        <v>1338</v>
      </c>
      <c r="D43" s="404">
        <v>1900000</v>
      </c>
      <c r="E43" s="404">
        <v>3789</v>
      </c>
      <c r="F43" s="404">
        <v>0</v>
      </c>
      <c r="G43" s="402">
        <v>0</v>
      </c>
      <c r="I43" s="391">
        <v>10</v>
      </c>
      <c r="J43" s="394" t="s">
        <v>1361</v>
      </c>
      <c r="K43" s="409">
        <v>21254640</v>
      </c>
      <c r="L43" s="422">
        <v>13001</v>
      </c>
      <c r="M43" s="409">
        <v>262520</v>
      </c>
      <c r="N43" s="410">
        <v>1033</v>
      </c>
      <c r="P43" s="168">
        <v>10</v>
      </c>
      <c r="Q43" s="456" t="s">
        <v>1350</v>
      </c>
      <c r="R43" s="410">
        <v>7750000</v>
      </c>
      <c r="S43" s="410">
        <v>99999</v>
      </c>
      <c r="T43" s="410">
        <v>212570</v>
      </c>
      <c r="U43" s="410">
        <v>837</v>
      </c>
    </row>
    <row r="44" spans="2:23" x14ac:dyDescent="0.25">
      <c r="B44" s="391"/>
      <c r="C44" s="394"/>
      <c r="D44" s="404"/>
      <c r="E44" s="404"/>
      <c r="F44" s="404"/>
      <c r="G44" s="402"/>
      <c r="I44" s="391">
        <v>11</v>
      </c>
      <c r="J44" s="394" t="s">
        <v>1328</v>
      </c>
      <c r="K44" s="409">
        <v>0</v>
      </c>
      <c r="L44" s="422">
        <v>0</v>
      </c>
      <c r="M44" s="409">
        <v>0</v>
      </c>
      <c r="N44" s="410">
        <v>0</v>
      </c>
      <c r="P44" s="168"/>
      <c r="Q44" s="456"/>
      <c r="R44" s="410"/>
      <c r="S44" s="410"/>
      <c r="T44" s="410"/>
      <c r="U44" s="410"/>
    </row>
    <row r="45" spans="2:23" x14ac:dyDescent="0.25">
      <c r="B45" s="391"/>
      <c r="C45" s="394"/>
      <c r="D45" s="404"/>
      <c r="E45" s="404"/>
      <c r="F45" s="404"/>
      <c r="G45" s="402"/>
      <c r="I45" s="391"/>
      <c r="J45" s="394"/>
      <c r="K45" s="409"/>
      <c r="L45" s="422"/>
      <c r="M45" s="409"/>
      <c r="N45" s="410"/>
      <c r="P45" s="170"/>
      <c r="Q45" s="456"/>
      <c r="R45" s="410"/>
      <c r="S45" s="410"/>
      <c r="T45" s="410"/>
      <c r="U45" s="410"/>
    </row>
    <row r="46" spans="2:23" ht="15.75" thickBot="1" x14ac:dyDescent="0.3">
      <c r="B46" s="391"/>
      <c r="C46" s="403"/>
      <c r="D46" s="404"/>
      <c r="E46" s="404"/>
      <c r="F46" s="404"/>
      <c r="G46" s="402"/>
      <c r="I46" s="391"/>
      <c r="J46" s="394"/>
      <c r="K46" s="409"/>
      <c r="L46" s="422"/>
      <c r="M46" s="409"/>
      <c r="N46" s="410"/>
      <c r="P46" s="171"/>
      <c r="Q46" s="172"/>
      <c r="R46" s="177"/>
      <c r="S46" s="177"/>
      <c r="T46" s="177"/>
      <c r="U46" s="177"/>
    </row>
    <row r="47" spans="2:23" ht="15.75" thickBot="1" x14ac:dyDescent="0.3">
      <c r="B47" s="393"/>
      <c r="C47" s="172"/>
      <c r="D47" s="416"/>
      <c r="E47" s="416"/>
      <c r="F47" s="416"/>
      <c r="G47" s="417"/>
      <c r="I47" s="393"/>
      <c r="J47" s="395"/>
      <c r="K47" s="423"/>
      <c r="L47" s="424"/>
      <c r="M47" s="424"/>
      <c r="N47" s="425"/>
      <c r="V47" s="1" t="s">
        <v>676</v>
      </c>
    </row>
    <row r="48" spans="2:23" x14ac:dyDescent="0.25">
      <c r="B48" s="184" t="s">
        <v>182</v>
      </c>
      <c r="C48" s="185" t="s">
        <v>1619</v>
      </c>
      <c r="V48" s="1" t="s">
        <v>642</v>
      </c>
      <c r="W48" s="346"/>
    </row>
    <row r="49" spans="1:24" x14ac:dyDescent="0.25">
      <c r="H49" s="3"/>
      <c r="J49"/>
      <c r="K49"/>
      <c r="L49" s="174"/>
      <c r="M49" s="174"/>
      <c r="N49" s="174"/>
      <c r="V49" s="346"/>
      <c r="W49" s="346"/>
    </row>
    <row r="50" spans="1:24" x14ac:dyDescent="0.25">
      <c r="B50" s="1"/>
      <c r="H50" s="3"/>
      <c r="J50" s="346"/>
      <c r="K50" s="346"/>
      <c r="V50" s="346"/>
      <c r="W50" s="346"/>
    </row>
    <row r="51" spans="1:24" x14ac:dyDescent="0.25">
      <c r="B51" s="1"/>
      <c r="C51" s="164" t="s">
        <v>1621</v>
      </c>
      <c r="H51" s="3"/>
      <c r="I51" s="1"/>
      <c r="J51" s="164" t="s">
        <v>1623</v>
      </c>
      <c r="O51" s="3"/>
      <c r="Q51" s="180" t="s">
        <v>171</v>
      </c>
      <c r="V51" s="346"/>
      <c r="W51" s="346"/>
    </row>
    <row r="52" spans="1:24" ht="15.75" thickBot="1" x14ac:dyDescent="0.3">
      <c r="B52" s="3" t="s">
        <v>366</v>
      </c>
      <c r="C52" s="3" t="s">
        <v>153</v>
      </c>
      <c r="D52" s="3" t="s">
        <v>362</v>
      </c>
      <c r="E52" s="3" t="s">
        <v>363</v>
      </c>
      <c r="F52" s="3" t="s">
        <v>364</v>
      </c>
      <c r="G52" s="3" t="s">
        <v>365</v>
      </c>
      <c r="H52" s="3"/>
      <c r="I52" s="3" t="s">
        <v>1624</v>
      </c>
      <c r="J52" s="3" t="s">
        <v>153</v>
      </c>
      <c r="K52" s="3" t="s">
        <v>1625</v>
      </c>
      <c r="L52" s="3" t="s">
        <v>1626</v>
      </c>
      <c r="M52" s="3" t="s">
        <v>175</v>
      </c>
      <c r="N52" s="3" t="s">
        <v>1627</v>
      </c>
      <c r="O52" s="3"/>
      <c r="P52" s="165" t="s">
        <v>173</v>
      </c>
      <c r="Q52" s="165" t="s">
        <v>153</v>
      </c>
      <c r="R52" s="165" t="s">
        <v>174</v>
      </c>
      <c r="S52" s="1" t="s">
        <v>71</v>
      </c>
      <c r="T52" s="1" t="s">
        <v>175</v>
      </c>
      <c r="U52" s="1" t="s">
        <v>176</v>
      </c>
      <c r="V52" s="346"/>
      <c r="W52" s="346"/>
    </row>
    <row r="53" spans="1:24" ht="15.75" thickBot="1" x14ac:dyDescent="0.3">
      <c r="B53" s="401">
        <v>1</v>
      </c>
      <c r="C53" s="178" t="s">
        <v>1620</v>
      </c>
      <c r="D53" s="411">
        <v>22327000</v>
      </c>
      <c r="E53" s="412">
        <v>14243</v>
      </c>
      <c r="F53" s="413">
        <v>62000</v>
      </c>
      <c r="G53" s="414">
        <v>751</v>
      </c>
      <c r="H53" s="3"/>
      <c r="I53" s="401">
        <v>1</v>
      </c>
      <c r="J53" s="178" t="s">
        <v>1622</v>
      </c>
      <c r="K53" s="411">
        <v>22327000</v>
      </c>
      <c r="L53" s="412">
        <v>14243</v>
      </c>
      <c r="M53" s="413">
        <v>62000</v>
      </c>
      <c r="N53" s="414">
        <v>751</v>
      </c>
      <c r="O53" s="3"/>
      <c r="P53" s="182">
        <v>1</v>
      </c>
      <c r="Q53" s="457" t="s">
        <v>1328</v>
      </c>
      <c r="R53" s="426">
        <v>0</v>
      </c>
      <c r="S53" s="459">
        <v>0</v>
      </c>
      <c r="T53" s="459">
        <v>0</v>
      </c>
      <c r="U53" s="461">
        <v>0</v>
      </c>
      <c r="V53" s="346"/>
      <c r="W53" s="346"/>
    </row>
    <row r="54" spans="1:24" x14ac:dyDescent="0.25">
      <c r="B54" s="3" t="s">
        <v>182</v>
      </c>
      <c r="C54" s="1" t="s">
        <v>1619</v>
      </c>
      <c r="D54" s="3"/>
      <c r="E54" s="3"/>
      <c r="F54" s="3"/>
      <c r="G54" s="3"/>
      <c r="H54" s="3"/>
      <c r="O54" s="3"/>
      <c r="P54" s="173">
        <v>2</v>
      </c>
      <c r="Q54" s="456"/>
      <c r="R54" s="427"/>
      <c r="S54" s="460"/>
      <c r="T54" s="460"/>
      <c r="U54" s="402"/>
      <c r="V54" s="346"/>
      <c r="W54" s="346"/>
    </row>
    <row r="55" spans="1:24" ht="15.75" thickBot="1" x14ac:dyDescent="0.3">
      <c r="B55" s="1"/>
      <c r="H55" s="3"/>
      <c r="O55" s="3"/>
      <c r="P55" s="175"/>
      <c r="Q55" s="183"/>
      <c r="R55" s="428"/>
      <c r="S55" s="176"/>
      <c r="T55" s="176"/>
      <c r="U55" s="177"/>
      <c r="V55" s="346"/>
      <c r="W55" s="346"/>
    </row>
    <row r="56" spans="1:24" x14ac:dyDescent="0.25">
      <c r="B56" s="1"/>
      <c r="H56" s="3"/>
      <c r="O56" s="3"/>
      <c r="Q56" s="456"/>
      <c r="R56" s="723"/>
      <c r="S56" s="784"/>
      <c r="T56" s="784"/>
      <c r="U56" s="784"/>
      <c r="V56" s="346"/>
      <c r="W56" s="346"/>
    </row>
    <row r="57" spans="1:24" x14ac:dyDescent="0.25">
      <c r="C57" s="164"/>
      <c r="I57"/>
      <c r="J57"/>
      <c r="K57"/>
      <c r="L57"/>
      <c r="M57"/>
      <c r="N57"/>
      <c r="O57" s="3"/>
      <c r="V57" s="346"/>
      <c r="W57" s="346"/>
    </row>
    <row r="58" spans="1:24" x14ac:dyDescent="0.25">
      <c r="C58" s="164" t="s">
        <v>1523</v>
      </c>
      <c r="J58" s="164" t="s">
        <v>1524</v>
      </c>
      <c r="K58" s="3"/>
      <c r="L58" s="3"/>
      <c r="M58" s="3"/>
      <c r="N58" s="3"/>
      <c r="O58" s="3"/>
      <c r="V58"/>
      <c r="W58"/>
      <c r="X58"/>
    </row>
    <row r="59" spans="1:24" ht="15.75" thickBot="1" x14ac:dyDescent="0.3">
      <c r="B59" s="3" t="s">
        <v>1558</v>
      </c>
      <c r="C59" s="165" t="s">
        <v>153</v>
      </c>
      <c r="D59" s="165" t="s">
        <v>1552</v>
      </c>
      <c r="E59" s="165" t="s">
        <v>1553</v>
      </c>
      <c r="F59" s="165" t="s">
        <v>1554</v>
      </c>
      <c r="G59" s="165" t="s">
        <v>1555</v>
      </c>
      <c r="I59" s="3" t="s">
        <v>1565</v>
      </c>
      <c r="J59" s="165" t="s">
        <v>153</v>
      </c>
      <c r="K59" s="165" t="s">
        <v>1566</v>
      </c>
      <c r="L59" s="165" t="s">
        <v>1567</v>
      </c>
      <c r="M59" s="165" t="s">
        <v>1568</v>
      </c>
      <c r="N59" s="165" t="s">
        <v>1569</v>
      </c>
      <c r="O59" s="3"/>
      <c r="V59"/>
      <c r="W59"/>
      <c r="X59"/>
    </row>
    <row r="60" spans="1:24" ht="15" customHeight="1" x14ac:dyDescent="0.25">
      <c r="A60"/>
      <c r="B60" s="390">
        <v>1</v>
      </c>
      <c r="C60" s="431" t="s">
        <v>1556</v>
      </c>
      <c r="D60" s="405">
        <v>61329097</v>
      </c>
      <c r="E60" s="405">
        <v>41278</v>
      </c>
      <c r="F60" s="405">
        <v>0</v>
      </c>
      <c r="G60" s="406">
        <v>0</v>
      </c>
      <c r="I60" s="390">
        <v>1</v>
      </c>
      <c r="J60" s="431" t="s">
        <v>1601</v>
      </c>
      <c r="K60" s="419">
        <v>147000000</v>
      </c>
      <c r="L60" s="420">
        <v>10000</v>
      </c>
      <c r="M60" s="419">
        <v>0</v>
      </c>
      <c r="N60" s="421">
        <v>0</v>
      </c>
      <c r="O60" s="3"/>
      <c r="Q60" s="346"/>
      <c r="R60" s="346"/>
      <c r="S60" s="346"/>
      <c r="T60" s="346"/>
      <c r="U60" s="346"/>
      <c r="V60"/>
      <c r="W60"/>
      <c r="X60"/>
    </row>
    <row r="61" spans="1:24" ht="15" customHeight="1" x14ac:dyDescent="0.25">
      <c r="B61" s="391">
        <v>2</v>
      </c>
      <c r="C61" s="394" t="s">
        <v>1557</v>
      </c>
      <c r="D61" s="407">
        <v>0</v>
      </c>
      <c r="E61" s="407">
        <v>0</v>
      </c>
      <c r="F61" s="407">
        <v>0</v>
      </c>
      <c r="G61" s="408">
        <v>0</v>
      </c>
      <c r="I61" s="391">
        <v>2</v>
      </c>
      <c r="J61" s="394" t="s">
        <v>1600</v>
      </c>
      <c r="K61" s="409">
        <v>78000000</v>
      </c>
      <c r="L61" s="422">
        <v>10000</v>
      </c>
      <c r="M61" s="409">
        <v>0</v>
      </c>
      <c r="N61" s="410">
        <v>0</v>
      </c>
      <c r="Q61" s="346"/>
      <c r="R61" s="346"/>
      <c r="S61" s="346"/>
      <c r="T61" s="346"/>
      <c r="U61" s="346"/>
      <c r="V61"/>
      <c r="W61"/>
      <c r="X61"/>
    </row>
    <row r="62" spans="1:24" ht="15" customHeight="1" x14ac:dyDescent="0.25">
      <c r="B62" s="391">
        <v>3</v>
      </c>
      <c r="C62" s="394"/>
      <c r="D62" s="407"/>
      <c r="E62" s="407"/>
      <c r="F62" s="407"/>
      <c r="G62" s="408"/>
      <c r="I62" s="391">
        <v>3</v>
      </c>
      <c r="J62" s="394" t="s">
        <v>1564</v>
      </c>
      <c r="K62" s="409">
        <v>26500000</v>
      </c>
      <c r="L62" s="422">
        <v>10000</v>
      </c>
      <c r="M62" s="409">
        <v>0</v>
      </c>
      <c r="N62" s="410">
        <v>0</v>
      </c>
      <c r="P62"/>
      <c r="Q62"/>
      <c r="R62"/>
      <c r="S62"/>
      <c r="T62"/>
      <c r="U62"/>
      <c r="V62"/>
      <c r="W62"/>
      <c r="X62"/>
    </row>
    <row r="63" spans="1:24" ht="15" customHeight="1" x14ac:dyDescent="0.25">
      <c r="B63" s="392">
        <v>4</v>
      </c>
      <c r="C63" s="394"/>
      <c r="D63" s="407"/>
      <c r="E63" s="407"/>
      <c r="F63" s="407"/>
      <c r="G63" s="408"/>
      <c r="I63" s="391">
        <v>4</v>
      </c>
      <c r="J63" s="394" t="s">
        <v>1563</v>
      </c>
      <c r="K63" s="409">
        <v>8009030</v>
      </c>
      <c r="L63" s="422">
        <v>10000</v>
      </c>
      <c r="M63" s="409">
        <v>0</v>
      </c>
      <c r="N63" s="410">
        <v>0</v>
      </c>
      <c r="P63"/>
      <c r="Q63"/>
      <c r="R63"/>
      <c r="S63"/>
      <c r="T63"/>
      <c r="U63"/>
      <c r="V63"/>
      <c r="W63"/>
      <c r="X63"/>
    </row>
    <row r="64" spans="1:24" ht="15" customHeight="1" x14ac:dyDescent="0.25">
      <c r="B64" s="392"/>
      <c r="C64" s="394"/>
      <c r="D64" s="407"/>
      <c r="E64" s="407"/>
      <c r="F64" s="407"/>
      <c r="G64" s="408"/>
      <c r="I64" s="391">
        <v>5</v>
      </c>
      <c r="J64" s="394"/>
      <c r="K64" s="409"/>
      <c r="L64" s="422"/>
      <c r="M64" s="409"/>
      <c r="N64" s="410"/>
      <c r="P64"/>
      <c r="Q64"/>
      <c r="R64"/>
      <c r="S64"/>
      <c r="T64"/>
      <c r="U64"/>
      <c r="V64"/>
      <c r="W64"/>
      <c r="X64"/>
    </row>
    <row r="65" spans="2:27" ht="15.75" customHeight="1" thickBot="1" x14ac:dyDescent="0.3">
      <c r="B65" s="393"/>
      <c r="C65" s="395"/>
      <c r="D65" s="398"/>
      <c r="E65" s="398"/>
      <c r="F65" s="398"/>
      <c r="G65" s="177"/>
      <c r="I65" s="391"/>
      <c r="J65" s="394"/>
      <c r="K65" s="409"/>
      <c r="L65" s="422"/>
      <c r="M65" s="409"/>
      <c r="N65" s="410"/>
      <c r="P65"/>
      <c r="Q65"/>
      <c r="R65"/>
      <c r="S65"/>
      <c r="T65"/>
      <c r="U65"/>
      <c r="V65"/>
      <c r="W65"/>
      <c r="X65"/>
    </row>
    <row r="66" spans="2:27" ht="15.75" thickBot="1" x14ac:dyDescent="0.3">
      <c r="I66" s="393"/>
      <c r="J66" s="395"/>
      <c r="K66" s="423"/>
      <c r="L66" s="424"/>
      <c r="M66" s="424"/>
      <c r="N66" s="425"/>
      <c r="P66"/>
      <c r="Q66"/>
      <c r="R66"/>
      <c r="S66"/>
      <c r="T66"/>
      <c r="U66"/>
      <c r="V66"/>
      <c r="W66"/>
      <c r="X66"/>
    </row>
    <row r="67" spans="2:27" x14ac:dyDescent="0.25">
      <c r="O67"/>
      <c r="V67"/>
      <c r="W67"/>
      <c r="X67"/>
    </row>
    <row r="68" spans="2:27" x14ac:dyDescent="0.25">
      <c r="J68" s="1" t="s">
        <v>1602</v>
      </c>
      <c r="V68"/>
      <c r="W68"/>
      <c r="X68"/>
      <c r="Y68"/>
      <c r="Z68"/>
      <c r="AA68"/>
    </row>
  </sheetData>
  <sheetProtection algorithmName="SHA-512" hashValue="TFMqd/xgaow+9ksjhaxmv/sQDYS6X7UzZt9O/4UtQiiM31YO8TDbzbdY1REZNebhzXU3r3aBiyxubNKnX1JtaQ==" saltValue="iuSm2zciX3VNTfN+35r7Bg==" spinCount="100000" sheet="1" objects="1" scenarios="1"/>
  <sortState xmlns:xlrd2="http://schemas.microsoft.com/office/spreadsheetml/2017/richdata2" ref="J60:N66">
    <sortCondition descending="1" ref="K60:K66"/>
  </sortState>
  <mergeCells count="1">
    <mergeCell ref="C2:E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theme="0" tint="-0.34998626667073579"/>
  </sheetPr>
  <dimension ref="B2:HG74"/>
  <sheetViews>
    <sheetView zoomScaleNormal="100" workbookViewId="0">
      <selection activeCell="B10" sqref="B10"/>
    </sheetView>
  </sheetViews>
  <sheetFormatPr defaultColWidth="9.140625" defaultRowHeight="15" x14ac:dyDescent="0.25"/>
  <cols>
    <col min="1" max="1" width="2.42578125" style="4" customWidth="1"/>
    <col min="2" max="2" width="5.85546875" style="4" bestFit="1" customWidth="1"/>
    <col min="3" max="3" width="32.85546875" style="4" bestFit="1" customWidth="1"/>
    <col min="4" max="4" width="11.28515625" style="4" bestFit="1" customWidth="1"/>
    <col min="5" max="5" width="8.7109375" style="4" bestFit="1" customWidth="1"/>
    <col min="6" max="6" width="11.28515625" style="4" bestFit="1" customWidth="1"/>
    <col min="7" max="7" width="8.7109375" style="4" bestFit="1" customWidth="1"/>
    <col min="8" max="8" width="13.5703125" style="4" bestFit="1" customWidth="1"/>
    <col min="9" max="9" width="5.85546875" style="4" customWidth="1"/>
    <col min="10" max="10" width="5.7109375" style="4" customWidth="1"/>
    <col min="11" max="11" width="37.7109375" style="149" bestFit="1" customWidth="1"/>
    <col min="12" max="12" width="14.28515625" style="4" bestFit="1" customWidth="1"/>
    <col min="13" max="13" width="9" style="4" bestFit="1" customWidth="1"/>
    <col min="14" max="14" width="12.5703125" style="4" bestFit="1" customWidth="1"/>
    <col min="15" max="15" width="9" style="4" bestFit="1" customWidth="1"/>
    <col min="16" max="16" width="13.5703125" style="4" bestFit="1" customWidth="1"/>
    <col min="17" max="17" width="5.7109375" style="4" customWidth="1"/>
    <col min="18" max="18" width="6.85546875" style="4" bestFit="1" customWidth="1"/>
    <col min="19" max="19" width="45" style="4" bestFit="1" customWidth="1"/>
    <col min="20" max="20" width="12.5703125" style="4" bestFit="1" customWidth="1"/>
    <col min="21" max="22" width="11.5703125" style="4" bestFit="1" customWidth="1"/>
    <col min="23" max="23" width="10.5703125" style="4" bestFit="1" customWidth="1"/>
    <col min="24" max="24" width="13.5703125" style="4" bestFit="1" customWidth="1"/>
    <col min="25" max="25" width="5.7109375" style="4" customWidth="1"/>
    <col min="26" max="26" width="4.85546875" style="4" bestFit="1" customWidth="1"/>
    <col min="27" max="27" width="31.140625" style="4" bestFit="1" customWidth="1"/>
    <col min="28" max="28" width="12.5703125" style="4" bestFit="1" customWidth="1"/>
    <col min="29" max="29" width="8" style="4" bestFit="1" customWidth="1"/>
    <col min="30" max="30" width="11.5703125" style="4" bestFit="1" customWidth="1"/>
    <col min="31" max="31" width="9" style="4" bestFit="1" customWidth="1"/>
    <col min="32" max="32" width="13.5703125" style="4" bestFit="1" customWidth="1"/>
    <col min="33" max="34" width="5.7109375" style="4" customWidth="1"/>
    <col min="35" max="35" width="34.42578125" style="4" bestFit="1" customWidth="1"/>
    <col min="36" max="36" width="12.5703125" style="4" bestFit="1" customWidth="1"/>
    <col min="37" max="37" width="7.5703125" style="4" bestFit="1" customWidth="1"/>
    <col min="38" max="38" width="10.140625" style="4" bestFit="1" customWidth="1"/>
    <col min="39" max="39" width="6.5703125" style="4" bestFit="1" customWidth="1"/>
    <col min="40" max="40" width="13.5703125" style="4" bestFit="1" customWidth="1"/>
    <col min="41" max="41" width="5.7109375" style="4" customWidth="1"/>
    <col min="42" max="42" width="5" style="4" bestFit="1" customWidth="1"/>
    <col min="43" max="43" width="26.85546875" style="4" bestFit="1" customWidth="1"/>
    <col min="44" max="44" width="12.5703125" style="4" bestFit="1" customWidth="1"/>
    <col min="45" max="45" width="7.5703125" style="4" bestFit="1" customWidth="1"/>
    <col min="46" max="46" width="9.140625" style="4" bestFit="1" customWidth="1"/>
    <col min="47" max="47" width="6.5703125" style="4" bestFit="1" customWidth="1"/>
    <col min="48" max="48" width="13.5703125" style="4" bestFit="1" customWidth="1"/>
    <col min="49" max="49" width="5.7109375" style="4" customWidth="1"/>
    <col min="50" max="50" width="10.28515625" style="4" bestFit="1" customWidth="1"/>
    <col min="51" max="51" width="34.42578125" style="4" bestFit="1" customWidth="1"/>
    <col min="52" max="52" width="14.5703125" style="4" customWidth="1"/>
    <col min="53" max="53" width="10.28515625" style="4" customWidth="1"/>
    <col min="54" max="54" width="13.42578125" style="4" customWidth="1"/>
    <col min="55" max="55" width="10.140625" style="4" customWidth="1"/>
    <col min="56" max="56" width="5.7109375" style="4" customWidth="1"/>
    <col min="57" max="57" width="10.42578125" style="4" bestFit="1" customWidth="1"/>
    <col min="58" max="58" width="38.5703125" style="4" bestFit="1" customWidth="1"/>
    <col min="59" max="59" width="16.85546875" style="4" bestFit="1" customWidth="1"/>
    <col min="60" max="60" width="10.85546875" style="4" bestFit="1" customWidth="1"/>
    <col min="61" max="61" width="15" style="4" bestFit="1" customWidth="1"/>
    <col min="62" max="62" width="10.140625" style="4" customWidth="1"/>
    <col min="63" max="63" width="13.5703125" style="4" bestFit="1" customWidth="1"/>
    <col min="64" max="64" width="5.7109375" style="4" customWidth="1"/>
    <col min="65" max="65" width="5.7109375" style="4" hidden="1" customWidth="1"/>
    <col min="66" max="66" width="27" style="4" hidden="1" customWidth="1"/>
    <col min="67" max="67" width="12" style="4" hidden="1" customWidth="1"/>
    <col min="68" max="68" width="9.28515625" style="4" hidden="1" customWidth="1"/>
    <col min="69" max="69" width="13.140625" style="4" hidden="1" customWidth="1"/>
    <col min="70" max="70" width="28.42578125" style="4" hidden="1" customWidth="1"/>
    <col min="71" max="71" width="19.5703125" style="4" hidden="1" customWidth="1"/>
    <col min="72" max="72" width="19.85546875" style="4" hidden="1" customWidth="1"/>
    <col min="73" max="76" width="16.140625" style="4" hidden="1" customWidth="1"/>
    <col min="77" max="77" width="18.85546875" style="4" hidden="1" customWidth="1"/>
    <col min="78" max="78" width="31.28515625" style="4" hidden="1" customWidth="1"/>
    <col min="79" max="79" width="27.5703125" style="4" hidden="1" customWidth="1"/>
    <col min="80" max="80" width="31.28515625" style="4" hidden="1" customWidth="1"/>
    <col min="81" max="81" width="27.5703125" style="4" hidden="1" customWidth="1"/>
    <col min="82" max="82" width="31.28515625" style="4" hidden="1" customWidth="1"/>
    <col min="83" max="83" width="27.5703125" style="4" hidden="1" customWidth="1"/>
    <col min="84" max="84" width="31.28515625" style="4" hidden="1" customWidth="1"/>
    <col min="85" max="85" width="27.5703125" style="4" hidden="1" customWidth="1"/>
    <col min="86" max="86" width="31.28515625" style="4" hidden="1" customWidth="1"/>
    <col min="87" max="87" width="27.5703125" style="4" hidden="1" customWidth="1"/>
    <col min="88" max="88" width="31.28515625" style="4" hidden="1" customWidth="1"/>
    <col min="89" max="89" width="27.5703125" style="4" hidden="1" customWidth="1"/>
    <col min="90" max="90" width="15.140625" style="4" hidden="1" customWidth="1"/>
    <col min="91" max="91" width="31.28515625" style="4" hidden="1" customWidth="1"/>
    <col min="92" max="92" width="27.5703125" style="4" hidden="1" customWidth="1"/>
    <col min="93" max="93" width="31.28515625" style="4" hidden="1" customWidth="1"/>
    <col min="94" max="94" width="27.5703125" style="4" hidden="1" customWidth="1"/>
    <col min="95" max="95" width="18.85546875" style="4" hidden="1" customWidth="1"/>
    <col min="96" max="97" width="15.42578125" style="4" hidden="1" customWidth="1"/>
    <col min="98" max="99" width="13.85546875" style="4" hidden="1" customWidth="1"/>
    <col min="100" max="100" width="14.42578125" style="4" hidden="1" customWidth="1"/>
    <col min="101" max="101" width="15.140625" style="4" hidden="1" customWidth="1"/>
    <col min="102" max="102" width="16.85546875" style="4" hidden="1" customWidth="1"/>
    <col min="103" max="103" width="18.5703125" style="4" hidden="1" customWidth="1"/>
    <col min="104" max="104" width="16.85546875" style="4" hidden="1" customWidth="1"/>
    <col min="105" max="105" width="18.5703125" style="4" hidden="1" customWidth="1"/>
    <col min="106" max="106" width="15.85546875" style="4" hidden="1" customWidth="1"/>
    <col min="107" max="107" width="17.5703125" style="4" hidden="1" customWidth="1"/>
    <col min="108" max="108" width="15.85546875" style="4" hidden="1" customWidth="1"/>
    <col min="109" max="109" width="17.5703125" style="4" hidden="1" customWidth="1"/>
    <col min="110" max="110" width="15.85546875" style="4" hidden="1" customWidth="1"/>
    <col min="111" max="111" width="17.5703125" style="4" hidden="1" customWidth="1"/>
    <col min="112" max="112" width="15.85546875" style="4" hidden="1" customWidth="1"/>
    <col min="113" max="113" width="17.5703125" style="4" hidden="1" customWidth="1"/>
    <col min="114" max="114" width="18.85546875" style="4" hidden="1" customWidth="1"/>
    <col min="115" max="116" width="21.140625" style="4" hidden="1" customWidth="1"/>
    <col min="117" max="117" width="22.28515625" style="4" hidden="1" customWidth="1"/>
    <col min="118" max="120" width="17.5703125" style="4" hidden="1" customWidth="1"/>
    <col min="121" max="122" width="18.5703125" style="4" hidden="1" customWidth="1"/>
    <col min="123" max="123" width="15.140625" style="4" hidden="1" customWidth="1"/>
    <col min="124" max="124" width="29" style="4" hidden="1" customWidth="1"/>
    <col min="125" max="125" width="21.140625" style="4" hidden="1" customWidth="1"/>
    <col min="126" max="127" width="22.28515625" style="4" hidden="1" customWidth="1"/>
    <col min="128" max="129" width="17.5703125" style="4" hidden="1" customWidth="1"/>
    <col min="130" max="130" width="18.5703125" style="4" hidden="1" customWidth="1"/>
    <col min="131" max="131" width="17.5703125" style="4" hidden="1" customWidth="1"/>
    <col min="132" max="132" width="18.5703125" style="4" hidden="1" customWidth="1"/>
    <col min="133" max="133" width="17.42578125" style="4" hidden="1" customWidth="1"/>
    <col min="134" max="134" width="18.5703125" style="4" hidden="1" customWidth="1"/>
    <col min="135" max="135" width="16.85546875" style="4" hidden="1" customWidth="1"/>
    <col min="136" max="136" width="18.5703125" style="4" hidden="1" customWidth="1"/>
    <col min="137" max="137" width="15.85546875" style="4" hidden="1" customWidth="1"/>
    <col min="138" max="138" width="17.5703125" style="4" hidden="1" customWidth="1"/>
    <col min="139" max="139" width="15.85546875" style="4" hidden="1" customWidth="1"/>
    <col min="140" max="140" width="17.5703125" style="4" hidden="1" customWidth="1"/>
    <col min="141" max="142" width="21.140625" style="4" hidden="1" customWidth="1"/>
    <col min="143" max="143" width="22.28515625" style="4" hidden="1" customWidth="1"/>
    <col min="144" max="145" width="17.5703125" style="4" hidden="1" customWidth="1"/>
    <col min="146" max="147" width="18.5703125" style="4" hidden="1" customWidth="1"/>
    <col min="148" max="150" width="17.5703125" style="4" hidden="1" customWidth="1"/>
    <col min="151" max="151" width="18.5703125" style="4" hidden="1" customWidth="1"/>
    <col min="152" max="152" width="17.5703125" style="4" hidden="1" customWidth="1"/>
    <col min="153" max="153" width="18.5703125" style="4" hidden="1" customWidth="1"/>
    <col min="154" max="155" width="17.5703125" style="4" hidden="1" customWidth="1"/>
    <col min="156" max="156" width="18.5703125" style="4" hidden="1" customWidth="1"/>
    <col min="157" max="157" width="17.5703125" style="4" hidden="1" customWidth="1"/>
    <col min="158" max="158" width="18.5703125" style="4" hidden="1" customWidth="1"/>
    <col min="159" max="160" width="17.5703125" style="4" hidden="1" customWidth="1"/>
    <col min="161" max="161" width="18.5703125" style="4" hidden="1" customWidth="1"/>
    <col min="162" max="162" width="17.5703125" style="4" hidden="1" customWidth="1"/>
    <col min="163" max="163" width="18.5703125" style="4" hidden="1" customWidth="1"/>
    <col min="164" max="166" width="17.5703125" style="4" hidden="1" customWidth="1"/>
    <col min="167" max="167" width="18.5703125" style="4" hidden="1" customWidth="1"/>
    <col min="168" max="168" width="17.5703125" style="4" hidden="1" customWidth="1"/>
    <col min="169" max="169" width="18.5703125" style="4" hidden="1" customWidth="1"/>
    <col min="170" max="172" width="17.5703125" style="4" hidden="1" customWidth="1"/>
    <col min="173" max="173" width="18.5703125" style="4" hidden="1" customWidth="1"/>
    <col min="174" max="174" width="17.5703125" style="4" hidden="1" customWidth="1"/>
    <col min="175" max="175" width="18.5703125" style="4" hidden="1" customWidth="1"/>
    <col min="176" max="176" width="16.85546875" style="4" hidden="1" customWidth="1"/>
    <col min="177" max="177" width="18.5703125" style="4" hidden="1" customWidth="1"/>
    <col min="178" max="178" width="16.85546875" style="4" hidden="1" customWidth="1"/>
    <col min="179" max="179" width="18.5703125" style="4" hidden="1" customWidth="1"/>
    <col min="180" max="181" width="17.5703125" style="4" hidden="1" customWidth="1"/>
    <col min="182" max="182" width="18.5703125" style="4" hidden="1" customWidth="1"/>
    <col min="183" max="184" width="19.5703125" style="4" hidden="1" customWidth="1"/>
    <col min="185" max="186" width="19.85546875" style="4" hidden="1" customWidth="1"/>
    <col min="187" max="187" width="16.42578125" style="4" hidden="1" customWidth="1"/>
    <col min="188" max="188" width="34" style="4" hidden="1" customWidth="1"/>
    <col min="189" max="190" width="18.42578125" style="4" hidden="1" customWidth="1"/>
    <col min="191" max="191" width="25.7109375" style="4" hidden="1" customWidth="1"/>
    <col min="192" max="195" width="22" style="4" hidden="1" customWidth="1"/>
    <col min="196" max="196" width="24.5703125" style="4" hidden="1" customWidth="1"/>
    <col min="197" max="198" width="22.140625" style="4" hidden="1" customWidth="1"/>
    <col min="199" max="201" width="21" style="4" hidden="1" customWidth="1"/>
    <col min="202" max="202" width="26.42578125" style="4" hidden="1" customWidth="1"/>
    <col min="203" max="203" width="24.140625" style="4" hidden="1" customWidth="1"/>
    <col min="204" max="207" width="20.42578125" style="4" hidden="1" customWidth="1"/>
    <col min="208" max="208" width="23.140625" style="4" hidden="1" customWidth="1"/>
    <col min="209" max="210" width="20.5703125" style="4" hidden="1" customWidth="1"/>
    <col min="211" max="211" width="19" style="4" hidden="1" customWidth="1"/>
    <col min="212" max="213" width="19.5703125" style="4" hidden="1" customWidth="1"/>
    <col min="214" max="215" width="11.28515625" style="4" hidden="1" customWidth="1"/>
    <col min="216" max="16384" width="9.140625" style="4"/>
  </cols>
  <sheetData>
    <row r="2" spans="2:63" ht="15.75" thickBot="1" x14ac:dyDescent="0.3">
      <c r="B2" s="186" t="s">
        <v>18</v>
      </c>
      <c r="C2" s="186" t="s">
        <v>183</v>
      </c>
      <c r="D2" s="186" t="s">
        <v>184</v>
      </c>
      <c r="E2" s="186" t="s">
        <v>185</v>
      </c>
      <c r="F2" s="186" t="s">
        <v>186</v>
      </c>
      <c r="G2" s="186" t="s">
        <v>655</v>
      </c>
      <c r="H2" s="186" t="s">
        <v>656</v>
      </c>
      <c r="J2" s="186" t="s">
        <v>20</v>
      </c>
      <c r="K2" s="186" t="s">
        <v>37</v>
      </c>
      <c r="L2" s="186" t="s">
        <v>19</v>
      </c>
      <c r="M2" s="186" t="s">
        <v>71</v>
      </c>
      <c r="N2" s="186" t="s">
        <v>175</v>
      </c>
      <c r="O2" s="186" t="s">
        <v>176</v>
      </c>
      <c r="P2" s="186" t="s">
        <v>656</v>
      </c>
      <c r="R2" s="186" t="s">
        <v>1416</v>
      </c>
      <c r="S2" s="186" t="s">
        <v>1403</v>
      </c>
      <c r="T2" s="186" t="s">
        <v>1415</v>
      </c>
      <c r="U2" s="186" t="s">
        <v>71</v>
      </c>
      <c r="V2" s="186" t="s">
        <v>175</v>
      </c>
      <c r="W2" s="186" t="s">
        <v>176</v>
      </c>
      <c r="X2" s="186" t="s">
        <v>656</v>
      </c>
      <c r="Y2" s="186"/>
      <c r="Z2" s="186" t="s">
        <v>22</v>
      </c>
      <c r="AA2" s="186" t="s">
        <v>187</v>
      </c>
      <c r="AB2" s="186" t="s">
        <v>21</v>
      </c>
      <c r="AC2" s="186" t="s">
        <v>71</v>
      </c>
      <c r="AD2" s="186" t="s">
        <v>175</v>
      </c>
      <c r="AE2" s="186" t="s">
        <v>176</v>
      </c>
      <c r="AF2" s="186" t="s">
        <v>656</v>
      </c>
      <c r="AH2" s="187" t="s">
        <v>1292</v>
      </c>
      <c r="AI2" s="186" t="s">
        <v>1291</v>
      </c>
      <c r="AJ2" s="186" t="s">
        <v>1293</v>
      </c>
      <c r="AK2" s="186" t="s">
        <v>71</v>
      </c>
      <c r="AL2" s="186" t="s">
        <v>175</v>
      </c>
      <c r="AM2" s="186" t="s">
        <v>176</v>
      </c>
      <c r="AN2" s="186" t="s">
        <v>656</v>
      </c>
      <c r="AP2" s="186" t="s">
        <v>188</v>
      </c>
      <c r="AQ2" s="186" t="s">
        <v>443</v>
      </c>
      <c r="AR2" s="186" t="s">
        <v>23</v>
      </c>
      <c r="AS2" s="186" t="s">
        <v>71</v>
      </c>
      <c r="AT2" s="186" t="s">
        <v>175</v>
      </c>
      <c r="AU2" s="186" t="s">
        <v>176</v>
      </c>
      <c r="AV2" s="186" t="s">
        <v>656</v>
      </c>
      <c r="AX2" s="186" t="s">
        <v>189</v>
      </c>
      <c r="AY2" s="186" t="s">
        <v>1294</v>
      </c>
      <c r="AZ2" s="186" t="s">
        <v>190</v>
      </c>
      <c r="BA2" s="186" t="s">
        <v>71</v>
      </c>
      <c r="BB2" s="186" t="s">
        <v>175</v>
      </c>
      <c r="BC2" s="186" t="s">
        <v>176</v>
      </c>
      <c r="BE2" s="186" t="s">
        <v>25</v>
      </c>
      <c r="BF2" s="186" t="s">
        <v>39</v>
      </c>
      <c r="BG2" s="186" t="s">
        <v>24</v>
      </c>
      <c r="BH2" s="186" t="s">
        <v>71</v>
      </c>
      <c r="BI2" s="186" t="s">
        <v>175</v>
      </c>
      <c r="BJ2" s="186" t="s">
        <v>176</v>
      </c>
      <c r="BK2" s="186" t="s">
        <v>656</v>
      </c>
    </row>
    <row r="3" spans="2:63" x14ac:dyDescent="0.25">
      <c r="B3" s="320">
        <v>1</v>
      </c>
      <c r="C3" s="379" t="s">
        <v>1155</v>
      </c>
      <c r="D3" s="321">
        <v>533936000.00000006</v>
      </c>
      <c r="E3" s="347">
        <v>117703.28</v>
      </c>
      <c r="F3" s="347">
        <v>85430000</v>
      </c>
      <c r="G3" s="348">
        <v>47081.560000000005</v>
      </c>
      <c r="H3" s="349">
        <v>11.94</v>
      </c>
      <c r="J3" s="322">
        <v>1</v>
      </c>
      <c r="K3" s="379" t="s">
        <v>1195</v>
      </c>
      <c r="L3" s="356">
        <v>2838828125</v>
      </c>
      <c r="M3" s="181">
        <v>658787.59114583337</v>
      </c>
      <c r="N3" s="181">
        <v>138203125</v>
      </c>
      <c r="O3" s="181">
        <v>192431.171875</v>
      </c>
      <c r="P3" s="357">
        <v>22.96875</v>
      </c>
      <c r="R3" s="189">
        <v>1</v>
      </c>
      <c r="S3" s="385" t="s">
        <v>1405</v>
      </c>
      <c r="T3" s="190">
        <v>278636000</v>
      </c>
      <c r="U3" s="190">
        <v>93962.928</v>
      </c>
      <c r="V3" s="190">
        <v>12538000</v>
      </c>
      <c r="W3" s="317">
        <v>11956.8524</v>
      </c>
      <c r="X3" s="791">
        <v>8.34</v>
      </c>
      <c r="Y3" s="723"/>
      <c r="Z3" s="189">
        <v>1</v>
      </c>
      <c r="AA3" s="385" t="s">
        <v>1178</v>
      </c>
      <c r="AB3" s="190">
        <v>257839000</v>
      </c>
      <c r="AC3" s="190">
        <v>84584.808000000005</v>
      </c>
      <c r="AD3" s="190">
        <v>10991000</v>
      </c>
      <c r="AE3" s="317">
        <v>9443.3724000000002</v>
      </c>
      <c r="AF3" s="791">
        <v>6.4</v>
      </c>
      <c r="AH3" s="191">
        <v>1</v>
      </c>
      <c r="AI3" s="381" t="s">
        <v>1260</v>
      </c>
      <c r="AJ3" s="190">
        <v>301542000</v>
      </c>
      <c r="AK3" s="324">
        <v>119482.62480000001</v>
      </c>
      <c r="AL3" s="324">
        <v>5597000</v>
      </c>
      <c r="AM3" s="325">
        <v>16306.0128</v>
      </c>
      <c r="AN3" s="365">
        <v>14</v>
      </c>
      <c r="AP3" s="191">
        <v>1</v>
      </c>
      <c r="AQ3" s="381" t="s">
        <v>1260</v>
      </c>
      <c r="AR3" s="190">
        <v>301542000</v>
      </c>
      <c r="AS3" s="324">
        <v>119482.62480000001</v>
      </c>
      <c r="AT3" s="324">
        <v>5597000</v>
      </c>
      <c r="AU3" s="325">
        <v>16306.0128</v>
      </c>
      <c r="AV3" s="365">
        <v>14</v>
      </c>
      <c r="AX3" s="320">
        <v>1</v>
      </c>
      <c r="AY3" s="379" t="s">
        <v>1745</v>
      </c>
      <c r="AZ3" s="321">
        <v>33495600</v>
      </c>
      <c r="BA3" s="347">
        <v>31695.84</v>
      </c>
      <c r="BB3" s="347">
        <v>27999599.999999996</v>
      </c>
      <c r="BC3" s="350">
        <v>28980.828000000001</v>
      </c>
      <c r="BE3" s="368">
        <v>1</v>
      </c>
      <c r="BF3" s="383" t="s">
        <v>1295</v>
      </c>
      <c r="BG3" s="369">
        <v>6650000000</v>
      </c>
      <c r="BH3" s="190">
        <v>1540000</v>
      </c>
      <c r="BI3" s="190">
        <v>458226562.5</v>
      </c>
      <c r="BJ3" s="190">
        <v>404250</v>
      </c>
      <c r="BK3" s="365">
        <v>30.599999999999998</v>
      </c>
    </row>
    <row r="4" spans="2:63" x14ac:dyDescent="0.25">
      <c r="B4" s="326">
        <v>2</v>
      </c>
      <c r="C4" s="380" t="s">
        <v>1156</v>
      </c>
      <c r="D4" s="327">
        <v>355957000</v>
      </c>
      <c r="E4" s="351">
        <v>78468.44</v>
      </c>
      <c r="F4" s="351">
        <v>25313000</v>
      </c>
      <c r="G4" s="352">
        <v>20925</v>
      </c>
      <c r="H4" s="353">
        <v>7.96</v>
      </c>
      <c r="J4" s="328">
        <v>2</v>
      </c>
      <c r="K4" s="380" t="s">
        <v>1196</v>
      </c>
      <c r="L4" s="188">
        <v>2182513732.9101563</v>
      </c>
      <c r="M4" s="323">
        <v>506481.16104125977</v>
      </c>
      <c r="N4" s="323">
        <v>111449279.78515625</v>
      </c>
      <c r="O4" s="323">
        <v>155179.67132568359</v>
      </c>
      <c r="P4" s="358">
        <v>17.386067708333332</v>
      </c>
      <c r="R4" s="192">
        <v>2</v>
      </c>
      <c r="S4" s="386" t="s">
        <v>1406</v>
      </c>
      <c r="T4" s="193">
        <v>205440000</v>
      </c>
      <c r="U4" s="193">
        <v>70238.627399999998</v>
      </c>
      <c r="V4" s="193">
        <v>9812000</v>
      </c>
      <c r="W4" s="318">
        <v>9581.5256000000008</v>
      </c>
      <c r="X4" s="792">
        <v>6.48</v>
      </c>
      <c r="Y4" s="723"/>
      <c r="Z4" s="192">
        <v>2</v>
      </c>
      <c r="AA4" s="386" t="s">
        <v>1176</v>
      </c>
      <c r="AB4" s="193">
        <v>184643000</v>
      </c>
      <c r="AC4" s="193">
        <v>60860.507400000002</v>
      </c>
      <c r="AD4" s="193">
        <v>8264999.9999999991</v>
      </c>
      <c r="AE4" s="318">
        <v>7068.0456000000004</v>
      </c>
      <c r="AF4" s="792">
        <v>4.54</v>
      </c>
      <c r="AH4" s="194">
        <v>2</v>
      </c>
      <c r="AI4" s="382" t="s">
        <v>1261</v>
      </c>
      <c r="AJ4" s="193">
        <v>251284999.99999997</v>
      </c>
      <c r="AK4" s="329">
        <v>99574.12079999999</v>
      </c>
      <c r="AL4" s="329">
        <v>3248000</v>
      </c>
      <c r="AM4" s="330">
        <v>11313.0864</v>
      </c>
      <c r="AN4" s="366">
        <v>11.7</v>
      </c>
      <c r="AP4" s="194">
        <v>2</v>
      </c>
      <c r="AQ4" s="382" t="s">
        <v>1261</v>
      </c>
      <c r="AR4" s="193">
        <v>251284999.99999997</v>
      </c>
      <c r="AS4" s="329">
        <v>99574.12079999999</v>
      </c>
      <c r="AT4" s="329">
        <v>3248000</v>
      </c>
      <c r="AU4" s="330">
        <v>11313.0864</v>
      </c>
      <c r="AV4" s="366">
        <v>11.7</v>
      </c>
      <c r="AX4" s="326">
        <v>2</v>
      </c>
      <c r="AY4" s="380" t="s">
        <v>1746</v>
      </c>
      <c r="AZ4" s="327">
        <v>29308800</v>
      </c>
      <c r="BA4" s="351">
        <v>27733.859999999997</v>
      </c>
      <c r="BB4" s="351">
        <v>18758400</v>
      </c>
      <c r="BC4" s="354">
        <v>22187.088</v>
      </c>
      <c r="BE4" s="370">
        <v>2</v>
      </c>
      <c r="BF4" s="384" t="s">
        <v>1296</v>
      </c>
      <c r="BG4" s="367">
        <v>4847850000</v>
      </c>
      <c r="BH4" s="193">
        <v>1247400</v>
      </c>
      <c r="BI4" s="193">
        <v>412403906.25</v>
      </c>
      <c r="BJ4" s="193">
        <v>363825</v>
      </c>
      <c r="BK4" s="366">
        <v>27.599999999999998</v>
      </c>
    </row>
    <row r="5" spans="2:63" x14ac:dyDescent="0.25">
      <c r="B5" s="326">
        <v>3</v>
      </c>
      <c r="C5" s="380" t="s">
        <v>1157</v>
      </c>
      <c r="D5" s="327">
        <v>296795000</v>
      </c>
      <c r="E5" s="351">
        <v>79573.279999999999</v>
      </c>
      <c r="F5" s="351">
        <v>70242000</v>
      </c>
      <c r="G5" s="352">
        <v>38711.560000000005</v>
      </c>
      <c r="H5" s="353">
        <v>9.84</v>
      </c>
      <c r="J5" s="328">
        <v>3</v>
      </c>
      <c r="K5" s="380" t="s">
        <v>1197</v>
      </c>
      <c r="L5" s="188">
        <v>1725348958.333333</v>
      </c>
      <c r="M5" s="323">
        <v>480468.03854166658</v>
      </c>
      <c r="N5" s="323">
        <v>115848958.33333334</v>
      </c>
      <c r="O5" s="323">
        <v>161305.69270833334</v>
      </c>
      <c r="P5" s="358">
        <v>19.565972222222221</v>
      </c>
      <c r="R5" s="192">
        <v>3</v>
      </c>
      <c r="S5" s="386" t="s">
        <v>1407</v>
      </c>
      <c r="T5" s="193">
        <v>169538000</v>
      </c>
      <c r="U5" s="193">
        <v>58506.830400000006</v>
      </c>
      <c r="V5" s="193">
        <v>8362000</v>
      </c>
      <c r="W5" s="318">
        <v>8335.9274000000005</v>
      </c>
      <c r="X5" s="792">
        <v>5.56</v>
      </c>
      <c r="Y5" s="723"/>
      <c r="Z5" s="192">
        <v>3</v>
      </c>
      <c r="AA5" s="386" t="s">
        <v>1179</v>
      </c>
      <c r="AB5" s="193">
        <v>172173000</v>
      </c>
      <c r="AC5" s="193">
        <v>56689.201800000003</v>
      </c>
      <c r="AD5" s="193">
        <v>5568000</v>
      </c>
      <c r="AE5" s="318">
        <v>5243.0994000000001</v>
      </c>
      <c r="AF5" s="792">
        <v>4.24</v>
      </c>
      <c r="AH5" s="194">
        <v>3</v>
      </c>
      <c r="AI5" s="382" t="s">
        <v>1262</v>
      </c>
      <c r="AJ5" s="193">
        <v>226577000</v>
      </c>
      <c r="AK5" s="329">
        <v>98752.5</v>
      </c>
      <c r="AL5" s="329">
        <v>5104000</v>
      </c>
      <c r="AM5" s="330">
        <v>14820.775199999998</v>
      </c>
      <c r="AN5" s="366">
        <v>12.8</v>
      </c>
      <c r="AP5" s="194">
        <v>3</v>
      </c>
      <c r="AQ5" s="382" t="s">
        <v>1262</v>
      </c>
      <c r="AR5" s="193">
        <v>226577000</v>
      </c>
      <c r="AS5" s="329">
        <v>98752.5</v>
      </c>
      <c r="AT5" s="329">
        <v>5104000</v>
      </c>
      <c r="AU5" s="330">
        <v>14820.775199999998</v>
      </c>
      <c r="AV5" s="366">
        <v>12.8</v>
      </c>
      <c r="AX5" s="326">
        <v>3</v>
      </c>
      <c r="AY5" s="380" t="s">
        <v>1747</v>
      </c>
      <c r="AZ5" s="327">
        <v>25122000</v>
      </c>
      <c r="BA5" s="351">
        <v>23771.88</v>
      </c>
      <c r="BB5" s="351">
        <v>11812800</v>
      </c>
      <c r="BC5" s="354">
        <v>16302.492</v>
      </c>
      <c r="BE5" s="370">
        <v>3</v>
      </c>
      <c r="BF5" s="384" t="s">
        <v>1297</v>
      </c>
      <c r="BG5" s="367">
        <v>4433333333.333334</v>
      </c>
      <c r="BH5" s="193">
        <v>1026666.6666666667</v>
      </c>
      <c r="BI5" s="193">
        <v>135770833.33333331</v>
      </c>
      <c r="BJ5" s="193">
        <v>179666.66666666669</v>
      </c>
      <c r="BK5" s="366">
        <v>20.399999999999999</v>
      </c>
    </row>
    <row r="6" spans="2:63" x14ac:dyDescent="0.25">
      <c r="B6" s="326">
        <v>4</v>
      </c>
      <c r="C6" s="380" t="s">
        <v>1158</v>
      </c>
      <c r="D6" s="327">
        <v>197863000</v>
      </c>
      <c r="E6" s="351">
        <v>53048.439999999995</v>
      </c>
      <c r="F6" s="351">
        <v>20813000</v>
      </c>
      <c r="G6" s="352">
        <v>17205</v>
      </c>
      <c r="H6" s="353">
        <v>6.56</v>
      </c>
      <c r="J6" s="328">
        <v>4</v>
      </c>
      <c r="K6" s="380" t="s">
        <v>1198</v>
      </c>
      <c r="L6" s="188">
        <v>1331686584.4726558</v>
      </c>
      <c r="M6" s="323">
        <v>370842.56961669913</v>
      </c>
      <c r="N6" s="323">
        <v>93522521.972656265</v>
      </c>
      <c r="O6" s="323">
        <v>130218.82464599611</v>
      </c>
      <c r="P6" s="358">
        <v>14.833984375</v>
      </c>
      <c r="R6" s="192">
        <v>4</v>
      </c>
      <c r="S6" s="386" t="s">
        <v>1408</v>
      </c>
      <c r="T6" s="193">
        <v>140393000</v>
      </c>
      <c r="U6" s="193">
        <v>48947.588400000008</v>
      </c>
      <c r="V6" s="193">
        <v>7086000</v>
      </c>
      <c r="W6" s="318">
        <v>7264.133600000001</v>
      </c>
      <c r="X6" s="792">
        <v>4.84</v>
      </c>
      <c r="Y6" s="723"/>
      <c r="Z6" s="192">
        <v>4</v>
      </c>
      <c r="AA6" s="386" t="s">
        <v>1180</v>
      </c>
      <c r="AB6" s="193">
        <v>148741000</v>
      </c>
      <c r="AC6" s="193">
        <v>49128.710400000004</v>
      </c>
      <c r="AD6" s="193">
        <v>6815000</v>
      </c>
      <c r="AE6" s="318">
        <v>5822.4474000000009</v>
      </c>
      <c r="AF6" s="792">
        <v>3.62</v>
      </c>
      <c r="AH6" s="194">
        <v>4</v>
      </c>
      <c r="AI6" s="382" t="s">
        <v>1263</v>
      </c>
      <c r="AJ6" s="193">
        <v>201028000</v>
      </c>
      <c r="AK6" s="329">
        <v>79665.616799999989</v>
      </c>
      <c r="AL6" s="329">
        <v>1653000</v>
      </c>
      <c r="AM6" s="330">
        <v>7236.5832</v>
      </c>
      <c r="AN6" s="366">
        <v>9.4</v>
      </c>
      <c r="AP6" s="194">
        <v>4</v>
      </c>
      <c r="AQ6" s="382" t="s">
        <v>1263</v>
      </c>
      <c r="AR6" s="193">
        <v>201028000</v>
      </c>
      <c r="AS6" s="329">
        <v>79665.616799999989</v>
      </c>
      <c r="AT6" s="329">
        <v>1653000</v>
      </c>
      <c r="AU6" s="330">
        <v>7236.5832</v>
      </c>
      <c r="AV6" s="366">
        <v>9.4</v>
      </c>
      <c r="AX6" s="326">
        <v>4</v>
      </c>
      <c r="AY6" s="380" t="s">
        <v>1748</v>
      </c>
      <c r="AZ6" s="327">
        <v>20935200</v>
      </c>
      <c r="BA6" s="351">
        <v>19809.899999999998</v>
      </c>
      <c r="BB6" s="351">
        <v>6836400</v>
      </c>
      <c r="BC6" s="354">
        <v>11319.588000000002</v>
      </c>
      <c r="BE6" s="370">
        <v>4</v>
      </c>
      <c r="BF6" s="384" t="s">
        <v>1298</v>
      </c>
      <c r="BG6" s="367">
        <v>3404800000</v>
      </c>
      <c r="BH6" s="193">
        <v>985600</v>
      </c>
      <c r="BI6" s="193">
        <v>366581250</v>
      </c>
      <c r="BJ6" s="193">
        <v>323400</v>
      </c>
      <c r="BK6" s="366">
        <v>24.599999999999998</v>
      </c>
    </row>
    <row r="7" spans="2:63" x14ac:dyDescent="0.25">
      <c r="B7" s="326">
        <v>5</v>
      </c>
      <c r="C7" s="380" t="s">
        <v>1159</v>
      </c>
      <c r="D7" s="327">
        <v>177979000</v>
      </c>
      <c r="E7" s="351">
        <v>39234.839999999997</v>
      </c>
      <c r="F7" s="351">
        <v>3164000</v>
      </c>
      <c r="G7" s="352">
        <v>5231.5600000000004</v>
      </c>
      <c r="H7" s="353">
        <v>3.98</v>
      </c>
      <c r="J7" s="328">
        <v>5</v>
      </c>
      <c r="K7" s="380" t="s">
        <v>1199</v>
      </c>
      <c r="L7" s="188">
        <v>1181750000</v>
      </c>
      <c r="M7" s="323">
        <v>548481.41666666674</v>
      </c>
      <c r="N7" s="323">
        <v>601750000</v>
      </c>
      <c r="O7" s="323">
        <v>418932.125</v>
      </c>
      <c r="P7" s="358">
        <v>30.625</v>
      </c>
      <c r="R7" s="192">
        <v>5</v>
      </c>
      <c r="S7" s="386" t="s">
        <v>1409</v>
      </c>
      <c r="T7" s="193">
        <v>113626000</v>
      </c>
      <c r="U7" s="193">
        <v>40141.498800000001</v>
      </c>
      <c r="V7" s="193">
        <v>5955000</v>
      </c>
      <c r="W7" s="318">
        <v>6250.2746000000006</v>
      </c>
      <c r="X7" s="792">
        <v>4.17</v>
      </c>
      <c r="Y7" s="723"/>
      <c r="Z7" s="192">
        <v>5</v>
      </c>
      <c r="AA7" s="386" t="s">
        <v>1181</v>
      </c>
      <c r="AB7" s="193">
        <v>138794000</v>
      </c>
      <c r="AC7" s="193">
        <v>45826.426800000001</v>
      </c>
      <c r="AD7" s="193">
        <v>4611000</v>
      </c>
      <c r="AE7" s="318">
        <v>4345.1099999999997</v>
      </c>
      <c r="AF7" s="792">
        <v>3.38</v>
      </c>
      <c r="AH7" s="194">
        <v>5</v>
      </c>
      <c r="AI7" s="382" t="s">
        <v>1264</v>
      </c>
      <c r="AJ7" s="193">
        <v>188790000</v>
      </c>
      <c r="AK7" s="329">
        <v>82288.483200000002</v>
      </c>
      <c r="AL7" s="329">
        <v>2958000</v>
      </c>
      <c r="AM7" s="330">
        <v>10301.8608</v>
      </c>
      <c r="AN7" s="366">
        <v>10.6</v>
      </c>
      <c r="AP7" s="194">
        <v>5</v>
      </c>
      <c r="AQ7" s="382" t="s">
        <v>1264</v>
      </c>
      <c r="AR7" s="193">
        <v>188790000</v>
      </c>
      <c r="AS7" s="329">
        <v>82288.483200000002</v>
      </c>
      <c r="AT7" s="329">
        <v>2958000</v>
      </c>
      <c r="AU7" s="330">
        <v>10301.8608</v>
      </c>
      <c r="AV7" s="366">
        <v>10.6</v>
      </c>
      <c r="AX7" s="326">
        <v>5</v>
      </c>
      <c r="AY7" s="380" t="s">
        <v>1749</v>
      </c>
      <c r="AZ7" s="327">
        <v>16748400</v>
      </c>
      <c r="BA7" s="351">
        <v>15847.92</v>
      </c>
      <c r="BB7" s="351">
        <v>3500400</v>
      </c>
      <c r="BC7" s="354">
        <v>7245.8279999999995</v>
      </c>
      <c r="BE7" s="370">
        <v>5</v>
      </c>
      <c r="BF7" s="384" t="s">
        <v>1299</v>
      </c>
      <c r="BG7" s="367">
        <v>3231900000</v>
      </c>
      <c r="BH7" s="193">
        <v>831600</v>
      </c>
      <c r="BI7" s="193">
        <v>122193750</v>
      </c>
      <c r="BJ7" s="193">
        <v>161700</v>
      </c>
      <c r="BK7" s="366">
        <v>16.399999999999999</v>
      </c>
    </row>
    <row r="8" spans="2:63" x14ac:dyDescent="0.25">
      <c r="B8" s="326">
        <v>6</v>
      </c>
      <c r="C8" s="380" t="s">
        <v>1160</v>
      </c>
      <c r="D8" s="327">
        <v>142904000</v>
      </c>
      <c r="E8" s="351">
        <v>48883.28</v>
      </c>
      <c r="F8" s="351">
        <v>55055000</v>
      </c>
      <c r="G8" s="352">
        <v>30341.56</v>
      </c>
      <c r="H8" s="353">
        <v>7.68</v>
      </c>
      <c r="J8" s="328">
        <v>6</v>
      </c>
      <c r="K8" s="380" t="s">
        <v>1202</v>
      </c>
      <c r="L8" s="188">
        <v>961833333.33333349</v>
      </c>
      <c r="M8" s="323">
        <v>446412.27777777787</v>
      </c>
      <c r="N8" s="323">
        <v>294833333.33333331</v>
      </c>
      <c r="O8" s="323">
        <v>273679.88888888888</v>
      </c>
      <c r="P8" s="358">
        <v>27.222222222222221</v>
      </c>
      <c r="R8" s="192">
        <v>6</v>
      </c>
      <c r="S8" s="386" t="s">
        <v>1410</v>
      </c>
      <c r="T8" s="193">
        <v>83137000</v>
      </c>
      <c r="U8" s="193">
        <v>45627.045600000005</v>
      </c>
      <c r="V8" s="193">
        <v>10467000</v>
      </c>
      <c r="W8" s="318">
        <v>10579.046600000001</v>
      </c>
      <c r="X8" s="792">
        <v>5.99</v>
      </c>
      <c r="Y8" s="723"/>
      <c r="Z8" s="192">
        <v>6</v>
      </c>
      <c r="AA8" s="386" t="s">
        <v>1182</v>
      </c>
      <c r="AB8" s="193">
        <v>119595999.99999999</v>
      </c>
      <c r="AC8" s="193">
        <v>39569.468400000005</v>
      </c>
      <c r="AD8" s="193">
        <v>5539000</v>
      </c>
      <c r="AE8" s="318">
        <v>4750.6536000000006</v>
      </c>
      <c r="AF8" s="792">
        <v>2.9</v>
      </c>
      <c r="AH8" s="194">
        <v>6</v>
      </c>
      <c r="AI8" s="382" t="s">
        <v>1265</v>
      </c>
      <c r="AJ8" s="193">
        <v>175914000</v>
      </c>
      <c r="AK8" s="329">
        <v>69711.364799999996</v>
      </c>
      <c r="AL8" s="329">
        <v>1102000</v>
      </c>
      <c r="AM8" s="330">
        <v>5530.1399999999994</v>
      </c>
      <c r="AN8" s="366">
        <v>8.1999999999999993</v>
      </c>
      <c r="AP8" s="194">
        <v>6</v>
      </c>
      <c r="AQ8" s="382" t="s">
        <v>1265</v>
      </c>
      <c r="AR8" s="193">
        <v>175914000</v>
      </c>
      <c r="AS8" s="329">
        <v>69711.364799999996</v>
      </c>
      <c r="AT8" s="329">
        <v>1102000</v>
      </c>
      <c r="AU8" s="330">
        <v>5530.1399999999994</v>
      </c>
      <c r="AV8" s="366">
        <v>8.1999999999999993</v>
      </c>
      <c r="AX8" s="326">
        <v>6</v>
      </c>
      <c r="AY8" s="380" t="s">
        <v>1750</v>
      </c>
      <c r="AZ8" s="327">
        <v>12561600</v>
      </c>
      <c r="BA8" s="351">
        <v>11885.94</v>
      </c>
      <c r="BB8" s="351">
        <v>1476000</v>
      </c>
      <c r="BC8" s="354">
        <v>4076.2440000000001</v>
      </c>
      <c r="BE8" s="370">
        <v>6</v>
      </c>
      <c r="BF8" s="384" t="s">
        <v>1300</v>
      </c>
      <c r="BG8" s="367">
        <v>2280950000</v>
      </c>
      <c r="BH8" s="193">
        <v>754600</v>
      </c>
      <c r="BI8" s="193">
        <v>320758593.75</v>
      </c>
      <c r="BJ8" s="193">
        <v>282975</v>
      </c>
      <c r="BK8" s="366">
        <v>21.299999999999997</v>
      </c>
    </row>
    <row r="9" spans="2:63" x14ac:dyDescent="0.25">
      <c r="B9" s="326">
        <v>7</v>
      </c>
      <c r="C9" s="380" t="s">
        <v>1161</v>
      </c>
      <c r="D9" s="327">
        <v>124781000</v>
      </c>
      <c r="E9" s="351">
        <v>56265</v>
      </c>
      <c r="F9" s="351">
        <v>334130000</v>
      </c>
      <c r="G9" s="352">
        <v>92070</v>
      </c>
      <c r="H9" s="353">
        <v>11.64</v>
      </c>
      <c r="J9" s="328">
        <v>7</v>
      </c>
      <c r="K9" s="380" t="s">
        <v>1201</v>
      </c>
      <c r="L9" s="188">
        <v>951477539.0625</v>
      </c>
      <c r="M9" s="323">
        <v>441605.8798828125</v>
      </c>
      <c r="N9" s="323">
        <v>492461914.0625</v>
      </c>
      <c r="O9" s="323">
        <v>342846.89013671875</v>
      </c>
      <c r="P9" s="358">
        <v>23.606770833333332</v>
      </c>
      <c r="R9" s="192">
        <v>7</v>
      </c>
      <c r="S9" s="386" t="s">
        <v>1411</v>
      </c>
      <c r="T9" s="193">
        <v>61300000</v>
      </c>
      <c r="U9" s="193">
        <v>34098.020400000001</v>
      </c>
      <c r="V9" s="193">
        <v>8089000</v>
      </c>
      <c r="W9" s="318">
        <v>8319.5894000000008</v>
      </c>
      <c r="X9" s="792">
        <v>4.62</v>
      </c>
      <c r="Y9" s="723"/>
      <c r="Z9" s="192">
        <v>7</v>
      </c>
      <c r="AA9" s="386" t="s">
        <v>1183</v>
      </c>
      <c r="AB9" s="193">
        <v>111679000</v>
      </c>
      <c r="AC9" s="193">
        <v>36933.434999999998</v>
      </c>
      <c r="AD9" s="193">
        <v>3770000</v>
      </c>
      <c r="AE9" s="318">
        <v>3562.9902000000002</v>
      </c>
      <c r="AF9" s="792">
        <v>2.71</v>
      </c>
      <c r="AH9" s="194">
        <v>7</v>
      </c>
      <c r="AI9" s="382" t="s">
        <v>1266</v>
      </c>
      <c r="AJ9" s="193">
        <v>165155000</v>
      </c>
      <c r="AK9" s="329">
        <v>79981.624800000005</v>
      </c>
      <c r="AL9" s="329">
        <v>4582000</v>
      </c>
      <c r="AM9" s="330">
        <v>13335.5376</v>
      </c>
      <c r="AN9" s="366">
        <v>11.5</v>
      </c>
      <c r="AP9" s="194">
        <v>7</v>
      </c>
      <c r="AQ9" s="382" t="s">
        <v>1266</v>
      </c>
      <c r="AR9" s="193">
        <v>165155000</v>
      </c>
      <c r="AS9" s="329">
        <v>79981.624800000005</v>
      </c>
      <c r="AT9" s="329">
        <v>4582000</v>
      </c>
      <c r="AU9" s="330">
        <v>13335.5376</v>
      </c>
      <c r="AV9" s="366">
        <v>11.5</v>
      </c>
      <c r="AX9" s="326">
        <v>7</v>
      </c>
      <c r="AY9" s="380" t="s">
        <v>1751</v>
      </c>
      <c r="AZ9" s="327">
        <v>8373600</v>
      </c>
      <c r="BA9" s="351">
        <v>7923.96</v>
      </c>
      <c r="BB9" s="351">
        <v>438000</v>
      </c>
      <c r="BC9" s="354">
        <v>1813.32</v>
      </c>
      <c r="BE9" s="370">
        <v>7</v>
      </c>
      <c r="BF9" s="384" t="s">
        <v>1301</v>
      </c>
      <c r="BG9" s="367">
        <v>2269866666.666667</v>
      </c>
      <c r="BH9" s="193">
        <v>657066.66666666674</v>
      </c>
      <c r="BI9" s="193">
        <v>108616666.66666666</v>
      </c>
      <c r="BJ9" s="193">
        <v>143733.33333333331</v>
      </c>
      <c r="BK9" s="366">
        <v>16.399999999999999</v>
      </c>
    </row>
    <row r="10" spans="2:63" ht="15.75" thickBot="1" x14ac:dyDescent="0.3">
      <c r="B10" s="326">
        <v>8</v>
      </c>
      <c r="C10" s="380" t="s">
        <v>1162</v>
      </c>
      <c r="D10" s="327">
        <v>103984000</v>
      </c>
      <c r="E10" s="351">
        <v>46888.12</v>
      </c>
      <c r="F10" s="351">
        <v>193360000</v>
      </c>
      <c r="G10" s="352">
        <v>63938.12</v>
      </c>
      <c r="H10" s="353">
        <v>9.6999999999999993</v>
      </c>
      <c r="J10" s="328">
        <v>8</v>
      </c>
      <c r="K10" s="380" t="s">
        <v>1200</v>
      </c>
      <c r="L10" s="188">
        <v>945369791.66666651</v>
      </c>
      <c r="M10" s="323">
        <v>329078.33463541663</v>
      </c>
      <c r="N10" s="323">
        <v>93494791.666666657</v>
      </c>
      <c r="O10" s="323">
        <v>130180.21354166666</v>
      </c>
      <c r="P10" s="358">
        <v>16.163194444444443</v>
      </c>
      <c r="R10" s="192">
        <v>8</v>
      </c>
      <c r="S10" s="386" t="s">
        <v>1412</v>
      </c>
      <c r="T10" s="193">
        <v>50541000</v>
      </c>
      <c r="U10" s="193">
        <v>28391.442599999998</v>
      </c>
      <c r="V10" s="193">
        <v>6842000</v>
      </c>
      <c r="W10" s="318">
        <v>7160.8933999999999</v>
      </c>
      <c r="X10" s="792">
        <v>3.95</v>
      </c>
      <c r="Y10" s="723"/>
      <c r="Z10" s="192">
        <v>8</v>
      </c>
      <c r="AA10" s="386" t="s">
        <v>1184</v>
      </c>
      <c r="AB10" s="193">
        <v>92829000</v>
      </c>
      <c r="AC10" s="193">
        <v>30763.378800000002</v>
      </c>
      <c r="AD10" s="193">
        <v>4408000</v>
      </c>
      <c r="AE10" s="318">
        <v>3736.7946000000002</v>
      </c>
      <c r="AF10" s="792">
        <v>2.23</v>
      </c>
      <c r="AH10" s="194">
        <v>8</v>
      </c>
      <c r="AI10" s="382" t="s">
        <v>1267</v>
      </c>
      <c r="AJ10" s="193">
        <v>151032000</v>
      </c>
      <c r="AK10" s="329">
        <v>65824.466400000005</v>
      </c>
      <c r="AL10" s="329">
        <v>1508000</v>
      </c>
      <c r="AM10" s="330">
        <v>6572.9663999999993</v>
      </c>
      <c r="AN10" s="366">
        <v>8.5</v>
      </c>
      <c r="AP10" s="194">
        <v>8</v>
      </c>
      <c r="AQ10" s="382" t="s">
        <v>1267</v>
      </c>
      <c r="AR10" s="193">
        <v>151032000</v>
      </c>
      <c r="AS10" s="329">
        <v>65824.466400000005</v>
      </c>
      <c r="AT10" s="329">
        <v>1508000</v>
      </c>
      <c r="AU10" s="330">
        <v>6572.9663999999993</v>
      </c>
      <c r="AV10" s="366">
        <v>8.5</v>
      </c>
      <c r="AX10" s="331"/>
      <c r="AY10" s="511"/>
      <c r="AZ10" s="332"/>
      <c r="BA10" s="512"/>
      <c r="BB10" s="512"/>
      <c r="BC10" s="513"/>
      <c r="BE10" s="370">
        <v>8</v>
      </c>
      <c r="BF10" s="384" t="s">
        <v>1302</v>
      </c>
      <c r="BG10" s="367">
        <v>2216666666.666667</v>
      </c>
      <c r="BH10" s="193">
        <v>513333.33333333337</v>
      </c>
      <c r="BI10" s="193">
        <v>16971354.166666664</v>
      </c>
      <c r="BJ10" s="193">
        <v>44916.666666666672</v>
      </c>
      <c r="BK10" s="366">
        <v>10.199999999999999</v>
      </c>
    </row>
    <row r="11" spans="2:63" x14ac:dyDescent="0.25">
      <c r="B11" s="326">
        <v>9</v>
      </c>
      <c r="C11" s="380" t="s">
        <v>1163</v>
      </c>
      <c r="D11" s="327">
        <v>98932000</v>
      </c>
      <c r="E11" s="351">
        <v>26524.839999999997</v>
      </c>
      <c r="F11" s="351">
        <v>2602000</v>
      </c>
      <c r="G11" s="352">
        <v>4301.5599999999995</v>
      </c>
      <c r="H11" s="353">
        <v>3.28</v>
      </c>
      <c r="J11" s="328">
        <v>9</v>
      </c>
      <c r="K11" s="380" t="s">
        <v>1203</v>
      </c>
      <c r="L11" s="188">
        <v>821439514.16015625</v>
      </c>
      <c r="M11" s="323">
        <v>381251.79473876953</v>
      </c>
      <c r="N11" s="323">
        <v>428636779.78515625</v>
      </c>
      <c r="O11" s="323">
        <v>298412.4919128418</v>
      </c>
      <c r="P11" s="358">
        <v>19.938151041666668</v>
      </c>
      <c r="R11" s="192">
        <v>9</v>
      </c>
      <c r="S11" s="386" t="s">
        <v>1413</v>
      </c>
      <c r="T11" s="193">
        <v>41783000</v>
      </c>
      <c r="U11" s="193">
        <v>23669.756400000002</v>
      </c>
      <c r="V11" s="193">
        <v>5798000</v>
      </c>
      <c r="W11" s="318">
        <v>6147.0344000000005</v>
      </c>
      <c r="X11" s="792">
        <v>3.42</v>
      </c>
      <c r="Y11" s="723"/>
      <c r="Z11" s="192">
        <v>9</v>
      </c>
      <c r="AA11" s="386" t="s">
        <v>1185</v>
      </c>
      <c r="AB11" s="193">
        <v>86710000</v>
      </c>
      <c r="AC11" s="193">
        <v>28706.6934</v>
      </c>
      <c r="AD11" s="193">
        <v>3016000</v>
      </c>
      <c r="AE11" s="318">
        <v>2809.8378000000002</v>
      </c>
      <c r="AF11" s="792">
        <v>2.08</v>
      </c>
      <c r="AH11" s="194">
        <v>9</v>
      </c>
      <c r="AI11" s="382" t="s">
        <v>1268</v>
      </c>
      <c r="AJ11" s="193">
        <v>150771000</v>
      </c>
      <c r="AK11" s="329">
        <v>59757.112800000003</v>
      </c>
      <c r="AL11" s="329">
        <v>696000</v>
      </c>
      <c r="AM11" s="330">
        <v>4076.5032000000001</v>
      </c>
      <c r="AN11" s="366">
        <v>7</v>
      </c>
      <c r="AP11" s="194">
        <v>9</v>
      </c>
      <c r="AQ11" s="382" t="s">
        <v>1268</v>
      </c>
      <c r="AR11" s="193">
        <v>150771000</v>
      </c>
      <c r="AS11" s="329">
        <v>59757.112800000003</v>
      </c>
      <c r="AT11" s="329">
        <v>696000</v>
      </c>
      <c r="AU11" s="330">
        <v>4076.5032000000001</v>
      </c>
      <c r="AV11" s="366">
        <v>7</v>
      </c>
      <c r="BE11" s="370">
        <v>9</v>
      </c>
      <c r="BF11" s="384" t="s">
        <v>1303</v>
      </c>
      <c r="BG11" s="367">
        <v>1615950000</v>
      </c>
      <c r="BH11" s="193">
        <v>415800</v>
      </c>
      <c r="BI11" s="193">
        <v>15274218.75</v>
      </c>
      <c r="BJ11" s="193">
        <v>40425</v>
      </c>
      <c r="BK11" s="366">
        <v>9.1999999999999993</v>
      </c>
    </row>
    <row r="12" spans="2:63" x14ac:dyDescent="0.25">
      <c r="B12" s="326">
        <v>10</v>
      </c>
      <c r="C12" s="380" t="s">
        <v>1164</v>
      </c>
      <c r="D12" s="327">
        <v>95270000</v>
      </c>
      <c r="E12" s="351">
        <v>32588.44</v>
      </c>
      <c r="F12" s="351">
        <v>16312999.999999998</v>
      </c>
      <c r="G12" s="352">
        <v>13485</v>
      </c>
      <c r="H12" s="353">
        <v>5.12</v>
      </c>
      <c r="J12" s="328">
        <v>10</v>
      </c>
      <c r="K12" s="380" t="s">
        <v>1204</v>
      </c>
      <c r="L12" s="188">
        <v>779176757.8125</v>
      </c>
      <c r="M12" s="323">
        <v>361636.5322265625</v>
      </c>
      <c r="N12" s="323">
        <v>246981445.3125</v>
      </c>
      <c r="O12" s="323">
        <v>229261.236328125</v>
      </c>
      <c r="P12" s="358">
        <v>21.0546875</v>
      </c>
      <c r="R12" s="192">
        <v>10</v>
      </c>
      <c r="S12" s="386" t="s">
        <v>1414</v>
      </c>
      <c r="T12" s="193">
        <v>33692000</v>
      </c>
      <c r="U12" s="193">
        <v>19295.679</v>
      </c>
      <c r="V12" s="193">
        <v>4754000</v>
      </c>
      <c r="W12" s="318">
        <v>5191.1102000000001</v>
      </c>
      <c r="X12" s="792">
        <v>2.91</v>
      </c>
      <c r="Y12" s="723"/>
      <c r="Z12" s="192">
        <v>10</v>
      </c>
      <c r="AA12" s="386" t="s">
        <v>1186</v>
      </c>
      <c r="AB12" s="193">
        <v>77778000</v>
      </c>
      <c r="AC12" s="193">
        <v>41828.925600000002</v>
      </c>
      <c r="AD12" s="193">
        <v>9483000</v>
      </c>
      <c r="AE12" s="318">
        <v>8950.9266000000007</v>
      </c>
      <c r="AF12" s="792">
        <v>4.75</v>
      </c>
      <c r="AH12" s="194">
        <v>10</v>
      </c>
      <c r="AI12" s="382" t="s">
        <v>1269</v>
      </c>
      <c r="AJ12" s="193">
        <v>137634000</v>
      </c>
      <c r="AK12" s="329">
        <v>66646.087199999994</v>
      </c>
      <c r="AL12" s="329">
        <v>2668000</v>
      </c>
      <c r="AM12" s="330">
        <v>9259.0343999999986</v>
      </c>
      <c r="AN12" s="366">
        <v>9.6</v>
      </c>
      <c r="AP12" s="194">
        <v>10</v>
      </c>
      <c r="AQ12" s="382" t="s">
        <v>1269</v>
      </c>
      <c r="AR12" s="193">
        <v>137634000</v>
      </c>
      <c r="AS12" s="329">
        <v>66646.087199999994</v>
      </c>
      <c r="AT12" s="329">
        <v>2668000</v>
      </c>
      <c r="AU12" s="330">
        <v>9259.0343999999986</v>
      </c>
      <c r="AV12" s="366">
        <v>9.6</v>
      </c>
      <c r="BE12" s="370">
        <v>10</v>
      </c>
      <c r="BF12" s="384" t="s">
        <v>1304</v>
      </c>
      <c r="BG12" s="367">
        <v>1520633333.3333335</v>
      </c>
      <c r="BH12" s="193">
        <v>503066.66666666663</v>
      </c>
      <c r="BI12" s="193">
        <v>95039583.333333343</v>
      </c>
      <c r="BJ12" s="193">
        <v>125766.66666666666</v>
      </c>
      <c r="BK12" s="366">
        <v>14.2</v>
      </c>
    </row>
    <row r="13" spans="2:63" x14ac:dyDescent="0.25">
      <c r="B13" s="326">
        <v>11</v>
      </c>
      <c r="C13" s="380" t="s">
        <v>1165</v>
      </c>
      <c r="D13" s="327">
        <v>83188000</v>
      </c>
      <c r="E13" s="351">
        <v>37510</v>
      </c>
      <c r="F13" s="351">
        <v>99000000</v>
      </c>
      <c r="G13" s="352">
        <v>40920</v>
      </c>
      <c r="H13" s="353">
        <v>7.76</v>
      </c>
      <c r="J13" s="328">
        <v>11</v>
      </c>
      <c r="K13" s="380" t="s">
        <v>1206</v>
      </c>
      <c r="L13" s="188">
        <v>744333333.33333325</v>
      </c>
      <c r="M13" s="323">
        <v>414557.73333333328</v>
      </c>
      <c r="N13" s="323">
        <v>512333333.33333337</v>
      </c>
      <c r="O13" s="323">
        <v>356681.16666666669</v>
      </c>
      <c r="P13" s="358">
        <v>27.222222222222221</v>
      </c>
      <c r="R13" s="192">
        <v>11</v>
      </c>
      <c r="S13" s="386"/>
      <c r="T13" s="193"/>
      <c r="U13" s="193"/>
      <c r="V13" s="193"/>
      <c r="W13" s="318"/>
      <c r="X13" s="792"/>
      <c r="Y13" s="723"/>
      <c r="Z13" s="192">
        <v>11</v>
      </c>
      <c r="AA13" s="386" t="s">
        <v>1187</v>
      </c>
      <c r="AB13" s="193">
        <v>55941000</v>
      </c>
      <c r="AC13" s="193">
        <v>30299.900400000002</v>
      </c>
      <c r="AD13" s="193">
        <v>7105000</v>
      </c>
      <c r="AE13" s="318">
        <v>6691.4694000000009</v>
      </c>
      <c r="AF13" s="792">
        <v>3.38</v>
      </c>
      <c r="AH13" s="194">
        <v>11</v>
      </c>
      <c r="AI13" s="382" t="s">
        <v>1270</v>
      </c>
      <c r="AJ13" s="193">
        <v>132153000.00000001</v>
      </c>
      <c r="AK13" s="329">
        <v>57608.258399999999</v>
      </c>
      <c r="AL13" s="329">
        <v>1015000.0000000001</v>
      </c>
      <c r="AM13" s="330">
        <v>5056.1279999999997</v>
      </c>
      <c r="AN13" s="366">
        <v>7.4</v>
      </c>
      <c r="AP13" s="194">
        <v>11</v>
      </c>
      <c r="AQ13" s="382" t="s">
        <v>1270</v>
      </c>
      <c r="AR13" s="193">
        <v>132153000.00000001</v>
      </c>
      <c r="AS13" s="329">
        <v>57608.258399999999</v>
      </c>
      <c r="AT13" s="329">
        <v>1015000.0000000001</v>
      </c>
      <c r="AU13" s="330">
        <v>5056.1279999999997</v>
      </c>
      <c r="AV13" s="366">
        <v>7.4</v>
      </c>
      <c r="BE13" s="370">
        <v>11</v>
      </c>
      <c r="BF13" s="384" t="s">
        <v>1305</v>
      </c>
      <c r="BG13" s="367">
        <v>1183557128.90625</v>
      </c>
      <c r="BH13" s="193">
        <v>487265.625</v>
      </c>
      <c r="BI13" s="193">
        <v>257752441.40625</v>
      </c>
      <c r="BJ13" s="193">
        <v>227390.625</v>
      </c>
      <c r="BK13" s="366">
        <v>17.100000000000001</v>
      </c>
    </row>
    <row r="14" spans="2:63" x14ac:dyDescent="0.25">
      <c r="B14" s="326">
        <v>12</v>
      </c>
      <c r="C14" s="380" t="s">
        <v>1166</v>
      </c>
      <c r="D14" s="327">
        <v>62391000</v>
      </c>
      <c r="E14" s="351">
        <v>28133.119999999999</v>
      </c>
      <c r="F14" s="351">
        <v>41766000</v>
      </c>
      <c r="G14" s="352">
        <v>23018.12</v>
      </c>
      <c r="H14" s="353">
        <v>5.82</v>
      </c>
      <c r="J14" s="328">
        <v>12</v>
      </c>
      <c r="K14" s="380" t="s">
        <v>1205</v>
      </c>
      <c r="L14" s="188">
        <v>733703186.03515601</v>
      </c>
      <c r="M14" s="323">
        <v>255398.28404235834</v>
      </c>
      <c r="N14" s="323">
        <v>75595764.160156235</v>
      </c>
      <c r="O14" s="323">
        <v>105257.97796630858</v>
      </c>
      <c r="P14" s="358">
        <v>12.281901041666666</v>
      </c>
      <c r="R14" s="192">
        <v>12</v>
      </c>
      <c r="S14" s="386"/>
      <c r="T14" s="193"/>
      <c r="U14" s="193"/>
      <c r="V14" s="193"/>
      <c r="W14" s="318"/>
      <c r="X14" s="792"/>
      <c r="Y14" s="723"/>
      <c r="Z14" s="192">
        <v>12</v>
      </c>
      <c r="AA14" s="386" t="s">
        <v>1188</v>
      </c>
      <c r="AB14" s="193">
        <v>51707000</v>
      </c>
      <c r="AC14" s="193">
        <v>27982.508399999999</v>
      </c>
      <c r="AD14" s="193">
        <v>4872000</v>
      </c>
      <c r="AE14" s="318">
        <v>5011.3602000000001</v>
      </c>
      <c r="AF14" s="792">
        <v>3.08</v>
      </c>
      <c r="AH14" s="194">
        <v>12</v>
      </c>
      <c r="AI14" s="382" t="s">
        <v>1271</v>
      </c>
      <c r="AJ14" s="193">
        <v>125657000</v>
      </c>
      <c r="AK14" s="329">
        <v>49802.860800000002</v>
      </c>
      <c r="AL14" s="329">
        <v>406000</v>
      </c>
      <c r="AM14" s="330">
        <v>2844.0719999999997</v>
      </c>
      <c r="AN14" s="366">
        <v>5.8</v>
      </c>
      <c r="AP14" s="194">
        <v>12</v>
      </c>
      <c r="AQ14" s="382" t="s">
        <v>1271</v>
      </c>
      <c r="AR14" s="193">
        <v>125657000</v>
      </c>
      <c r="AS14" s="329">
        <v>49802.860800000002</v>
      </c>
      <c r="AT14" s="329">
        <v>406000</v>
      </c>
      <c r="AU14" s="330">
        <v>2844.0719999999997</v>
      </c>
      <c r="AV14" s="366">
        <v>5.8</v>
      </c>
      <c r="AX14"/>
      <c r="AY14"/>
      <c r="AZ14"/>
      <c r="BA14"/>
      <c r="BB14"/>
      <c r="BC14"/>
      <c r="BE14" s="370">
        <v>12</v>
      </c>
      <c r="BF14" s="384" t="s">
        <v>1306</v>
      </c>
      <c r="BG14" s="367">
        <v>1134933333.3333335</v>
      </c>
      <c r="BH14" s="193">
        <v>328533.33333333337</v>
      </c>
      <c r="BI14" s="193">
        <v>13577083.333333332</v>
      </c>
      <c r="BJ14" s="193">
        <v>35933.333333333328</v>
      </c>
      <c r="BK14" s="366">
        <v>8.1999999999999993</v>
      </c>
    </row>
    <row r="15" spans="2:63" x14ac:dyDescent="0.25">
      <c r="B15" s="326">
        <v>13</v>
      </c>
      <c r="C15" s="380" t="s">
        <v>1167</v>
      </c>
      <c r="D15" s="327">
        <v>47635000</v>
      </c>
      <c r="E15" s="351">
        <v>16294.84</v>
      </c>
      <c r="F15" s="351">
        <v>2039000.0000000002</v>
      </c>
      <c r="G15" s="352">
        <v>3371.56</v>
      </c>
      <c r="H15" s="353">
        <v>2.56</v>
      </c>
      <c r="J15" s="328">
        <v>13</v>
      </c>
      <c r="K15" s="380" t="s">
        <v>1207</v>
      </c>
      <c r="L15" s="188">
        <v>680744791.66666675</v>
      </c>
      <c r="M15" s="323">
        <v>315951.65451388893</v>
      </c>
      <c r="N15" s="323">
        <v>358119791.66666663</v>
      </c>
      <c r="O15" s="323">
        <v>249319.29427083331</v>
      </c>
      <c r="P15" s="358">
        <v>16.163194444444443</v>
      </c>
      <c r="R15" s="192">
        <v>13</v>
      </c>
      <c r="S15" s="386"/>
      <c r="T15" s="193"/>
      <c r="U15" s="193"/>
      <c r="V15" s="193"/>
      <c r="W15" s="318"/>
      <c r="X15" s="792"/>
      <c r="Y15" s="723"/>
      <c r="Z15" s="192">
        <v>13</v>
      </c>
      <c r="AA15" s="386" t="s">
        <v>1189</v>
      </c>
      <c r="AB15" s="193">
        <v>45182000</v>
      </c>
      <c r="AC15" s="193">
        <v>24593.3226</v>
      </c>
      <c r="AD15" s="193">
        <v>5858000</v>
      </c>
      <c r="AE15" s="318">
        <v>5532.7734</v>
      </c>
      <c r="AF15" s="792">
        <v>2.71</v>
      </c>
      <c r="AH15" s="194">
        <v>13</v>
      </c>
      <c r="AI15" s="382" t="s">
        <v>1272</v>
      </c>
      <c r="AJ15" s="193">
        <v>116000000</v>
      </c>
      <c r="AK15" s="329">
        <v>63201.599999999999</v>
      </c>
      <c r="AL15" s="329">
        <v>4088999.9999999995</v>
      </c>
      <c r="AM15" s="330">
        <v>11850.3</v>
      </c>
      <c r="AN15" s="366">
        <v>10.199999999999999</v>
      </c>
      <c r="AP15" s="194">
        <v>13</v>
      </c>
      <c r="AQ15" s="382" t="s">
        <v>1272</v>
      </c>
      <c r="AR15" s="193">
        <v>116000000</v>
      </c>
      <c r="AS15" s="329">
        <v>63201.599999999999</v>
      </c>
      <c r="AT15" s="329">
        <v>4088999.9999999995</v>
      </c>
      <c r="AU15" s="330">
        <v>11850.3</v>
      </c>
      <c r="AV15" s="366">
        <v>10.199999999999999</v>
      </c>
      <c r="AX15"/>
      <c r="AY15"/>
      <c r="AZ15"/>
      <c r="BA15"/>
      <c r="BB15"/>
      <c r="BC15"/>
      <c r="BE15" s="370">
        <v>13</v>
      </c>
      <c r="BF15" s="384" t="s">
        <v>1307</v>
      </c>
      <c r="BG15" s="367">
        <v>789038085.9375</v>
      </c>
      <c r="BH15" s="193">
        <v>324843.75</v>
      </c>
      <c r="BI15" s="193">
        <v>76371093.75</v>
      </c>
      <c r="BJ15" s="193">
        <v>101062.5</v>
      </c>
      <c r="BK15" s="366">
        <v>11.4</v>
      </c>
    </row>
    <row r="16" spans="2:63" x14ac:dyDescent="0.25">
      <c r="B16" s="326">
        <v>14</v>
      </c>
      <c r="C16" s="380" t="s">
        <v>1168</v>
      </c>
      <c r="D16" s="327">
        <v>41594000</v>
      </c>
      <c r="E16" s="351">
        <v>18755</v>
      </c>
      <c r="F16" s="351">
        <v>12375000</v>
      </c>
      <c r="G16" s="352">
        <v>10230</v>
      </c>
      <c r="H16" s="353">
        <v>3.88</v>
      </c>
      <c r="J16" s="328">
        <v>14</v>
      </c>
      <c r="K16" s="380" t="s">
        <v>1208</v>
      </c>
      <c r="L16" s="188">
        <v>674716695.14973962</v>
      </c>
      <c r="M16" s="323">
        <v>313153.85555691191</v>
      </c>
      <c r="N16" s="323">
        <v>217485249.83723959</v>
      </c>
      <c r="O16" s="323">
        <v>201881.30811903212</v>
      </c>
      <c r="P16" s="358">
        <v>17.811414930555557</v>
      </c>
      <c r="R16" s="192">
        <v>14</v>
      </c>
      <c r="S16" s="386"/>
      <c r="T16" s="193"/>
      <c r="U16" s="193"/>
      <c r="V16" s="193"/>
      <c r="W16" s="318"/>
      <c r="X16" s="792"/>
      <c r="Y16" s="723"/>
      <c r="Z16" s="192">
        <v>14</v>
      </c>
      <c r="AA16" s="386" t="s">
        <v>1190</v>
      </c>
      <c r="AB16" s="193">
        <v>41789000</v>
      </c>
      <c r="AC16" s="193">
        <v>22710.441600000002</v>
      </c>
      <c r="AD16" s="193">
        <v>4031000.0000000005</v>
      </c>
      <c r="AE16" s="318">
        <v>4142.3382000000001</v>
      </c>
      <c r="AF16" s="792">
        <v>2.4700000000000002</v>
      </c>
      <c r="AH16" s="194">
        <v>14</v>
      </c>
      <c r="AI16" s="382" t="s">
        <v>1273</v>
      </c>
      <c r="AJ16" s="193">
        <v>113274000</v>
      </c>
      <c r="AK16" s="329">
        <v>49392.0504</v>
      </c>
      <c r="AL16" s="329">
        <v>638000</v>
      </c>
      <c r="AM16" s="330">
        <v>3697.2936</v>
      </c>
      <c r="AN16" s="366">
        <v>6.4</v>
      </c>
      <c r="AP16" s="194">
        <v>14</v>
      </c>
      <c r="AQ16" s="382" t="s">
        <v>1273</v>
      </c>
      <c r="AR16" s="193">
        <v>113274000</v>
      </c>
      <c r="AS16" s="329">
        <v>49392.0504</v>
      </c>
      <c r="AT16" s="329">
        <v>638000</v>
      </c>
      <c r="AU16" s="330">
        <v>3697.2936</v>
      </c>
      <c r="AV16" s="366">
        <v>6.4</v>
      </c>
      <c r="AX16"/>
      <c r="AY16"/>
      <c r="AZ16"/>
      <c r="BA16"/>
      <c r="BB16"/>
      <c r="BC16"/>
      <c r="BE16" s="370">
        <v>14</v>
      </c>
      <c r="BF16" s="384" t="s">
        <v>1308</v>
      </c>
      <c r="BG16" s="367">
        <v>760316666.66666675</v>
      </c>
      <c r="BH16" s="193">
        <v>251533.33333333331</v>
      </c>
      <c r="BI16" s="193">
        <v>11879947.916666668</v>
      </c>
      <c r="BJ16" s="193">
        <v>31441.666666666664</v>
      </c>
      <c r="BK16" s="366">
        <v>7.1</v>
      </c>
    </row>
    <row r="17" spans="2:63" x14ac:dyDescent="0.25">
      <c r="B17" s="326">
        <v>15</v>
      </c>
      <c r="C17" s="380" t="s">
        <v>1169</v>
      </c>
      <c r="D17" s="327">
        <v>32156000</v>
      </c>
      <c r="E17" s="351">
        <v>22785</v>
      </c>
      <c r="F17" s="351">
        <v>212630000</v>
      </c>
      <c r="G17" s="352">
        <v>58590</v>
      </c>
      <c r="H17" s="353">
        <v>7.44</v>
      </c>
      <c r="J17" s="328">
        <v>15</v>
      </c>
      <c r="K17" s="380" t="s">
        <v>1210</v>
      </c>
      <c r="L17" s="188">
        <v>606875976.5625</v>
      </c>
      <c r="M17" s="323">
        <v>281667.1845703125</v>
      </c>
      <c r="N17" s="323">
        <v>91219726.5625</v>
      </c>
      <c r="O17" s="323">
        <v>127012.4599609375</v>
      </c>
      <c r="P17" s="358">
        <v>18.502604166666668</v>
      </c>
      <c r="R17" s="192">
        <v>15</v>
      </c>
      <c r="S17" s="386"/>
      <c r="T17" s="193"/>
      <c r="U17" s="193"/>
      <c r="V17" s="193"/>
      <c r="W17" s="318"/>
      <c r="X17" s="792"/>
      <c r="Y17" s="723"/>
      <c r="Z17" s="192">
        <v>15</v>
      </c>
      <c r="AA17" s="386" t="s">
        <v>1191</v>
      </c>
      <c r="AB17" s="193">
        <v>36424000</v>
      </c>
      <c r="AC17" s="193">
        <v>19871.636400000003</v>
      </c>
      <c r="AD17" s="193">
        <v>4814000</v>
      </c>
      <c r="AE17" s="318">
        <v>4518.9144000000006</v>
      </c>
      <c r="AF17" s="792">
        <v>2.1800000000000002</v>
      </c>
      <c r="AH17" s="194">
        <v>15</v>
      </c>
      <c r="AI17" s="382" t="s">
        <v>1274</v>
      </c>
      <c r="AJ17" s="193">
        <v>110113000</v>
      </c>
      <c r="AK17" s="329">
        <v>53342.150399999999</v>
      </c>
      <c r="AL17" s="329">
        <v>1363000</v>
      </c>
      <c r="AM17" s="330">
        <v>5940.9503999999997</v>
      </c>
      <c r="AN17" s="366">
        <v>7.7</v>
      </c>
      <c r="AP17" s="194">
        <v>15</v>
      </c>
      <c r="AQ17" s="382" t="s">
        <v>1274</v>
      </c>
      <c r="AR17" s="193">
        <v>110113000</v>
      </c>
      <c r="AS17" s="329">
        <v>53342.150399999999</v>
      </c>
      <c r="AT17" s="329">
        <v>1363000</v>
      </c>
      <c r="AU17" s="330">
        <v>5940.9503999999997</v>
      </c>
      <c r="AV17" s="366">
        <v>7.7</v>
      </c>
      <c r="AX17"/>
      <c r="AY17"/>
      <c r="AZ17"/>
      <c r="BA17"/>
      <c r="BB17"/>
      <c r="BC17"/>
      <c r="BE17" s="370">
        <v>15</v>
      </c>
      <c r="BF17" s="384" t="s">
        <v>1309</v>
      </c>
      <c r="BG17" s="367">
        <v>657895410.15625</v>
      </c>
      <c r="BH17" s="193">
        <v>329415.625</v>
      </c>
      <c r="BI17" s="193">
        <v>211929785.15625</v>
      </c>
      <c r="BJ17" s="193">
        <v>186965.625</v>
      </c>
      <c r="BK17" s="366">
        <v>21.299999999999997</v>
      </c>
    </row>
    <row r="18" spans="2:63" x14ac:dyDescent="0.25">
      <c r="B18" s="326">
        <v>16</v>
      </c>
      <c r="C18" s="380" t="s">
        <v>1170</v>
      </c>
      <c r="D18" s="327">
        <v>28964000</v>
      </c>
      <c r="E18" s="351">
        <v>14734.919999999998</v>
      </c>
      <c r="F18" s="351">
        <v>10969000</v>
      </c>
      <c r="G18" s="352">
        <v>9068.119999999999</v>
      </c>
      <c r="H18" s="353">
        <v>3.88</v>
      </c>
      <c r="J18" s="328">
        <v>16</v>
      </c>
      <c r="K18" s="380" t="s">
        <v>1209</v>
      </c>
      <c r="L18" s="188">
        <v>605403320.31249988</v>
      </c>
      <c r="M18" s="323">
        <v>337180.42304687499</v>
      </c>
      <c r="N18" s="323">
        <v>420754882.81250006</v>
      </c>
      <c r="O18" s="323">
        <v>292925.19677734381</v>
      </c>
      <c r="P18" s="358">
        <v>21.0546875</v>
      </c>
      <c r="R18" s="192">
        <v>16</v>
      </c>
      <c r="S18" s="386"/>
      <c r="T18" s="193"/>
      <c r="U18" s="193"/>
      <c r="V18" s="193"/>
      <c r="W18" s="318"/>
      <c r="X18" s="792"/>
      <c r="Y18" s="723"/>
      <c r="Z18" s="192">
        <v>16</v>
      </c>
      <c r="AA18" s="386" t="s">
        <v>1192</v>
      </c>
      <c r="AB18" s="193">
        <v>33727000</v>
      </c>
      <c r="AC18" s="193">
        <v>18365.331600000001</v>
      </c>
      <c r="AD18" s="193">
        <v>3335000</v>
      </c>
      <c r="AE18" s="318">
        <v>3389.1858000000002</v>
      </c>
      <c r="AF18" s="792">
        <v>1.9790000000000001</v>
      </c>
      <c r="AH18" s="194">
        <v>16</v>
      </c>
      <c r="AI18" s="382" t="s">
        <v>1275</v>
      </c>
      <c r="AJ18" s="193">
        <v>100514000</v>
      </c>
      <c r="AK18" s="329">
        <v>39817.008000000002</v>
      </c>
      <c r="AL18" s="329">
        <v>203000</v>
      </c>
      <c r="AM18" s="330">
        <v>1801.2456</v>
      </c>
      <c r="AN18" s="366">
        <v>4.7</v>
      </c>
      <c r="AP18" s="194">
        <v>16</v>
      </c>
      <c r="AQ18" s="382" t="s">
        <v>1275</v>
      </c>
      <c r="AR18" s="193">
        <v>100514000</v>
      </c>
      <c r="AS18" s="329">
        <v>39817.008000000002</v>
      </c>
      <c r="AT18" s="329">
        <v>203000</v>
      </c>
      <c r="AU18" s="330">
        <v>1801.2456</v>
      </c>
      <c r="AV18" s="366">
        <v>4.7</v>
      </c>
      <c r="AX18"/>
      <c r="AY18"/>
      <c r="AZ18"/>
      <c r="BA18"/>
      <c r="BB18"/>
      <c r="BC18"/>
      <c r="BE18" s="370">
        <v>16</v>
      </c>
      <c r="BF18" s="384" t="s">
        <v>1740</v>
      </c>
      <c r="BG18" s="367">
        <v>444591146</v>
      </c>
      <c r="BH18" s="193">
        <v>159440</v>
      </c>
      <c r="BI18" s="193">
        <v>414458333</v>
      </c>
      <c r="BJ18" s="193">
        <v>153942</v>
      </c>
      <c r="BK18" s="366">
        <v>14.8</v>
      </c>
    </row>
    <row r="19" spans="2:63" x14ac:dyDescent="0.25">
      <c r="B19" s="326">
        <v>17</v>
      </c>
      <c r="C19" s="380" t="s">
        <v>1171</v>
      </c>
      <c r="D19" s="327">
        <v>26797000</v>
      </c>
      <c r="E19" s="351">
        <v>18988.12</v>
      </c>
      <c r="F19" s="351">
        <v>123050000</v>
      </c>
      <c r="G19" s="352">
        <v>40688.120000000003</v>
      </c>
      <c r="H19" s="353">
        <v>6.2</v>
      </c>
      <c r="J19" s="328">
        <v>17</v>
      </c>
      <c r="K19" s="380" t="s">
        <v>1212</v>
      </c>
      <c r="L19" s="188">
        <v>596916666.66666675</v>
      </c>
      <c r="M19" s="323">
        <v>332453.76666666672</v>
      </c>
      <c r="N19" s="323">
        <v>248916666.66666669</v>
      </c>
      <c r="O19" s="323">
        <v>231057.61111111112</v>
      </c>
      <c r="P19" s="358">
        <v>23.819444444444443</v>
      </c>
      <c r="R19" s="192">
        <v>17</v>
      </c>
      <c r="S19" s="386"/>
      <c r="T19" s="193"/>
      <c r="U19" s="193"/>
      <c r="V19" s="193"/>
      <c r="W19" s="318"/>
      <c r="X19" s="792"/>
      <c r="Y19" s="723"/>
      <c r="Z19" s="192">
        <v>17</v>
      </c>
      <c r="AA19" s="386" t="s">
        <v>1193</v>
      </c>
      <c r="AB19" s="193">
        <v>28333000</v>
      </c>
      <c r="AC19" s="193">
        <v>15497.559000000001</v>
      </c>
      <c r="AD19" s="193">
        <v>3770000</v>
      </c>
      <c r="AE19" s="318">
        <v>3562.9902000000002</v>
      </c>
      <c r="AF19" s="792">
        <v>1.6719999999999999</v>
      </c>
      <c r="AH19" s="194">
        <v>17</v>
      </c>
      <c r="AI19" s="382" t="s">
        <v>1276</v>
      </c>
      <c r="AJ19" s="193">
        <v>96657000</v>
      </c>
      <c r="AK19" s="329">
        <v>52678.533600000002</v>
      </c>
      <c r="AL19" s="329">
        <v>2349000</v>
      </c>
      <c r="AM19" s="330">
        <v>8216.2080000000005</v>
      </c>
      <c r="AN19" s="366">
        <v>8.5</v>
      </c>
      <c r="AP19" s="194">
        <v>17</v>
      </c>
      <c r="AQ19" s="382" t="s">
        <v>1276</v>
      </c>
      <c r="AR19" s="193">
        <v>96657000</v>
      </c>
      <c r="AS19" s="329">
        <v>52678.533600000002</v>
      </c>
      <c r="AT19" s="329">
        <v>2349000</v>
      </c>
      <c r="AU19" s="330">
        <v>8216.2080000000005</v>
      </c>
      <c r="AV19" s="366">
        <v>8.5</v>
      </c>
      <c r="AX19"/>
      <c r="AY19"/>
      <c r="AZ19"/>
      <c r="BA19"/>
      <c r="BB19"/>
      <c r="BC19"/>
      <c r="BE19" s="370">
        <v>17</v>
      </c>
      <c r="BF19" s="384" t="s">
        <v>1310</v>
      </c>
      <c r="BG19" s="367">
        <v>438596940.10416663</v>
      </c>
      <c r="BH19" s="193">
        <v>219610.41666666669</v>
      </c>
      <c r="BI19" s="193">
        <v>62794010.416666664</v>
      </c>
      <c r="BJ19" s="193">
        <v>83095.833333333343</v>
      </c>
      <c r="BK19" s="373">
        <v>9.4</v>
      </c>
    </row>
    <row r="20" spans="2:63" x14ac:dyDescent="0.25">
      <c r="B20" s="326">
        <v>18</v>
      </c>
      <c r="C20" s="380" t="s">
        <v>1172</v>
      </c>
      <c r="D20" s="327">
        <v>21438000</v>
      </c>
      <c r="E20" s="351">
        <v>15190</v>
      </c>
      <c r="F20" s="351">
        <v>63000000</v>
      </c>
      <c r="G20" s="352">
        <v>26040</v>
      </c>
      <c r="H20" s="353">
        <v>4.96</v>
      </c>
      <c r="J20" s="328">
        <v>18</v>
      </c>
      <c r="K20" s="380" t="s">
        <v>1211</v>
      </c>
      <c r="L20" s="188">
        <v>560817708.33333325</v>
      </c>
      <c r="M20" s="323">
        <v>260290.32465277772</v>
      </c>
      <c r="N20" s="323">
        <v>183817708.33333334</v>
      </c>
      <c r="O20" s="323">
        <v>170629.31597222222</v>
      </c>
      <c r="P20" s="358">
        <v>14.461805555555555</v>
      </c>
      <c r="R20" s="192">
        <v>18</v>
      </c>
      <c r="S20" s="386"/>
      <c r="T20" s="193"/>
      <c r="U20" s="193"/>
      <c r="V20" s="193"/>
      <c r="W20" s="318"/>
      <c r="X20" s="792"/>
      <c r="Y20" s="723"/>
      <c r="Z20" s="192">
        <v>18</v>
      </c>
      <c r="AA20" s="386" t="s">
        <v>1194</v>
      </c>
      <c r="AB20" s="193">
        <v>26216000</v>
      </c>
      <c r="AC20" s="193">
        <v>14338.863000000001</v>
      </c>
      <c r="AD20" s="193">
        <v>2610000</v>
      </c>
      <c r="AE20" s="318">
        <v>2693.9682000000003</v>
      </c>
      <c r="AF20" s="792">
        <v>1.5249999999999999</v>
      </c>
      <c r="AH20" s="194">
        <v>18</v>
      </c>
      <c r="AI20" s="382" t="s">
        <v>1277</v>
      </c>
      <c r="AJ20" s="193">
        <v>96338000</v>
      </c>
      <c r="AK20" s="329">
        <v>46674.381600000001</v>
      </c>
      <c r="AL20" s="329">
        <v>899000</v>
      </c>
      <c r="AM20" s="330">
        <v>4550.5151999999998</v>
      </c>
      <c r="AN20" s="366">
        <v>6.7</v>
      </c>
      <c r="AP20" s="194">
        <v>18</v>
      </c>
      <c r="AQ20" s="382" t="s">
        <v>1277</v>
      </c>
      <c r="AR20" s="193">
        <v>96338000</v>
      </c>
      <c r="AS20" s="329">
        <v>46674.381600000001</v>
      </c>
      <c r="AT20" s="329">
        <v>899000</v>
      </c>
      <c r="AU20" s="330">
        <v>4550.5151999999998</v>
      </c>
      <c r="AV20" s="366">
        <v>6.7</v>
      </c>
      <c r="AX20"/>
      <c r="AY20"/>
      <c r="AZ20"/>
      <c r="BA20"/>
      <c r="BB20"/>
      <c r="BC20"/>
      <c r="BE20" s="370">
        <v>18</v>
      </c>
      <c r="BF20" s="384" t="s">
        <v>1311</v>
      </c>
      <c r="BG20" s="367">
        <v>394519042.96875</v>
      </c>
      <c r="BH20" s="193">
        <v>162421.875</v>
      </c>
      <c r="BI20" s="193">
        <v>9546386.71875</v>
      </c>
      <c r="BJ20" s="193">
        <v>25265.625</v>
      </c>
      <c r="BK20" s="366">
        <v>5.7</v>
      </c>
    </row>
    <row r="21" spans="2:63" x14ac:dyDescent="0.25">
      <c r="B21" s="326">
        <v>19</v>
      </c>
      <c r="C21" s="380" t="s">
        <v>1173</v>
      </c>
      <c r="D21" s="327">
        <v>20797000</v>
      </c>
      <c r="E21" s="351">
        <v>9378.119999999999</v>
      </c>
      <c r="F21" s="351">
        <v>1547000</v>
      </c>
      <c r="G21" s="352">
        <v>2513.48</v>
      </c>
      <c r="H21" s="353">
        <v>1.94</v>
      </c>
      <c r="J21" s="328">
        <v>19</v>
      </c>
      <c r="K21" s="380" t="s">
        <v>1213</v>
      </c>
      <c r="L21" s="188">
        <v>528834045.41015625</v>
      </c>
      <c r="M21" s="323">
        <v>245445.86114501953</v>
      </c>
      <c r="N21" s="323">
        <v>280464904.78515625</v>
      </c>
      <c r="O21" s="323">
        <v>195256.7653503418</v>
      </c>
      <c r="P21" s="358">
        <v>12.281901041666666</v>
      </c>
      <c r="R21" s="192">
        <v>19</v>
      </c>
      <c r="S21" s="386"/>
      <c r="T21" s="193"/>
      <c r="U21" s="193"/>
      <c r="V21" s="193"/>
      <c r="W21" s="318"/>
      <c r="X21" s="792"/>
      <c r="Y21" s="723"/>
      <c r="Z21" s="192">
        <v>19</v>
      </c>
      <c r="AA21" s="386"/>
      <c r="AB21" s="193"/>
      <c r="AC21" s="193"/>
      <c r="AD21" s="193"/>
      <c r="AE21" s="318"/>
      <c r="AF21" s="792"/>
      <c r="AH21" s="194">
        <v>19</v>
      </c>
      <c r="AI21" s="382" t="s">
        <v>1278</v>
      </c>
      <c r="AJ21" s="193">
        <v>94395000</v>
      </c>
      <c r="AK21" s="329">
        <v>41144.241600000001</v>
      </c>
      <c r="AL21" s="329">
        <v>377000</v>
      </c>
      <c r="AM21" s="330">
        <v>2559.6648</v>
      </c>
      <c r="AN21" s="366">
        <v>5.3</v>
      </c>
      <c r="AP21" s="194">
        <v>19</v>
      </c>
      <c r="AQ21" s="382" t="s">
        <v>1278</v>
      </c>
      <c r="AR21" s="193">
        <v>94395000</v>
      </c>
      <c r="AS21" s="329">
        <v>41144.241600000001</v>
      </c>
      <c r="AT21" s="329">
        <v>377000</v>
      </c>
      <c r="AU21" s="330">
        <v>2559.6648</v>
      </c>
      <c r="AV21" s="366">
        <v>5.3</v>
      </c>
      <c r="AX21"/>
      <c r="AY21"/>
      <c r="AZ21"/>
      <c r="BA21"/>
      <c r="BB21"/>
      <c r="BC21"/>
      <c r="BE21" s="370">
        <v>19</v>
      </c>
      <c r="BF21" s="384" t="s">
        <v>1731</v>
      </c>
      <c r="BG21" s="367">
        <v>333443359.375</v>
      </c>
      <c r="BH21" s="193">
        <v>119579.6875</v>
      </c>
      <c r="BI21" s="193">
        <v>174849609.375</v>
      </c>
      <c r="BJ21" s="193">
        <v>86592.1875</v>
      </c>
      <c r="BK21" s="366">
        <v>11.100000000000001</v>
      </c>
    </row>
    <row r="22" spans="2:63" x14ac:dyDescent="0.25">
      <c r="B22" s="326">
        <v>20</v>
      </c>
      <c r="C22" s="380" t="s">
        <v>1174</v>
      </c>
      <c r="D22" s="327">
        <v>16078000</v>
      </c>
      <c r="E22" s="351">
        <v>11393.12</v>
      </c>
      <c r="F22" s="351">
        <v>26578000</v>
      </c>
      <c r="G22" s="352">
        <v>14648.12</v>
      </c>
      <c r="H22" s="353">
        <v>3.72</v>
      </c>
      <c r="J22" s="328">
        <v>20</v>
      </c>
      <c r="K22" s="380" t="s">
        <v>1216</v>
      </c>
      <c r="L22" s="188">
        <v>527993876.13932288</v>
      </c>
      <c r="M22" s="323">
        <v>245055.91637505422</v>
      </c>
      <c r="N22" s="323">
        <v>82232157.389322907</v>
      </c>
      <c r="O22" s="323">
        <v>114498.35459391275</v>
      </c>
      <c r="P22" s="358">
        <v>15.684678819444445</v>
      </c>
      <c r="R22" s="192"/>
      <c r="S22" s="386"/>
      <c r="T22" s="193"/>
      <c r="U22" s="193"/>
      <c r="V22" s="193"/>
      <c r="W22" s="318"/>
      <c r="X22" s="792"/>
      <c r="Y22" s="723"/>
      <c r="Z22" s="192"/>
      <c r="AA22" s="386"/>
      <c r="AB22" s="193"/>
      <c r="AC22" s="193"/>
      <c r="AD22" s="193"/>
      <c r="AE22" s="318"/>
      <c r="AF22" s="792"/>
      <c r="AH22" s="194">
        <v>20</v>
      </c>
      <c r="AI22" s="382" t="s">
        <v>1279</v>
      </c>
      <c r="AJ22" s="193">
        <v>82592000</v>
      </c>
      <c r="AK22" s="329">
        <v>40006.612800000003</v>
      </c>
      <c r="AL22" s="329">
        <v>580000</v>
      </c>
      <c r="AM22" s="330">
        <v>3318.0839999999998</v>
      </c>
      <c r="AN22" s="366">
        <v>5.7</v>
      </c>
      <c r="AP22" s="194">
        <v>20</v>
      </c>
      <c r="AQ22" s="382" t="s">
        <v>1279</v>
      </c>
      <c r="AR22" s="193">
        <v>82592000</v>
      </c>
      <c r="AS22" s="329">
        <v>40006.612800000003</v>
      </c>
      <c r="AT22" s="329">
        <v>580000</v>
      </c>
      <c r="AU22" s="330">
        <v>3318.0839999999998</v>
      </c>
      <c r="AV22" s="366">
        <v>5.7</v>
      </c>
      <c r="AX22"/>
      <c r="AY22"/>
      <c r="AZ22"/>
      <c r="BA22"/>
      <c r="BB22"/>
      <c r="BC22"/>
      <c r="BE22" s="370">
        <v>20</v>
      </c>
      <c r="BF22" s="384" t="s">
        <v>1312</v>
      </c>
      <c r="BG22" s="367">
        <v>222295573</v>
      </c>
      <c r="BH22" s="193">
        <v>79720</v>
      </c>
      <c r="BI22" s="193">
        <v>51807292</v>
      </c>
      <c r="BJ22" s="193">
        <v>38485</v>
      </c>
      <c r="BK22" s="366">
        <v>7.4</v>
      </c>
    </row>
    <row r="23" spans="2:63" x14ac:dyDescent="0.25">
      <c r="B23" s="326">
        <v>21</v>
      </c>
      <c r="C23" s="380" t="s">
        <v>1175</v>
      </c>
      <c r="D23" s="327">
        <v>14482000</v>
      </c>
      <c r="E23" s="351">
        <v>7366.84</v>
      </c>
      <c r="F23" s="351">
        <v>1371000</v>
      </c>
      <c r="G23" s="352">
        <v>2266.7200000000003</v>
      </c>
      <c r="H23" s="353">
        <v>1.94</v>
      </c>
      <c r="J23" s="328">
        <v>21</v>
      </c>
      <c r="K23" s="380" t="s">
        <v>1214</v>
      </c>
      <c r="L23" s="188">
        <v>525327046.7122395</v>
      </c>
      <c r="M23" s="323">
        <v>292581.80440266925</v>
      </c>
      <c r="N23" s="323">
        <v>366874898.27473962</v>
      </c>
      <c r="O23" s="323">
        <v>255414.50892130536</v>
      </c>
      <c r="P23" s="358">
        <v>17.811414930555557</v>
      </c>
      <c r="R23" s="192"/>
      <c r="S23" s="387"/>
      <c r="T23" s="195"/>
      <c r="U23" s="193"/>
      <c r="V23" s="193"/>
      <c r="W23" s="318"/>
      <c r="X23" s="792"/>
      <c r="Y23" s="723"/>
      <c r="Z23" s="192"/>
      <c r="AA23" s="387"/>
      <c r="AB23" s="195"/>
      <c r="AC23" s="193"/>
      <c r="AD23" s="193"/>
      <c r="AE23" s="318"/>
      <c r="AF23" s="792"/>
      <c r="AH23" s="194">
        <v>21</v>
      </c>
      <c r="AI23" s="382" t="s">
        <v>1280</v>
      </c>
      <c r="AJ23" s="193">
        <v>77343000</v>
      </c>
      <c r="AK23" s="329">
        <v>42123.866399999999</v>
      </c>
      <c r="AL23" s="329">
        <v>1218000</v>
      </c>
      <c r="AM23" s="330">
        <v>5277.3335999999999</v>
      </c>
      <c r="AN23" s="366">
        <v>6.8</v>
      </c>
      <c r="AP23" s="194">
        <v>21</v>
      </c>
      <c r="AQ23" s="382" t="s">
        <v>1280</v>
      </c>
      <c r="AR23" s="193">
        <v>77343000</v>
      </c>
      <c r="AS23" s="329">
        <v>42123.866399999999</v>
      </c>
      <c r="AT23" s="329">
        <v>1218000</v>
      </c>
      <c r="AU23" s="330">
        <v>5277.3335999999999</v>
      </c>
      <c r="AV23" s="366">
        <v>6.8</v>
      </c>
      <c r="AX23"/>
      <c r="AY23"/>
      <c r="AZ23"/>
      <c r="BA23"/>
      <c r="BB23"/>
      <c r="BC23"/>
      <c r="BE23" s="370">
        <v>21</v>
      </c>
      <c r="BF23" s="384" t="s">
        <v>1313</v>
      </c>
      <c r="BG23" s="367">
        <v>219298470.05208331</v>
      </c>
      <c r="BH23" s="193">
        <v>109805.20833333334</v>
      </c>
      <c r="BI23" s="193">
        <v>7849251.302083333</v>
      </c>
      <c r="BJ23" s="193">
        <v>20773.958333333336</v>
      </c>
      <c r="BK23" s="366">
        <v>4.7</v>
      </c>
    </row>
    <row r="24" spans="2:63" x14ac:dyDescent="0.25">
      <c r="B24" s="326">
        <v>22</v>
      </c>
      <c r="C24" s="380" t="s">
        <v>1154</v>
      </c>
      <c r="D24" s="327">
        <v>10719000</v>
      </c>
      <c r="E24" s="351">
        <v>7595</v>
      </c>
      <c r="F24" s="351">
        <v>7875000</v>
      </c>
      <c r="G24" s="352">
        <v>6510</v>
      </c>
      <c r="H24" s="353">
        <v>2.48</v>
      </c>
      <c r="J24" s="328">
        <v>22</v>
      </c>
      <c r="K24" s="380" t="s">
        <v>1215</v>
      </c>
      <c r="L24" s="188">
        <v>506055664.0625</v>
      </c>
      <c r="M24" s="323">
        <v>176155.35913085938</v>
      </c>
      <c r="N24" s="323">
        <v>54290039.062499985</v>
      </c>
      <c r="O24" s="323">
        <v>75592.327148437485</v>
      </c>
      <c r="P24" s="358">
        <v>8.2942708333333339</v>
      </c>
      <c r="R24" s="192"/>
      <c r="S24" s="387"/>
      <c r="T24" s="195"/>
      <c r="U24" s="193"/>
      <c r="V24" s="193"/>
      <c r="W24" s="318"/>
      <c r="X24" s="792"/>
      <c r="Y24" s="723"/>
      <c r="Z24" s="192"/>
      <c r="AA24" s="387"/>
      <c r="AB24" s="195"/>
      <c r="AC24" s="193"/>
      <c r="AD24" s="193"/>
      <c r="AE24" s="318"/>
      <c r="AF24" s="792"/>
      <c r="AH24" s="194">
        <v>22</v>
      </c>
      <c r="AI24" s="382" t="s">
        <v>1281</v>
      </c>
      <c r="AJ24" s="193">
        <v>75516000</v>
      </c>
      <c r="AK24" s="329">
        <v>32928.033600000002</v>
      </c>
      <c r="AL24" s="329">
        <v>203000</v>
      </c>
      <c r="AM24" s="330">
        <v>1643.2415999999998</v>
      </c>
      <c r="AN24" s="366">
        <v>4.3</v>
      </c>
      <c r="AP24" s="194">
        <v>22</v>
      </c>
      <c r="AQ24" s="382" t="s">
        <v>1281</v>
      </c>
      <c r="AR24" s="193">
        <v>75516000</v>
      </c>
      <c r="AS24" s="329">
        <v>32928.033600000002</v>
      </c>
      <c r="AT24" s="329">
        <v>203000</v>
      </c>
      <c r="AU24" s="330">
        <v>1643.2415999999998</v>
      </c>
      <c r="AV24" s="366">
        <v>4.3</v>
      </c>
      <c r="AX24"/>
      <c r="AY24"/>
      <c r="AZ24"/>
      <c r="BA24"/>
      <c r="BB24"/>
      <c r="BC24"/>
      <c r="BE24" s="370">
        <v>22</v>
      </c>
      <c r="BF24" s="384" t="s">
        <v>1739</v>
      </c>
      <c r="BG24" s="367">
        <v>194109167</v>
      </c>
      <c r="BH24" s="193">
        <v>91758</v>
      </c>
      <c r="BI24" s="193">
        <v>314416667</v>
      </c>
      <c r="BJ24" s="193">
        <v>116783</v>
      </c>
      <c r="BK24" s="366">
        <v>11.2</v>
      </c>
    </row>
    <row r="25" spans="2:63" x14ac:dyDescent="0.25">
      <c r="B25" s="326">
        <v>23</v>
      </c>
      <c r="C25" s="380" t="s">
        <v>1153</v>
      </c>
      <c r="D25" s="327">
        <v>5359000</v>
      </c>
      <c r="E25" s="351">
        <v>3798.1200000000003</v>
      </c>
      <c r="F25" s="351">
        <v>984000</v>
      </c>
      <c r="G25" s="352">
        <v>1628.12</v>
      </c>
      <c r="H25" s="353">
        <v>1.24</v>
      </c>
      <c r="J25" s="328">
        <v>23</v>
      </c>
      <c r="K25" s="380" t="s">
        <v>1217</v>
      </c>
      <c r="L25" s="188">
        <v>488836914.0625</v>
      </c>
      <c r="M25" s="323">
        <v>272258.56210937497</v>
      </c>
      <c r="N25" s="323">
        <v>209258789.0625</v>
      </c>
      <c r="O25" s="323">
        <v>194245.072265625</v>
      </c>
      <c r="P25" s="358">
        <v>18.502604166666668</v>
      </c>
      <c r="R25" s="192"/>
      <c r="S25" s="387"/>
      <c r="T25" s="195"/>
      <c r="U25" s="193"/>
      <c r="V25" s="193"/>
      <c r="W25" s="318"/>
      <c r="X25" s="792"/>
      <c r="Y25" s="723"/>
      <c r="Z25" s="192"/>
      <c r="AA25" s="387"/>
      <c r="AB25" s="195"/>
      <c r="AC25" s="193"/>
      <c r="AD25" s="193"/>
      <c r="AE25" s="318"/>
      <c r="AF25" s="792"/>
      <c r="AH25" s="194">
        <v>23</v>
      </c>
      <c r="AI25" s="382" t="s">
        <v>1282</v>
      </c>
      <c r="AJ25" s="193">
        <v>75400000</v>
      </c>
      <c r="AK25" s="329">
        <v>29862.755999999998</v>
      </c>
      <c r="AL25" s="329">
        <v>87000</v>
      </c>
      <c r="AM25" s="330">
        <v>1011.2256</v>
      </c>
      <c r="AN25" s="366">
        <v>3.5</v>
      </c>
      <c r="AP25" s="194">
        <v>23</v>
      </c>
      <c r="AQ25" s="382" t="s">
        <v>1282</v>
      </c>
      <c r="AR25" s="193">
        <v>75400000</v>
      </c>
      <c r="AS25" s="329">
        <v>29862.755999999998</v>
      </c>
      <c r="AT25" s="329">
        <v>87000</v>
      </c>
      <c r="AU25" s="330">
        <v>1011.2256</v>
      </c>
      <c r="AV25" s="366">
        <v>3.5</v>
      </c>
      <c r="BE25" s="370">
        <v>23</v>
      </c>
      <c r="BF25" s="384" t="s">
        <v>1314</v>
      </c>
      <c r="BG25" s="367">
        <v>145578125</v>
      </c>
      <c r="BH25" s="193">
        <v>68818.75</v>
      </c>
      <c r="BI25" s="193">
        <v>132644531.25</v>
      </c>
      <c r="BJ25" s="193">
        <v>65690.625</v>
      </c>
      <c r="BK25" s="366">
        <v>8.3999999999999986</v>
      </c>
    </row>
    <row r="26" spans="2:63" ht="15.75" thickBot="1" x14ac:dyDescent="0.3">
      <c r="B26" s="331"/>
      <c r="C26" s="198"/>
      <c r="D26" s="333"/>
      <c r="E26" s="333"/>
      <c r="F26" s="333"/>
      <c r="G26" s="335"/>
      <c r="H26" s="336"/>
      <c r="J26" s="328">
        <v>24</v>
      </c>
      <c r="K26" s="380" t="s">
        <v>1220</v>
      </c>
      <c r="L26" s="188">
        <v>440890625</v>
      </c>
      <c r="M26" s="323">
        <v>204628.99479166666</v>
      </c>
      <c r="N26" s="323">
        <v>71140625</v>
      </c>
      <c r="O26" s="323">
        <v>99054.734375</v>
      </c>
      <c r="P26" s="358">
        <v>12.760416666666666</v>
      </c>
      <c r="R26" s="192"/>
      <c r="S26" s="387"/>
      <c r="T26" s="195"/>
      <c r="U26" s="193"/>
      <c r="V26" s="193"/>
      <c r="W26" s="318"/>
      <c r="X26" s="792"/>
      <c r="Y26" s="723"/>
      <c r="Z26" s="192"/>
      <c r="AA26" s="387"/>
      <c r="AB26" s="195"/>
      <c r="AC26" s="193"/>
      <c r="AD26" s="193"/>
      <c r="AE26" s="318"/>
      <c r="AF26" s="792"/>
      <c r="AH26" s="194">
        <v>24</v>
      </c>
      <c r="AI26" s="382" t="s">
        <v>1283</v>
      </c>
      <c r="AJ26" s="193">
        <v>68817000</v>
      </c>
      <c r="AK26" s="329">
        <v>33338.843999999997</v>
      </c>
      <c r="AL26" s="329">
        <v>319000</v>
      </c>
      <c r="AM26" s="330">
        <v>2306.8583999999996</v>
      </c>
      <c r="AN26" s="366">
        <v>4.8</v>
      </c>
      <c r="AP26" s="194">
        <v>24</v>
      </c>
      <c r="AQ26" s="382" t="s">
        <v>1283</v>
      </c>
      <c r="AR26" s="193">
        <v>68817000</v>
      </c>
      <c r="AS26" s="329">
        <v>33338.843999999997</v>
      </c>
      <c r="AT26" s="329">
        <v>319000</v>
      </c>
      <c r="AU26" s="330">
        <v>2306.8583999999996</v>
      </c>
      <c r="AV26" s="366">
        <v>4.8</v>
      </c>
      <c r="BE26" s="370">
        <v>24</v>
      </c>
      <c r="BF26" s="384" t="s">
        <v>1315</v>
      </c>
      <c r="BG26" s="367">
        <v>111147786</v>
      </c>
      <c r="BH26" s="193">
        <v>39860</v>
      </c>
      <c r="BI26" s="193">
        <v>6475911</v>
      </c>
      <c r="BJ26" s="193">
        <v>9621</v>
      </c>
      <c r="BK26" s="366">
        <v>3.7</v>
      </c>
    </row>
    <row r="27" spans="2:63" x14ac:dyDescent="0.25">
      <c r="J27" s="328">
        <v>25</v>
      </c>
      <c r="K27" s="380" t="s">
        <v>1219</v>
      </c>
      <c r="L27" s="188">
        <v>437567708.33333325</v>
      </c>
      <c r="M27" s="323">
        <v>243704.08958333329</v>
      </c>
      <c r="N27" s="323">
        <v>307067708.33333337</v>
      </c>
      <c r="O27" s="323">
        <v>213777.36197916669</v>
      </c>
      <c r="P27" s="358">
        <v>14.461805555555555</v>
      </c>
      <c r="R27" s="192"/>
      <c r="S27" s="387"/>
      <c r="T27" s="195"/>
      <c r="U27" s="193"/>
      <c r="V27" s="193"/>
      <c r="W27" s="318"/>
      <c r="X27" s="792"/>
      <c r="Y27" s="723"/>
      <c r="Z27" s="192"/>
      <c r="AA27" s="387"/>
      <c r="AB27" s="195"/>
      <c r="AC27" s="193"/>
      <c r="AD27" s="193"/>
      <c r="AE27" s="318"/>
      <c r="AF27" s="792"/>
      <c r="AH27" s="194">
        <v>25</v>
      </c>
      <c r="AI27" s="382" t="s">
        <v>1284</v>
      </c>
      <c r="AJ27" s="193">
        <v>67657000</v>
      </c>
      <c r="AK27" s="329">
        <v>36878.133600000001</v>
      </c>
      <c r="AL27" s="329">
        <v>812000</v>
      </c>
      <c r="AM27" s="330">
        <v>4044.9023999999999</v>
      </c>
      <c r="AN27" s="366">
        <v>6</v>
      </c>
      <c r="AP27" s="194">
        <v>25</v>
      </c>
      <c r="AQ27" s="382" t="s">
        <v>1284</v>
      </c>
      <c r="AR27" s="193">
        <v>67657000</v>
      </c>
      <c r="AS27" s="329">
        <v>36878.133600000001</v>
      </c>
      <c r="AT27" s="329">
        <v>812000</v>
      </c>
      <c r="AU27" s="330">
        <v>4044.9023999999999</v>
      </c>
      <c r="AV27" s="366">
        <v>6</v>
      </c>
      <c r="BE27" s="370">
        <v>25</v>
      </c>
      <c r="BF27" s="384" t="s">
        <v>1316</v>
      </c>
      <c r="BG27" s="367">
        <v>97052083</v>
      </c>
      <c r="BH27" s="193">
        <v>45879</v>
      </c>
      <c r="BI27" s="193">
        <v>39302083</v>
      </c>
      <c r="BJ27" s="193">
        <v>29196</v>
      </c>
      <c r="BK27" s="366">
        <v>5.6</v>
      </c>
    </row>
    <row r="28" spans="2:63" x14ac:dyDescent="0.25">
      <c r="J28" s="328">
        <v>26</v>
      </c>
      <c r="K28" s="380" t="s">
        <v>1218</v>
      </c>
      <c r="L28" s="188">
        <v>436948791.50390625</v>
      </c>
      <c r="M28" s="323">
        <v>202799.48565673828</v>
      </c>
      <c r="N28" s="323">
        <v>145617736.81640625</v>
      </c>
      <c r="O28" s="323">
        <v>135170.08264160156</v>
      </c>
      <c r="P28" s="358">
        <v>11.005859375</v>
      </c>
      <c r="R28" s="192"/>
      <c r="S28" s="387"/>
      <c r="T28" s="195"/>
      <c r="U28" s="193"/>
      <c r="V28" s="193"/>
      <c r="W28" s="318"/>
      <c r="X28" s="792"/>
      <c r="Y28" s="723"/>
      <c r="Z28" s="192"/>
      <c r="AA28" s="387"/>
      <c r="AB28" s="195"/>
      <c r="AC28" s="193"/>
      <c r="AD28" s="193"/>
      <c r="AE28" s="318"/>
      <c r="AF28" s="792"/>
      <c r="AH28" s="194">
        <v>26</v>
      </c>
      <c r="AI28" s="382" t="s">
        <v>1285</v>
      </c>
      <c r="AJ28" s="193">
        <v>58000000</v>
      </c>
      <c r="AK28" s="329">
        <v>31600.799999999999</v>
      </c>
      <c r="AL28" s="329">
        <v>521999.99999999994</v>
      </c>
      <c r="AM28" s="330">
        <v>2970.4751999999999</v>
      </c>
      <c r="AN28" s="366">
        <v>5.0999999999999996</v>
      </c>
      <c r="AP28" s="194">
        <v>26</v>
      </c>
      <c r="AQ28" s="382" t="s">
        <v>1285</v>
      </c>
      <c r="AR28" s="193">
        <v>58000000</v>
      </c>
      <c r="AS28" s="329">
        <v>31600.799999999999</v>
      </c>
      <c r="AT28" s="329">
        <v>521999.99999999994</v>
      </c>
      <c r="AU28" s="330">
        <v>2970.4751999999999</v>
      </c>
      <c r="AV28" s="366">
        <v>5.0999999999999996</v>
      </c>
      <c r="BE28" s="370">
        <v>26</v>
      </c>
      <c r="BF28" s="384" t="s">
        <v>1317</v>
      </c>
      <c r="BG28" s="367">
        <v>48526042</v>
      </c>
      <c r="BH28" s="193">
        <v>22940</v>
      </c>
      <c r="BI28" s="193">
        <v>4912760</v>
      </c>
      <c r="BJ28" s="193">
        <v>7299</v>
      </c>
      <c r="BK28" s="366">
        <v>2.8</v>
      </c>
    </row>
    <row r="29" spans="2:63" x14ac:dyDescent="0.25">
      <c r="J29" s="328">
        <v>27</v>
      </c>
      <c r="K29" s="380" t="s">
        <v>1221</v>
      </c>
      <c r="L29" s="188">
        <v>425615946.45182288</v>
      </c>
      <c r="M29" s="323">
        <v>237047.53519694009</v>
      </c>
      <c r="N29" s="323">
        <v>184610087.07682291</v>
      </c>
      <c r="O29" s="323">
        <v>171364.84381781684</v>
      </c>
      <c r="P29" s="358">
        <v>15.684678819444445</v>
      </c>
      <c r="R29" s="192"/>
      <c r="S29" s="193"/>
      <c r="T29" s="193"/>
      <c r="U29" s="193"/>
      <c r="V29" s="193"/>
      <c r="W29" s="318"/>
      <c r="X29" s="792"/>
      <c r="Y29" s="723"/>
      <c r="Z29" s="192"/>
      <c r="AA29" s="193"/>
      <c r="AB29" s="193"/>
      <c r="AC29" s="193"/>
      <c r="AD29" s="193"/>
      <c r="AE29" s="318"/>
      <c r="AF29" s="792"/>
      <c r="AH29" s="194">
        <v>27</v>
      </c>
      <c r="AI29" s="382" t="s">
        <v>1259</v>
      </c>
      <c r="AJ29" s="193">
        <v>56637000</v>
      </c>
      <c r="AK29" s="329">
        <v>24680.2248</v>
      </c>
      <c r="AL29" s="329">
        <v>87000</v>
      </c>
      <c r="AM29" s="330">
        <v>916.42320000000007</v>
      </c>
      <c r="AN29" s="366">
        <v>3.2</v>
      </c>
      <c r="AP29" s="194">
        <v>27</v>
      </c>
      <c r="AQ29" s="382" t="s">
        <v>1259</v>
      </c>
      <c r="AR29" s="193">
        <v>56637000</v>
      </c>
      <c r="AS29" s="329">
        <v>24680.2248</v>
      </c>
      <c r="AT29" s="329">
        <v>87000</v>
      </c>
      <c r="AU29" s="330">
        <v>916.42320000000007</v>
      </c>
      <c r="AV29" s="366">
        <v>3.2</v>
      </c>
      <c r="BE29" s="370">
        <v>27</v>
      </c>
      <c r="BF29" s="384" t="s">
        <v>1318</v>
      </c>
      <c r="BG29" s="367">
        <v>31751506</v>
      </c>
      <c r="BH29" s="193">
        <v>18981</v>
      </c>
      <c r="BI29" s="193">
        <v>20320964</v>
      </c>
      <c r="BJ29" s="193">
        <v>15181</v>
      </c>
      <c r="BK29" s="366">
        <v>4.5</v>
      </c>
    </row>
    <row r="30" spans="2:63" ht="15.75" thickBot="1" x14ac:dyDescent="0.3">
      <c r="J30" s="328">
        <v>28</v>
      </c>
      <c r="K30" s="380" t="s">
        <v>1222</v>
      </c>
      <c r="L30" s="188">
        <v>365133789.0625</v>
      </c>
      <c r="M30" s="323">
        <v>169468.24446614584</v>
      </c>
      <c r="N30" s="323">
        <v>195211914.0625</v>
      </c>
      <c r="O30" s="323">
        <v>135904.51513671875</v>
      </c>
      <c r="P30" s="358">
        <v>8.2942708333333339</v>
      </c>
      <c r="R30" s="196"/>
      <c r="S30" s="197"/>
      <c r="T30" s="197"/>
      <c r="U30" s="197"/>
      <c r="V30" s="197"/>
      <c r="W30" s="319"/>
      <c r="X30" s="793"/>
      <c r="Y30" s="723"/>
      <c r="Z30" s="196"/>
      <c r="AA30" s="197"/>
      <c r="AB30" s="197"/>
      <c r="AC30" s="197"/>
      <c r="AD30" s="197"/>
      <c r="AE30" s="319"/>
      <c r="AF30" s="793"/>
      <c r="AH30" s="194">
        <v>28</v>
      </c>
      <c r="AI30" s="382" t="s">
        <v>1286</v>
      </c>
      <c r="AJ30" s="193">
        <v>55042000</v>
      </c>
      <c r="AK30" s="329">
        <v>26671.075199999999</v>
      </c>
      <c r="AL30" s="329">
        <v>174000</v>
      </c>
      <c r="AM30" s="330">
        <v>1485.2375999999999</v>
      </c>
      <c r="AN30" s="366">
        <v>3.8</v>
      </c>
      <c r="AP30" s="194">
        <v>28</v>
      </c>
      <c r="AQ30" s="382" t="s">
        <v>1286</v>
      </c>
      <c r="AR30" s="193">
        <v>55042000</v>
      </c>
      <c r="AS30" s="329">
        <v>26671.075199999999</v>
      </c>
      <c r="AT30" s="329">
        <v>174000</v>
      </c>
      <c r="AU30" s="330">
        <v>1485.2375999999999</v>
      </c>
      <c r="AV30" s="366">
        <v>3.8</v>
      </c>
      <c r="BE30" s="370">
        <v>28</v>
      </c>
      <c r="BF30" s="384" t="s">
        <v>1721</v>
      </c>
      <c r="BG30" s="367">
        <v>20901563</v>
      </c>
      <c r="BH30" s="193">
        <v>15619</v>
      </c>
      <c r="BI30" s="193">
        <v>34551563</v>
      </c>
      <c r="BJ30" s="193">
        <v>20081</v>
      </c>
      <c r="BK30" s="366">
        <v>4.5</v>
      </c>
    </row>
    <row r="31" spans="2:63" x14ac:dyDescent="0.25">
      <c r="B31" s="149" t="s">
        <v>660</v>
      </c>
      <c r="C31" s="149"/>
      <c r="J31" s="328">
        <v>29</v>
      </c>
      <c r="K31" s="380" t="s">
        <v>1223</v>
      </c>
      <c r="L31" s="188">
        <v>355703125</v>
      </c>
      <c r="M31" s="323">
        <v>198109.46875</v>
      </c>
      <c r="N31" s="323">
        <v>156328125</v>
      </c>
      <c r="O31" s="323">
        <v>145112.03125</v>
      </c>
      <c r="P31" s="358">
        <v>9.7298177083333339</v>
      </c>
      <c r="AH31" s="194">
        <v>29</v>
      </c>
      <c r="AI31" s="382" t="s">
        <v>1287</v>
      </c>
      <c r="AJ31" s="193">
        <v>48343000</v>
      </c>
      <c r="AK31" s="329">
        <v>26323.466399999998</v>
      </c>
      <c r="AL31" s="329">
        <v>290000</v>
      </c>
      <c r="AM31" s="330">
        <v>2054.0520000000001</v>
      </c>
      <c r="AN31" s="366">
        <v>4.3</v>
      </c>
      <c r="AP31" s="194">
        <v>29</v>
      </c>
      <c r="AQ31" s="382" t="s">
        <v>1287</v>
      </c>
      <c r="AR31" s="193">
        <v>48343000</v>
      </c>
      <c r="AS31" s="329">
        <v>26323.466399999998</v>
      </c>
      <c r="AT31" s="329">
        <v>290000</v>
      </c>
      <c r="AU31" s="330">
        <v>2054.0520000000001</v>
      </c>
      <c r="AV31" s="366">
        <v>4.3</v>
      </c>
      <c r="BE31" s="370">
        <v>29</v>
      </c>
      <c r="BF31" s="384" t="s">
        <v>1722</v>
      </c>
      <c r="BG31" s="367">
        <v>13934375</v>
      </c>
      <c r="BH31" s="193">
        <v>10413</v>
      </c>
      <c r="BI31" s="193">
        <v>10237500</v>
      </c>
      <c r="BJ31" s="193">
        <v>8925</v>
      </c>
      <c r="BK31" s="366">
        <v>3</v>
      </c>
    </row>
    <row r="32" spans="2:63" x14ac:dyDescent="0.25">
      <c r="B32" s="355" t="s">
        <v>659</v>
      </c>
      <c r="C32" s="355"/>
      <c r="E32" s="355"/>
      <c r="J32" s="328">
        <v>30</v>
      </c>
      <c r="K32" s="380" t="s">
        <v>1225</v>
      </c>
      <c r="L32" s="188">
        <v>345063537.59765625</v>
      </c>
      <c r="M32" s="323">
        <v>160153.11016845703</v>
      </c>
      <c r="N32" s="323">
        <v>57669006.34765625</v>
      </c>
      <c r="O32" s="323">
        <v>80297.131286621094</v>
      </c>
      <c r="P32" s="358">
        <v>11.005859375</v>
      </c>
      <c r="S32"/>
      <c r="T32" s="770"/>
      <c r="U32" s="771"/>
      <c r="V32" s="770"/>
      <c r="W32" s="771"/>
      <c r="AA32" s="4" t="s">
        <v>801</v>
      </c>
      <c r="AH32" s="194">
        <v>30</v>
      </c>
      <c r="AI32" s="382" t="s">
        <v>1288</v>
      </c>
      <c r="AJ32" s="193">
        <v>41296000</v>
      </c>
      <c r="AK32" s="329">
        <v>20003.306400000001</v>
      </c>
      <c r="AL32" s="329">
        <v>58000</v>
      </c>
      <c r="AM32" s="330">
        <v>821.62079999999992</v>
      </c>
      <c r="AN32" s="366">
        <v>2.9</v>
      </c>
      <c r="AP32" s="194">
        <v>30</v>
      </c>
      <c r="AQ32" s="382" t="s">
        <v>1288</v>
      </c>
      <c r="AR32" s="193">
        <v>41296000</v>
      </c>
      <c r="AS32" s="329">
        <v>20003.306400000001</v>
      </c>
      <c r="AT32" s="329">
        <v>58000</v>
      </c>
      <c r="AU32" s="330">
        <v>821.62079999999992</v>
      </c>
      <c r="AV32" s="366">
        <v>2.9</v>
      </c>
      <c r="BE32" s="370">
        <v>30</v>
      </c>
      <c r="BF32" s="384" t="s">
        <v>1723</v>
      </c>
      <c r="BG32" s="367">
        <v>6967188</v>
      </c>
      <c r="BH32" s="193">
        <v>5206</v>
      </c>
      <c r="BI32" s="193">
        <v>1279688</v>
      </c>
      <c r="BJ32" s="193">
        <v>2231</v>
      </c>
      <c r="BK32" s="366">
        <v>1.5</v>
      </c>
    </row>
    <row r="33" spans="2:63" ht="15.75" thickBot="1" x14ac:dyDescent="0.3">
      <c r="J33" s="328">
        <v>31</v>
      </c>
      <c r="K33" s="380" t="s">
        <v>1224</v>
      </c>
      <c r="L33" s="188">
        <v>341650939.94140613</v>
      </c>
      <c r="M33" s="323">
        <v>190283.08005371087</v>
      </c>
      <c r="N33" s="323">
        <v>240915588.37890625</v>
      </c>
      <c r="O33" s="323">
        <v>167722.94039916992</v>
      </c>
      <c r="P33" s="358">
        <v>13.557942708333334</v>
      </c>
      <c r="S33"/>
      <c r="T33" s="770"/>
      <c r="U33" s="771"/>
      <c r="V33" s="770"/>
      <c r="W33" s="771"/>
      <c r="AA33" s="4" t="s">
        <v>879</v>
      </c>
      <c r="AH33" s="194">
        <v>31</v>
      </c>
      <c r="AI33" s="382" t="s">
        <v>1289</v>
      </c>
      <c r="AJ33" s="193">
        <v>38657000</v>
      </c>
      <c r="AK33" s="329">
        <v>21077.7336</v>
      </c>
      <c r="AL33" s="329">
        <v>145000</v>
      </c>
      <c r="AM33" s="330">
        <v>1327.2336</v>
      </c>
      <c r="AN33" s="366">
        <v>3.4</v>
      </c>
      <c r="AP33" s="194">
        <v>31</v>
      </c>
      <c r="AQ33" s="382" t="s">
        <v>1289</v>
      </c>
      <c r="AR33" s="193">
        <v>38657000</v>
      </c>
      <c r="AS33" s="329">
        <v>21077.7336</v>
      </c>
      <c r="AT33" s="329">
        <v>145000</v>
      </c>
      <c r="AU33" s="330">
        <v>1327.2336</v>
      </c>
      <c r="AV33" s="366">
        <v>3.4</v>
      </c>
      <c r="BE33" s="371"/>
      <c r="BF33" s="514"/>
      <c r="BG33" s="372"/>
      <c r="BH33" s="197"/>
      <c r="BI33" s="197"/>
      <c r="BJ33" s="197"/>
      <c r="BK33" s="363"/>
    </row>
    <row r="34" spans="2:63" x14ac:dyDescent="0.25">
      <c r="J34" s="328">
        <v>32</v>
      </c>
      <c r="K34" s="380" t="s">
        <v>1228</v>
      </c>
      <c r="L34" s="188">
        <v>325904846.19140619</v>
      </c>
      <c r="M34" s="323">
        <v>181513.26599121091</v>
      </c>
      <c r="N34" s="323">
        <v>69181213.37890625</v>
      </c>
      <c r="O34" s="323">
        <v>96326.490173339844</v>
      </c>
      <c r="P34" s="358">
        <v>11.909722222222221</v>
      </c>
      <c r="S34"/>
      <c r="T34" s="770"/>
      <c r="U34" s="771"/>
      <c r="V34" s="770"/>
      <c r="W34" s="771"/>
      <c r="AH34" s="194">
        <v>32</v>
      </c>
      <c r="AI34" s="382" t="s">
        <v>1745</v>
      </c>
      <c r="AJ34" s="193">
        <v>33495600</v>
      </c>
      <c r="AK34" s="329">
        <v>31695.84</v>
      </c>
      <c r="AL34" s="329">
        <v>27999599.999999996</v>
      </c>
      <c r="AM34" s="330">
        <v>28980.828000000001</v>
      </c>
      <c r="AN34" s="366"/>
      <c r="AP34" s="515">
        <v>32</v>
      </c>
      <c r="AQ34" s="516" t="s">
        <v>1290</v>
      </c>
      <c r="AR34" s="517">
        <v>29000000</v>
      </c>
      <c r="AS34" s="518">
        <v>15800.4</v>
      </c>
      <c r="AT34" s="518">
        <v>58000</v>
      </c>
      <c r="AU34" s="519">
        <v>726.8184</v>
      </c>
      <c r="AV34" s="520">
        <v>2.6</v>
      </c>
    </row>
    <row r="35" spans="2:63" ht="15.75" thickBot="1" x14ac:dyDescent="0.3">
      <c r="J35" s="328">
        <v>33</v>
      </c>
      <c r="K35" s="380" t="s">
        <v>1227</v>
      </c>
      <c r="L35" s="188">
        <v>314770833.33333337</v>
      </c>
      <c r="M35" s="323">
        <v>175312.15833333333</v>
      </c>
      <c r="N35" s="323">
        <v>101802083.33333334</v>
      </c>
      <c r="O35" s="323">
        <v>113397.69166666668</v>
      </c>
      <c r="P35" s="358">
        <v>7.4435763888888893</v>
      </c>
      <c r="S35"/>
      <c r="T35" s="770"/>
      <c r="U35" s="771"/>
      <c r="V35" s="770"/>
      <c r="W35" s="771"/>
      <c r="AH35" s="194">
        <v>33</v>
      </c>
      <c r="AI35" s="382" t="s">
        <v>1746</v>
      </c>
      <c r="AJ35" s="193">
        <v>29308800</v>
      </c>
      <c r="AK35" s="329">
        <v>27733.859999999997</v>
      </c>
      <c r="AL35" s="329">
        <v>18758400</v>
      </c>
      <c r="AM35" s="330">
        <v>22187.088</v>
      </c>
      <c r="AN35" s="366"/>
      <c r="AP35" s="199"/>
      <c r="AQ35" s="364"/>
      <c r="AR35" s="197"/>
      <c r="AS35" s="338"/>
      <c r="AT35" s="338"/>
      <c r="AU35" s="339"/>
      <c r="AV35" s="363"/>
      <c r="BF35" s="337"/>
    </row>
    <row r="36" spans="2:63" ht="15" customHeight="1" x14ac:dyDescent="0.25">
      <c r="B36" s="1342" t="s">
        <v>933</v>
      </c>
      <c r="C36" s="1343"/>
      <c r="D36" s="1343"/>
      <c r="E36" s="1343"/>
      <c r="F36" s="1344"/>
      <c r="J36" s="328">
        <v>34</v>
      </c>
      <c r="K36" s="380" t="s">
        <v>1226</v>
      </c>
      <c r="L36" s="188">
        <v>302564778.64583325</v>
      </c>
      <c r="M36" s="323">
        <v>140428.31260850691</v>
      </c>
      <c r="N36" s="323">
        <v>102510091.14583331</v>
      </c>
      <c r="O36" s="323">
        <v>95155.286675347219</v>
      </c>
      <c r="P36" s="358">
        <v>9.7298177083333339</v>
      </c>
      <c r="S36"/>
      <c r="T36" s="770"/>
      <c r="U36" s="771"/>
      <c r="V36" s="770"/>
      <c r="W36" s="771"/>
      <c r="AF36" s="4">
        <v>3.1771151359999998</v>
      </c>
      <c r="AH36" s="194">
        <v>34</v>
      </c>
      <c r="AI36" s="516" t="s">
        <v>1290</v>
      </c>
      <c r="AJ36" s="193">
        <v>29000000</v>
      </c>
      <c r="AK36" s="329">
        <v>15800.4</v>
      </c>
      <c r="AL36" s="329">
        <v>58000</v>
      </c>
      <c r="AM36" s="330">
        <v>726.8184</v>
      </c>
      <c r="AN36" s="366">
        <v>2.6</v>
      </c>
      <c r="BF36" s="337" t="s">
        <v>800</v>
      </c>
    </row>
    <row r="37" spans="2:63" ht="15" customHeight="1" x14ac:dyDescent="0.25">
      <c r="B37" s="1345"/>
      <c r="C37" s="1346"/>
      <c r="D37" s="1346"/>
      <c r="E37" s="1346"/>
      <c r="F37" s="1347"/>
      <c r="J37" s="328">
        <v>35</v>
      </c>
      <c r="K37" s="380" t="s">
        <v>1229</v>
      </c>
      <c r="L37" s="188">
        <v>278652404.78515625</v>
      </c>
      <c r="M37" s="323">
        <v>155195.93728027344</v>
      </c>
      <c r="N37" s="323">
        <v>124080139.16015625</v>
      </c>
      <c r="O37" s="323">
        <v>115177.74572753906</v>
      </c>
      <c r="P37" s="358">
        <v>12.760416666666666</v>
      </c>
      <c r="S37"/>
      <c r="T37" s="770"/>
      <c r="U37" s="771"/>
      <c r="V37" s="770"/>
      <c r="W37" s="771"/>
      <c r="AH37" s="194">
        <v>35</v>
      </c>
      <c r="AI37" s="380" t="s">
        <v>1747</v>
      </c>
      <c r="AJ37" s="193">
        <v>25122000</v>
      </c>
      <c r="AK37" s="329">
        <v>23771.88</v>
      </c>
      <c r="AL37" s="329">
        <v>11812800</v>
      </c>
      <c r="AM37" s="330">
        <v>16302.492</v>
      </c>
      <c r="AN37" s="366"/>
      <c r="AW37"/>
    </row>
    <row r="38" spans="2:63" ht="15" customHeight="1" x14ac:dyDescent="0.25">
      <c r="B38" s="1345"/>
      <c r="C38" s="1346"/>
      <c r="D38" s="1346"/>
      <c r="E38" s="1346"/>
      <c r="F38" s="1347"/>
      <c r="J38" s="328">
        <v>36</v>
      </c>
      <c r="K38" s="380" t="s">
        <v>1230</v>
      </c>
      <c r="L38" s="188">
        <v>273838541.66666663</v>
      </c>
      <c r="M38" s="323">
        <v>152514.84791666665</v>
      </c>
      <c r="N38" s="323">
        <v>59963541.666666672</v>
      </c>
      <c r="O38" s="323">
        <v>83491.994791666672</v>
      </c>
      <c r="P38" s="358">
        <v>11.059027777777779</v>
      </c>
      <c r="S38"/>
      <c r="T38" s="770"/>
      <c r="U38" s="771"/>
      <c r="V38" s="770"/>
      <c r="W38" s="771"/>
      <c r="AA38" s="341">
        <f>ABS(AE38*AF$36)</f>
        <v>25.416921087999999</v>
      </c>
      <c r="AB38" s="4">
        <v>4</v>
      </c>
      <c r="AC38" s="4">
        <v>5</v>
      </c>
      <c r="AD38" s="4">
        <v>0.5</v>
      </c>
      <c r="AE38" s="4">
        <f>(AB38*AC38-(AB38-2*AD38)*(AC38-2*AD38))</f>
        <v>8</v>
      </c>
      <c r="AF38" s="4">
        <f>AA38/AE38</f>
        <v>3.1771151359999998</v>
      </c>
      <c r="AG38" s="4" t="e">
        <f>(AF38-AF37)/AF37</f>
        <v>#DIV/0!</v>
      </c>
      <c r="AH38" s="194">
        <v>36</v>
      </c>
      <c r="AI38" s="380" t="s">
        <v>1748</v>
      </c>
      <c r="AJ38" s="193">
        <v>20935200</v>
      </c>
      <c r="AK38" s="329">
        <v>19809.899999999998</v>
      </c>
      <c r="AL38" s="329">
        <v>6836400</v>
      </c>
      <c r="AM38" s="330">
        <v>11319.588000000002</v>
      </c>
      <c r="AN38" s="366"/>
      <c r="AQ38"/>
      <c r="AR38"/>
      <c r="AS38"/>
      <c r="AT38"/>
      <c r="AU38"/>
      <c r="AW38"/>
      <c r="BF38" s="337"/>
    </row>
    <row r="39" spans="2:63" ht="15" customHeight="1" x14ac:dyDescent="0.25">
      <c r="B39" s="1345"/>
      <c r="C39" s="1346"/>
      <c r="D39" s="1346"/>
      <c r="E39" s="1346"/>
      <c r="F39" s="1347"/>
      <c r="J39" s="328">
        <v>37</v>
      </c>
      <c r="K39" s="380" t="s">
        <v>1231</v>
      </c>
      <c r="L39" s="188">
        <v>247153137.20703125</v>
      </c>
      <c r="M39" s="323">
        <v>137652.36589355467</v>
      </c>
      <c r="N39" s="323">
        <v>81550109.863281265</v>
      </c>
      <c r="O39" s="323">
        <v>90838.948583984398</v>
      </c>
      <c r="P39" s="358">
        <v>9.091796875</v>
      </c>
      <c r="S39"/>
      <c r="T39" s="770"/>
      <c r="U39" s="771"/>
      <c r="V39" s="770"/>
      <c r="W39" s="771"/>
      <c r="AA39" s="341">
        <f t="shared" ref="AA39:AA49" si="0">ABS(AE39*AF$36)</f>
        <v>13.502739327999999</v>
      </c>
      <c r="AB39" s="4">
        <v>4</v>
      </c>
      <c r="AC39" s="4">
        <v>5</v>
      </c>
      <c r="AD39" s="4">
        <v>0.25</v>
      </c>
      <c r="AE39" s="4">
        <f>(AB39*AC39-(AB39-2*AD39)*(AC39-2*AD39))</f>
        <v>4.25</v>
      </c>
      <c r="AF39" s="4">
        <f>AA39/AE39</f>
        <v>3.1771151359999998</v>
      </c>
      <c r="AG39" s="4">
        <f>(AF39-AF38)/AF38</f>
        <v>0</v>
      </c>
      <c r="AH39" s="194">
        <v>37</v>
      </c>
      <c r="AI39" s="380" t="s">
        <v>1749</v>
      </c>
      <c r="AJ39" s="193">
        <v>16748400</v>
      </c>
      <c r="AK39" s="329">
        <v>15847.92</v>
      </c>
      <c r="AL39" s="329">
        <v>3500400</v>
      </c>
      <c r="AM39" s="330">
        <v>7245.8279999999995</v>
      </c>
      <c r="AN39" s="366"/>
      <c r="AP39" t="s">
        <v>658</v>
      </c>
      <c r="AQ39"/>
      <c r="AR39"/>
      <c r="AS39"/>
      <c r="AT39"/>
      <c r="AU39"/>
      <c r="AW39"/>
      <c r="BF39" s="337"/>
    </row>
    <row r="40" spans="2:63" ht="15" customHeight="1" x14ac:dyDescent="0.25">
      <c r="B40" s="1345"/>
      <c r="C40" s="1346"/>
      <c r="D40" s="1346"/>
      <c r="E40" s="1346"/>
      <c r="F40" s="1347"/>
      <c r="J40" s="328">
        <v>38</v>
      </c>
      <c r="K40" s="380" t="s">
        <v>1258</v>
      </c>
      <c r="L40" s="188">
        <v>239995768.22916663</v>
      </c>
      <c r="M40" s="323">
        <v>111388.38075086803</v>
      </c>
      <c r="N40" s="323">
        <v>41527018.229166672</v>
      </c>
      <c r="O40" s="323">
        <v>57821.361002604172</v>
      </c>
      <c r="P40" s="358">
        <v>6.5928819444444446</v>
      </c>
      <c r="S40"/>
      <c r="T40" s="770"/>
      <c r="U40" s="771"/>
      <c r="V40" s="770"/>
      <c r="W40" s="771"/>
      <c r="AA40" s="341">
        <f t="shared" si="0"/>
        <v>10.275981767999999</v>
      </c>
      <c r="AB40" s="4">
        <v>4</v>
      </c>
      <c r="AC40" s="4">
        <v>5</v>
      </c>
      <c r="AD40" s="4">
        <v>0.1875</v>
      </c>
      <c r="AE40" s="4">
        <f>(AB40*AC40-(AB40-2*AD40)*(AC40-2*AD40))</f>
        <v>3.234375</v>
      </c>
      <c r="AF40" s="4">
        <f t="shared" ref="AF40:AF42" si="1">AA40/AE40</f>
        <v>3.1771151359999998</v>
      </c>
      <c r="AG40" s="4">
        <f>(AF40-AF39)/AF39</f>
        <v>0</v>
      </c>
      <c r="AH40" s="194">
        <v>38</v>
      </c>
      <c r="AI40" s="380" t="s">
        <v>1750</v>
      </c>
      <c r="AJ40" s="193">
        <v>12561600</v>
      </c>
      <c r="AK40" s="329">
        <v>11885.94</v>
      </c>
      <c r="AL40" s="329">
        <v>1476000</v>
      </c>
      <c r="AM40" s="330">
        <v>4076.2440000000001</v>
      </c>
      <c r="AN40" s="366"/>
      <c r="AP40" s="37" t="s">
        <v>657</v>
      </c>
      <c r="AQ40" s="37"/>
      <c r="AR40"/>
      <c r="AS40"/>
      <c r="AT40"/>
      <c r="AU40"/>
      <c r="AW40"/>
      <c r="BF40" s="337"/>
    </row>
    <row r="41" spans="2:63" ht="15.75" customHeight="1" thickBot="1" x14ac:dyDescent="0.3">
      <c r="B41" s="1348"/>
      <c r="C41" s="1349"/>
      <c r="D41" s="1349"/>
      <c r="E41" s="1349"/>
      <c r="F41" s="1350"/>
      <c r="J41" s="328">
        <v>39</v>
      </c>
      <c r="K41" s="380" t="s">
        <v>1232</v>
      </c>
      <c r="L41" s="188">
        <v>215653869.62890619</v>
      </c>
      <c r="M41" s="323">
        <v>120108.79450683591</v>
      </c>
      <c r="N41" s="323">
        <v>48705627.441406257</v>
      </c>
      <c r="O41" s="323">
        <v>67816.707946777358</v>
      </c>
      <c r="P41" s="358">
        <v>8.4537760416666661</v>
      </c>
      <c r="T41" s="770"/>
      <c r="U41" s="771"/>
      <c r="V41" s="770"/>
      <c r="W41" s="771"/>
      <c r="AA41" s="341">
        <f t="shared" si="0"/>
        <v>19.658399903999999</v>
      </c>
      <c r="AB41" s="4">
        <v>4</v>
      </c>
      <c r="AC41" s="4">
        <v>5</v>
      </c>
      <c r="AD41" s="4">
        <v>0.375</v>
      </c>
      <c r="AE41" s="4">
        <f>(AB41*AC41-(AB41-2*AD41)*(AC41-2*AD41))</f>
        <v>6.1875</v>
      </c>
      <c r="AF41" s="4">
        <f t="shared" si="1"/>
        <v>3.1771151359999998</v>
      </c>
      <c r="AG41" s="4">
        <f>(AF41-AF40)/AF40</f>
        <v>0</v>
      </c>
      <c r="AH41" s="194">
        <v>39</v>
      </c>
      <c r="AI41" s="380" t="s">
        <v>1751</v>
      </c>
      <c r="AJ41" s="193">
        <v>8373600</v>
      </c>
      <c r="AK41" s="329">
        <v>7923.96</v>
      </c>
      <c r="AL41" s="329">
        <v>438000</v>
      </c>
      <c r="AM41" s="330">
        <v>1813.32</v>
      </c>
      <c r="AN41" s="366"/>
      <c r="AQ41"/>
      <c r="AR41"/>
      <c r="AS41"/>
      <c r="AT41"/>
      <c r="AU41"/>
      <c r="AW41"/>
      <c r="BF41" s="337"/>
    </row>
    <row r="42" spans="2:63" ht="15.75" thickBot="1" x14ac:dyDescent="0.3">
      <c r="J42" s="328">
        <v>40</v>
      </c>
      <c r="K42" s="380" t="s">
        <v>1233</v>
      </c>
      <c r="L42" s="188">
        <v>212470194.49869794</v>
      </c>
      <c r="M42" s="323">
        <v>147919.5514424642</v>
      </c>
      <c r="N42" s="323">
        <v>97277323.404947907</v>
      </c>
      <c r="O42" s="323">
        <v>108357.5459798177</v>
      </c>
      <c r="P42" s="358">
        <v>12.494574652777779</v>
      </c>
      <c r="T42" s="770"/>
      <c r="U42" s="771"/>
      <c r="V42" s="770"/>
      <c r="W42" s="771"/>
      <c r="AA42" s="341">
        <f t="shared" si="0"/>
        <v>16.63021204</v>
      </c>
      <c r="AB42" s="4">
        <v>4</v>
      </c>
      <c r="AC42" s="4">
        <v>5</v>
      </c>
      <c r="AD42" s="4">
        <v>0.3125</v>
      </c>
      <c r="AE42" s="4">
        <f>(AB42*AC42-(AB42-2*AD42)*(AC42-2*AD42))</f>
        <v>5.234375</v>
      </c>
      <c r="AF42" s="4">
        <f t="shared" si="1"/>
        <v>3.1771151359999998</v>
      </c>
      <c r="AG42" s="4">
        <f t="shared" ref="AG42:AG49" si="2">(AF42-AF41)/AF41</f>
        <v>0</v>
      </c>
      <c r="AH42" s="199"/>
      <c r="AI42" s="364"/>
      <c r="AJ42" s="197"/>
      <c r="AK42" s="338"/>
      <c r="AL42" s="338"/>
      <c r="AM42" s="339"/>
      <c r="AN42" s="363"/>
      <c r="AQ42"/>
      <c r="AR42"/>
      <c r="AS42"/>
      <c r="AT42"/>
      <c r="AU42"/>
      <c r="AW42"/>
      <c r="BH42" s="340"/>
      <c r="BI42" s="340"/>
      <c r="BJ42" s="340"/>
      <c r="BK42" s="340"/>
    </row>
    <row r="43" spans="2:63" x14ac:dyDescent="0.25">
      <c r="J43" s="328">
        <v>41</v>
      </c>
      <c r="K43" s="380" t="s">
        <v>1235</v>
      </c>
      <c r="L43" s="188">
        <v>205633789.0625</v>
      </c>
      <c r="M43" s="323">
        <v>143160.11669921875</v>
      </c>
      <c r="N43" s="323">
        <v>61993164.0625</v>
      </c>
      <c r="O43" s="323">
        <v>86317.9990234375</v>
      </c>
      <c r="P43" s="358">
        <v>13.3984375</v>
      </c>
      <c r="T43" s="770"/>
      <c r="U43" s="771"/>
      <c r="V43" s="770"/>
      <c r="W43" s="771"/>
      <c r="AA43" s="341">
        <f t="shared" si="0"/>
        <v>28.594036224</v>
      </c>
      <c r="AB43" s="4">
        <v>4</v>
      </c>
      <c r="AC43" s="4">
        <v>6</v>
      </c>
      <c r="AD43" s="4">
        <v>0.5</v>
      </c>
      <c r="AE43" s="4">
        <f t="shared" ref="AE43:AE46" si="3">(AB43*AC43-(AB43-2*AD43)*(AC43-2*AD43))</f>
        <v>9</v>
      </c>
      <c r="AF43" s="4">
        <f t="shared" ref="AF43:AF46" si="4">AA43/AE43</f>
        <v>3.1771151359999998</v>
      </c>
      <c r="AG43" s="4">
        <f t="shared" si="2"/>
        <v>0</v>
      </c>
      <c r="AQ43"/>
      <c r="AR43"/>
      <c r="AS43"/>
      <c r="AT43"/>
      <c r="AU43"/>
      <c r="AW43"/>
      <c r="BF43" s="337"/>
      <c r="BH43" s="340"/>
      <c r="BI43" s="340"/>
      <c r="BJ43" s="340"/>
      <c r="BK43" s="340"/>
    </row>
    <row r="44" spans="2:63" x14ac:dyDescent="0.25">
      <c r="J44" s="328">
        <v>42</v>
      </c>
      <c r="K44" s="380" t="s">
        <v>1234</v>
      </c>
      <c r="L44" s="188">
        <v>194003580.72916663</v>
      </c>
      <c r="M44" s="323">
        <v>108050.62877604165</v>
      </c>
      <c r="N44" s="323">
        <v>87519205.729166687</v>
      </c>
      <c r="O44" s="323">
        <v>81239.954210069467</v>
      </c>
      <c r="P44" s="358">
        <v>6.5928819444444446</v>
      </c>
      <c r="T44" s="770"/>
      <c r="U44" s="771"/>
      <c r="V44" s="770"/>
      <c r="W44" s="771"/>
      <c r="AA44" s="341">
        <f t="shared" si="0"/>
        <v>15.091296895999999</v>
      </c>
      <c r="AB44" s="4">
        <v>4</v>
      </c>
      <c r="AC44" s="4">
        <v>6</v>
      </c>
      <c r="AD44" s="4">
        <v>0.25</v>
      </c>
      <c r="AE44" s="4">
        <f t="shared" si="3"/>
        <v>4.75</v>
      </c>
      <c r="AF44" s="4">
        <f t="shared" si="4"/>
        <v>3.1771151359999998</v>
      </c>
      <c r="AG44" s="4">
        <f t="shared" si="2"/>
        <v>0</v>
      </c>
      <c r="AQ44"/>
      <c r="AR44"/>
      <c r="AS44"/>
      <c r="AT44"/>
      <c r="AU44"/>
      <c r="AW44"/>
      <c r="BH44" s="340"/>
      <c r="BI44" s="340"/>
      <c r="BJ44" s="340"/>
      <c r="BK44" s="340"/>
    </row>
    <row r="45" spans="2:63" x14ac:dyDescent="0.25">
      <c r="J45" s="328">
        <v>43</v>
      </c>
      <c r="K45" s="380" t="s">
        <v>1238</v>
      </c>
      <c r="L45" s="188">
        <v>181589253.74348956</v>
      </c>
      <c r="M45" s="323">
        <v>126420.55994669595</v>
      </c>
      <c r="N45" s="323">
        <v>56130269.368489578</v>
      </c>
      <c r="O45" s="323">
        <v>78154.625752766922</v>
      </c>
      <c r="P45" s="358">
        <v>11.431206597222221</v>
      </c>
      <c r="T45" s="770"/>
      <c r="U45" s="771"/>
      <c r="V45" s="770"/>
      <c r="W45" s="771"/>
      <c r="AA45" s="341">
        <f t="shared" si="0"/>
        <v>7.7442181439999995</v>
      </c>
      <c r="AB45" s="4">
        <v>4</v>
      </c>
      <c r="AC45" s="4">
        <v>6</v>
      </c>
      <c r="AD45" s="4">
        <v>0.125</v>
      </c>
      <c r="AE45" s="4">
        <f t="shared" si="3"/>
        <v>2.4375</v>
      </c>
      <c r="AF45" s="4">
        <f t="shared" si="4"/>
        <v>3.1771151359999998</v>
      </c>
      <c r="AG45" s="4">
        <f t="shared" si="2"/>
        <v>0</v>
      </c>
      <c r="AQ45"/>
      <c r="AR45"/>
      <c r="AS45"/>
      <c r="AT45"/>
      <c r="AU45"/>
      <c r="AW45"/>
      <c r="BF45" s="337"/>
      <c r="BH45" s="340"/>
      <c r="BI45" s="340"/>
      <c r="BJ45" s="340"/>
      <c r="BK45" s="340"/>
    </row>
    <row r="46" spans="2:63" x14ac:dyDescent="0.25">
      <c r="J46" s="328">
        <v>44</v>
      </c>
      <c r="K46" s="380" t="s">
        <v>1237</v>
      </c>
      <c r="L46" s="188">
        <v>179437500.00000003</v>
      </c>
      <c r="M46" s="323">
        <v>124922.53125000001</v>
      </c>
      <c r="N46" s="323">
        <v>83374999.999999985</v>
      </c>
      <c r="O46" s="323">
        <v>92871.7</v>
      </c>
      <c r="P46" s="358">
        <v>10.208333333333334</v>
      </c>
      <c r="T46" s="770"/>
      <c r="U46" s="771"/>
      <c r="V46" s="770"/>
      <c r="W46" s="771"/>
      <c r="AA46" s="341">
        <f t="shared" si="0"/>
        <v>11.467399944</v>
      </c>
      <c r="AB46" s="4">
        <v>4</v>
      </c>
      <c r="AC46" s="4">
        <v>6</v>
      </c>
      <c r="AD46" s="4">
        <v>0.1875</v>
      </c>
      <c r="AE46" s="4">
        <f t="shared" si="3"/>
        <v>3.609375</v>
      </c>
      <c r="AF46" s="4">
        <f t="shared" si="4"/>
        <v>3.1771151360000003</v>
      </c>
      <c r="AG46" s="4">
        <f t="shared" si="2"/>
        <v>1.3977749966253115E-16</v>
      </c>
      <c r="AQ46"/>
      <c r="AR46"/>
      <c r="AS46"/>
      <c r="AT46"/>
      <c r="AU46"/>
      <c r="AW46"/>
      <c r="BF46" s="337"/>
      <c r="BH46" s="340"/>
      <c r="BI46" s="340"/>
      <c r="BJ46" s="340"/>
      <c r="BK46" s="340"/>
    </row>
    <row r="47" spans="2:63" x14ac:dyDescent="0.25">
      <c r="J47" s="328">
        <v>45</v>
      </c>
      <c r="K47" s="380" t="s">
        <v>1236</v>
      </c>
      <c r="L47" s="188">
        <v>172461263.02083337</v>
      </c>
      <c r="M47" s="323">
        <v>96052.597786458355</v>
      </c>
      <c r="N47" s="323">
        <v>58047200.520833343</v>
      </c>
      <c r="O47" s="323">
        <v>64658.976822916673</v>
      </c>
      <c r="P47" s="358">
        <v>6.1675347222222223</v>
      </c>
      <c r="T47" s="770"/>
      <c r="U47" s="771"/>
      <c r="V47" s="770"/>
      <c r="W47" s="771"/>
      <c r="AA47" s="341">
        <f t="shared" si="0"/>
        <v>22.041236255999998</v>
      </c>
      <c r="AB47" s="4">
        <v>4</v>
      </c>
      <c r="AC47" s="4">
        <v>6</v>
      </c>
      <c r="AD47" s="4">
        <v>0.375</v>
      </c>
      <c r="AE47" s="4">
        <f t="shared" ref="AE47:AE49" si="5">(AB47*AC47-(AB47-2*AD47)*(AC47-2*AD47))</f>
        <v>6.9375</v>
      </c>
      <c r="AF47" s="4">
        <f t="shared" ref="AF47:AF49" si="6">AA47/AE47</f>
        <v>3.1771151359999998</v>
      </c>
      <c r="AG47" s="4">
        <f t="shared" si="2"/>
        <v>-1.3977749966253113E-16</v>
      </c>
      <c r="AQ47"/>
      <c r="AR47"/>
      <c r="AS47"/>
      <c r="AT47"/>
      <c r="AU47"/>
      <c r="AW47"/>
      <c r="BF47" s="337"/>
    </row>
    <row r="48" spans="2:63" x14ac:dyDescent="0.25">
      <c r="J48" s="328">
        <v>46</v>
      </c>
      <c r="K48" s="380" t="s">
        <v>1240</v>
      </c>
      <c r="L48" s="188">
        <v>153911458.33333331</v>
      </c>
      <c r="M48" s="323">
        <v>107151.56510416666</v>
      </c>
      <c r="N48" s="323">
        <v>48786458.333333328</v>
      </c>
      <c r="O48" s="323">
        <v>67929.255208333328</v>
      </c>
      <c r="P48" s="358">
        <v>9.3576388888888893</v>
      </c>
      <c r="T48" s="770"/>
      <c r="U48" s="771"/>
      <c r="V48" s="770"/>
      <c r="W48" s="771"/>
      <c r="AA48" s="341">
        <f t="shared" si="0"/>
        <v>18.615908999999998</v>
      </c>
      <c r="AB48" s="4">
        <v>4</v>
      </c>
      <c r="AC48" s="4">
        <v>6</v>
      </c>
      <c r="AD48" s="4">
        <v>0.3125</v>
      </c>
      <c r="AE48" s="4">
        <f t="shared" si="5"/>
        <v>5.859375</v>
      </c>
      <c r="AF48" s="4">
        <f t="shared" si="6"/>
        <v>3.1771151359999998</v>
      </c>
      <c r="AG48" s="4">
        <f t="shared" si="2"/>
        <v>0</v>
      </c>
      <c r="AQ48"/>
      <c r="AR48"/>
      <c r="AS48"/>
      <c r="AT48"/>
      <c r="AU48"/>
      <c r="BF48" s="337"/>
    </row>
    <row r="49" spans="10:33" x14ac:dyDescent="0.25">
      <c r="J49" s="328">
        <v>47</v>
      </c>
      <c r="K49" s="380" t="s">
        <v>1239</v>
      </c>
      <c r="L49" s="188">
        <v>150918945.31249994</v>
      </c>
      <c r="M49" s="323">
        <v>84054.566796874977</v>
      </c>
      <c r="N49" s="323">
        <v>35145507.8125</v>
      </c>
      <c r="O49" s="323">
        <v>48935.8779296875</v>
      </c>
      <c r="P49" s="358">
        <v>5.7421875</v>
      </c>
      <c r="T49" s="770"/>
      <c r="U49" s="771"/>
      <c r="V49" s="770"/>
      <c r="W49" s="771"/>
      <c r="AA49" s="341">
        <f t="shared" si="0"/>
        <v>0</v>
      </c>
      <c r="AE49" s="4">
        <f t="shared" si="5"/>
        <v>0</v>
      </c>
      <c r="AF49" s="4" t="e">
        <f t="shared" si="6"/>
        <v>#DIV/0!</v>
      </c>
      <c r="AG49" s="4" t="e">
        <f t="shared" si="2"/>
        <v>#DIV/0!</v>
      </c>
    </row>
    <row r="50" spans="10:33" x14ac:dyDescent="0.25">
      <c r="J50" s="328">
        <v>48</v>
      </c>
      <c r="K50" s="380" t="s">
        <v>1241</v>
      </c>
      <c r="L50" s="188">
        <v>142042297.36328125</v>
      </c>
      <c r="M50" s="323">
        <v>98888.378021240234</v>
      </c>
      <c r="N50" s="323">
        <v>66979309.082031235</v>
      </c>
      <c r="O50" s="323">
        <v>74608.483349609363</v>
      </c>
      <c r="P50" s="358">
        <v>7.815755208333333</v>
      </c>
      <c r="T50" s="770"/>
      <c r="U50" s="771"/>
      <c r="V50" s="770"/>
      <c r="W50" s="771"/>
    </row>
    <row r="51" spans="10:33" x14ac:dyDescent="0.25">
      <c r="J51" s="328">
        <v>49</v>
      </c>
      <c r="K51" s="380" t="s">
        <v>1242</v>
      </c>
      <c r="L51" s="188">
        <v>133813476.5625</v>
      </c>
      <c r="M51" s="188">
        <v>124212.744140625</v>
      </c>
      <c r="N51" s="188">
        <v>133813476.5625</v>
      </c>
      <c r="O51" s="188">
        <v>124212.744140625</v>
      </c>
      <c r="P51" s="359">
        <v>13.3984375</v>
      </c>
      <c r="T51" s="770"/>
    </row>
    <row r="52" spans="10:33" x14ac:dyDescent="0.25">
      <c r="J52" s="328">
        <v>50</v>
      </c>
      <c r="K52" s="380" t="s">
        <v>1243</v>
      </c>
      <c r="L52" s="188">
        <v>122267639.16015622</v>
      </c>
      <c r="M52" s="323">
        <v>85121.465545654282</v>
      </c>
      <c r="N52" s="323">
        <v>39742248.535156243</v>
      </c>
      <c r="O52" s="323">
        <v>55336.284606933586</v>
      </c>
      <c r="P52" s="358">
        <v>7.177734375</v>
      </c>
    </row>
    <row r="53" spans="10:33" x14ac:dyDescent="0.25">
      <c r="J53" s="328">
        <v>51</v>
      </c>
      <c r="K53" s="380" t="s">
        <v>1244</v>
      </c>
      <c r="L53" s="188">
        <v>118859761.55598956</v>
      </c>
      <c r="M53" s="188">
        <v>110331.91521538628</v>
      </c>
      <c r="N53" s="188">
        <v>118859761.55598956</v>
      </c>
      <c r="O53" s="188">
        <v>110331.91521538628</v>
      </c>
      <c r="P53" s="359">
        <v>11.431206597222221</v>
      </c>
    </row>
    <row r="54" spans="10:33" x14ac:dyDescent="0.25">
      <c r="J54" s="328">
        <v>52</v>
      </c>
      <c r="K54" s="380" t="s">
        <v>1245</v>
      </c>
      <c r="L54" s="188">
        <v>101348958.33333333</v>
      </c>
      <c r="M54" s="188">
        <v>94077.461805555562</v>
      </c>
      <c r="N54" s="188">
        <v>101348958.33333333</v>
      </c>
      <c r="O54" s="188">
        <v>94077.461805555562</v>
      </c>
      <c r="P54" s="359">
        <v>9.3576388888888893</v>
      </c>
    </row>
    <row r="55" spans="10:33" x14ac:dyDescent="0.25">
      <c r="J55" s="328">
        <v>53</v>
      </c>
      <c r="K55" s="380" t="s">
        <v>1246</v>
      </c>
      <c r="L55" s="188">
        <v>86310872.395833313</v>
      </c>
      <c r="M55" s="323">
        <v>60088.736490885407</v>
      </c>
      <c r="N55" s="323">
        <v>28763997.395833328</v>
      </c>
      <c r="O55" s="323">
        <v>40050.394856770828</v>
      </c>
      <c r="P55" s="358">
        <v>4.8914930555555554</v>
      </c>
    </row>
    <row r="56" spans="10:33" x14ac:dyDescent="0.25">
      <c r="J56" s="328">
        <v>54</v>
      </c>
      <c r="K56" s="380" t="s">
        <v>1248</v>
      </c>
      <c r="L56" s="188">
        <v>85984598.795572907</v>
      </c>
      <c r="M56" s="323">
        <v>79815.450914171</v>
      </c>
      <c r="N56" s="323">
        <v>43079325.358072922</v>
      </c>
      <c r="O56" s="323">
        <v>59982.761332194015</v>
      </c>
      <c r="P56" s="358">
        <v>9.3044704861111107</v>
      </c>
    </row>
    <row r="57" spans="10:33" x14ac:dyDescent="0.25">
      <c r="J57" s="328">
        <v>55</v>
      </c>
      <c r="K57" s="380" t="s">
        <v>1247</v>
      </c>
      <c r="L57" s="188">
        <v>81004943.84765625</v>
      </c>
      <c r="M57" s="188">
        <v>75193.071899414063</v>
      </c>
      <c r="N57" s="188">
        <v>81004943.84765625</v>
      </c>
      <c r="O57" s="188">
        <v>75193.071899414063</v>
      </c>
      <c r="P57" s="359">
        <v>7.177734375</v>
      </c>
    </row>
    <row r="58" spans="10:33" x14ac:dyDescent="0.25">
      <c r="J58" s="328">
        <v>56</v>
      </c>
      <c r="K58" s="380" t="s">
        <v>1249</v>
      </c>
      <c r="L58" s="188">
        <v>73859375</v>
      </c>
      <c r="M58" s="323">
        <v>68560.177083333343</v>
      </c>
      <c r="N58" s="323">
        <v>37609375</v>
      </c>
      <c r="O58" s="323">
        <v>52366.515625</v>
      </c>
      <c r="P58" s="358">
        <v>7.65625</v>
      </c>
    </row>
    <row r="59" spans="10:33" x14ac:dyDescent="0.25">
      <c r="J59" s="328">
        <v>57</v>
      </c>
      <c r="K59" s="380" t="s">
        <v>1253</v>
      </c>
      <c r="L59" s="188">
        <v>60114583.333333343</v>
      </c>
      <c r="M59" s="323">
        <v>55801.534722222234</v>
      </c>
      <c r="N59" s="323">
        <v>18427083.333333332</v>
      </c>
      <c r="O59" s="323">
        <v>34209.986111111109</v>
      </c>
      <c r="P59" s="358">
        <v>6.8055555555555554</v>
      </c>
    </row>
    <row r="60" spans="10:33" x14ac:dyDescent="0.25">
      <c r="J60" s="328">
        <v>58</v>
      </c>
      <c r="K60" s="380" t="s">
        <v>1252</v>
      </c>
      <c r="L60" s="188">
        <v>59467346.19140625</v>
      </c>
      <c r="M60" s="323">
        <v>55200.734985351563</v>
      </c>
      <c r="N60" s="323">
        <v>30778869.62890625</v>
      </c>
      <c r="O60" s="323">
        <v>42855.861267089844</v>
      </c>
      <c r="P60" s="358">
        <v>5.901692708333333</v>
      </c>
    </row>
    <row r="61" spans="10:33" x14ac:dyDescent="0.25">
      <c r="J61" s="328">
        <v>59</v>
      </c>
      <c r="K61" s="380" t="s">
        <v>1251</v>
      </c>
      <c r="L61" s="188">
        <v>57537434.895833343</v>
      </c>
      <c r="M61" s="188">
        <v>53409.289279513891</v>
      </c>
      <c r="N61" s="188">
        <v>57537434.895833343</v>
      </c>
      <c r="O61" s="188">
        <v>53409.289279513891</v>
      </c>
      <c r="P61" s="359">
        <v>4.8914930555555554</v>
      </c>
    </row>
    <row r="62" spans="10:33" x14ac:dyDescent="0.25">
      <c r="J62" s="328">
        <v>60</v>
      </c>
      <c r="K62" s="380" t="s">
        <v>1254</v>
      </c>
      <c r="L62" s="188">
        <v>48698547.36328125</v>
      </c>
      <c r="M62" s="323">
        <v>45204.566528320313</v>
      </c>
      <c r="N62" s="323">
        <v>15436340.33203125</v>
      </c>
      <c r="O62" s="323">
        <v>28657.654541015625</v>
      </c>
      <c r="P62" s="358">
        <v>5.263671875</v>
      </c>
    </row>
    <row r="63" spans="10:33" x14ac:dyDescent="0.25">
      <c r="J63" s="328">
        <v>61</v>
      </c>
      <c r="K63" s="380" t="s">
        <v>1255</v>
      </c>
      <c r="L63" s="188">
        <v>42546549.479166672</v>
      </c>
      <c r="M63" s="323">
        <v>39493.956814236117</v>
      </c>
      <c r="N63" s="323">
        <v>22382486.979166664</v>
      </c>
      <c r="O63" s="323">
        <v>31164.911783854164</v>
      </c>
      <c r="P63" s="358">
        <v>4.0407986111111107</v>
      </c>
    </row>
    <row r="64" spans="10:33" x14ac:dyDescent="0.25">
      <c r="J64" s="328">
        <v>62</v>
      </c>
      <c r="K64" s="380" t="s">
        <v>1256</v>
      </c>
      <c r="L64" s="188">
        <v>35051106.770833328</v>
      </c>
      <c r="M64" s="323">
        <v>32536.290581597215</v>
      </c>
      <c r="N64" s="323">
        <v>11488606.770833334</v>
      </c>
      <c r="O64" s="323">
        <v>21328.664496527777</v>
      </c>
      <c r="P64" s="358">
        <v>3.6154513888888888</v>
      </c>
    </row>
    <row r="65" spans="9:16" x14ac:dyDescent="0.25">
      <c r="J65" s="328">
        <v>63</v>
      </c>
      <c r="K65" s="380" t="s">
        <v>1257</v>
      </c>
      <c r="L65" s="188">
        <v>27555664.0625</v>
      </c>
      <c r="M65" s="323">
        <v>25578.624348958332</v>
      </c>
      <c r="N65" s="323">
        <v>4446289.0625</v>
      </c>
      <c r="O65" s="323">
        <v>12381.841796875</v>
      </c>
      <c r="P65" s="358">
        <v>3.1901041666666665</v>
      </c>
    </row>
    <row r="66" spans="9:16" ht="15.75" thickBot="1" x14ac:dyDescent="0.3">
      <c r="J66" s="360"/>
      <c r="K66" s="364"/>
      <c r="L66" s="361"/>
      <c r="M66" s="362"/>
      <c r="N66" s="362"/>
      <c r="O66" s="362"/>
      <c r="P66" s="363"/>
    </row>
    <row r="70" spans="9:16" x14ac:dyDescent="0.25">
      <c r="I70" s="149" t="s">
        <v>662</v>
      </c>
    </row>
    <row r="71" spans="9:16" x14ac:dyDescent="0.25">
      <c r="I71" s="355" t="s">
        <v>661</v>
      </c>
    </row>
    <row r="72" spans="9:16" x14ac:dyDescent="0.25">
      <c r="I72" s="355" t="s">
        <v>663</v>
      </c>
    </row>
    <row r="73" spans="9:16" x14ac:dyDescent="0.25">
      <c r="I73" s="149"/>
    </row>
    <row r="74" spans="9:16" x14ac:dyDescent="0.25">
      <c r="K74" s="149" t="s">
        <v>1250</v>
      </c>
      <c r="L74" s="4">
        <v>65946000</v>
      </c>
      <c r="M74" s="4">
        <v>45910.695600000006</v>
      </c>
      <c r="N74" s="4">
        <v>13891000</v>
      </c>
      <c r="O74" s="4">
        <v>25761.674400000004</v>
      </c>
      <c r="P74" s="4">
        <v>4.010790147686401</v>
      </c>
    </row>
  </sheetData>
  <sheetProtection algorithmName="SHA-512" hashValue="dgCNVrF17SqxpcHwxk4djUOROfiu7Kiuv8gq5ORHikRuplBWQG+emoboS+OK0R3PWh+A+uj5KnZZnWJQLdOGiA==" saltValue="jQLoSy/ifN6pT77PzYKzmg==" spinCount="100000" sheet="1" objects="1" scenarios="1"/>
  <protectedRanges>
    <protectedRange sqref="Y28:AA28 R29:AF30 R28:S28 R3:AF27" name="SSM_1"/>
  </protectedRanges>
  <sortState xmlns:xlrd2="http://schemas.microsoft.com/office/spreadsheetml/2017/richdata2" ref="BF3:BK32">
    <sortCondition descending="1" ref="BG3:BG32"/>
  </sortState>
  <mergeCells count="1">
    <mergeCell ref="B36:F41"/>
  </mergeCells>
  <phoneticPr fontId="11" type="noConversion"/>
  <hyperlinks>
    <hyperlink ref="I71" r:id="rId1" xr:uid="{6E5F95F4-2105-434E-8C65-9C22F8DE8A8A}"/>
    <hyperlink ref="I72" r:id="rId2" xr:uid="{C342136D-B038-40E2-AFB8-389ECF360B6E}"/>
    <hyperlink ref="B32" r:id="rId3" xr:uid="{1A8A450F-6A16-433B-8500-A0DD91DC3B6A}"/>
    <hyperlink ref="AP40" r:id="rId4" xr:uid="{50156DA2-77E9-4069-B61C-DC5E4A565002}"/>
  </hyperlinks>
  <pageMargins left="0.7" right="0.7" top="0.75" bottom="0.75" header="0.3" footer="0.3"/>
  <pageSetup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0ADC2-D95C-41E2-9608-A21CD992D173}">
  <sheetPr>
    <tabColor theme="0" tint="-0.34998626667073579"/>
  </sheetPr>
  <dimension ref="A1:AN526"/>
  <sheetViews>
    <sheetView zoomScale="85" zoomScaleNormal="85" workbookViewId="0">
      <selection activeCell="B10" sqref="B10"/>
    </sheetView>
  </sheetViews>
  <sheetFormatPr defaultRowHeight="15" outlineLevelCol="1" x14ac:dyDescent="0.25"/>
  <cols>
    <col min="2" max="2" width="64" bestFit="1" customWidth="1"/>
    <col min="3" max="3" width="10.85546875" hidden="1" customWidth="1"/>
    <col min="4" max="4" width="9.140625" customWidth="1"/>
    <col min="5" max="5" width="67.85546875" bestFit="1" customWidth="1"/>
    <col min="6" max="7" width="10.42578125" bestFit="1" customWidth="1"/>
    <col min="8" max="8" width="20.28515625" bestFit="1" customWidth="1"/>
    <col min="9" max="9" width="9.140625" customWidth="1"/>
    <col min="10" max="10" width="78.7109375" bestFit="1" customWidth="1"/>
    <col min="11" max="12" width="10.42578125" bestFit="1" customWidth="1"/>
    <col min="13" max="13" width="16.28515625" style="149" customWidth="1"/>
    <col min="14" max="14" width="9.140625" customWidth="1"/>
    <col min="15" max="15" width="70.7109375" bestFit="1" customWidth="1"/>
    <col min="16" max="17" width="10.42578125" bestFit="1" customWidth="1"/>
    <col min="18" max="18" width="31.85546875" customWidth="1"/>
    <col min="21" max="21" width="8.7109375" customWidth="1" outlineLevel="1"/>
    <col min="22" max="24" width="8.7109375" style="128" customWidth="1" outlineLevel="1"/>
    <col min="25" max="40" width="8.7109375" customWidth="1" outlineLevel="1"/>
  </cols>
  <sheetData>
    <row r="1" spans="1:29" ht="30" x14ac:dyDescent="0.25">
      <c r="B1" s="725" t="s">
        <v>1469</v>
      </c>
      <c r="D1" s="96" t="s">
        <v>1468</v>
      </c>
      <c r="E1" s="4" t="s">
        <v>535</v>
      </c>
      <c r="F1" s="4" t="s">
        <v>536</v>
      </c>
      <c r="G1" s="4" t="s">
        <v>537</v>
      </c>
      <c r="H1" s="4" t="s">
        <v>538</v>
      </c>
      <c r="J1" s="4" t="s">
        <v>535</v>
      </c>
      <c r="K1" s="4" t="s">
        <v>536</v>
      </c>
      <c r="L1" s="4" t="s">
        <v>537</v>
      </c>
      <c r="M1" s="4" t="s">
        <v>538</v>
      </c>
      <c r="O1" s="4" t="s">
        <v>535</v>
      </c>
      <c r="P1" s="4" t="s">
        <v>536</v>
      </c>
      <c r="Q1" s="4" t="s">
        <v>537</v>
      </c>
      <c r="R1" s="4" t="s">
        <v>538</v>
      </c>
    </row>
    <row r="2" spans="1:29" x14ac:dyDescent="0.25">
      <c r="A2" s="752" t="s">
        <v>1497</v>
      </c>
      <c r="B2" s="753" t="s">
        <v>1475</v>
      </c>
      <c r="D2" s="754" t="s">
        <v>369</v>
      </c>
      <c r="E2" s="754" t="s">
        <v>1481</v>
      </c>
      <c r="F2" s="754">
        <v>987</v>
      </c>
      <c r="G2" s="754">
        <v>7</v>
      </c>
      <c r="H2" s="755" t="s">
        <v>540</v>
      </c>
      <c r="I2" s="756"/>
      <c r="J2" s="754" t="s">
        <v>1471</v>
      </c>
      <c r="K2" s="754">
        <v>525</v>
      </c>
      <c r="L2" s="754">
        <v>5</v>
      </c>
      <c r="M2" s="757" t="s">
        <v>541</v>
      </c>
      <c r="N2" s="756"/>
      <c r="O2" s="754" t="s">
        <v>1484</v>
      </c>
      <c r="P2" s="754">
        <v>1239</v>
      </c>
      <c r="Q2" s="754">
        <v>7</v>
      </c>
      <c r="R2" s="755" t="s">
        <v>542</v>
      </c>
    </row>
    <row r="3" spans="1:29" x14ac:dyDescent="0.25">
      <c r="A3" s="758" t="s">
        <v>1497</v>
      </c>
      <c r="B3" s="759" t="s">
        <v>1474</v>
      </c>
      <c r="D3" s="760" t="s">
        <v>369</v>
      </c>
      <c r="E3" s="760" t="s">
        <v>1470</v>
      </c>
      <c r="F3" s="760">
        <v>1276</v>
      </c>
      <c r="G3" s="760">
        <v>8</v>
      </c>
      <c r="H3" s="761" t="s">
        <v>540</v>
      </c>
      <c r="I3" s="762"/>
      <c r="J3" s="760" t="s">
        <v>1472</v>
      </c>
      <c r="K3" s="760">
        <v>735</v>
      </c>
      <c r="L3" s="760">
        <v>7</v>
      </c>
      <c r="M3" s="763" t="s">
        <v>541</v>
      </c>
      <c r="N3" s="762"/>
      <c r="O3" s="760" t="s">
        <v>1473</v>
      </c>
      <c r="P3" s="760">
        <v>1416</v>
      </c>
      <c r="Q3" s="760">
        <v>8</v>
      </c>
      <c r="R3" s="761" t="s">
        <v>542</v>
      </c>
      <c r="AC3" t="s">
        <v>368</v>
      </c>
    </row>
    <row r="4" spans="1:29" x14ac:dyDescent="0.25">
      <c r="A4" s="758" t="s">
        <v>1497</v>
      </c>
      <c r="B4" s="759" t="s">
        <v>1476</v>
      </c>
      <c r="D4" s="760" t="s">
        <v>369</v>
      </c>
      <c r="E4" s="760" t="s">
        <v>1478</v>
      </c>
      <c r="F4" s="760">
        <v>1128</v>
      </c>
      <c r="G4" s="760">
        <v>8</v>
      </c>
      <c r="H4" s="761" t="s">
        <v>540</v>
      </c>
      <c r="I4" s="762"/>
      <c r="J4" s="760" t="s">
        <v>1482</v>
      </c>
      <c r="K4" s="760">
        <v>630</v>
      </c>
      <c r="L4" s="760">
        <v>6</v>
      </c>
      <c r="M4" s="763" t="s">
        <v>541</v>
      </c>
      <c r="N4" s="762"/>
      <c r="O4" s="760" t="s">
        <v>1479</v>
      </c>
      <c r="P4" s="760">
        <v>1416</v>
      </c>
      <c r="Q4" s="760">
        <v>8</v>
      </c>
      <c r="R4" s="761" t="s">
        <v>542</v>
      </c>
      <c r="AC4" t="s">
        <v>369</v>
      </c>
    </row>
    <row r="5" spans="1:29" x14ac:dyDescent="0.25">
      <c r="A5" s="758" t="s">
        <v>1497</v>
      </c>
      <c r="B5" s="759" t="s">
        <v>1477</v>
      </c>
      <c r="D5" s="760" t="s">
        <v>369</v>
      </c>
      <c r="E5" s="760" t="s">
        <v>1480</v>
      </c>
      <c r="F5" s="760">
        <v>1269</v>
      </c>
      <c r="G5" s="760">
        <v>9</v>
      </c>
      <c r="H5" s="761" t="s">
        <v>540</v>
      </c>
      <c r="I5" s="762"/>
      <c r="J5" s="760" t="s">
        <v>1483</v>
      </c>
      <c r="K5" s="760">
        <v>840</v>
      </c>
      <c r="L5" s="760">
        <v>8</v>
      </c>
      <c r="M5" s="763" t="s">
        <v>541</v>
      </c>
      <c r="N5" s="762"/>
      <c r="O5" s="760" t="s">
        <v>1485</v>
      </c>
      <c r="P5" s="760">
        <v>1593</v>
      </c>
      <c r="Q5" s="760">
        <v>9</v>
      </c>
      <c r="R5" s="761" t="s">
        <v>542</v>
      </c>
    </row>
    <row r="6" spans="1:29" x14ac:dyDescent="0.25">
      <c r="A6" s="762"/>
      <c r="B6" s="759"/>
      <c r="D6" s="760"/>
      <c r="E6" s="760"/>
      <c r="F6" s="760"/>
      <c r="G6" s="760"/>
      <c r="H6" s="761"/>
      <c r="I6" s="762"/>
      <c r="J6" s="760"/>
      <c r="K6" s="760"/>
      <c r="L6" s="760"/>
      <c r="M6" s="763"/>
      <c r="N6" s="762"/>
      <c r="O6" s="760"/>
      <c r="P6" s="760"/>
      <c r="Q6" s="760"/>
      <c r="R6" s="761"/>
    </row>
    <row r="7" spans="1:29" x14ac:dyDescent="0.25">
      <c r="A7" s="762"/>
      <c r="B7" s="759"/>
      <c r="D7" s="760"/>
      <c r="E7" s="760"/>
      <c r="F7" s="760"/>
      <c r="G7" s="760"/>
      <c r="H7" s="761"/>
      <c r="I7" s="762"/>
      <c r="J7" s="760"/>
      <c r="K7" s="760"/>
      <c r="L7" s="760"/>
      <c r="M7" s="763"/>
      <c r="N7" s="762"/>
      <c r="O7" s="760"/>
      <c r="P7" s="760"/>
      <c r="Q7" s="760"/>
      <c r="R7" s="761"/>
    </row>
    <row r="8" spans="1:29" x14ac:dyDescent="0.25">
      <c r="A8" s="762"/>
      <c r="B8" s="759"/>
      <c r="D8" s="760"/>
      <c r="E8" s="760"/>
      <c r="F8" s="760"/>
      <c r="G8" s="760"/>
      <c r="H8" s="761"/>
      <c r="I8" s="762"/>
      <c r="J8" s="760"/>
      <c r="K8" s="760"/>
      <c r="L8" s="760"/>
      <c r="M8" s="763"/>
      <c r="N8" s="762"/>
      <c r="O8" s="760"/>
      <c r="P8" s="760"/>
      <c r="Q8" s="760"/>
      <c r="R8" s="761"/>
    </row>
    <row r="9" spans="1:29" x14ac:dyDescent="0.25">
      <c r="A9" s="764"/>
      <c r="B9" s="765"/>
      <c r="D9" s="766"/>
      <c r="E9" s="766"/>
      <c r="F9" s="766"/>
      <c r="G9" s="766"/>
      <c r="H9" s="767"/>
      <c r="I9" s="764"/>
      <c r="J9" s="766"/>
      <c r="K9" s="766"/>
      <c r="L9" s="766"/>
      <c r="M9" s="768"/>
      <c r="N9" s="764"/>
      <c r="O9" s="766"/>
      <c r="P9" s="766"/>
      <c r="Q9" s="766"/>
      <c r="R9" s="767"/>
    </row>
    <row r="15" spans="1:29" ht="15.75" thickBot="1" x14ac:dyDescent="0.3"/>
    <row r="16" spans="1:29" ht="27" thickBot="1" x14ac:dyDescent="0.45">
      <c r="A16" s="1353"/>
      <c r="B16" s="430" t="s">
        <v>848</v>
      </c>
      <c r="D16" s="117"/>
      <c r="E16" s="1355" t="s">
        <v>532</v>
      </c>
      <c r="F16" s="1355"/>
      <c r="G16" s="1355"/>
      <c r="H16" s="1356"/>
      <c r="I16" s="118"/>
      <c r="J16" s="1355" t="s">
        <v>594</v>
      </c>
      <c r="K16" s="1355"/>
      <c r="L16" s="1355"/>
      <c r="M16" s="1356"/>
      <c r="N16" s="118"/>
      <c r="O16" s="1355" t="s">
        <v>533</v>
      </c>
      <c r="P16" s="1355"/>
      <c r="Q16" s="1355"/>
      <c r="R16" s="1356"/>
    </row>
    <row r="17" spans="1:24" s="122" customFormat="1" ht="38.25" thickBot="1" x14ac:dyDescent="0.3">
      <c r="A17" s="1354"/>
      <c r="B17" s="119" t="s">
        <v>534</v>
      </c>
      <c r="C17"/>
      <c r="D17" s="120"/>
      <c r="E17" s="120" t="s">
        <v>535</v>
      </c>
      <c r="F17" s="120" t="s">
        <v>536</v>
      </c>
      <c r="G17" s="120" t="s">
        <v>537</v>
      </c>
      <c r="H17" s="121" t="s">
        <v>538</v>
      </c>
      <c r="I17" s="120"/>
      <c r="J17" s="120" t="s">
        <v>535</v>
      </c>
      <c r="K17" s="120" t="s">
        <v>536</v>
      </c>
      <c r="L17" s="120" t="s">
        <v>537</v>
      </c>
      <c r="M17" s="121" t="s">
        <v>538</v>
      </c>
      <c r="N17" s="120"/>
      <c r="O17" s="120" t="s">
        <v>535</v>
      </c>
      <c r="P17" s="120" t="s">
        <v>536</v>
      </c>
      <c r="Q17" s="120" t="s">
        <v>537</v>
      </c>
      <c r="R17" s="121" t="s">
        <v>538</v>
      </c>
      <c r="T17" s="123"/>
      <c r="U17" s="123"/>
      <c r="V17" s="794" t="s">
        <v>1699</v>
      </c>
      <c r="W17" s="794" t="s">
        <v>13</v>
      </c>
      <c r="X17" s="796" t="s">
        <v>1700</v>
      </c>
    </row>
    <row r="18" spans="1:24" x14ac:dyDescent="0.25">
      <c r="A18" s="1357" t="s">
        <v>539</v>
      </c>
      <c r="B18" s="124" t="s">
        <v>1319</v>
      </c>
      <c r="C18" t="s">
        <v>1645</v>
      </c>
      <c r="D18" s="64">
        <v>1</v>
      </c>
      <c r="E18" s="64" t="s">
        <v>808</v>
      </c>
      <c r="F18" s="125">
        <v>1152</v>
      </c>
      <c r="G18" s="64">
        <v>8</v>
      </c>
      <c r="H18" s="126" t="s">
        <v>540</v>
      </c>
      <c r="I18" s="64">
        <v>1</v>
      </c>
      <c r="J18" s="64" t="s">
        <v>831</v>
      </c>
      <c r="K18" s="125">
        <v>2520</v>
      </c>
      <c r="L18" s="64">
        <v>8</v>
      </c>
      <c r="M18" s="146" t="s">
        <v>1690</v>
      </c>
      <c r="N18" s="64">
        <v>1</v>
      </c>
      <c r="O18" s="64" t="s">
        <v>849</v>
      </c>
      <c r="P18" s="125">
        <v>1416</v>
      </c>
      <c r="Q18" s="64">
        <v>8</v>
      </c>
      <c r="R18" s="127" t="s">
        <v>542</v>
      </c>
      <c r="T18" s="128"/>
      <c r="U18" s="128"/>
      <c r="V18" s="128" t="str">
        <f>IFERROR(IF((LEFT(RIGHT(E18,2),1)+RIGHT(LEFT(E18,2),1)+G18)/3=G18,"yes","NOOO"),"--")</f>
        <v>yes</v>
      </c>
      <c r="W18" s="128" t="str">
        <f>IFERROR(IF((LEFT(RIGHT(J18,2),1)+RIGHT(LEFT(J18,2),1)+L18)/3=L18,"yes","NOOO"),"--")</f>
        <v>yes</v>
      </c>
      <c r="X18" s="128" t="str">
        <f>IFERROR(IF((LEFT(RIGHT(O18,2),1)+RIGHT(LEFT(O18,2),1)+Q18)/3=Q18,"yes","NOOO"),"--")</f>
        <v>yes</v>
      </c>
    </row>
    <row r="19" spans="1:24" x14ac:dyDescent="0.25">
      <c r="A19" s="1358"/>
      <c r="B19" s="129" t="s">
        <v>1322</v>
      </c>
      <c r="C19" t="s">
        <v>1645</v>
      </c>
      <c r="D19" s="64">
        <v>2</v>
      </c>
      <c r="E19" s="64" t="s">
        <v>806</v>
      </c>
      <c r="F19" s="125">
        <v>1145</v>
      </c>
      <c r="G19" s="64">
        <v>5</v>
      </c>
      <c r="H19" s="127" t="s">
        <v>540</v>
      </c>
      <c r="I19" s="64">
        <v>2</v>
      </c>
      <c r="J19" s="64" t="s">
        <v>833</v>
      </c>
      <c r="K19" s="125">
        <v>1890</v>
      </c>
      <c r="L19" s="64">
        <v>6</v>
      </c>
      <c r="M19" s="146" t="s">
        <v>1690</v>
      </c>
      <c r="N19" s="64">
        <v>2</v>
      </c>
      <c r="O19" s="64" t="s">
        <v>850</v>
      </c>
      <c r="P19" s="125">
        <v>1062</v>
      </c>
      <c r="Q19" s="64">
        <v>6</v>
      </c>
      <c r="R19" s="127" t="s">
        <v>542</v>
      </c>
      <c r="T19" s="128"/>
      <c r="U19" s="128"/>
      <c r="V19" s="128" t="str">
        <f t="shared" ref="V19:V82" si="0">IFERROR(IF((LEFT(RIGHT(E19,2),1)+RIGHT(LEFT(E19,2),1)+G19)/3=G19,"yes","NOOO"),"--")</f>
        <v>yes</v>
      </c>
      <c r="W19" s="128" t="str">
        <f t="shared" ref="W19:W82" si="1">IFERROR(IF((LEFT(RIGHT(J19,2),1)+RIGHT(LEFT(J19,2),1)+L19)/3=L19,"yes","NOOO"),"--")</f>
        <v>yes</v>
      </c>
      <c r="X19" s="128" t="str">
        <f t="shared" ref="X19:X82" si="2">IFERROR(IF((LEFT(RIGHT(O19,2),1)+RIGHT(LEFT(O19,2),1)+Q19)/3=Q19,"yes","NOOO"),"--")</f>
        <v>yes</v>
      </c>
    </row>
    <row r="20" spans="1:24" x14ac:dyDescent="0.25">
      <c r="A20" s="1358"/>
      <c r="B20" s="129" t="s">
        <v>1325</v>
      </c>
      <c r="C20" t="s">
        <v>1645</v>
      </c>
      <c r="D20" s="64">
        <v>3</v>
      </c>
      <c r="E20" s="64" t="s">
        <v>807</v>
      </c>
      <c r="F20" s="125">
        <v>1145</v>
      </c>
      <c r="G20" s="64">
        <v>5</v>
      </c>
      <c r="H20" s="127" t="s">
        <v>540</v>
      </c>
      <c r="I20" s="64">
        <v>3</v>
      </c>
      <c r="J20" s="64" t="s">
        <v>832</v>
      </c>
      <c r="K20" s="125">
        <v>1480</v>
      </c>
      <c r="L20" s="64">
        <v>8</v>
      </c>
      <c r="M20" s="146" t="s">
        <v>1690</v>
      </c>
      <c r="N20" s="64">
        <v>3</v>
      </c>
      <c r="O20" s="64" t="s">
        <v>851</v>
      </c>
      <c r="P20" s="125">
        <v>708</v>
      </c>
      <c r="Q20" s="64">
        <v>4</v>
      </c>
      <c r="R20" s="127" t="s">
        <v>542</v>
      </c>
      <c r="T20" s="128"/>
      <c r="U20" s="128"/>
      <c r="V20" s="128" t="str">
        <f t="shared" si="0"/>
        <v>yes</v>
      </c>
      <c r="W20" s="128" t="str">
        <f t="shared" si="1"/>
        <v>yes</v>
      </c>
      <c r="X20" s="128" t="str">
        <f t="shared" si="2"/>
        <v>yes</v>
      </c>
    </row>
    <row r="21" spans="1:24" x14ac:dyDescent="0.25">
      <c r="A21" s="1358"/>
      <c r="B21" s="129" t="s">
        <v>1321</v>
      </c>
      <c r="C21" t="s">
        <v>1645</v>
      </c>
      <c r="D21" s="64">
        <v>4</v>
      </c>
      <c r="E21" s="64" t="s">
        <v>809</v>
      </c>
      <c r="F21" s="125">
        <v>1048</v>
      </c>
      <c r="G21" s="64">
        <v>8</v>
      </c>
      <c r="H21" s="127" t="s">
        <v>540</v>
      </c>
      <c r="I21" s="64">
        <v>4</v>
      </c>
      <c r="J21" s="64" t="s">
        <v>835</v>
      </c>
      <c r="K21" s="125">
        <v>1260</v>
      </c>
      <c r="L21" s="64">
        <v>4</v>
      </c>
      <c r="M21" s="146" t="s">
        <v>1690</v>
      </c>
      <c r="N21" s="64">
        <v>4</v>
      </c>
      <c r="O21" s="64" t="s">
        <v>852</v>
      </c>
      <c r="P21" s="125">
        <v>708</v>
      </c>
      <c r="Q21" s="64">
        <v>4</v>
      </c>
      <c r="R21" s="127" t="s">
        <v>542</v>
      </c>
      <c r="T21" s="128"/>
      <c r="U21" s="128"/>
      <c r="V21" s="128" t="str">
        <f t="shared" si="0"/>
        <v>yes</v>
      </c>
      <c r="W21" s="128" t="str">
        <f t="shared" si="1"/>
        <v>yes</v>
      </c>
      <c r="X21" s="128" t="str">
        <f t="shared" si="2"/>
        <v>yes</v>
      </c>
    </row>
    <row r="22" spans="1:24" x14ac:dyDescent="0.25">
      <c r="A22" s="1358"/>
      <c r="B22" s="129" t="s">
        <v>1324</v>
      </c>
      <c r="C22" t="s">
        <v>1645</v>
      </c>
      <c r="D22" s="64">
        <v>5</v>
      </c>
      <c r="E22" s="64" t="s">
        <v>810</v>
      </c>
      <c r="F22" s="125">
        <v>864</v>
      </c>
      <c r="G22" s="64">
        <v>6</v>
      </c>
      <c r="H22" s="127" t="s">
        <v>540</v>
      </c>
      <c r="I22" s="64">
        <v>5</v>
      </c>
      <c r="J22" s="64" t="s">
        <v>834</v>
      </c>
      <c r="K22" s="125">
        <v>1110</v>
      </c>
      <c r="L22" s="64">
        <v>6</v>
      </c>
      <c r="M22" s="146" t="s">
        <v>1690</v>
      </c>
      <c r="N22" s="64">
        <v>5</v>
      </c>
      <c r="O22" s="64" t="s">
        <v>853</v>
      </c>
      <c r="P22" s="125">
        <v>531</v>
      </c>
      <c r="Q22" s="64">
        <v>3</v>
      </c>
      <c r="R22" s="127" t="s">
        <v>542</v>
      </c>
      <c r="T22" s="128"/>
      <c r="U22" s="128"/>
      <c r="V22" s="128" t="str">
        <f t="shared" si="0"/>
        <v>yes</v>
      </c>
      <c r="W22" s="128" t="str">
        <f t="shared" si="1"/>
        <v>yes</v>
      </c>
      <c r="X22" s="128" t="str">
        <f t="shared" si="2"/>
        <v>yes</v>
      </c>
    </row>
    <row r="23" spans="1:24" x14ac:dyDescent="0.25">
      <c r="A23" s="1358"/>
      <c r="B23" s="129"/>
      <c r="C23" t="s">
        <v>1645</v>
      </c>
      <c r="D23" s="64">
        <v>6</v>
      </c>
      <c r="E23" s="64" t="s">
        <v>811</v>
      </c>
      <c r="F23" s="125">
        <v>786</v>
      </c>
      <c r="G23" s="64">
        <v>6</v>
      </c>
      <c r="H23" s="127" t="s">
        <v>540</v>
      </c>
      <c r="I23" s="64">
        <v>6</v>
      </c>
      <c r="J23" s="64" t="s">
        <v>836</v>
      </c>
      <c r="K23" s="125">
        <v>740</v>
      </c>
      <c r="L23" s="64">
        <v>4</v>
      </c>
      <c r="M23" s="146" t="s">
        <v>1690</v>
      </c>
      <c r="N23" s="64">
        <v>6</v>
      </c>
      <c r="O23" s="64" t="s">
        <v>854</v>
      </c>
      <c r="P23" s="125">
        <v>420</v>
      </c>
      <c r="Q23" s="64">
        <v>5</v>
      </c>
      <c r="R23" s="127" t="s">
        <v>542</v>
      </c>
      <c r="T23" s="128"/>
      <c r="U23" s="128"/>
      <c r="V23" s="128" t="str">
        <f t="shared" si="0"/>
        <v>yes</v>
      </c>
      <c r="W23" s="128" t="str">
        <f t="shared" si="1"/>
        <v>yes</v>
      </c>
      <c r="X23" s="128" t="str">
        <f t="shared" si="2"/>
        <v>yes</v>
      </c>
    </row>
    <row r="24" spans="1:24" x14ac:dyDescent="0.25">
      <c r="A24" s="1358"/>
      <c r="B24" s="129"/>
      <c r="C24" t="s">
        <v>1645</v>
      </c>
      <c r="D24" s="64">
        <v>7</v>
      </c>
      <c r="E24" s="64" t="s">
        <v>818</v>
      </c>
      <c r="F24" s="125">
        <v>712</v>
      </c>
      <c r="G24" s="64">
        <v>4</v>
      </c>
      <c r="H24" s="127" t="s">
        <v>540</v>
      </c>
      <c r="I24" s="64">
        <v>7</v>
      </c>
      <c r="J24" s="64" t="s">
        <v>837</v>
      </c>
      <c r="K24" s="125">
        <v>630</v>
      </c>
      <c r="L24" s="64">
        <v>2</v>
      </c>
      <c r="M24" s="146" t="s">
        <v>1690</v>
      </c>
      <c r="N24" s="64">
        <v>7</v>
      </c>
      <c r="O24" s="64" t="s">
        <v>855</v>
      </c>
      <c r="P24" s="125">
        <v>420</v>
      </c>
      <c r="Q24" s="64">
        <v>5</v>
      </c>
      <c r="R24" s="127" t="s">
        <v>542</v>
      </c>
      <c r="T24" s="128"/>
      <c r="U24" s="128"/>
      <c r="V24" s="128" t="str">
        <f t="shared" si="0"/>
        <v>yes</v>
      </c>
      <c r="W24" s="128" t="str">
        <f t="shared" si="1"/>
        <v>yes</v>
      </c>
      <c r="X24" s="128" t="str">
        <f t="shared" si="2"/>
        <v>yes</v>
      </c>
    </row>
    <row r="25" spans="1:24" x14ac:dyDescent="0.25">
      <c r="A25" s="1358"/>
      <c r="B25" s="129"/>
      <c r="C25" t="s">
        <v>1645</v>
      </c>
      <c r="D25" s="64">
        <v>8</v>
      </c>
      <c r="E25" s="64" t="s">
        <v>812</v>
      </c>
      <c r="F25" s="125">
        <v>687</v>
      </c>
      <c r="G25" s="64">
        <v>3</v>
      </c>
      <c r="H25" s="127" t="s">
        <v>540</v>
      </c>
      <c r="I25" s="64">
        <v>8</v>
      </c>
      <c r="J25" s="64" t="s">
        <v>838</v>
      </c>
      <c r="K25" s="125">
        <v>630</v>
      </c>
      <c r="L25" s="64">
        <v>2</v>
      </c>
      <c r="M25" s="146" t="s">
        <v>1690</v>
      </c>
      <c r="N25" s="64">
        <v>8</v>
      </c>
      <c r="O25" s="64" t="s">
        <v>856</v>
      </c>
      <c r="P25" s="125">
        <v>354</v>
      </c>
      <c r="Q25" s="64">
        <v>2</v>
      </c>
      <c r="R25" s="127" t="s">
        <v>542</v>
      </c>
      <c r="T25" s="128"/>
      <c r="U25" s="128"/>
      <c r="V25" s="128" t="str">
        <f t="shared" si="0"/>
        <v>yes</v>
      </c>
      <c r="W25" s="128" t="str">
        <f t="shared" si="1"/>
        <v>yes</v>
      </c>
      <c r="X25" s="128" t="str">
        <f t="shared" si="2"/>
        <v>yes</v>
      </c>
    </row>
    <row r="26" spans="1:24" x14ac:dyDescent="0.25">
      <c r="A26" s="1358"/>
      <c r="B26" s="129"/>
      <c r="C26" t="s">
        <v>1645</v>
      </c>
      <c r="D26" s="64">
        <v>9</v>
      </c>
      <c r="E26" s="64" t="s">
        <v>813</v>
      </c>
      <c r="F26" s="125">
        <v>687</v>
      </c>
      <c r="G26" s="64">
        <v>3</v>
      </c>
      <c r="H26" s="127" t="s">
        <v>540</v>
      </c>
      <c r="I26" s="64">
        <v>9</v>
      </c>
      <c r="J26" s="64" t="s">
        <v>839</v>
      </c>
      <c r="K26" s="125">
        <v>630</v>
      </c>
      <c r="L26" s="64">
        <v>2</v>
      </c>
      <c r="M26" s="146" t="s">
        <v>1690</v>
      </c>
      <c r="N26" s="64">
        <v>9</v>
      </c>
      <c r="O26" s="64" t="s">
        <v>1447</v>
      </c>
      <c r="P26" s="125">
        <v>354</v>
      </c>
      <c r="Q26" s="64"/>
      <c r="R26" s="127"/>
      <c r="T26" s="128"/>
      <c r="U26" s="128"/>
      <c r="V26" s="128" t="str">
        <f t="shared" si="0"/>
        <v>yes</v>
      </c>
      <c r="W26" s="128" t="str">
        <f t="shared" si="1"/>
        <v>yes</v>
      </c>
      <c r="X26" s="128" t="str">
        <f t="shared" si="2"/>
        <v>--</v>
      </c>
    </row>
    <row r="27" spans="1:24" x14ac:dyDescent="0.25">
      <c r="A27" s="1358"/>
      <c r="B27" s="129"/>
      <c r="C27" t="s">
        <v>1645</v>
      </c>
      <c r="D27" s="64">
        <v>10</v>
      </c>
      <c r="E27" s="64" t="s">
        <v>814</v>
      </c>
      <c r="F27" s="125">
        <v>576</v>
      </c>
      <c r="G27" s="64">
        <v>4</v>
      </c>
      <c r="H27" s="127" t="s">
        <v>540</v>
      </c>
      <c r="I27" s="64">
        <v>10</v>
      </c>
      <c r="J27" s="64" t="s">
        <v>840</v>
      </c>
      <c r="K27" s="125">
        <v>370</v>
      </c>
      <c r="L27" s="64">
        <v>2</v>
      </c>
      <c r="M27" s="146" t="s">
        <v>1690</v>
      </c>
      <c r="N27" s="64">
        <v>10</v>
      </c>
      <c r="O27" s="64" t="s">
        <v>857</v>
      </c>
      <c r="P27" s="125">
        <v>252</v>
      </c>
      <c r="Q27" s="64">
        <v>3</v>
      </c>
      <c r="R27" s="127" t="s">
        <v>542</v>
      </c>
      <c r="T27" s="128"/>
      <c r="U27" s="128"/>
      <c r="V27" s="128" t="str">
        <f t="shared" si="0"/>
        <v>yes</v>
      </c>
      <c r="W27" s="128" t="str">
        <f t="shared" si="1"/>
        <v>yes</v>
      </c>
      <c r="X27" s="128" t="str">
        <f t="shared" si="2"/>
        <v>yes</v>
      </c>
    </row>
    <row r="28" spans="1:24" x14ac:dyDescent="0.25">
      <c r="A28" s="1358"/>
      <c r="B28" s="129"/>
      <c r="C28" t="s">
        <v>1645</v>
      </c>
      <c r="D28" s="64">
        <v>11</v>
      </c>
      <c r="E28" s="64" t="s">
        <v>815</v>
      </c>
      <c r="F28" s="125">
        <v>564</v>
      </c>
      <c r="G28" s="64">
        <v>4</v>
      </c>
      <c r="H28" s="127" t="s">
        <v>540</v>
      </c>
      <c r="I28" s="64">
        <v>11</v>
      </c>
      <c r="J28" s="64" t="s">
        <v>841</v>
      </c>
      <c r="K28" s="125">
        <v>370</v>
      </c>
      <c r="L28" s="64">
        <v>2</v>
      </c>
      <c r="M28" s="146" t="s">
        <v>1690</v>
      </c>
      <c r="N28" s="64">
        <v>11</v>
      </c>
      <c r="O28" s="64" t="s">
        <v>858</v>
      </c>
      <c r="P28" s="125">
        <v>252</v>
      </c>
      <c r="Q28" s="64">
        <v>3</v>
      </c>
      <c r="R28" s="127" t="s">
        <v>542</v>
      </c>
      <c r="T28" s="128"/>
      <c r="U28" s="128"/>
      <c r="V28" s="128" t="str">
        <f t="shared" si="0"/>
        <v>yes</v>
      </c>
      <c r="W28" s="128" t="str">
        <f t="shared" si="1"/>
        <v>yes</v>
      </c>
      <c r="X28" s="128" t="str">
        <f t="shared" si="2"/>
        <v>yes</v>
      </c>
    </row>
    <row r="29" spans="1:24" x14ac:dyDescent="0.25">
      <c r="A29" s="1358"/>
      <c r="B29" s="129"/>
      <c r="C29" t="s">
        <v>1645</v>
      </c>
      <c r="D29" s="64">
        <v>12</v>
      </c>
      <c r="E29" s="64" t="s">
        <v>816</v>
      </c>
      <c r="F29" s="125">
        <v>534</v>
      </c>
      <c r="G29" s="64">
        <v>3</v>
      </c>
      <c r="H29" s="127" t="s">
        <v>540</v>
      </c>
      <c r="I29" s="64">
        <v>12</v>
      </c>
      <c r="J29" s="64" t="s">
        <v>842</v>
      </c>
      <c r="K29" s="125">
        <v>370</v>
      </c>
      <c r="L29" s="64">
        <v>2</v>
      </c>
      <c r="M29" s="146" t="s">
        <v>1690</v>
      </c>
      <c r="N29" s="64">
        <v>12</v>
      </c>
      <c r="O29" s="64"/>
      <c r="P29" s="125"/>
      <c r="Q29" s="64"/>
      <c r="R29" s="127"/>
      <c r="T29" s="128"/>
      <c r="U29" s="128"/>
      <c r="V29" s="128" t="str">
        <f t="shared" si="0"/>
        <v>yes</v>
      </c>
      <c r="W29" s="128" t="str">
        <f t="shared" si="1"/>
        <v>yes</v>
      </c>
      <c r="X29" s="128" t="str">
        <f t="shared" si="2"/>
        <v>--</v>
      </c>
    </row>
    <row r="30" spans="1:24" x14ac:dyDescent="0.25">
      <c r="A30" s="1358"/>
      <c r="B30" s="129"/>
      <c r="C30" t="s">
        <v>1645</v>
      </c>
      <c r="D30" s="64">
        <v>13</v>
      </c>
      <c r="E30" s="64" t="s">
        <v>817</v>
      </c>
      <c r="F30" s="125">
        <v>524</v>
      </c>
      <c r="G30" s="64">
        <v>4</v>
      </c>
      <c r="H30" s="127" t="s">
        <v>540</v>
      </c>
      <c r="I30" s="64">
        <v>13</v>
      </c>
      <c r="J30" s="64" t="s">
        <v>1447</v>
      </c>
      <c r="K30" s="125">
        <v>252</v>
      </c>
      <c r="L30" s="64"/>
      <c r="M30" s="146"/>
      <c r="N30" s="64">
        <v>13</v>
      </c>
      <c r="O30" s="64"/>
      <c r="P30" s="125"/>
      <c r="Q30" s="64"/>
      <c r="R30" s="127"/>
      <c r="T30" s="128"/>
      <c r="U30" s="128"/>
      <c r="V30" s="128" t="str">
        <f t="shared" si="0"/>
        <v>yes</v>
      </c>
      <c r="W30" s="128" t="str">
        <f t="shared" si="1"/>
        <v>--</v>
      </c>
      <c r="X30" s="128" t="str">
        <f t="shared" si="2"/>
        <v>--</v>
      </c>
    </row>
    <row r="31" spans="1:24" x14ac:dyDescent="0.25">
      <c r="A31" s="1358"/>
      <c r="B31" s="129"/>
      <c r="C31" t="s">
        <v>1645</v>
      </c>
      <c r="D31" s="64">
        <v>14</v>
      </c>
      <c r="E31" s="64" t="s">
        <v>819</v>
      </c>
      <c r="F31" s="125">
        <v>423</v>
      </c>
      <c r="G31" s="64">
        <v>3</v>
      </c>
      <c r="H31" s="127" t="s">
        <v>540</v>
      </c>
      <c r="I31" s="64"/>
      <c r="J31" s="64"/>
      <c r="K31" s="125"/>
      <c r="L31" s="64"/>
      <c r="M31" s="146"/>
      <c r="N31" s="64"/>
      <c r="O31" s="64"/>
      <c r="P31" s="125"/>
      <c r="Q31" s="64"/>
      <c r="R31" s="127"/>
      <c r="T31" s="128"/>
      <c r="U31" s="128"/>
      <c r="V31" s="128" t="str">
        <f t="shared" si="0"/>
        <v>yes</v>
      </c>
      <c r="W31" s="128" t="str">
        <f t="shared" si="1"/>
        <v>--</v>
      </c>
      <c r="X31" s="128" t="str">
        <f t="shared" si="2"/>
        <v>--</v>
      </c>
    </row>
    <row r="32" spans="1:24" x14ac:dyDescent="0.25">
      <c r="A32" s="1358"/>
      <c r="B32" s="129"/>
      <c r="C32" t="s">
        <v>1645</v>
      </c>
      <c r="D32" s="64">
        <v>15</v>
      </c>
      <c r="E32" s="64" t="s">
        <v>821</v>
      </c>
      <c r="F32" s="125">
        <v>262</v>
      </c>
      <c r="G32" s="64">
        <v>2</v>
      </c>
      <c r="H32" s="127" t="s">
        <v>540</v>
      </c>
      <c r="I32" s="64"/>
      <c r="J32" s="64"/>
      <c r="K32" s="125"/>
      <c r="L32" s="64"/>
      <c r="M32" s="146"/>
      <c r="N32" s="64"/>
      <c r="O32" s="64"/>
      <c r="P32" s="125"/>
      <c r="Q32" s="64"/>
      <c r="R32" s="127"/>
      <c r="T32" s="128"/>
      <c r="U32" s="128"/>
      <c r="V32" s="128" t="str">
        <f t="shared" si="0"/>
        <v>yes</v>
      </c>
      <c r="W32" s="128" t="str">
        <f t="shared" si="1"/>
        <v>--</v>
      </c>
      <c r="X32" s="128" t="str">
        <f t="shared" si="2"/>
        <v>--</v>
      </c>
    </row>
    <row r="33" spans="1:24" x14ac:dyDescent="0.25">
      <c r="A33" s="1358"/>
      <c r="B33" s="129"/>
      <c r="C33" t="s">
        <v>1645</v>
      </c>
      <c r="D33" s="64">
        <v>16</v>
      </c>
      <c r="E33" s="64" t="s">
        <v>1447</v>
      </c>
      <c r="F33" s="125">
        <v>262</v>
      </c>
      <c r="G33" s="64"/>
      <c r="H33" s="127"/>
      <c r="I33" s="64"/>
      <c r="J33" s="64"/>
      <c r="K33" s="125"/>
      <c r="L33" s="64"/>
      <c r="M33" s="146"/>
      <c r="N33" s="64"/>
      <c r="O33" s="64"/>
      <c r="P33" s="125"/>
      <c r="Q33" s="64"/>
      <c r="R33" s="127"/>
      <c r="T33" s="128"/>
      <c r="U33" s="128"/>
      <c r="V33" s="128" t="str">
        <f t="shared" si="0"/>
        <v>--</v>
      </c>
      <c r="W33" s="128" t="str">
        <f t="shared" si="1"/>
        <v>--</v>
      </c>
      <c r="X33" s="128" t="str">
        <f t="shared" si="2"/>
        <v>--</v>
      </c>
    </row>
    <row r="34" spans="1:24" x14ac:dyDescent="0.25">
      <c r="A34" s="1358"/>
      <c r="B34" s="129"/>
      <c r="C34" t="s">
        <v>1645</v>
      </c>
      <c r="D34" s="64"/>
      <c r="E34" s="64"/>
      <c r="F34" s="125"/>
      <c r="G34" s="64"/>
      <c r="H34" s="127"/>
      <c r="I34" s="64"/>
      <c r="J34" s="64"/>
      <c r="K34" s="125"/>
      <c r="L34" s="64"/>
      <c r="M34" s="146"/>
      <c r="N34" s="64"/>
      <c r="O34" s="64"/>
      <c r="P34" s="125"/>
      <c r="Q34" s="64"/>
      <c r="R34" s="127"/>
      <c r="T34" s="128"/>
      <c r="U34" s="128"/>
      <c r="V34" s="128" t="str">
        <f t="shared" si="0"/>
        <v>--</v>
      </c>
      <c r="W34" s="128" t="str">
        <f t="shared" si="1"/>
        <v>--</v>
      </c>
      <c r="X34" s="128" t="str">
        <f t="shared" si="2"/>
        <v>--</v>
      </c>
    </row>
    <row r="35" spans="1:24" x14ac:dyDescent="0.25">
      <c r="A35" s="1358"/>
      <c r="B35" s="129"/>
      <c r="C35" t="s">
        <v>1645</v>
      </c>
      <c r="D35" s="64"/>
      <c r="E35" s="64"/>
      <c r="F35" s="125"/>
      <c r="G35" s="64"/>
      <c r="H35" s="127"/>
      <c r="I35" s="64"/>
      <c r="J35" s="64"/>
      <c r="K35" s="125"/>
      <c r="L35" s="64"/>
      <c r="M35" s="146"/>
      <c r="N35" s="64"/>
      <c r="O35" s="64"/>
      <c r="P35" s="125"/>
      <c r="Q35" s="64"/>
      <c r="R35" s="127"/>
      <c r="T35" s="128"/>
      <c r="U35" s="128"/>
      <c r="V35" s="128" t="str">
        <f t="shared" si="0"/>
        <v>--</v>
      </c>
      <c r="W35" s="128" t="str">
        <f t="shared" si="1"/>
        <v>--</v>
      </c>
      <c r="X35" s="128" t="str">
        <f t="shared" si="2"/>
        <v>--</v>
      </c>
    </row>
    <row r="36" spans="1:24" x14ac:dyDescent="0.25">
      <c r="A36" s="1358"/>
      <c r="B36" s="129"/>
      <c r="C36" t="s">
        <v>1645</v>
      </c>
      <c r="D36" s="64"/>
      <c r="E36" s="64"/>
      <c r="F36" s="125"/>
      <c r="G36" s="64"/>
      <c r="H36" s="127"/>
      <c r="I36" s="64"/>
      <c r="J36" s="64"/>
      <c r="K36" s="125"/>
      <c r="L36" s="64"/>
      <c r="M36" s="146"/>
      <c r="N36" s="64"/>
      <c r="O36" s="64"/>
      <c r="P36" s="125"/>
      <c r="Q36" s="64"/>
      <c r="R36" s="127"/>
      <c r="T36" s="128"/>
      <c r="U36" s="128"/>
      <c r="V36" s="128" t="str">
        <f t="shared" si="0"/>
        <v>--</v>
      </c>
      <c r="W36" s="128" t="str">
        <f t="shared" si="1"/>
        <v>--</v>
      </c>
      <c r="X36" s="128" t="str">
        <f t="shared" si="2"/>
        <v>--</v>
      </c>
    </row>
    <row r="37" spans="1:24" x14ac:dyDescent="0.25">
      <c r="A37" s="1358"/>
      <c r="B37" s="130"/>
      <c r="C37" t="s">
        <v>1645</v>
      </c>
      <c r="D37" s="132"/>
      <c r="E37" s="132"/>
      <c r="F37" s="133"/>
      <c r="G37" s="132"/>
      <c r="H37" s="134"/>
      <c r="I37" s="132"/>
      <c r="J37" s="132"/>
      <c r="K37" s="133"/>
      <c r="L37" s="132"/>
      <c r="M37" s="147"/>
      <c r="N37" s="132"/>
      <c r="O37" s="132"/>
      <c r="P37" s="133"/>
      <c r="Q37" s="132"/>
      <c r="R37" s="134"/>
      <c r="T37" s="128"/>
      <c r="U37" s="128"/>
      <c r="V37" s="128" t="str">
        <f t="shared" si="0"/>
        <v>--</v>
      </c>
      <c r="W37" s="128" t="str">
        <f t="shared" si="1"/>
        <v>--</v>
      </c>
      <c r="X37" s="128" t="str">
        <f t="shared" si="2"/>
        <v>--</v>
      </c>
    </row>
    <row r="38" spans="1:24" x14ac:dyDescent="0.25">
      <c r="A38" s="1358"/>
      <c r="B38" s="129" t="s">
        <v>1320</v>
      </c>
      <c r="C38" t="s">
        <v>1646</v>
      </c>
      <c r="D38" s="64">
        <v>1</v>
      </c>
      <c r="E38" s="64" t="s">
        <v>864</v>
      </c>
      <c r="F38" s="125">
        <v>1068</v>
      </c>
      <c r="G38" s="64">
        <v>6</v>
      </c>
      <c r="H38" s="127" t="s">
        <v>540</v>
      </c>
      <c r="I38" s="64">
        <v>1</v>
      </c>
      <c r="J38" s="64" t="s">
        <v>832</v>
      </c>
      <c r="K38" s="125">
        <v>1480</v>
      </c>
      <c r="L38" s="64">
        <v>8</v>
      </c>
      <c r="M38" s="146" t="s">
        <v>1690</v>
      </c>
      <c r="N38" s="64">
        <v>1</v>
      </c>
      <c r="O38" s="64" t="s">
        <v>859</v>
      </c>
      <c r="P38" s="125">
        <v>1062</v>
      </c>
      <c r="Q38" s="64">
        <v>6</v>
      </c>
      <c r="R38" s="127" t="s">
        <v>542</v>
      </c>
      <c r="V38" s="128" t="str">
        <f t="shared" si="0"/>
        <v>--</v>
      </c>
      <c r="W38" s="128" t="str">
        <f t="shared" si="1"/>
        <v>yes</v>
      </c>
      <c r="X38" s="128" t="str">
        <f t="shared" si="2"/>
        <v>--</v>
      </c>
    </row>
    <row r="39" spans="1:24" x14ac:dyDescent="0.25">
      <c r="A39" s="1358"/>
      <c r="B39" s="129" t="s">
        <v>1323</v>
      </c>
      <c r="C39" t="s">
        <v>1646</v>
      </c>
      <c r="D39" s="64">
        <v>2</v>
      </c>
      <c r="E39" s="64" t="s">
        <v>863</v>
      </c>
      <c r="F39" s="125">
        <v>846</v>
      </c>
      <c r="G39" s="64">
        <v>6</v>
      </c>
      <c r="H39" s="127" t="s">
        <v>540</v>
      </c>
      <c r="I39" s="64">
        <v>2</v>
      </c>
      <c r="J39" s="64" t="s">
        <v>834</v>
      </c>
      <c r="K39" s="125">
        <v>1110</v>
      </c>
      <c r="L39" s="64">
        <v>6</v>
      </c>
      <c r="M39" s="146" t="s">
        <v>1690</v>
      </c>
      <c r="N39" s="64">
        <v>2</v>
      </c>
      <c r="O39" s="64" t="s">
        <v>860</v>
      </c>
      <c r="P39" s="125">
        <v>531</v>
      </c>
      <c r="Q39" s="64">
        <v>3</v>
      </c>
      <c r="R39" s="127" t="s">
        <v>542</v>
      </c>
      <c r="V39" s="128" t="str">
        <f t="shared" si="0"/>
        <v>--</v>
      </c>
      <c r="W39" s="128" t="str">
        <f t="shared" si="1"/>
        <v>yes</v>
      </c>
      <c r="X39" s="128" t="str">
        <f t="shared" si="2"/>
        <v>--</v>
      </c>
    </row>
    <row r="40" spans="1:24" x14ac:dyDescent="0.25">
      <c r="A40" s="1358"/>
      <c r="B40" s="129"/>
      <c r="C40" t="s">
        <v>1646</v>
      </c>
      <c r="D40" s="64">
        <v>3</v>
      </c>
      <c r="E40" s="64" t="s">
        <v>822</v>
      </c>
      <c r="F40" s="125">
        <v>534</v>
      </c>
      <c r="G40" s="64">
        <v>3</v>
      </c>
      <c r="H40" s="127" t="s">
        <v>540</v>
      </c>
      <c r="I40" s="64">
        <v>3</v>
      </c>
      <c r="J40" s="64" t="s">
        <v>836</v>
      </c>
      <c r="K40" s="125">
        <v>740</v>
      </c>
      <c r="L40" s="64">
        <v>4</v>
      </c>
      <c r="M40" s="146" t="s">
        <v>1690</v>
      </c>
      <c r="N40" s="64">
        <v>3</v>
      </c>
      <c r="O40" s="64"/>
      <c r="P40" s="125"/>
      <c r="Q40" s="64"/>
      <c r="R40" s="127"/>
      <c r="V40" s="128" t="str">
        <f t="shared" si="0"/>
        <v>--</v>
      </c>
      <c r="W40" s="128" t="str">
        <f t="shared" si="1"/>
        <v>yes</v>
      </c>
      <c r="X40" s="128" t="str">
        <f t="shared" si="2"/>
        <v>--</v>
      </c>
    </row>
    <row r="41" spans="1:24" x14ac:dyDescent="0.25">
      <c r="A41" s="1358"/>
      <c r="B41" s="129"/>
      <c r="C41" t="s">
        <v>1646</v>
      </c>
      <c r="D41" s="64">
        <v>4</v>
      </c>
      <c r="E41" s="64" t="s">
        <v>862</v>
      </c>
      <c r="F41" s="125">
        <v>423</v>
      </c>
      <c r="G41" s="64">
        <v>3</v>
      </c>
      <c r="H41" s="127" t="s">
        <v>540</v>
      </c>
      <c r="I41" s="64">
        <v>4</v>
      </c>
      <c r="J41" s="64" t="s">
        <v>861</v>
      </c>
      <c r="K41" s="125">
        <v>630</v>
      </c>
      <c r="L41" s="64">
        <v>2</v>
      </c>
      <c r="M41" s="146" t="s">
        <v>1690</v>
      </c>
      <c r="N41" s="64">
        <v>4</v>
      </c>
      <c r="O41" s="64"/>
      <c r="P41" s="125"/>
      <c r="Q41" s="64"/>
      <c r="R41" s="127"/>
      <c r="V41" s="128" t="str">
        <f t="shared" si="0"/>
        <v>--</v>
      </c>
      <c r="W41" s="128" t="str">
        <f t="shared" si="1"/>
        <v>--</v>
      </c>
      <c r="X41" s="128" t="str">
        <f t="shared" si="2"/>
        <v>--</v>
      </c>
    </row>
    <row r="42" spans="1:24" x14ac:dyDescent="0.25">
      <c r="A42" s="1358"/>
      <c r="B42" s="129"/>
      <c r="C42" t="s">
        <v>1646</v>
      </c>
      <c r="D42" s="64"/>
      <c r="E42" s="64"/>
      <c r="F42" s="125"/>
      <c r="G42" s="64"/>
      <c r="H42" s="127"/>
      <c r="I42" s="64">
        <v>5</v>
      </c>
      <c r="J42" s="64" t="s">
        <v>843</v>
      </c>
      <c r="K42" s="125">
        <v>370</v>
      </c>
      <c r="L42" s="64">
        <v>2</v>
      </c>
      <c r="M42" s="146" t="s">
        <v>1690</v>
      </c>
      <c r="N42" s="64">
        <v>5</v>
      </c>
      <c r="O42" s="64"/>
      <c r="P42" s="125"/>
      <c r="Q42" s="64"/>
      <c r="R42" s="127"/>
      <c r="V42" s="128" t="str">
        <f t="shared" si="0"/>
        <v>--</v>
      </c>
      <c r="W42" s="128" t="str">
        <f t="shared" si="1"/>
        <v>--</v>
      </c>
      <c r="X42" s="128" t="str">
        <f t="shared" si="2"/>
        <v>--</v>
      </c>
    </row>
    <row r="43" spans="1:24" x14ac:dyDescent="0.25">
      <c r="A43" s="1358"/>
      <c r="B43" s="129"/>
      <c r="C43" t="s">
        <v>1646</v>
      </c>
      <c r="D43" s="64"/>
      <c r="E43" s="64"/>
      <c r="F43" s="125"/>
      <c r="G43" s="64"/>
      <c r="H43" s="127"/>
      <c r="I43" s="64">
        <v>6</v>
      </c>
      <c r="J43" s="64" t="s">
        <v>844</v>
      </c>
      <c r="K43" s="125">
        <v>315</v>
      </c>
      <c r="L43" s="64">
        <v>1</v>
      </c>
      <c r="M43" s="146" t="s">
        <v>1690</v>
      </c>
      <c r="N43" s="64">
        <v>6</v>
      </c>
      <c r="O43" s="64"/>
      <c r="P43" s="125"/>
      <c r="Q43" s="64"/>
      <c r="R43" s="127"/>
      <c r="V43" s="128" t="str">
        <f t="shared" si="0"/>
        <v>--</v>
      </c>
      <c r="W43" s="128" t="str">
        <f t="shared" si="1"/>
        <v>--</v>
      </c>
      <c r="X43" s="128" t="str">
        <f t="shared" si="2"/>
        <v>--</v>
      </c>
    </row>
    <row r="44" spans="1:24" x14ac:dyDescent="0.25">
      <c r="A44" s="1358"/>
      <c r="B44" s="129"/>
      <c r="C44" t="s">
        <v>1646</v>
      </c>
      <c r="D44" s="64"/>
      <c r="E44" s="64"/>
      <c r="F44" s="125"/>
      <c r="G44" s="64"/>
      <c r="H44" s="127"/>
      <c r="I44" s="64">
        <v>7</v>
      </c>
      <c r="J44" s="64" t="s">
        <v>845</v>
      </c>
      <c r="K44" s="125">
        <v>185</v>
      </c>
      <c r="L44" s="64">
        <v>1</v>
      </c>
      <c r="M44" s="146" t="s">
        <v>1690</v>
      </c>
      <c r="N44" s="64">
        <v>7</v>
      </c>
      <c r="O44" s="64"/>
      <c r="P44" s="125"/>
      <c r="Q44" s="64"/>
      <c r="R44" s="127"/>
      <c r="V44" s="128" t="str">
        <f t="shared" si="0"/>
        <v>--</v>
      </c>
      <c r="W44" s="128" t="str">
        <f t="shared" si="1"/>
        <v>--</v>
      </c>
      <c r="X44" s="128" t="str">
        <f t="shared" si="2"/>
        <v>--</v>
      </c>
    </row>
    <row r="45" spans="1:24" x14ac:dyDescent="0.25">
      <c r="A45" s="1358"/>
      <c r="B45" s="129"/>
      <c r="C45" t="s">
        <v>1646</v>
      </c>
      <c r="D45" s="64"/>
      <c r="E45" s="64"/>
      <c r="F45" s="125"/>
      <c r="G45" s="64"/>
      <c r="H45" s="127"/>
      <c r="I45" s="64"/>
      <c r="J45" s="64"/>
      <c r="K45" s="125"/>
      <c r="L45" s="64"/>
      <c r="M45" s="146"/>
      <c r="N45" s="64"/>
      <c r="O45" s="64"/>
      <c r="P45" s="125"/>
      <c r="Q45" s="64"/>
      <c r="R45" s="127"/>
      <c r="V45" s="128" t="str">
        <f t="shared" si="0"/>
        <v>--</v>
      </c>
      <c r="W45" s="128" t="str">
        <f t="shared" si="1"/>
        <v>--</v>
      </c>
      <c r="X45" s="128" t="str">
        <f t="shared" si="2"/>
        <v>--</v>
      </c>
    </row>
    <row r="46" spans="1:24" x14ac:dyDescent="0.25">
      <c r="A46" s="1358"/>
      <c r="B46" s="129"/>
      <c r="C46" t="s">
        <v>1646</v>
      </c>
      <c r="D46" s="64"/>
      <c r="E46" s="64"/>
      <c r="F46" s="125"/>
      <c r="G46" s="64"/>
      <c r="H46" s="127"/>
      <c r="I46" s="64"/>
      <c r="J46" s="64"/>
      <c r="K46" s="125"/>
      <c r="L46" s="64"/>
      <c r="M46" s="146"/>
      <c r="N46" s="64"/>
      <c r="O46" s="64"/>
      <c r="P46" s="125"/>
      <c r="Q46" s="64"/>
      <c r="R46" s="127"/>
      <c r="V46" s="128" t="str">
        <f t="shared" si="0"/>
        <v>--</v>
      </c>
      <c r="W46" s="128" t="str">
        <f t="shared" si="1"/>
        <v>--</v>
      </c>
      <c r="X46" s="128" t="str">
        <f t="shared" si="2"/>
        <v>--</v>
      </c>
    </row>
    <row r="47" spans="1:24" x14ac:dyDescent="0.25">
      <c r="A47" s="1358"/>
      <c r="B47" s="129"/>
      <c r="C47" t="s">
        <v>1646</v>
      </c>
      <c r="D47" s="64"/>
      <c r="E47" s="64"/>
      <c r="F47" s="125"/>
      <c r="G47" s="64"/>
      <c r="H47" s="127"/>
      <c r="I47" s="64"/>
      <c r="J47" s="64"/>
      <c r="K47" s="125"/>
      <c r="L47" s="64"/>
      <c r="M47" s="146"/>
      <c r="N47" s="64"/>
      <c r="O47" s="64"/>
      <c r="P47" s="125"/>
      <c r="Q47" s="64"/>
      <c r="R47" s="127"/>
      <c r="V47" s="128" t="str">
        <f t="shared" si="0"/>
        <v>--</v>
      </c>
      <c r="W47" s="128" t="str">
        <f t="shared" si="1"/>
        <v>--</v>
      </c>
      <c r="X47" s="128" t="str">
        <f t="shared" si="2"/>
        <v>--</v>
      </c>
    </row>
    <row r="48" spans="1:24" x14ac:dyDescent="0.25">
      <c r="A48" s="1358"/>
      <c r="B48" s="129"/>
      <c r="C48" t="s">
        <v>1646</v>
      </c>
      <c r="D48" s="64"/>
      <c r="E48" s="64"/>
      <c r="F48" s="125"/>
      <c r="G48" s="64"/>
      <c r="H48" s="127"/>
      <c r="I48" s="64"/>
      <c r="J48" s="64"/>
      <c r="K48" s="125"/>
      <c r="L48" s="64"/>
      <c r="M48" s="146"/>
      <c r="N48" s="64"/>
      <c r="O48" s="64"/>
      <c r="P48" s="125"/>
      <c r="Q48" s="64"/>
      <c r="R48" s="127"/>
      <c r="V48" s="128" t="str">
        <f t="shared" si="0"/>
        <v>--</v>
      </c>
      <c r="W48" s="128" t="str">
        <f t="shared" si="1"/>
        <v>--</v>
      </c>
      <c r="X48" s="128" t="str">
        <f t="shared" si="2"/>
        <v>--</v>
      </c>
    </row>
    <row r="49" spans="1:24" x14ac:dyDescent="0.25">
      <c r="A49" s="1358"/>
      <c r="B49" s="130"/>
      <c r="C49" t="s">
        <v>1646</v>
      </c>
      <c r="D49" s="132"/>
      <c r="E49" s="132"/>
      <c r="F49" s="133"/>
      <c r="G49" s="132"/>
      <c r="H49" s="134"/>
      <c r="I49" s="132"/>
      <c r="J49" s="132"/>
      <c r="K49" s="133"/>
      <c r="L49" s="132"/>
      <c r="M49" s="147"/>
      <c r="N49" s="132"/>
      <c r="O49" s="132"/>
      <c r="P49" s="133"/>
      <c r="Q49" s="132"/>
      <c r="R49" s="134"/>
      <c r="V49" s="128" t="str">
        <f t="shared" si="0"/>
        <v>--</v>
      </c>
      <c r="W49" s="128" t="str">
        <f t="shared" si="1"/>
        <v>--</v>
      </c>
      <c r="X49" s="128" t="str">
        <f t="shared" si="2"/>
        <v>--</v>
      </c>
    </row>
    <row r="50" spans="1:24" x14ac:dyDescent="0.25">
      <c r="A50" s="1358"/>
      <c r="B50" s="129" t="s">
        <v>1326</v>
      </c>
      <c r="C50" t="s">
        <v>1647</v>
      </c>
      <c r="D50" s="64">
        <v>1</v>
      </c>
      <c r="E50" s="64" t="s">
        <v>810</v>
      </c>
      <c r="F50" s="125">
        <v>864</v>
      </c>
      <c r="G50" s="64">
        <v>6</v>
      </c>
      <c r="H50" s="127" t="s">
        <v>540</v>
      </c>
      <c r="I50" s="64">
        <v>1</v>
      </c>
      <c r="J50" s="64" t="s">
        <v>833</v>
      </c>
      <c r="K50" s="125">
        <v>1890</v>
      </c>
      <c r="L50" s="64">
        <v>6</v>
      </c>
      <c r="M50" s="146" t="s">
        <v>1690</v>
      </c>
      <c r="N50" s="64">
        <v>1</v>
      </c>
      <c r="O50" s="64" t="s">
        <v>850</v>
      </c>
      <c r="P50" s="125">
        <v>1062</v>
      </c>
      <c r="Q50" s="64">
        <v>6</v>
      </c>
      <c r="R50" s="127" t="s">
        <v>542</v>
      </c>
      <c r="V50" s="128" t="str">
        <f t="shared" si="0"/>
        <v>yes</v>
      </c>
      <c r="W50" s="128" t="str">
        <f t="shared" si="1"/>
        <v>yes</v>
      </c>
      <c r="X50" s="128" t="str">
        <f t="shared" si="2"/>
        <v>yes</v>
      </c>
    </row>
    <row r="51" spans="1:24" x14ac:dyDescent="0.25">
      <c r="A51" s="1358"/>
      <c r="B51" s="129" t="s">
        <v>1327</v>
      </c>
      <c r="C51" t="s">
        <v>1647</v>
      </c>
      <c r="D51" s="64">
        <v>2</v>
      </c>
      <c r="E51" s="64" t="s">
        <v>811</v>
      </c>
      <c r="F51" s="125">
        <v>786</v>
      </c>
      <c r="G51" s="64">
        <v>6</v>
      </c>
      <c r="H51" s="127" t="s">
        <v>540</v>
      </c>
      <c r="I51" s="64">
        <v>2</v>
      </c>
      <c r="J51" s="64" t="s">
        <v>835</v>
      </c>
      <c r="K51" s="125">
        <v>1260</v>
      </c>
      <c r="L51" s="64">
        <v>4</v>
      </c>
      <c r="M51" s="146" t="s">
        <v>1690</v>
      </c>
      <c r="N51" s="64">
        <v>2</v>
      </c>
      <c r="O51" s="64" t="s">
        <v>852</v>
      </c>
      <c r="P51" s="125">
        <v>708</v>
      </c>
      <c r="Q51" s="64">
        <v>4</v>
      </c>
      <c r="R51" s="127" t="s">
        <v>542</v>
      </c>
      <c r="V51" s="128" t="str">
        <f t="shared" si="0"/>
        <v>yes</v>
      </c>
      <c r="W51" s="128" t="str">
        <f t="shared" si="1"/>
        <v>yes</v>
      </c>
      <c r="X51" s="128" t="str">
        <f t="shared" si="2"/>
        <v>yes</v>
      </c>
    </row>
    <row r="52" spans="1:24" x14ac:dyDescent="0.25">
      <c r="A52" s="1358"/>
      <c r="B52" s="129" t="s">
        <v>1328</v>
      </c>
      <c r="C52" t="s">
        <v>1647</v>
      </c>
      <c r="D52" s="64">
        <v>3</v>
      </c>
      <c r="E52" s="64" t="s">
        <v>814</v>
      </c>
      <c r="F52" s="125">
        <v>576</v>
      </c>
      <c r="G52" s="64">
        <v>4</v>
      </c>
      <c r="H52" s="127" t="s">
        <v>540</v>
      </c>
      <c r="I52" s="64">
        <v>3</v>
      </c>
      <c r="J52" s="64" t="s">
        <v>834</v>
      </c>
      <c r="K52" s="125">
        <v>1110</v>
      </c>
      <c r="L52" s="64">
        <v>6</v>
      </c>
      <c r="M52" s="146" t="s">
        <v>1690</v>
      </c>
      <c r="N52" s="64">
        <v>3</v>
      </c>
      <c r="O52" s="64" t="s">
        <v>856</v>
      </c>
      <c r="P52" s="125">
        <v>354</v>
      </c>
      <c r="Q52" s="64">
        <v>2</v>
      </c>
      <c r="R52" s="127" t="s">
        <v>542</v>
      </c>
      <c r="V52" s="128" t="str">
        <f t="shared" si="0"/>
        <v>yes</v>
      </c>
      <c r="W52" s="128" t="str">
        <f t="shared" si="1"/>
        <v>yes</v>
      </c>
      <c r="X52" s="128" t="str">
        <f t="shared" si="2"/>
        <v>yes</v>
      </c>
    </row>
    <row r="53" spans="1:24" x14ac:dyDescent="0.25">
      <c r="A53" s="1358"/>
      <c r="B53" s="129"/>
      <c r="C53" t="s">
        <v>1647</v>
      </c>
      <c r="D53" s="64">
        <v>4</v>
      </c>
      <c r="E53" s="64" t="s">
        <v>817</v>
      </c>
      <c r="F53" s="125">
        <v>524</v>
      </c>
      <c r="G53" s="64">
        <v>4</v>
      </c>
      <c r="H53" s="127" t="s">
        <v>540</v>
      </c>
      <c r="I53" s="64">
        <v>4</v>
      </c>
      <c r="J53" s="64" t="s">
        <v>836</v>
      </c>
      <c r="K53" s="125">
        <v>740</v>
      </c>
      <c r="L53" s="64">
        <v>4</v>
      </c>
      <c r="M53" s="146" t="s">
        <v>1690</v>
      </c>
      <c r="N53" s="64">
        <v>4</v>
      </c>
      <c r="O53" s="64" t="s">
        <v>1447</v>
      </c>
      <c r="P53" s="125">
        <v>354</v>
      </c>
      <c r="Q53" s="64"/>
      <c r="R53" s="127"/>
      <c r="V53" s="128" t="str">
        <f t="shared" si="0"/>
        <v>yes</v>
      </c>
      <c r="W53" s="128" t="str">
        <f t="shared" si="1"/>
        <v>yes</v>
      </c>
      <c r="X53" s="128" t="str">
        <f t="shared" si="2"/>
        <v>--</v>
      </c>
    </row>
    <row r="54" spans="1:24" x14ac:dyDescent="0.25">
      <c r="A54" s="1358"/>
      <c r="B54" s="129"/>
      <c r="C54" t="s">
        <v>1647</v>
      </c>
      <c r="D54" s="64">
        <v>5</v>
      </c>
      <c r="E54" s="64" t="s">
        <v>820</v>
      </c>
      <c r="F54" s="125">
        <v>288</v>
      </c>
      <c r="G54" s="64">
        <v>2</v>
      </c>
      <c r="H54" s="127" t="s">
        <v>540</v>
      </c>
      <c r="I54" s="64">
        <v>5</v>
      </c>
      <c r="J54" s="64" t="s">
        <v>837</v>
      </c>
      <c r="K54" s="125">
        <v>630</v>
      </c>
      <c r="L54" s="64">
        <v>2</v>
      </c>
      <c r="M54" s="146" t="s">
        <v>1690</v>
      </c>
      <c r="N54" s="64">
        <v>5</v>
      </c>
      <c r="O54" s="64" t="s">
        <v>595</v>
      </c>
      <c r="P54" s="125">
        <v>200</v>
      </c>
      <c r="Q54" s="64"/>
      <c r="R54" s="127"/>
      <c r="V54" s="128" t="str">
        <f t="shared" si="0"/>
        <v>yes</v>
      </c>
      <c r="W54" s="128" t="str">
        <f t="shared" si="1"/>
        <v>yes</v>
      </c>
      <c r="X54" s="128" t="str">
        <f t="shared" si="2"/>
        <v>--</v>
      </c>
    </row>
    <row r="55" spans="1:24" x14ac:dyDescent="0.25">
      <c r="A55" s="1358"/>
      <c r="B55" s="129"/>
      <c r="C55" t="s">
        <v>1647</v>
      </c>
      <c r="D55" s="64">
        <v>6</v>
      </c>
      <c r="E55" s="64" t="s">
        <v>821</v>
      </c>
      <c r="F55" s="125">
        <v>262</v>
      </c>
      <c r="G55" s="64">
        <v>2</v>
      </c>
      <c r="H55" s="127" t="s">
        <v>540</v>
      </c>
      <c r="I55" s="64">
        <v>6</v>
      </c>
      <c r="J55" s="64" t="s">
        <v>840</v>
      </c>
      <c r="K55" s="125">
        <v>370</v>
      </c>
      <c r="L55" s="64">
        <v>2</v>
      </c>
      <c r="M55" s="146" t="s">
        <v>1690</v>
      </c>
      <c r="N55" s="64"/>
      <c r="O55" s="64"/>
      <c r="P55" s="125"/>
      <c r="Q55" s="64"/>
      <c r="R55" s="127"/>
      <c r="V55" s="128" t="str">
        <f t="shared" si="0"/>
        <v>yes</v>
      </c>
      <c r="W55" s="128" t="str">
        <f t="shared" si="1"/>
        <v>yes</v>
      </c>
      <c r="X55" s="128" t="str">
        <f t="shared" si="2"/>
        <v>--</v>
      </c>
    </row>
    <row r="56" spans="1:24" x14ac:dyDescent="0.25">
      <c r="A56" s="1358"/>
      <c r="B56" s="129"/>
      <c r="C56" t="s">
        <v>1647</v>
      </c>
      <c r="D56" s="64">
        <v>7</v>
      </c>
      <c r="E56" s="64" t="s">
        <v>1447</v>
      </c>
      <c r="F56" s="125">
        <v>262</v>
      </c>
      <c r="G56" s="64"/>
      <c r="H56" s="127"/>
      <c r="I56" s="64">
        <v>7</v>
      </c>
      <c r="J56" s="64" t="s">
        <v>1447</v>
      </c>
      <c r="K56" s="125">
        <v>252</v>
      </c>
      <c r="L56" s="64"/>
      <c r="M56" s="146"/>
      <c r="N56" s="64"/>
      <c r="O56" s="64"/>
      <c r="P56" s="125"/>
      <c r="Q56" s="64"/>
      <c r="R56" s="127"/>
      <c r="V56" s="128" t="str">
        <f t="shared" si="0"/>
        <v>--</v>
      </c>
      <c r="W56" s="128" t="str">
        <f t="shared" si="1"/>
        <v>--</v>
      </c>
      <c r="X56" s="128" t="str">
        <f t="shared" si="2"/>
        <v>--</v>
      </c>
    </row>
    <row r="57" spans="1:24" x14ac:dyDescent="0.25">
      <c r="A57" s="1358"/>
      <c r="B57" s="129"/>
      <c r="C57" t="s">
        <v>1647</v>
      </c>
      <c r="D57" s="64">
        <v>8</v>
      </c>
      <c r="E57" s="64" t="s">
        <v>595</v>
      </c>
      <c r="F57" s="125">
        <v>200</v>
      </c>
      <c r="G57" s="64"/>
      <c r="H57" s="127"/>
      <c r="I57" s="64"/>
      <c r="J57" s="64"/>
      <c r="K57" s="125"/>
      <c r="L57" s="64"/>
      <c r="M57" s="146"/>
      <c r="N57" s="64"/>
      <c r="O57" s="64"/>
      <c r="P57" s="125"/>
      <c r="Q57" s="64"/>
      <c r="R57" s="127"/>
      <c r="V57" s="128" t="str">
        <f t="shared" si="0"/>
        <v>--</v>
      </c>
      <c r="W57" s="128" t="str">
        <f t="shared" si="1"/>
        <v>--</v>
      </c>
      <c r="X57" s="128" t="str">
        <f t="shared" si="2"/>
        <v>--</v>
      </c>
    </row>
    <row r="58" spans="1:24" x14ac:dyDescent="0.25">
      <c r="A58" s="1358"/>
      <c r="B58" s="129"/>
      <c r="C58" t="s">
        <v>1647</v>
      </c>
      <c r="D58" s="64"/>
      <c r="E58" s="64"/>
      <c r="F58" s="125"/>
      <c r="G58" s="64"/>
      <c r="H58" s="127"/>
      <c r="I58" s="64"/>
      <c r="J58" s="64"/>
      <c r="K58" s="125"/>
      <c r="L58" s="64"/>
      <c r="M58" s="146"/>
      <c r="N58" s="64"/>
      <c r="O58" s="64"/>
      <c r="P58" s="125"/>
      <c r="Q58" s="64"/>
      <c r="R58" s="127"/>
      <c r="V58" s="128" t="str">
        <f t="shared" si="0"/>
        <v>--</v>
      </c>
      <c r="W58" s="128" t="str">
        <f t="shared" si="1"/>
        <v>--</v>
      </c>
      <c r="X58" s="128" t="str">
        <f t="shared" si="2"/>
        <v>--</v>
      </c>
    </row>
    <row r="59" spans="1:24" x14ac:dyDescent="0.25">
      <c r="A59" s="1358"/>
      <c r="B59" s="129"/>
      <c r="C59" t="s">
        <v>1647</v>
      </c>
      <c r="D59" s="64"/>
      <c r="E59" s="64"/>
      <c r="F59" s="125"/>
      <c r="G59" s="64"/>
      <c r="H59" s="127"/>
      <c r="I59" s="64"/>
      <c r="J59" s="64"/>
      <c r="K59" s="125"/>
      <c r="L59" s="64"/>
      <c r="M59" s="146"/>
      <c r="N59" s="64"/>
      <c r="O59" s="64"/>
      <c r="P59" s="125"/>
      <c r="Q59" s="64"/>
      <c r="R59" s="127"/>
      <c r="V59" s="128" t="str">
        <f t="shared" si="0"/>
        <v>--</v>
      </c>
      <c r="W59" s="128" t="str">
        <f t="shared" si="1"/>
        <v>--</v>
      </c>
      <c r="X59" s="128" t="str">
        <f t="shared" si="2"/>
        <v>--</v>
      </c>
    </row>
    <row r="60" spans="1:24" x14ac:dyDescent="0.25">
      <c r="A60" s="1358"/>
      <c r="B60" s="129"/>
      <c r="C60" t="s">
        <v>1647</v>
      </c>
      <c r="D60" s="64"/>
      <c r="E60" s="64"/>
      <c r="F60" s="125"/>
      <c r="G60" s="64"/>
      <c r="H60" s="127"/>
      <c r="I60" s="64"/>
      <c r="J60" s="64"/>
      <c r="K60" s="125"/>
      <c r="L60" s="64"/>
      <c r="M60" s="146"/>
      <c r="N60" s="64"/>
      <c r="O60" s="64"/>
      <c r="P60" s="125"/>
      <c r="Q60" s="64"/>
      <c r="R60" s="127"/>
      <c r="V60" s="128" t="str">
        <f t="shared" si="0"/>
        <v>--</v>
      </c>
      <c r="W60" s="128" t="str">
        <f t="shared" si="1"/>
        <v>--</v>
      </c>
      <c r="X60" s="128" t="str">
        <f t="shared" si="2"/>
        <v>--</v>
      </c>
    </row>
    <row r="61" spans="1:24" ht="15.75" thickBot="1" x14ac:dyDescent="0.3">
      <c r="A61" s="1358"/>
      <c r="B61" s="135"/>
      <c r="C61" t="s">
        <v>1647</v>
      </c>
      <c r="D61" s="136"/>
      <c r="E61" s="136"/>
      <c r="F61" s="137"/>
      <c r="G61" s="136"/>
      <c r="H61" s="138"/>
      <c r="I61" s="136"/>
      <c r="J61" s="136"/>
      <c r="K61" s="137"/>
      <c r="L61" s="136"/>
      <c r="M61" s="148"/>
      <c r="N61" s="136"/>
      <c r="O61" s="136"/>
      <c r="P61" s="137"/>
      <c r="Q61" s="136"/>
      <c r="R61" s="138"/>
      <c r="V61" s="128" t="str">
        <f t="shared" si="0"/>
        <v>--</v>
      </c>
      <c r="W61" s="128" t="str">
        <f t="shared" si="1"/>
        <v>--</v>
      </c>
      <c r="X61" s="128" t="str">
        <f t="shared" si="2"/>
        <v>--</v>
      </c>
    </row>
    <row r="62" spans="1:24" ht="14.65" customHeight="1" x14ac:dyDescent="0.25">
      <c r="A62" s="1351" t="s">
        <v>543</v>
      </c>
      <c r="B62" s="127" t="s">
        <v>1745</v>
      </c>
      <c r="C62" t="s">
        <v>1644</v>
      </c>
      <c r="D62" s="64">
        <v>1</v>
      </c>
      <c r="E62" s="64" t="s">
        <v>808</v>
      </c>
      <c r="F62" s="125">
        <v>1152</v>
      </c>
      <c r="G62" s="64">
        <v>8</v>
      </c>
      <c r="H62" s="127" t="s">
        <v>540</v>
      </c>
      <c r="I62" s="64">
        <v>1</v>
      </c>
      <c r="J62" s="64" t="s">
        <v>831</v>
      </c>
      <c r="K62" s="125">
        <v>2520</v>
      </c>
      <c r="L62" s="64">
        <v>8</v>
      </c>
      <c r="M62" s="146" t="s">
        <v>1690</v>
      </c>
      <c r="N62" s="64">
        <v>1</v>
      </c>
      <c r="O62" s="64" t="s">
        <v>849</v>
      </c>
      <c r="P62" s="125">
        <v>1416</v>
      </c>
      <c r="Q62" s="64">
        <v>8</v>
      </c>
      <c r="R62" s="127" t="s">
        <v>542</v>
      </c>
      <c r="V62" s="128" t="str">
        <f t="shared" si="0"/>
        <v>yes</v>
      </c>
      <c r="W62" s="128" t="str">
        <f t="shared" si="1"/>
        <v>yes</v>
      </c>
      <c r="X62" s="128" t="str">
        <f t="shared" si="2"/>
        <v>yes</v>
      </c>
    </row>
    <row r="63" spans="1:24" ht="14.65" customHeight="1" x14ac:dyDescent="0.25">
      <c r="A63" s="1352"/>
      <c r="B63" s="127" t="s">
        <v>1746</v>
      </c>
      <c r="C63" t="s">
        <v>1644</v>
      </c>
      <c r="D63" s="64">
        <v>2</v>
      </c>
      <c r="E63" s="64" t="s">
        <v>809</v>
      </c>
      <c r="F63" s="125">
        <v>1048</v>
      </c>
      <c r="G63" s="64">
        <v>8</v>
      </c>
      <c r="H63" s="127" t="s">
        <v>540</v>
      </c>
      <c r="I63" s="64">
        <v>2</v>
      </c>
      <c r="J63" s="64" t="s">
        <v>833</v>
      </c>
      <c r="K63" s="125">
        <v>1890</v>
      </c>
      <c r="L63" s="64">
        <v>6</v>
      </c>
      <c r="M63" s="146" t="s">
        <v>1690</v>
      </c>
      <c r="N63" s="64">
        <v>2</v>
      </c>
      <c r="O63" s="64" t="s">
        <v>850</v>
      </c>
      <c r="P63" s="125">
        <v>1062</v>
      </c>
      <c r="Q63" s="64">
        <v>6</v>
      </c>
      <c r="R63" s="127" t="s">
        <v>542</v>
      </c>
      <c r="V63" s="128" t="str">
        <f t="shared" si="0"/>
        <v>yes</v>
      </c>
      <c r="W63" s="128" t="str">
        <f t="shared" si="1"/>
        <v>yes</v>
      </c>
      <c r="X63" s="128" t="str">
        <f t="shared" si="2"/>
        <v>yes</v>
      </c>
    </row>
    <row r="64" spans="1:24" ht="14.65" customHeight="1" x14ac:dyDescent="0.25">
      <c r="A64" s="1352"/>
      <c r="B64" s="127" t="s">
        <v>1747</v>
      </c>
      <c r="C64" t="s">
        <v>1644</v>
      </c>
      <c r="D64" s="64">
        <v>3</v>
      </c>
      <c r="E64" s="64" t="s">
        <v>810</v>
      </c>
      <c r="F64" s="125">
        <v>864</v>
      </c>
      <c r="G64" s="64">
        <v>6</v>
      </c>
      <c r="H64" s="127" t="s">
        <v>540</v>
      </c>
      <c r="I64" s="64">
        <v>3</v>
      </c>
      <c r="J64" s="64" t="s">
        <v>832</v>
      </c>
      <c r="K64" s="125">
        <v>1480</v>
      </c>
      <c r="L64" s="64">
        <v>8</v>
      </c>
      <c r="M64" s="146" t="s">
        <v>1690</v>
      </c>
      <c r="N64" s="64">
        <v>3</v>
      </c>
      <c r="O64" s="64" t="s">
        <v>1085</v>
      </c>
      <c r="P64" s="125">
        <v>712</v>
      </c>
      <c r="Q64" s="64">
        <v>4</v>
      </c>
      <c r="R64" s="127" t="s">
        <v>542</v>
      </c>
      <c r="V64" s="128" t="str">
        <f t="shared" si="0"/>
        <v>yes</v>
      </c>
      <c r="W64" s="128" t="str">
        <f t="shared" si="1"/>
        <v>yes</v>
      </c>
      <c r="X64" s="128" t="str">
        <f t="shared" si="2"/>
        <v>yes</v>
      </c>
    </row>
    <row r="65" spans="1:24" ht="14.65" customHeight="1" x14ac:dyDescent="0.25">
      <c r="A65" s="1352"/>
      <c r="B65" s="127"/>
      <c r="C65" t="s">
        <v>1644</v>
      </c>
      <c r="D65" s="64">
        <v>4</v>
      </c>
      <c r="E65" s="64" t="s">
        <v>811</v>
      </c>
      <c r="F65" s="125">
        <v>786</v>
      </c>
      <c r="G65" s="64">
        <v>6</v>
      </c>
      <c r="H65" s="127" t="s">
        <v>540</v>
      </c>
      <c r="I65" s="64">
        <v>4</v>
      </c>
      <c r="J65" s="64" t="s">
        <v>835</v>
      </c>
      <c r="K65" s="125">
        <v>1260</v>
      </c>
      <c r="L65" s="64">
        <v>4</v>
      </c>
      <c r="M65" s="146" t="s">
        <v>1690</v>
      </c>
      <c r="N65" s="64">
        <v>4</v>
      </c>
      <c r="O65" s="64" t="s">
        <v>852</v>
      </c>
      <c r="P65" s="125">
        <v>708</v>
      </c>
      <c r="Q65" s="64">
        <v>4</v>
      </c>
      <c r="R65" s="127" t="s">
        <v>542</v>
      </c>
      <c r="V65" s="128" t="str">
        <f t="shared" si="0"/>
        <v>yes</v>
      </c>
      <c r="W65" s="128" t="str">
        <f t="shared" si="1"/>
        <v>yes</v>
      </c>
      <c r="X65" s="128" t="str">
        <f t="shared" si="2"/>
        <v>yes</v>
      </c>
    </row>
    <row r="66" spans="1:24" ht="14.65" customHeight="1" x14ac:dyDescent="0.25">
      <c r="A66" s="1352"/>
      <c r="B66" s="127"/>
      <c r="C66" t="s">
        <v>1644</v>
      </c>
      <c r="D66" s="64">
        <v>5</v>
      </c>
      <c r="E66" s="64" t="s">
        <v>1083</v>
      </c>
      <c r="F66" s="125">
        <v>712</v>
      </c>
      <c r="G66" s="64">
        <v>3</v>
      </c>
      <c r="H66" s="127" t="s">
        <v>540</v>
      </c>
      <c r="I66" s="64">
        <v>5</v>
      </c>
      <c r="J66" s="64" t="s">
        <v>834</v>
      </c>
      <c r="K66" s="125">
        <v>1110</v>
      </c>
      <c r="L66" s="64">
        <v>6</v>
      </c>
      <c r="M66" s="146" t="s">
        <v>1690</v>
      </c>
      <c r="N66" s="64">
        <v>5</v>
      </c>
      <c r="O66" s="64" t="s">
        <v>856</v>
      </c>
      <c r="P66" s="125">
        <v>354</v>
      </c>
      <c r="Q66" s="64">
        <v>2</v>
      </c>
      <c r="R66" s="127" t="s">
        <v>542</v>
      </c>
      <c r="V66" s="128" t="str">
        <f t="shared" si="0"/>
        <v>yes</v>
      </c>
      <c r="W66" s="128" t="str">
        <f t="shared" si="1"/>
        <v>yes</v>
      </c>
      <c r="X66" s="128" t="str">
        <f t="shared" si="2"/>
        <v>yes</v>
      </c>
    </row>
    <row r="67" spans="1:24" ht="14.65" customHeight="1" x14ac:dyDescent="0.25">
      <c r="A67" s="1352"/>
      <c r="B67" s="127"/>
      <c r="C67" t="s">
        <v>1644</v>
      </c>
      <c r="D67" s="64">
        <v>6</v>
      </c>
      <c r="E67" s="64" t="s">
        <v>1084</v>
      </c>
      <c r="F67" s="125">
        <v>687</v>
      </c>
      <c r="G67" s="64">
        <v>3</v>
      </c>
      <c r="H67" s="127" t="s">
        <v>540</v>
      </c>
      <c r="I67" s="64">
        <v>6</v>
      </c>
      <c r="J67" s="64" t="s">
        <v>836</v>
      </c>
      <c r="K67" s="125">
        <v>740</v>
      </c>
      <c r="L67" s="64">
        <v>4</v>
      </c>
      <c r="M67" s="146" t="s">
        <v>1690</v>
      </c>
      <c r="N67" s="64">
        <v>6</v>
      </c>
      <c r="O67" s="64" t="s">
        <v>1447</v>
      </c>
      <c r="P67" s="125">
        <v>354</v>
      </c>
      <c r="Q67" s="64"/>
      <c r="R67" s="127"/>
      <c r="V67" s="128" t="str">
        <f t="shared" si="0"/>
        <v>yes</v>
      </c>
      <c r="W67" s="128" t="str">
        <f t="shared" si="1"/>
        <v>yes</v>
      </c>
      <c r="X67" s="128" t="str">
        <f t="shared" si="2"/>
        <v>--</v>
      </c>
    </row>
    <row r="68" spans="1:24" x14ac:dyDescent="0.25">
      <c r="A68" s="1352"/>
      <c r="B68" s="127"/>
      <c r="C68" t="s">
        <v>1644</v>
      </c>
      <c r="D68" s="64">
        <v>7</v>
      </c>
      <c r="E68" s="64" t="s">
        <v>814</v>
      </c>
      <c r="F68" s="125">
        <v>576</v>
      </c>
      <c r="G68" s="64">
        <v>4</v>
      </c>
      <c r="H68" s="127" t="s">
        <v>540</v>
      </c>
      <c r="I68" s="64">
        <v>7</v>
      </c>
      <c r="J68" s="64" t="s">
        <v>837</v>
      </c>
      <c r="K68" s="125">
        <v>630</v>
      </c>
      <c r="L68" s="64">
        <v>2</v>
      </c>
      <c r="M68" s="146" t="s">
        <v>1690</v>
      </c>
      <c r="N68" s="64">
        <v>7</v>
      </c>
      <c r="O68" s="64" t="s">
        <v>595</v>
      </c>
      <c r="P68" s="125">
        <v>200</v>
      </c>
      <c r="Q68" s="64"/>
      <c r="R68" s="127"/>
      <c r="V68" s="128" t="str">
        <f t="shared" si="0"/>
        <v>yes</v>
      </c>
      <c r="W68" s="128" t="str">
        <f t="shared" si="1"/>
        <v>yes</v>
      </c>
      <c r="X68" s="128" t="str">
        <f t="shared" si="2"/>
        <v>--</v>
      </c>
    </row>
    <row r="69" spans="1:24" x14ac:dyDescent="0.25">
      <c r="A69" s="1352"/>
      <c r="B69" s="127"/>
      <c r="C69" t="s">
        <v>1644</v>
      </c>
      <c r="D69" s="64">
        <v>8</v>
      </c>
      <c r="E69" s="64" t="s">
        <v>817</v>
      </c>
      <c r="F69" s="125">
        <v>524</v>
      </c>
      <c r="G69" s="64">
        <v>4</v>
      </c>
      <c r="H69" s="127" t="s">
        <v>540</v>
      </c>
      <c r="I69" s="64">
        <v>8</v>
      </c>
      <c r="J69" s="64" t="s">
        <v>840</v>
      </c>
      <c r="K69" s="125">
        <v>370</v>
      </c>
      <c r="L69" s="64">
        <v>2</v>
      </c>
      <c r="M69" s="146" t="s">
        <v>1690</v>
      </c>
      <c r="N69" s="64">
        <v>8</v>
      </c>
      <c r="O69" s="64"/>
      <c r="P69" s="125"/>
      <c r="Q69" s="64"/>
      <c r="R69" s="127"/>
      <c r="V69" s="128" t="str">
        <f t="shared" si="0"/>
        <v>yes</v>
      </c>
      <c r="W69" s="128" t="str">
        <f t="shared" si="1"/>
        <v>yes</v>
      </c>
      <c r="X69" s="128" t="str">
        <f t="shared" si="2"/>
        <v>--</v>
      </c>
    </row>
    <row r="70" spans="1:24" x14ac:dyDescent="0.25">
      <c r="A70" s="1352"/>
      <c r="B70" s="127"/>
      <c r="C70" t="s">
        <v>1644</v>
      </c>
      <c r="D70" s="64">
        <v>9</v>
      </c>
      <c r="E70" s="64" t="s">
        <v>820</v>
      </c>
      <c r="F70" s="125">
        <v>288</v>
      </c>
      <c r="G70" s="64">
        <v>2</v>
      </c>
      <c r="H70" s="127" t="s">
        <v>540</v>
      </c>
      <c r="I70" s="64">
        <v>9</v>
      </c>
      <c r="J70" s="64" t="s">
        <v>1447</v>
      </c>
      <c r="K70" s="125">
        <v>252</v>
      </c>
      <c r="L70" s="64"/>
      <c r="M70" s="146"/>
      <c r="N70" s="64"/>
      <c r="O70" s="64"/>
      <c r="P70" s="125"/>
      <c r="Q70" s="64"/>
      <c r="R70" s="127"/>
      <c r="V70" s="128" t="str">
        <f t="shared" si="0"/>
        <v>yes</v>
      </c>
      <c r="W70" s="128" t="str">
        <f t="shared" si="1"/>
        <v>--</v>
      </c>
      <c r="X70" s="128" t="str">
        <f t="shared" si="2"/>
        <v>--</v>
      </c>
    </row>
    <row r="71" spans="1:24" x14ac:dyDescent="0.25">
      <c r="A71" s="1352"/>
      <c r="B71" s="127"/>
      <c r="C71" t="s">
        <v>1644</v>
      </c>
      <c r="D71" s="64">
        <v>10</v>
      </c>
      <c r="E71" s="64" t="s">
        <v>821</v>
      </c>
      <c r="F71" s="125">
        <v>262</v>
      </c>
      <c r="G71" s="64">
        <v>2</v>
      </c>
      <c r="H71" s="127" t="s">
        <v>540</v>
      </c>
      <c r="I71" s="64"/>
      <c r="J71" s="64"/>
      <c r="K71" s="125"/>
      <c r="L71" s="64"/>
      <c r="M71" s="146"/>
      <c r="N71" s="64"/>
      <c r="O71" s="64"/>
      <c r="P71" s="125"/>
      <c r="Q71" s="64"/>
      <c r="R71" s="127"/>
      <c r="V71" s="128" t="str">
        <f t="shared" si="0"/>
        <v>yes</v>
      </c>
      <c r="W71" s="128" t="str">
        <f t="shared" si="1"/>
        <v>--</v>
      </c>
      <c r="X71" s="128" t="str">
        <f t="shared" si="2"/>
        <v>--</v>
      </c>
    </row>
    <row r="72" spans="1:24" x14ac:dyDescent="0.25">
      <c r="A72" s="1352"/>
      <c r="B72" s="129"/>
      <c r="C72" t="s">
        <v>1644</v>
      </c>
      <c r="D72" s="64">
        <v>11</v>
      </c>
      <c r="E72" s="64" t="s">
        <v>1447</v>
      </c>
      <c r="F72" s="125">
        <v>262</v>
      </c>
      <c r="G72" s="64"/>
      <c r="H72" s="127"/>
      <c r="I72" s="64"/>
      <c r="L72" s="64"/>
      <c r="M72" s="146"/>
      <c r="N72" s="64"/>
      <c r="O72" s="64"/>
      <c r="P72" s="125"/>
      <c r="Q72" s="64"/>
      <c r="R72" s="127"/>
      <c r="V72" s="128" t="str">
        <f t="shared" si="0"/>
        <v>--</v>
      </c>
      <c r="W72" s="128" t="str">
        <f t="shared" si="1"/>
        <v>--</v>
      </c>
      <c r="X72" s="128" t="str">
        <f t="shared" si="2"/>
        <v>--</v>
      </c>
    </row>
    <row r="73" spans="1:24" x14ac:dyDescent="0.25">
      <c r="A73" s="1352"/>
      <c r="B73" s="130"/>
      <c r="C73" t="s">
        <v>1644</v>
      </c>
      <c r="D73" s="132">
        <v>12</v>
      </c>
      <c r="E73" s="132" t="s">
        <v>595</v>
      </c>
      <c r="F73" s="133">
        <v>200</v>
      </c>
      <c r="G73" s="132"/>
      <c r="H73" s="134"/>
      <c r="I73" s="132"/>
      <c r="J73" s="132"/>
      <c r="K73" s="133"/>
      <c r="L73" s="132"/>
      <c r="M73" s="147"/>
      <c r="N73" s="132"/>
      <c r="O73" s="132"/>
      <c r="P73" s="133"/>
      <c r="Q73" s="132"/>
      <c r="R73" s="134"/>
      <c r="V73" s="128" t="str">
        <f t="shared" si="0"/>
        <v>--</v>
      </c>
      <c r="W73" s="128" t="str">
        <f t="shared" si="1"/>
        <v>--</v>
      </c>
      <c r="X73" s="128" t="str">
        <f t="shared" si="2"/>
        <v>--</v>
      </c>
    </row>
    <row r="74" spans="1:24" x14ac:dyDescent="0.25">
      <c r="A74" s="1352"/>
      <c r="B74" s="127" t="s">
        <v>1748</v>
      </c>
      <c r="C74" t="s">
        <v>1643</v>
      </c>
      <c r="D74" s="64">
        <v>1</v>
      </c>
      <c r="E74" s="64" t="s">
        <v>808</v>
      </c>
      <c r="F74" s="125">
        <v>1152</v>
      </c>
      <c r="G74" s="64">
        <v>8</v>
      </c>
      <c r="H74" s="127" t="s">
        <v>540</v>
      </c>
      <c r="I74" s="64">
        <v>1</v>
      </c>
      <c r="J74" s="64" t="s">
        <v>831</v>
      </c>
      <c r="K74" s="125">
        <v>2520</v>
      </c>
      <c r="L74" s="64">
        <v>8</v>
      </c>
      <c r="M74" s="146" t="s">
        <v>1690</v>
      </c>
      <c r="N74" s="64">
        <v>1</v>
      </c>
      <c r="O74" s="64" t="s">
        <v>849</v>
      </c>
      <c r="P74" s="125">
        <v>1416</v>
      </c>
      <c r="Q74" s="64">
        <v>8</v>
      </c>
      <c r="R74" s="127" t="s">
        <v>542</v>
      </c>
      <c r="V74" s="128" t="str">
        <f t="shared" si="0"/>
        <v>yes</v>
      </c>
      <c r="W74" s="128" t="str">
        <f t="shared" si="1"/>
        <v>yes</v>
      </c>
      <c r="X74" s="128" t="str">
        <f t="shared" si="2"/>
        <v>yes</v>
      </c>
    </row>
    <row r="75" spans="1:24" x14ac:dyDescent="0.25">
      <c r="A75" s="1352"/>
      <c r="B75" s="127" t="s">
        <v>1749</v>
      </c>
      <c r="C75" t="s">
        <v>1643</v>
      </c>
      <c r="D75" s="64">
        <v>2</v>
      </c>
      <c r="E75" s="64" t="s">
        <v>809</v>
      </c>
      <c r="F75" s="125">
        <v>1048</v>
      </c>
      <c r="G75" s="64">
        <v>8</v>
      </c>
      <c r="H75" s="127" t="s">
        <v>540</v>
      </c>
      <c r="I75" s="64">
        <v>2</v>
      </c>
      <c r="J75" s="64" t="s">
        <v>833</v>
      </c>
      <c r="K75" s="125">
        <v>1890</v>
      </c>
      <c r="L75" s="64">
        <v>6</v>
      </c>
      <c r="M75" s="146" t="s">
        <v>1690</v>
      </c>
      <c r="N75" s="64">
        <v>2</v>
      </c>
      <c r="O75" s="64" t="s">
        <v>850</v>
      </c>
      <c r="P75" s="125">
        <v>1062</v>
      </c>
      <c r="Q75" s="64">
        <v>6</v>
      </c>
      <c r="R75" s="127" t="s">
        <v>542</v>
      </c>
      <c r="V75" s="128" t="str">
        <f t="shared" si="0"/>
        <v>yes</v>
      </c>
      <c r="W75" s="128" t="str">
        <f t="shared" si="1"/>
        <v>yes</v>
      </c>
      <c r="X75" s="128" t="str">
        <f t="shared" si="2"/>
        <v>yes</v>
      </c>
    </row>
    <row r="76" spans="1:24" x14ac:dyDescent="0.25">
      <c r="A76" s="1352"/>
      <c r="B76" s="127"/>
      <c r="C76" t="s">
        <v>1643</v>
      </c>
      <c r="D76" s="64">
        <v>3</v>
      </c>
      <c r="E76" s="64" t="s">
        <v>810</v>
      </c>
      <c r="F76" s="125">
        <v>864</v>
      </c>
      <c r="G76" s="64">
        <v>6</v>
      </c>
      <c r="H76" s="127" t="s">
        <v>540</v>
      </c>
      <c r="I76" s="64">
        <v>3</v>
      </c>
      <c r="J76" s="64" t="s">
        <v>832</v>
      </c>
      <c r="K76" s="125">
        <v>1480</v>
      </c>
      <c r="L76" s="64">
        <v>8</v>
      </c>
      <c r="M76" s="146" t="s">
        <v>1690</v>
      </c>
      <c r="N76" s="64">
        <v>3</v>
      </c>
      <c r="O76" s="64" t="s">
        <v>1085</v>
      </c>
      <c r="P76" s="125">
        <v>712</v>
      </c>
      <c r="Q76" s="64">
        <v>4</v>
      </c>
      <c r="R76" s="127" t="s">
        <v>542</v>
      </c>
      <c r="V76" s="128" t="str">
        <f t="shared" si="0"/>
        <v>yes</v>
      </c>
      <c r="W76" s="128" t="str">
        <f t="shared" si="1"/>
        <v>yes</v>
      </c>
      <c r="X76" s="128" t="str">
        <f t="shared" si="2"/>
        <v>yes</v>
      </c>
    </row>
    <row r="77" spans="1:24" x14ac:dyDescent="0.25">
      <c r="A77" s="1352"/>
      <c r="B77" s="127"/>
      <c r="C77" t="s">
        <v>1643</v>
      </c>
      <c r="D77" s="64">
        <v>4</v>
      </c>
      <c r="E77" s="64" t="s">
        <v>811</v>
      </c>
      <c r="F77" s="125">
        <v>786</v>
      </c>
      <c r="G77" s="64">
        <v>6</v>
      </c>
      <c r="H77" s="127" t="s">
        <v>540</v>
      </c>
      <c r="I77" s="64">
        <v>4</v>
      </c>
      <c r="J77" s="64" t="s">
        <v>835</v>
      </c>
      <c r="K77" s="125">
        <v>1260</v>
      </c>
      <c r="L77" s="64">
        <v>4</v>
      </c>
      <c r="M77" s="146" t="s">
        <v>1690</v>
      </c>
      <c r="N77" s="64">
        <v>4</v>
      </c>
      <c r="O77" s="64" t="s">
        <v>852</v>
      </c>
      <c r="P77" s="125">
        <v>708</v>
      </c>
      <c r="Q77" s="64">
        <v>4</v>
      </c>
      <c r="R77" s="127" t="s">
        <v>542</v>
      </c>
      <c r="V77" s="128" t="str">
        <f t="shared" si="0"/>
        <v>yes</v>
      </c>
      <c r="W77" s="128" t="str">
        <f t="shared" si="1"/>
        <v>yes</v>
      </c>
      <c r="X77" s="128" t="str">
        <f t="shared" si="2"/>
        <v>yes</v>
      </c>
    </row>
    <row r="78" spans="1:24" x14ac:dyDescent="0.25">
      <c r="A78" s="1352"/>
      <c r="B78" s="127"/>
      <c r="C78" t="s">
        <v>1643</v>
      </c>
      <c r="D78" s="64">
        <v>5</v>
      </c>
      <c r="E78" s="64" t="s">
        <v>1083</v>
      </c>
      <c r="F78" s="125">
        <v>712</v>
      </c>
      <c r="G78" s="64">
        <v>3</v>
      </c>
      <c r="H78" s="127" t="s">
        <v>540</v>
      </c>
      <c r="I78" s="64">
        <v>5</v>
      </c>
      <c r="J78" s="64" t="s">
        <v>834</v>
      </c>
      <c r="K78" s="125">
        <v>1110</v>
      </c>
      <c r="L78" s="64">
        <v>6</v>
      </c>
      <c r="M78" s="146" t="s">
        <v>1690</v>
      </c>
      <c r="N78" s="64">
        <v>5</v>
      </c>
      <c r="O78" s="64" t="s">
        <v>856</v>
      </c>
      <c r="P78" s="125">
        <v>354</v>
      </c>
      <c r="Q78" s="64">
        <v>2</v>
      </c>
      <c r="R78" s="127" t="s">
        <v>542</v>
      </c>
      <c r="V78" s="128" t="str">
        <f t="shared" si="0"/>
        <v>yes</v>
      </c>
      <c r="W78" s="128" t="str">
        <f t="shared" si="1"/>
        <v>yes</v>
      </c>
      <c r="X78" s="128" t="str">
        <f t="shared" si="2"/>
        <v>yes</v>
      </c>
    </row>
    <row r="79" spans="1:24" x14ac:dyDescent="0.25">
      <c r="A79" s="1352"/>
      <c r="B79" s="127"/>
      <c r="C79" t="s">
        <v>1643</v>
      </c>
      <c r="D79" s="64">
        <v>6</v>
      </c>
      <c r="E79" s="64" t="s">
        <v>1084</v>
      </c>
      <c r="F79" s="125">
        <v>687</v>
      </c>
      <c r="G79" s="64">
        <v>3</v>
      </c>
      <c r="H79" s="127" t="s">
        <v>540</v>
      </c>
      <c r="I79" s="64">
        <v>6</v>
      </c>
      <c r="J79" s="64" t="s">
        <v>836</v>
      </c>
      <c r="K79" s="125">
        <v>740</v>
      </c>
      <c r="L79" s="64">
        <v>4</v>
      </c>
      <c r="M79" s="146" t="s">
        <v>1690</v>
      </c>
      <c r="N79" s="64">
        <v>6</v>
      </c>
      <c r="O79" s="64" t="s">
        <v>1447</v>
      </c>
      <c r="P79" s="125">
        <v>354</v>
      </c>
      <c r="Q79" s="64"/>
      <c r="R79" s="127"/>
      <c r="V79" s="128" t="str">
        <f t="shared" si="0"/>
        <v>yes</v>
      </c>
      <c r="W79" s="128" t="str">
        <f t="shared" si="1"/>
        <v>yes</v>
      </c>
      <c r="X79" s="128" t="str">
        <f t="shared" si="2"/>
        <v>--</v>
      </c>
    </row>
    <row r="80" spans="1:24" x14ac:dyDescent="0.25">
      <c r="A80" s="1352"/>
      <c r="B80" s="127"/>
      <c r="C80" t="s">
        <v>1643</v>
      </c>
      <c r="D80" s="64">
        <v>7</v>
      </c>
      <c r="E80" s="64" t="s">
        <v>814</v>
      </c>
      <c r="F80" s="125">
        <v>576</v>
      </c>
      <c r="G80" s="64">
        <v>4</v>
      </c>
      <c r="H80" s="127" t="s">
        <v>540</v>
      </c>
      <c r="I80" s="64">
        <v>7</v>
      </c>
      <c r="J80" s="64" t="s">
        <v>837</v>
      </c>
      <c r="K80" s="125">
        <v>630</v>
      </c>
      <c r="L80" s="64">
        <v>2</v>
      </c>
      <c r="M80" s="146" t="s">
        <v>1690</v>
      </c>
      <c r="N80" s="64">
        <v>7</v>
      </c>
      <c r="O80" s="64" t="s">
        <v>595</v>
      </c>
      <c r="P80" s="125">
        <v>200</v>
      </c>
      <c r="Q80" s="64"/>
      <c r="R80" s="127"/>
      <c r="V80" s="128" t="str">
        <f t="shared" si="0"/>
        <v>yes</v>
      </c>
      <c r="W80" s="128" t="str">
        <f t="shared" si="1"/>
        <v>yes</v>
      </c>
      <c r="X80" s="128" t="str">
        <f t="shared" si="2"/>
        <v>--</v>
      </c>
    </row>
    <row r="81" spans="1:24" x14ac:dyDescent="0.25">
      <c r="A81" s="1352"/>
      <c r="B81" s="127"/>
      <c r="C81" t="s">
        <v>1643</v>
      </c>
      <c r="D81" s="64">
        <v>8</v>
      </c>
      <c r="E81" s="64" t="s">
        <v>817</v>
      </c>
      <c r="F81" s="125">
        <v>524</v>
      </c>
      <c r="G81" s="64">
        <v>4</v>
      </c>
      <c r="H81" s="127" t="s">
        <v>540</v>
      </c>
      <c r="I81" s="64">
        <v>8</v>
      </c>
      <c r="J81" s="64" t="s">
        <v>840</v>
      </c>
      <c r="K81" s="125">
        <v>370</v>
      </c>
      <c r="L81" s="64">
        <v>2</v>
      </c>
      <c r="M81" s="146" t="s">
        <v>1690</v>
      </c>
      <c r="N81" s="64">
        <v>8</v>
      </c>
      <c r="O81" s="64"/>
      <c r="P81" s="125"/>
      <c r="Q81" s="64"/>
      <c r="R81" s="127"/>
      <c r="V81" s="128" t="str">
        <f t="shared" si="0"/>
        <v>yes</v>
      </c>
      <c r="W81" s="128" t="str">
        <f t="shared" si="1"/>
        <v>yes</v>
      </c>
      <c r="X81" s="128" t="str">
        <f t="shared" si="2"/>
        <v>--</v>
      </c>
    </row>
    <row r="82" spans="1:24" x14ac:dyDescent="0.25">
      <c r="A82" s="1352"/>
      <c r="B82" s="127"/>
      <c r="C82" t="s">
        <v>1643</v>
      </c>
      <c r="D82" s="64">
        <v>9</v>
      </c>
      <c r="E82" s="64" t="s">
        <v>820</v>
      </c>
      <c r="F82" s="125">
        <v>288</v>
      </c>
      <c r="G82" s="64">
        <v>2</v>
      </c>
      <c r="H82" s="127" t="s">
        <v>540</v>
      </c>
      <c r="I82" s="64">
        <v>9</v>
      </c>
      <c r="J82" s="64" t="s">
        <v>1447</v>
      </c>
      <c r="K82" s="125">
        <v>252</v>
      </c>
      <c r="L82" s="64"/>
      <c r="M82" s="146"/>
      <c r="N82" s="64"/>
      <c r="O82" s="64"/>
      <c r="P82" s="125"/>
      <c r="Q82" s="64"/>
      <c r="R82" s="127"/>
      <c r="V82" s="128" t="str">
        <f t="shared" si="0"/>
        <v>yes</v>
      </c>
      <c r="W82" s="128" t="str">
        <f t="shared" si="1"/>
        <v>--</v>
      </c>
      <c r="X82" s="128" t="str">
        <f t="shared" si="2"/>
        <v>--</v>
      </c>
    </row>
    <row r="83" spans="1:24" x14ac:dyDescent="0.25">
      <c r="A83" s="1352"/>
      <c r="B83" s="127"/>
      <c r="C83" t="s">
        <v>1643</v>
      </c>
      <c r="D83" s="64">
        <v>10</v>
      </c>
      <c r="E83" s="64" t="s">
        <v>821</v>
      </c>
      <c r="F83" s="125">
        <v>262</v>
      </c>
      <c r="G83" s="64">
        <v>2</v>
      </c>
      <c r="H83" s="127" t="s">
        <v>540</v>
      </c>
      <c r="I83" s="64"/>
      <c r="J83" s="64"/>
      <c r="K83" s="125"/>
      <c r="L83" s="64"/>
      <c r="M83" s="146"/>
      <c r="N83" s="64"/>
      <c r="O83" s="64"/>
      <c r="P83" s="125"/>
      <c r="Q83" s="64"/>
      <c r="R83" s="127"/>
      <c r="V83" s="128" t="str">
        <f t="shared" ref="V83:V146" si="3">IFERROR(IF((LEFT(RIGHT(E83,2),1)+RIGHT(LEFT(E83,2),1)+G83)/3=G83,"yes","NOOO"),"--")</f>
        <v>yes</v>
      </c>
      <c r="W83" s="128" t="str">
        <f t="shared" ref="W83:W146" si="4">IFERROR(IF((LEFT(RIGHT(J83,2),1)+RIGHT(LEFT(J83,2),1)+L83)/3=L83,"yes","NOOO"),"--")</f>
        <v>--</v>
      </c>
      <c r="X83" s="128" t="str">
        <f t="shared" ref="X83:X146" si="5">IFERROR(IF((LEFT(RIGHT(O83,2),1)+RIGHT(LEFT(O83,2),1)+Q83)/3=Q83,"yes","NOOO"),"--")</f>
        <v>--</v>
      </c>
    </row>
    <row r="84" spans="1:24" x14ac:dyDescent="0.25">
      <c r="A84" s="1352"/>
      <c r="B84" s="129"/>
      <c r="C84" t="s">
        <v>1643</v>
      </c>
      <c r="D84" s="64">
        <v>11</v>
      </c>
      <c r="E84" s="64" t="s">
        <v>1447</v>
      </c>
      <c r="F84" s="125">
        <v>262</v>
      </c>
      <c r="G84" s="64"/>
      <c r="H84" s="127"/>
      <c r="I84" s="64"/>
      <c r="L84" s="64"/>
      <c r="M84" s="146"/>
      <c r="N84" s="64"/>
      <c r="O84" s="64"/>
      <c r="P84" s="125"/>
      <c r="Q84" s="64"/>
      <c r="R84" s="127"/>
      <c r="V84" s="128" t="str">
        <f t="shared" si="3"/>
        <v>--</v>
      </c>
      <c r="W84" s="128" t="str">
        <f t="shared" si="4"/>
        <v>--</v>
      </c>
      <c r="X84" s="128" t="str">
        <f t="shared" si="5"/>
        <v>--</v>
      </c>
    </row>
    <row r="85" spans="1:24" x14ac:dyDescent="0.25">
      <c r="A85" s="1352"/>
      <c r="B85" s="130"/>
      <c r="C85" t="s">
        <v>1643</v>
      </c>
      <c r="D85" s="132">
        <v>12</v>
      </c>
      <c r="E85" s="132" t="s">
        <v>595</v>
      </c>
      <c r="F85" s="133">
        <v>200</v>
      </c>
      <c r="G85" s="132"/>
      <c r="H85" s="134"/>
      <c r="I85" s="132"/>
      <c r="J85" s="132"/>
      <c r="K85" s="133"/>
      <c r="L85" s="132"/>
      <c r="M85" s="147"/>
      <c r="N85" s="132"/>
      <c r="O85" s="132"/>
      <c r="P85" s="133"/>
      <c r="Q85" s="132"/>
      <c r="R85" s="134"/>
      <c r="V85" s="128" t="str">
        <f t="shared" si="3"/>
        <v>--</v>
      </c>
      <c r="W85" s="128" t="str">
        <f t="shared" si="4"/>
        <v>--</v>
      </c>
      <c r="X85" s="128" t="str">
        <f t="shared" si="5"/>
        <v>--</v>
      </c>
    </row>
    <row r="86" spans="1:24" x14ac:dyDescent="0.25">
      <c r="A86" s="1352"/>
      <c r="B86" s="127" t="s">
        <v>1750</v>
      </c>
      <c r="C86" t="s">
        <v>1642</v>
      </c>
      <c r="D86" s="64">
        <v>1</v>
      </c>
      <c r="E86" s="64" t="s">
        <v>808</v>
      </c>
      <c r="F86" s="125">
        <v>1152</v>
      </c>
      <c r="G86" s="64">
        <v>8</v>
      </c>
      <c r="H86" s="127" t="s">
        <v>540</v>
      </c>
      <c r="I86" s="64">
        <v>1</v>
      </c>
      <c r="J86" s="64" t="s">
        <v>831</v>
      </c>
      <c r="K86" s="125">
        <v>2520</v>
      </c>
      <c r="L86" s="64">
        <v>8</v>
      </c>
      <c r="M86" s="146" t="s">
        <v>1690</v>
      </c>
      <c r="N86" s="64">
        <v>1</v>
      </c>
      <c r="O86" s="64" t="s">
        <v>849</v>
      </c>
      <c r="P86" s="125">
        <v>1416</v>
      </c>
      <c r="Q86" s="64">
        <v>8</v>
      </c>
      <c r="R86" s="127" t="s">
        <v>542</v>
      </c>
      <c r="V86" s="128" t="str">
        <f t="shared" si="3"/>
        <v>yes</v>
      </c>
      <c r="W86" s="128" t="str">
        <f t="shared" si="4"/>
        <v>yes</v>
      </c>
      <c r="X86" s="128" t="str">
        <f t="shared" si="5"/>
        <v>yes</v>
      </c>
    </row>
    <row r="87" spans="1:24" x14ac:dyDescent="0.25">
      <c r="A87" s="1352"/>
      <c r="B87" s="127" t="s">
        <v>1751</v>
      </c>
      <c r="C87" t="s">
        <v>1642</v>
      </c>
      <c r="D87" s="64">
        <v>2</v>
      </c>
      <c r="E87" s="64" t="s">
        <v>809</v>
      </c>
      <c r="F87" s="125">
        <v>1048</v>
      </c>
      <c r="G87" s="64">
        <v>8</v>
      </c>
      <c r="H87" s="127" t="s">
        <v>540</v>
      </c>
      <c r="I87" s="64">
        <v>2</v>
      </c>
      <c r="J87" s="64" t="s">
        <v>833</v>
      </c>
      <c r="K87" s="125">
        <v>1890</v>
      </c>
      <c r="L87" s="64">
        <v>6</v>
      </c>
      <c r="M87" s="146" t="s">
        <v>1690</v>
      </c>
      <c r="N87" s="64">
        <v>2</v>
      </c>
      <c r="O87" s="64" t="s">
        <v>850</v>
      </c>
      <c r="P87" s="125">
        <v>1062</v>
      </c>
      <c r="Q87" s="64">
        <v>6</v>
      </c>
      <c r="R87" s="127" t="s">
        <v>542</v>
      </c>
      <c r="V87" s="128" t="str">
        <f t="shared" si="3"/>
        <v>yes</v>
      </c>
      <c r="W87" s="128" t="str">
        <f t="shared" si="4"/>
        <v>yes</v>
      </c>
      <c r="X87" s="128" t="str">
        <f t="shared" si="5"/>
        <v>yes</v>
      </c>
    </row>
    <row r="88" spans="1:24" x14ac:dyDescent="0.25">
      <c r="A88" s="1352"/>
      <c r="B88" s="127"/>
      <c r="C88" t="s">
        <v>1642</v>
      </c>
      <c r="D88" s="64">
        <v>3</v>
      </c>
      <c r="E88" s="64" t="s">
        <v>810</v>
      </c>
      <c r="F88" s="125">
        <v>864</v>
      </c>
      <c r="G88" s="64">
        <v>6</v>
      </c>
      <c r="H88" s="127" t="s">
        <v>540</v>
      </c>
      <c r="I88" s="64">
        <v>3</v>
      </c>
      <c r="J88" s="64" t="s">
        <v>832</v>
      </c>
      <c r="K88" s="125">
        <v>1480</v>
      </c>
      <c r="L88" s="64">
        <v>8</v>
      </c>
      <c r="M88" s="146" t="s">
        <v>1690</v>
      </c>
      <c r="N88" s="64">
        <v>3</v>
      </c>
      <c r="O88" s="64" t="s">
        <v>1085</v>
      </c>
      <c r="P88" s="125">
        <v>712</v>
      </c>
      <c r="Q88" s="64">
        <v>4</v>
      </c>
      <c r="R88" s="127" t="s">
        <v>542</v>
      </c>
      <c r="V88" s="128" t="str">
        <f t="shared" si="3"/>
        <v>yes</v>
      </c>
      <c r="W88" s="128" t="str">
        <f t="shared" si="4"/>
        <v>yes</v>
      </c>
      <c r="X88" s="128" t="str">
        <f t="shared" si="5"/>
        <v>yes</v>
      </c>
    </row>
    <row r="89" spans="1:24" x14ac:dyDescent="0.25">
      <c r="A89" s="1352"/>
      <c r="B89" s="127"/>
      <c r="C89" t="s">
        <v>1642</v>
      </c>
      <c r="D89" s="64">
        <v>4</v>
      </c>
      <c r="E89" s="64" t="s">
        <v>811</v>
      </c>
      <c r="F89" s="125">
        <v>786</v>
      </c>
      <c r="G89" s="64">
        <v>6</v>
      </c>
      <c r="H89" s="127" t="s">
        <v>540</v>
      </c>
      <c r="I89" s="64">
        <v>4</v>
      </c>
      <c r="J89" s="64" t="s">
        <v>835</v>
      </c>
      <c r="K89" s="125">
        <v>1260</v>
      </c>
      <c r="L89" s="64">
        <v>4</v>
      </c>
      <c r="M89" s="146" t="s">
        <v>1690</v>
      </c>
      <c r="N89" s="64">
        <v>4</v>
      </c>
      <c r="O89" s="64" t="s">
        <v>852</v>
      </c>
      <c r="P89" s="125">
        <v>708</v>
      </c>
      <c r="Q89" s="64">
        <v>4</v>
      </c>
      <c r="R89" s="127" t="s">
        <v>542</v>
      </c>
      <c r="V89" s="128" t="str">
        <f t="shared" si="3"/>
        <v>yes</v>
      </c>
      <c r="W89" s="128" t="str">
        <f t="shared" si="4"/>
        <v>yes</v>
      </c>
      <c r="X89" s="128" t="str">
        <f t="shared" si="5"/>
        <v>yes</v>
      </c>
    </row>
    <row r="90" spans="1:24" x14ac:dyDescent="0.25">
      <c r="A90" s="1352"/>
      <c r="B90" s="127"/>
      <c r="C90" t="s">
        <v>1642</v>
      </c>
      <c r="D90" s="64">
        <v>5</v>
      </c>
      <c r="E90" s="64" t="s">
        <v>814</v>
      </c>
      <c r="F90" s="125">
        <v>576</v>
      </c>
      <c r="G90" s="64">
        <v>4</v>
      </c>
      <c r="H90" s="127" t="s">
        <v>540</v>
      </c>
      <c r="I90" s="64">
        <v>5</v>
      </c>
      <c r="J90" s="64" t="s">
        <v>834</v>
      </c>
      <c r="K90" s="125">
        <v>1110</v>
      </c>
      <c r="L90" s="64">
        <v>6</v>
      </c>
      <c r="M90" s="146" t="s">
        <v>1690</v>
      </c>
      <c r="N90" s="64">
        <v>5</v>
      </c>
      <c r="O90" s="64" t="s">
        <v>856</v>
      </c>
      <c r="P90" s="125">
        <v>354</v>
      </c>
      <c r="Q90" s="64">
        <v>2</v>
      </c>
      <c r="R90" s="127" t="s">
        <v>542</v>
      </c>
      <c r="V90" s="128" t="str">
        <f t="shared" si="3"/>
        <v>yes</v>
      </c>
      <c r="W90" s="128" t="str">
        <f t="shared" si="4"/>
        <v>yes</v>
      </c>
      <c r="X90" s="128" t="str">
        <f t="shared" si="5"/>
        <v>yes</v>
      </c>
    </row>
    <row r="91" spans="1:24" x14ac:dyDescent="0.25">
      <c r="A91" s="1352"/>
      <c r="B91" s="127"/>
      <c r="C91" t="s">
        <v>1642</v>
      </c>
      <c r="D91" s="64">
        <v>6</v>
      </c>
      <c r="E91" s="64" t="s">
        <v>817</v>
      </c>
      <c r="F91" s="125">
        <v>524</v>
      </c>
      <c r="G91" s="64">
        <v>4</v>
      </c>
      <c r="H91" s="127" t="s">
        <v>540</v>
      </c>
      <c r="I91" s="64">
        <v>6</v>
      </c>
      <c r="J91" s="64" t="s">
        <v>836</v>
      </c>
      <c r="K91" s="125">
        <v>740</v>
      </c>
      <c r="L91" s="64">
        <v>4</v>
      </c>
      <c r="M91" s="146" t="s">
        <v>1690</v>
      </c>
      <c r="N91" s="64">
        <v>6</v>
      </c>
      <c r="O91" s="64" t="s">
        <v>1447</v>
      </c>
      <c r="P91" s="125">
        <v>354</v>
      </c>
      <c r="Q91" s="64"/>
      <c r="R91" s="127"/>
      <c r="V91" s="128" t="str">
        <f t="shared" si="3"/>
        <v>yes</v>
      </c>
      <c r="W91" s="128" t="str">
        <f t="shared" si="4"/>
        <v>yes</v>
      </c>
      <c r="X91" s="128" t="str">
        <f t="shared" si="5"/>
        <v>--</v>
      </c>
    </row>
    <row r="92" spans="1:24" x14ac:dyDescent="0.25">
      <c r="A92" s="1352"/>
      <c r="B92" s="127"/>
      <c r="C92" t="s">
        <v>1642</v>
      </c>
      <c r="D92" s="64">
        <v>7</v>
      </c>
      <c r="E92" s="64" t="s">
        <v>1083</v>
      </c>
      <c r="F92" s="125">
        <v>356</v>
      </c>
      <c r="G92" s="64">
        <v>3</v>
      </c>
      <c r="H92" s="127" t="s">
        <v>540</v>
      </c>
      <c r="I92" s="64">
        <v>7</v>
      </c>
      <c r="J92" s="64" t="s">
        <v>837</v>
      </c>
      <c r="K92" s="125">
        <v>630</v>
      </c>
      <c r="L92" s="64">
        <v>2</v>
      </c>
      <c r="M92" s="146" t="s">
        <v>1690</v>
      </c>
      <c r="N92" s="64">
        <v>7</v>
      </c>
      <c r="O92" s="64" t="s">
        <v>595</v>
      </c>
      <c r="P92" s="125">
        <v>200</v>
      </c>
      <c r="Q92" s="64"/>
      <c r="R92" s="127"/>
      <c r="V92" s="128" t="str">
        <f t="shared" si="3"/>
        <v>yes</v>
      </c>
      <c r="W92" s="128" t="str">
        <f t="shared" si="4"/>
        <v>yes</v>
      </c>
      <c r="X92" s="128" t="str">
        <f t="shared" si="5"/>
        <v>--</v>
      </c>
    </row>
    <row r="93" spans="1:24" x14ac:dyDescent="0.25">
      <c r="A93" s="1352"/>
      <c r="B93" s="127"/>
      <c r="C93" t="s">
        <v>1642</v>
      </c>
      <c r="D93" s="64">
        <v>8</v>
      </c>
      <c r="E93" s="64" t="s">
        <v>1084</v>
      </c>
      <c r="F93" s="125">
        <v>356</v>
      </c>
      <c r="G93" s="64">
        <v>3</v>
      </c>
      <c r="H93" s="127" t="s">
        <v>540</v>
      </c>
      <c r="I93" s="64">
        <v>8</v>
      </c>
      <c r="J93" s="64" t="s">
        <v>840</v>
      </c>
      <c r="K93" s="125">
        <v>370</v>
      </c>
      <c r="L93" s="64">
        <v>2</v>
      </c>
      <c r="M93" s="146" t="s">
        <v>1690</v>
      </c>
      <c r="N93" s="64">
        <v>8</v>
      </c>
      <c r="O93" s="64"/>
      <c r="P93" s="125"/>
      <c r="Q93" s="64"/>
      <c r="R93" s="127"/>
      <c r="V93" s="128" t="str">
        <f t="shared" si="3"/>
        <v>yes</v>
      </c>
      <c r="W93" s="128" t="str">
        <f t="shared" si="4"/>
        <v>yes</v>
      </c>
      <c r="X93" s="128" t="str">
        <f t="shared" si="5"/>
        <v>--</v>
      </c>
    </row>
    <row r="94" spans="1:24" x14ac:dyDescent="0.25">
      <c r="A94" s="1352"/>
      <c r="B94" s="127"/>
      <c r="C94" t="s">
        <v>1642</v>
      </c>
      <c r="D94" s="64">
        <v>9</v>
      </c>
      <c r="E94" s="64" t="s">
        <v>820</v>
      </c>
      <c r="F94" s="125">
        <v>288</v>
      </c>
      <c r="G94" s="64">
        <v>2</v>
      </c>
      <c r="H94" s="127" t="s">
        <v>540</v>
      </c>
      <c r="I94" s="64">
        <v>9</v>
      </c>
      <c r="J94" s="64" t="s">
        <v>1447</v>
      </c>
      <c r="K94" s="125">
        <v>252</v>
      </c>
      <c r="L94" s="64"/>
      <c r="M94" s="146"/>
      <c r="N94" s="64"/>
      <c r="O94" s="64"/>
      <c r="P94" s="125"/>
      <c r="Q94" s="64"/>
      <c r="R94" s="127"/>
      <c r="V94" s="128" t="str">
        <f t="shared" si="3"/>
        <v>yes</v>
      </c>
      <c r="W94" s="128" t="str">
        <f t="shared" si="4"/>
        <v>--</v>
      </c>
      <c r="X94" s="128" t="str">
        <f t="shared" si="5"/>
        <v>--</v>
      </c>
    </row>
    <row r="95" spans="1:24" x14ac:dyDescent="0.25">
      <c r="A95" s="1352"/>
      <c r="B95" s="127"/>
      <c r="C95" t="s">
        <v>1642</v>
      </c>
      <c r="D95" s="64">
        <v>10</v>
      </c>
      <c r="E95" s="64" t="s">
        <v>821</v>
      </c>
      <c r="F95" s="125">
        <v>262</v>
      </c>
      <c r="G95" s="64">
        <v>2</v>
      </c>
      <c r="H95" s="127" t="s">
        <v>540</v>
      </c>
      <c r="I95" s="64"/>
      <c r="J95" s="64"/>
      <c r="K95" s="125"/>
      <c r="L95" s="64"/>
      <c r="M95" s="146"/>
      <c r="N95" s="64"/>
      <c r="O95" s="64"/>
      <c r="P95" s="125"/>
      <c r="Q95" s="64"/>
      <c r="R95" s="127"/>
      <c r="V95" s="128" t="str">
        <f t="shared" si="3"/>
        <v>yes</v>
      </c>
      <c r="W95" s="128" t="str">
        <f t="shared" si="4"/>
        <v>--</v>
      </c>
      <c r="X95" s="128" t="str">
        <f t="shared" si="5"/>
        <v>--</v>
      </c>
    </row>
    <row r="96" spans="1:24" x14ac:dyDescent="0.25">
      <c r="A96" s="1352"/>
      <c r="B96" s="129"/>
      <c r="C96" t="s">
        <v>1642</v>
      </c>
      <c r="D96" s="64">
        <v>11</v>
      </c>
      <c r="E96" s="64" t="s">
        <v>1447</v>
      </c>
      <c r="F96" s="125">
        <v>262</v>
      </c>
      <c r="G96" s="64"/>
      <c r="H96" s="127"/>
      <c r="I96" s="64"/>
      <c r="L96" s="64"/>
      <c r="M96" s="146"/>
      <c r="N96" s="64"/>
      <c r="O96" s="64"/>
      <c r="P96" s="125"/>
      <c r="Q96" s="64"/>
      <c r="R96" s="127"/>
      <c r="V96" s="128" t="str">
        <f t="shared" si="3"/>
        <v>--</v>
      </c>
      <c r="W96" s="128" t="str">
        <f t="shared" si="4"/>
        <v>--</v>
      </c>
      <c r="X96" s="128" t="str">
        <f t="shared" si="5"/>
        <v>--</v>
      </c>
    </row>
    <row r="97" spans="1:24" x14ac:dyDescent="0.25">
      <c r="A97" s="1352"/>
      <c r="B97" s="130"/>
      <c r="C97" t="s">
        <v>1642</v>
      </c>
      <c r="D97" s="132">
        <v>12</v>
      </c>
      <c r="E97" s="132" t="s">
        <v>595</v>
      </c>
      <c r="F97" s="133">
        <v>200</v>
      </c>
      <c r="G97" s="132"/>
      <c r="H97" s="134"/>
      <c r="I97" s="132"/>
      <c r="J97" s="132"/>
      <c r="K97" s="133"/>
      <c r="L97" s="132"/>
      <c r="M97" s="147"/>
      <c r="N97" s="132"/>
      <c r="O97" s="132"/>
      <c r="P97" s="133"/>
      <c r="Q97" s="132"/>
      <c r="R97" s="134"/>
      <c r="V97" s="128" t="str">
        <f t="shared" si="3"/>
        <v>--</v>
      </c>
      <c r="W97" s="128" t="str">
        <f t="shared" si="4"/>
        <v>--</v>
      </c>
      <c r="X97" s="128" t="str">
        <f t="shared" si="5"/>
        <v>--</v>
      </c>
    </row>
    <row r="98" spans="1:24" x14ac:dyDescent="0.25">
      <c r="A98" s="1352"/>
      <c r="B98" s="127" t="s">
        <v>1328</v>
      </c>
      <c r="C98" t="s">
        <v>1641</v>
      </c>
      <c r="D98" s="64">
        <v>1</v>
      </c>
      <c r="E98" s="64" t="s">
        <v>810</v>
      </c>
      <c r="F98" s="125">
        <v>864</v>
      </c>
      <c r="G98" s="64">
        <v>6</v>
      </c>
      <c r="H98" s="127" t="s">
        <v>540</v>
      </c>
      <c r="I98" s="64">
        <v>1</v>
      </c>
      <c r="J98" s="64" t="s">
        <v>833</v>
      </c>
      <c r="K98" s="125">
        <v>1890</v>
      </c>
      <c r="L98" s="64">
        <v>6</v>
      </c>
      <c r="M98" s="146" t="s">
        <v>1690</v>
      </c>
      <c r="N98" s="64">
        <v>1</v>
      </c>
      <c r="O98" s="64" t="s">
        <v>850</v>
      </c>
      <c r="P98" s="125">
        <v>1062</v>
      </c>
      <c r="Q98" s="64">
        <v>6</v>
      </c>
      <c r="R98" s="127" t="s">
        <v>542</v>
      </c>
      <c r="V98" s="128" t="str">
        <f t="shared" si="3"/>
        <v>yes</v>
      </c>
      <c r="W98" s="128" t="str">
        <f t="shared" si="4"/>
        <v>yes</v>
      </c>
      <c r="X98" s="128" t="str">
        <f t="shared" si="5"/>
        <v>yes</v>
      </c>
    </row>
    <row r="99" spans="1:24" x14ac:dyDescent="0.25">
      <c r="A99" s="1352"/>
      <c r="B99" s="127"/>
      <c r="C99" t="s">
        <v>1641</v>
      </c>
      <c r="D99" s="64">
        <v>2</v>
      </c>
      <c r="E99" s="64" t="s">
        <v>811</v>
      </c>
      <c r="F99" s="125">
        <v>786</v>
      </c>
      <c r="G99" s="64">
        <v>6</v>
      </c>
      <c r="H99" s="127" t="s">
        <v>540</v>
      </c>
      <c r="I99" s="64">
        <v>2</v>
      </c>
      <c r="J99" s="64" t="s">
        <v>835</v>
      </c>
      <c r="K99" s="125">
        <v>1260</v>
      </c>
      <c r="L99" s="64">
        <v>4</v>
      </c>
      <c r="M99" s="146" t="s">
        <v>1690</v>
      </c>
      <c r="N99" s="64">
        <v>2</v>
      </c>
      <c r="O99" s="64" t="s">
        <v>852</v>
      </c>
      <c r="P99" s="125">
        <v>708</v>
      </c>
      <c r="Q99" s="64">
        <v>4</v>
      </c>
      <c r="R99" s="127" t="s">
        <v>542</v>
      </c>
      <c r="V99" s="128" t="str">
        <f t="shared" si="3"/>
        <v>yes</v>
      </c>
      <c r="W99" s="128" t="str">
        <f t="shared" si="4"/>
        <v>yes</v>
      </c>
      <c r="X99" s="128" t="str">
        <f t="shared" si="5"/>
        <v>yes</v>
      </c>
    </row>
    <row r="100" spans="1:24" x14ac:dyDescent="0.25">
      <c r="A100" s="1352"/>
      <c r="B100" s="127"/>
      <c r="C100" t="s">
        <v>1641</v>
      </c>
      <c r="D100" s="64">
        <v>3</v>
      </c>
      <c r="E100" s="64" t="s">
        <v>814</v>
      </c>
      <c r="F100" s="125">
        <v>576</v>
      </c>
      <c r="G100" s="64">
        <v>4</v>
      </c>
      <c r="H100" s="127" t="s">
        <v>540</v>
      </c>
      <c r="I100" s="64">
        <v>3</v>
      </c>
      <c r="J100" s="64" t="s">
        <v>834</v>
      </c>
      <c r="K100" s="125">
        <v>1110</v>
      </c>
      <c r="L100" s="64">
        <v>6</v>
      </c>
      <c r="M100" s="146" t="s">
        <v>1690</v>
      </c>
      <c r="N100" s="64">
        <v>3</v>
      </c>
      <c r="O100" s="64" t="s">
        <v>856</v>
      </c>
      <c r="P100" s="125">
        <v>354</v>
      </c>
      <c r="Q100" s="64">
        <v>2</v>
      </c>
      <c r="R100" s="127" t="s">
        <v>542</v>
      </c>
      <c r="V100" s="128" t="str">
        <f t="shared" si="3"/>
        <v>yes</v>
      </c>
      <c r="W100" s="128" t="str">
        <f t="shared" si="4"/>
        <v>yes</v>
      </c>
      <c r="X100" s="128" t="str">
        <f t="shared" si="5"/>
        <v>yes</v>
      </c>
    </row>
    <row r="101" spans="1:24" x14ac:dyDescent="0.25">
      <c r="A101" s="1352"/>
      <c r="B101" s="127"/>
      <c r="C101" t="s">
        <v>1641</v>
      </c>
      <c r="D101" s="64">
        <v>4</v>
      </c>
      <c r="E101" s="64" t="s">
        <v>817</v>
      </c>
      <c r="F101" s="125">
        <v>524</v>
      </c>
      <c r="G101" s="64">
        <v>4</v>
      </c>
      <c r="H101" s="127" t="s">
        <v>540</v>
      </c>
      <c r="I101" s="64">
        <v>4</v>
      </c>
      <c r="J101" s="64" t="s">
        <v>836</v>
      </c>
      <c r="K101" s="125">
        <v>740</v>
      </c>
      <c r="L101" s="64">
        <v>4</v>
      </c>
      <c r="M101" s="146" t="s">
        <v>1690</v>
      </c>
      <c r="N101" s="64">
        <v>4</v>
      </c>
      <c r="O101" s="64" t="s">
        <v>1447</v>
      </c>
      <c r="P101" s="125">
        <v>354</v>
      </c>
      <c r="Q101" s="64"/>
      <c r="R101" s="127"/>
      <c r="V101" s="128" t="str">
        <f t="shared" si="3"/>
        <v>yes</v>
      </c>
      <c r="W101" s="128" t="str">
        <f t="shared" si="4"/>
        <v>yes</v>
      </c>
      <c r="X101" s="128" t="str">
        <f t="shared" si="5"/>
        <v>--</v>
      </c>
    </row>
    <row r="102" spans="1:24" x14ac:dyDescent="0.25">
      <c r="A102" s="1352"/>
      <c r="B102" s="127"/>
      <c r="C102" t="s">
        <v>1641</v>
      </c>
      <c r="D102" s="64">
        <v>5</v>
      </c>
      <c r="E102" s="64" t="s">
        <v>820</v>
      </c>
      <c r="F102" s="125">
        <v>288</v>
      </c>
      <c r="G102" s="64">
        <v>2</v>
      </c>
      <c r="H102" s="127" t="s">
        <v>540</v>
      </c>
      <c r="I102" s="64">
        <v>5</v>
      </c>
      <c r="J102" s="64" t="s">
        <v>837</v>
      </c>
      <c r="K102" s="125">
        <v>630</v>
      </c>
      <c r="L102" s="64">
        <v>2</v>
      </c>
      <c r="M102" s="146" t="s">
        <v>1690</v>
      </c>
      <c r="N102" s="64">
        <v>5</v>
      </c>
      <c r="O102" s="64" t="s">
        <v>595</v>
      </c>
      <c r="P102" s="125">
        <v>200</v>
      </c>
      <c r="Q102" s="64"/>
      <c r="R102" s="127"/>
      <c r="V102" s="128" t="str">
        <f t="shared" si="3"/>
        <v>yes</v>
      </c>
      <c r="W102" s="128" t="str">
        <f t="shared" si="4"/>
        <v>yes</v>
      </c>
      <c r="X102" s="128" t="str">
        <f t="shared" si="5"/>
        <v>--</v>
      </c>
    </row>
    <row r="103" spans="1:24" x14ac:dyDescent="0.25">
      <c r="A103" s="1352"/>
      <c r="B103" s="127"/>
      <c r="C103" t="s">
        <v>1641</v>
      </c>
      <c r="D103" s="64">
        <v>6</v>
      </c>
      <c r="E103" s="64" t="s">
        <v>821</v>
      </c>
      <c r="F103" s="125">
        <v>262</v>
      </c>
      <c r="G103" s="64">
        <v>2</v>
      </c>
      <c r="H103" s="127" t="s">
        <v>540</v>
      </c>
      <c r="I103" s="64">
        <v>6</v>
      </c>
      <c r="J103" s="64" t="s">
        <v>840</v>
      </c>
      <c r="K103" s="125">
        <v>370</v>
      </c>
      <c r="L103" s="64">
        <v>2</v>
      </c>
      <c r="M103" s="146" t="s">
        <v>1690</v>
      </c>
      <c r="N103" s="64">
        <v>6</v>
      </c>
      <c r="O103" s="64"/>
      <c r="P103" s="125"/>
      <c r="Q103" s="64"/>
      <c r="R103" s="127"/>
      <c r="V103" s="128" t="str">
        <f t="shared" si="3"/>
        <v>yes</v>
      </c>
      <c r="W103" s="128" t="str">
        <f t="shared" si="4"/>
        <v>yes</v>
      </c>
      <c r="X103" s="128" t="str">
        <f t="shared" si="5"/>
        <v>--</v>
      </c>
    </row>
    <row r="104" spans="1:24" x14ac:dyDescent="0.25">
      <c r="A104" s="1352"/>
      <c r="B104" s="129"/>
      <c r="C104" t="s">
        <v>1641</v>
      </c>
      <c r="D104" s="64">
        <v>7</v>
      </c>
      <c r="E104" s="64" t="s">
        <v>1447</v>
      </c>
      <c r="F104" s="125">
        <v>262</v>
      </c>
      <c r="G104" s="64"/>
      <c r="H104" s="127"/>
      <c r="I104" s="64">
        <v>7</v>
      </c>
      <c r="J104" s="64" t="s">
        <v>1447</v>
      </c>
      <c r="K104" s="125">
        <v>252</v>
      </c>
      <c r="L104" s="64"/>
      <c r="M104" s="146"/>
      <c r="N104" s="64"/>
      <c r="O104" s="64"/>
      <c r="P104" s="125"/>
      <c r="Q104" s="64"/>
      <c r="R104" s="127"/>
      <c r="V104" s="128" t="str">
        <f t="shared" si="3"/>
        <v>--</v>
      </c>
      <c r="W104" s="128" t="str">
        <f t="shared" si="4"/>
        <v>--</v>
      </c>
      <c r="X104" s="128" t="str">
        <f t="shared" si="5"/>
        <v>--</v>
      </c>
    </row>
    <row r="105" spans="1:24" ht="15.75" thickBot="1" x14ac:dyDescent="0.3">
      <c r="A105" s="1352"/>
      <c r="B105" s="135"/>
      <c r="C105" t="s">
        <v>1641</v>
      </c>
      <c r="D105" s="136">
        <v>8</v>
      </c>
      <c r="E105" s="136" t="s">
        <v>595</v>
      </c>
      <c r="F105" s="137">
        <v>200</v>
      </c>
      <c r="G105" s="136"/>
      <c r="H105" s="138"/>
      <c r="I105" s="136"/>
      <c r="J105" s="136"/>
      <c r="K105" s="137"/>
      <c r="L105" s="136"/>
      <c r="M105" s="148"/>
      <c r="N105" s="136"/>
      <c r="O105" s="136"/>
      <c r="P105" s="137"/>
      <c r="Q105" s="136"/>
      <c r="R105" s="138"/>
      <c r="V105" s="128" t="str">
        <f t="shared" si="3"/>
        <v>--</v>
      </c>
      <c r="W105" s="128" t="str">
        <f t="shared" si="4"/>
        <v>--</v>
      </c>
      <c r="X105" s="128" t="str">
        <f t="shared" si="5"/>
        <v>--</v>
      </c>
    </row>
    <row r="106" spans="1:24" x14ac:dyDescent="0.25">
      <c r="A106" s="1357" t="s">
        <v>11</v>
      </c>
      <c r="B106" s="127" t="s">
        <v>1339</v>
      </c>
      <c r="C106" t="s">
        <v>1640</v>
      </c>
      <c r="D106" s="64">
        <v>1</v>
      </c>
      <c r="E106" s="64" t="s">
        <v>808</v>
      </c>
      <c r="F106" s="125">
        <v>1152</v>
      </c>
      <c r="G106" s="64">
        <v>8</v>
      </c>
      <c r="H106" s="127" t="s">
        <v>540</v>
      </c>
      <c r="I106" s="64">
        <v>1</v>
      </c>
      <c r="J106" s="64" t="s">
        <v>831</v>
      </c>
      <c r="K106" s="125">
        <v>2520</v>
      </c>
      <c r="L106" s="64">
        <v>8</v>
      </c>
      <c r="M106" s="146" t="s">
        <v>1690</v>
      </c>
      <c r="N106" s="64">
        <v>1</v>
      </c>
      <c r="O106" s="64" t="s">
        <v>849</v>
      </c>
      <c r="P106" s="125">
        <v>1416</v>
      </c>
      <c r="Q106" s="64">
        <v>8</v>
      </c>
      <c r="R106" s="127" t="s">
        <v>542</v>
      </c>
      <c r="V106" s="128" t="str">
        <f t="shared" si="3"/>
        <v>yes</v>
      </c>
      <c r="W106" s="128" t="str">
        <f t="shared" si="4"/>
        <v>yes</v>
      </c>
      <c r="X106" s="128" t="str">
        <f t="shared" si="5"/>
        <v>yes</v>
      </c>
    </row>
    <row r="107" spans="1:24" x14ac:dyDescent="0.25">
      <c r="A107" s="1358"/>
      <c r="B107" s="127" t="s">
        <v>1340</v>
      </c>
      <c r="C107" t="s">
        <v>1640</v>
      </c>
      <c r="D107" s="64">
        <v>2</v>
      </c>
      <c r="E107" s="64" t="s">
        <v>870</v>
      </c>
      <c r="F107" s="125">
        <v>1145</v>
      </c>
      <c r="G107" s="64">
        <v>5</v>
      </c>
      <c r="H107" s="127" t="s">
        <v>540</v>
      </c>
      <c r="I107" s="64">
        <v>2</v>
      </c>
      <c r="J107" s="64" t="s">
        <v>833</v>
      </c>
      <c r="K107" s="125">
        <v>1890</v>
      </c>
      <c r="L107" s="64">
        <v>6</v>
      </c>
      <c r="M107" s="146" t="s">
        <v>1690</v>
      </c>
      <c r="N107" s="64">
        <v>2</v>
      </c>
      <c r="O107" s="64" t="s">
        <v>850</v>
      </c>
      <c r="P107" s="125">
        <v>1062</v>
      </c>
      <c r="Q107" s="64">
        <v>6</v>
      </c>
      <c r="R107" s="127" t="s">
        <v>542</v>
      </c>
      <c r="V107" s="128" t="str">
        <f t="shared" si="3"/>
        <v>yes</v>
      </c>
      <c r="W107" s="128" t="str">
        <f t="shared" si="4"/>
        <v>yes</v>
      </c>
      <c r="X107" s="128" t="str">
        <f t="shared" si="5"/>
        <v>yes</v>
      </c>
    </row>
    <row r="108" spans="1:24" x14ac:dyDescent="0.25">
      <c r="A108" s="1358"/>
      <c r="B108" s="127" t="s">
        <v>1342</v>
      </c>
      <c r="C108" t="s">
        <v>1640</v>
      </c>
      <c r="D108" s="64">
        <v>3</v>
      </c>
      <c r="E108" s="64" t="s">
        <v>809</v>
      </c>
      <c r="F108" s="125">
        <v>1048</v>
      </c>
      <c r="G108" s="64">
        <v>8</v>
      </c>
      <c r="H108" s="127" t="s">
        <v>540</v>
      </c>
      <c r="I108" s="64">
        <v>3</v>
      </c>
      <c r="J108" s="64" t="s">
        <v>832</v>
      </c>
      <c r="K108" s="125">
        <v>1480</v>
      </c>
      <c r="L108" s="64">
        <v>8</v>
      </c>
      <c r="M108" s="146" t="s">
        <v>1690</v>
      </c>
      <c r="N108" s="64">
        <v>3</v>
      </c>
      <c r="O108" s="64" t="s">
        <v>865</v>
      </c>
      <c r="P108" s="125">
        <v>885</v>
      </c>
      <c r="Q108" s="64">
        <v>5</v>
      </c>
      <c r="R108" s="127" t="s">
        <v>542</v>
      </c>
      <c r="V108" s="128" t="str">
        <f t="shared" si="3"/>
        <v>yes</v>
      </c>
      <c r="W108" s="128" t="str">
        <f t="shared" si="4"/>
        <v>yes</v>
      </c>
      <c r="X108" s="128" t="str">
        <f t="shared" si="5"/>
        <v>yes</v>
      </c>
    </row>
    <row r="109" spans="1:24" x14ac:dyDescent="0.25">
      <c r="A109" s="1358"/>
      <c r="B109" s="127" t="s">
        <v>1343</v>
      </c>
      <c r="C109" t="s">
        <v>1640</v>
      </c>
      <c r="D109" s="64">
        <v>4</v>
      </c>
      <c r="E109" s="64" t="s">
        <v>823</v>
      </c>
      <c r="F109" s="125">
        <v>890</v>
      </c>
      <c r="G109" s="64">
        <v>5</v>
      </c>
      <c r="H109" s="127" t="s">
        <v>540</v>
      </c>
      <c r="I109" s="64">
        <v>4</v>
      </c>
      <c r="J109" s="64" t="s">
        <v>835</v>
      </c>
      <c r="K109" s="125">
        <v>1260</v>
      </c>
      <c r="L109" s="64">
        <v>4</v>
      </c>
      <c r="M109" s="146" t="s">
        <v>1690</v>
      </c>
      <c r="N109" s="64">
        <v>4</v>
      </c>
      <c r="O109" s="64" t="s">
        <v>852</v>
      </c>
      <c r="P109" s="125">
        <v>708</v>
      </c>
      <c r="Q109" s="64">
        <v>4</v>
      </c>
      <c r="R109" s="127" t="s">
        <v>542</v>
      </c>
      <c r="V109" s="128" t="str">
        <f t="shared" si="3"/>
        <v>yes</v>
      </c>
      <c r="W109" s="128" t="str">
        <f t="shared" si="4"/>
        <v>yes</v>
      </c>
      <c r="X109" s="128" t="str">
        <f t="shared" si="5"/>
        <v>yes</v>
      </c>
    </row>
    <row r="110" spans="1:24" x14ac:dyDescent="0.25">
      <c r="A110" s="1358"/>
      <c r="B110" s="127" t="s">
        <v>1346</v>
      </c>
      <c r="C110" t="s">
        <v>1640</v>
      </c>
      <c r="D110" s="64">
        <v>5</v>
      </c>
      <c r="E110" s="64" t="s">
        <v>810</v>
      </c>
      <c r="F110" s="125">
        <v>864</v>
      </c>
      <c r="G110" s="64">
        <v>6</v>
      </c>
      <c r="H110" s="127" t="s">
        <v>540</v>
      </c>
      <c r="I110" s="64">
        <v>5</v>
      </c>
      <c r="J110" s="64" t="s">
        <v>1691</v>
      </c>
      <c r="K110" s="125">
        <v>1260</v>
      </c>
      <c r="L110" s="64">
        <v>4</v>
      </c>
      <c r="M110" s="146" t="s">
        <v>1690</v>
      </c>
      <c r="N110" s="64">
        <v>5</v>
      </c>
      <c r="O110" s="64" t="s">
        <v>866</v>
      </c>
      <c r="P110" s="125">
        <v>672</v>
      </c>
      <c r="Q110" s="64">
        <v>8</v>
      </c>
      <c r="R110" s="127" t="s">
        <v>542</v>
      </c>
      <c r="V110" s="128" t="str">
        <f t="shared" si="3"/>
        <v>yes</v>
      </c>
      <c r="W110" s="128" t="str">
        <f t="shared" si="4"/>
        <v>yes</v>
      </c>
      <c r="X110" s="795" t="str">
        <f t="shared" si="5"/>
        <v>NOOO</v>
      </c>
    </row>
    <row r="111" spans="1:24" x14ac:dyDescent="0.25">
      <c r="A111" s="1358"/>
      <c r="B111" s="127" t="s">
        <v>1347</v>
      </c>
      <c r="C111" t="s">
        <v>1640</v>
      </c>
      <c r="D111" s="64">
        <v>6</v>
      </c>
      <c r="E111" s="64" t="s">
        <v>811</v>
      </c>
      <c r="F111" s="125">
        <v>786</v>
      </c>
      <c r="G111" s="64">
        <v>6</v>
      </c>
      <c r="H111" s="127" t="s">
        <v>540</v>
      </c>
      <c r="I111" s="64">
        <v>6</v>
      </c>
      <c r="J111" s="64" t="s">
        <v>834</v>
      </c>
      <c r="K111" s="125">
        <v>1110</v>
      </c>
      <c r="L111" s="64">
        <v>6</v>
      </c>
      <c r="M111" s="146" t="s">
        <v>1690</v>
      </c>
      <c r="N111" s="64">
        <v>6</v>
      </c>
      <c r="O111" s="64" t="s">
        <v>1701</v>
      </c>
      <c r="P111" s="125">
        <v>588</v>
      </c>
      <c r="Q111" s="64">
        <v>7</v>
      </c>
      <c r="R111" s="127" t="s">
        <v>542</v>
      </c>
      <c r="V111" s="128" t="str">
        <f t="shared" si="3"/>
        <v>yes</v>
      </c>
      <c r="W111" s="128" t="str">
        <f t="shared" si="4"/>
        <v>yes</v>
      </c>
      <c r="X111" s="795" t="str">
        <f t="shared" si="5"/>
        <v>NOOO</v>
      </c>
    </row>
    <row r="112" spans="1:24" x14ac:dyDescent="0.25">
      <c r="A112" s="1358"/>
      <c r="B112" s="127" t="s">
        <v>1348</v>
      </c>
      <c r="C112" t="s">
        <v>1640</v>
      </c>
      <c r="D112" s="64">
        <v>7</v>
      </c>
      <c r="E112" s="64" t="s">
        <v>824</v>
      </c>
      <c r="F112" s="125">
        <v>705</v>
      </c>
      <c r="G112" s="64">
        <v>5</v>
      </c>
      <c r="H112" s="127" t="s">
        <v>540</v>
      </c>
      <c r="I112" s="64">
        <v>7</v>
      </c>
      <c r="J112" s="64" t="s">
        <v>836</v>
      </c>
      <c r="K112" s="125">
        <v>1110</v>
      </c>
      <c r="L112" s="64">
        <v>4</v>
      </c>
      <c r="M112" s="146" t="s">
        <v>1690</v>
      </c>
      <c r="N112" s="64">
        <v>7</v>
      </c>
      <c r="O112" s="64" t="s">
        <v>867</v>
      </c>
      <c r="P112" s="125">
        <v>531</v>
      </c>
      <c r="Q112" s="64">
        <v>3</v>
      </c>
      <c r="R112" s="127" t="s">
        <v>542</v>
      </c>
      <c r="V112" s="128" t="str">
        <f t="shared" si="3"/>
        <v>yes</v>
      </c>
      <c r="W112" s="128" t="str">
        <f t="shared" si="4"/>
        <v>yes</v>
      </c>
      <c r="X112" s="128" t="str">
        <f t="shared" si="5"/>
        <v>yes</v>
      </c>
    </row>
    <row r="113" spans="1:24" x14ac:dyDescent="0.25">
      <c r="A113" s="1358"/>
      <c r="B113" s="127" t="s">
        <v>1349</v>
      </c>
      <c r="C113" t="s">
        <v>1640</v>
      </c>
      <c r="D113" s="64">
        <v>8</v>
      </c>
      <c r="E113" s="64" t="s">
        <v>871</v>
      </c>
      <c r="F113" s="125">
        <v>591</v>
      </c>
      <c r="G113" s="64">
        <v>3</v>
      </c>
      <c r="H113" s="127" t="s">
        <v>540</v>
      </c>
      <c r="I113" s="64">
        <v>8</v>
      </c>
      <c r="J113" s="64" t="s">
        <v>1692</v>
      </c>
      <c r="K113" s="125">
        <v>740</v>
      </c>
      <c r="L113" s="64">
        <v>4</v>
      </c>
      <c r="M113" s="146" t="s">
        <v>1690</v>
      </c>
      <c r="N113" s="64">
        <v>8</v>
      </c>
      <c r="O113" s="64" t="s">
        <v>872</v>
      </c>
      <c r="P113" s="125">
        <v>504</v>
      </c>
      <c r="Q113" s="64">
        <v>6</v>
      </c>
      <c r="R113" s="127" t="s">
        <v>542</v>
      </c>
      <c r="V113" s="128" t="str">
        <f t="shared" si="3"/>
        <v>yes</v>
      </c>
      <c r="W113" s="128" t="str">
        <f t="shared" si="4"/>
        <v>yes</v>
      </c>
      <c r="X113" s="128" t="str">
        <f t="shared" si="5"/>
        <v>yes</v>
      </c>
    </row>
    <row r="114" spans="1:24" x14ac:dyDescent="0.25">
      <c r="A114" s="1358"/>
      <c r="B114" s="127" t="s">
        <v>1350</v>
      </c>
      <c r="C114" t="s">
        <v>1640</v>
      </c>
      <c r="D114" s="64">
        <v>9</v>
      </c>
      <c r="E114" s="64" t="s">
        <v>814</v>
      </c>
      <c r="F114" s="125">
        <v>576</v>
      </c>
      <c r="G114" s="64">
        <v>4</v>
      </c>
      <c r="H114" s="127" t="s">
        <v>540</v>
      </c>
      <c r="I114" s="64">
        <v>9</v>
      </c>
      <c r="J114" s="64" t="s">
        <v>837</v>
      </c>
      <c r="K114" s="125">
        <v>630</v>
      </c>
      <c r="L114" s="64">
        <v>2</v>
      </c>
      <c r="M114" s="146" t="s">
        <v>1690</v>
      </c>
      <c r="N114" s="64">
        <v>9</v>
      </c>
      <c r="O114" s="64" t="s">
        <v>873</v>
      </c>
      <c r="P114" s="125">
        <v>420</v>
      </c>
      <c r="Q114" s="64">
        <v>5</v>
      </c>
      <c r="R114" s="127" t="s">
        <v>542</v>
      </c>
      <c r="V114" s="128" t="str">
        <f t="shared" si="3"/>
        <v>yes</v>
      </c>
      <c r="W114" s="128" t="str">
        <f t="shared" si="4"/>
        <v>yes</v>
      </c>
      <c r="X114" s="128" t="str">
        <f t="shared" si="5"/>
        <v>yes</v>
      </c>
    </row>
    <row r="115" spans="1:24" x14ac:dyDescent="0.25">
      <c r="A115" s="1358"/>
      <c r="B115" s="129" t="s">
        <v>1351</v>
      </c>
      <c r="C115" t="s">
        <v>1640</v>
      </c>
      <c r="D115" s="64">
        <v>10</v>
      </c>
      <c r="E115" s="64" t="s">
        <v>825</v>
      </c>
      <c r="F115" s="125">
        <v>534</v>
      </c>
      <c r="G115" s="64">
        <v>3</v>
      </c>
      <c r="H115" s="127" t="s">
        <v>540</v>
      </c>
      <c r="I115" s="64">
        <v>10</v>
      </c>
      <c r="J115" s="64" t="s">
        <v>840</v>
      </c>
      <c r="K115" s="125">
        <v>370</v>
      </c>
      <c r="L115" s="64">
        <v>2</v>
      </c>
      <c r="M115" s="146" t="s">
        <v>1690</v>
      </c>
      <c r="N115" s="64">
        <v>10</v>
      </c>
      <c r="O115" s="64" t="s">
        <v>856</v>
      </c>
      <c r="P115" s="125">
        <v>354</v>
      </c>
      <c r="Q115" s="64">
        <v>2</v>
      </c>
      <c r="R115" s="127" t="s">
        <v>542</v>
      </c>
      <c r="V115" s="128" t="str">
        <f t="shared" si="3"/>
        <v>yes</v>
      </c>
      <c r="W115" s="128" t="str">
        <f t="shared" si="4"/>
        <v>yes</v>
      </c>
      <c r="X115" s="128" t="str">
        <f t="shared" si="5"/>
        <v>yes</v>
      </c>
    </row>
    <row r="116" spans="1:24" x14ac:dyDescent="0.25">
      <c r="A116" s="1358"/>
      <c r="B116" s="129"/>
      <c r="C116" t="s">
        <v>1640</v>
      </c>
      <c r="D116" s="64">
        <v>11</v>
      </c>
      <c r="E116" s="64" t="s">
        <v>817</v>
      </c>
      <c r="F116" s="125">
        <v>524</v>
      </c>
      <c r="G116" s="64">
        <v>4</v>
      </c>
      <c r="H116" s="127" t="s">
        <v>540</v>
      </c>
      <c r="I116" s="64">
        <v>11</v>
      </c>
      <c r="J116" s="64" t="s">
        <v>1447</v>
      </c>
      <c r="K116" s="125">
        <v>252</v>
      </c>
      <c r="L116" s="64"/>
      <c r="M116" s="146"/>
      <c r="N116" s="64">
        <v>11</v>
      </c>
      <c r="O116" s="64" t="s">
        <v>1447</v>
      </c>
      <c r="P116" s="125">
        <v>354</v>
      </c>
      <c r="Q116" s="64"/>
      <c r="R116" s="127"/>
      <c r="V116" s="128" t="str">
        <f t="shared" si="3"/>
        <v>yes</v>
      </c>
      <c r="W116" s="128" t="str">
        <f t="shared" si="4"/>
        <v>--</v>
      </c>
      <c r="X116" s="128" t="str">
        <f t="shared" si="5"/>
        <v>--</v>
      </c>
    </row>
    <row r="117" spans="1:24" x14ac:dyDescent="0.25">
      <c r="A117" s="1358"/>
      <c r="B117" s="129"/>
      <c r="C117" t="s">
        <v>1640</v>
      </c>
      <c r="D117" s="64">
        <v>12</v>
      </c>
      <c r="E117" s="64" t="s">
        <v>826</v>
      </c>
      <c r="F117" s="125">
        <v>423</v>
      </c>
      <c r="G117" s="64">
        <v>3</v>
      </c>
      <c r="H117" s="127" t="s">
        <v>540</v>
      </c>
      <c r="I117" s="64"/>
      <c r="J117" s="64"/>
      <c r="K117" s="125"/>
      <c r="L117" s="64"/>
      <c r="M117" s="146"/>
      <c r="N117" s="64">
        <v>12</v>
      </c>
      <c r="O117" s="64" t="s">
        <v>869</v>
      </c>
      <c r="P117" s="125">
        <v>336</v>
      </c>
      <c r="Q117" s="64">
        <v>4</v>
      </c>
      <c r="R117" s="127" t="s">
        <v>542</v>
      </c>
      <c r="V117" s="128" t="str">
        <f t="shared" si="3"/>
        <v>yes</v>
      </c>
      <c r="W117" s="128" t="str">
        <f t="shared" si="4"/>
        <v>--</v>
      </c>
      <c r="X117" s="128" t="str">
        <f t="shared" si="5"/>
        <v>yes</v>
      </c>
    </row>
    <row r="118" spans="1:24" x14ac:dyDescent="0.25">
      <c r="A118" s="1358"/>
      <c r="B118" s="129"/>
      <c r="C118" t="s">
        <v>1640</v>
      </c>
      <c r="D118" s="64">
        <v>13</v>
      </c>
      <c r="E118" s="64" t="s">
        <v>820</v>
      </c>
      <c r="F118" s="125">
        <v>288</v>
      </c>
      <c r="G118" s="64">
        <v>2</v>
      </c>
      <c r="H118" s="127" t="s">
        <v>540</v>
      </c>
      <c r="I118" s="64"/>
      <c r="J118" s="64"/>
      <c r="K118" s="125"/>
      <c r="L118" s="64"/>
      <c r="M118" s="146"/>
      <c r="N118" s="64">
        <v>13</v>
      </c>
      <c r="O118" s="64" t="s">
        <v>868</v>
      </c>
      <c r="P118" s="125">
        <v>252</v>
      </c>
      <c r="Q118" s="64">
        <v>3</v>
      </c>
      <c r="R118" s="127" t="s">
        <v>542</v>
      </c>
      <c r="V118" s="128" t="str">
        <f t="shared" si="3"/>
        <v>yes</v>
      </c>
      <c r="W118" s="128" t="str">
        <f t="shared" si="4"/>
        <v>--</v>
      </c>
      <c r="X118" s="128" t="str">
        <f t="shared" si="5"/>
        <v>yes</v>
      </c>
    </row>
    <row r="119" spans="1:24" x14ac:dyDescent="0.25">
      <c r="A119" s="1358"/>
      <c r="B119" s="129"/>
      <c r="C119" t="s">
        <v>1640</v>
      </c>
      <c r="D119" s="64">
        <v>14</v>
      </c>
      <c r="E119" s="64" t="s">
        <v>821</v>
      </c>
      <c r="F119" s="125">
        <v>262</v>
      </c>
      <c r="G119" s="64">
        <v>2</v>
      </c>
      <c r="H119" s="127" t="s">
        <v>540</v>
      </c>
      <c r="I119" s="64"/>
      <c r="J119" s="64"/>
      <c r="K119" s="125"/>
      <c r="L119" s="64"/>
      <c r="M119" s="146"/>
      <c r="N119" s="64"/>
      <c r="O119" s="64"/>
      <c r="P119" s="125"/>
      <c r="Q119" s="64"/>
      <c r="R119" s="127"/>
      <c r="V119" s="128" t="str">
        <f t="shared" si="3"/>
        <v>yes</v>
      </c>
      <c r="W119" s="128" t="str">
        <f t="shared" si="4"/>
        <v>--</v>
      </c>
      <c r="X119" s="128" t="str">
        <f t="shared" si="5"/>
        <v>--</v>
      </c>
    </row>
    <row r="120" spans="1:24" x14ac:dyDescent="0.25">
      <c r="A120" s="1358"/>
      <c r="B120" s="129"/>
      <c r="C120" t="s">
        <v>1640</v>
      </c>
      <c r="D120" s="64">
        <v>15</v>
      </c>
      <c r="E120" s="64" t="s">
        <v>1447</v>
      </c>
      <c r="F120" s="125">
        <v>262</v>
      </c>
      <c r="G120" s="64"/>
      <c r="H120" s="127"/>
      <c r="I120" s="64"/>
      <c r="J120" s="64"/>
      <c r="K120" s="125"/>
      <c r="L120" s="64"/>
      <c r="M120" s="146"/>
      <c r="N120" s="64"/>
      <c r="O120" s="64"/>
      <c r="P120" s="125"/>
      <c r="Q120" s="64"/>
      <c r="R120" s="127"/>
      <c r="V120" s="128" t="str">
        <f t="shared" si="3"/>
        <v>--</v>
      </c>
      <c r="W120" s="128" t="str">
        <f t="shared" si="4"/>
        <v>--</v>
      </c>
      <c r="X120" s="128" t="str">
        <f t="shared" si="5"/>
        <v>--</v>
      </c>
    </row>
    <row r="121" spans="1:24" x14ac:dyDescent="0.25">
      <c r="A121" s="1358"/>
      <c r="B121" s="129"/>
      <c r="C121" t="s">
        <v>1640</v>
      </c>
      <c r="D121" s="64"/>
      <c r="E121" s="64"/>
      <c r="F121" s="125"/>
      <c r="G121" s="64"/>
      <c r="H121" s="127"/>
      <c r="I121" s="64"/>
      <c r="J121" s="64"/>
      <c r="K121" s="125"/>
      <c r="L121" s="64"/>
      <c r="M121" s="146"/>
      <c r="N121" s="64"/>
      <c r="O121" s="64"/>
      <c r="P121" s="125"/>
      <c r="Q121" s="64"/>
      <c r="R121" s="127"/>
      <c r="V121" s="128" t="str">
        <f t="shared" si="3"/>
        <v>--</v>
      </c>
      <c r="W121" s="128" t="str">
        <f t="shared" si="4"/>
        <v>--</v>
      </c>
      <c r="X121" s="128" t="str">
        <f t="shared" si="5"/>
        <v>--</v>
      </c>
    </row>
    <row r="122" spans="1:24" x14ac:dyDescent="0.25">
      <c r="A122" s="1358"/>
      <c r="B122" s="129"/>
      <c r="C122" t="s">
        <v>1640</v>
      </c>
      <c r="D122" s="64"/>
      <c r="E122" s="64"/>
      <c r="F122" s="125"/>
      <c r="G122" s="64"/>
      <c r="H122" s="127"/>
      <c r="I122" s="64"/>
      <c r="J122" s="64"/>
      <c r="K122" s="125"/>
      <c r="L122" s="64"/>
      <c r="M122" s="146"/>
      <c r="N122" s="64"/>
      <c r="O122" s="64"/>
      <c r="P122" s="125"/>
      <c r="Q122" s="64"/>
      <c r="R122" s="127"/>
      <c r="V122" s="128" t="str">
        <f t="shared" si="3"/>
        <v>--</v>
      </c>
      <c r="W122" s="128" t="str">
        <f t="shared" si="4"/>
        <v>--</v>
      </c>
      <c r="X122" s="128" t="str">
        <f t="shared" si="5"/>
        <v>--</v>
      </c>
    </row>
    <row r="123" spans="1:24" x14ac:dyDescent="0.25">
      <c r="A123" s="1358"/>
      <c r="B123" s="129"/>
      <c r="C123" t="s">
        <v>1640</v>
      </c>
      <c r="D123" s="64"/>
      <c r="E123" s="64"/>
      <c r="F123" s="125"/>
      <c r="G123" s="64"/>
      <c r="H123" s="127"/>
      <c r="I123" s="64"/>
      <c r="J123" s="64"/>
      <c r="K123" s="125"/>
      <c r="L123" s="64"/>
      <c r="M123" s="146"/>
      <c r="N123" s="64"/>
      <c r="O123" s="64"/>
      <c r="P123" s="125"/>
      <c r="Q123" s="64"/>
      <c r="R123" s="127"/>
      <c r="V123" s="128" t="str">
        <f t="shared" si="3"/>
        <v>--</v>
      </c>
      <c r="W123" s="128" t="str">
        <f t="shared" si="4"/>
        <v>--</v>
      </c>
      <c r="X123" s="128" t="str">
        <f t="shared" si="5"/>
        <v>--</v>
      </c>
    </row>
    <row r="124" spans="1:24" x14ac:dyDescent="0.25">
      <c r="A124" s="1358"/>
      <c r="B124" s="130"/>
      <c r="C124" t="s">
        <v>1640</v>
      </c>
      <c r="D124" s="131"/>
      <c r="E124" s="132"/>
      <c r="F124" s="133"/>
      <c r="G124" s="132"/>
      <c r="H124" s="134"/>
      <c r="I124" s="132"/>
      <c r="J124" s="132"/>
      <c r="K124" s="133"/>
      <c r="L124" s="132"/>
      <c r="M124" s="147"/>
      <c r="N124" s="132"/>
      <c r="O124" s="132"/>
      <c r="P124" s="133"/>
      <c r="Q124" s="132"/>
      <c r="R124" s="134"/>
      <c r="V124" s="128" t="str">
        <f t="shared" si="3"/>
        <v>--</v>
      </c>
      <c r="W124" s="128" t="str">
        <f t="shared" si="4"/>
        <v>--</v>
      </c>
      <c r="X124" s="128" t="str">
        <f t="shared" si="5"/>
        <v>--</v>
      </c>
    </row>
    <row r="125" spans="1:24" x14ac:dyDescent="0.25">
      <c r="A125" s="1358"/>
      <c r="B125" s="127" t="s">
        <v>1341</v>
      </c>
      <c r="C125" t="s">
        <v>1639</v>
      </c>
      <c r="D125" s="139">
        <v>1</v>
      </c>
      <c r="E125" s="64" t="s">
        <v>809</v>
      </c>
      <c r="F125" s="125">
        <v>1048</v>
      </c>
      <c r="G125" s="64">
        <v>8</v>
      </c>
      <c r="H125" s="127" t="s">
        <v>540</v>
      </c>
      <c r="I125" s="139">
        <v>1</v>
      </c>
      <c r="J125" s="64" t="s">
        <v>832</v>
      </c>
      <c r="K125" s="125">
        <v>1480</v>
      </c>
      <c r="L125" s="64">
        <v>8</v>
      </c>
      <c r="M125" s="146" t="s">
        <v>1690</v>
      </c>
      <c r="N125" s="139">
        <v>1</v>
      </c>
      <c r="O125" s="64" t="s">
        <v>849</v>
      </c>
      <c r="P125" s="125">
        <v>1416</v>
      </c>
      <c r="Q125" s="64">
        <v>8</v>
      </c>
      <c r="R125" s="127" t="s">
        <v>542</v>
      </c>
      <c r="V125" s="128" t="str">
        <f t="shared" si="3"/>
        <v>yes</v>
      </c>
      <c r="W125" s="128" t="str">
        <f t="shared" si="4"/>
        <v>yes</v>
      </c>
      <c r="X125" s="128" t="str">
        <f t="shared" si="5"/>
        <v>yes</v>
      </c>
    </row>
    <row r="126" spans="1:24" x14ac:dyDescent="0.25">
      <c r="A126" s="1358"/>
      <c r="B126" s="127" t="s">
        <v>1344</v>
      </c>
      <c r="C126" t="s">
        <v>1639</v>
      </c>
      <c r="D126" s="139">
        <v>2</v>
      </c>
      <c r="E126" s="64" t="s">
        <v>811</v>
      </c>
      <c r="F126" s="125">
        <v>786</v>
      </c>
      <c r="G126" s="64">
        <v>6</v>
      </c>
      <c r="H126" s="127" t="s">
        <v>540</v>
      </c>
      <c r="I126" s="139">
        <v>2</v>
      </c>
      <c r="J126" s="64" t="s">
        <v>834</v>
      </c>
      <c r="K126" s="125">
        <v>1110</v>
      </c>
      <c r="L126" s="64">
        <v>6</v>
      </c>
      <c r="M126" s="146" t="s">
        <v>1690</v>
      </c>
      <c r="N126" s="139">
        <v>2</v>
      </c>
      <c r="O126" s="64" t="s">
        <v>850</v>
      </c>
      <c r="P126" s="125">
        <v>1062</v>
      </c>
      <c r="Q126" s="64">
        <v>6</v>
      </c>
      <c r="R126" s="127" t="s">
        <v>542</v>
      </c>
      <c r="V126" s="128" t="str">
        <f t="shared" si="3"/>
        <v>yes</v>
      </c>
      <c r="W126" s="128" t="str">
        <f t="shared" si="4"/>
        <v>yes</v>
      </c>
      <c r="X126" s="128" t="str">
        <f t="shared" si="5"/>
        <v>yes</v>
      </c>
    </row>
    <row r="127" spans="1:24" x14ac:dyDescent="0.25">
      <c r="A127" s="1358"/>
      <c r="B127" s="127" t="s">
        <v>1345</v>
      </c>
      <c r="C127" t="s">
        <v>1639</v>
      </c>
      <c r="D127" s="64">
        <v>3</v>
      </c>
      <c r="E127" s="64" t="s">
        <v>876</v>
      </c>
      <c r="F127" s="125">
        <v>534</v>
      </c>
      <c r="G127" s="64">
        <v>3</v>
      </c>
      <c r="H127" s="127" t="s">
        <v>540</v>
      </c>
      <c r="I127" s="64">
        <v>3</v>
      </c>
      <c r="J127" s="64" t="s">
        <v>836</v>
      </c>
      <c r="K127" s="125">
        <v>740</v>
      </c>
      <c r="L127" s="64">
        <v>4</v>
      </c>
      <c r="M127" s="146" t="s">
        <v>1690</v>
      </c>
      <c r="N127" s="64">
        <v>3</v>
      </c>
      <c r="O127" s="64" t="s">
        <v>852</v>
      </c>
      <c r="P127" s="125">
        <v>708</v>
      </c>
      <c r="Q127" s="64">
        <v>4</v>
      </c>
      <c r="R127" s="127" t="s">
        <v>542</v>
      </c>
      <c r="V127" s="128" t="str">
        <f t="shared" si="3"/>
        <v>--</v>
      </c>
      <c r="W127" s="128" t="str">
        <f t="shared" si="4"/>
        <v>yes</v>
      </c>
      <c r="X127" s="128" t="str">
        <f t="shared" si="5"/>
        <v>yes</v>
      </c>
    </row>
    <row r="128" spans="1:24" x14ac:dyDescent="0.25">
      <c r="A128" s="1358"/>
      <c r="B128" s="127"/>
      <c r="C128" t="s">
        <v>1639</v>
      </c>
      <c r="D128" s="64">
        <v>4</v>
      </c>
      <c r="E128" s="64" t="s">
        <v>862</v>
      </c>
      <c r="F128" s="125">
        <v>423</v>
      </c>
      <c r="G128" s="64">
        <v>3</v>
      </c>
      <c r="H128" s="127" t="s">
        <v>540</v>
      </c>
      <c r="I128" s="64">
        <v>4</v>
      </c>
      <c r="J128" s="64" t="s">
        <v>840</v>
      </c>
      <c r="K128" s="125">
        <v>370</v>
      </c>
      <c r="L128" s="64">
        <v>2</v>
      </c>
      <c r="M128" s="146" t="s">
        <v>1690</v>
      </c>
      <c r="N128" s="64">
        <v>4</v>
      </c>
      <c r="O128" s="64" t="s">
        <v>860</v>
      </c>
      <c r="P128" s="125">
        <v>531</v>
      </c>
      <c r="Q128" s="64">
        <v>3</v>
      </c>
      <c r="R128" s="127" t="s">
        <v>542</v>
      </c>
      <c r="V128" s="128" t="str">
        <f t="shared" si="3"/>
        <v>--</v>
      </c>
      <c r="W128" s="128" t="str">
        <f t="shared" si="4"/>
        <v>yes</v>
      </c>
      <c r="X128" s="128" t="str">
        <f t="shared" si="5"/>
        <v>--</v>
      </c>
    </row>
    <row r="129" spans="1:24" x14ac:dyDescent="0.25">
      <c r="A129" s="1358"/>
      <c r="B129" s="127"/>
      <c r="C129" t="s">
        <v>1639</v>
      </c>
      <c r="D129" s="64"/>
      <c r="E129" s="64"/>
      <c r="F129" s="125"/>
      <c r="G129" s="64"/>
      <c r="H129" s="127"/>
      <c r="I129" s="64">
        <v>5</v>
      </c>
      <c r="J129" s="64" t="s">
        <v>874</v>
      </c>
      <c r="K129" s="125">
        <v>315</v>
      </c>
      <c r="L129" s="64">
        <v>1</v>
      </c>
      <c r="M129" s="146" t="s">
        <v>1690</v>
      </c>
      <c r="N129" s="64">
        <v>5</v>
      </c>
      <c r="O129" s="64"/>
      <c r="P129" s="125"/>
      <c r="Q129" s="64"/>
      <c r="R129" s="127"/>
      <c r="V129" s="128" t="str">
        <f t="shared" si="3"/>
        <v>--</v>
      </c>
      <c r="W129" s="128" t="str">
        <f t="shared" si="4"/>
        <v>--</v>
      </c>
      <c r="X129" s="128" t="str">
        <f t="shared" si="5"/>
        <v>--</v>
      </c>
    </row>
    <row r="130" spans="1:24" x14ac:dyDescent="0.25">
      <c r="A130" s="1358"/>
      <c r="B130" s="127"/>
      <c r="C130" t="s">
        <v>1639</v>
      </c>
      <c r="D130" s="64"/>
      <c r="E130" s="64"/>
      <c r="F130" s="125"/>
      <c r="G130" s="64"/>
      <c r="H130" s="127"/>
      <c r="I130" s="64">
        <v>6</v>
      </c>
      <c r="J130" s="64" t="s">
        <v>875</v>
      </c>
      <c r="K130" s="125">
        <v>185</v>
      </c>
      <c r="L130" s="64">
        <v>1</v>
      </c>
      <c r="M130" s="146" t="s">
        <v>1690</v>
      </c>
      <c r="N130" s="64">
        <v>6</v>
      </c>
      <c r="O130" s="64"/>
      <c r="P130" s="125"/>
      <c r="Q130" s="64"/>
      <c r="R130" s="127"/>
      <c r="V130" s="128" t="str">
        <f t="shared" si="3"/>
        <v>--</v>
      </c>
      <c r="W130" s="128" t="str">
        <f t="shared" si="4"/>
        <v>--</v>
      </c>
      <c r="X130" s="128" t="str">
        <f t="shared" si="5"/>
        <v>--</v>
      </c>
    </row>
    <row r="131" spans="1:24" x14ac:dyDescent="0.25">
      <c r="A131" s="1358"/>
      <c r="B131" s="127"/>
      <c r="C131" t="s">
        <v>1639</v>
      </c>
      <c r="D131" s="64"/>
      <c r="E131" s="64"/>
      <c r="F131" s="125"/>
      <c r="G131" s="64"/>
      <c r="H131" s="127"/>
      <c r="I131" s="64"/>
      <c r="J131" s="64"/>
      <c r="K131" s="125"/>
      <c r="L131" s="64"/>
      <c r="M131" s="146"/>
      <c r="N131" s="64"/>
      <c r="O131" s="64"/>
      <c r="P131" s="125"/>
      <c r="Q131" s="64"/>
      <c r="R131" s="127"/>
      <c r="V131" s="128" t="str">
        <f t="shared" si="3"/>
        <v>--</v>
      </c>
      <c r="W131" s="128" t="str">
        <f t="shared" si="4"/>
        <v>--</v>
      </c>
      <c r="X131" s="128" t="str">
        <f t="shared" si="5"/>
        <v>--</v>
      </c>
    </row>
    <row r="132" spans="1:24" x14ac:dyDescent="0.25">
      <c r="A132" s="1358"/>
      <c r="B132" s="127"/>
      <c r="C132" t="s">
        <v>1639</v>
      </c>
      <c r="D132" s="64"/>
      <c r="E132" s="64"/>
      <c r="F132" s="125"/>
      <c r="G132" s="64"/>
      <c r="H132" s="127"/>
      <c r="I132" s="64"/>
      <c r="J132" s="64"/>
      <c r="K132" s="125"/>
      <c r="L132" s="64"/>
      <c r="M132" s="146"/>
      <c r="N132" s="64"/>
      <c r="O132" s="64"/>
      <c r="P132" s="125"/>
      <c r="Q132" s="64"/>
      <c r="R132" s="127"/>
      <c r="V132" s="128" t="str">
        <f t="shared" si="3"/>
        <v>--</v>
      </c>
      <c r="W132" s="128" t="str">
        <f t="shared" si="4"/>
        <v>--</v>
      </c>
      <c r="X132" s="128" t="str">
        <f t="shared" si="5"/>
        <v>--</v>
      </c>
    </row>
    <row r="133" spans="1:24" x14ac:dyDescent="0.25">
      <c r="A133" s="1358"/>
      <c r="B133" s="127"/>
      <c r="C133" t="s">
        <v>1639</v>
      </c>
      <c r="D133" s="64"/>
      <c r="E133" s="64"/>
      <c r="F133" s="125"/>
      <c r="G133" s="64"/>
      <c r="H133" s="127"/>
      <c r="I133" s="64"/>
      <c r="J133" s="64"/>
      <c r="K133" s="125"/>
      <c r="L133" s="64"/>
      <c r="M133" s="146"/>
      <c r="N133" s="64"/>
      <c r="O133" s="64"/>
      <c r="P133" s="125"/>
      <c r="Q133" s="64"/>
      <c r="R133" s="127"/>
      <c r="V133" s="128" t="str">
        <f t="shared" si="3"/>
        <v>--</v>
      </c>
      <c r="W133" s="128" t="str">
        <f t="shared" si="4"/>
        <v>--</v>
      </c>
      <c r="X133" s="128" t="str">
        <f t="shared" si="5"/>
        <v>--</v>
      </c>
    </row>
    <row r="134" spans="1:24" x14ac:dyDescent="0.25">
      <c r="A134" s="1358"/>
      <c r="B134" s="130"/>
      <c r="C134" t="s">
        <v>1639</v>
      </c>
      <c r="D134" s="132"/>
      <c r="E134" s="132"/>
      <c r="F134" s="133"/>
      <c r="G134" s="132"/>
      <c r="H134" s="134"/>
      <c r="I134" s="132"/>
      <c r="J134" s="132"/>
      <c r="K134" s="133"/>
      <c r="L134" s="132"/>
      <c r="M134" s="147"/>
      <c r="N134" s="132"/>
      <c r="O134" s="132"/>
      <c r="P134" s="133"/>
      <c r="Q134" s="132"/>
      <c r="R134" s="134"/>
      <c r="V134" s="128" t="str">
        <f t="shared" si="3"/>
        <v>--</v>
      </c>
      <c r="W134" s="128" t="str">
        <f t="shared" si="4"/>
        <v>--</v>
      </c>
      <c r="X134" s="128" t="str">
        <f t="shared" si="5"/>
        <v>--</v>
      </c>
    </row>
    <row r="135" spans="1:24" x14ac:dyDescent="0.25">
      <c r="A135" s="1358"/>
      <c r="B135" s="127" t="s">
        <v>1328</v>
      </c>
      <c r="C135" t="s">
        <v>1638</v>
      </c>
      <c r="D135" s="64">
        <v>1</v>
      </c>
      <c r="E135" s="64" t="s">
        <v>810</v>
      </c>
      <c r="F135" s="125">
        <v>864</v>
      </c>
      <c r="G135" s="64">
        <v>6</v>
      </c>
      <c r="H135" s="127" t="s">
        <v>540</v>
      </c>
      <c r="I135" s="64">
        <v>1</v>
      </c>
      <c r="J135" s="64" t="s">
        <v>831</v>
      </c>
      <c r="K135" s="125">
        <v>2520</v>
      </c>
      <c r="L135" s="64">
        <v>8</v>
      </c>
      <c r="M135" s="146" t="s">
        <v>1690</v>
      </c>
      <c r="N135" s="64">
        <v>1</v>
      </c>
      <c r="O135" s="64" t="s">
        <v>850</v>
      </c>
      <c r="P135" s="125">
        <v>1062</v>
      </c>
      <c r="Q135" s="64">
        <v>6</v>
      </c>
      <c r="R135" s="127" t="s">
        <v>542</v>
      </c>
      <c r="V135" s="128" t="str">
        <f t="shared" si="3"/>
        <v>yes</v>
      </c>
      <c r="W135" s="128" t="str">
        <f t="shared" si="4"/>
        <v>yes</v>
      </c>
      <c r="X135" s="128" t="str">
        <f t="shared" si="5"/>
        <v>yes</v>
      </c>
    </row>
    <row r="136" spans="1:24" x14ac:dyDescent="0.25">
      <c r="A136" s="1358"/>
      <c r="B136" s="127"/>
      <c r="C136" t="s">
        <v>1638</v>
      </c>
      <c r="D136" s="64">
        <v>2</v>
      </c>
      <c r="E136" s="64" t="s">
        <v>811</v>
      </c>
      <c r="F136" s="125">
        <v>786</v>
      </c>
      <c r="G136" s="64">
        <v>6</v>
      </c>
      <c r="H136" s="127" t="s">
        <v>540</v>
      </c>
      <c r="I136" s="64">
        <v>2</v>
      </c>
      <c r="J136" s="64" t="s">
        <v>833</v>
      </c>
      <c r="K136" s="125">
        <v>1890</v>
      </c>
      <c r="L136" s="64">
        <v>6</v>
      </c>
      <c r="M136" s="146" t="s">
        <v>1690</v>
      </c>
      <c r="N136" s="64">
        <v>2</v>
      </c>
      <c r="O136" s="64" t="s">
        <v>852</v>
      </c>
      <c r="P136" s="125">
        <v>708</v>
      </c>
      <c r="Q136" s="64">
        <v>4</v>
      </c>
      <c r="R136" s="127" t="s">
        <v>542</v>
      </c>
      <c r="V136" s="128" t="str">
        <f t="shared" si="3"/>
        <v>yes</v>
      </c>
      <c r="W136" s="128" t="str">
        <f t="shared" si="4"/>
        <v>yes</v>
      </c>
      <c r="X136" s="128" t="str">
        <f t="shared" si="5"/>
        <v>yes</v>
      </c>
    </row>
    <row r="137" spans="1:24" x14ac:dyDescent="0.25">
      <c r="A137" s="1358"/>
      <c r="B137" s="127"/>
      <c r="C137" t="s">
        <v>1638</v>
      </c>
      <c r="D137" s="64">
        <v>3</v>
      </c>
      <c r="E137" s="64" t="s">
        <v>814</v>
      </c>
      <c r="F137" s="125">
        <v>576</v>
      </c>
      <c r="G137" s="64">
        <v>4</v>
      </c>
      <c r="H137" s="127" t="s">
        <v>540</v>
      </c>
      <c r="I137" s="64">
        <v>3</v>
      </c>
      <c r="J137" s="64" t="s">
        <v>832</v>
      </c>
      <c r="K137" s="125">
        <v>1480</v>
      </c>
      <c r="L137" s="64">
        <v>8</v>
      </c>
      <c r="M137" s="146" t="s">
        <v>1690</v>
      </c>
      <c r="N137" s="64">
        <v>3</v>
      </c>
      <c r="O137" s="64" t="s">
        <v>856</v>
      </c>
      <c r="P137" s="125">
        <v>354</v>
      </c>
      <c r="Q137" s="64">
        <v>2</v>
      </c>
      <c r="R137" s="127" t="s">
        <v>542</v>
      </c>
      <c r="V137" s="128" t="str">
        <f t="shared" si="3"/>
        <v>yes</v>
      </c>
      <c r="W137" s="128" t="str">
        <f t="shared" si="4"/>
        <v>yes</v>
      </c>
      <c r="X137" s="128" t="str">
        <f t="shared" si="5"/>
        <v>yes</v>
      </c>
    </row>
    <row r="138" spans="1:24" x14ac:dyDescent="0.25">
      <c r="A138" s="1358"/>
      <c r="B138" s="127"/>
      <c r="C138" t="s">
        <v>1638</v>
      </c>
      <c r="D138" s="64">
        <v>4</v>
      </c>
      <c r="E138" s="64" t="s">
        <v>817</v>
      </c>
      <c r="F138" s="125">
        <v>524</v>
      </c>
      <c r="G138" s="64">
        <v>4</v>
      </c>
      <c r="H138" s="127" t="s">
        <v>540</v>
      </c>
      <c r="I138" s="64">
        <v>4</v>
      </c>
      <c r="J138" s="64" t="s">
        <v>835</v>
      </c>
      <c r="K138" s="125">
        <v>1260</v>
      </c>
      <c r="L138" s="64">
        <v>4</v>
      </c>
      <c r="M138" s="146" t="s">
        <v>1690</v>
      </c>
      <c r="N138" s="64">
        <v>4</v>
      </c>
      <c r="O138" s="64" t="s">
        <v>1447</v>
      </c>
      <c r="P138" s="125">
        <v>354</v>
      </c>
      <c r="Q138" s="64"/>
      <c r="R138" s="127"/>
      <c r="V138" s="128" t="str">
        <f t="shared" si="3"/>
        <v>yes</v>
      </c>
      <c r="W138" s="128" t="str">
        <f t="shared" si="4"/>
        <v>yes</v>
      </c>
      <c r="X138" s="128" t="str">
        <f t="shared" si="5"/>
        <v>--</v>
      </c>
    </row>
    <row r="139" spans="1:24" x14ac:dyDescent="0.25">
      <c r="A139" s="1358"/>
      <c r="B139" s="127"/>
      <c r="C139" t="s">
        <v>1638</v>
      </c>
      <c r="D139" s="64">
        <v>5</v>
      </c>
      <c r="E139" s="64" t="s">
        <v>595</v>
      </c>
      <c r="F139" s="125">
        <v>350</v>
      </c>
      <c r="G139" s="64">
        <v>4</v>
      </c>
      <c r="H139" s="127" t="s">
        <v>579</v>
      </c>
      <c r="I139" s="64">
        <v>5</v>
      </c>
      <c r="J139" s="64" t="s">
        <v>834</v>
      </c>
      <c r="K139" s="125">
        <v>1110</v>
      </c>
      <c r="L139" s="64">
        <v>6</v>
      </c>
      <c r="M139" s="146" t="s">
        <v>1690</v>
      </c>
      <c r="N139" s="64">
        <v>5</v>
      </c>
      <c r="O139" s="64" t="s">
        <v>595</v>
      </c>
      <c r="P139" s="125">
        <v>350</v>
      </c>
      <c r="Q139" s="64"/>
      <c r="R139" s="127"/>
      <c r="V139" s="128" t="str">
        <f t="shared" si="3"/>
        <v>--</v>
      </c>
      <c r="W139" s="128" t="str">
        <f t="shared" si="4"/>
        <v>yes</v>
      </c>
      <c r="X139" s="128" t="str">
        <f t="shared" si="5"/>
        <v>--</v>
      </c>
    </row>
    <row r="140" spans="1:24" x14ac:dyDescent="0.25">
      <c r="A140" s="1358"/>
      <c r="B140" s="127"/>
      <c r="C140" t="s">
        <v>1638</v>
      </c>
      <c r="D140" s="64">
        <v>6</v>
      </c>
      <c r="E140" s="64" t="s">
        <v>820</v>
      </c>
      <c r="F140" s="125">
        <v>288</v>
      </c>
      <c r="G140" s="64">
        <v>2</v>
      </c>
      <c r="H140" s="127" t="s">
        <v>540</v>
      </c>
      <c r="I140" s="64">
        <v>6</v>
      </c>
      <c r="J140" s="64" t="s">
        <v>836</v>
      </c>
      <c r="K140" s="125">
        <v>740</v>
      </c>
      <c r="L140" s="64">
        <v>4</v>
      </c>
      <c r="M140" s="146" t="s">
        <v>1690</v>
      </c>
      <c r="N140" s="64">
        <v>6</v>
      </c>
      <c r="O140" s="64"/>
      <c r="P140" s="125"/>
      <c r="Q140" s="64"/>
      <c r="R140" s="127"/>
      <c r="V140" s="128" t="str">
        <f t="shared" si="3"/>
        <v>yes</v>
      </c>
      <c r="W140" s="128" t="str">
        <f t="shared" si="4"/>
        <v>yes</v>
      </c>
      <c r="X140" s="128" t="str">
        <f t="shared" si="5"/>
        <v>--</v>
      </c>
    </row>
    <row r="141" spans="1:24" x14ac:dyDescent="0.25">
      <c r="A141" s="1358"/>
      <c r="B141" s="127"/>
      <c r="C141" t="s">
        <v>1638</v>
      </c>
      <c r="D141" s="64">
        <v>7</v>
      </c>
      <c r="E141" s="64" t="s">
        <v>821</v>
      </c>
      <c r="F141" s="125">
        <v>262</v>
      </c>
      <c r="G141" s="64">
        <v>2</v>
      </c>
      <c r="H141" s="127" t="s">
        <v>540</v>
      </c>
      <c r="I141" s="64">
        <v>7</v>
      </c>
      <c r="J141" s="64" t="s">
        <v>837</v>
      </c>
      <c r="K141" s="125">
        <v>630</v>
      </c>
      <c r="L141" s="64">
        <v>2</v>
      </c>
      <c r="M141" s="146" t="s">
        <v>1690</v>
      </c>
      <c r="N141" s="64">
        <v>7</v>
      </c>
      <c r="O141" s="64"/>
      <c r="P141" s="125"/>
      <c r="Q141" s="64"/>
      <c r="R141" s="127"/>
      <c r="V141" s="128" t="str">
        <f t="shared" si="3"/>
        <v>yes</v>
      </c>
      <c r="W141" s="128" t="str">
        <f t="shared" si="4"/>
        <v>yes</v>
      </c>
      <c r="X141" s="128" t="str">
        <f t="shared" si="5"/>
        <v>--</v>
      </c>
    </row>
    <row r="142" spans="1:24" x14ac:dyDescent="0.25">
      <c r="A142" s="1358"/>
      <c r="B142" s="127"/>
      <c r="C142" t="s">
        <v>1638</v>
      </c>
      <c r="D142" s="64">
        <v>8</v>
      </c>
      <c r="E142" s="64" t="s">
        <v>1447</v>
      </c>
      <c r="F142" s="125">
        <v>262</v>
      </c>
      <c r="G142" s="64"/>
      <c r="H142" s="127"/>
      <c r="I142" s="64">
        <v>8</v>
      </c>
      <c r="J142" s="64" t="s">
        <v>840</v>
      </c>
      <c r="K142" s="125">
        <v>370</v>
      </c>
      <c r="L142" s="64">
        <v>2</v>
      </c>
      <c r="M142" s="146" t="s">
        <v>1690</v>
      </c>
      <c r="N142" s="64">
        <v>8</v>
      </c>
      <c r="O142" s="64"/>
      <c r="P142" s="125"/>
      <c r="Q142" s="64"/>
      <c r="R142" s="127"/>
      <c r="V142" s="128" t="str">
        <f t="shared" si="3"/>
        <v>--</v>
      </c>
      <c r="W142" s="128" t="str">
        <f t="shared" si="4"/>
        <v>yes</v>
      </c>
      <c r="X142" s="128" t="str">
        <f t="shared" si="5"/>
        <v>--</v>
      </c>
    </row>
    <row r="143" spans="1:24" x14ac:dyDescent="0.25">
      <c r="A143" s="1358"/>
      <c r="B143" s="127"/>
      <c r="C143" t="s">
        <v>1638</v>
      </c>
      <c r="D143" s="64"/>
      <c r="E143" s="64"/>
      <c r="F143" s="125"/>
      <c r="G143" s="64"/>
      <c r="H143" s="127"/>
      <c r="I143" s="64">
        <v>9</v>
      </c>
      <c r="J143" s="64" t="s">
        <v>1447</v>
      </c>
      <c r="K143" s="125">
        <v>252</v>
      </c>
      <c r="L143" s="64"/>
      <c r="M143" s="146"/>
      <c r="N143" s="64"/>
      <c r="O143" s="64"/>
      <c r="P143" s="125"/>
      <c r="Q143" s="64"/>
      <c r="R143" s="127"/>
      <c r="V143" s="128" t="str">
        <f t="shared" si="3"/>
        <v>--</v>
      </c>
      <c r="W143" s="128" t="str">
        <f t="shared" si="4"/>
        <v>--</v>
      </c>
      <c r="X143" s="128" t="str">
        <f t="shared" si="5"/>
        <v>--</v>
      </c>
    </row>
    <row r="144" spans="1:24" x14ac:dyDescent="0.25">
      <c r="A144" s="1358"/>
      <c r="B144" s="127"/>
      <c r="C144" t="s">
        <v>1638</v>
      </c>
      <c r="D144" s="64"/>
      <c r="E144" s="64"/>
      <c r="F144" s="125"/>
      <c r="G144" s="64"/>
      <c r="H144" s="127"/>
      <c r="I144" s="64"/>
      <c r="J144" s="64"/>
      <c r="K144" s="125"/>
      <c r="L144" s="64"/>
      <c r="M144" s="146"/>
      <c r="N144" s="64"/>
      <c r="O144" s="64"/>
      <c r="P144" s="125"/>
      <c r="Q144" s="64"/>
      <c r="R144" s="127"/>
      <c r="V144" s="128" t="str">
        <f t="shared" si="3"/>
        <v>--</v>
      </c>
      <c r="W144" s="128" t="str">
        <f t="shared" si="4"/>
        <v>--</v>
      </c>
      <c r="X144" s="128" t="str">
        <f t="shared" si="5"/>
        <v>--</v>
      </c>
    </row>
    <row r="145" spans="1:24" x14ac:dyDescent="0.25">
      <c r="A145" s="1358"/>
      <c r="B145" s="127"/>
      <c r="C145" t="s">
        <v>1638</v>
      </c>
      <c r="D145" s="64"/>
      <c r="E145" s="64"/>
      <c r="F145" s="125"/>
      <c r="G145" s="64"/>
      <c r="H145" s="127"/>
      <c r="I145" s="64"/>
      <c r="J145" s="64"/>
      <c r="K145" s="125"/>
      <c r="L145" s="64"/>
      <c r="M145" s="146"/>
      <c r="N145" s="64"/>
      <c r="O145" s="64"/>
      <c r="P145" s="125"/>
      <c r="Q145" s="64"/>
      <c r="R145" s="127"/>
      <c r="V145" s="128" t="str">
        <f t="shared" si="3"/>
        <v>--</v>
      </c>
      <c r="W145" s="128" t="str">
        <f t="shared" si="4"/>
        <v>--</v>
      </c>
      <c r="X145" s="128" t="str">
        <f t="shared" si="5"/>
        <v>--</v>
      </c>
    </row>
    <row r="146" spans="1:24" x14ac:dyDescent="0.25">
      <c r="A146" s="1358"/>
      <c r="B146" s="130"/>
      <c r="C146" t="s">
        <v>1638</v>
      </c>
      <c r="D146" s="132"/>
      <c r="E146" s="132"/>
      <c r="F146" s="133"/>
      <c r="G146" s="132"/>
      <c r="H146" s="134"/>
      <c r="I146" s="132"/>
      <c r="J146" s="132"/>
      <c r="K146" s="133"/>
      <c r="L146" s="132"/>
      <c r="M146" s="147"/>
      <c r="N146" s="132"/>
      <c r="O146" s="132"/>
      <c r="P146" s="133"/>
      <c r="Q146" s="132"/>
      <c r="R146" s="134"/>
      <c r="V146" s="128" t="str">
        <f t="shared" si="3"/>
        <v>--</v>
      </c>
      <c r="W146" s="128" t="str">
        <f t="shared" si="4"/>
        <v>--</v>
      </c>
      <c r="X146" s="128" t="str">
        <f t="shared" si="5"/>
        <v>--</v>
      </c>
    </row>
    <row r="147" spans="1:24" x14ac:dyDescent="0.25">
      <c r="A147" s="1358"/>
      <c r="B147" s="127" t="s">
        <v>1352</v>
      </c>
      <c r="C147" t="s">
        <v>1637</v>
      </c>
      <c r="D147" s="64">
        <v>1</v>
      </c>
      <c r="E147" s="64" t="s">
        <v>808</v>
      </c>
      <c r="F147" s="125">
        <v>1152</v>
      </c>
      <c r="G147" s="64">
        <v>8</v>
      </c>
      <c r="H147" s="127" t="s">
        <v>540</v>
      </c>
      <c r="I147" s="64">
        <v>1</v>
      </c>
      <c r="J147" s="64" t="s">
        <v>831</v>
      </c>
      <c r="K147" s="125">
        <v>2520</v>
      </c>
      <c r="L147" s="64">
        <v>8</v>
      </c>
      <c r="M147" s="146" t="s">
        <v>1690</v>
      </c>
      <c r="N147" s="64">
        <v>1</v>
      </c>
      <c r="O147" s="64" t="s">
        <v>849</v>
      </c>
      <c r="P147" s="125">
        <v>1416</v>
      </c>
      <c r="Q147" s="64">
        <v>8</v>
      </c>
      <c r="R147" s="127" t="s">
        <v>542</v>
      </c>
      <c r="V147" s="128" t="str">
        <f t="shared" ref="V147:V210" si="6">IFERROR(IF((LEFT(RIGHT(E147,2),1)+RIGHT(LEFT(E147,2),1)+G147)/3=G147,"yes","NOOO"),"--")</f>
        <v>yes</v>
      </c>
      <c r="W147" s="128" t="str">
        <f t="shared" ref="W147:W210" si="7">IFERROR(IF((LEFT(RIGHT(J147,2),1)+RIGHT(LEFT(J147,2),1)+L147)/3=L147,"yes","NOOO"),"--")</f>
        <v>yes</v>
      </c>
      <c r="X147" s="128" t="str">
        <f t="shared" ref="X147:X210" si="8">IFERROR(IF((LEFT(RIGHT(O147,2),1)+RIGHT(LEFT(O147,2),1)+Q147)/3=Q147,"yes","NOOO"),"--")</f>
        <v>yes</v>
      </c>
    </row>
    <row r="148" spans="1:24" x14ac:dyDescent="0.25">
      <c r="A148" s="1358"/>
      <c r="B148" s="127" t="s">
        <v>1353</v>
      </c>
      <c r="C148" t="s">
        <v>1637</v>
      </c>
      <c r="D148" s="64">
        <v>2</v>
      </c>
      <c r="E148" s="64" t="s">
        <v>870</v>
      </c>
      <c r="F148" s="125">
        <v>1145</v>
      </c>
      <c r="G148" s="64">
        <v>5</v>
      </c>
      <c r="H148" s="127" t="s">
        <v>540</v>
      </c>
      <c r="I148" s="64">
        <v>2</v>
      </c>
      <c r="J148" s="64" t="s">
        <v>833</v>
      </c>
      <c r="K148" s="125">
        <v>1890</v>
      </c>
      <c r="L148" s="64">
        <v>6</v>
      </c>
      <c r="M148" s="146" t="s">
        <v>1690</v>
      </c>
      <c r="N148" s="64">
        <v>2</v>
      </c>
      <c r="O148" s="64" t="s">
        <v>850</v>
      </c>
      <c r="P148" s="125">
        <v>1062</v>
      </c>
      <c r="Q148" s="64">
        <v>6</v>
      </c>
      <c r="R148" s="127" t="s">
        <v>542</v>
      </c>
      <c r="V148" s="128" t="str">
        <f t="shared" si="6"/>
        <v>yes</v>
      </c>
      <c r="W148" s="128" t="str">
        <f t="shared" si="7"/>
        <v>yes</v>
      </c>
      <c r="X148" s="128" t="str">
        <f t="shared" si="8"/>
        <v>yes</v>
      </c>
    </row>
    <row r="149" spans="1:24" x14ac:dyDescent="0.25">
      <c r="A149" s="1358"/>
      <c r="B149" s="127" t="s">
        <v>1354</v>
      </c>
      <c r="C149" t="s">
        <v>1637</v>
      </c>
      <c r="D149" s="64">
        <v>3</v>
      </c>
      <c r="E149" s="64" t="s">
        <v>809</v>
      </c>
      <c r="F149" s="125">
        <v>1048</v>
      </c>
      <c r="G149" s="64">
        <v>8</v>
      </c>
      <c r="H149" s="127" t="s">
        <v>540</v>
      </c>
      <c r="I149" s="64">
        <v>3</v>
      </c>
      <c r="J149" s="64" t="s">
        <v>832</v>
      </c>
      <c r="K149" s="125">
        <v>1480</v>
      </c>
      <c r="L149" s="64">
        <v>8</v>
      </c>
      <c r="M149" s="146" t="s">
        <v>1690</v>
      </c>
      <c r="N149" s="64">
        <v>3</v>
      </c>
      <c r="O149" s="64" t="s">
        <v>865</v>
      </c>
      <c r="P149" s="125">
        <v>885</v>
      </c>
      <c r="Q149" s="64">
        <v>5</v>
      </c>
      <c r="R149" s="127" t="s">
        <v>542</v>
      </c>
      <c r="V149" s="128" t="str">
        <f t="shared" si="6"/>
        <v>yes</v>
      </c>
      <c r="W149" s="128" t="str">
        <f t="shared" si="7"/>
        <v>yes</v>
      </c>
      <c r="X149" s="128" t="str">
        <f t="shared" si="8"/>
        <v>yes</v>
      </c>
    </row>
    <row r="150" spans="1:24" x14ac:dyDescent="0.25">
      <c r="A150" s="1358"/>
      <c r="B150" s="127" t="s">
        <v>1355</v>
      </c>
      <c r="C150" t="s">
        <v>1637</v>
      </c>
      <c r="D150" s="64">
        <v>4</v>
      </c>
      <c r="E150" s="64" t="s">
        <v>823</v>
      </c>
      <c r="F150" s="125">
        <v>890</v>
      </c>
      <c r="G150" s="64">
        <v>5</v>
      </c>
      <c r="H150" s="127" t="s">
        <v>540</v>
      </c>
      <c r="I150" s="64">
        <v>4</v>
      </c>
      <c r="J150" s="64" t="s">
        <v>835</v>
      </c>
      <c r="K150" s="125">
        <v>1260</v>
      </c>
      <c r="L150" s="64">
        <v>4</v>
      </c>
      <c r="M150" s="146" t="s">
        <v>1690</v>
      </c>
      <c r="N150" s="64">
        <v>4</v>
      </c>
      <c r="O150" s="64" t="s">
        <v>852</v>
      </c>
      <c r="P150" s="125">
        <v>708</v>
      </c>
      <c r="Q150" s="64">
        <v>4</v>
      </c>
      <c r="R150" s="127" t="s">
        <v>542</v>
      </c>
      <c r="V150" s="128" t="str">
        <f t="shared" si="6"/>
        <v>yes</v>
      </c>
      <c r="W150" s="128" t="str">
        <f t="shared" si="7"/>
        <v>yes</v>
      </c>
      <c r="X150" s="128" t="str">
        <f t="shared" si="8"/>
        <v>yes</v>
      </c>
    </row>
    <row r="151" spans="1:24" x14ac:dyDescent="0.25">
      <c r="A151" s="1358"/>
      <c r="B151" s="127" t="s">
        <v>1356</v>
      </c>
      <c r="C151" t="s">
        <v>1637</v>
      </c>
      <c r="D151" s="64">
        <v>5</v>
      </c>
      <c r="E151" s="64" t="s">
        <v>810</v>
      </c>
      <c r="F151" s="125">
        <v>864</v>
      </c>
      <c r="G151" s="64">
        <v>6</v>
      </c>
      <c r="H151" s="127" t="s">
        <v>540</v>
      </c>
      <c r="I151" s="64">
        <v>5</v>
      </c>
      <c r="J151" s="64" t="s">
        <v>1691</v>
      </c>
      <c r="K151" s="125">
        <v>1260</v>
      </c>
      <c r="L151" s="64">
        <v>4</v>
      </c>
      <c r="M151" s="146" t="s">
        <v>1690</v>
      </c>
      <c r="N151" s="64">
        <v>5</v>
      </c>
      <c r="O151" s="64" t="s">
        <v>866</v>
      </c>
      <c r="P151" s="125">
        <v>672</v>
      </c>
      <c r="Q151" s="64">
        <v>8</v>
      </c>
      <c r="R151" s="127" t="s">
        <v>542</v>
      </c>
      <c r="V151" s="128" t="str">
        <f t="shared" si="6"/>
        <v>yes</v>
      </c>
      <c r="W151" s="128" t="str">
        <f t="shared" si="7"/>
        <v>yes</v>
      </c>
      <c r="X151" s="795" t="str">
        <f t="shared" si="8"/>
        <v>NOOO</v>
      </c>
    </row>
    <row r="152" spans="1:24" x14ac:dyDescent="0.25">
      <c r="A152" s="1358"/>
      <c r="B152" s="127" t="s">
        <v>1357</v>
      </c>
      <c r="C152" t="s">
        <v>1637</v>
      </c>
      <c r="D152" s="64">
        <v>6</v>
      </c>
      <c r="E152" s="64" t="s">
        <v>811</v>
      </c>
      <c r="F152" s="125">
        <v>786</v>
      </c>
      <c r="G152" s="64">
        <v>6</v>
      </c>
      <c r="H152" s="127" t="s">
        <v>540</v>
      </c>
      <c r="I152" s="64">
        <v>6</v>
      </c>
      <c r="J152" s="64" t="s">
        <v>834</v>
      </c>
      <c r="K152" s="125">
        <v>1110</v>
      </c>
      <c r="L152" s="64">
        <v>6</v>
      </c>
      <c r="M152" s="146" t="s">
        <v>1690</v>
      </c>
      <c r="N152" s="64">
        <v>6</v>
      </c>
      <c r="O152" s="64" t="s">
        <v>1701</v>
      </c>
      <c r="P152" s="125">
        <v>588</v>
      </c>
      <c r="Q152" s="64">
        <v>7</v>
      </c>
      <c r="R152" s="127" t="s">
        <v>542</v>
      </c>
      <c r="V152" s="128" t="str">
        <f t="shared" si="6"/>
        <v>yes</v>
      </c>
      <c r="W152" s="128" t="str">
        <f t="shared" si="7"/>
        <v>yes</v>
      </c>
      <c r="X152" s="795" t="str">
        <f t="shared" si="8"/>
        <v>NOOO</v>
      </c>
    </row>
    <row r="153" spans="1:24" x14ac:dyDescent="0.25">
      <c r="A153" s="1358"/>
      <c r="B153" s="127" t="s">
        <v>1358</v>
      </c>
      <c r="C153" t="s">
        <v>1637</v>
      </c>
      <c r="D153" s="64">
        <v>7</v>
      </c>
      <c r="E153" s="64" t="s">
        <v>824</v>
      </c>
      <c r="F153" s="125">
        <v>705</v>
      </c>
      <c r="G153" s="64">
        <v>5</v>
      </c>
      <c r="H153" s="127" t="s">
        <v>540</v>
      </c>
      <c r="I153" s="64">
        <v>7</v>
      </c>
      <c r="J153" s="64" t="s">
        <v>836</v>
      </c>
      <c r="K153" s="125">
        <v>1110</v>
      </c>
      <c r="L153" s="64">
        <v>4</v>
      </c>
      <c r="M153" s="146" t="s">
        <v>1690</v>
      </c>
      <c r="N153" s="64">
        <v>7</v>
      </c>
      <c r="O153" s="64" t="s">
        <v>867</v>
      </c>
      <c r="P153" s="125">
        <v>531</v>
      </c>
      <c r="Q153" s="64">
        <v>3</v>
      </c>
      <c r="R153" s="127" t="s">
        <v>542</v>
      </c>
      <c r="V153" s="128" t="str">
        <f t="shared" si="6"/>
        <v>yes</v>
      </c>
      <c r="W153" s="128" t="str">
        <f t="shared" si="7"/>
        <v>yes</v>
      </c>
      <c r="X153" s="128" t="str">
        <f t="shared" si="8"/>
        <v>yes</v>
      </c>
    </row>
    <row r="154" spans="1:24" x14ac:dyDescent="0.25">
      <c r="A154" s="1358"/>
      <c r="B154" s="127" t="s">
        <v>1359</v>
      </c>
      <c r="C154" t="s">
        <v>1637</v>
      </c>
      <c r="D154" s="64">
        <v>8</v>
      </c>
      <c r="E154" s="64" t="s">
        <v>871</v>
      </c>
      <c r="F154" s="125">
        <v>591</v>
      </c>
      <c r="G154" s="64">
        <v>3</v>
      </c>
      <c r="H154" s="127" t="s">
        <v>540</v>
      </c>
      <c r="I154" s="64">
        <v>8</v>
      </c>
      <c r="J154" s="64" t="s">
        <v>1692</v>
      </c>
      <c r="K154" s="125">
        <v>740</v>
      </c>
      <c r="L154" s="64">
        <v>4</v>
      </c>
      <c r="M154" s="146" t="s">
        <v>1690</v>
      </c>
      <c r="N154" s="64">
        <v>8</v>
      </c>
      <c r="O154" s="64" t="s">
        <v>872</v>
      </c>
      <c r="P154" s="125">
        <v>504</v>
      </c>
      <c r="Q154" s="64">
        <v>6</v>
      </c>
      <c r="R154" s="127" t="s">
        <v>542</v>
      </c>
      <c r="V154" s="128" t="str">
        <f t="shared" si="6"/>
        <v>yes</v>
      </c>
      <c r="W154" s="128" t="str">
        <f t="shared" si="7"/>
        <v>yes</v>
      </c>
      <c r="X154" s="128" t="str">
        <f t="shared" si="8"/>
        <v>yes</v>
      </c>
    </row>
    <row r="155" spans="1:24" x14ac:dyDescent="0.25">
      <c r="A155" s="1358"/>
      <c r="B155" s="127" t="s">
        <v>1360</v>
      </c>
      <c r="C155" t="s">
        <v>1637</v>
      </c>
      <c r="D155" s="64">
        <v>9</v>
      </c>
      <c r="E155" s="64" t="s">
        <v>814</v>
      </c>
      <c r="F155" s="125">
        <v>576</v>
      </c>
      <c r="G155" s="64">
        <v>4</v>
      </c>
      <c r="H155" s="127" t="s">
        <v>540</v>
      </c>
      <c r="I155" s="64">
        <v>9</v>
      </c>
      <c r="J155" s="64" t="s">
        <v>837</v>
      </c>
      <c r="K155" s="125">
        <v>630</v>
      </c>
      <c r="L155" s="64">
        <v>2</v>
      </c>
      <c r="M155" s="146" t="s">
        <v>1690</v>
      </c>
      <c r="N155" s="64">
        <v>9</v>
      </c>
      <c r="O155" s="64" t="s">
        <v>873</v>
      </c>
      <c r="P155" s="125">
        <v>420</v>
      </c>
      <c r="Q155" s="64">
        <v>5</v>
      </c>
      <c r="R155" s="127" t="s">
        <v>542</v>
      </c>
      <c r="V155" s="128" t="str">
        <f t="shared" si="6"/>
        <v>yes</v>
      </c>
      <c r="W155" s="128" t="str">
        <f t="shared" si="7"/>
        <v>yes</v>
      </c>
      <c r="X155" s="128" t="str">
        <f t="shared" si="8"/>
        <v>yes</v>
      </c>
    </row>
    <row r="156" spans="1:24" x14ac:dyDescent="0.25">
      <c r="A156" s="1358"/>
      <c r="B156" s="127" t="s">
        <v>1361</v>
      </c>
      <c r="C156" t="s">
        <v>1637</v>
      </c>
      <c r="D156" s="64">
        <v>10</v>
      </c>
      <c r="E156" s="64" t="s">
        <v>825</v>
      </c>
      <c r="F156" s="125">
        <v>534</v>
      </c>
      <c r="G156" s="64">
        <v>3</v>
      </c>
      <c r="H156" s="127" t="s">
        <v>540</v>
      </c>
      <c r="I156" s="64">
        <v>10</v>
      </c>
      <c r="J156" s="64" t="s">
        <v>840</v>
      </c>
      <c r="K156" s="125">
        <v>370</v>
      </c>
      <c r="L156" s="64">
        <v>2</v>
      </c>
      <c r="M156" s="146" t="s">
        <v>1690</v>
      </c>
      <c r="N156" s="64">
        <v>10</v>
      </c>
      <c r="O156" s="64" t="s">
        <v>856</v>
      </c>
      <c r="P156" s="125">
        <v>354</v>
      </c>
      <c r="Q156" s="64">
        <v>2</v>
      </c>
      <c r="R156" s="127" t="s">
        <v>542</v>
      </c>
      <c r="V156" s="128" t="str">
        <f t="shared" si="6"/>
        <v>yes</v>
      </c>
      <c r="W156" s="128" t="str">
        <f t="shared" si="7"/>
        <v>yes</v>
      </c>
      <c r="X156" s="128" t="str">
        <f t="shared" si="8"/>
        <v>yes</v>
      </c>
    </row>
    <row r="157" spans="1:24" x14ac:dyDescent="0.25">
      <c r="A157" s="1358"/>
      <c r="B157" s="127"/>
      <c r="C157" t="s">
        <v>1637</v>
      </c>
      <c r="D157" s="64">
        <v>11</v>
      </c>
      <c r="E157" s="64" t="s">
        <v>817</v>
      </c>
      <c r="F157" s="125">
        <v>524</v>
      </c>
      <c r="G157" s="64">
        <v>4</v>
      </c>
      <c r="H157" s="127" t="s">
        <v>540</v>
      </c>
      <c r="I157" s="64">
        <v>11</v>
      </c>
      <c r="J157" s="64" t="s">
        <v>1447</v>
      </c>
      <c r="K157" s="125">
        <v>252</v>
      </c>
      <c r="L157" s="64"/>
      <c r="M157" s="146"/>
      <c r="N157" s="64">
        <v>11</v>
      </c>
      <c r="O157" s="64" t="s">
        <v>1447</v>
      </c>
      <c r="P157" s="125">
        <v>354</v>
      </c>
      <c r="Q157" s="64">
        <v>4</v>
      </c>
      <c r="R157" s="127" t="s">
        <v>542</v>
      </c>
      <c r="V157" s="128" t="str">
        <f t="shared" si="6"/>
        <v>yes</v>
      </c>
      <c r="W157" s="128" t="str">
        <f t="shared" si="7"/>
        <v>--</v>
      </c>
      <c r="X157" s="128" t="str">
        <f t="shared" si="8"/>
        <v>--</v>
      </c>
    </row>
    <row r="158" spans="1:24" x14ac:dyDescent="0.25">
      <c r="A158" s="1358"/>
      <c r="B158" s="127"/>
      <c r="C158" t="s">
        <v>1637</v>
      </c>
      <c r="D158" s="64">
        <v>12</v>
      </c>
      <c r="E158" s="64" t="s">
        <v>826</v>
      </c>
      <c r="F158" s="125">
        <v>423</v>
      </c>
      <c r="G158" s="64">
        <v>3</v>
      </c>
      <c r="H158" s="127" t="s">
        <v>540</v>
      </c>
      <c r="I158" s="64"/>
      <c r="J158" s="64"/>
      <c r="K158" s="125"/>
      <c r="L158" s="64"/>
      <c r="M158" s="146"/>
      <c r="N158" s="64">
        <v>12</v>
      </c>
      <c r="O158" s="64" t="s">
        <v>869</v>
      </c>
      <c r="P158" s="125">
        <v>336</v>
      </c>
      <c r="Q158" s="64">
        <v>4</v>
      </c>
      <c r="R158" s="127" t="s">
        <v>542</v>
      </c>
      <c r="V158" s="128" t="str">
        <f t="shared" si="6"/>
        <v>yes</v>
      </c>
      <c r="W158" s="128" t="str">
        <f t="shared" si="7"/>
        <v>--</v>
      </c>
      <c r="X158" s="128" t="str">
        <f t="shared" si="8"/>
        <v>yes</v>
      </c>
    </row>
    <row r="159" spans="1:24" x14ac:dyDescent="0.25">
      <c r="A159" s="1358"/>
      <c r="B159" s="127"/>
      <c r="C159" t="s">
        <v>1637</v>
      </c>
      <c r="D159" s="64">
        <v>13</v>
      </c>
      <c r="E159" s="64" t="s">
        <v>820</v>
      </c>
      <c r="F159" s="125">
        <v>288</v>
      </c>
      <c r="G159" s="64">
        <v>2</v>
      </c>
      <c r="H159" s="127" t="s">
        <v>540</v>
      </c>
      <c r="I159" s="64"/>
      <c r="J159" s="64"/>
      <c r="K159" s="125"/>
      <c r="L159" s="64"/>
      <c r="M159" s="146"/>
      <c r="N159" s="64">
        <v>13</v>
      </c>
      <c r="O159" s="64" t="s">
        <v>868</v>
      </c>
      <c r="P159" s="125">
        <v>252</v>
      </c>
      <c r="Q159" s="64">
        <v>3</v>
      </c>
      <c r="R159" s="127" t="s">
        <v>542</v>
      </c>
      <c r="V159" s="128" t="str">
        <f t="shared" si="6"/>
        <v>yes</v>
      </c>
      <c r="W159" s="128" t="str">
        <f t="shared" si="7"/>
        <v>--</v>
      </c>
      <c r="X159" s="128" t="str">
        <f t="shared" si="8"/>
        <v>yes</v>
      </c>
    </row>
    <row r="160" spans="1:24" x14ac:dyDescent="0.25">
      <c r="A160" s="1358"/>
      <c r="B160" s="127"/>
      <c r="C160" t="s">
        <v>1637</v>
      </c>
      <c r="D160" s="64">
        <v>14</v>
      </c>
      <c r="E160" s="64" t="s">
        <v>821</v>
      </c>
      <c r="F160" s="125">
        <v>262</v>
      </c>
      <c r="G160" s="64">
        <v>2</v>
      </c>
      <c r="H160" s="127" t="s">
        <v>540</v>
      </c>
      <c r="I160" s="64"/>
      <c r="J160" s="64"/>
      <c r="K160" s="125"/>
      <c r="L160" s="64"/>
      <c r="M160" s="146"/>
      <c r="N160" s="64"/>
      <c r="O160" s="64"/>
      <c r="P160" s="125"/>
      <c r="Q160" s="64"/>
      <c r="R160" s="127"/>
      <c r="V160" s="128" t="str">
        <f t="shared" si="6"/>
        <v>yes</v>
      </c>
      <c r="W160" s="128" t="str">
        <f t="shared" si="7"/>
        <v>--</v>
      </c>
      <c r="X160" s="128" t="str">
        <f t="shared" si="8"/>
        <v>--</v>
      </c>
    </row>
    <row r="161" spans="1:24" x14ac:dyDescent="0.25">
      <c r="A161" s="1358"/>
      <c r="B161" s="127"/>
      <c r="C161" t="s">
        <v>1637</v>
      </c>
      <c r="D161" s="64">
        <v>15</v>
      </c>
      <c r="E161" s="64" t="s">
        <v>1447</v>
      </c>
      <c r="F161" s="125">
        <v>262</v>
      </c>
      <c r="G161" s="64"/>
      <c r="H161" s="127"/>
      <c r="I161" s="64"/>
      <c r="J161" s="64"/>
      <c r="K161" s="125"/>
      <c r="L161" s="64"/>
      <c r="M161" s="146"/>
      <c r="N161" s="64"/>
      <c r="O161" s="64"/>
      <c r="P161" s="125"/>
      <c r="Q161" s="64"/>
      <c r="R161" s="127"/>
      <c r="V161" s="128" t="str">
        <f t="shared" si="6"/>
        <v>--</v>
      </c>
      <c r="W161" s="128" t="str">
        <f t="shared" si="7"/>
        <v>--</v>
      </c>
      <c r="X161" s="128" t="str">
        <f t="shared" si="8"/>
        <v>--</v>
      </c>
    </row>
    <row r="162" spans="1:24" x14ac:dyDescent="0.25">
      <c r="A162" s="1358"/>
      <c r="B162" s="127"/>
      <c r="C162" t="s">
        <v>1637</v>
      </c>
      <c r="D162" s="64"/>
      <c r="E162" s="64"/>
      <c r="F162" s="125"/>
      <c r="G162" s="64"/>
      <c r="H162" s="127"/>
      <c r="I162" s="64"/>
      <c r="J162" s="64"/>
      <c r="K162" s="125"/>
      <c r="L162" s="64"/>
      <c r="M162" s="146"/>
      <c r="N162" s="64"/>
      <c r="O162" s="64"/>
      <c r="P162" s="125"/>
      <c r="Q162" s="64"/>
      <c r="R162" s="127"/>
      <c r="V162" s="128" t="str">
        <f t="shared" si="6"/>
        <v>--</v>
      </c>
      <c r="W162" s="128" t="str">
        <f t="shared" si="7"/>
        <v>--</v>
      </c>
      <c r="X162" s="128" t="str">
        <f t="shared" si="8"/>
        <v>--</v>
      </c>
    </row>
    <row r="163" spans="1:24" x14ac:dyDescent="0.25">
      <c r="A163" s="1358"/>
      <c r="B163" s="127"/>
      <c r="C163" t="s">
        <v>1637</v>
      </c>
      <c r="D163" s="64"/>
      <c r="E163" s="64"/>
      <c r="F163" s="125"/>
      <c r="G163" s="64"/>
      <c r="H163" s="127"/>
      <c r="I163" s="64"/>
      <c r="J163" s="64"/>
      <c r="K163" s="125"/>
      <c r="L163" s="64"/>
      <c r="M163" s="146"/>
      <c r="N163" s="64"/>
      <c r="O163" s="64"/>
      <c r="P163" s="125"/>
      <c r="Q163" s="64"/>
      <c r="R163" s="127"/>
      <c r="V163" s="128" t="str">
        <f t="shared" si="6"/>
        <v>--</v>
      </c>
      <c r="W163" s="128" t="str">
        <f t="shared" si="7"/>
        <v>--</v>
      </c>
      <c r="X163" s="128" t="str">
        <f t="shared" si="8"/>
        <v>--</v>
      </c>
    </row>
    <row r="164" spans="1:24" x14ac:dyDescent="0.25">
      <c r="A164" s="1358"/>
      <c r="B164" s="127"/>
      <c r="C164" t="s">
        <v>1637</v>
      </c>
      <c r="D164" s="64"/>
      <c r="E164" s="64"/>
      <c r="F164" s="125"/>
      <c r="G164" s="64"/>
      <c r="H164" s="127"/>
      <c r="I164" s="64"/>
      <c r="J164" s="64"/>
      <c r="K164" s="125"/>
      <c r="L164" s="64"/>
      <c r="M164" s="146"/>
      <c r="N164" s="64"/>
      <c r="O164" s="64"/>
      <c r="P164" s="125"/>
      <c r="Q164" s="64"/>
      <c r="R164" s="127"/>
      <c r="V164" s="128" t="str">
        <f t="shared" si="6"/>
        <v>--</v>
      </c>
      <c r="W164" s="128" t="str">
        <f t="shared" si="7"/>
        <v>--</v>
      </c>
      <c r="X164" s="128" t="str">
        <f t="shared" si="8"/>
        <v>--</v>
      </c>
    </row>
    <row r="165" spans="1:24" ht="15.75" thickBot="1" x14ac:dyDescent="0.3">
      <c r="A165" s="1358"/>
      <c r="B165" s="135"/>
      <c r="C165" t="s">
        <v>1637</v>
      </c>
      <c r="D165" s="136"/>
      <c r="E165" s="136"/>
      <c r="F165" s="137"/>
      <c r="G165" s="136"/>
      <c r="H165" s="138"/>
      <c r="I165" s="136"/>
      <c r="J165" s="136"/>
      <c r="K165" s="137"/>
      <c r="L165" s="136"/>
      <c r="M165" s="148"/>
      <c r="N165" s="136"/>
      <c r="O165" s="136"/>
      <c r="P165" s="137"/>
      <c r="Q165" s="136"/>
      <c r="R165" s="138"/>
      <c r="V165" s="128" t="str">
        <f t="shared" si="6"/>
        <v>--</v>
      </c>
      <c r="W165" s="128" t="str">
        <f t="shared" si="7"/>
        <v>--</v>
      </c>
      <c r="X165" s="128" t="str">
        <f t="shared" si="8"/>
        <v>--</v>
      </c>
    </row>
    <row r="166" spans="1:24" x14ac:dyDescent="0.25">
      <c r="A166" s="1357" t="s">
        <v>544</v>
      </c>
      <c r="B166" s="127" t="s">
        <v>1329</v>
      </c>
      <c r="C166" t="s">
        <v>1636</v>
      </c>
      <c r="D166" s="64">
        <v>1</v>
      </c>
      <c r="E166" s="64" t="s">
        <v>808</v>
      </c>
      <c r="F166" s="125">
        <v>1424</v>
      </c>
      <c r="G166" s="64">
        <v>8</v>
      </c>
      <c r="H166" s="127" t="s">
        <v>540</v>
      </c>
      <c r="I166" s="64">
        <v>1</v>
      </c>
      <c r="J166" s="64" t="s">
        <v>831</v>
      </c>
      <c r="K166" s="125">
        <v>2520</v>
      </c>
      <c r="L166" s="64">
        <v>8</v>
      </c>
      <c r="M166" s="146" t="s">
        <v>1690</v>
      </c>
      <c r="N166" s="64">
        <v>1</v>
      </c>
      <c r="O166" s="64" t="s">
        <v>849</v>
      </c>
      <c r="P166" s="125">
        <v>1416</v>
      </c>
      <c r="Q166" s="64">
        <v>8</v>
      </c>
      <c r="R166" s="127" t="s">
        <v>542</v>
      </c>
      <c r="V166" s="128" t="str">
        <f t="shared" si="6"/>
        <v>yes</v>
      </c>
      <c r="W166" s="128" t="str">
        <f t="shared" si="7"/>
        <v>yes</v>
      </c>
      <c r="X166" s="128" t="str">
        <f t="shared" si="8"/>
        <v>yes</v>
      </c>
    </row>
    <row r="167" spans="1:24" x14ac:dyDescent="0.25">
      <c r="A167" s="1358"/>
      <c r="B167" s="127" t="s">
        <v>1330</v>
      </c>
      <c r="C167" t="s">
        <v>1636</v>
      </c>
      <c r="D167" s="64">
        <v>2</v>
      </c>
      <c r="E167" s="64" t="s">
        <v>809</v>
      </c>
      <c r="F167" s="125">
        <v>1128</v>
      </c>
      <c r="G167" s="64">
        <v>8</v>
      </c>
      <c r="H167" s="127" t="s">
        <v>540</v>
      </c>
      <c r="I167" s="64">
        <v>2</v>
      </c>
      <c r="J167" s="64" t="s">
        <v>833</v>
      </c>
      <c r="K167" s="125">
        <v>1890</v>
      </c>
      <c r="L167" s="64">
        <v>6</v>
      </c>
      <c r="M167" s="146" t="s">
        <v>1690</v>
      </c>
      <c r="N167" s="64">
        <v>2</v>
      </c>
      <c r="O167" s="64" t="s">
        <v>850</v>
      </c>
      <c r="P167" s="125">
        <v>1062</v>
      </c>
      <c r="Q167" s="64">
        <v>6</v>
      </c>
      <c r="R167" s="127" t="s">
        <v>542</v>
      </c>
      <c r="V167" s="128" t="str">
        <f t="shared" si="6"/>
        <v>yes</v>
      </c>
      <c r="W167" s="128" t="str">
        <f t="shared" si="7"/>
        <v>yes</v>
      </c>
      <c r="X167" s="128" t="str">
        <f t="shared" si="8"/>
        <v>yes</v>
      </c>
    </row>
    <row r="168" spans="1:24" x14ac:dyDescent="0.25">
      <c r="A168" s="1358"/>
      <c r="B168" s="127" t="s">
        <v>1331</v>
      </c>
      <c r="C168" t="s">
        <v>1636</v>
      </c>
      <c r="D168" s="64">
        <v>3</v>
      </c>
      <c r="E168" s="64" t="s">
        <v>827</v>
      </c>
      <c r="F168" s="125">
        <v>1068</v>
      </c>
      <c r="G168" s="64">
        <v>6</v>
      </c>
      <c r="H168" s="127" t="s">
        <v>540</v>
      </c>
      <c r="I168" s="64">
        <v>3</v>
      </c>
      <c r="J168" s="64" t="s">
        <v>832</v>
      </c>
      <c r="K168" s="125">
        <v>1480</v>
      </c>
      <c r="L168" s="64">
        <v>8</v>
      </c>
      <c r="M168" s="146" t="s">
        <v>1690</v>
      </c>
      <c r="N168" s="64">
        <v>3</v>
      </c>
      <c r="O168" s="64" t="s">
        <v>877</v>
      </c>
      <c r="P168" s="125">
        <v>1062</v>
      </c>
      <c r="Q168" s="64">
        <v>6</v>
      </c>
      <c r="R168" s="127" t="s">
        <v>542</v>
      </c>
      <c r="V168" s="128" t="str">
        <f t="shared" si="6"/>
        <v>yes</v>
      </c>
      <c r="W168" s="128" t="str">
        <f t="shared" si="7"/>
        <v>yes</v>
      </c>
      <c r="X168" s="128" t="str">
        <f t="shared" si="8"/>
        <v>yes</v>
      </c>
    </row>
    <row r="169" spans="1:24" x14ac:dyDescent="0.25">
      <c r="A169" s="1358"/>
      <c r="B169" s="127" t="s">
        <v>1332</v>
      </c>
      <c r="C169" t="s">
        <v>1636</v>
      </c>
      <c r="D169" s="139">
        <v>4</v>
      </c>
      <c r="E169" s="64" t="s">
        <v>810</v>
      </c>
      <c r="F169" s="125">
        <v>1068</v>
      </c>
      <c r="G169" s="64">
        <v>6</v>
      </c>
      <c r="H169" s="127" t="s">
        <v>540</v>
      </c>
      <c r="I169" s="64">
        <v>4</v>
      </c>
      <c r="J169" s="64" t="s">
        <v>835</v>
      </c>
      <c r="K169" s="125">
        <v>1260</v>
      </c>
      <c r="L169" s="64">
        <v>4</v>
      </c>
      <c r="M169" s="146" t="s">
        <v>1690</v>
      </c>
      <c r="N169" s="64">
        <v>4</v>
      </c>
      <c r="O169" s="64" t="s">
        <v>852</v>
      </c>
      <c r="P169" s="125">
        <v>708</v>
      </c>
      <c r="Q169" s="64">
        <v>4</v>
      </c>
      <c r="R169" s="127" t="s">
        <v>542</v>
      </c>
      <c r="V169" s="128" t="str">
        <f t="shared" si="6"/>
        <v>yes</v>
      </c>
      <c r="W169" s="128" t="str">
        <f t="shared" si="7"/>
        <v>yes</v>
      </c>
      <c r="X169" s="128" t="str">
        <f t="shared" si="8"/>
        <v>yes</v>
      </c>
    </row>
    <row r="170" spans="1:24" x14ac:dyDescent="0.25">
      <c r="A170" s="1358"/>
      <c r="B170" s="129" t="s">
        <v>1333</v>
      </c>
      <c r="C170" t="s">
        <v>1636</v>
      </c>
      <c r="D170" s="64">
        <v>5</v>
      </c>
      <c r="E170" s="64" t="s">
        <v>828</v>
      </c>
      <c r="F170" s="125">
        <v>846</v>
      </c>
      <c r="G170" s="64">
        <v>6</v>
      </c>
      <c r="H170" s="127" t="s">
        <v>540</v>
      </c>
      <c r="I170" s="64">
        <v>5</v>
      </c>
      <c r="J170" s="64" t="s">
        <v>834</v>
      </c>
      <c r="K170" s="125">
        <v>1110</v>
      </c>
      <c r="L170" s="64">
        <v>6</v>
      </c>
      <c r="M170" s="146" t="s">
        <v>1690</v>
      </c>
      <c r="N170" s="64">
        <v>5</v>
      </c>
      <c r="O170" s="64" t="s">
        <v>878</v>
      </c>
      <c r="P170" s="125">
        <v>531</v>
      </c>
      <c r="Q170" s="64">
        <v>3</v>
      </c>
      <c r="R170" s="127" t="s">
        <v>542</v>
      </c>
      <c r="V170" s="128" t="str">
        <f t="shared" si="6"/>
        <v>yes</v>
      </c>
      <c r="W170" s="128" t="str">
        <f t="shared" si="7"/>
        <v>yes</v>
      </c>
      <c r="X170" s="128" t="str">
        <f t="shared" si="8"/>
        <v>yes</v>
      </c>
    </row>
    <row r="171" spans="1:24" x14ac:dyDescent="0.25">
      <c r="A171" s="1358"/>
      <c r="B171" s="127" t="s">
        <v>1334</v>
      </c>
      <c r="C171" t="s">
        <v>1636</v>
      </c>
      <c r="D171" s="64">
        <v>6</v>
      </c>
      <c r="E171" s="64" t="s">
        <v>811</v>
      </c>
      <c r="F171" s="125">
        <v>846</v>
      </c>
      <c r="G171" s="64">
        <v>6</v>
      </c>
      <c r="H171" s="127" t="s">
        <v>540</v>
      </c>
      <c r="I171" s="64">
        <v>6</v>
      </c>
      <c r="J171" s="64" t="s">
        <v>836</v>
      </c>
      <c r="K171" s="125">
        <v>740</v>
      </c>
      <c r="L171" s="64">
        <v>4</v>
      </c>
      <c r="M171" s="146" t="s">
        <v>1690</v>
      </c>
      <c r="N171" s="64">
        <v>6</v>
      </c>
      <c r="O171" s="64" t="s">
        <v>856</v>
      </c>
      <c r="P171" s="125">
        <v>354</v>
      </c>
      <c r="Q171" s="64">
        <v>2</v>
      </c>
      <c r="R171" s="127" t="s">
        <v>542</v>
      </c>
      <c r="V171" s="128" t="str">
        <f t="shared" si="6"/>
        <v>yes</v>
      </c>
      <c r="W171" s="128" t="str">
        <f t="shared" si="7"/>
        <v>yes</v>
      </c>
      <c r="X171" s="128" t="str">
        <f t="shared" si="8"/>
        <v>yes</v>
      </c>
    </row>
    <row r="172" spans="1:24" x14ac:dyDescent="0.25">
      <c r="A172" s="1358"/>
      <c r="B172" s="127" t="s">
        <v>1335</v>
      </c>
      <c r="C172" t="s">
        <v>1636</v>
      </c>
      <c r="D172" s="64">
        <v>7</v>
      </c>
      <c r="E172" s="64" t="s">
        <v>814</v>
      </c>
      <c r="F172" s="125">
        <v>712</v>
      </c>
      <c r="G172" s="64">
        <v>4</v>
      </c>
      <c r="H172" s="127" t="s">
        <v>540</v>
      </c>
      <c r="I172" s="64">
        <v>7</v>
      </c>
      <c r="J172" s="64" t="s">
        <v>846</v>
      </c>
      <c r="K172" s="125">
        <v>630</v>
      </c>
      <c r="L172" s="64">
        <v>2</v>
      </c>
      <c r="M172" s="146" t="s">
        <v>1690</v>
      </c>
      <c r="N172" s="64">
        <v>7</v>
      </c>
      <c r="O172" s="64" t="s">
        <v>1447</v>
      </c>
      <c r="P172" s="125">
        <v>354</v>
      </c>
      <c r="Q172" s="64"/>
      <c r="R172" s="127"/>
      <c r="V172" s="128" t="str">
        <f t="shared" si="6"/>
        <v>yes</v>
      </c>
      <c r="W172" s="128" t="str">
        <f t="shared" si="7"/>
        <v>yes</v>
      </c>
      <c r="X172" s="128" t="str">
        <f t="shared" si="8"/>
        <v>--</v>
      </c>
    </row>
    <row r="173" spans="1:24" x14ac:dyDescent="0.25">
      <c r="A173" s="1358"/>
      <c r="B173" s="127"/>
      <c r="C173" t="s">
        <v>1636</v>
      </c>
      <c r="D173" s="64">
        <v>8</v>
      </c>
      <c r="E173" s="64" t="s">
        <v>817</v>
      </c>
      <c r="F173" s="125">
        <v>564</v>
      </c>
      <c r="G173" s="64">
        <v>4</v>
      </c>
      <c r="H173" s="127" t="s">
        <v>540</v>
      </c>
      <c r="I173" s="64">
        <v>8</v>
      </c>
      <c r="J173" s="64" t="s">
        <v>837</v>
      </c>
      <c r="K173" s="125">
        <v>630</v>
      </c>
      <c r="L173" s="64">
        <v>2</v>
      </c>
      <c r="M173" s="146" t="s">
        <v>1690</v>
      </c>
      <c r="N173" s="64">
        <v>8</v>
      </c>
      <c r="O173" s="64" t="s">
        <v>1369</v>
      </c>
      <c r="P173" s="125">
        <v>252</v>
      </c>
      <c r="Q173" s="64">
        <v>3</v>
      </c>
      <c r="R173" s="127" t="s">
        <v>542</v>
      </c>
      <c r="V173" s="128" t="str">
        <f t="shared" si="6"/>
        <v>yes</v>
      </c>
      <c r="W173" s="128" t="str">
        <f t="shared" si="7"/>
        <v>yes</v>
      </c>
      <c r="X173" s="128" t="str">
        <f t="shared" si="8"/>
        <v>yes</v>
      </c>
    </row>
    <row r="174" spans="1:24" x14ac:dyDescent="0.25">
      <c r="A174" s="1358"/>
      <c r="B174" s="127"/>
      <c r="C174" t="s">
        <v>1636</v>
      </c>
      <c r="D174" s="64">
        <v>9</v>
      </c>
      <c r="E174" s="64" t="s">
        <v>1368</v>
      </c>
      <c r="F174" s="125">
        <v>550</v>
      </c>
      <c r="G174" s="64">
        <v>3</v>
      </c>
      <c r="H174" s="127" t="s">
        <v>932</v>
      </c>
      <c r="I174" s="64">
        <v>9</v>
      </c>
      <c r="J174" s="64" t="s">
        <v>840</v>
      </c>
      <c r="K174" s="125">
        <v>370</v>
      </c>
      <c r="L174" s="64">
        <v>2</v>
      </c>
      <c r="M174" s="146" t="s">
        <v>1690</v>
      </c>
      <c r="N174" s="64">
        <v>9</v>
      </c>
      <c r="O174" s="64" t="s">
        <v>595</v>
      </c>
      <c r="P174" s="125">
        <v>200</v>
      </c>
      <c r="Q174" s="64"/>
      <c r="R174" s="127"/>
      <c r="V174" s="128" t="str">
        <f t="shared" si="6"/>
        <v>yes</v>
      </c>
      <c r="W174" s="128" t="str">
        <f t="shared" si="7"/>
        <v>yes</v>
      </c>
      <c r="X174" s="128" t="str">
        <f t="shared" si="8"/>
        <v>--</v>
      </c>
    </row>
    <row r="175" spans="1:24" x14ac:dyDescent="0.25">
      <c r="A175" s="1358"/>
      <c r="B175" s="127"/>
      <c r="C175" t="s">
        <v>1636</v>
      </c>
      <c r="D175" s="64">
        <v>10</v>
      </c>
      <c r="E175" s="64" t="s">
        <v>829</v>
      </c>
      <c r="F175" s="125">
        <v>534</v>
      </c>
      <c r="G175" s="64">
        <v>3</v>
      </c>
      <c r="H175" s="127" t="s">
        <v>540</v>
      </c>
      <c r="I175" s="64">
        <v>10</v>
      </c>
      <c r="J175" s="64" t="s">
        <v>847</v>
      </c>
      <c r="K175" s="125">
        <v>370</v>
      </c>
      <c r="L175" s="64">
        <v>2</v>
      </c>
      <c r="M175" s="146" t="s">
        <v>1690</v>
      </c>
      <c r="N175" s="64">
        <v>10</v>
      </c>
      <c r="O175" s="64"/>
      <c r="P175" s="125"/>
      <c r="Q175" s="64"/>
      <c r="R175" s="127"/>
      <c r="V175" s="128" t="str">
        <f t="shared" si="6"/>
        <v>yes</v>
      </c>
      <c r="W175" s="128" t="str">
        <f t="shared" si="7"/>
        <v>yes</v>
      </c>
      <c r="X175" s="128" t="str">
        <f t="shared" si="8"/>
        <v>--</v>
      </c>
    </row>
    <row r="176" spans="1:24" x14ac:dyDescent="0.25">
      <c r="A176" s="1358"/>
      <c r="B176" s="127"/>
      <c r="C176" t="s">
        <v>1636</v>
      </c>
      <c r="D176" s="64">
        <v>11</v>
      </c>
      <c r="E176" s="64" t="s">
        <v>830</v>
      </c>
      <c r="F176" s="125">
        <v>423</v>
      </c>
      <c r="G176" s="64">
        <v>3</v>
      </c>
      <c r="H176" s="127" t="s">
        <v>540</v>
      </c>
      <c r="I176" s="64">
        <v>11</v>
      </c>
      <c r="J176" s="64" t="s">
        <v>1447</v>
      </c>
      <c r="K176" s="125">
        <v>252</v>
      </c>
      <c r="L176" s="64"/>
      <c r="M176" s="146"/>
      <c r="N176" s="64"/>
      <c r="O176" s="64"/>
      <c r="P176" s="125"/>
      <c r="Q176" s="64"/>
      <c r="R176" s="127"/>
      <c r="V176" s="128" t="str">
        <f t="shared" si="6"/>
        <v>yes</v>
      </c>
      <c r="W176" s="128" t="str">
        <f t="shared" si="7"/>
        <v>--</v>
      </c>
      <c r="X176" s="128" t="str">
        <f t="shared" si="8"/>
        <v>--</v>
      </c>
    </row>
    <row r="177" spans="1:24" x14ac:dyDescent="0.25">
      <c r="A177" s="1358"/>
      <c r="B177" s="127"/>
      <c r="C177" t="s">
        <v>1636</v>
      </c>
      <c r="D177" s="64">
        <v>12</v>
      </c>
      <c r="E177" s="64" t="s">
        <v>820</v>
      </c>
      <c r="F177" s="125">
        <v>356</v>
      </c>
      <c r="G177" s="64">
        <v>2</v>
      </c>
      <c r="H177" s="127" t="s">
        <v>540</v>
      </c>
      <c r="I177" s="64"/>
      <c r="J177" s="64"/>
      <c r="K177" s="125"/>
      <c r="L177" s="64"/>
      <c r="M177" s="146"/>
      <c r="N177" s="64"/>
      <c r="O177" s="64"/>
      <c r="P177" s="125"/>
      <c r="Q177" s="64"/>
      <c r="R177" s="127"/>
      <c r="V177" s="128" t="str">
        <f t="shared" si="6"/>
        <v>yes</v>
      </c>
      <c r="W177" s="128" t="str">
        <f t="shared" si="7"/>
        <v>--</v>
      </c>
      <c r="X177" s="128" t="str">
        <f t="shared" si="8"/>
        <v>--</v>
      </c>
    </row>
    <row r="178" spans="1:24" x14ac:dyDescent="0.25">
      <c r="A178" s="1358"/>
      <c r="B178" s="127"/>
      <c r="C178" t="s">
        <v>1636</v>
      </c>
      <c r="D178" s="64">
        <v>13</v>
      </c>
      <c r="E178" s="64" t="s">
        <v>821</v>
      </c>
      <c r="F178" s="125">
        <v>262</v>
      </c>
      <c r="G178" s="64">
        <v>2</v>
      </c>
      <c r="H178" s="127" t="s">
        <v>540</v>
      </c>
      <c r="I178" s="64"/>
      <c r="J178" s="64"/>
      <c r="K178" s="125"/>
      <c r="L178" s="64"/>
      <c r="M178" s="146"/>
      <c r="N178" s="64"/>
      <c r="O178" s="64"/>
      <c r="P178" s="125"/>
      <c r="Q178" s="64"/>
      <c r="R178" s="127"/>
      <c r="V178" s="128" t="str">
        <f t="shared" si="6"/>
        <v>yes</v>
      </c>
      <c r="W178" s="128" t="str">
        <f t="shared" si="7"/>
        <v>--</v>
      </c>
      <c r="X178" s="128" t="str">
        <f t="shared" si="8"/>
        <v>--</v>
      </c>
    </row>
    <row r="179" spans="1:24" x14ac:dyDescent="0.25">
      <c r="A179" s="1358"/>
      <c r="B179" s="127"/>
      <c r="C179" t="s">
        <v>1636</v>
      </c>
      <c r="D179" s="64">
        <v>14</v>
      </c>
      <c r="E179" s="64" t="s">
        <v>1447</v>
      </c>
      <c r="F179" s="125">
        <v>262</v>
      </c>
      <c r="G179" s="64"/>
      <c r="H179" s="127"/>
      <c r="I179" s="64"/>
      <c r="J179" s="64"/>
      <c r="K179" s="125"/>
      <c r="L179" s="64"/>
      <c r="M179" s="146"/>
      <c r="N179" s="64"/>
      <c r="O179" s="64"/>
      <c r="P179" s="125"/>
      <c r="Q179" s="64"/>
      <c r="R179" s="127"/>
      <c r="V179" s="128" t="str">
        <f t="shared" si="6"/>
        <v>--</v>
      </c>
      <c r="W179" s="128" t="str">
        <f t="shared" si="7"/>
        <v>--</v>
      </c>
      <c r="X179" s="128" t="str">
        <f t="shared" si="8"/>
        <v>--</v>
      </c>
    </row>
    <row r="180" spans="1:24" x14ac:dyDescent="0.25">
      <c r="A180" s="1358"/>
      <c r="B180" s="127"/>
      <c r="C180" t="s">
        <v>1636</v>
      </c>
      <c r="D180" s="64"/>
      <c r="E180" s="64"/>
      <c r="F180" s="125"/>
      <c r="G180" s="64"/>
      <c r="H180" s="127"/>
      <c r="I180" s="64"/>
      <c r="J180" s="64"/>
      <c r="K180" s="125"/>
      <c r="L180" s="64"/>
      <c r="M180" s="146"/>
      <c r="N180" s="64"/>
      <c r="O180" s="64"/>
      <c r="P180" s="125"/>
      <c r="Q180" s="64"/>
      <c r="R180" s="127"/>
      <c r="V180" s="128" t="str">
        <f t="shared" si="6"/>
        <v>--</v>
      </c>
      <c r="W180" s="128" t="str">
        <f t="shared" si="7"/>
        <v>--</v>
      </c>
      <c r="X180" s="128" t="str">
        <f t="shared" si="8"/>
        <v>--</v>
      </c>
    </row>
    <row r="181" spans="1:24" x14ac:dyDescent="0.25">
      <c r="A181" s="1358"/>
      <c r="B181" s="127"/>
      <c r="C181" t="s">
        <v>1636</v>
      </c>
      <c r="D181" s="64"/>
      <c r="E181" s="64"/>
      <c r="F181" s="125"/>
      <c r="G181" s="64"/>
      <c r="H181" s="127"/>
      <c r="I181" s="64"/>
      <c r="J181" s="64"/>
      <c r="K181" s="125"/>
      <c r="L181" s="64"/>
      <c r="M181" s="146"/>
      <c r="N181" s="64"/>
      <c r="O181" s="64"/>
      <c r="P181" s="125"/>
      <c r="Q181" s="64"/>
      <c r="R181" s="127"/>
      <c r="V181" s="128" t="str">
        <f t="shared" si="6"/>
        <v>--</v>
      </c>
      <c r="W181" s="128" t="str">
        <f t="shared" si="7"/>
        <v>--</v>
      </c>
      <c r="X181" s="128" t="str">
        <f t="shared" si="8"/>
        <v>--</v>
      </c>
    </row>
    <row r="182" spans="1:24" x14ac:dyDescent="0.25">
      <c r="A182" s="1358"/>
      <c r="B182" s="127"/>
      <c r="C182" t="s">
        <v>1636</v>
      </c>
      <c r="D182" s="64"/>
      <c r="E182" s="64"/>
      <c r="F182" s="125"/>
      <c r="G182" s="64"/>
      <c r="H182" s="127"/>
      <c r="I182" s="64"/>
      <c r="J182" s="64"/>
      <c r="K182" s="125"/>
      <c r="L182" s="64"/>
      <c r="M182" s="146"/>
      <c r="N182" s="64"/>
      <c r="O182" s="64"/>
      <c r="P182" s="125"/>
      <c r="Q182" s="64"/>
      <c r="R182" s="127"/>
      <c r="V182" s="128" t="str">
        <f t="shared" si="6"/>
        <v>--</v>
      </c>
      <c r="W182" s="128" t="str">
        <f t="shared" si="7"/>
        <v>--</v>
      </c>
      <c r="X182" s="128" t="str">
        <f t="shared" si="8"/>
        <v>--</v>
      </c>
    </row>
    <row r="183" spans="1:24" x14ac:dyDescent="0.25">
      <c r="A183" s="1358"/>
      <c r="B183" s="130"/>
      <c r="C183" t="s">
        <v>1636</v>
      </c>
      <c r="D183" s="132"/>
      <c r="E183" s="132"/>
      <c r="F183" s="133"/>
      <c r="G183" s="132"/>
      <c r="H183" s="134"/>
      <c r="I183" s="132"/>
      <c r="J183" s="132"/>
      <c r="K183" s="133"/>
      <c r="L183" s="132"/>
      <c r="M183" s="147"/>
      <c r="N183" s="131"/>
      <c r="O183" s="132"/>
      <c r="P183" s="133"/>
      <c r="Q183" s="132"/>
      <c r="R183" s="134"/>
      <c r="V183" s="128" t="str">
        <f t="shared" si="6"/>
        <v>--</v>
      </c>
      <c r="W183" s="128" t="str">
        <f t="shared" si="7"/>
        <v>--</v>
      </c>
      <c r="X183" s="128" t="str">
        <f t="shared" si="8"/>
        <v>--</v>
      </c>
    </row>
    <row r="184" spans="1:24" x14ac:dyDescent="0.25">
      <c r="A184" s="1358"/>
      <c r="B184" s="127" t="s">
        <v>1336</v>
      </c>
      <c r="C184" t="s">
        <v>1635</v>
      </c>
      <c r="D184" s="64">
        <v>1</v>
      </c>
      <c r="E184" s="64" t="s">
        <v>808</v>
      </c>
      <c r="F184" s="125">
        <v>1424</v>
      </c>
      <c r="G184" s="64">
        <v>8</v>
      </c>
      <c r="H184" s="127" t="s">
        <v>540</v>
      </c>
      <c r="I184" s="64">
        <v>1</v>
      </c>
      <c r="J184" s="64" t="s">
        <v>831</v>
      </c>
      <c r="K184" s="125">
        <v>2520</v>
      </c>
      <c r="L184" s="64">
        <v>8</v>
      </c>
      <c r="M184" s="146" t="s">
        <v>1690</v>
      </c>
      <c r="N184" s="64">
        <v>1</v>
      </c>
      <c r="O184" s="64" t="s">
        <v>849</v>
      </c>
      <c r="P184" s="125">
        <v>1416</v>
      </c>
      <c r="Q184" s="64">
        <v>8</v>
      </c>
      <c r="R184" s="127" t="s">
        <v>542</v>
      </c>
      <c r="V184" s="128" t="str">
        <f t="shared" si="6"/>
        <v>yes</v>
      </c>
      <c r="W184" s="128" t="str">
        <f t="shared" si="7"/>
        <v>yes</v>
      </c>
      <c r="X184" s="128" t="str">
        <f t="shared" si="8"/>
        <v>yes</v>
      </c>
    </row>
    <row r="185" spans="1:24" x14ac:dyDescent="0.25">
      <c r="A185" s="1358"/>
      <c r="B185" s="127" t="s">
        <v>1337</v>
      </c>
      <c r="C185" t="s">
        <v>1635</v>
      </c>
      <c r="D185" s="64">
        <v>2</v>
      </c>
      <c r="E185" s="64" t="s">
        <v>809</v>
      </c>
      <c r="F185" s="125">
        <v>1128</v>
      </c>
      <c r="G185" s="64">
        <v>8</v>
      </c>
      <c r="H185" s="127" t="s">
        <v>540</v>
      </c>
      <c r="I185" s="64">
        <v>2</v>
      </c>
      <c r="J185" s="64" t="s">
        <v>833</v>
      </c>
      <c r="K185" s="125">
        <v>1890</v>
      </c>
      <c r="L185" s="64">
        <v>6</v>
      </c>
      <c r="M185" s="146" t="s">
        <v>1690</v>
      </c>
      <c r="N185" s="64">
        <v>2</v>
      </c>
      <c r="O185" s="64" t="s">
        <v>850</v>
      </c>
      <c r="P185" s="125">
        <v>1062</v>
      </c>
      <c r="Q185" s="64">
        <v>6</v>
      </c>
      <c r="R185" s="127" t="s">
        <v>542</v>
      </c>
      <c r="V185" s="128" t="str">
        <f t="shared" si="6"/>
        <v>yes</v>
      </c>
      <c r="W185" s="128" t="str">
        <f t="shared" si="7"/>
        <v>yes</v>
      </c>
      <c r="X185" s="128" t="str">
        <f t="shared" si="8"/>
        <v>yes</v>
      </c>
    </row>
    <row r="186" spans="1:24" x14ac:dyDescent="0.25">
      <c r="A186" s="1358"/>
      <c r="B186" s="127" t="s">
        <v>1338</v>
      </c>
      <c r="C186" t="s">
        <v>1635</v>
      </c>
      <c r="D186" s="64">
        <v>3</v>
      </c>
      <c r="E186" s="64" t="s">
        <v>810</v>
      </c>
      <c r="F186" s="125">
        <v>1068</v>
      </c>
      <c r="G186" s="64">
        <v>6</v>
      </c>
      <c r="H186" s="127" t="s">
        <v>540</v>
      </c>
      <c r="I186" s="64">
        <v>3</v>
      </c>
      <c r="J186" s="64" t="s">
        <v>832</v>
      </c>
      <c r="K186" s="125">
        <v>1480</v>
      </c>
      <c r="L186" s="64">
        <v>8</v>
      </c>
      <c r="M186" s="146" t="s">
        <v>1690</v>
      </c>
      <c r="N186" s="64">
        <v>3</v>
      </c>
      <c r="O186" s="64" t="s">
        <v>852</v>
      </c>
      <c r="P186" s="125">
        <v>708</v>
      </c>
      <c r="Q186" s="64">
        <v>4</v>
      </c>
      <c r="R186" s="127" t="s">
        <v>542</v>
      </c>
      <c r="V186" s="128" t="str">
        <f t="shared" si="6"/>
        <v>yes</v>
      </c>
      <c r="W186" s="128" t="str">
        <f t="shared" si="7"/>
        <v>yes</v>
      </c>
      <c r="X186" s="128" t="str">
        <f t="shared" si="8"/>
        <v>yes</v>
      </c>
    </row>
    <row r="187" spans="1:24" x14ac:dyDescent="0.25">
      <c r="A187" s="1358"/>
      <c r="B187" s="127"/>
      <c r="C187" t="s">
        <v>1635</v>
      </c>
      <c r="D187" s="64">
        <v>4</v>
      </c>
      <c r="E187" s="64" t="s">
        <v>811</v>
      </c>
      <c r="F187" s="125">
        <v>846</v>
      </c>
      <c r="G187" s="64">
        <v>6</v>
      </c>
      <c r="H187" s="127" t="s">
        <v>540</v>
      </c>
      <c r="I187" s="64">
        <v>4</v>
      </c>
      <c r="J187" s="64" t="s">
        <v>835</v>
      </c>
      <c r="K187" s="125">
        <v>1260</v>
      </c>
      <c r="L187" s="64">
        <v>4</v>
      </c>
      <c r="M187" s="146" t="s">
        <v>1690</v>
      </c>
      <c r="N187" s="64">
        <v>4</v>
      </c>
      <c r="O187" s="64" t="s">
        <v>856</v>
      </c>
      <c r="P187" s="125">
        <v>354</v>
      </c>
      <c r="Q187" s="64">
        <v>2</v>
      </c>
      <c r="R187" s="127" t="s">
        <v>542</v>
      </c>
      <c r="V187" s="128" t="str">
        <f t="shared" si="6"/>
        <v>yes</v>
      </c>
      <c r="W187" s="128" t="str">
        <f t="shared" si="7"/>
        <v>yes</v>
      </c>
      <c r="X187" s="128" t="str">
        <f t="shared" si="8"/>
        <v>yes</v>
      </c>
    </row>
    <row r="188" spans="1:24" x14ac:dyDescent="0.25">
      <c r="A188" s="1358"/>
      <c r="B188" s="127"/>
      <c r="C188" t="s">
        <v>1635</v>
      </c>
      <c r="D188" s="64">
        <v>5</v>
      </c>
      <c r="E188" s="64" t="s">
        <v>814</v>
      </c>
      <c r="F188" s="125">
        <v>712</v>
      </c>
      <c r="G188" s="64">
        <v>4</v>
      </c>
      <c r="H188" s="127" t="s">
        <v>540</v>
      </c>
      <c r="I188" s="64">
        <v>5</v>
      </c>
      <c r="J188" s="64" t="s">
        <v>834</v>
      </c>
      <c r="K188" s="125">
        <v>1110</v>
      </c>
      <c r="L188" s="64">
        <v>6</v>
      </c>
      <c r="M188" s="146" t="s">
        <v>1690</v>
      </c>
      <c r="N188" s="64">
        <v>5</v>
      </c>
      <c r="O188" s="64" t="s">
        <v>1447</v>
      </c>
      <c r="P188" s="125">
        <v>354</v>
      </c>
      <c r="Q188" s="64"/>
      <c r="R188" s="127"/>
      <c r="V188" s="128" t="str">
        <f t="shared" si="6"/>
        <v>yes</v>
      </c>
      <c r="W188" s="128" t="str">
        <f t="shared" si="7"/>
        <v>yes</v>
      </c>
      <c r="X188" s="128" t="str">
        <f t="shared" si="8"/>
        <v>--</v>
      </c>
    </row>
    <row r="189" spans="1:24" x14ac:dyDescent="0.25">
      <c r="A189" s="1358"/>
      <c r="B189" s="127"/>
      <c r="C189" t="s">
        <v>1635</v>
      </c>
      <c r="D189" s="64">
        <v>6</v>
      </c>
      <c r="E189" s="64" t="s">
        <v>817</v>
      </c>
      <c r="F189" s="125">
        <v>564</v>
      </c>
      <c r="G189" s="64">
        <v>4</v>
      </c>
      <c r="H189" s="127" t="s">
        <v>540</v>
      </c>
      <c r="I189" s="64">
        <v>6</v>
      </c>
      <c r="J189" s="64" t="s">
        <v>836</v>
      </c>
      <c r="K189" s="125">
        <v>740</v>
      </c>
      <c r="L189" s="64">
        <v>4</v>
      </c>
      <c r="M189" s="146" t="s">
        <v>1690</v>
      </c>
      <c r="N189" s="64">
        <v>6</v>
      </c>
      <c r="O189" s="64" t="s">
        <v>1369</v>
      </c>
      <c r="P189" s="125">
        <v>252</v>
      </c>
      <c r="Q189" s="64">
        <v>3</v>
      </c>
      <c r="R189" s="127" t="s">
        <v>542</v>
      </c>
      <c r="V189" s="128" t="str">
        <f t="shared" si="6"/>
        <v>yes</v>
      </c>
      <c r="W189" s="128" t="str">
        <f t="shared" si="7"/>
        <v>yes</v>
      </c>
      <c r="X189" s="128" t="str">
        <f t="shared" si="8"/>
        <v>yes</v>
      </c>
    </row>
    <row r="190" spans="1:24" x14ac:dyDescent="0.25">
      <c r="A190" s="1358"/>
      <c r="B190" s="127"/>
      <c r="C190" t="s">
        <v>1635</v>
      </c>
      <c r="D190" s="64">
        <v>7</v>
      </c>
      <c r="E190" s="64" t="s">
        <v>1368</v>
      </c>
      <c r="F190" s="125">
        <v>550</v>
      </c>
      <c r="G190" s="64">
        <v>3</v>
      </c>
      <c r="H190" s="127" t="s">
        <v>932</v>
      </c>
      <c r="I190" s="64">
        <v>7</v>
      </c>
      <c r="J190" s="64" t="s">
        <v>837</v>
      </c>
      <c r="K190" s="125">
        <v>630</v>
      </c>
      <c r="L190" s="64">
        <v>2</v>
      </c>
      <c r="M190" s="146" t="s">
        <v>1690</v>
      </c>
      <c r="N190" s="64">
        <v>7</v>
      </c>
      <c r="O190" s="64" t="s">
        <v>595</v>
      </c>
      <c r="P190" s="125">
        <v>200</v>
      </c>
      <c r="Q190" s="64"/>
      <c r="R190" s="127"/>
      <c r="V190" s="128" t="str">
        <f t="shared" si="6"/>
        <v>yes</v>
      </c>
      <c r="W190" s="128" t="str">
        <f t="shared" si="7"/>
        <v>yes</v>
      </c>
      <c r="X190" s="128" t="str">
        <f t="shared" si="8"/>
        <v>--</v>
      </c>
    </row>
    <row r="191" spans="1:24" x14ac:dyDescent="0.25">
      <c r="A191" s="1358"/>
      <c r="B191" s="127"/>
      <c r="C191" t="s">
        <v>1635</v>
      </c>
      <c r="D191" s="64">
        <v>8</v>
      </c>
      <c r="E191" s="64" t="s">
        <v>820</v>
      </c>
      <c r="F191" s="125">
        <v>356</v>
      </c>
      <c r="G191" s="64">
        <v>2</v>
      </c>
      <c r="H191" s="127" t="s">
        <v>540</v>
      </c>
      <c r="I191" s="64">
        <v>8</v>
      </c>
      <c r="J191" s="64" t="s">
        <v>840</v>
      </c>
      <c r="K191" s="125">
        <v>370</v>
      </c>
      <c r="L191" s="64">
        <v>2</v>
      </c>
      <c r="M191" s="146" t="s">
        <v>1690</v>
      </c>
      <c r="N191" s="64">
        <v>8</v>
      </c>
      <c r="O191" s="64"/>
      <c r="P191" s="125"/>
      <c r="Q191" s="64"/>
      <c r="R191" s="127"/>
      <c r="V191" s="128" t="str">
        <f t="shared" si="6"/>
        <v>yes</v>
      </c>
      <c r="W191" s="128" t="str">
        <f t="shared" si="7"/>
        <v>yes</v>
      </c>
      <c r="X191" s="128" t="str">
        <f t="shared" si="8"/>
        <v>--</v>
      </c>
    </row>
    <row r="192" spans="1:24" x14ac:dyDescent="0.25">
      <c r="A192" s="1358"/>
      <c r="B192" s="127"/>
      <c r="C192" t="s">
        <v>1635</v>
      </c>
      <c r="D192" s="64">
        <v>9</v>
      </c>
      <c r="E192" s="64" t="s">
        <v>821</v>
      </c>
      <c r="F192" s="125">
        <v>262</v>
      </c>
      <c r="G192" s="64">
        <v>2</v>
      </c>
      <c r="H192" s="127" t="s">
        <v>540</v>
      </c>
      <c r="I192" s="64">
        <v>9</v>
      </c>
      <c r="J192" s="64" t="s">
        <v>1447</v>
      </c>
      <c r="K192" s="125">
        <v>252</v>
      </c>
      <c r="L192" s="64"/>
      <c r="M192" s="146"/>
      <c r="N192" s="64"/>
      <c r="O192" s="64"/>
      <c r="P192" s="125"/>
      <c r="Q192" s="64"/>
      <c r="R192" s="127"/>
      <c r="V192" s="128" t="str">
        <f t="shared" si="6"/>
        <v>yes</v>
      </c>
      <c r="W192" s="128" t="str">
        <f t="shared" si="7"/>
        <v>--</v>
      </c>
      <c r="X192" s="128" t="str">
        <f t="shared" si="8"/>
        <v>--</v>
      </c>
    </row>
    <row r="193" spans="1:24" x14ac:dyDescent="0.25">
      <c r="A193" s="1358"/>
      <c r="B193" s="127"/>
      <c r="C193" t="s">
        <v>1635</v>
      </c>
      <c r="D193" s="64">
        <v>10</v>
      </c>
      <c r="E193" s="64" t="s">
        <v>1447</v>
      </c>
      <c r="F193" s="125">
        <v>262</v>
      </c>
      <c r="G193" s="64"/>
      <c r="H193" s="127"/>
      <c r="I193" s="64"/>
      <c r="J193" s="64"/>
      <c r="K193" s="125"/>
      <c r="L193" s="64"/>
      <c r="M193" s="146"/>
      <c r="N193" s="64"/>
      <c r="O193" s="64"/>
      <c r="P193" s="125"/>
      <c r="Q193" s="64"/>
      <c r="R193" s="127"/>
      <c r="V193" s="128" t="str">
        <f t="shared" si="6"/>
        <v>--</v>
      </c>
      <c r="W193" s="128" t="str">
        <f t="shared" si="7"/>
        <v>--</v>
      </c>
      <c r="X193" s="128" t="str">
        <f t="shared" si="8"/>
        <v>--</v>
      </c>
    </row>
    <row r="194" spans="1:24" x14ac:dyDescent="0.25">
      <c r="A194" s="1358"/>
      <c r="B194" s="127"/>
      <c r="C194" t="s">
        <v>1635</v>
      </c>
      <c r="D194" s="64">
        <v>11</v>
      </c>
      <c r="E194" s="64" t="s">
        <v>595</v>
      </c>
      <c r="F194" s="125">
        <v>200</v>
      </c>
      <c r="G194" s="64"/>
      <c r="H194" s="127"/>
      <c r="I194" s="64"/>
      <c r="J194" s="64"/>
      <c r="K194" s="125"/>
      <c r="L194" s="64"/>
      <c r="M194" s="146"/>
      <c r="N194" s="64"/>
      <c r="O194" s="64"/>
      <c r="P194" s="125"/>
      <c r="Q194" s="64"/>
      <c r="R194" s="127"/>
      <c r="V194" s="128" t="str">
        <f t="shared" si="6"/>
        <v>--</v>
      </c>
      <c r="W194" s="128" t="str">
        <f t="shared" si="7"/>
        <v>--</v>
      </c>
      <c r="X194" s="128" t="str">
        <f t="shared" si="8"/>
        <v>--</v>
      </c>
    </row>
    <row r="195" spans="1:24" x14ac:dyDescent="0.25">
      <c r="A195" s="1358"/>
      <c r="B195" s="127"/>
      <c r="C195" t="s">
        <v>1635</v>
      </c>
      <c r="D195" s="64"/>
      <c r="E195" s="64"/>
      <c r="F195" s="125"/>
      <c r="G195" s="64"/>
      <c r="H195" s="127"/>
      <c r="I195" s="64"/>
      <c r="J195" s="64"/>
      <c r="K195" s="125"/>
      <c r="L195" s="64"/>
      <c r="M195" s="146"/>
      <c r="N195" s="64"/>
      <c r="O195" s="64"/>
      <c r="P195" s="125"/>
      <c r="Q195" s="64"/>
      <c r="R195" s="127"/>
      <c r="V195" s="128" t="str">
        <f t="shared" si="6"/>
        <v>--</v>
      </c>
      <c r="W195" s="128" t="str">
        <f t="shared" si="7"/>
        <v>--</v>
      </c>
      <c r="X195" s="128" t="str">
        <f t="shared" si="8"/>
        <v>--</v>
      </c>
    </row>
    <row r="196" spans="1:24" x14ac:dyDescent="0.25">
      <c r="A196" s="1358"/>
      <c r="B196" s="127"/>
      <c r="C196" t="s">
        <v>1635</v>
      </c>
      <c r="D196" s="64"/>
      <c r="E196" s="64"/>
      <c r="F196" s="125"/>
      <c r="G196" s="64"/>
      <c r="H196" s="127"/>
      <c r="I196" s="64"/>
      <c r="J196" s="64"/>
      <c r="K196" s="125"/>
      <c r="L196" s="64"/>
      <c r="M196" s="146"/>
      <c r="N196" s="64"/>
      <c r="O196" s="64"/>
      <c r="P196" s="125"/>
      <c r="Q196" s="64"/>
      <c r="R196" s="127"/>
      <c r="V196" s="128" t="str">
        <f t="shared" si="6"/>
        <v>--</v>
      </c>
      <c r="W196" s="128" t="str">
        <f t="shared" si="7"/>
        <v>--</v>
      </c>
      <c r="X196" s="128" t="str">
        <f t="shared" si="8"/>
        <v>--</v>
      </c>
    </row>
    <row r="197" spans="1:24" x14ac:dyDescent="0.25">
      <c r="A197" s="1358"/>
      <c r="B197" s="127"/>
      <c r="C197" t="s">
        <v>1635</v>
      </c>
      <c r="D197" s="64"/>
      <c r="E197" s="64"/>
      <c r="F197" s="125"/>
      <c r="G197" s="64"/>
      <c r="H197" s="127"/>
      <c r="I197" s="64"/>
      <c r="J197" s="64"/>
      <c r="K197" s="125"/>
      <c r="L197" s="64"/>
      <c r="M197" s="146"/>
      <c r="N197" s="64"/>
      <c r="O197" s="64"/>
      <c r="P197" s="125"/>
      <c r="Q197" s="64"/>
      <c r="R197" s="127"/>
      <c r="V197" s="128" t="str">
        <f t="shared" si="6"/>
        <v>--</v>
      </c>
      <c r="W197" s="128" t="str">
        <f t="shared" si="7"/>
        <v>--</v>
      </c>
      <c r="X197" s="128" t="str">
        <f t="shared" si="8"/>
        <v>--</v>
      </c>
    </row>
    <row r="198" spans="1:24" x14ac:dyDescent="0.25">
      <c r="A198" s="1358"/>
      <c r="B198" s="130"/>
      <c r="C198" t="s">
        <v>1635</v>
      </c>
      <c r="D198" s="132"/>
      <c r="E198" s="132"/>
      <c r="F198" s="133"/>
      <c r="G198" s="132"/>
      <c r="H198" s="134"/>
      <c r="I198" s="132"/>
      <c r="J198" s="132"/>
      <c r="K198" s="133"/>
      <c r="L198" s="132"/>
      <c r="M198" s="147"/>
      <c r="N198" s="132"/>
      <c r="O198" s="132"/>
      <c r="P198" s="133"/>
      <c r="Q198" s="132"/>
      <c r="R198" s="134"/>
      <c r="V198" s="128" t="str">
        <f t="shared" si="6"/>
        <v>--</v>
      </c>
      <c r="W198" s="128" t="str">
        <f t="shared" si="7"/>
        <v>--</v>
      </c>
      <c r="X198" s="128" t="str">
        <f t="shared" si="8"/>
        <v>--</v>
      </c>
    </row>
    <row r="199" spans="1:24" x14ac:dyDescent="0.25">
      <c r="A199" s="1358"/>
      <c r="B199" s="127" t="s">
        <v>1620</v>
      </c>
      <c r="C199" t="s">
        <v>1634</v>
      </c>
      <c r="D199" s="64">
        <v>1</v>
      </c>
      <c r="E199" s="64" t="s">
        <v>1674</v>
      </c>
      <c r="F199" s="125">
        <v>1485</v>
      </c>
      <c r="G199" s="64">
        <v>6</v>
      </c>
      <c r="H199" s="127" t="s">
        <v>1689</v>
      </c>
      <c r="I199" s="64">
        <v>1</v>
      </c>
      <c r="J199" s="64" t="s">
        <v>1683</v>
      </c>
      <c r="K199" s="125">
        <v>2307</v>
      </c>
      <c r="L199" s="64">
        <v>6</v>
      </c>
      <c r="M199" s="146" t="s">
        <v>1690</v>
      </c>
      <c r="N199" s="64">
        <v>1</v>
      </c>
      <c r="O199" s="64" t="s">
        <v>1686</v>
      </c>
      <c r="P199" s="125">
        <v>1479</v>
      </c>
      <c r="Q199" s="64">
        <v>6</v>
      </c>
      <c r="R199" s="127" t="s">
        <v>542</v>
      </c>
      <c r="V199" s="128" t="str">
        <f t="shared" si="6"/>
        <v>yes</v>
      </c>
      <c r="W199" s="128" t="str">
        <f t="shared" si="7"/>
        <v>yes</v>
      </c>
      <c r="X199" s="128" t="str">
        <f t="shared" si="8"/>
        <v>yes</v>
      </c>
    </row>
    <row r="200" spans="1:24" x14ac:dyDescent="0.25">
      <c r="A200" s="1358"/>
      <c r="B200" s="127"/>
      <c r="C200" t="s">
        <v>1634</v>
      </c>
      <c r="D200" s="64">
        <v>2</v>
      </c>
      <c r="E200" s="64" t="s">
        <v>1675</v>
      </c>
      <c r="F200" s="125">
        <v>1263</v>
      </c>
      <c r="G200" s="64">
        <v>6</v>
      </c>
      <c r="H200" s="127" t="s">
        <v>1689</v>
      </c>
      <c r="I200" s="64">
        <v>2</v>
      </c>
      <c r="J200" s="64" t="s">
        <v>1684</v>
      </c>
      <c r="K200" s="125">
        <v>1677</v>
      </c>
      <c r="L200" s="64">
        <v>4</v>
      </c>
      <c r="M200" s="146" t="s">
        <v>1690</v>
      </c>
      <c r="N200" s="64">
        <v>2</v>
      </c>
      <c r="O200" s="64" t="s">
        <v>1687</v>
      </c>
      <c r="P200" s="125">
        <v>1125</v>
      </c>
      <c r="Q200" s="64">
        <v>4</v>
      </c>
      <c r="R200" s="127" t="s">
        <v>542</v>
      </c>
      <c r="V200" s="128" t="str">
        <f t="shared" si="6"/>
        <v>yes</v>
      </c>
      <c r="W200" s="128" t="str">
        <f t="shared" si="7"/>
        <v>yes</v>
      </c>
      <c r="X200" s="128" t="str">
        <f t="shared" si="8"/>
        <v>yes</v>
      </c>
    </row>
    <row r="201" spans="1:24" x14ac:dyDescent="0.25">
      <c r="A201" s="1358"/>
      <c r="B201" s="127"/>
      <c r="C201" t="s">
        <v>1634</v>
      </c>
      <c r="D201" s="64">
        <v>3</v>
      </c>
      <c r="E201" s="64" t="s">
        <v>1676</v>
      </c>
      <c r="F201" s="125">
        <v>1129</v>
      </c>
      <c r="G201" s="64">
        <v>4</v>
      </c>
      <c r="H201" s="127" t="s">
        <v>1689</v>
      </c>
      <c r="I201" s="64">
        <v>3</v>
      </c>
      <c r="J201" s="64" t="s">
        <v>1680</v>
      </c>
      <c r="K201" s="125">
        <v>1527</v>
      </c>
      <c r="L201" s="64">
        <v>6</v>
      </c>
      <c r="M201" s="146" t="s">
        <v>1690</v>
      </c>
      <c r="N201" s="64">
        <v>3</v>
      </c>
      <c r="O201" s="64" t="s">
        <v>1688</v>
      </c>
      <c r="P201" s="125">
        <v>771</v>
      </c>
      <c r="Q201" s="64">
        <v>2</v>
      </c>
      <c r="R201" s="127" t="s">
        <v>542</v>
      </c>
      <c r="V201" s="128" t="str">
        <f t="shared" si="6"/>
        <v>yes</v>
      </c>
      <c r="W201" s="128" t="str">
        <f t="shared" si="7"/>
        <v>yes</v>
      </c>
      <c r="X201" s="128" t="str">
        <f t="shared" si="8"/>
        <v>yes</v>
      </c>
    </row>
    <row r="202" spans="1:24" x14ac:dyDescent="0.25">
      <c r="A202" s="1358"/>
      <c r="B202" s="127"/>
      <c r="C202" t="s">
        <v>1634</v>
      </c>
      <c r="D202" s="64">
        <v>4</v>
      </c>
      <c r="E202" s="64" t="s">
        <v>1677</v>
      </c>
      <c r="F202" s="125">
        <v>981</v>
      </c>
      <c r="G202" s="64">
        <v>4</v>
      </c>
      <c r="H202" s="127" t="s">
        <v>1689</v>
      </c>
      <c r="I202" s="64">
        <v>4</v>
      </c>
      <c r="J202" s="64" t="s">
        <v>1681</v>
      </c>
      <c r="K202" s="125">
        <v>1157</v>
      </c>
      <c r="L202" s="64">
        <v>4</v>
      </c>
      <c r="M202" s="146" t="s">
        <v>1690</v>
      </c>
      <c r="N202" s="64">
        <v>4</v>
      </c>
      <c r="O202" s="64" t="s">
        <v>1447</v>
      </c>
      <c r="P202" s="125">
        <v>417</v>
      </c>
      <c r="Q202" s="64"/>
      <c r="R202" s="127"/>
      <c r="V202" s="128" t="str">
        <f t="shared" si="6"/>
        <v>yes</v>
      </c>
      <c r="W202" s="128" t="str">
        <f t="shared" si="7"/>
        <v>yes</v>
      </c>
      <c r="X202" s="128" t="str">
        <f t="shared" si="8"/>
        <v>--</v>
      </c>
    </row>
    <row r="203" spans="1:24" x14ac:dyDescent="0.25">
      <c r="A203" s="1358"/>
      <c r="B203" s="127"/>
      <c r="C203" t="s">
        <v>1634</v>
      </c>
      <c r="D203" s="64">
        <v>5</v>
      </c>
      <c r="E203" s="64" t="s">
        <v>1678</v>
      </c>
      <c r="F203" s="125">
        <v>773</v>
      </c>
      <c r="G203" s="64">
        <v>2</v>
      </c>
      <c r="H203" s="127" t="s">
        <v>1689</v>
      </c>
      <c r="I203" s="64">
        <v>5</v>
      </c>
      <c r="J203" s="64" t="s">
        <v>1685</v>
      </c>
      <c r="K203" s="125">
        <v>1047</v>
      </c>
      <c r="L203" s="64">
        <v>2</v>
      </c>
      <c r="M203" s="146" t="s">
        <v>1690</v>
      </c>
      <c r="N203" s="64">
        <v>5</v>
      </c>
      <c r="O203" s="64" t="s">
        <v>595</v>
      </c>
      <c r="P203" s="125">
        <v>417</v>
      </c>
      <c r="Q203" s="64"/>
      <c r="R203" s="127"/>
      <c r="V203" s="128" t="str">
        <f t="shared" si="6"/>
        <v>yes</v>
      </c>
      <c r="W203" s="128" t="str">
        <f t="shared" si="7"/>
        <v>yes</v>
      </c>
      <c r="X203" s="128" t="str">
        <f t="shared" si="8"/>
        <v>--</v>
      </c>
    </row>
    <row r="204" spans="1:24" x14ac:dyDescent="0.25">
      <c r="A204" s="1358"/>
      <c r="B204" s="127"/>
      <c r="C204" t="s">
        <v>1634</v>
      </c>
      <c r="D204" s="64">
        <v>6</v>
      </c>
      <c r="E204" s="64" t="s">
        <v>1679</v>
      </c>
      <c r="F204" s="125">
        <v>679</v>
      </c>
      <c r="G204" s="64">
        <v>2</v>
      </c>
      <c r="H204" s="127" t="s">
        <v>1689</v>
      </c>
      <c r="I204" s="64">
        <v>6</v>
      </c>
      <c r="J204" s="64" t="s">
        <v>1682</v>
      </c>
      <c r="K204" s="125">
        <v>787</v>
      </c>
      <c r="L204" s="64">
        <v>2</v>
      </c>
      <c r="M204" s="146" t="s">
        <v>1690</v>
      </c>
      <c r="N204" s="64">
        <v>6</v>
      </c>
      <c r="O204" s="64"/>
      <c r="P204" s="125"/>
      <c r="Q204" s="64"/>
      <c r="R204" s="127"/>
      <c r="V204" s="128" t="str">
        <f t="shared" si="6"/>
        <v>yes</v>
      </c>
      <c r="W204" s="128" t="str">
        <f t="shared" si="7"/>
        <v>yes</v>
      </c>
      <c r="X204" s="128" t="str">
        <f t="shared" si="8"/>
        <v>--</v>
      </c>
    </row>
    <row r="205" spans="1:24" x14ac:dyDescent="0.25">
      <c r="A205" s="1358"/>
      <c r="B205" s="127"/>
      <c r="C205" t="s">
        <v>1634</v>
      </c>
      <c r="D205" s="64">
        <v>7</v>
      </c>
      <c r="E205" s="64" t="s">
        <v>1447</v>
      </c>
      <c r="F205" s="125">
        <v>417</v>
      </c>
      <c r="G205" s="64"/>
      <c r="H205" s="127"/>
      <c r="I205" s="64">
        <v>7</v>
      </c>
      <c r="J205" s="64" t="s">
        <v>1447</v>
      </c>
      <c r="K205" s="125">
        <v>417</v>
      </c>
      <c r="L205" s="64"/>
      <c r="M205" s="146"/>
      <c r="N205" s="64">
        <v>7</v>
      </c>
      <c r="O205" s="64"/>
      <c r="P205" s="125"/>
      <c r="Q205" s="64"/>
      <c r="R205" s="127"/>
      <c r="V205" s="128" t="str">
        <f t="shared" si="6"/>
        <v>--</v>
      </c>
      <c r="W205" s="128" t="str">
        <f t="shared" si="7"/>
        <v>--</v>
      </c>
      <c r="X205" s="128" t="str">
        <f t="shared" si="8"/>
        <v>--</v>
      </c>
    </row>
    <row r="206" spans="1:24" x14ac:dyDescent="0.25">
      <c r="A206" s="1358"/>
      <c r="B206" s="127"/>
      <c r="C206" t="s">
        <v>1634</v>
      </c>
      <c r="D206" s="64">
        <v>8</v>
      </c>
      <c r="E206" s="64" t="s">
        <v>595</v>
      </c>
      <c r="F206" s="125">
        <v>417</v>
      </c>
      <c r="G206" s="64"/>
      <c r="H206" s="127"/>
      <c r="I206" s="64">
        <v>8</v>
      </c>
      <c r="J206" s="64"/>
      <c r="K206" s="125"/>
      <c r="L206" s="64"/>
      <c r="M206" s="146"/>
      <c r="N206" s="64">
        <v>8</v>
      </c>
      <c r="O206" s="64"/>
      <c r="P206" s="125"/>
      <c r="Q206" s="64"/>
      <c r="R206" s="127"/>
      <c r="V206" s="128" t="str">
        <f t="shared" si="6"/>
        <v>--</v>
      </c>
      <c r="W206" s="128" t="str">
        <f t="shared" si="7"/>
        <v>--</v>
      </c>
      <c r="X206" s="128" t="str">
        <f t="shared" si="8"/>
        <v>--</v>
      </c>
    </row>
    <row r="207" spans="1:24" x14ac:dyDescent="0.25">
      <c r="A207" s="1358"/>
      <c r="B207" s="127"/>
      <c r="C207" t="s">
        <v>1634</v>
      </c>
      <c r="D207" s="64">
        <v>9</v>
      </c>
      <c r="E207" s="64"/>
      <c r="F207" s="125"/>
      <c r="G207" s="64"/>
      <c r="H207" s="127"/>
      <c r="I207" s="64">
        <v>9</v>
      </c>
      <c r="J207" s="64"/>
      <c r="K207" s="125"/>
      <c r="L207" s="64"/>
      <c r="M207" s="146"/>
      <c r="N207" s="64"/>
      <c r="O207" s="64"/>
      <c r="P207" s="125"/>
      <c r="Q207" s="64"/>
      <c r="R207" s="127"/>
      <c r="V207" s="128" t="str">
        <f t="shared" si="6"/>
        <v>--</v>
      </c>
      <c r="W207" s="128" t="str">
        <f t="shared" si="7"/>
        <v>--</v>
      </c>
      <c r="X207" s="128" t="str">
        <f t="shared" si="8"/>
        <v>--</v>
      </c>
    </row>
    <row r="208" spans="1:24" x14ac:dyDescent="0.25">
      <c r="A208" s="1358"/>
      <c r="B208" s="127"/>
      <c r="C208" t="s">
        <v>1634</v>
      </c>
      <c r="D208" s="64">
        <v>10</v>
      </c>
      <c r="E208" s="64"/>
      <c r="F208" s="125"/>
      <c r="G208" s="64"/>
      <c r="H208" s="127"/>
      <c r="I208" s="64"/>
      <c r="J208" s="64"/>
      <c r="K208" s="125"/>
      <c r="L208" s="64"/>
      <c r="M208" s="146"/>
      <c r="N208" s="64"/>
      <c r="O208" s="64"/>
      <c r="P208" s="125"/>
      <c r="Q208" s="64"/>
      <c r="R208" s="127"/>
      <c r="V208" s="128" t="str">
        <f t="shared" si="6"/>
        <v>--</v>
      </c>
      <c r="W208" s="128" t="str">
        <f t="shared" si="7"/>
        <v>--</v>
      </c>
      <c r="X208" s="128" t="str">
        <f t="shared" si="8"/>
        <v>--</v>
      </c>
    </row>
    <row r="209" spans="1:24" x14ac:dyDescent="0.25">
      <c r="A209" s="1358"/>
      <c r="B209" s="127"/>
      <c r="C209" t="s">
        <v>1634</v>
      </c>
      <c r="D209" s="64">
        <v>11</v>
      </c>
      <c r="E209" s="64"/>
      <c r="F209" s="125"/>
      <c r="G209" s="64"/>
      <c r="H209" s="127"/>
      <c r="I209" s="64"/>
      <c r="J209" s="64"/>
      <c r="K209" s="125"/>
      <c r="L209" s="64"/>
      <c r="M209" s="146"/>
      <c r="N209" s="64"/>
      <c r="O209" s="64"/>
      <c r="P209" s="125"/>
      <c r="Q209" s="64"/>
      <c r="R209" s="127"/>
      <c r="V209" s="128" t="str">
        <f t="shared" si="6"/>
        <v>--</v>
      </c>
      <c r="W209" s="128" t="str">
        <f t="shared" si="7"/>
        <v>--</v>
      </c>
      <c r="X209" s="128" t="str">
        <f t="shared" si="8"/>
        <v>--</v>
      </c>
    </row>
    <row r="210" spans="1:24" x14ac:dyDescent="0.25">
      <c r="A210" s="1358"/>
      <c r="B210" s="127"/>
      <c r="C210" t="s">
        <v>1634</v>
      </c>
      <c r="D210" s="64"/>
      <c r="E210" s="64"/>
      <c r="F210" s="125"/>
      <c r="G210" s="64"/>
      <c r="H210" s="127"/>
      <c r="I210" s="64"/>
      <c r="J210" s="64"/>
      <c r="K210" s="125"/>
      <c r="L210" s="64"/>
      <c r="M210" s="146"/>
      <c r="N210" s="64"/>
      <c r="O210" s="64"/>
      <c r="P210" s="125"/>
      <c r="Q210" s="64"/>
      <c r="R210" s="127"/>
      <c r="V210" s="128" t="str">
        <f t="shared" si="6"/>
        <v>--</v>
      </c>
      <c r="W210" s="128" t="str">
        <f t="shared" si="7"/>
        <v>--</v>
      </c>
      <c r="X210" s="128" t="str">
        <f t="shared" si="8"/>
        <v>--</v>
      </c>
    </row>
    <row r="211" spans="1:24" x14ac:dyDescent="0.25">
      <c r="A211" s="1358"/>
      <c r="B211" s="127"/>
      <c r="C211" t="s">
        <v>1634</v>
      </c>
      <c r="D211" s="64"/>
      <c r="E211" s="64"/>
      <c r="F211" s="125"/>
      <c r="G211" s="64"/>
      <c r="H211" s="127"/>
      <c r="I211" s="64"/>
      <c r="J211" s="64"/>
      <c r="K211" s="125"/>
      <c r="L211" s="64"/>
      <c r="M211" s="146"/>
      <c r="N211" s="64"/>
      <c r="O211" s="64"/>
      <c r="P211" s="125"/>
      <c r="Q211" s="64"/>
      <c r="R211" s="127"/>
      <c r="V211" s="128" t="str">
        <f t="shared" ref="V211:V274" si="9">IFERROR(IF((LEFT(RIGHT(E211,2),1)+RIGHT(LEFT(E211,2),1)+G211)/3=G211,"yes","NOOO"),"--")</f>
        <v>--</v>
      </c>
      <c r="W211" s="128" t="str">
        <f t="shared" ref="W211:W274" si="10">IFERROR(IF((LEFT(RIGHT(J211,2),1)+RIGHT(LEFT(J211,2),1)+L211)/3=L211,"yes","NOOO"),"--")</f>
        <v>--</v>
      </c>
      <c r="X211" s="128" t="str">
        <f t="shared" ref="X211:X274" si="11">IFERROR(IF((LEFT(RIGHT(O211,2),1)+RIGHT(LEFT(O211,2),1)+Q211)/3=Q211,"yes","NOOO"),"--")</f>
        <v>--</v>
      </c>
    </row>
    <row r="212" spans="1:24" x14ac:dyDescent="0.25">
      <c r="A212" s="1358"/>
      <c r="B212" s="127"/>
      <c r="C212" t="s">
        <v>1634</v>
      </c>
      <c r="D212" s="64"/>
      <c r="E212" s="64"/>
      <c r="F212" s="125"/>
      <c r="G212" s="64"/>
      <c r="H212" s="127"/>
      <c r="I212" s="64"/>
      <c r="J212" s="64"/>
      <c r="K212" s="125"/>
      <c r="L212" s="64"/>
      <c r="M212" s="146"/>
      <c r="N212" s="64"/>
      <c r="O212" s="64"/>
      <c r="P212" s="125"/>
      <c r="Q212" s="64"/>
      <c r="R212" s="127"/>
      <c r="V212" s="128" t="str">
        <f t="shared" si="9"/>
        <v>--</v>
      </c>
      <c r="W212" s="128" t="str">
        <f t="shared" si="10"/>
        <v>--</v>
      </c>
      <c r="X212" s="128" t="str">
        <f t="shared" si="11"/>
        <v>--</v>
      </c>
    </row>
    <row r="213" spans="1:24" ht="15.75" thickBot="1" x14ac:dyDescent="0.3">
      <c r="A213" s="1358"/>
      <c r="B213" s="135"/>
      <c r="C213" t="s">
        <v>1634</v>
      </c>
      <c r="D213" s="136"/>
      <c r="E213" s="136"/>
      <c r="F213" s="137"/>
      <c r="G213" s="136"/>
      <c r="H213" s="138"/>
      <c r="I213" s="136"/>
      <c r="J213" s="136"/>
      <c r="K213" s="137"/>
      <c r="L213" s="136"/>
      <c r="M213" s="148"/>
      <c r="N213" s="136"/>
      <c r="O213" s="136"/>
      <c r="P213" s="137"/>
      <c r="Q213" s="136"/>
      <c r="R213" s="138"/>
      <c r="V213" s="128" t="str">
        <f t="shared" si="9"/>
        <v>--</v>
      </c>
      <c r="W213" s="128" t="str">
        <f t="shared" si="10"/>
        <v>--</v>
      </c>
      <c r="X213" s="128" t="str">
        <f t="shared" si="11"/>
        <v>--</v>
      </c>
    </row>
    <row r="214" spans="1:24" ht="14.45" customHeight="1" x14ac:dyDescent="0.25">
      <c r="A214" s="1360" t="s">
        <v>545</v>
      </c>
      <c r="B214" s="127"/>
      <c r="D214" s="64"/>
      <c r="E214" s="64"/>
      <c r="F214" s="125"/>
      <c r="G214" s="64"/>
      <c r="H214" s="127"/>
      <c r="I214" s="64"/>
      <c r="J214" s="64"/>
      <c r="K214" s="125"/>
      <c r="L214" s="64"/>
      <c r="M214" s="146"/>
      <c r="N214" s="64"/>
      <c r="O214" s="64"/>
      <c r="P214" s="125"/>
      <c r="Q214" s="64"/>
      <c r="R214" s="127"/>
      <c r="V214" s="128" t="str">
        <f t="shared" si="9"/>
        <v>--</v>
      </c>
      <c r="W214" s="128" t="str">
        <f t="shared" si="10"/>
        <v>--</v>
      </c>
      <c r="X214" s="128" t="str">
        <f t="shared" si="11"/>
        <v>--</v>
      </c>
    </row>
    <row r="215" spans="1:24" x14ac:dyDescent="0.25">
      <c r="A215" s="1361"/>
      <c r="B215" s="130"/>
      <c r="D215" s="132"/>
      <c r="E215" s="132"/>
      <c r="F215" s="133"/>
      <c r="G215" s="132"/>
      <c r="H215" s="134"/>
      <c r="I215" s="132"/>
      <c r="J215" s="132"/>
      <c r="K215" s="133"/>
      <c r="L215" s="132"/>
      <c r="M215" s="147"/>
      <c r="N215" s="132"/>
      <c r="O215" s="132"/>
      <c r="P215" s="133"/>
      <c r="Q215" s="132"/>
      <c r="R215" s="134"/>
      <c r="V215" s="128" t="str">
        <f t="shared" si="9"/>
        <v>--</v>
      </c>
      <c r="W215" s="128" t="str">
        <f t="shared" si="10"/>
        <v>--</v>
      </c>
      <c r="X215" s="128" t="str">
        <f t="shared" si="11"/>
        <v>--</v>
      </c>
    </row>
    <row r="216" spans="1:24" ht="15.75" thickBot="1" x14ac:dyDescent="0.3">
      <c r="A216" s="1362"/>
      <c r="B216" s="135"/>
      <c r="D216" s="136"/>
      <c r="E216" s="136"/>
      <c r="F216" s="137"/>
      <c r="G216" s="136"/>
      <c r="H216" s="138"/>
      <c r="I216" s="136"/>
      <c r="J216" s="136"/>
      <c r="K216" s="137"/>
      <c r="L216" s="136"/>
      <c r="M216" s="148"/>
      <c r="N216" s="136"/>
      <c r="O216" s="136"/>
      <c r="P216" s="137"/>
      <c r="Q216" s="136"/>
      <c r="R216" s="138"/>
      <c r="V216" s="128" t="str">
        <f t="shared" si="9"/>
        <v>--</v>
      </c>
      <c r="W216" s="128" t="str">
        <f t="shared" si="10"/>
        <v>--</v>
      </c>
      <c r="X216" s="128" t="str">
        <f t="shared" si="11"/>
        <v>--</v>
      </c>
    </row>
    <row r="217" spans="1:24" x14ac:dyDescent="0.25">
      <c r="A217" s="1351" t="s">
        <v>1523</v>
      </c>
      <c r="B217" s="127" t="s">
        <v>1556</v>
      </c>
      <c r="C217" t="s">
        <v>1633</v>
      </c>
      <c r="D217" s="64">
        <v>1</v>
      </c>
      <c r="E217" s="64" t="s">
        <v>1572</v>
      </c>
      <c r="F217" s="125">
        <v>1424</v>
      </c>
      <c r="G217" s="64">
        <v>8</v>
      </c>
      <c r="H217" s="127" t="s">
        <v>540</v>
      </c>
      <c r="I217" s="64">
        <v>1</v>
      </c>
      <c r="J217" s="64" t="s">
        <v>1575</v>
      </c>
      <c r="K217" s="125">
        <v>2520</v>
      </c>
      <c r="L217" s="64">
        <v>8</v>
      </c>
      <c r="M217" s="146" t="s">
        <v>1690</v>
      </c>
      <c r="N217" s="64">
        <v>1</v>
      </c>
      <c r="O217" s="64" t="s">
        <v>1576</v>
      </c>
      <c r="P217" s="125">
        <v>1416</v>
      </c>
      <c r="Q217" s="64">
        <v>8</v>
      </c>
      <c r="R217" s="127" t="s">
        <v>542</v>
      </c>
      <c r="V217" s="128" t="str">
        <f t="shared" si="9"/>
        <v>yes</v>
      </c>
      <c r="W217" s="128" t="str">
        <f t="shared" si="10"/>
        <v>yes</v>
      </c>
      <c r="X217" s="128" t="str">
        <f t="shared" si="11"/>
        <v>yes</v>
      </c>
    </row>
    <row r="218" spans="1:24" x14ac:dyDescent="0.25">
      <c r="A218" s="1352"/>
      <c r="B218" s="127" t="s">
        <v>1557</v>
      </c>
      <c r="C218" t="s">
        <v>1633</v>
      </c>
      <c r="D218" s="64">
        <v>2</v>
      </c>
      <c r="E218" s="64" t="s">
        <v>1573</v>
      </c>
      <c r="F218" s="125">
        <v>1128</v>
      </c>
      <c r="G218" s="64">
        <v>8</v>
      </c>
      <c r="H218" s="127" t="s">
        <v>540</v>
      </c>
      <c r="I218" s="64">
        <v>2</v>
      </c>
      <c r="J218" s="64" t="s">
        <v>1579</v>
      </c>
      <c r="K218" s="125">
        <v>1890</v>
      </c>
      <c r="L218" s="64">
        <v>6</v>
      </c>
      <c r="M218" s="146" t="s">
        <v>1690</v>
      </c>
      <c r="N218" s="64">
        <v>2</v>
      </c>
      <c r="O218" s="64" t="s">
        <v>1578</v>
      </c>
      <c r="P218" s="125">
        <v>1062</v>
      </c>
      <c r="Q218" s="64">
        <v>6</v>
      </c>
      <c r="R218" s="127" t="s">
        <v>542</v>
      </c>
      <c r="V218" s="128" t="str">
        <f t="shared" si="9"/>
        <v>yes</v>
      </c>
      <c r="W218" s="128" t="str">
        <f t="shared" si="10"/>
        <v>yes</v>
      </c>
      <c r="X218" s="128" t="str">
        <f t="shared" si="11"/>
        <v>yes</v>
      </c>
    </row>
    <row r="219" spans="1:24" x14ac:dyDescent="0.25">
      <c r="A219" s="1352"/>
      <c r="B219" s="127"/>
      <c r="C219" t="s">
        <v>1633</v>
      </c>
      <c r="D219" s="64">
        <v>3</v>
      </c>
      <c r="E219" s="64" t="s">
        <v>1574</v>
      </c>
      <c r="F219" s="125">
        <v>1068</v>
      </c>
      <c r="G219" s="64">
        <v>6</v>
      </c>
      <c r="H219" s="127" t="s">
        <v>540</v>
      </c>
      <c r="I219" s="64">
        <v>3</v>
      </c>
      <c r="J219" s="64" t="s">
        <v>1577</v>
      </c>
      <c r="K219" s="125">
        <v>1480</v>
      </c>
      <c r="L219" s="64">
        <v>8</v>
      </c>
      <c r="M219" s="146" t="s">
        <v>1690</v>
      </c>
      <c r="N219" s="64">
        <v>3</v>
      </c>
      <c r="O219" s="64" t="s">
        <v>1582</v>
      </c>
      <c r="P219" s="125">
        <v>708</v>
      </c>
      <c r="Q219" s="64">
        <v>4</v>
      </c>
      <c r="R219" s="127" t="s">
        <v>542</v>
      </c>
      <c r="V219" s="128" t="str">
        <f t="shared" si="9"/>
        <v>yes</v>
      </c>
      <c r="W219" s="128" t="str">
        <f t="shared" si="10"/>
        <v>yes</v>
      </c>
      <c r="X219" s="128" t="str">
        <f t="shared" si="11"/>
        <v>yes</v>
      </c>
    </row>
    <row r="220" spans="1:24" x14ac:dyDescent="0.25">
      <c r="A220" s="1352"/>
      <c r="B220" s="127"/>
      <c r="C220" t="s">
        <v>1633</v>
      </c>
      <c r="D220" s="64">
        <v>4</v>
      </c>
      <c r="E220" s="64" t="s">
        <v>1733</v>
      </c>
      <c r="F220" s="125">
        <v>875</v>
      </c>
      <c r="G220" s="64">
        <v>2</v>
      </c>
      <c r="H220" s="127" t="s">
        <v>932</v>
      </c>
      <c r="I220" s="64">
        <v>4</v>
      </c>
      <c r="J220" s="64" t="s">
        <v>1584</v>
      </c>
      <c r="K220" s="125">
        <v>1260</v>
      </c>
      <c r="L220" s="64">
        <v>4</v>
      </c>
      <c r="M220" s="146" t="s">
        <v>1690</v>
      </c>
      <c r="N220" s="64">
        <v>4</v>
      </c>
      <c r="O220" s="64" t="s">
        <v>595</v>
      </c>
      <c r="P220" s="125">
        <v>550</v>
      </c>
      <c r="Q220" s="64"/>
      <c r="R220" s="127"/>
      <c r="V220" s="128" t="str">
        <f t="shared" si="9"/>
        <v>yes</v>
      </c>
      <c r="W220" s="128" t="str">
        <f t="shared" si="10"/>
        <v>yes</v>
      </c>
      <c r="X220" s="128" t="str">
        <f t="shared" si="11"/>
        <v>--</v>
      </c>
    </row>
    <row r="221" spans="1:24" x14ac:dyDescent="0.25">
      <c r="A221" s="1352"/>
      <c r="B221" s="127"/>
      <c r="C221" t="s">
        <v>1633</v>
      </c>
      <c r="D221" s="64">
        <v>5</v>
      </c>
      <c r="E221" s="64" t="s">
        <v>1580</v>
      </c>
      <c r="F221" s="125">
        <v>846</v>
      </c>
      <c r="G221" s="64">
        <v>6</v>
      </c>
      <c r="H221" s="127" t="s">
        <v>540</v>
      </c>
      <c r="I221" s="64">
        <v>5</v>
      </c>
      <c r="J221" s="64" t="s">
        <v>1581</v>
      </c>
      <c r="K221" s="125">
        <v>1110</v>
      </c>
      <c r="L221" s="64">
        <v>6</v>
      </c>
      <c r="M221" s="146" t="s">
        <v>1690</v>
      </c>
      <c r="N221" s="64">
        <v>5</v>
      </c>
      <c r="O221" s="64" t="s">
        <v>1587</v>
      </c>
      <c r="P221" s="125">
        <v>354</v>
      </c>
      <c r="Q221" s="64">
        <v>2</v>
      </c>
      <c r="R221" s="127" t="s">
        <v>542</v>
      </c>
      <c r="V221" s="128" t="str">
        <f t="shared" si="9"/>
        <v>yes</v>
      </c>
      <c r="W221" s="128" t="str">
        <f t="shared" si="10"/>
        <v>yes</v>
      </c>
      <c r="X221" s="128" t="str">
        <f t="shared" si="11"/>
        <v>yes</v>
      </c>
    </row>
    <row r="222" spans="1:24" x14ac:dyDescent="0.25">
      <c r="A222" s="1352"/>
      <c r="B222" s="127"/>
      <c r="C222" t="s">
        <v>1633</v>
      </c>
      <c r="D222" s="64">
        <v>6</v>
      </c>
      <c r="E222" s="64" t="s">
        <v>1583</v>
      </c>
      <c r="F222" s="125">
        <v>712</v>
      </c>
      <c r="G222" s="64">
        <v>4</v>
      </c>
      <c r="H222" s="127" t="s">
        <v>540</v>
      </c>
      <c r="I222" s="64">
        <v>6</v>
      </c>
      <c r="J222" s="64" t="s">
        <v>1586</v>
      </c>
      <c r="K222" s="125">
        <v>740</v>
      </c>
      <c r="L222" s="64">
        <v>4</v>
      </c>
      <c r="M222" s="146" t="s">
        <v>1690</v>
      </c>
      <c r="N222" s="64">
        <v>6</v>
      </c>
      <c r="O222" s="64"/>
      <c r="P222" s="125"/>
      <c r="Q222" s="64"/>
      <c r="R222" s="127"/>
      <c r="V222" s="128" t="str">
        <f t="shared" si="9"/>
        <v>yes</v>
      </c>
      <c r="W222" s="128" t="str">
        <f t="shared" si="10"/>
        <v>yes</v>
      </c>
      <c r="X222" s="128" t="str">
        <f t="shared" si="11"/>
        <v>--</v>
      </c>
    </row>
    <row r="223" spans="1:24" x14ac:dyDescent="0.25">
      <c r="A223" s="1352"/>
      <c r="B223" s="127"/>
      <c r="C223" t="s">
        <v>1633</v>
      </c>
      <c r="D223" s="64">
        <v>7</v>
      </c>
      <c r="E223" s="64" t="s">
        <v>1585</v>
      </c>
      <c r="F223" s="125">
        <v>564</v>
      </c>
      <c r="G223" s="64">
        <v>4</v>
      </c>
      <c r="H223" s="127" t="s">
        <v>540</v>
      </c>
      <c r="I223" s="64">
        <v>7</v>
      </c>
      <c r="J223" s="64" t="s">
        <v>1589</v>
      </c>
      <c r="K223" s="125">
        <v>630</v>
      </c>
      <c r="L223" s="64">
        <v>2</v>
      </c>
      <c r="M223" s="146" t="s">
        <v>1690</v>
      </c>
      <c r="N223" s="64">
        <v>7</v>
      </c>
      <c r="O223" s="64"/>
      <c r="P223" s="125"/>
      <c r="Q223" s="64"/>
      <c r="R223" s="127"/>
      <c r="V223" s="128" t="str">
        <f t="shared" si="9"/>
        <v>yes</v>
      </c>
      <c r="W223" s="128" t="str">
        <f t="shared" si="10"/>
        <v>yes</v>
      </c>
      <c r="X223" s="128" t="str">
        <f t="shared" si="11"/>
        <v>--</v>
      </c>
    </row>
    <row r="224" spans="1:24" x14ac:dyDescent="0.25">
      <c r="A224" s="1352"/>
      <c r="B224" s="127"/>
      <c r="C224" t="s">
        <v>1633</v>
      </c>
      <c r="D224" s="64">
        <v>8</v>
      </c>
      <c r="E224" s="64" t="s">
        <v>595</v>
      </c>
      <c r="F224" s="125">
        <v>550</v>
      </c>
      <c r="G224" s="64"/>
      <c r="H224" s="127"/>
      <c r="I224" s="64">
        <v>8</v>
      </c>
      <c r="J224" s="64" t="s">
        <v>1591</v>
      </c>
      <c r="K224" s="125">
        <v>370</v>
      </c>
      <c r="L224" s="64">
        <v>2</v>
      </c>
      <c r="M224" s="146" t="s">
        <v>1690</v>
      </c>
      <c r="N224" s="64">
        <v>8</v>
      </c>
      <c r="O224" s="64"/>
      <c r="P224" s="125"/>
      <c r="Q224" s="64"/>
      <c r="R224" s="127"/>
      <c r="V224" s="128" t="str">
        <f t="shared" si="9"/>
        <v>--</v>
      </c>
      <c r="W224" s="128" t="str">
        <f t="shared" si="10"/>
        <v>yes</v>
      </c>
      <c r="X224" s="128" t="str">
        <f t="shared" si="11"/>
        <v>--</v>
      </c>
    </row>
    <row r="225" spans="1:24" x14ac:dyDescent="0.25">
      <c r="A225" s="1352"/>
      <c r="B225" s="127"/>
      <c r="C225" t="s">
        <v>1633</v>
      </c>
      <c r="D225" s="64">
        <v>9</v>
      </c>
      <c r="E225" s="64" t="s">
        <v>1588</v>
      </c>
      <c r="F225" s="125">
        <v>356</v>
      </c>
      <c r="G225" s="64">
        <v>2</v>
      </c>
      <c r="H225" s="127" t="s">
        <v>540</v>
      </c>
      <c r="I225" s="64">
        <v>9</v>
      </c>
      <c r="J225" s="64"/>
      <c r="K225" s="125"/>
      <c r="L225" s="64"/>
      <c r="M225" s="146"/>
      <c r="N225" s="64">
        <v>9</v>
      </c>
      <c r="O225" s="64"/>
      <c r="P225" s="125"/>
      <c r="Q225" s="64"/>
      <c r="R225" s="127"/>
      <c r="V225" s="128" t="str">
        <f t="shared" si="9"/>
        <v>yes</v>
      </c>
      <c r="W225" s="128" t="str">
        <f t="shared" si="10"/>
        <v>--</v>
      </c>
      <c r="X225" s="128" t="str">
        <f t="shared" si="11"/>
        <v>--</v>
      </c>
    </row>
    <row r="226" spans="1:24" x14ac:dyDescent="0.25">
      <c r="A226" s="1352"/>
      <c r="B226" s="127"/>
      <c r="C226" t="s">
        <v>1633</v>
      </c>
      <c r="D226" s="64">
        <v>10</v>
      </c>
      <c r="E226" s="64" t="s">
        <v>1590</v>
      </c>
      <c r="F226" s="125">
        <v>262</v>
      </c>
      <c r="G226" s="64">
        <v>2</v>
      </c>
      <c r="H226" s="127" t="s">
        <v>540</v>
      </c>
      <c r="I226" s="64"/>
      <c r="J226" s="64"/>
      <c r="K226" s="125"/>
      <c r="L226" s="64"/>
      <c r="M226" s="146"/>
      <c r="N226" s="64"/>
      <c r="O226" s="64"/>
      <c r="P226" s="125"/>
      <c r="Q226" s="64"/>
      <c r="R226" s="127"/>
      <c r="V226" s="128" t="str">
        <f t="shared" si="9"/>
        <v>yes</v>
      </c>
      <c r="W226" s="128" t="str">
        <f t="shared" si="10"/>
        <v>--</v>
      </c>
      <c r="X226" s="128" t="str">
        <f t="shared" si="11"/>
        <v>--</v>
      </c>
    </row>
    <row r="227" spans="1:24" ht="15.75" thickBot="1" x14ac:dyDescent="0.3">
      <c r="A227" s="1359"/>
      <c r="B227" s="135"/>
      <c r="C227" t="s">
        <v>1633</v>
      </c>
      <c r="D227" s="136"/>
      <c r="E227" s="136"/>
      <c r="F227" s="137"/>
      <c r="G227" s="136"/>
      <c r="H227" s="138"/>
      <c r="I227" s="136"/>
      <c r="J227" s="136"/>
      <c r="K227" s="137"/>
      <c r="L227" s="136"/>
      <c r="M227" s="148"/>
      <c r="N227" s="136"/>
      <c r="O227" s="136"/>
      <c r="P227" s="137"/>
      <c r="Q227" s="136"/>
      <c r="R227" s="138"/>
      <c r="V227" s="128" t="str">
        <f t="shared" si="9"/>
        <v>--</v>
      </c>
      <c r="W227" s="128" t="str">
        <f t="shared" si="10"/>
        <v>--</v>
      </c>
      <c r="X227" s="128" t="str">
        <f t="shared" si="11"/>
        <v>--</v>
      </c>
    </row>
    <row r="228" spans="1:24" ht="14.45" customHeight="1" x14ac:dyDescent="0.25">
      <c r="A228" s="1351" t="s">
        <v>1524</v>
      </c>
      <c r="B228" s="127" t="s">
        <v>1563</v>
      </c>
      <c r="C228" t="s">
        <v>1632</v>
      </c>
      <c r="D228" s="64">
        <v>1</v>
      </c>
      <c r="E228" s="64" t="s">
        <v>808</v>
      </c>
      <c r="F228" s="125">
        <v>1424</v>
      </c>
      <c r="G228" s="64">
        <v>8</v>
      </c>
      <c r="H228" s="127" t="s">
        <v>540</v>
      </c>
      <c r="I228" s="64">
        <v>1</v>
      </c>
      <c r="J228" s="64" t="s">
        <v>1575</v>
      </c>
      <c r="K228" s="125">
        <v>2520</v>
      </c>
      <c r="L228" s="64">
        <v>8</v>
      </c>
      <c r="M228" s="146" t="s">
        <v>1690</v>
      </c>
      <c r="N228" s="64">
        <v>1</v>
      </c>
      <c r="O228" s="64" t="s">
        <v>849</v>
      </c>
      <c r="P228" s="125">
        <v>1416</v>
      </c>
      <c r="Q228" s="64">
        <v>8</v>
      </c>
      <c r="R228" s="127" t="s">
        <v>542</v>
      </c>
      <c r="V228" s="128" t="str">
        <f t="shared" si="9"/>
        <v>yes</v>
      </c>
      <c r="W228" s="128" t="str">
        <f t="shared" si="10"/>
        <v>yes</v>
      </c>
      <c r="X228" s="128" t="str">
        <f t="shared" si="11"/>
        <v>yes</v>
      </c>
    </row>
    <row r="229" spans="1:24" x14ac:dyDescent="0.25">
      <c r="A229" s="1352"/>
      <c r="B229" s="127" t="s">
        <v>1592</v>
      </c>
      <c r="C229" t="s">
        <v>1632</v>
      </c>
      <c r="D229" s="64">
        <v>2</v>
      </c>
      <c r="E229" s="64" t="s">
        <v>809</v>
      </c>
      <c r="F229" s="125">
        <v>1128</v>
      </c>
      <c r="G229" s="64">
        <v>8</v>
      </c>
      <c r="H229" s="127" t="s">
        <v>540</v>
      </c>
      <c r="I229" s="64">
        <v>2</v>
      </c>
      <c r="J229" s="64" t="s">
        <v>1579</v>
      </c>
      <c r="K229" s="125">
        <v>1890</v>
      </c>
      <c r="L229" s="64">
        <v>6</v>
      </c>
      <c r="M229" s="146" t="s">
        <v>1690</v>
      </c>
      <c r="N229" s="64">
        <v>2</v>
      </c>
      <c r="O229" s="64" t="s">
        <v>850</v>
      </c>
      <c r="P229" s="125">
        <v>1062</v>
      </c>
      <c r="Q229" s="64">
        <v>6</v>
      </c>
      <c r="R229" s="127" t="s">
        <v>542</v>
      </c>
      <c r="V229" s="128" t="str">
        <f t="shared" si="9"/>
        <v>yes</v>
      </c>
      <c r="W229" s="128" t="str">
        <f t="shared" si="10"/>
        <v>yes</v>
      </c>
      <c r="X229" s="128" t="str">
        <f t="shared" si="11"/>
        <v>yes</v>
      </c>
    </row>
    <row r="230" spans="1:24" x14ac:dyDescent="0.25">
      <c r="A230" s="1352"/>
      <c r="B230" s="127" t="s">
        <v>1564</v>
      </c>
      <c r="C230" t="s">
        <v>1632</v>
      </c>
      <c r="D230" s="64">
        <v>3</v>
      </c>
      <c r="E230" s="64" t="s">
        <v>810</v>
      </c>
      <c r="F230" s="125">
        <v>1068</v>
      </c>
      <c r="G230" s="64">
        <v>6</v>
      </c>
      <c r="H230" s="127" t="s">
        <v>540</v>
      </c>
      <c r="I230" s="64">
        <v>3</v>
      </c>
      <c r="J230" s="64" t="s">
        <v>1577</v>
      </c>
      <c r="K230" s="125">
        <v>1480</v>
      </c>
      <c r="L230" s="64">
        <v>8</v>
      </c>
      <c r="M230" s="146" t="s">
        <v>1690</v>
      </c>
      <c r="N230" s="64">
        <v>3</v>
      </c>
      <c r="O230" s="64" t="s">
        <v>852</v>
      </c>
      <c r="P230" s="125">
        <v>708</v>
      </c>
      <c r="Q230" s="64">
        <v>4</v>
      </c>
      <c r="R230" s="127" t="s">
        <v>542</v>
      </c>
      <c r="V230" s="128" t="str">
        <f t="shared" si="9"/>
        <v>yes</v>
      </c>
      <c r="W230" s="128" t="str">
        <f t="shared" si="10"/>
        <v>yes</v>
      </c>
      <c r="X230" s="128" t="str">
        <f t="shared" si="11"/>
        <v>yes</v>
      </c>
    </row>
    <row r="231" spans="1:24" x14ac:dyDescent="0.25">
      <c r="A231" s="1352"/>
      <c r="B231" s="127"/>
      <c r="C231" t="s">
        <v>1632</v>
      </c>
      <c r="D231" s="64">
        <v>4</v>
      </c>
      <c r="E231" s="64" t="s">
        <v>811</v>
      </c>
      <c r="F231" s="125">
        <v>846</v>
      </c>
      <c r="G231" s="64">
        <v>6</v>
      </c>
      <c r="H231" s="127" t="s">
        <v>540</v>
      </c>
      <c r="I231" s="64">
        <v>4</v>
      </c>
      <c r="J231" s="64" t="s">
        <v>1584</v>
      </c>
      <c r="K231" s="125">
        <v>1260</v>
      </c>
      <c r="L231" s="64">
        <v>4</v>
      </c>
      <c r="M231" s="146" t="s">
        <v>1690</v>
      </c>
      <c r="N231" s="64">
        <v>4</v>
      </c>
      <c r="O231" s="64" t="s">
        <v>856</v>
      </c>
      <c r="P231" s="125">
        <v>354</v>
      </c>
      <c r="Q231" s="64">
        <v>2</v>
      </c>
      <c r="R231" s="127" t="s">
        <v>542</v>
      </c>
      <c r="V231" s="128" t="str">
        <f t="shared" si="9"/>
        <v>yes</v>
      </c>
      <c r="W231" s="128" t="str">
        <f t="shared" si="10"/>
        <v>yes</v>
      </c>
      <c r="X231" s="128" t="str">
        <f t="shared" si="11"/>
        <v>yes</v>
      </c>
    </row>
    <row r="232" spans="1:24" x14ac:dyDescent="0.25">
      <c r="A232" s="1352"/>
      <c r="B232" s="127"/>
      <c r="C232" t="s">
        <v>1632</v>
      </c>
      <c r="D232" s="64">
        <v>5</v>
      </c>
      <c r="E232" s="64" t="s">
        <v>814</v>
      </c>
      <c r="F232" s="125">
        <v>712</v>
      </c>
      <c r="G232" s="64">
        <v>4</v>
      </c>
      <c r="H232" s="127" t="s">
        <v>540</v>
      </c>
      <c r="I232" s="64">
        <v>5</v>
      </c>
      <c r="J232" s="64" t="s">
        <v>1581</v>
      </c>
      <c r="K232" s="125">
        <v>1110</v>
      </c>
      <c r="L232" s="64">
        <v>6</v>
      </c>
      <c r="M232" s="146" t="s">
        <v>1690</v>
      </c>
      <c r="N232" s="64">
        <v>5</v>
      </c>
      <c r="O232" s="64"/>
      <c r="P232" s="125"/>
      <c r="Q232" s="64"/>
      <c r="R232" s="127"/>
      <c r="V232" s="128" t="str">
        <f t="shared" si="9"/>
        <v>yes</v>
      </c>
      <c r="W232" s="128" t="str">
        <f t="shared" si="10"/>
        <v>yes</v>
      </c>
      <c r="X232" s="128" t="str">
        <f t="shared" si="11"/>
        <v>--</v>
      </c>
    </row>
    <row r="233" spans="1:24" x14ac:dyDescent="0.25">
      <c r="A233" s="1352"/>
      <c r="B233" s="127"/>
      <c r="C233" t="s">
        <v>1632</v>
      </c>
      <c r="D233" s="64">
        <v>6</v>
      </c>
      <c r="E233" s="64" t="s">
        <v>817</v>
      </c>
      <c r="F233" s="125">
        <v>564</v>
      </c>
      <c r="G233" s="64">
        <v>4</v>
      </c>
      <c r="H233" s="127" t="s">
        <v>540</v>
      </c>
      <c r="I233" s="64">
        <v>6</v>
      </c>
      <c r="J233" s="64" t="s">
        <v>1586</v>
      </c>
      <c r="K233" s="125">
        <v>740</v>
      </c>
      <c r="L233" s="64">
        <v>4</v>
      </c>
      <c r="M233" s="146" t="s">
        <v>1690</v>
      </c>
      <c r="N233" s="64">
        <v>6</v>
      </c>
      <c r="O233" s="64"/>
      <c r="P233" s="125"/>
      <c r="Q233" s="64"/>
      <c r="R233" s="127"/>
      <c r="V233" s="128" t="str">
        <f t="shared" si="9"/>
        <v>yes</v>
      </c>
      <c r="W233" s="128" t="str">
        <f t="shared" si="10"/>
        <v>yes</v>
      </c>
      <c r="X233" s="128" t="str">
        <f t="shared" si="11"/>
        <v>--</v>
      </c>
    </row>
    <row r="234" spans="1:24" x14ac:dyDescent="0.25">
      <c r="A234" s="1352"/>
      <c r="B234" s="127"/>
      <c r="C234" t="s">
        <v>1632</v>
      </c>
      <c r="D234" s="64">
        <v>7</v>
      </c>
      <c r="E234" s="64" t="s">
        <v>820</v>
      </c>
      <c r="F234" s="125">
        <v>356</v>
      </c>
      <c r="G234" s="64">
        <v>2</v>
      </c>
      <c r="H234" s="127" t="s">
        <v>540</v>
      </c>
      <c r="I234" s="64">
        <v>7</v>
      </c>
      <c r="J234" s="64" t="s">
        <v>1589</v>
      </c>
      <c r="K234" s="125">
        <v>630</v>
      </c>
      <c r="L234" s="64">
        <v>2</v>
      </c>
      <c r="M234" s="146" t="s">
        <v>1690</v>
      </c>
      <c r="N234" s="64">
        <v>7</v>
      </c>
      <c r="O234" s="64"/>
      <c r="P234" s="125"/>
      <c r="Q234" s="64"/>
      <c r="R234" s="127"/>
      <c r="V234" s="128" t="str">
        <f t="shared" si="9"/>
        <v>yes</v>
      </c>
      <c r="W234" s="128" t="str">
        <f t="shared" si="10"/>
        <v>yes</v>
      </c>
      <c r="X234" s="128" t="str">
        <f t="shared" si="11"/>
        <v>--</v>
      </c>
    </row>
    <row r="235" spans="1:24" x14ac:dyDescent="0.25">
      <c r="A235" s="1352"/>
      <c r="B235" s="127"/>
      <c r="C235" t="s">
        <v>1632</v>
      </c>
      <c r="D235" s="64">
        <v>8</v>
      </c>
      <c r="E235" s="64" t="s">
        <v>821</v>
      </c>
      <c r="F235" s="125">
        <v>262</v>
      </c>
      <c r="G235" s="64">
        <v>2</v>
      </c>
      <c r="H235" s="127" t="s">
        <v>540</v>
      </c>
      <c r="I235" s="64">
        <v>8</v>
      </c>
      <c r="J235" s="64" t="s">
        <v>1591</v>
      </c>
      <c r="K235" s="125">
        <v>370</v>
      </c>
      <c r="L235" s="64">
        <v>2</v>
      </c>
      <c r="M235" s="146" t="s">
        <v>1690</v>
      </c>
      <c r="N235" s="64">
        <v>8</v>
      </c>
      <c r="O235" s="64"/>
      <c r="P235" s="125"/>
      <c r="Q235" s="64"/>
      <c r="R235" s="127"/>
      <c r="V235" s="128" t="str">
        <f t="shared" si="9"/>
        <v>yes</v>
      </c>
      <c r="W235" s="128" t="str">
        <f t="shared" si="10"/>
        <v>yes</v>
      </c>
      <c r="X235" s="128" t="str">
        <f t="shared" si="11"/>
        <v>--</v>
      </c>
    </row>
    <row r="236" spans="1:24" x14ac:dyDescent="0.25">
      <c r="A236" s="1352"/>
      <c r="B236" s="127"/>
      <c r="C236" t="s">
        <v>1632</v>
      </c>
      <c r="D236" s="64">
        <v>9</v>
      </c>
      <c r="E236" s="64"/>
      <c r="F236" s="125"/>
      <c r="G236" s="64"/>
      <c r="H236" s="127"/>
      <c r="I236" s="64"/>
      <c r="J236" s="64"/>
      <c r="K236" s="125"/>
      <c r="L236" s="64"/>
      <c r="M236" s="146"/>
      <c r="N236" s="64"/>
      <c r="O236" s="64"/>
      <c r="P236" s="125"/>
      <c r="Q236" s="64"/>
      <c r="R236" s="127"/>
      <c r="V236" s="128" t="str">
        <f t="shared" si="9"/>
        <v>--</v>
      </c>
      <c r="W236" s="128" t="str">
        <f t="shared" si="10"/>
        <v>--</v>
      </c>
      <c r="X236" s="128" t="str">
        <f t="shared" si="11"/>
        <v>--</v>
      </c>
    </row>
    <row r="237" spans="1:24" x14ac:dyDescent="0.25">
      <c r="A237" s="1352"/>
      <c r="B237" s="130"/>
      <c r="C237" t="s">
        <v>1632</v>
      </c>
      <c r="D237" s="132"/>
      <c r="E237" s="132"/>
      <c r="F237" s="133"/>
      <c r="G237" s="132"/>
      <c r="H237" s="134"/>
      <c r="I237" s="132"/>
      <c r="J237" s="132"/>
      <c r="K237" s="133"/>
      <c r="L237" s="132"/>
      <c r="M237" s="147"/>
      <c r="N237" s="132"/>
      <c r="O237" s="132"/>
      <c r="P237" s="133"/>
      <c r="Q237" s="132"/>
      <c r="R237" s="134"/>
      <c r="V237" s="128" t="str">
        <f t="shared" si="9"/>
        <v>--</v>
      </c>
      <c r="W237" s="128" t="str">
        <f t="shared" si="10"/>
        <v>--</v>
      </c>
      <c r="X237" s="128" t="str">
        <f t="shared" si="11"/>
        <v>--</v>
      </c>
    </row>
    <row r="238" spans="1:24" x14ac:dyDescent="0.25">
      <c r="A238" s="1352"/>
      <c r="B238" s="127" t="s">
        <v>1600</v>
      </c>
      <c r="C238" t="s">
        <v>1631</v>
      </c>
      <c r="D238" s="64">
        <v>1</v>
      </c>
      <c r="E238" s="64" t="s">
        <v>808</v>
      </c>
      <c r="F238" s="125">
        <v>1424</v>
      </c>
      <c r="G238" s="64">
        <v>8</v>
      </c>
      <c r="H238" s="127" t="s">
        <v>540</v>
      </c>
      <c r="I238" s="64">
        <v>1</v>
      </c>
      <c r="J238" s="64" t="s">
        <v>1575</v>
      </c>
      <c r="K238" s="125">
        <v>2520</v>
      </c>
      <c r="L238" s="64">
        <v>8</v>
      </c>
      <c r="M238" s="146" t="s">
        <v>1690</v>
      </c>
      <c r="N238" s="64">
        <v>1</v>
      </c>
      <c r="O238" s="64" t="s">
        <v>849</v>
      </c>
      <c r="P238" s="125">
        <v>1416</v>
      </c>
      <c r="Q238" s="64">
        <v>8</v>
      </c>
      <c r="R238" s="127" t="s">
        <v>542</v>
      </c>
      <c r="V238" s="128" t="str">
        <f t="shared" si="9"/>
        <v>yes</v>
      </c>
      <c r="W238" s="128" t="str">
        <f t="shared" si="10"/>
        <v>yes</v>
      </c>
      <c r="X238" s="128" t="str">
        <f t="shared" si="11"/>
        <v>yes</v>
      </c>
    </row>
    <row r="239" spans="1:24" x14ac:dyDescent="0.25">
      <c r="A239" s="1352"/>
      <c r="B239" s="127" t="s">
        <v>1601</v>
      </c>
      <c r="C239" t="s">
        <v>1631</v>
      </c>
      <c r="D239" s="64">
        <v>2</v>
      </c>
      <c r="E239" s="64" t="s">
        <v>809</v>
      </c>
      <c r="F239" s="125">
        <v>1128</v>
      </c>
      <c r="G239" s="64">
        <v>8</v>
      </c>
      <c r="H239" s="127" t="s">
        <v>540</v>
      </c>
      <c r="I239" s="64">
        <v>2</v>
      </c>
      <c r="J239" s="64" t="s">
        <v>1579</v>
      </c>
      <c r="K239" s="125">
        <v>1890</v>
      </c>
      <c r="L239" s="64">
        <v>6</v>
      </c>
      <c r="M239" s="146" t="s">
        <v>1690</v>
      </c>
      <c r="N239" s="64">
        <v>2</v>
      </c>
      <c r="O239" s="64" t="s">
        <v>850</v>
      </c>
      <c r="P239" s="125">
        <v>1062</v>
      </c>
      <c r="Q239" s="64">
        <v>6</v>
      </c>
      <c r="R239" s="127" t="s">
        <v>542</v>
      </c>
      <c r="V239" s="128" t="str">
        <f t="shared" si="9"/>
        <v>yes</v>
      </c>
      <c r="W239" s="128" t="str">
        <f t="shared" si="10"/>
        <v>yes</v>
      </c>
      <c r="X239" s="128" t="str">
        <f t="shared" si="11"/>
        <v>yes</v>
      </c>
    </row>
    <row r="240" spans="1:24" x14ac:dyDescent="0.25">
      <c r="A240" s="1352"/>
      <c r="B240" s="127"/>
      <c r="C240" t="s">
        <v>1631</v>
      </c>
      <c r="D240" s="64">
        <v>3</v>
      </c>
      <c r="E240" s="64" t="s">
        <v>810</v>
      </c>
      <c r="F240" s="125">
        <v>1068</v>
      </c>
      <c r="G240" s="64">
        <v>6</v>
      </c>
      <c r="H240" s="127" t="s">
        <v>540</v>
      </c>
      <c r="I240" s="64">
        <v>3</v>
      </c>
      <c r="J240" s="64" t="s">
        <v>1577</v>
      </c>
      <c r="K240" s="125">
        <v>1480</v>
      </c>
      <c r="L240" s="64">
        <v>8</v>
      </c>
      <c r="M240" s="146" t="s">
        <v>1690</v>
      </c>
      <c r="N240" s="64">
        <v>3</v>
      </c>
      <c r="O240" s="64" t="s">
        <v>1697</v>
      </c>
      <c r="P240" s="125">
        <v>870</v>
      </c>
      <c r="Q240" s="64">
        <v>3</v>
      </c>
      <c r="R240" s="127" t="s">
        <v>542</v>
      </c>
      <c r="V240" s="128" t="str">
        <f t="shared" si="9"/>
        <v>yes</v>
      </c>
      <c r="W240" s="128" t="str">
        <f t="shared" si="10"/>
        <v>yes</v>
      </c>
      <c r="X240" s="128" t="str">
        <f t="shared" si="11"/>
        <v>yes</v>
      </c>
    </row>
    <row r="241" spans="1:39" x14ac:dyDescent="0.25">
      <c r="A241" s="1352"/>
      <c r="B241" s="127"/>
      <c r="D241" s="64">
        <v>4</v>
      </c>
      <c r="E241" s="64" t="s">
        <v>1693</v>
      </c>
      <c r="F241" s="125">
        <v>870</v>
      </c>
      <c r="G241" s="64">
        <v>3</v>
      </c>
      <c r="H241" s="127" t="s">
        <v>1599</v>
      </c>
      <c r="I241" s="64">
        <v>4</v>
      </c>
      <c r="J241" s="64" t="s">
        <v>1584</v>
      </c>
      <c r="K241" s="125">
        <v>1260</v>
      </c>
      <c r="L241" s="64">
        <v>4</v>
      </c>
      <c r="M241" s="146" t="s">
        <v>1690</v>
      </c>
      <c r="N241" s="64">
        <v>4</v>
      </c>
      <c r="O241" s="64" t="s">
        <v>852</v>
      </c>
      <c r="P241" s="125">
        <v>708</v>
      </c>
      <c r="Q241" s="64">
        <v>4</v>
      </c>
      <c r="R241" s="127" t="s">
        <v>542</v>
      </c>
      <c r="V241" s="128" t="str">
        <f t="shared" si="9"/>
        <v>yes</v>
      </c>
      <c r="W241" s="128" t="str">
        <f t="shared" si="10"/>
        <v>yes</v>
      </c>
      <c r="X241" s="128" t="str">
        <f t="shared" si="11"/>
        <v>yes</v>
      </c>
    </row>
    <row r="242" spans="1:39" x14ac:dyDescent="0.25">
      <c r="A242" s="1352"/>
      <c r="B242" s="127"/>
      <c r="D242" s="64">
        <v>5</v>
      </c>
      <c r="E242" s="64" t="s">
        <v>811</v>
      </c>
      <c r="F242" s="125">
        <v>846</v>
      </c>
      <c r="G242" s="64">
        <v>6</v>
      </c>
      <c r="H242" s="127" t="s">
        <v>540</v>
      </c>
      <c r="I242" s="64">
        <v>5</v>
      </c>
      <c r="J242" s="64" t="s">
        <v>1581</v>
      </c>
      <c r="K242" s="125">
        <v>1110</v>
      </c>
      <c r="L242" s="64">
        <v>6</v>
      </c>
      <c r="M242" s="146" t="s">
        <v>1690</v>
      </c>
      <c r="N242" s="64">
        <v>5</v>
      </c>
      <c r="O242" s="64" t="s">
        <v>1698</v>
      </c>
      <c r="P242" s="125">
        <v>580</v>
      </c>
      <c r="Q242" s="64">
        <v>2</v>
      </c>
      <c r="R242" s="127" t="s">
        <v>542</v>
      </c>
      <c r="V242" s="128" t="str">
        <f t="shared" si="9"/>
        <v>yes</v>
      </c>
      <c r="W242" s="128" t="str">
        <f t="shared" si="10"/>
        <v>yes</v>
      </c>
      <c r="X242" s="128" t="str">
        <f t="shared" si="11"/>
        <v>yes</v>
      </c>
    </row>
    <row r="243" spans="1:39" x14ac:dyDescent="0.25">
      <c r="A243" s="1352"/>
      <c r="B243" s="127"/>
      <c r="D243" s="64">
        <v>6</v>
      </c>
      <c r="E243" s="64" t="s">
        <v>814</v>
      </c>
      <c r="F243" s="125">
        <v>712</v>
      </c>
      <c r="G243" s="64">
        <v>4</v>
      </c>
      <c r="H243" s="127" t="s">
        <v>540</v>
      </c>
      <c r="I243" s="64">
        <v>6</v>
      </c>
      <c r="J243" s="64" t="s">
        <v>1586</v>
      </c>
      <c r="K243" s="125">
        <v>740</v>
      </c>
      <c r="L243" s="64">
        <v>4</v>
      </c>
      <c r="M243" s="146" t="s">
        <v>1690</v>
      </c>
      <c r="N243" s="64">
        <v>6</v>
      </c>
      <c r="O243" s="64" t="s">
        <v>856</v>
      </c>
      <c r="P243" s="125">
        <v>354</v>
      </c>
      <c r="Q243" s="64">
        <v>2</v>
      </c>
      <c r="R243" s="127" t="s">
        <v>542</v>
      </c>
      <c r="V243" s="128" t="str">
        <f t="shared" si="9"/>
        <v>yes</v>
      </c>
      <c r="W243" s="128" t="str">
        <f t="shared" si="10"/>
        <v>yes</v>
      </c>
      <c r="X243" s="128" t="str">
        <f t="shared" si="11"/>
        <v>yes</v>
      </c>
    </row>
    <row r="244" spans="1:39" x14ac:dyDescent="0.25">
      <c r="A244" s="1352"/>
      <c r="B244" s="127"/>
      <c r="D244" s="64">
        <v>7</v>
      </c>
      <c r="E244" s="64" t="s">
        <v>1694</v>
      </c>
      <c r="F244" s="125">
        <v>580</v>
      </c>
      <c r="G244" s="64">
        <v>2</v>
      </c>
      <c r="H244" s="127" t="s">
        <v>1599</v>
      </c>
      <c r="I244" s="64">
        <v>7</v>
      </c>
      <c r="J244" s="64" t="s">
        <v>1589</v>
      </c>
      <c r="K244" s="125">
        <v>630</v>
      </c>
      <c r="L244" s="64">
        <v>2</v>
      </c>
      <c r="M244" s="146" t="s">
        <v>1690</v>
      </c>
      <c r="N244" s="64">
        <v>7</v>
      </c>
      <c r="O244" s="64"/>
      <c r="P244" s="125"/>
      <c r="Q244" s="64"/>
      <c r="R244" s="127"/>
      <c r="V244" s="128" t="str">
        <f t="shared" si="9"/>
        <v>yes</v>
      </c>
      <c r="W244" s="128" t="str">
        <f t="shared" si="10"/>
        <v>yes</v>
      </c>
      <c r="X244" s="128" t="str">
        <f t="shared" si="11"/>
        <v>--</v>
      </c>
    </row>
    <row r="245" spans="1:39" x14ac:dyDescent="0.25">
      <c r="A245" s="1352"/>
      <c r="B245" s="127"/>
      <c r="D245" s="64">
        <v>8</v>
      </c>
      <c r="E245" s="64" t="s">
        <v>817</v>
      </c>
      <c r="F245" s="125">
        <v>564</v>
      </c>
      <c r="G245" s="64">
        <v>4</v>
      </c>
      <c r="H245" s="127" t="s">
        <v>540</v>
      </c>
      <c r="I245" s="64">
        <v>8</v>
      </c>
      <c r="J245" s="64" t="s">
        <v>1695</v>
      </c>
      <c r="K245" s="125">
        <v>580</v>
      </c>
      <c r="L245" s="64">
        <v>2</v>
      </c>
      <c r="M245" s="146" t="s">
        <v>1690</v>
      </c>
      <c r="N245" s="64">
        <v>8</v>
      </c>
      <c r="O245" s="64"/>
      <c r="P245" s="125"/>
      <c r="Q245" s="64"/>
      <c r="R245" s="127"/>
      <c r="V245" s="128" t="str">
        <f t="shared" si="9"/>
        <v>yes</v>
      </c>
      <c r="W245" s="128" t="str">
        <f t="shared" si="10"/>
        <v>yes</v>
      </c>
      <c r="X245" s="128" t="str">
        <f t="shared" si="11"/>
        <v>--</v>
      </c>
    </row>
    <row r="246" spans="1:39" x14ac:dyDescent="0.25">
      <c r="A246" s="1352"/>
      <c r="B246" s="127"/>
      <c r="D246" s="64">
        <v>9</v>
      </c>
      <c r="E246" s="64" t="s">
        <v>820</v>
      </c>
      <c r="F246" s="125">
        <v>356</v>
      </c>
      <c r="G246" s="64">
        <v>2</v>
      </c>
      <c r="H246" s="127" t="s">
        <v>540</v>
      </c>
      <c r="I246" s="64">
        <v>9</v>
      </c>
      <c r="J246" s="64" t="s">
        <v>1696</v>
      </c>
      <c r="K246" s="125">
        <v>440</v>
      </c>
      <c r="L246" s="64">
        <v>2</v>
      </c>
      <c r="M246" s="146" t="s">
        <v>1690</v>
      </c>
      <c r="N246" s="64">
        <v>9</v>
      </c>
      <c r="O246" s="64"/>
      <c r="P246" s="125"/>
      <c r="Q246" s="64"/>
      <c r="R246" s="127"/>
      <c r="V246" s="128" t="str">
        <f t="shared" si="9"/>
        <v>yes</v>
      </c>
      <c r="W246" s="128" t="str">
        <f t="shared" si="10"/>
        <v>yes</v>
      </c>
      <c r="X246" s="128" t="str">
        <f t="shared" si="11"/>
        <v>--</v>
      </c>
    </row>
    <row r="247" spans="1:39" x14ac:dyDescent="0.25">
      <c r="A247" s="1352"/>
      <c r="B247" s="127"/>
      <c r="C247" t="s">
        <v>1631</v>
      </c>
      <c r="D247" s="64">
        <v>10</v>
      </c>
      <c r="E247" s="64" t="s">
        <v>821</v>
      </c>
      <c r="F247" s="125">
        <v>262</v>
      </c>
      <c r="G247" s="64">
        <v>2</v>
      </c>
      <c r="H247" s="127" t="s">
        <v>540</v>
      </c>
      <c r="I247" s="64">
        <v>10</v>
      </c>
      <c r="J247" s="64" t="s">
        <v>1591</v>
      </c>
      <c r="K247" s="125">
        <v>370</v>
      </c>
      <c r="L247" s="64">
        <v>2</v>
      </c>
      <c r="M247" s="146" t="s">
        <v>1690</v>
      </c>
      <c r="N247" s="64">
        <v>10</v>
      </c>
      <c r="O247" s="64"/>
      <c r="P247" s="125"/>
      <c r="Q247" s="64"/>
      <c r="R247" s="127"/>
      <c r="V247" s="128" t="str">
        <f t="shared" si="9"/>
        <v>yes</v>
      </c>
      <c r="W247" s="128" t="str">
        <f t="shared" si="10"/>
        <v>yes</v>
      </c>
      <c r="X247" s="128" t="str">
        <f t="shared" si="11"/>
        <v>--</v>
      </c>
    </row>
    <row r="248" spans="1:39" x14ac:dyDescent="0.25">
      <c r="A248" s="1352"/>
      <c r="B248" s="127"/>
      <c r="C248" t="s">
        <v>1631</v>
      </c>
      <c r="D248" s="64">
        <v>11</v>
      </c>
      <c r="E248" s="64"/>
      <c r="F248" s="125"/>
      <c r="G248" s="64"/>
      <c r="H248" s="127"/>
      <c r="I248" s="64">
        <v>11</v>
      </c>
      <c r="J248" s="64"/>
      <c r="K248" s="125"/>
      <c r="L248" s="64"/>
      <c r="M248" s="146"/>
      <c r="N248" s="64">
        <v>11</v>
      </c>
      <c r="O248" s="64"/>
      <c r="P248" s="125"/>
      <c r="Q248" s="64"/>
      <c r="R248" s="127"/>
      <c r="V248" s="128" t="str">
        <f t="shared" si="9"/>
        <v>--</v>
      </c>
      <c r="W248" s="128" t="str">
        <f t="shared" si="10"/>
        <v>--</v>
      </c>
      <c r="X248" s="128" t="str">
        <f t="shared" si="11"/>
        <v>--</v>
      </c>
    </row>
    <row r="249" spans="1:39" x14ac:dyDescent="0.25">
      <c r="A249" s="1352"/>
      <c r="B249" s="127"/>
      <c r="C249" t="s">
        <v>1631</v>
      </c>
      <c r="D249" s="64">
        <v>12</v>
      </c>
      <c r="E249" s="64"/>
      <c r="F249" s="125"/>
      <c r="G249" s="64"/>
      <c r="H249" s="127"/>
      <c r="I249" s="64">
        <v>12</v>
      </c>
      <c r="J249" s="64"/>
      <c r="K249" s="125"/>
      <c r="L249" s="64"/>
      <c r="M249" s="146"/>
      <c r="N249" s="64">
        <v>12</v>
      </c>
      <c r="O249" s="64"/>
      <c r="P249" s="125"/>
      <c r="Q249" s="64"/>
      <c r="R249" s="127"/>
      <c r="V249" s="128" t="str">
        <f t="shared" si="9"/>
        <v>--</v>
      </c>
      <c r="W249" s="128" t="str">
        <f t="shared" si="10"/>
        <v>--</v>
      </c>
      <c r="X249" s="128" t="str">
        <f t="shared" si="11"/>
        <v>--</v>
      </c>
    </row>
    <row r="250" spans="1:39" x14ac:dyDescent="0.25">
      <c r="A250" s="1352"/>
      <c r="B250" s="127"/>
      <c r="C250" t="s">
        <v>1631</v>
      </c>
      <c r="D250" s="64">
        <v>13</v>
      </c>
      <c r="E250" s="64"/>
      <c r="F250" s="125"/>
      <c r="G250" s="64"/>
      <c r="H250" s="127"/>
      <c r="I250" s="64">
        <v>13</v>
      </c>
      <c r="J250" s="64"/>
      <c r="K250" s="125"/>
      <c r="L250" s="64"/>
      <c r="M250" s="146"/>
      <c r="N250" s="64">
        <v>13</v>
      </c>
      <c r="O250" s="64"/>
      <c r="P250" s="125"/>
      <c r="Q250" s="64"/>
      <c r="R250" s="127"/>
      <c r="V250" s="128" t="str">
        <f t="shared" si="9"/>
        <v>--</v>
      </c>
      <c r="W250" s="128" t="str">
        <f t="shared" si="10"/>
        <v>--</v>
      </c>
      <c r="X250" s="128" t="str">
        <f t="shared" si="11"/>
        <v>--</v>
      </c>
    </row>
    <row r="251" spans="1:39" x14ac:dyDescent="0.25">
      <c r="A251" s="1352"/>
      <c r="B251" s="127"/>
      <c r="C251" t="s">
        <v>1631</v>
      </c>
      <c r="D251" s="64">
        <v>14</v>
      </c>
      <c r="E251" s="64"/>
      <c r="F251" s="125"/>
      <c r="G251" s="64"/>
      <c r="H251" s="127"/>
      <c r="I251" s="64">
        <v>14</v>
      </c>
      <c r="J251" s="64"/>
      <c r="K251" s="125"/>
      <c r="L251" s="64"/>
      <c r="M251" s="146"/>
      <c r="N251" s="64">
        <v>14</v>
      </c>
      <c r="O251" s="64"/>
      <c r="P251" s="125"/>
      <c r="Q251" s="64"/>
      <c r="R251" s="127"/>
      <c r="V251" s="128" t="str">
        <f t="shared" si="9"/>
        <v>--</v>
      </c>
      <c r="W251" s="128" t="str">
        <f t="shared" si="10"/>
        <v>--</v>
      </c>
      <c r="X251" s="128" t="str">
        <f t="shared" si="11"/>
        <v>--</v>
      </c>
    </row>
    <row r="252" spans="1:39" x14ac:dyDescent="0.25">
      <c r="A252" s="1352"/>
      <c r="B252" s="129"/>
      <c r="C252" t="s">
        <v>1631</v>
      </c>
      <c r="D252" s="64"/>
      <c r="E252" s="64"/>
      <c r="F252" s="125"/>
      <c r="G252" s="64"/>
      <c r="H252" s="127"/>
      <c r="I252" s="64"/>
      <c r="J252" s="64"/>
      <c r="K252" s="125"/>
      <c r="L252" s="64"/>
      <c r="M252" s="146"/>
      <c r="N252" s="64"/>
      <c r="O252" s="64"/>
      <c r="P252" s="125"/>
      <c r="Q252" s="64"/>
      <c r="R252" s="127"/>
      <c r="V252" s="128" t="str">
        <f t="shared" si="9"/>
        <v>--</v>
      </c>
      <c r="W252" s="128" t="str">
        <f t="shared" si="10"/>
        <v>--</v>
      </c>
      <c r="X252" s="128" t="str">
        <f t="shared" si="11"/>
        <v>--</v>
      </c>
    </row>
    <row r="253" spans="1:39" ht="15.75" thickBot="1" x14ac:dyDescent="0.3">
      <c r="A253" s="1359"/>
      <c r="B253" s="135"/>
      <c r="C253" t="s">
        <v>1631</v>
      </c>
      <c r="D253" s="136"/>
      <c r="E253" s="136"/>
      <c r="F253" s="137"/>
      <c r="G253" s="136"/>
      <c r="H253" s="138"/>
      <c r="I253" s="136"/>
      <c r="J253" s="136"/>
      <c r="K253" s="137"/>
      <c r="L253" s="136"/>
      <c r="M253" s="148"/>
      <c r="N253" s="136"/>
      <c r="O253" s="136"/>
      <c r="P253" s="137"/>
      <c r="Q253" s="136"/>
      <c r="R253" s="138"/>
      <c r="V253" s="128" t="str">
        <f t="shared" si="9"/>
        <v>--</v>
      </c>
      <c r="W253" s="128" t="str">
        <f t="shared" si="10"/>
        <v>--</v>
      </c>
      <c r="X253" s="128" t="str">
        <f t="shared" si="11"/>
        <v>--</v>
      </c>
    </row>
    <row r="254" spans="1:39" ht="14.65" customHeight="1" x14ac:dyDescent="0.25">
      <c r="A254" s="1351" t="s">
        <v>38</v>
      </c>
      <c r="B254" s="124" t="s">
        <v>1177</v>
      </c>
      <c r="C254" t="s">
        <v>1648</v>
      </c>
      <c r="D254" s="141">
        <v>1</v>
      </c>
      <c r="E254" s="141" t="str" cm="1">
        <f t="array" ref="E254:H269">_xlfn._xlws.SORT(Z254:AC269,2,-1,FALSE)</f>
        <v/>
      </c>
      <c r="F254" s="141" t="str">
        <v/>
      </c>
      <c r="G254" s="141" t="str">
        <v/>
      </c>
      <c r="H254" s="126" t="str">
        <v/>
      </c>
      <c r="I254" s="141">
        <v>1</v>
      </c>
      <c r="J254" s="141" t="str" cm="1">
        <f t="array" ref="J254:M269">_xlfn._xlws.SORT(AE254:AH269,2,-1,FALSE)</f>
        <v/>
      </c>
      <c r="K254" s="141" t="str">
        <v/>
      </c>
      <c r="L254" s="141" t="str">
        <v/>
      </c>
      <c r="M254" s="145" t="str">
        <v/>
      </c>
      <c r="N254" s="141">
        <v>1</v>
      </c>
      <c r="O254" s="141" t="str" cm="1">
        <f t="array" ref="O254:R269">_xlfn._xlws.SORT(AJ254:AM269,2,-1,FALSE)</f>
        <v/>
      </c>
      <c r="P254" s="141" t="str">
        <v/>
      </c>
      <c r="Q254" s="141" t="str">
        <v/>
      </c>
      <c r="R254" s="126" t="str">
        <v/>
      </c>
      <c r="V254" s="128" t="str">
        <f t="shared" si="9"/>
        <v>--</v>
      </c>
      <c r="W254" s="128" t="str">
        <f t="shared" si="10"/>
        <v>--</v>
      </c>
      <c r="X254" s="128" t="str">
        <f t="shared" si="11"/>
        <v>--</v>
      </c>
      <c r="Y254" s="741">
        <v>1</v>
      </c>
      <c r="Z254" s="742" t="s">
        <v>934</v>
      </c>
      <c r="AA254" s="742">
        <v>1424</v>
      </c>
      <c r="AB254" s="742">
        <v>8</v>
      </c>
      <c r="AC254" s="743" t="s">
        <v>540</v>
      </c>
      <c r="AD254" s="741">
        <v>1</v>
      </c>
      <c r="AE254" s="742" t="s">
        <v>946</v>
      </c>
      <c r="AF254" s="742">
        <v>2520</v>
      </c>
      <c r="AG254" s="742">
        <v>8</v>
      </c>
      <c r="AH254" s="746" t="s">
        <v>1690</v>
      </c>
      <c r="AI254" s="741">
        <v>1</v>
      </c>
      <c r="AJ254" s="742" t="s">
        <v>954</v>
      </c>
      <c r="AK254" s="742">
        <v>1416</v>
      </c>
      <c r="AL254" s="742">
        <v>8</v>
      </c>
      <c r="AM254" s="743" t="s">
        <v>542</v>
      </c>
    </row>
    <row r="255" spans="1:39" x14ac:dyDescent="0.25">
      <c r="A255" s="1352"/>
      <c r="B255" s="129" t="s">
        <v>1404</v>
      </c>
      <c r="C255" t="s">
        <v>1648</v>
      </c>
      <c r="D255" s="64">
        <v>2</v>
      </c>
      <c r="E255" s="64" t="str">
        <v/>
      </c>
      <c r="F255" s="64" t="str">
        <v/>
      </c>
      <c r="G255" s="64" t="str">
        <v/>
      </c>
      <c r="H255" s="127" t="str">
        <v/>
      </c>
      <c r="I255" s="64">
        <v>2</v>
      </c>
      <c r="J255" s="64" t="str">
        <v/>
      </c>
      <c r="K255" s="64" t="str">
        <v/>
      </c>
      <c r="L255" s="64" t="str">
        <v/>
      </c>
      <c r="M255" s="146" t="str">
        <v/>
      </c>
      <c r="N255" s="64">
        <v>2</v>
      </c>
      <c r="O255" s="64" t="str">
        <v/>
      </c>
      <c r="P255" s="64" t="str">
        <v/>
      </c>
      <c r="Q255" s="64" t="str">
        <v/>
      </c>
      <c r="R255" s="127" t="str">
        <v/>
      </c>
      <c r="V255" s="128" t="str">
        <f t="shared" si="9"/>
        <v>--</v>
      </c>
      <c r="W255" s="128" t="str">
        <f t="shared" si="10"/>
        <v>--</v>
      </c>
      <c r="X255" s="128" t="str">
        <f t="shared" si="11"/>
        <v>--</v>
      </c>
      <c r="Y255" s="744">
        <v>2</v>
      </c>
      <c r="Z255" s="64" t="s">
        <v>935</v>
      </c>
      <c r="AA255" s="64">
        <v>1128</v>
      </c>
      <c r="AB255" s="64">
        <v>8</v>
      </c>
      <c r="AC255" s="745" t="s">
        <v>540</v>
      </c>
      <c r="AD255" s="744">
        <v>2</v>
      </c>
      <c r="AE255" s="64" t="s">
        <v>947</v>
      </c>
      <c r="AF255" s="64">
        <v>1480</v>
      </c>
      <c r="AG255" s="64">
        <v>8</v>
      </c>
      <c r="AH255" s="747" t="s">
        <v>1690</v>
      </c>
      <c r="AI255" s="744">
        <v>2</v>
      </c>
      <c r="AJ255" s="64" t="s">
        <v>955</v>
      </c>
      <c r="AK255" s="64">
        <v>1062</v>
      </c>
      <c r="AL255" s="64">
        <v>6</v>
      </c>
      <c r="AM255" s="745" t="s">
        <v>542</v>
      </c>
    </row>
    <row r="256" spans="1:39" x14ac:dyDescent="0.25">
      <c r="A256" s="1352"/>
      <c r="B256" s="129" t="s">
        <v>1178</v>
      </c>
      <c r="C256" t="s">
        <v>1648</v>
      </c>
      <c r="D256" s="64">
        <v>3</v>
      </c>
      <c r="E256" s="64" t="str">
        <v/>
      </c>
      <c r="F256" s="64" t="str">
        <v/>
      </c>
      <c r="G256" s="64" t="str">
        <v/>
      </c>
      <c r="H256" s="127" t="str">
        <v/>
      </c>
      <c r="I256" s="64">
        <v>3</v>
      </c>
      <c r="J256" s="64" t="str">
        <v/>
      </c>
      <c r="K256" s="125" t="str">
        <v/>
      </c>
      <c r="L256" s="64" t="str">
        <v/>
      </c>
      <c r="M256" s="146" t="str">
        <v/>
      </c>
      <c r="N256" s="64">
        <v>3</v>
      </c>
      <c r="O256" s="64" t="str">
        <v/>
      </c>
      <c r="P256" s="64" t="str">
        <v/>
      </c>
      <c r="Q256" s="64" t="str">
        <v/>
      </c>
      <c r="R256" s="127" t="str">
        <v/>
      </c>
      <c r="V256" s="128" t="str">
        <f t="shared" si="9"/>
        <v>--</v>
      </c>
      <c r="W256" s="128" t="str">
        <f t="shared" si="10"/>
        <v>--</v>
      </c>
      <c r="X256" s="128" t="str">
        <f t="shared" si="11"/>
        <v>--</v>
      </c>
      <c r="Y256" s="744">
        <v>3</v>
      </c>
      <c r="Z256" s="64" t="s">
        <v>936</v>
      </c>
      <c r="AA256" s="64">
        <v>1068</v>
      </c>
      <c r="AB256" s="64">
        <v>6</v>
      </c>
      <c r="AC256" s="745" t="s">
        <v>540</v>
      </c>
      <c r="AD256" s="744">
        <v>3</v>
      </c>
      <c r="AE256" s="64" t="s">
        <v>948</v>
      </c>
      <c r="AF256" s="125">
        <v>1260</v>
      </c>
      <c r="AG256" s="64">
        <v>4</v>
      </c>
      <c r="AH256" s="747" t="s">
        <v>1690</v>
      </c>
      <c r="AI256" s="744">
        <v>3</v>
      </c>
      <c r="AJ256" s="64" t="s">
        <v>956</v>
      </c>
      <c r="AK256" s="64">
        <v>885</v>
      </c>
      <c r="AL256" s="64">
        <v>5</v>
      </c>
      <c r="AM256" s="745" t="s">
        <v>542</v>
      </c>
    </row>
    <row r="257" spans="1:39" x14ac:dyDescent="0.25">
      <c r="A257" s="1352"/>
      <c r="B257" s="129" t="s">
        <v>1405</v>
      </c>
      <c r="C257" t="s">
        <v>1648</v>
      </c>
      <c r="D257" s="64">
        <v>4</v>
      </c>
      <c r="E257" s="64" t="str">
        <v/>
      </c>
      <c r="F257" s="64" t="str">
        <v/>
      </c>
      <c r="G257" s="64" t="str">
        <v/>
      </c>
      <c r="H257" s="127" t="str">
        <v/>
      </c>
      <c r="I257" s="64">
        <v>4</v>
      </c>
      <c r="J257" s="64" t="str">
        <v/>
      </c>
      <c r="K257" s="64" t="str">
        <v/>
      </c>
      <c r="L257" s="64" t="str">
        <v/>
      </c>
      <c r="M257" s="146" t="str">
        <v/>
      </c>
      <c r="N257" s="64">
        <v>4</v>
      </c>
      <c r="O257" s="64" t="str">
        <v/>
      </c>
      <c r="P257" s="125" t="str">
        <v/>
      </c>
      <c r="Q257" s="64" t="str">
        <v/>
      </c>
      <c r="R257" s="127" t="str">
        <v/>
      </c>
      <c r="V257" s="128" t="str">
        <f t="shared" si="9"/>
        <v>--</v>
      </c>
      <c r="W257" s="128" t="str">
        <f t="shared" si="10"/>
        <v>--</v>
      </c>
      <c r="X257" s="128" t="str">
        <f t="shared" si="11"/>
        <v>--</v>
      </c>
      <c r="Y257" s="744">
        <v>4</v>
      </c>
      <c r="Z257" s="64" t="s">
        <v>937</v>
      </c>
      <c r="AA257" s="64">
        <v>846</v>
      </c>
      <c r="AB257" s="64">
        <v>6</v>
      </c>
      <c r="AC257" s="745" t="s">
        <v>540</v>
      </c>
      <c r="AD257" s="744">
        <v>4</v>
      </c>
      <c r="AE257" s="64" t="s">
        <v>949</v>
      </c>
      <c r="AF257" s="64">
        <v>1260</v>
      </c>
      <c r="AG257" s="64">
        <v>4</v>
      </c>
      <c r="AH257" s="747" t="s">
        <v>1690</v>
      </c>
      <c r="AI257" s="744">
        <v>4</v>
      </c>
      <c r="AJ257" s="64" t="s">
        <v>957</v>
      </c>
      <c r="AK257" s="125">
        <v>708</v>
      </c>
      <c r="AL257" s="64">
        <v>4</v>
      </c>
      <c r="AM257" s="745" t="s">
        <v>542</v>
      </c>
    </row>
    <row r="258" spans="1:39" x14ac:dyDescent="0.25">
      <c r="A258" s="1352"/>
      <c r="B258" s="129" t="s">
        <v>1179</v>
      </c>
      <c r="C258" t="s">
        <v>1648</v>
      </c>
      <c r="D258" s="64">
        <v>5</v>
      </c>
      <c r="E258" s="64" t="str">
        <v>(8) #10 Screws Thru 2 Long L Anchors, 3" emb. [OA8]</v>
      </c>
      <c r="F258" s="64">
        <v>1424</v>
      </c>
      <c r="G258" s="64">
        <v>8</v>
      </c>
      <c r="H258" s="127" t="str">
        <v>#10 SS Wood Screws</v>
      </c>
      <c r="I258" s="64">
        <v>5</v>
      </c>
      <c r="J258" s="64" t="str">
        <v>(8) 3/16" Masonry Screws Thru 2 Long L Anchors, 1-3/4" emb. [OA8]</v>
      </c>
      <c r="K258" s="64">
        <v>2520</v>
      </c>
      <c r="L258" s="64">
        <v>8</v>
      </c>
      <c r="M258" s="146" t="str">
        <v>3/16" Dewalt Ultracons</v>
      </c>
      <c r="N258" s="64">
        <v>5</v>
      </c>
      <c r="O258" s="64" t="str">
        <v>(8) #10-16 Self-Drilling Screws Thru 2 Long L Anchors [OA8]</v>
      </c>
      <c r="P258" s="125">
        <v>1416</v>
      </c>
      <c r="Q258" s="64">
        <v>8</v>
      </c>
      <c r="R258" s="127" t="str">
        <v>#10-16 HWH Self Drilling Screws</v>
      </c>
      <c r="V258" s="128" t="str">
        <f t="shared" si="9"/>
        <v>yes</v>
      </c>
      <c r="W258" s="128" t="str">
        <f t="shared" si="10"/>
        <v>yes</v>
      </c>
      <c r="X258" s="128" t="str">
        <f t="shared" si="11"/>
        <v>yes</v>
      </c>
      <c r="Y258" s="744">
        <v>5</v>
      </c>
      <c r="Z258" s="64" t="s">
        <v>938</v>
      </c>
      <c r="AA258" s="64">
        <v>800</v>
      </c>
      <c r="AB258" s="64">
        <v>5</v>
      </c>
      <c r="AC258" s="745" t="s">
        <v>540</v>
      </c>
      <c r="AD258" s="744">
        <v>5</v>
      </c>
      <c r="AE258" s="64" t="s">
        <v>1702</v>
      </c>
      <c r="AF258" s="64">
        <v>945</v>
      </c>
      <c r="AG258" s="64">
        <v>3</v>
      </c>
      <c r="AH258" s="747" t="s">
        <v>1690</v>
      </c>
      <c r="AI258" s="744">
        <v>5</v>
      </c>
      <c r="AJ258" s="64" t="s">
        <v>958</v>
      </c>
      <c r="AK258" s="125">
        <v>531</v>
      </c>
      <c r="AL258" s="64">
        <v>3</v>
      </c>
      <c r="AM258" s="745" t="s">
        <v>542</v>
      </c>
    </row>
    <row r="259" spans="1:39" x14ac:dyDescent="0.25">
      <c r="A259" s="1352"/>
      <c r="B259" s="129" t="s">
        <v>1176</v>
      </c>
      <c r="C259" t="s">
        <v>1648</v>
      </c>
      <c r="D259" s="64">
        <v>6</v>
      </c>
      <c r="E259" s="64" t="str">
        <v>(8) #10 Screws Thru 2 Long L Anchors, 1-1/2" emb. [OA8]</v>
      </c>
      <c r="F259" s="64">
        <v>1128</v>
      </c>
      <c r="G259" s="64">
        <v>8</v>
      </c>
      <c r="H259" s="127" t="str">
        <v>#10 SS Wood Screws</v>
      </c>
      <c r="I259" s="64">
        <v>6</v>
      </c>
      <c r="J259" s="64" t="str">
        <v>(8) 3/16" Masonry Screws Thru 2 Long L Anchors, 1-1/4" emb. [OA8]</v>
      </c>
      <c r="K259" s="64">
        <v>1480</v>
      </c>
      <c r="L259" s="64">
        <v>8</v>
      </c>
      <c r="M259" s="146" t="str">
        <v>3/16" Dewalt Ultracons</v>
      </c>
      <c r="N259" s="64">
        <v>6</v>
      </c>
      <c r="O259" s="64" t="str">
        <v>(6) #10-16 Self-Drilling Screws Thru 2 Short L Anchors [OA6]</v>
      </c>
      <c r="P259" s="64">
        <v>1062</v>
      </c>
      <c r="Q259" s="64">
        <v>6</v>
      </c>
      <c r="R259" s="127" t="str">
        <v>#10-16 HWH Self Drilling Screws</v>
      </c>
      <c r="V259" s="128" t="str">
        <f t="shared" si="9"/>
        <v>yes</v>
      </c>
      <c r="W259" s="128" t="str">
        <f t="shared" si="10"/>
        <v>yes</v>
      </c>
      <c r="X259" s="128" t="str">
        <f t="shared" si="11"/>
        <v>yes</v>
      </c>
      <c r="Y259" s="744">
        <v>6</v>
      </c>
      <c r="Z259" s="64" t="s">
        <v>939</v>
      </c>
      <c r="AA259" s="64">
        <v>712</v>
      </c>
      <c r="AB259" s="64">
        <v>4</v>
      </c>
      <c r="AC259" s="745" t="s">
        <v>540</v>
      </c>
      <c r="AD259" s="744">
        <v>6</v>
      </c>
      <c r="AE259" s="64" t="s">
        <v>950</v>
      </c>
      <c r="AF259" s="64">
        <v>740</v>
      </c>
      <c r="AG259" s="64">
        <v>4</v>
      </c>
      <c r="AH259" s="747" t="s">
        <v>1690</v>
      </c>
      <c r="AI259" s="744">
        <v>6</v>
      </c>
      <c r="AJ259" s="64"/>
      <c r="AK259" s="64"/>
      <c r="AL259" s="64"/>
      <c r="AM259" s="745"/>
    </row>
    <row r="260" spans="1:39" x14ac:dyDescent="0.25">
      <c r="A260" s="1352"/>
      <c r="B260" s="129" t="s">
        <v>1406</v>
      </c>
      <c r="C260" t="s">
        <v>1648</v>
      </c>
      <c r="D260" s="64">
        <v>7</v>
      </c>
      <c r="E260" s="64" t="str">
        <v>(6) #10 Screws Thru 2 Short L Anchors, 3" emb. [OA6]</v>
      </c>
      <c r="F260" s="64">
        <v>1068</v>
      </c>
      <c r="G260" s="64">
        <v>6</v>
      </c>
      <c r="H260" s="127" t="str">
        <v>#10 SS Wood Screws</v>
      </c>
      <c r="I260" s="64">
        <v>7</v>
      </c>
      <c r="J260" s="64" t="str">
        <v>(4) 3/16" Masonry Screws Thru 1 Long L Anchor, 1-3/4" emb. [OA4]</v>
      </c>
      <c r="K260" s="64">
        <v>1260</v>
      </c>
      <c r="L260" s="64">
        <v>4</v>
      </c>
      <c r="M260" s="146" t="str">
        <v>3/16" Dewalt Ultracons</v>
      </c>
      <c r="N260" s="64">
        <v>7</v>
      </c>
      <c r="O260" s="64" t="str">
        <v>(5) #10-16 Self-Drilling Screws Thru 6" NSS end connection [OA5]</v>
      </c>
      <c r="P260" s="64">
        <v>885</v>
      </c>
      <c r="Q260" s="64">
        <v>5</v>
      </c>
      <c r="R260" s="127" t="str">
        <v>#10-16 HWH Self Drilling Screws</v>
      </c>
      <c r="V260" s="128" t="str">
        <f t="shared" si="9"/>
        <v>yes</v>
      </c>
      <c r="W260" s="128" t="str">
        <f t="shared" si="10"/>
        <v>yes</v>
      </c>
      <c r="X260" s="128" t="str">
        <f t="shared" si="11"/>
        <v>yes</v>
      </c>
      <c r="Y260" s="744">
        <v>7</v>
      </c>
      <c r="Z260" s="64" t="s">
        <v>940</v>
      </c>
      <c r="AA260" s="64">
        <v>705</v>
      </c>
      <c r="AB260" s="64">
        <v>5</v>
      </c>
      <c r="AC260" s="745" t="s">
        <v>540</v>
      </c>
      <c r="AD260" s="744">
        <v>7</v>
      </c>
      <c r="AE260" s="64" t="s">
        <v>951</v>
      </c>
      <c r="AF260" s="64">
        <v>740</v>
      </c>
      <c r="AG260" s="64">
        <v>4</v>
      </c>
      <c r="AH260" s="747" t="s">
        <v>1690</v>
      </c>
      <c r="AI260" s="744">
        <v>7</v>
      </c>
      <c r="AJ260" s="64"/>
      <c r="AK260" s="64"/>
      <c r="AL260" s="64"/>
      <c r="AM260" s="745"/>
    </row>
    <row r="261" spans="1:39" x14ac:dyDescent="0.25">
      <c r="A261" s="1352"/>
      <c r="B261" s="129" t="s">
        <v>1181</v>
      </c>
      <c r="C261" t="s">
        <v>1648</v>
      </c>
      <c r="D261" s="64">
        <v>8</v>
      </c>
      <c r="E261" s="64" t="str">
        <v>(6) #10 Screws Thru 2 Short L Anchors, 1-1/2" emb. [OA6]</v>
      </c>
      <c r="F261" s="125">
        <v>846</v>
      </c>
      <c r="G261" s="64">
        <v>6</v>
      </c>
      <c r="H261" s="127" t="str">
        <v>#10 SS Wood Screws</v>
      </c>
      <c r="I261" s="64">
        <v>8</v>
      </c>
      <c r="J261" s="64" t="str">
        <v>(4) 3/16" Masonry Screws Thru 2 Short L Anchors, 1-3/4" emb. [OA4]</v>
      </c>
      <c r="K261" s="64">
        <v>1260</v>
      </c>
      <c r="L261" s="64">
        <v>4</v>
      </c>
      <c r="M261" s="146" t="str">
        <v>3/16" Dewalt Ultracons</v>
      </c>
      <c r="N261" s="64">
        <v>8</v>
      </c>
      <c r="O261" s="64" t="str">
        <v>(4) #10-16 Self-Drilling Screws Thru 1 Long L Anchor [OA4]</v>
      </c>
      <c r="P261" s="64">
        <v>708</v>
      </c>
      <c r="Q261" s="64">
        <v>4</v>
      </c>
      <c r="R261" s="127" t="str">
        <v>#10-16 HWH Self Drilling Screws</v>
      </c>
      <c r="V261" s="128" t="str">
        <f t="shared" si="9"/>
        <v>yes</v>
      </c>
      <c r="W261" s="128" t="str">
        <f t="shared" si="10"/>
        <v>yes</v>
      </c>
      <c r="X261" s="128" t="str">
        <f t="shared" si="11"/>
        <v>yes</v>
      </c>
      <c r="Y261" s="744">
        <v>8</v>
      </c>
      <c r="Z261" s="64" t="s">
        <v>941</v>
      </c>
      <c r="AA261" s="125">
        <v>564</v>
      </c>
      <c r="AB261" s="64">
        <v>4</v>
      </c>
      <c r="AC261" s="745" t="s">
        <v>540</v>
      </c>
      <c r="AD261" s="744">
        <v>8</v>
      </c>
      <c r="AE261" s="64" t="s">
        <v>1703</v>
      </c>
      <c r="AF261" s="64">
        <v>555</v>
      </c>
      <c r="AG261" s="64">
        <v>3</v>
      </c>
      <c r="AH261" s="747" t="s">
        <v>1690</v>
      </c>
      <c r="AI261" s="744">
        <v>8</v>
      </c>
      <c r="AJ261" s="64"/>
      <c r="AK261" s="64"/>
      <c r="AL261" s="64"/>
      <c r="AM261" s="745"/>
    </row>
    <row r="262" spans="1:39" x14ac:dyDescent="0.25">
      <c r="A262" s="1352"/>
      <c r="B262" s="129" t="s">
        <v>1180</v>
      </c>
      <c r="C262" t="s">
        <v>1648</v>
      </c>
      <c r="D262" s="64">
        <v>9</v>
      </c>
      <c r="E262" s="64" t="str">
        <v>(5) #10 Screws Thru 6" NSS end connection, 3" emb. [OA5]</v>
      </c>
      <c r="F262" s="64">
        <v>800</v>
      </c>
      <c r="G262" s="64">
        <v>5</v>
      </c>
      <c r="H262" s="127" t="str">
        <v>#10 SS Wood Screws</v>
      </c>
      <c r="I262" s="64">
        <v>9</v>
      </c>
      <c r="J262" s="64" t="str">
        <v>(3) 3/16" Masonry Screws Thru 6" NSS end connection, 1-3/4" emb. [OA3]</v>
      </c>
      <c r="K262" s="125">
        <v>945</v>
      </c>
      <c r="L262" s="64">
        <v>3</v>
      </c>
      <c r="M262" s="146" t="str">
        <v>3/16" Dewalt Ultracons</v>
      </c>
      <c r="N262" s="64">
        <v>9</v>
      </c>
      <c r="O262" s="64" t="str">
        <v>(3) #10-16 Self-Drilling Screws Thru 1 Short L Anchor [OA3]</v>
      </c>
      <c r="P262" s="64">
        <v>531</v>
      </c>
      <c r="Q262" s="64">
        <v>3</v>
      </c>
      <c r="R262" s="127" t="str">
        <v>#10-16 HWH Self Drilling Screws</v>
      </c>
      <c r="V262" s="128" t="str">
        <f t="shared" si="9"/>
        <v>yes</v>
      </c>
      <c r="W262" s="128" t="str">
        <f t="shared" si="10"/>
        <v>yes</v>
      </c>
      <c r="X262" s="128" t="str">
        <f t="shared" si="11"/>
        <v>yes</v>
      </c>
      <c r="Y262" s="744">
        <v>9</v>
      </c>
      <c r="Z262" s="64" t="s">
        <v>942</v>
      </c>
      <c r="AA262" s="64">
        <v>534</v>
      </c>
      <c r="AB262" s="64">
        <v>3</v>
      </c>
      <c r="AC262" s="745" t="s">
        <v>540</v>
      </c>
      <c r="AD262" s="744">
        <v>9</v>
      </c>
      <c r="AE262" s="64" t="s">
        <v>952</v>
      </c>
      <c r="AF262" s="125">
        <v>630</v>
      </c>
      <c r="AG262" s="64">
        <v>2</v>
      </c>
      <c r="AH262" s="747" t="s">
        <v>1690</v>
      </c>
      <c r="AI262" s="744">
        <v>9</v>
      </c>
      <c r="AJ262" s="64"/>
      <c r="AK262" s="64"/>
      <c r="AL262" s="64"/>
      <c r="AM262" s="745"/>
    </row>
    <row r="263" spans="1:39" x14ac:dyDescent="0.25">
      <c r="A263" s="1352"/>
      <c r="B263" s="129" t="s">
        <v>1407</v>
      </c>
      <c r="C263" t="s">
        <v>1648</v>
      </c>
      <c r="D263" s="64">
        <v>10</v>
      </c>
      <c r="E263" s="64" t="str">
        <v>(4) #10 Screws Thru 1 Long L Anchor, 3" emb. [OA4]</v>
      </c>
      <c r="F263" s="125">
        <v>712</v>
      </c>
      <c r="G263" s="64">
        <v>4</v>
      </c>
      <c r="H263" s="127" t="str">
        <v>#10 SS Wood Screws</v>
      </c>
      <c r="I263" s="64">
        <v>10</v>
      </c>
      <c r="J263" s="64" t="str">
        <v>(4) 3/16" Masonry Screws Thru 1 Long L Anchor, 1-1/4" emb. [OA4]</v>
      </c>
      <c r="K263" s="64">
        <v>740</v>
      </c>
      <c r="L263" s="64">
        <v>4</v>
      </c>
      <c r="M263" s="146" t="str">
        <v>3/16" Dewalt Ultracons</v>
      </c>
      <c r="N263" s="64">
        <v>10</v>
      </c>
      <c r="O263" s="64">
        <v>0</v>
      </c>
      <c r="P263" s="64">
        <v>0</v>
      </c>
      <c r="Q263" s="64">
        <v>0</v>
      </c>
      <c r="R263" s="127">
        <v>0</v>
      </c>
      <c r="V263" s="128" t="str">
        <f t="shared" si="9"/>
        <v>yes</v>
      </c>
      <c r="W263" s="128" t="str">
        <f t="shared" si="10"/>
        <v>yes</v>
      </c>
      <c r="X263" s="128" t="str">
        <f t="shared" si="11"/>
        <v>yes</v>
      </c>
      <c r="Y263" s="744">
        <v>10</v>
      </c>
      <c r="Z263" s="64" t="s">
        <v>943</v>
      </c>
      <c r="AA263" s="125">
        <v>423</v>
      </c>
      <c r="AB263" s="64">
        <v>3</v>
      </c>
      <c r="AC263" s="745" t="s">
        <v>540</v>
      </c>
      <c r="AD263" s="744">
        <v>10</v>
      </c>
      <c r="AE263" s="64" t="s">
        <v>953</v>
      </c>
      <c r="AF263" s="64">
        <v>370</v>
      </c>
      <c r="AG263" s="64">
        <v>2</v>
      </c>
      <c r="AH263" s="747" t="s">
        <v>1690</v>
      </c>
      <c r="AI263" s="744">
        <v>10</v>
      </c>
      <c r="AJ263" s="64"/>
      <c r="AK263" s="64"/>
      <c r="AL263" s="64"/>
      <c r="AM263" s="745"/>
    </row>
    <row r="264" spans="1:39" x14ac:dyDescent="0.25">
      <c r="A264" s="1352"/>
      <c r="B264" s="129" t="s">
        <v>1183</v>
      </c>
      <c r="C264" t="s">
        <v>1648</v>
      </c>
      <c r="D264" s="64">
        <v>11</v>
      </c>
      <c r="E264" s="64" t="str">
        <v>(5) #10 Screws Thru 6" NSS end connection, 1-1/2" emb. [OA5]</v>
      </c>
      <c r="F264" s="64">
        <v>705</v>
      </c>
      <c r="G264" s="64">
        <v>5</v>
      </c>
      <c r="H264" s="127" t="str">
        <v>#10 SS Wood Screws</v>
      </c>
      <c r="I264" s="64">
        <v>11</v>
      </c>
      <c r="J264" s="64" t="str">
        <v>(4) 3/16" Masonry Screws Thru 2 Short L Anchors, 1-1/4" emb. [OA4]</v>
      </c>
      <c r="K264" s="64">
        <v>740</v>
      </c>
      <c r="L264" s="64">
        <v>4</v>
      </c>
      <c r="M264" s="146" t="str">
        <v>3/16" Dewalt Ultracons</v>
      </c>
      <c r="N264" s="64">
        <v>11</v>
      </c>
      <c r="O264" s="64">
        <v>0</v>
      </c>
      <c r="P264" s="64">
        <v>0</v>
      </c>
      <c r="Q264" s="64">
        <v>0</v>
      </c>
      <c r="R264" s="127">
        <v>0</v>
      </c>
      <c r="V264" s="128" t="str">
        <f t="shared" si="9"/>
        <v>yes</v>
      </c>
      <c r="W264" s="128" t="str">
        <f t="shared" si="10"/>
        <v>yes</v>
      </c>
      <c r="X264" s="128" t="str">
        <f t="shared" si="11"/>
        <v>yes</v>
      </c>
      <c r="Y264" s="744">
        <v>11</v>
      </c>
      <c r="Z264" t="str">
        <f>IF($D2="Yes",E4,"")</f>
        <v/>
      </c>
      <c r="AA264" t="str">
        <f t="shared" ref="AA264:AM264" si="12">IF($D2="Yes",F4,"")</f>
        <v/>
      </c>
      <c r="AB264" t="str">
        <f t="shared" si="12"/>
        <v/>
      </c>
      <c r="AC264" t="str">
        <f t="shared" si="12"/>
        <v/>
      </c>
      <c r="AD264" s="744">
        <v>11</v>
      </c>
      <c r="AE264" t="str">
        <f t="shared" si="12"/>
        <v/>
      </c>
      <c r="AF264" t="str">
        <f t="shared" si="12"/>
        <v/>
      </c>
      <c r="AG264" t="str">
        <f t="shared" si="12"/>
        <v/>
      </c>
      <c r="AH264" t="str">
        <f t="shared" si="12"/>
        <v/>
      </c>
      <c r="AI264" s="744">
        <v>11</v>
      </c>
      <c r="AJ264" t="str">
        <f t="shared" si="12"/>
        <v/>
      </c>
      <c r="AK264" t="str">
        <f t="shared" si="12"/>
        <v/>
      </c>
      <c r="AL264" t="str">
        <f t="shared" si="12"/>
        <v/>
      </c>
      <c r="AM264" t="str">
        <f t="shared" si="12"/>
        <v/>
      </c>
    </row>
    <row r="265" spans="1:39" x14ac:dyDescent="0.25">
      <c r="A265" s="1352"/>
      <c r="B265" s="129" t="s">
        <v>1182</v>
      </c>
      <c r="C265" t="s">
        <v>1648</v>
      </c>
      <c r="D265" s="64">
        <v>12</v>
      </c>
      <c r="E265" s="64" t="str">
        <v>(4) #10 Screws Thru 1 Long L Anchor, 1-1/2" emb. [OA4]</v>
      </c>
      <c r="F265" s="64">
        <v>564</v>
      </c>
      <c r="G265" s="64">
        <v>4</v>
      </c>
      <c r="H265" s="127" t="str">
        <v>#10 SS Wood Screws</v>
      </c>
      <c r="I265" s="64">
        <v>12</v>
      </c>
      <c r="J265" s="64" t="str">
        <v>(2) 3/16" Masonry Screws Thru 1 Short L Anchor, 1-3/4" emb. [OA2]</v>
      </c>
      <c r="K265" s="64">
        <v>630</v>
      </c>
      <c r="L265" s="64">
        <v>2</v>
      </c>
      <c r="M265" s="146" t="str">
        <v>3/16" Dewalt Ultracons</v>
      </c>
      <c r="N265" s="64">
        <v>12</v>
      </c>
      <c r="O265" s="64">
        <v>0</v>
      </c>
      <c r="P265" s="64">
        <v>0</v>
      </c>
      <c r="Q265" s="64">
        <v>0</v>
      </c>
      <c r="R265" s="127">
        <v>0</v>
      </c>
      <c r="V265" s="128" t="str">
        <f t="shared" si="9"/>
        <v>yes</v>
      </c>
      <c r="W265" s="128" t="str">
        <f t="shared" si="10"/>
        <v>yes</v>
      </c>
      <c r="X265" s="128" t="str">
        <f t="shared" si="11"/>
        <v>yes</v>
      </c>
      <c r="Y265" s="744">
        <v>12</v>
      </c>
      <c r="Z265" t="str">
        <f>IF($D3="Yes",E5,"")</f>
        <v/>
      </c>
      <c r="AA265" t="str">
        <f t="shared" ref="AA265:AM265" si="13">IF($D3="Yes",F5,"")</f>
        <v/>
      </c>
      <c r="AB265" t="str">
        <f t="shared" si="13"/>
        <v/>
      </c>
      <c r="AC265" t="str">
        <f t="shared" si="13"/>
        <v/>
      </c>
      <c r="AD265" s="744">
        <v>12</v>
      </c>
      <c r="AE265" t="str">
        <f t="shared" si="13"/>
        <v/>
      </c>
      <c r="AF265" t="str">
        <f t="shared" si="13"/>
        <v/>
      </c>
      <c r="AG265" t="str">
        <f t="shared" si="13"/>
        <v/>
      </c>
      <c r="AH265" t="str">
        <f t="shared" si="13"/>
        <v/>
      </c>
      <c r="AI265" s="744">
        <v>12</v>
      </c>
      <c r="AJ265" t="str">
        <f t="shared" si="13"/>
        <v/>
      </c>
      <c r="AK265" t="str">
        <f t="shared" si="13"/>
        <v/>
      </c>
      <c r="AL265" t="str">
        <f t="shared" si="13"/>
        <v/>
      </c>
      <c r="AM265" t="str">
        <f t="shared" si="13"/>
        <v/>
      </c>
    </row>
    <row r="266" spans="1:39" x14ac:dyDescent="0.25">
      <c r="A266" s="1352"/>
      <c r="B266" s="129" t="s">
        <v>1408</v>
      </c>
      <c r="C266" t="s">
        <v>1648</v>
      </c>
      <c r="D266" s="64">
        <v>13</v>
      </c>
      <c r="E266" s="64" t="str">
        <v>(3) #10 Screws Thru 1 Short L Anchor, 3" emb. [OA3]</v>
      </c>
      <c r="F266" s="64">
        <v>534</v>
      </c>
      <c r="G266" s="64">
        <v>3</v>
      </c>
      <c r="H266" s="127" t="str">
        <v>#10 SS Wood Screws</v>
      </c>
      <c r="I266" s="64">
        <v>13</v>
      </c>
      <c r="J266" s="64" t="str">
        <v>(3) 3/16" Masonry Screws Thru 6" NSS end connection, 1-1/4" emb. [OA3]</v>
      </c>
      <c r="K266" s="64">
        <v>555</v>
      </c>
      <c r="L266" s="64">
        <v>3</v>
      </c>
      <c r="M266" s="146" t="str">
        <v>3/16" Dewalt Ultracons</v>
      </c>
      <c r="N266" s="64">
        <v>13</v>
      </c>
      <c r="O266" s="64">
        <v>0</v>
      </c>
      <c r="P266" s="64">
        <v>0</v>
      </c>
      <c r="Q266" s="64">
        <v>0</v>
      </c>
      <c r="R266" s="127">
        <v>0</v>
      </c>
      <c r="V266" s="128" t="str">
        <f t="shared" si="9"/>
        <v>yes</v>
      </c>
      <c r="W266" s="128" t="str">
        <f t="shared" si="10"/>
        <v>yes</v>
      </c>
      <c r="X266" s="128" t="str">
        <f t="shared" si="11"/>
        <v>yes</v>
      </c>
      <c r="Y266" s="744">
        <v>13</v>
      </c>
      <c r="Z266" t="str">
        <f t="shared" ref="Z266:Z267" si="14">IF($D4="Yes",E4,"")</f>
        <v/>
      </c>
      <c r="AA266" t="str">
        <f t="shared" ref="AA266:AA267" si="15">IF($D4="Yes",F4,"")</f>
        <v/>
      </c>
      <c r="AB266" t="str">
        <f t="shared" ref="AB266:AB267" si="16">IF($D4="Yes",G4,"")</f>
        <v/>
      </c>
      <c r="AC266" t="str">
        <f t="shared" ref="AC266:AC267" si="17">IF($D4="Yes",H4,"")</f>
        <v/>
      </c>
      <c r="AD266" s="744">
        <v>13</v>
      </c>
      <c r="AE266" t="str">
        <f t="shared" ref="AE266:AE267" si="18">IF($D4="Yes",J4,"")</f>
        <v/>
      </c>
      <c r="AF266" t="str">
        <f t="shared" ref="AF266:AF267" si="19">IF($D4="Yes",K4,"")</f>
        <v/>
      </c>
      <c r="AG266" t="str">
        <f t="shared" ref="AG266:AG267" si="20">IF($D4="Yes",L4,"")</f>
        <v/>
      </c>
      <c r="AH266" t="str">
        <f t="shared" ref="AH266:AH267" si="21">IF($D4="Yes",M4,"")</f>
        <v/>
      </c>
      <c r="AI266" s="744">
        <v>13</v>
      </c>
      <c r="AJ266" t="str">
        <f t="shared" ref="AJ266:AJ267" si="22">IF($D4="Yes",O4,"")</f>
        <v/>
      </c>
      <c r="AK266" t="str">
        <f t="shared" ref="AK266:AK267" si="23">IF($D4="Yes",P4,"")</f>
        <v/>
      </c>
      <c r="AL266" t="str">
        <f t="shared" ref="AL266:AL267" si="24">IF($D4="Yes",Q4,"")</f>
        <v/>
      </c>
      <c r="AM266" t="str">
        <f t="shared" ref="AM266:AM267" si="25">IF($D4="Yes",R4,"")</f>
        <v/>
      </c>
    </row>
    <row r="267" spans="1:39" x14ac:dyDescent="0.25">
      <c r="A267" s="1352"/>
      <c r="B267" s="129" t="s">
        <v>1185</v>
      </c>
      <c r="C267" t="s">
        <v>1648</v>
      </c>
      <c r="D267" s="64">
        <v>14</v>
      </c>
      <c r="E267" s="64" t="str">
        <v>(3) #10 Screws Thru 1 Short L Anchor, 1-1/2" emb. [OA3]</v>
      </c>
      <c r="F267" s="64">
        <v>423</v>
      </c>
      <c r="G267" s="64">
        <v>3</v>
      </c>
      <c r="H267" s="127" t="str">
        <v>#10 SS Wood Screws</v>
      </c>
      <c r="I267" s="64">
        <v>14</v>
      </c>
      <c r="J267" s="64" t="str">
        <v>(2) 3/16" Masonry Screws Thru 1 Short L Anchor, 1-1/4" emb. [OA2]</v>
      </c>
      <c r="K267" s="64">
        <v>370</v>
      </c>
      <c r="L267" s="64">
        <v>2</v>
      </c>
      <c r="M267" s="146" t="str">
        <v>3/16" Dewalt Ultracons</v>
      </c>
      <c r="N267" s="64">
        <v>14</v>
      </c>
      <c r="O267" s="64">
        <v>0</v>
      </c>
      <c r="P267" s="64">
        <v>0</v>
      </c>
      <c r="Q267" s="64">
        <v>0</v>
      </c>
      <c r="R267" s="127">
        <v>0</v>
      </c>
      <c r="V267" s="128" t="str">
        <f t="shared" si="9"/>
        <v>yes</v>
      </c>
      <c r="W267" s="128" t="str">
        <f t="shared" si="10"/>
        <v>yes</v>
      </c>
      <c r="X267" s="128" t="str">
        <f t="shared" si="11"/>
        <v>yes</v>
      </c>
      <c r="Y267" s="744">
        <v>14</v>
      </c>
      <c r="Z267" t="str">
        <f t="shared" si="14"/>
        <v/>
      </c>
      <c r="AA267" t="str">
        <f t="shared" si="15"/>
        <v/>
      </c>
      <c r="AB267" t="str">
        <f t="shared" si="16"/>
        <v/>
      </c>
      <c r="AC267" t="str">
        <f t="shared" si="17"/>
        <v/>
      </c>
      <c r="AD267" s="744">
        <v>14</v>
      </c>
      <c r="AE267" t="str">
        <f t="shared" si="18"/>
        <v/>
      </c>
      <c r="AF267" t="str">
        <f t="shared" si="19"/>
        <v/>
      </c>
      <c r="AG267" t="str">
        <f t="shared" si="20"/>
        <v/>
      </c>
      <c r="AH267" t="str">
        <f t="shared" si="21"/>
        <v/>
      </c>
      <c r="AI267" s="744">
        <v>14</v>
      </c>
      <c r="AJ267" t="str">
        <f t="shared" si="22"/>
        <v/>
      </c>
      <c r="AK267" t="str">
        <f t="shared" si="23"/>
        <v/>
      </c>
      <c r="AL267" t="str">
        <f t="shared" si="24"/>
        <v/>
      </c>
      <c r="AM267" t="str">
        <f t="shared" si="25"/>
        <v/>
      </c>
    </row>
    <row r="268" spans="1:39" x14ac:dyDescent="0.25">
      <c r="A268" s="1352"/>
      <c r="B268" s="129" t="s">
        <v>1184</v>
      </c>
      <c r="C268" t="s">
        <v>1648</v>
      </c>
      <c r="D268" s="64">
        <v>15</v>
      </c>
      <c r="E268" s="64">
        <v>0</v>
      </c>
      <c r="F268" s="64">
        <v>0</v>
      </c>
      <c r="G268" s="64">
        <v>0</v>
      </c>
      <c r="H268" s="127">
        <v>0</v>
      </c>
      <c r="I268" s="64">
        <v>15</v>
      </c>
      <c r="J268" s="64">
        <v>0</v>
      </c>
      <c r="K268" s="64">
        <v>0</v>
      </c>
      <c r="L268" s="64">
        <v>0</v>
      </c>
      <c r="M268" s="146">
        <v>0</v>
      </c>
      <c r="N268" s="64">
        <v>15</v>
      </c>
      <c r="O268" s="64">
        <v>0</v>
      </c>
      <c r="P268" s="64">
        <v>0</v>
      </c>
      <c r="Q268" s="64">
        <v>0</v>
      </c>
      <c r="R268" s="127">
        <v>0</v>
      </c>
      <c r="V268" s="128" t="str">
        <f t="shared" si="9"/>
        <v>yes</v>
      </c>
      <c r="W268" s="128" t="str">
        <f t="shared" si="10"/>
        <v>yes</v>
      </c>
      <c r="X268" s="128" t="str">
        <f t="shared" si="11"/>
        <v>yes</v>
      </c>
      <c r="Y268" s="744">
        <v>15</v>
      </c>
      <c r="AD268" s="744">
        <v>15</v>
      </c>
      <c r="AI268" s="744">
        <v>15</v>
      </c>
    </row>
    <row r="269" spans="1:39" x14ac:dyDescent="0.25">
      <c r="A269" s="1352"/>
      <c r="B269" s="129" t="s">
        <v>1409</v>
      </c>
      <c r="C269" t="s">
        <v>1648</v>
      </c>
      <c r="D269" s="64">
        <v>16</v>
      </c>
      <c r="E269" s="64">
        <v>0</v>
      </c>
      <c r="F269" s="64">
        <v>0</v>
      </c>
      <c r="G269" s="64">
        <v>0</v>
      </c>
      <c r="H269" s="127">
        <v>0</v>
      </c>
      <c r="I269" s="64">
        <v>16</v>
      </c>
      <c r="J269" s="64">
        <v>0</v>
      </c>
      <c r="K269" s="64">
        <v>0</v>
      </c>
      <c r="L269" s="64">
        <v>0</v>
      </c>
      <c r="M269" s="146">
        <v>0</v>
      </c>
      <c r="N269" s="64">
        <v>16</v>
      </c>
      <c r="O269" s="64">
        <v>0</v>
      </c>
      <c r="P269" s="64">
        <v>0</v>
      </c>
      <c r="Q269" s="64">
        <v>0</v>
      </c>
      <c r="R269" s="127">
        <v>0</v>
      </c>
      <c r="V269" s="128" t="str">
        <f t="shared" si="9"/>
        <v>yes</v>
      </c>
      <c r="W269" s="128" t="str">
        <f t="shared" si="10"/>
        <v>yes</v>
      </c>
      <c r="X269" s="128" t="str">
        <f t="shared" si="11"/>
        <v>yes</v>
      </c>
      <c r="Y269" s="744">
        <v>16</v>
      </c>
      <c r="AD269" s="744">
        <v>16</v>
      </c>
      <c r="AI269" s="744">
        <v>16</v>
      </c>
    </row>
    <row r="270" spans="1:39" x14ac:dyDescent="0.25">
      <c r="A270" s="1352"/>
      <c r="B270" s="129"/>
      <c r="C270" t="s">
        <v>1648</v>
      </c>
      <c r="D270" s="64"/>
      <c r="E270" s="64"/>
      <c r="F270" s="64"/>
      <c r="G270" s="64"/>
      <c r="H270" s="127"/>
      <c r="I270" s="64"/>
      <c r="J270" s="64"/>
      <c r="K270" s="64"/>
      <c r="L270" s="64"/>
      <c r="M270" s="146"/>
      <c r="N270" s="64"/>
      <c r="O270" s="64"/>
      <c r="P270" s="64"/>
      <c r="Q270" s="64"/>
      <c r="R270" s="127"/>
      <c r="V270" s="128" t="str">
        <f t="shared" si="9"/>
        <v>--</v>
      </c>
      <c r="W270" s="128" t="str">
        <f t="shared" si="10"/>
        <v>--</v>
      </c>
      <c r="X270" s="128" t="str">
        <f t="shared" si="11"/>
        <v>--</v>
      </c>
    </row>
    <row r="271" spans="1:39" x14ac:dyDescent="0.25">
      <c r="A271" s="1352"/>
      <c r="B271" s="129"/>
      <c r="C271" t="s">
        <v>1648</v>
      </c>
      <c r="D271" s="64"/>
      <c r="E271" s="64"/>
      <c r="F271" s="64"/>
      <c r="G271" s="64"/>
      <c r="H271" s="127"/>
      <c r="I271" s="64"/>
      <c r="J271" s="64"/>
      <c r="K271" s="64"/>
      <c r="L271" s="64"/>
      <c r="M271" s="146"/>
      <c r="N271" s="64"/>
      <c r="O271" s="64"/>
      <c r="P271" s="64"/>
      <c r="Q271" s="64"/>
      <c r="R271" s="127"/>
      <c r="V271" s="128" t="str">
        <f t="shared" si="9"/>
        <v>--</v>
      </c>
      <c r="W271" s="128" t="str">
        <f t="shared" si="10"/>
        <v>--</v>
      </c>
      <c r="X271" s="128" t="str">
        <f t="shared" si="11"/>
        <v>--</v>
      </c>
    </row>
    <row r="272" spans="1:39" x14ac:dyDescent="0.25">
      <c r="A272" s="1352"/>
      <c r="B272" s="129"/>
      <c r="C272" t="s">
        <v>1648</v>
      </c>
      <c r="D272" s="64"/>
      <c r="E272" s="64"/>
      <c r="F272" s="64"/>
      <c r="G272" s="64"/>
      <c r="H272" s="127"/>
      <c r="I272" s="64"/>
      <c r="J272" s="64"/>
      <c r="K272" s="64"/>
      <c r="L272" s="64"/>
      <c r="M272" s="146"/>
      <c r="N272" s="64"/>
      <c r="O272" s="64"/>
      <c r="P272" s="64"/>
      <c r="Q272" s="64"/>
      <c r="R272" s="127"/>
      <c r="V272" s="128" t="str">
        <f t="shared" si="9"/>
        <v>--</v>
      </c>
      <c r="W272" s="128" t="str">
        <f t="shared" si="10"/>
        <v>--</v>
      </c>
      <c r="X272" s="128" t="str">
        <f t="shared" si="11"/>
        <v>--</v>
      </c>
    </row>
    <row r="273" spans="1:39" x14ac:dyDescent="0.25">
      <c r="A273" s="1352"/>
      <c r="B273" s="130"/>
      <c r="C273" t="s">
        <v>1648</v>
      </c>
      <c r="D273" s="132"/>
      <c r="E273" s="132"/>
      <c r="F273" s="132"/>
      <c r="G273" s="132"/>
      <c r="H273" s="134"/>
      <c r="I273" s="132"/>
      <c r="J273" s="132"/>
      <c r="K273" s="132"/>
      <c r="L273" s="132"/>
      <c r="M273" s="147"/>
      <c r="N273" s="132"/>
      <c r="O273" s="132"/>
      <c r="P273" s="132"/>
      <c r="Q273" s="132"/>
      <c r="R273" s="134"/>
      <c r="V273" s="128" t="str">
        <f t="shared" si="9"/>
        <v>--</v>
      </c>
      <c r="W273" s="128" t="str">
        <f t="shared" si="10"/>
        <v>--</v>
      </c>
      <c r="X273" s="128" t="str">
        <f t="shared" si="11"/>
        <v>--</v>
      </c>
    </row>
    <row r="274" spans="1:39" x14ac:dyDescent="0.25">
      <c r="A274" s="1352"/>
      <c r="B274" s="129" t="s">
        <v>1186</v>
      </c>
      <c r="C274" t="s">
        <v>1649</v>
      </c>
      <c r="D274" s="64">
        <v>1</v>
      </c>
      <c r="E274" s="64" t="str" cm="1">
        <f t="array" ref="E274:H289">_xlfn._xlws.SORT(Z274:AC289,2,-1,FALSE)</f>
        <v/>
      </c>
      <c r="F274" s="64" t="str">
        <v/>
      </c>
      <c r="G274" s="64" t="str">
        <v/>
      </c>
      <c r="H274" s="127" t="str">
        <v/>
      </c>
      <c r="I274" s="64">
        <v>1</v>
      </c>
      <c r="J274" s="64" t="str" cm="1">
        <f t="array" ref="J274:M289">_xlfn._xlws.SORT(AE274:AH289,2,-1,FALSE)</f>
        <v/>
      </c>
      <c r="K274" s="64" t="str">
        <v/>
      </c>
      <c r="L274" s="64" t="str">
        <v/>
      </c>
      <c r="M274" s="146" t="str">
        <v/>
      </c>
      <c r="N274" s="64">
        <v>1</v>
      </c>
      <c r="O274" s="64" t="str" cm="1">
        <f t="array" ref="O274:R289">_xlfn._xlws.SORT(AJ274:AM289,2,-1,FALSE)</f>
        <v/>
      </c>
      <c r="P274" s="64" t="str">
        <v/>
      </c>
      <c r="Q274" s="64" t="str">
        <v/>
      </c>
      <c r="R274" s="127" t="str">
        <v/>
      </c>
      <c r="V274" s="128" t="str">
        <f t="shared" si="9"/>
        <v>--</v>
      </c>
      <c r="W274" s="128" t="str">
        <f t="shared" si="10"/>
        <v>--</v>
      </c>
      <c r="X274" s="128" t="str">
        <f t="shared" si="11"/>
        <v>--</v>
      </c>
      <c r="Y274">
        <v>1</v>
      </c>
      <c r="Z274" t="s">
        <v>934</v>
      </c>
      <c r="AA274">
        <v>1424</v>
      </c>
      <c r="AB274">
        <v>8</v>
      </c>
      <c r="AC274" t="s">
        <v>540</v>
      </c>
      <c r="AD274">
        <v>1</v>
      </c>
      <c r="AE274" t="s">
        <v>946</v>
      </c>
      <c r="AF274" s="742">
        <v>2520</v>
      </c>
      <c r="AG274">
        <v>8</v>
      </c>
      <c r="AH274" t="s">
        <v>1690</v>
      </c>
      <c r="AI274">
        <v>1</v>
      </c>
      <c r="AJ274" t="s">
        <v>954</v>
      </c>
      <c r="AK274">
        <v>1416</v>
      </c>
      <c r="AL274">
        <v>8</v>
      </c>
      <c r="AM274" t="s">
        <v>542</v>
      </c>
    </row>
    <row r="275" spans="1:39" x14ac:dyDescent="0.25">
      <c r="A275" s="1352"/>
      <c r="B275" s="129" t="s">
        <v>1410</v>
      </c>
      <c r="C275" t="s">
        <v>1649</v>
      </c>
      <c r="D275" s="64">
        <v>2</v>
      </c>
      <c r="E275" s="64" t="str">
        <v/>
      </c>
      <c r="F275" s="64" t="str">
        <v/>
      </c>
      <c r="G275" s="64" t="str">
        <v/>
      </c>
      <c r="H275" s="127" t="str">
        <v/>
      </c>
      <c r="I275" s="64">
        <v>2</v>
      </c>
      <c r="J275" s="64" t="str">
        <v/>
      </c>
      <c r="K275" s="64" t="str">
        <v/>
      </c>
      <c r="L275" s="64" t="str">
        <v/>
      </c>
      <c r="M275" s="146" t="str">
        <v/>
      </c>
      <c r="N275" s="64">
        <v>2</v>
      </c>
      <c r="O275" s="64" t="str">
        <v/>
      </c>
      <c r="P275" s="64" t="str">
        <v/>
      </c>
      <c r="Q275" s="64" t="str">
        <v/>
      </c>
      <c r="R275" s="127" t="str">
        <v/>
      </c>
      <c r="V275" s="128" t="str">
        <f t="shared" ref="V275:V338" si="26">IFERROR(IF((LEFT(RIGHT(E275,2),1)+RIGHT(LEFT(E275,2),1)+G275)/3=G275,"yes","NOOO"),"--")</f>
        <v>--</v>
      </c>
      <c r="W275" s="128" t="str">
        <f t="shared" ref="W275:W338" si="27">IFERROR(IF((LEFT(RIGHT(J275,2),1)+RIGHT(LEFT(J275,2),1)+L275)/3=L275,"yes","NOOO"),"--")</f>
        <v>--</v>
      </c>
      <c r="X275" s="128" t="str">
        <f t="shared" ref="X275:X338" si="28">IFERROR(IF((LEFT(RIGHT(O275,2),1)+RIGHT(LEFT(O275,2),1)+Q275)/3=Q275,"yes","NOOO"),"--")</f>
        <v>--</v>
      </c>
      <c r="Y275">
        <v>2</v>
      </c>
      <c r="Z275" t="s">
        <v>935</v>
      </c>
      <c r="AA275">
        <v>1128</v>
      </c>
      <c r="AB275">
        <v>8</v>
      </c>
      <c r="AC275" t="s">
        <v>540</v>
      </c>
      <c r="AD275">
        <v>2</v>
      </c>
      <c r="AE275" t="s">
        <v>947</v>
      </c>
      <c r="AF275" s="64">
        <v>1480</v>
      </c>
      <c r="AG275">
        <v>8</v>
      </c>
      <c r="AH275" t="s">
        <v>1690</v>
      </c>
      <c r="AI275">
        <v>2</v>
      </c>
      <c r="AJ275" t="s">
        <v>955</v>
      </c>
      <c r="AK275">
        <v>1062</v>
      </c>
      <c r="AL275">
        <v>6</v>
      </c>
      <c r="AM275" t="s">
        <v>542</v>
      </c>
    </row>
    <row r="276" spans="1:39" x14ac:dyDescent="0.25">
      <c r="A276" s="1352"/>
      <c r="B276" s="129" t="s">
        <v>1188</v>
      </c>
      <c r="C276" t="s">
        <v>1649</v>
      </c>
      <c r="D276" s="64">
        <v>3</v>
      </c>
      <c r="E276" s="64" t="str">
        <v>(8) #10 Screws Thru 2 Long L Anchors, 3" emb. [OA8]</v>
      </c>
      <c r="F276" s="64">
        <v>1424</v>
      </c>
      <c r="G276" s="64">
        <v>8</v>
      </c>
      <c r="H276" s="127" t="str">
        <v>#10 SS Wood Screws</v>
      </c>
      <c r="I276" s="64">
        <v>3</v>
      </c>
      <c r="J276" s="64" t="str">
        <v>(8) 3/16" Masonry Screws Thru 2 Long L Anchors, 1-3/4" emb. [OA8]</v>
      </c>
      <c r="K276" s="125">
        <v>2520</v>
      </c>
      <c r="L276" s="64">
        <v>8</v>
      </c>
      <c r="M276" s="146" t="str">
        <v>3/16" Dewalt Ultracons</v>
      </c>
      <c r="N276" s="64">
        <v>3</v>
      </c>
      <c r="O276" s="64" t="str">
        <v>(8) #10-16 Self-Drilling Screws Thru 2 Long L Anchors [OA8]</v>
      </c>
      <c r="P276" s="64">
        <v>1416</v>
      </c>
      <c r="Q276" s="64">
        <v>8</v>
      </c>
      <c r="R276" s="127" t="str">
        <v>#10-16 HWH Self Drilling Screws</v>
      </c>
      <c r="V276" s="128" t="str">
        <f t="shared" si="26"/>
        <v>yes</v>
      </c>
      <c r="W276" s="128" t="str">
        <f t="shared" si="27"/>
        <v>yes</v>
      </c>
      <c r="X276" s="128" t="str">
        <f t="shared" si="28"/>
        <v>yes</v>
      </c>
      <c r="Y276">
        <v>3</v>
      </c>
      <c r="Z276" t="s">
        <v>936</v>
      </c>
      <c r="AA276">
        <v>1068</v>
      </c>
      <c r="AB276">
        <v>6</v>
      </c>
      <c r="AC276" t="s">
        <v>540</v>
      </c>
      <c r="AD276">
        <v>3</v>
      </c>
      <c r="AE276" t="s">
        <v>948</v>
      </c>
      <c r="AF276">
        <v>1260</v>
      </c>
      <c r="AG276">
        <v>4</v>
      </c>
      <c r="AH276" t="s">
        <v>1690</v>
      </c>
      <c r="AI276">
        <v>3</v>
      </c>
      <c r="AJ276" t="s">
        <v>959</v>
      </c>
      <c r="AK276">
        <v>708</v>
      </c>
      <c r="AL276">
        <v>4</v>
      </c>
      <c r="AM276" t="s">
        <v>542</v>
      </c>
    </row>
    <row r="277" spans="1:39" x14ac:dyDescent="0.25">
      <c r="A277" s="1352"/>
      <c r="B277" s="129" t="s">
        <v>1187</v>
      </c>
      <c r="C277" t="s">
        <v>1649</v>
      </c>
      <c r="D277" s="64">
        <v>4</v>
      </c>
      <c r="E277" s="64" t="str">
        <v>(8) #10 Screws Thru 2 Long L Anchors, 1-1/2" emb. [OA8]</v>
      </c>
      <c r="F277" s="64">
        <v>1128</v>
      </c>
      <c r="G277" s="64">
        <v>8</v>
      </c>
      <c r="H277" s="127" t="str">
        <v>#10 SS Wood Screws</v>
      </c>
      <c r="I277" s="64">
        <v>4</v>
      </c>
      <c r="J277" s="64" t="str">
        <v>(8) 3/16" Masonry Screws Thru 2 Long L Anchors, 1-1/4" emb. [OA8]</v>
      </c>
      <c r="K277" s="64">
        <v>1480</v>
      </c>
      <c r="L277" s="64">
        <v>8</v>
      </c>
      <c r="M277" s="146" t="str">
        <v>3/16" Dewalt Ultracons</v>
      </c>
      <c r="N277" s="64">
        <v>4</v>
      </c>
      <c r="O277" s="64" t="str">
        <v>(6) #10-16 Self-Drilling Screws Thru 2 Short L Anchors [OA6]</v>
      </c>
      <c r="P277" s="125">
        <v>1062</v>
      </c>
      <c r="Q277" s="64">
        <v>6</v>
      </c>
      <c r="R277" s="127" t="str">
        <v>#10-16 HWH Self Drilling Screws</v>
      </c>
      <c r="V277" s="128" t="str">
        <f t="shared" si="26"/>
        <v>yes</v>
      </c>
      <c r="W277" s="128" t="str">
        <f t="shared" si="27"/>
        <v>yes</v>
      </c>
      <c r="X277" s="128" t="str">
        <f t="shared" si="28"/>
        <v>yes</v>
      </c>
      <c r="Y277">
        <v>4</v>
      </c>
      <c r="Z277" t="s">
        <v>937</v>
      </c>
      <c r="AA277">
        <v>846</v>
      </c>
      <c r="AB277">
        <v>6</v>
      </c>
      <c r="AC277" t="s">
        <v>540</v>
      </c>
      <c r="AD277">
        <v>4</v>
      </c>
      <c r="AE277" t="s">
        <v>949</v>
      </c>
      <c r="AF277">
        <v>1260</v>
      </c>
      <c r="AG277">
        <v>4</v>
      </c>
      <c r="AH277" t="s">
        <v>1690</v>
      </c>
      <c r="AI277">
        <v>4</v>
      </c>
      <c r="AJ277" t="s">
        <v>957</v>
      </c>
      <c r="AK277">
        <v>708</v>
      </c>
      <c r="AL277">
        <v>4</v>
      </c>
      <c r="AM277" t="s">
        <v>542</v>
      </c>
    </row>
    <row r="278" spans="1:39" x14ac:dyDescent="0.25">
      <c r="A278" s="1352"/>
      <c r="B278" s="129" t="s">
        <v>1411</v>
      </c>
      <c r="C278" t="s">
        <v>1649</v>
      </c>
      <c r="D278" s="64">
        <v>5</v>
      </c>
      <c r="E278" s="64" t="str">
        <v>(6) #10 Screws Thru 2 Short L Anchors, 3" emb. [OA6]</v>
      </c>
      <c r="F278" s="64">
        <v>1068</v>
      </c>
      <c r="G278" s="64">
        <v>6</v>
      </c>
      <c r="H278" s="127" t="str">
        <v>#10 SS Wood Screws</v>
      </c>
      <c r="I278" s="64">
        <v>5</v>
      </c>
      <c r="J278" s="64" t="str">
        <v>(4) 3/16" Masonry Screws Thru 1 Long L Anchor, 1-3/4" emb. [OA4]</v>
      </c>
      <c r="K278" s="64">
        <v>1260</v>
      </c>
      <c r="L278" s="64">
        <v>4</v>
      </c>
      <c r="M278" s="146" t="str">
        <v>3/16" Dewalt Ultracons</v>
      </c>
      <c r="N278" s="64">
        <v>5</v>
      </c>
      <c r="O278" s="64" t="str">
        <v>(4) #10-16 Self-Drilling Screws Thru 3-5/8" NSS end connection [OA4]</v>
      </c>
      <c r="P278" s="125">
        <v>708</v>
      </c>
      <c r="Q278" s="64">
        <v>4</v>
      </c>
      <c r="R278" s="127" t="str">
        <v>#10-16 HWH Self Drilling Screws</v>
      </c>
      <c r="V278" s="128" t="str">
        <f t="shared" si="26"/>
        <v>yes</v>
      </c>
      <c r="W278" s="128" t="str">
        <f t="shared" si="27"/>
        <v>yes</v>
      </c>
      <c r="X278" s="128" t="str">
        <f t="shared" si="28"/>
        <v>yes</v>
      </c>
      <c r="Y278">
        <v>5</v>
      </c>
      <c r="Z278" t="s">
        <v>939</v>
      </c>
      <c r="AA278">
        <v>712</v>
      </c>
      <c r="AB278">
        <v>4</v>
      </c>
      <c r="AC278" t="s">
        <v>540</v>
      </c>
      <c r="AD278">
        <v>5</v>
      </c>
      <c r="AE278" t="s">
        <v>950</v>
      </c>
      <c r="AF278">
        <v>740</v>
      </c>
      <c r="AG278">
        <v>4</v>
      </c>
      <c r="AH278" t="s">
        <v>1690</v>
      </c>
      <c r="AI278">
        <v>5</v>
      </c>
      <c r="AJ278" t="s">
        <v>958</v>
      </c>
      <c r="AK278">
        <v>531</v>
      </c>
      <c r="AL278">
        <v>3</v>
      </c>
      <c r="AM278" t="s">
        <v>542</v>
      </c>
    </row>
    <row r="279" spans="1:39" x14ac:dyDescent="0.25">
      <c r="A279" s="1352"/>
      <c r="B279" s="129" t="s">
        <v>1190</v>
      </c>
      <c r="C279" t="s">
        <v>1649</v>
      </c>
      <c r="D279" s="64">
        <v>6</v>
      </c>
      <c r="E279" s="64" t="str">
        <v>(6) #10 Screws Thru 2 Short L Anchors, 1-1/2" emb. [OA6]</v>
      </c>
      <c r="F279" s="64">
        <v>846</v>
      </c>
      <c r="G279" s="64">
        <v>6</v>
      </c>
      <c r="H279" s="127" t="str">
        <v>#10 SS Wood Screws</v>
      </c>
      <c r="I279" s="64">
        <v>6</v>
      </c>
      <c r="J279" s="64" t="str">
        <v>(4) 3/16" Masonry Screws Thru 2 Short L Anchors, 1-3/4" emb. [OA4]</v>
      </c>
      <c r="K279" s="64">
        <v>1260</v>
      </c>
      <c r="L279" s="64">
        <v>4</v>
      </c>
      <c r="M279" s="146" t="str">
        <v>3/16" Dewalt Ultracons</v>
      </c>
      <c r="N279" s="64">
        <v>6</v>
      </c>
      <c r="O279" s="64" t="str">
        <v>(4) #10-16 Self-Drilling Screws Thru 1 Long L Anchor [OA4]</v>
      </c>
      <c r="P279" s="64">
        <v>708</v>
      </c>
      <c r="Q279" s="64">
        <v>4</v>
      </c>
      <c r="R279" s="127" t="str">
        <v>#10-16 HWH Self Drilling Screws</v>
      </c>
      <c r="V279" s="128" t="str">
        <f t="shared" si="26"/>
        <v>yes</v>
      </c>
      <c r="W279" s="128" t="str">
        <f t="shared" si="27"/>
        <v>yes</v>
      </c>
      <c r="X279" s="128" t="str">
        <f t="shared" si="28"/>
        <v>yes</v>
      </c>
      <c r="Y279">
        <v>6</v>
      </c>
      <c r="Z279" t="s">
        <v>944</v>
      </c>
      <c r="AA279">
        <v>640</v>
      </c>
      <c r="AB279">
        <v>4</v>
      </c>
      <c r="AC279" t="s">
        <v>540</v>
      </c>
      <c r="AD279">
        <v>6</v>
      </c>
      <c r="AE279" t="s">
        <v>951</v>
      </c>
      <c r="AF279">
        <v>740</v>
      </c>
      <c r="AG279">
        <v>4</v>
      </c>
      <c r="AH279" t="s">
        <v>1690</v>
      </c>
      <c r="AI279">
        <v>6</v>
      </c>
    </row>
    <row r="280" spans="1:39" x14ac:dyDescent="0.25">
      <c r="A280" s="1352"/>
      <c r="B280" s="129" t="s">
        <v>1189</v>
      </c>
      <c r="C280" t="s">
        <v>1649</v>
      </c>
      <c r="D280" s="64">
        <v>7</v>
      </c>
      <c r="E280" s="64" t="str">
        <v>(4) #10 Screws Thru 1 Long L Anchor, 3" emb. [OA4]</v>
      </c>
      <c r="F280" s="64">
        <v>712</v>
      </c>
      <c r="G280" s="64">
        <v>4</v>
      </c>
      <c r="H280" s="127" t="str">
        <v>#10 SS Wood Screws</v>
      </c>
      <c r="I280" s="64">
        <v>7</v>
      </c>
      <c r="J280" s="64" t="str">
        <v>(4) 3/16" Masonry Screws Thru 1 Long L Anchor, 1-1/4" emb. [OA4]</v>
      </c>
      <c r="K280" s="64">
        <v>740</v>
      </c>
      <c r="L280" s="64">
        <v>4</v>
      </c>
      <c r="M280" s="146" t="str">
        <v>3/16" Dewalt Ultracons</v>
      </c>
      <c r="N280" s="64">
        <v>7</v>
      </c>
      <c r="O280" s="64" t="str">
        <v>(3) #10-16 Self-Drilling Screws Thru 1 Short L Anchor [OA3]</v>
      </c>
      <c r="P280" s="64">
        <v>531</v>
      </c>
      <c r="Q280" s="64">
        <v>3</v>
      </c>
      <c r="R280" s="127" t="str">
        <v>#10-16 HWH Self Drilling Screws</v>
      </c>
      <c r="V280" s="128" t="str">
        <f t="shared" si="26"/>
        <v>yes</v>
      </c>
      <c r="W280" s="128" t="str">
        <f t="shared" si="27"/>
        <v>yes</v>
      </c>
      <c r="X280" s="128" t="str">
        <f t="shared" si="28"/>
        <v>yes</v>
      </c>
      <c r="Y280">
        <v>7</v>
      </c>
      <c r="Z280" t="s">
        <v>945</v>
      </c>
      <c r="AA280">
        <v>564</v>
      </c>
      <c r="AB280">
        <v>4</v>
      </c>
      <c r="AC280" t="s">
        <v>540</v>
      </c>
      <c r="AD280">
        <v>7</v>
      </c>
      <c r="AE280" t="s">
        <v>1704</v>
      </c>
      <c r="AF280">
        <v>630</v>
      </c>
      <c r="AG280">
        <v>2</v>
      </c>
      <c r="AH280" t="s">
        <v>1690</v>
      </c>
      <c r="AI280">
        <v>7</v>
      </c>
    </row>
    <row r="281" spans="1:39" x14ac:dyDescent="0.25">
      <c r="A281" s="1352"/>
      <c r="B281" s="129" t="s">
        <v>1412</v>
      </c>
      <c r="C281" t="s">
        <v>1649</v>
      </c>
      <c r="D281" s="64">
        <v>8</v>
      </c>
      <c r="E281" s="64" t="str">
        <v>(4) #10 Screws Thru 3-5/8" NSS end connection, 3" emb. [OA4]</v>
      </c>
      <c r="F281" s="125">
        <v>640</v>
      </c>
      <c r="G281" s="64">
        <v>4</v>
      </c>
      <c r="H281" s="127" t="str">
        <v>#10 SS Wood Screws</v>
      </c>
      <c r="I281" s="64">
        <v>8</v>
      </c>
      <c r="J281" s="64" t="str">
        <v>(4) 3/16" Masonry Screws Thru 2 Short L Anchors, 1-1/4" emb. [OA4]</v>
      </c>
      <c r="K281" s="64">
        <v>740</v>
      </c>
      <c r="L281" s="64">
        <v>4</v>
      </c>
      <c r="M281" s="146" t="str">
        <v>3/16" Dewalt Ultracons</v>
      </c>
      <c r="N281" s="64">
        <v>8</v>
      </c>
      <c r="O281" s="64">
        <v>0</v>
      </c>
      <c r="P281" s="64">
        <v>0</v>
      </c>
      <c r="Q281" s="64">
        <v>0</v>
      </c>
      <c r="R281" s="127">
        <v>0</v>
      </c>
      <c r="V281" s="128" t="str">
        <f t="shared" si="26"/>
        <v>yes</v>
      </c>
      <c r="W281" s="128" t="str">
        <f t="shared" si="27"/>
        <v>yes</v>
      </c>
      <c r="X281" s="128" t="str">
        <f t="shared" si="28"/>
        <v>yes</v>
      </c>
      <c r="Y281">
        <v>8</v>
      </c>
      <c r="Z281" t="s">
        <v>941</v>
      </c>
      <c r="AA281">
        <v>564</v>
      </c>
      <c r="AB281">
        <v>4</v>
      </c>
      <c r="AC281" t="s">
        <v>540</v>
      </c>
      <c r="AD281">
        <v>8</v>
      </c>
      <c r="AE281" t="s">
        <v>1705</v>
      </c>
      <c r="AF281">
        <v>370</v>
      </c>
      <c r="AG281">
        <v>2</v>
      </c>
      <c r="AH281" t="s">
        <v>1690</v>
      </c>
      <c r="AI281">
        <v>8</v>
      </c>
    </row>
    <row r="282" spans="1:39" x14ac:dyDescent="0.25">
      <c r="A282" s="1352"/>
      <c r="B282" s="129" t="s">
        <v>1192</v>
      </c>
      <c r="C282" t="s">
        <v>1649</v>
      </c>
      <c r="D282" s="64">
        <v>9</v>
      </c>
      <c r="E282" s="64" t="str">
        <v>(4) #10 Screws Thru 3-5/8" NSS end connection, 1-1/2" emb. [OA4]</v>
      </c>
      <c r="F282" s="64">
        <v>564</v>
      </c>
      <c r="G282" s="64">
        <v>4</v>
      </c>
      <c r="H282" s="127" t="str">
        <v>#10 SS Wood Screws</v>
      </c>
      <c r="I282" s="64">
        <v>9</v>
      </c>
      <c r="J282" s="64" t="str">
        <v>(2) 3/16" Masonry Screws Thru 3-5/8" NSS end connection, 1-3/4" emb. [OA2]</v>
      </c>
      <c r="K282" s="125">
        <v>630</v>
      </c>
      <c r="L282" s="64">
        <v>2</v>
      </c>
      <c r="M282" s="146" t="str">
        <v>3/16" Dewalt Ultracons</v>
      </c>
      <c r="N282" s="64">
        <v>9</v>
      </c>
      <c r="O282" s="64">
        <v>0</v>
      </c>
      <c r="P282" s="64">
        <v>0</v>
      </c>
      <c r="Q282" s="64">
        <v>0</v>
      </c>
      <c r="R282" s="127">
        <v>0</v>
      </c>
      <c r="V282" s="128" t="str">
        <f t="shared" si="26"/>
        <v>yes</v>
      </c>
      <c r="W282" s="128" t="str">
        <f t="shared" si="27"/>
        <v>yes</v>
      </c>
      <c r="X282" s="128" t="str">
        <f t="shared" si="28"/>
        <v>yes</v>
      </c>
      <c r="Y282">
        <v>9</v>
      </c>
      <c r="Z282" t="s">
        <v>942</v>
      </c>
      <c r="AA282">
        <v>534</v>
      </c>
      <c r="AB282">
        <v>3</v>
      </c>
      <c r="AC282" t="s">
        <v>540</v>
      </c>
      <c r="AD282">
        <v>9</v>
      </c>
      <c r="AE282" t="s">
        <v>952</v>
      </c>
      <c r="AF282">
        <v>630</v>
      </c>
      <c r="AG282">
        <v>2</v>
      </c>
      <c r="AH282" t="s">
        <v>1690</v>
      </c>
      <c r="AI282">
        <v>9</v>
      </c>
    </row>
    <row r="283" spans="1:39" x14ac:dyDescent="0.25">
      <c r="A283" s="1352"/>
      <c r="B283" s="129" t="s">
        <v>1191</v>
      </c>
      <c r="C283" t="s">
        <v>1649</v>
      </c>
      <c r="D283" s="64">
        <v>10</v>
      </c>
      <c r="E283" s="64" t="str">
        <v>(4) #10 Screws Thru 1 Long L Anchor, 1-1/2" emb. [OA4]</v>
      </c>
      <c r="F283" s="125">
        <v>564</v>
      </c>
      <c r="G283" s="64">
        <v>4</v>
      </c>
      <c r="H283" s="127" t="str">
        <v>#10 SS Wood Screws</v>
      </c>
      <c r="I283" s="64">
        <v>10</v>
      </c>
      <c r="J283" s="64" t="str">
        <v>(2) 3/16" Masonry Screws Thru 1 Short L Anchor, 1-3/4" emb. [OA2]</v>
      </c>
      <c r="K283" s="64">
        <v>630</v>
      </c>
      <c r="L283" s="64">
        <v>2</v>
      </c>
      <c r="M283" s="146" t="str">
        <v>3/16" Dewalt Ultracons</v>
      </c>
      <c r="N283" s="64">
        <v>10</v>
      </c>
      <c r="O283" s="64">
        <v>0</v>
      </c>
      <c r="P283" s="64">
        <v>0</v>
      </c>
      <c r="Q283" s="64">
        <v>0</v>
      </c>
      <c r="R283" s="127">
        <v>0</v>
      </c>
      <c r="V283" s="128" t="str">
        <f t="shared" si="26"/>
        <v>yes</v>
      </c>
      <c r="W283" s="128" t="str">
        <f t="shared" si="27"/>
        <v>yes</v>
      </c>
      <c r="X283" s="128" t="str">
        <f t="shared" si="28"/>
        <v>yes</v>
      </c>
      <c r="Y283">
        <v>10</v>
      </c>
      <c r="Z283" t="s">
        <v>943</v>
      </c>
      <c r="AA283">
        <v>423</v>
      </c>
      <c r="AB283">
        <v>3</v>
      </c>
      <c r="AC283" t="s">
        <v>540</v>
      </c>
      <c r="AD283">
        <v>10</v>
      </c>
      <c r="AE283" t="s">
        <v>953</v>
      </c>
      <c r="AF283">
        <v>370</v>
      </c>
      <c r="AG283">
        <v>2</v>
      </c>
      <c r="AH283" t="s">
        <v>1690</v>
      </c>
      <c r="AI283">
        <v>10</v>
      </c>
    </row>
    <row r="284" spans="1:39" x14ac:dyDescent="0.25">
      <c r="A284" s="1352"/>
      <c r="B284" s="129" t="s">
        <v>1413</v>
      </c>
      <c r="C284" t="s">
        <v>1649</v>
      </c>
      <c r="D284" s="64">
        <v>11</v>
      </c>
      <c r="E284" s="64" t="str">
        <v>(3) #10 Screws Thru 1 Short L Anchor, 3" emb. [OA3]</v>
      </c>
      <c r="F284" s="64">
        <v>534</v>
      </c>
      <c r="G284" s="64">
        <v>3</v>
      </c>
      <c r="H284" s="127" t="str">
        <v>#10 SS Wood Screws</v>
      </c>
      <c r="I284" s="64">
        <v>11</v>
      </c>
      <c r="J284" s="64" t="str">
        <v>(2) 3/16" Masonry Screws Thru 3-5/8" NSS end connection, 1-1/4" emb. [OA2]</v>
      </c>
      <c r="K284" s="64">
        <v>370</v>
      </c>
      <c r="L284" s="64">
        <v>2</v>
      </c>
      <c r="M284" s="146" t="str">
        <v>3/16" Dewalt Ultracons</v>
      </c>
      <c r="N284" s="64">
        <v>11</v>
      </c>
      <c r="O284" s="64">
        <v>0</v>
      </c>
      <c r="P284" s="64">
        <v>0</v>
      </c>
      <c r="Q284" s="64">
        <v>0</v>
      </c>
      <c r="R284" s="127">
        <v>0</v>
      </c>
      <c r="V284" s="128" t="str">
        <f t="shared" si="26"/>
        <v>yes</v>
      </c>
      <c r="W284" s="128" t="str">
        <f t="shared" si="27"/>
        <v>yes</v>
      </c>
      <c r="X284" s="128" t="str">
        <f t="shared" si="28"/>
        <v>yes</v>
      </c>
      <c r="Y284">
        <v>11</v>
      </c>
      <c r="Z284" t="str">
        <f>IF($D4="Yes",E4,"")</f>
        <v/>
      </c>
      <c r="AA284" t="str">
        <f t="shared" ref="AA284:AM284" si="29">IF($D4="Yes",F4,"")</f>
        <v/>
      </c>
      <c r="AB284" t="str">
        <f t="shared" si="29"/>
        <v/>
      </c>
      <c r="AC284" t="str">
        <f t="shared" si="29"/>
        <v/>
      </c>
      <c r="AD284">
        <v>11</v>
      </c>
      <c r="AE284" t="str">
        <f t="shared" si="29"/>
        <v/>
      </c>
      <c r="AF284" t="str">
        <f t="shared" si="29"/>
        <v/>
      </c>
      <c r="AG284" t="str">
        <f t="shared" si="29"/>
        <v/>
      </c>
      <c r="AH284" t="str">
        <f t="shared" si="29"/>
        <v/>
      </c>
      <c r="AI284">
        <v>11</v>
      </c>
      <c r="AJ284" t="str">
        <f t="shared" si="29"/>
        <v/>
      </c>
      <c r="AK284" t="str">
        <f t="shared" si="29"/>
        <v/>
      </c>
      <c r="AL284" t="str">
        <f t="shared" si="29"/>
        <v/>
      </c>
      <c r="AM284" t="str">
        <f t="shared" si="29"/>
        <v/>
      </c>
    </row>
    <row r="285" spans="1:39" x14ac:dyDescent="0.25">
      <c r="A285" s="1352"/>
      <c r="B285" s="129" t="s">
        <v>1194</v>
      </c>
      <c r="C285" t="s">
        <v>1649</v>
      </c>
      <c r="D285" s="64">
        <v>12</v>
      </c>
      <c r="E285" s="64" t="str">
        <v>(3) #10 Screws Thru 1 Short L Anchor, 1-1/2" emb. [OA3]</v>
      </c>
      <c r="F285" s="64">
        <v>423</v>
      </c>
      <c r="G285" s="64">
        <v>3</v>
      </c>
      <c r="H285" s="127" t="str">
        <v>#10 SS Wood Screws</v>
      </c>
      <c r="I285" s="64">
        <v>12</v>
      </c>
      <c r="J285" s="64" t="str">
        <v>(2) 3/16" Masonry Screws Thru 1 Short L Anchor, 1-1/4" emb. [OA2]</v>
      </c>
      <c r="K285" s="64">
        <v>370</v>
      </c>
      <c r="L285" s="64">
        <v>2</v>
      </c>
      <c r="M285" s="146" t="str">
        <v>3/16" Dewalt Ultracons</v>
      </c>
      <c r="N285" s="64">
        <v>12</v>
      </c>
      <c r="O285" s="64">
        <v>0</v>
      </c>
      <c r="P285" s="64">
        <v>0</v>
      </c>
      <c r="Q285" s="64">
        <v>0</v>
      </c>
      <c r="R285" s="127">
        <v>0</v>
      </c>
      <c r="V285" s="128" t="str">
        <f t="shared" si="26"/>
        <v>yes</v>
      </c>
      <c r="W285" s="128" t="str">
        <f t="shared" si="27"/>
        <v>yes</v>
      </c>
      <c r="X285" s="128" t="str">
        <f t="shared" si="28"/>
        <v>yes</v>
      </c>
      <c r="Y285">
        <v>12</v>
      </c>
      <c r="Z285" t="str">
        <f>IF($D5="Yes",E5,"")</f>
        <v/>
      </c>
      <c r="AA285" t="str">
        <f t="shared" ref="AA285:AM285" si="30">IF($D5="Yes",F5,"")</f>
        <v/>
      </c>
      <c r="AB285" t="str">
        <f t="shared" si="30"/>
        <v/>
      </c>
      <c r="AC285" t="str">
        <f t="shared" si="30"/>
        <v/>
      </c>
      <c r="AD285">
        <v>12</v>
      </c>
      <c r="AE285" t="str">
        <f t="shared" si="30"/>
        <v/>
      </c>
      <c r="AF285" t="str">
        <f t="shared" si="30"/>
        <v/>
      </c>
      <c r="AG285" t="str">
        <f t="shared" si="30"/>
        <v/>
      </c>
      <c r="AH285" t="str">
        <f t="shared" si="30"/>
        <v/>
      </c>
      <c r="AI285">
        <v>12</v>
      </c>
      <c r="AJ285" t="str">
        <f t="shared" si="30"/>
        <v/>
      </c>
      <c r="AK285" t="str">
        <f t="shared" si="30"/>
        <v/>
      </c>
      <c r="AL285" t="str">
        <f t="shared" si="30"/>
        <v/>
      </c>
      <c r="AM285" t="str">
        <f t="shared" si="30"/>
        <v/>
      </c>
    </row>
    <row r="286" spans="1:39" x14ac:dyDescent="0.25">
      <c r="A286" s="1352"/>
      <c r="B286" s="129" t="s">
        <v>1193</v>
      </c>
      <c r="C286" t="s">
        <v>1649</v>
      </c>
      <c r="D286" s="64">
        <v>13</v>
      </c>
      <c r="E286" s="64">
        <v>0</v>
      </c>
      <c r="F286" s="64">
        <v>0</v>
      </c>
      <c r="G286" s="64">
        <v>0</v>
      </c>
      <c r="H286" s="127">
        <v>0</v>
      </c>
      <c r="I286" s="64">
        <v>13</v>
      </c>
      <c r="J286" s="64">
        <v>0</v>
      </c>
      <c r="K286" s="64">
        <v>0</v>
      </c>
      <c r="L286" s="64">
        <v>0</v>
      </c>
      <c r="M286" s="146">
        <v>0</v>
      </c>
      <c r="N286" s="64">
        <v>13</v>
      </c>
      <c r="O286" s="64">
        <v>0</v>
      </c>
      <c r="P286" s="64">
        <v>0</v>
      </c>
      <c r="Q286" s="64">
        <v>0</v>
      </c>
      <c r="R286" s="127">
        <v>0</v>
      </c>
      <c r="V286" s="128" t="str">
        <f t="shared" si="26"/>
        <v>yes</v>
      </c>
      <c r="W286" s="128" t="str">
        <f t="shared" si="27"/>
        <v>yes</v>
      </c>
      <c r="X286" s="128" t="str">
        <f t="shared" si="28"/>
        <v>yes</v>
      </c>
    </row>
    <row r="287" spans="1:39" x14ac:dyDescent="0.25">
      <c r="A287" s="1352"/>
      <c r="B287" s="129" t="s">
        <v>1414</v>
      </c>
      <c r="C287" t="s">
        <v>1649</v>
      </c>
      <c r="D287" s="64">
        <v>14</v>
      </c>
      <c r="E287" s="64">
        <v>0</v>
      </c>
      <c r="F287" s="64">
        <v>0</v>
      </c>
      <c r="G287" s="64">
        <v>0</v>
      </c>
      <c r="H287" s="127">
        <v>0</v>
      </c>
      <c r="I287" s="64">
        <v>14</v>
      </c>
      <c r="J287" s="64">
        <v>0</v>
      </c>
      <c r="K287" s="64">
        <v>0</v>
      </c>
      <c r="L287" s="64">
        <v>0</v>
      </c>
      <c r="M287" s="146">
        <v>0</v>
      </c>
      <c r="N287" s="64">
        <v>14</v>
      </c>
      <c r="O287" s="64">
        <v>0</v>
      </c>
      <c r="P287" s="64">
        <v>0</v>
      </c>
      <c r="Q287" s="64">
        <v>0</v>
      </c>
      <c r="R287" s="127">
        <v>0</v>
      </c>
      <c r="V287" s="128" t="str">
        <f t="shared" si="26"/>
        <v>yes</v>
      </c>
      <c r="W287" s="128" t="str">
        <f t="shared" si="27"/>
        <v>yes</v>
      </c>
      <c r="X287" s="128" t="str">
        <f t="shared" si="28"/>
        <v>yes</v>
      </c>
    </row>
    <row r="288" spans="1:39" x14ac:dyDescent="0.25">
      <c r="A288" s="1352"/>
      <c r="B288" s="129"/>
      <c r="C288" t="s">
        <v>1649</v>
      </c>
      <c r="D288" s="64">
        <v>15</v>
      </c>
      <c r="E288" s="64">
        <v>0</v>
      </c>
      <c r="F288" s="64">
        <v>0</v>
      </c>
      <c r="G288" s="64">
        <v>0</v>
      </c>
      <c r="H288" s="127">
        <v>0</v>
      </c>
      <c r="I288" s="64">
        <v>15</v>
      </c>
      <c r="J288" s="64">
        <v>0</v>
      </c>
      <c r="K288" s="64">
        <v>0</v>
      </c>
      <c r="L288" s="64">
        <v>0</v>
      </c>
      <c r="M288" s="146">
        <v>0</v>
      </c>
      <c r="N288" s="64">
        <v>15</v>
      </c>
      <c r="O288" s="64">
        <v>0</v>
      </c>
      <c r="P288" s="64">
        <v>0</v>
      </c>
      <c r="Q288" s="64">
        <v>0</v>
      </c>
      <c r="R288" s="127">
        <v>0</v>
      </c>
      <c r="V288" s="128" t="str">
        <f t="shared" si="26"/>
        <v>yes</v>
      </c>
      <c r="W288" s="128" t="str">
        <f t="shared" si="27"/>
        <v>yes</v>
      </c>
      <c r="X288" s="128" t="str">
        <f t="shared" si="28"/>
        <v>yes</v>
      </c>
    </row>
    <row r="289" spans="1:24" x14ac:dyDescent="0.25">
      <c r="A289" s="1352"/>
      <c r="B289" s="129"/>
      <c r="C289" t="s">
        <v>1649</v>
      </c>
      <c r="D289" s="64">
        <v>16</v>
      </c>
      <c r="E289" s="64">
        <v>0</v>
      </c>
      <c r="F289" s="64">
        <v>0</v>
      </c>
      <c r="G289" s="64">
        <v>0</v>
      </c>
      <c r="H289" s="127">
        <v>0</v>
      </c>
      <c r="I289" s="64">
        <v>16</v>
      </c>
      <c r="J289" s="64">
        <v>0</v>
      </c>
      <c r="K289" s="64">
        <v>0</v>
      </c>
      <c r="L289" s="64">
        <v>0</v>
      </c>
      <c r="M289" s="146">
        <v>0</v>
      </c>
      <c r="N289" s="64">
        <v>16</v>
      </c>
      <c r="O289" s="64">
        <v>0</v>
      </c>
      <c r="P289" s="64">
        <v>0</v>
      </c>
      <c r="Q289" s="64">
        <v>0</v>
      </c>
      <c r="R289" s="127">
        <v>0</v>
      </c>
      <c r="V289" s="128" t="str">
        <f t="shared" si="26"/>
        <v>yes</v>
      </c>
      <c r="W289" s="128" t="str">
        <f t="shared" si="27"/>
        <v>yes</v>
      </c>
      <c r="X289" s="128" t="str">
        <f t="shared" si="28"/>
        <v>yes</v>
      </c>
    </row>
    <row r="290" spans="1:24" x14ac:dyDescent="0.25">
      <c r="A290" s="1352"/>
      <c r="B290" s="129"/>
      <c r="C290" t="s">
        <v>1649</v>
      </c>
      <c r="D290" s="64"/>
      <c r="E290" s="64"/>
      <c r="F290" s="64"/>
      <c r="G290" s="64"/>
      <c r="H290" s="127"/>
      <c r="I290" s="64"/>
      <c r="J290" s="64"/>
      <c r="K290" s="64"/>
      <c r="L290" s="64"/>
      <c r="M290" s="146"/>
      <c r="N290" s="64"/>
      <c r="O290" s="64"/>
      <c r="P290" s="64"/>
      <c r="Q290" s="64"/>
      <c r="R290" s="127"/>
      <c r="V290" s="128" t="str">
        <f t="shared" si="26"/>
        <v>--</v>
      </c>
      <c r="W290" s="128" t="str">
        <f t="shared" si="27"/>
        <v>--</v>
      </c>
      <c r="X290" s="128" t="str">
        <f t="shared" si="28"/>
        <v>--</v>
      </c>
    </row>
    <row r="291" spans="1:24" ht="15.75" thickBot="1" x14ac:dyDescent="0.3">
      <c r="A291" s="1359"/>
      <c r="B291" s="135"/>
      <c r="C291" t="s">
        <v>1649</v>
      </c>
      <c r="D291" s="136"/>
      <c r="E291" s="136"/>
      <c r="F291" s="136"/>
      <c r="G291" s="136"/>
      <c r="H291" s="138"/>
      <c r="I291" s="136"/>
      <c r="J291" s="136"/>
      <c r="K291" s="136"/>
      <c r="L291" s="136"/>
      <c r="M291" s="148"/>
      <c r="N291" s="136"/>
      <c r="O291" s="136"/>
      <c r="P291" s="136"/>
      <c r="Q291" s="136"/>
      <c r="R291" s="138"/>
      <c r="V291" s="128" t="str">
        <f t="shared" si="26"/>
        <v>--</v>
      </c>
      <c r="W291" s="128" t="str">
        <f t="shared" si="27"/>
        <v>--</v>
      </c>
      <c r="X291" s="128" t="str">
        <f t="shared" si="28"/>
        <v>--</v>
      </c>
    </row>
    <row r="292" spans="1:24" ht="14.45" customHeight="1" x14ac:dyDescent="0.25">
      <c r="A292" s="1352" t="s">
        <v>546</v>
      </c>
      <c r="B292" s="129" t="s">
        <v>1155</v>
      </c>
      <c r="C292" t="s">
        <v>1650</v>
      </c>
      <c r="D292" s="139">
        <v>1</v>
      </c>
      <c r="E292" s="64" t="s">
        <v>960</v>
      </c>
      <c r="F292" s="64">
        <v>2080</v>
      </c>
      <c r="G292" s="64">
        <v>16</v>
      </c>
      <c r="H292" s="127" t="s">
        <v>540</v>
      </c>
      <c r="I292" s="139">
        <v>1</v>
      </c>
      <c r="J292" s="64" t="s">
        <v>1706</v>
      </c>
      <c r="K292" s="64">
        <v>3150</v>
      </c>
      <c r="L292" s="64">
        <v>10</v>
      </c>
      <c r="M292" s="146" t="s">
        <v>1690</v>
      </c>
      <c r="N292" s="139">
        <v>1</v>
      </c>
      <c r="O292" s="64" t="s">
        <v>992</v>
      </c>
      <c r="P292" s="64">
        <v>2592</v>
      </c>
      <c r="Q292" s="64">
        <v>16</v>
      </c>
      <c r="R292" s="127" t="s">
        <v>542</v>
      </c>
      <c r="V292" s="795" t="str">
        <f t="shared" si="26"/>
        <v>NOOO</v>
      </c>
      <c r="W292" s="795" t="str">
        <f t="shared" si="27"/>
        <v>NOOO</v>
      </c>
      <c r="X292" s="795" t="str">
        <f t="shared" si="28"/>
        <v>NOOO</v>
      </c>
    </row>
    <row r="293" spans="1:24" ht="14.45" customHeight="1" x14ac:dyDescent="0.25">
      <c r="A293" s="1352"/>
      <c r="B293" s="129" t="s">
        <v>1156</v>
      </c>
      <c r="C293" t="s">
        <v>1650</v>
      </c>
      <c r="D293" s="139">
        <v>2</v>
      </c>
      <c r="E293" s="64" t="s">
        <v>961</v>
      </c>
      <c r="F293" s="64">
        <v>1560</v>
      </c>
      <c r="G293" s="64">
        <v>12</v>
      </c>
      <c r="H293" s="127" t="s">
        <v>540</v>
      </c>
      <c r="I293" s="139">
        <v>2</v>
      </c>
      <c r="J293" s="64" t="s">
        <v>1707</v>
      </c>
      <c r="K293" s="64">
        <v>2520</v>
      </c>
      <c r="L293" s="64">
        <v>8</v>
      </c>
      <c r="M293" s="146" t="s">
        <v>1690</v>
      </c>
      <c r="N293" s="139">
        <v>2</v>
      </c>
      <c r="O293" s="64" t="s">
        <v>993</v>
      </c>
      <c r="P293" s="64">
        <v>1944</v>
      </c>
      <c r="Q293" s="64">
        <v>12</v>
      </c>
      <c r="R293" s="127" t="s">
        <v>542</v>
      </c>
      <c r="V293" s="795" t="str">
        <f t="shared" si="26"/>
        <v>NOOO</v>
      </c>
      <c r="W293" s="128" t="str">
        <f t="shared" si="27"/>
        <v>yes</v>
      </c>
      <c r="X293" s="795" t="str">
        <f t="shared" si="28"/>
        <v>NOOO</v>
      </c>
    </row>
    <row r="294" spans="1:24" ht="14.45" customHeight="1" x14ac:dyDescent="0.25">
      <c r="A294" s="1352"/>
      <c r="B294" s="129" t="s">
        <v>1159</v>
      </c>
      <c r="C294" t="s">
        <v>1650</v>
      </c>
      <c r="D294" s="139">
        <v>3</v>
      </c>
      <c r="E294" s="64" t="s">
        <v>962</v>
      </c>
      <c r="F294" s="64">
        <v>1128</v>
      </c>
      <c r="G294" s="64">
        <v>8</v>
      </c>
      <c r="H294" s="127" t="s">
        <v>540</v>
      </c>
      <c r="I294" s="139">
        <v>3</v>
      </c>
      <c r="J294" s="64" t="s">
        <v>979</v>
      </c>
      <c r="K294" s="64">
        <v>2520</v>
      </c>
      <c r="L294" s="64">
        <v>8</v>
      </c>
      <c r="M294" s="146" t="s">
        <v>1690</v>
      </c>
      <c r="N294" s="139">
        <v>3</v>
      </c>
      <c r="O294" s="64" t="s">
        <v>994</v>
      </c>
      <c r="P294" s="64">
        <v>1296</v>
      </c>
      <c r="Q294" s="64">
        <v>8</v>
      </c>
      <c r="R294" s="127" t="s">
        <v>542</v>
      </c>
      <c r="V294" s="128" t="str">
        <f t="shared" si="26"/>
        <v>yes</v>
      </c>
      <c r="W294" s="128" t="str">
        <f t="shared" si="27"/>
        <v>yes</v>
      </c>
      <c r="X294" s="128" t="str">
        <f t="shared" si="28"/>
        <v>yes</v>
      </c>
    </row>
    <row r="295" spans="1:24" ht="14.45" customHeight="1" x14ac:dyDescent="0.25">
      <c r="A295" s="1352"/>
      <c r="B295" s="129"/>
      <c r="C295" t="s">
        <v>1650</v>
      </c>
      <c r="D295" s="139">
        <v>4</v>
      </c>
      <c r="E295" s="64" t="s">
        <v>963</v>
      </c>
      <c r="F295" s="64">
        <v>1040</v>
      </c>
      <c r="G295" s="64">
        <v>8</v>
      </c>
      <c r="H295" s="127" t="s">
        <v>540</v>
      </c>
      <c r="I295" s="139">
        <v>4</v>
      </c>
      <c r="J295" s="64" t="s">
        <v>980</v>
      </c>
      <c r="K295" s="64">
        <v>1890</v>
      </c>
      <c r="L295" s="64">
        <v>6</v>
      </c>
      <c r="M295" s="146" t="s">
        <v>1690</v>
      </c>
      <c r="N295" s="139">
        <v>4</v>
      </c>
      <c r="O295" s="64" t="s">
        <v>995</v>
      </c>
      <c r="P295" s="64">
        <v>1296</v>
      </c>
      <c r="Q295" s="64">
        <v>8</v>
      </c>
      <c r="R295" s="127" t="s">
        <v>542</v>
      </c>
      <c r="V295" s="128" t="str">
        <f t="shared" si="26"/>
        <v>yes</v>
      </c>
      <c r="W295" s="128" t="str">
        <f t="shared" si="27"/>
        <v>yes</v>
      </c>
      <c r="X295" s="128" t="str">
        <f t="shared" si="28"/>
        <v>yes</v>
      </c>
    </row>
    <row r="296" spans="1:24" ht="14.45" customHeight="1" x14ac:dyDescent="0.25">
      <c r="A296" s="1352"/>
      <c r="B296" s="129"/>
      <c r="C296" t="s">
        <v>1650</v>
      </c>
      <c r="D296" s="139">
        <v>5</v>
      </c>
      <c r="E296" s="64" t="s">
        <v>964</v>
      </c>
      <c r="F296" s="64">
        <v>846</v>
      </c>
      <c r="G296" s="64">
        <v>6</v>
      </c>
      <c r="H296" s="127" t="s">
        <v>540</v>
      </c>
      <c r="I296" s="139">
        <v>5</v>
      </c>
      <c r="J296" s="64" t="s">
        <v>1708</v>
      </c>
      <c r="K296" s="64">
        <v>1575</v>
      </c>
      <c r="L296" s="64">
        <v>5</v>
      </c>
      <c r="M296" s="146" t="s">
        <v>1690</v>
      </c>
      <c r="N296" s="139">
        <v>5</v>
      </c>
      <c r="O296" s="64" t="s">
        <v>996</v>
      </c>
      <c r="P296" s="64">
        <v>972</v>
      </c>
      <c r="Q296" s="64">
        <v>6</v>
      </c>
      <c r="R296" s="127" t="s">
        <v>542</v>
      </c>
      <c r="V296" s="128" t="str">
        <f t="shared" si="26"/>
        <v>yes</v>
      </c>
      <c r="W296" s="128" t="str">
        <f t="shared" si="27"/>
        <v>yes</v>
      </c>
      <c r="X296" s="128" t="str">
        <f t="shared" si="28"/>
        <v>yes</v>
      </c>
    </row>
    <row r="297" spans="1:24" ht="14.45" customHeight="1" x14ac:dyDescent="0.25">
      <c r="A297" s="1352"/>
      <c r="B297" s="129"/>
      <c r="C297" t="s">
        <v>1650</v>
      </c>
      <c r="D297" s="139">
        <v>6</v>
      </c>
      <c r="E297" s="64" t="s">
        <v>1713</v>
      </c>
      <c r="F297" s="64">
        <v>735</v>
      </c>
      <c r="G297" s="64">
        <v>5</v>
      </c>
      <c r="H297" s="127" t="s">
        <v>540</v>
      </c>
      <c r="I297" s="139">
        <v>6</v>
      </c>
      <c r="J297" s="64" t="s">
        <v>981</v>
      </c>
      <c r="K297" s="64">
        <v>1260</v>
      </c>
      <c r="L297" s="64">
        <v>4</v>
      </c>
      <c r="M297" s="146" t="s">
        <v>1690</v>
      </c>
      <c r="N297" s="139">
        <v>6</v>
      </c>
      <c r="O297" s="64" t="s">
        <v>997</v>
      </c>
      <c r="P297" s="64">
        <v>648</v>
      </c>
      <c r="Q297" s="64">
        <v>4</v>
      </c>
      <c r="R297" s="127" t="s">
        <v>542</v>
      </c>
      <c r="V297" s="128" t="str">
        <f t="shared" si="26"/>
        <v>yes</v>
      </c>
      <c r="W297" s="128" t="str">
        <f t="shared" si="27"/>
        <v>yes</v>
      </c>
      <c r="X297" s="128" t="str">
        <f t="shared" si="28"/>
        <v>yes</v>
      </c>
    </row>
    <row r="298" spans="1:24" ht="14.45" customHeight="1" x14ac:dyDescent="0.25">
      <c r="A298" s="1352"/>
      <c r="B298" s="129"/>
      <c r="C298" t="s">
        <v>1650</v>
      </c>
      <c r="D298" s="139">
        <v>7</v>
      </c>
      <c r="E298" s="64" t="s">
        <v>1714</v>
      </c>
      <c r="F298" s="64">
        <v>635</v>
      </c>
      <c r="G298" s="64">
        <v>5</v>
      </c>
      <c r="H298" s="127" t="s">
        <v>574</v>
      </c>
      <c r="I298" s="139"/>
      <c r="J298" s="64"/>
      <c r="K298" s="64"/>
      <c r="L298" s="64"/>
      <c r="M298" s="146"/>
      <c r="N298" s="139"/>
      <c r="O298" s="64"/>
      <c r="P298" s="64"/>
      <c r="Q298" s="64"/>
      <c r="R298" s="127"/>
      <c r="V298" s="128" t="str">
        <f t="shared" si="26"/>
        <v>yes</v>
      </c>
      <c r="W298" s="128" t="str">
        <f t="shared" si="27"/>
        <v>--</v>
      </c>
      <c r="X298" s="128" t="str">
        <f t="shared" si="28"/>
        <v>--</v>
      </c>
    </row>
    <row r="299" spans="1:24" ht="14.45" customHeight="1" x14ac:dyDescent="0.25">
      <c r="A299" s="1352"/>
      <c r="B299" s="129"/>
      <c r="C299" t="s">
        <v>1650</v>
      </c>
      <c r="D299" s="139">
        <v>8</v>
      </c>
      <c r="E299" s="64" t="s">
        <v>965</v>
      </c>
      <c r="F299" s="64">
        <v>564</v>
      </c>
      <c r="G299" s="64">
        <v>4</v>
      </c>
      <c r="H299" s="127" t="s">
        <v>540</v>
      </c>
      <c r="I299" s="139"/>
      <c r="J299" s="64"/>
      <c r="K299" s="64"/>
      <c r="L299" s="64"/>
      <c r="M299" s="146"/>
      <c r="N299" s="139"/>
      <c r="O299" s="64"/>
      <c r="P299" s="64"/>
      <c r="Q299" s="64"/>
      <c r="R299" s="127"/>
      <c r="V299" s="128" t="str">
        <f t="shared" si="26"/>
        <v>yes</v>
      </c>
      <c r="W299" s="128" t="str">
        <f t="shared" si="27"/>
        <v>--</v>
      </c>
      <c r="X299" s="128" t="str">
        <f t="shared" si="28"/>
        <v>--</v>
      </c>
    </row>
    <row r="300" spans="1:24" ht="14.45" customHeight="1" x14ac:dyDescent="0.25">
      <c r="A300" s="1352"/>
      <c r="B300" s="129"/>
      <c r="C300" t="s">
        <v>1650</v>
      </c>
      <c r="D300" s="139"/>
      <c r="E300" s="64"/>
      <c r="F300" s="64"/>
      <c r="G300" s="64"/>
      <c r="H300" s="127"/>
      <c r="I300" s="139"/>
      <c r="J300" s="64"/>
      <c r="K300" s="64"/>
      <c r="L300" s="64"/>
      <c r="M300" s="146"/>
      <c r="N300" s="139"/>
      <c r="O300" s="64"/>
      <c r="P300" s="64"/>
      <c r="Q300" s="64"/>
      <c r="R300" s="127"/>
      <c r="V300" s="128" t="str">
        <f t="shared" si="26"/>
        <v>--</v>
      </c>
      <c r="W300" s="128" t="str">
        <f t="shared" si="27"/>
        <v>--</v>
      </c>
      <c r="X300" s="128" t="str">
        <f t="shared" si="28"/>
        <v>--</v>
      </c>
    </row>
    <row r="301" spans="1:24" ht="14.45" customHeight="1" x14ac:dyDescent="0.25">
      <c r="A301" s="1352"/>
      <c r="B301" s="129"/>
      <c r="C301" t="s">
        <v>1650</v>
      </c>
      <c r="D301" s="139"/>
      <c r="E301" s="64"/>
      <c r="F301" s="64"/>
      <c r="G301" s="64"/>
      <c r="H301" s="127"/>
      <c r="I301" s="139"/>
      <c r="J301" s="64"/>
      <c r="K301" s="64"/>
      <c r="L301" s="64"/>
      <c r="M301" s="146"/>
      <c r="N301" s="139"/>
      <c r="O301" s="64"/>
      <c r="P301" s="64"/>
      <c r="Q301" s="64"/>
      <c r="R301" s="127"/>
      <c r="V301" s="128" t="str">
        <f t="shared" si="26"/>
        <v>--</v>
      </c>
      <c r="W301" s="128" t="str">
        <f t="shared" si="27"/>
        <v>--</v>
      </c>
      <c r="X301" s="128" t="str">
        <f t="shared" si="28"/>
        <v>--</v>
      </c>
    </row>
    <row r="302" spans="1:24" ht="14.45" customHeight="1" x14ac:dyDescent="0.25">
      <c r="A302" s="1352"/>
      <c r="B302" s="129"/>
      <c r="C302" t="s">
        <v>1650</v>
      </c>
      <c r="D302" s="139"/>
      <c r="E302" s="64"/>
      <c r="F302" s="64"/>
      <c r="G302" s="64"/>
      <c r="H302" s="127"/>
      <c r="I302" s="139"/>
      <c r="J302" s="64"/>
      <c r="K302" s="64"/>
      <c r="L302" s="64"/>
      <c r="M302" s="146"/>
      <c r="N302" s="139"/>
      <c r="O302" s="64"/>
      <c r="P302" s="64"/>
      <c r="Q302" s="64"/>
      <c r="R302" s="127"/>
      <c r="V302" s="128" t="str">
        <f t="shared" si="26"/>
        <v>--</v>
      </c>
      <c r="W302" s="128" t="str">
        <f t="shared" si="27"/>
        <v>--</v>
      </c>
      <c r="X302" s="128" t="str">
        <f t="shared" si="28"/>
        <v>--</v>
      </c>
    </row>
    <row r="303" spans="1:24" ht="14.45" customHeight="1" x14ac:dyDescent="0.25">
      <c r="A303" s="1352"/>
      <c r="B303" s="130"/>
      <c r="C303" t="s">
        <v>1650</v>
      </c>
      <c r="D303" s="131"/>
      <c r="E303" s="132"/>
      <c r="F303" s="132"/>
      <c r="G303" s="132"/>
      <c r="H303" s="134"/>
      <c r="I303" s="131"/>
      <c r="J303" s="132"/>
      <c r="K303" s="132"/>
      <c r="L303" s="132"/>
      <c r="M303" s="147"/>
      <c r="N303" s="131"/>
      <c r="O303" s="132"/>
      <c r="P303" s="132"/>
      <c r="Q303" s="132"/>
      <c r="R303" s="134"/>
      <c r="V303" s="128" t="str">
        <f t="shared" si="26"/>
        <v>--</v>
      </c>
      <c r="W303" s="128" t="str">
        <f t="shared" si="27"/>
        <v>--</v>
      </c>
      <c r="X303" s="128" t="str">
        <f t="shared" si="28"/>
        <v>--</v>
      </c>
    </row>
    <row r="304" spans="1:24" x14ac:dyDescent="0.25">
      <c r="A304" s="1352"/>
      <c r="B304" s="129" t="s">
        <v>1157</v>
      </c>
      <c r="C304" t="s">
        <v>1651</v>
      </c>
      <c r="D304" s="139">
        <v>1</v>
      </c>
      <c r="E304" s="64" t="s">
        <v>960</v>
      </c>
      <c r="F304" s="64">
        <v>2080</v>
      </c>
      <c r="G304" s="64">
        <v>16</v>
      </c>
      <c r="H304" s="127" t="s">
        <v>540</v>
      </c>
      <c r="I304" s="139">
        <v>1</v>
      </c>
      <c r="J304" s="64" t="s">
        <v>1706</v>
      </c>
      <c r="K304" s="64">
        <v>3150</v>
      </c>
      <c r="L304" s="64">
        <v>10</v>
      </c>
      <c r="M304" s="146" t="s">
        <v>1690</v>
      </c>
      <c r="N304" s="139">
        <v>1</v>
      </c>
      <c r="O304" s="64" t="s">
        <v>992</v>
      </c>
      <c r="P304" s="64">
        <v>2592</v>
      </c>
      <c r="Q304" s="64">
        <v>16</v>
      </c>
      <c r="R304" s="127" t="s">
        <v>542</v>
      </c>
      <c r="V304" s="795" t="str">
        <f t="shared" si="26"/>
        <v>NOOO</v>
      </c>
      <c r="W304" s="795" t="str">
        <f t="shared" si="27"/>
        <v>NOOO</v>
      </c>
      <c r="X304" s="795" t="str">
        <f t="shared" si="28"/>
        <v>NOOO</v>
      </c>
    </row>
    <row r="305" spans="1:24" x14ac:dyDescent="0.25">
      <c r="A305" s="1352"/>
      <c r="B305" s="129" t="s">
        <v>1158</v>
      </c>
      <c r="C305" t="s">
        <v>1651</v>
      </c>
      <c r="D305" s="139">
        <v>2</v>
      </c>
      <c r="E305" s="64" t="s">
        <v>961</v>
      </c>
      <c r="F305" s="64">
        <v>1560</v>
      </c>
      <c r="G305" s="64">
        <v>12</v>
      </c>
      <c r="H305" s="127" t="s">
        <v>540</v>
      </c>
      <c r="I305" s="139">
        <v>2</v>
      </c>
      <c r="J305" s="64" t="s">
        <v>1707</v>
      </c>
      <c r="K305" s="64">
        <v>2520</v>
      </c>
      <c r="L305" s="64">
        <v>8</v>
      </c>
      <c r="M305" s="146" t="s">
        <v>1690</v>
      </c>
      <c r="N305" s="139">
        <v>2</v>
      </c>
      <c r="O305" s="64" t="s">
        <v>993</v>
      </c>
      <c r="P305" s="64">
        <v>1944</v>
      </c>
      <c r="Q305" s="64">
        <v>12</v>
      </c>
      <c r="R305" s="127" t="s">
        <v>542</v>
      </c>
      <c r="V305" s="795" t="str">
        <f t="shared" si="26"/>
        <v>NOOO</v>
      </c>
      <c r="W305" s="128" t="str">
        <f t="shared" si="27"/>
        <v>yes</v>
      </c>
      <c r="X305" s="795" t="str">
        <f t="shared" si="28"/>
        <v>NOOO</v>
      </c>
    </row>
    <row r="306" spans="1:24" x14ac:dyDescent="0.25">
      <c r="A306" s="1352"/>
      <c r="B306" s="129" t="s">
        <v>1163</v>
      </c>
      <c r="C306" t="s">
        <v>1651</v>
      </c>
      <c r="D306" s="139">
        <v>3</v>
      </c>
      <c r="E306" s="64" t="s">
        <v>962</v>
      </c>
      <c r="F306" s="64">
        <v>1128</v>
      </c>
      <c r="G306" s="64">
        <v>8</v>
      </c>
      <c r="H306" s="127" t="s">
        <v>540</v>
      </c>
      <c r="I306" s="139">
        <v>3</v>
      </c>
      <c r="J306" s="64" t="s">
        <v>979</v>
      </c>
      <c r="K306" s="64">
        <v>2520</v>
      </c>
      <c r="L306" s="64">
        <v>8</v>
      </c>
      <c r="M306" s="146" t="s">
        <v>1690</v>
      </c>
      <c r="N306" s="139">
        <v>3</v>
      </c>
      <c r="O306" s="64" t="s">
        <v>994</v>
      </c>
      <c r="P306" s="64">
        <v>1296</v>
      </c>
      <c r="Q306" s="64">
        <v>8</v>
      </c>
      <c r="R306" s="127" t="s">
        <v>542</v>
      </c>
      <c r="V306" s="128" t="str">
        <f t="shared" si="26"/>
        <v>yes</v>
      </c>
      <c r="W306" s="128" t="str">
        <f t="shared" si="27"/>
        <v>yes</v>
      </c>
      <c r="X306" s="128" t="str">
        <f t="shared" si="28"/>
        <v>yes</v>
      </c>
    </row>
    <row r="307" spans="1:24" x14ac:dyDescent="0.25">
      <c r="A307" s="1352"/>
      <c r="B307" s="129"/>
      <c r="C307" t="s">
        <v>1651</v>
      </c>
      <c r="D307" s="139">
        <v>4</v>
      </c>
      <c r="E307" s="64" t="s">
        <v>963</v>
      </c>
      <c r="F307" s="64">
        <v>1040</v>
      </c>
      <c r="G307" s="64">
        <v>8</v>
      </c>
      <c r="H307" s="127" t="s">
        <v>540</v>
      </c>
      <c r="I307" s="139">
        <v>4</v>
      </c>
      <c r="J307" s="64" t="s">
        <v>980</v>
      </c>
      <c r="K307" s="64">
        <v>1890</v>
      </c>
      <c r="L307" s="64">
        <v>6</v>
      </c>
      <c r="M307" s="146" t="s">
        <v>1690</v>
      </c>
      <c r="N307" s="139">
        <v>4</v>
      </c>
      <c r="O307" s="64" t="s">
        <v>995</v>
      </c>
      <c r="P307" s="64">
        <v>1296</v>
      </c>
      <c r="Q307" s="64">
        <v>8</v>
      </c>
      <c r="R307" s="127" t="s">
        <v>542</v>
      </c>
      <c r="V307" s="128" t="str">
        <f t="shared" si="26"/>
        <v>yes</v>
      </c>
      <c r="W307" s="128" t="str">
        <f t="shared" si="27"/>
        <v>yes</v>
      </c>
      <c r="X307" s="128" t="str">
        <f t="shared" si="28"/>
        <v>yes</v>
      </c>
    </row>
    <row r="308" spans="1:24" x14ac:dyDescent="0.25">
      <c r="A308" s="1352"/>
      <c r="B308" s="129"/>
      <c r="C308" t="s">
        <v>1651</v>
      </c>
      <c r="D308" s="139">
        <v>5</v>
      </c>
      <c r="E308" s="64" t="s">
        <v>964</v>
      </c>
      <c r="F308" s="64">
        <v>846</v>
      </c>
      <c r="G308" s="64">
        <v>6</v>
      </c>
      <c r="H308" s="127" t="s">
        <v>540</v>
      </c>
      <c r="I308" s="139">
        <v>5</v>
      </c>
      <c r="J308" s="64" t="s">
        <v>1708</v>
      </c>
      <c r="K308" s="64">
        <v>1575</v>
      </c>
      <c r="L308" s="64">
        <v>5</v>
      </c>
      <c r="M308" s="146" t="s">
        <v>1690</v>
      </c>
      <c r="N308" s="139">
        <v>5</v>
      </c>
      <c r="O308" s="64" t="s">
        <v>996</v>
      </c>
      <c r="P308" s="64">
        <v>972</v>
      </c>
      <c r="Q308" s="64">
        <v>6</v>
      </c>
      <c r="R308" s="127" t="s">
        <v>542</v>
      </c>
      <c r="V308" s="128" t="str">
        <f t="shared" si="26"/>
        <v>yes</v>
      </c>
      <c r="W308" s="128" t="str">
        <f t="shared" si="27"/>
        <v>yes</v>
      </c>
      <c r="X308" s="128" t="str">
        <f t="shared" si="28"/>
        <v>yes</v>
      </c>
    </row>
    <row r="309" spans="1:24" x14ac:dyDescent="0.25">
      <c r="A309" s="1352"/>
      <c r="B309" s="129"/>
      <c r="C309" t="s">
        <v>1651</v>
      </c>
      <c r="D309" s="139">
        <v>6</v>
      </c>
      <c r="E309" s="64" t="s">
        <v>1713</v>
      </c>
      <c r="F309" s="64">
        <v>735</v>
      </c>
      <c r="G309" s="64">
        <v>5</v>
      </c>
      <c r="H309" s="127" t="s">
        <v>540</v>
      </c>
      <c r="I309" s="139">
        <v>6</v>
      </c>
      <c r="J309" s="64" t="s">
        <v>981</v>
      </c>
      <c r="K309" s="64">
        <v>1260</v>
      </c>
      <c r="L309" s="64">
        <v>4</v>
      </c>
      <c r="M309" s="146" t="s">
        <v>1690</v>
      </c>
      <c r="N309" s="139">
        <v>6</v>
      </c>
      <c r="O309" s="64" t="s">
        <v>997</v>
      </c>
      <c r="P309" s="64">
        <v>648</v>
      </c>
      <c r="Q309" s="64">
        <v>4</v>
      </c>
      <c r="R309" s="127" t="s">
        <v>542</v>
      </c>
      <c r="V309" s="128" t="str">
        <f t="shared" si="26"/>
        <v>yes</v>
      </c>
      <c r="W309" s="128" t="str">
        <f t="shared" si="27"/>
        <v>yes</v>
      </c>
      <c r="X309" s="128" t="str">
        <f t="shared" si="28"/>
        <v>yes</v>
      </c>
    </row>
    <row r="310" spans="1:24" x14ac:dyDescent="0.25">
      <c r="A310" s="1352"/>
      <c r="B310" s="129"/>
      <c r="C310" t="s">
        <v>1651</v>
      </c>
      <c r="D310" s="139">
        <v>7</v>
      </c>
      <c r="E310" s="64" t="s">
        <v>1714</v>
      </c>
      <c r="F310" s="64">
        <v>635</v>
      </c>
      <c r="G310" s="64">
        <v>5</v>
      </c>
      <c r="H310" s="127" t="s">
        <v>574</v>
      </c>
      <c r="I310" s="139"/>
      <c r="J310" s="64"/>
      <c r="K310" s="64"/>
      <c r="L310" s="64"/>
      <c r="M310" s="146"/>
      <c r="N310" s="139"/>
      <c r="O310" s="64"/>
      <c r="P310" s="64"/>
      <c r="Q310" s="64"/>
      <c r="R310" s="127"/>
      <c r="V310" s="128" t="str">
        <f t="shared" si="26"/>
        <v>yes</v>
      </c>
      <c r="W310" s="128" t="str">
        <f t="shared" si="27"/>
        <v>--</v>
      </c>
      <c r="X310" s="128" t="str">
        <f t="shared" si="28"/>
        <v>--</v>
      </c>
    </row>
    <row r="311" spans="1:24" x14ac:dyDescent="0.25">
      <c r="A311" s="1352"/>
      <c r="B311" s="129"/>
      <c r="C311" t="s">
        <v>1651</v>
      </c>
      <c r="D311" s="139">
        <v>8</v>
      </c>
      <c r="E311" s="64" t="s">
        <v>965</v>
      </c>
      <c r="F311" s="64">
        <v>564</v>
      </c>
      <c r="G311" s="64">
        <v>4</v>
      </c>
      <c r="H311" s="127" t="s">
        <v>540</v>
      </c>
      <c r="I311" s="139"/>
      <c r="J311" s="64"/>
      <c r="K311" s="64"/>
      <c r="L311" s="64"/>
      <c r="M311" s="146"/>
      <c r="N311" s="139"/>
      <c r="O311" s="64"/>
      <c r="P311" s="64"/>
      <c r="Q311" s="64"/>
      <c r="R311" s="127"/>
      <c r="V311" s="128" t="str">
        <f t="shared" si="26"/>
        <v>yes</v>
      </c>
      <c r="W311" s="128" t="str">
        <f t="shared" si="27"/>
        <v>--</v>
      </c>
      <c r="X311" s="128" t="str">
        <f t="shared" si="28"/>
        <v>--</v>
      </c>
    </row>
    <row r="312" spans="1:24" x14ac:dyDescent="0.25">
      <c r="A312" s="1352"/>
      <c r="B312" s="129"/>
      <c r="C312" t="s">
        <v>1651</v>
      </c>
      <c r="D312" s="139"/>
      <c r="E312" s="64"/>
      <c r="F312" s="64"/>
      <c r="G312" s="64"/>
      <c r="H312" s="127"/>
      <c r="I312" s="139"/>
      <c r="J312" s="64"/>
      <c r="K312" s="64"/>
      <c r="L312" s="64"/>
      <c r="M312" s="146"/>
      <c r="N312" s="139"/>
      <c r="O312" s="64"/>
      <c r="P312" s="64"/>
      <c r="Q312" s="64"/>
      <c r="R312" s="127"/>
      <c r="V312" s="128" t="str">
        <f t="shared" si="26"/>
        <v>--</v>
      </c>
      <c r="W312" s="128" t="str">
        <f t="shared" si="27"/>
        <v>--</v>
      </c>
      <c r="X312" s="128" t="str">
        <f t="shared" si="28"/>
        <v>--</v>
      </c>
    </row>
    <row r="313" spans="1:24" x14ac:dyDescent="0.25">
      <c r="A313" s="1352"/>
      <c r="B313" s="129"/>
      <c r="C313" t="s">
        <v>1651</v>
      </c>
      <c r="D313" s="139"/>
      <c r="E313" s="64"/>
      <c r="F313" s="64"/>
      <c r="G313" s="64"/>
      <c r="H313" s="127"/>
      <c r="I313" s="139"/>
      <c r="J313" s="64"/>
      <c r="K313" s="64"/>
      <c r="L313" s="64"/>
      <c r="M313" s="146"/>
      <c r="N313" s="139"/>
      <c r="O313" s="64"/>
      <c r="P313" s="64"/>
      <c r="Q313" s="64"/>
      <c r="R313" s="127"/>
      <c r="V313" s="128" t="str">
        <f t="shared" si="26"/>
        <v>--</v>
      </c>
      <c r="W313" s="128" t="str">
        <f t="shared" si="27"/>
        <v>--</v>
      </c>
      <c r="X313" s="128" t="str">
        <f t="shared" si="28"/>
        <v>--</v>
      </c>
    </row>
    <row r="314" spans="1:24" x14ac:dyDescent="0.25">
      <c r="A314" s="1352"/>
      <c r="B314" s="129"/>
      <c r="C314" t="s">
        <v>1651</v>
      </c>
      <c r="D314" s="139"/>
      <c r="E314" s="64"/>
      <c r="F314" s="64"/>
      <c r="G314" s="64"/>
      <c r="H314" s="127"/>
      <c r="I314" s="139"/>
      <c r="J314" s="64"/>
      <c r="K314" s="64"/>
      <c r="L314" s="64"/>
      <c r="M314" s="146"/>
      <c r="N314" s="139"/>
      <c r="O314" s="64"/>
      <c r="P314" s="64"/>
      <c r="Q314" s="64"/>
      <c r="R314" s="127"/>
      <c r="V314" s="128" t="str">
        <f t="shared" si="26"/>
        <v>--</v>
      </c>
      <c r="W314" s="128" t="str">
        <f t="shared" si="27"/>
        <v>--</v>
      </c>
      <c r="X314" s="128" t="str">
        <f t="shared" si="28"/>
        <v>--</v>
      </c>
    </row>
    <row r="315" spans="1:24" x14ac:dyDescent="0.25">
      <c r="A315" s="1352"/>
      <c r="B315" s="130"/>
      <c r="C315" t="s">
        <v>1651</v>
      </c>
      <c r="D315" s="131"/>
      <c r="E315" s="132"/>
      <c r="F315" s="132"/>
      <c r="G315" s="132"/>
      <c r="H315" s="134"/>
      <c r="I315" s="131"/>
      <c r="J315" s="132"/>
      <c r="K315" s="132"/>
      <c r="L315" s="132"/>
      <c r="M315" s="147"/>
      <c r="N315" s="131"/>
      <c r="O315" s="132"/>
      <c r="P315" s="132"/>
      <c r="Q315" s="132"/>
      <c r="R315" s="134"/>
      <c r="V315" s="128" t="str">
        <f t="shared" si="26"/>
        <v>--</v>
      </c>
      <c r="W315" s="128" t="str">
        <f t="shared" si="27"/>
        <v>--</v>
      </c>
      <c r="X315" s="128" t="str">
        <f t="shared" si="28"/>
        <v>--</v>
      </c>
    </row>
    <row r="316" spans="1:24" x14ac:dyDescent="0.25">
      <c r="A316" s="1352"/>
      <c r="B316" s="129" t="s">
        <v>1160</v>
      </c>
      <c r="C316" t="s">
        <v>1652</v>
      </c>
      <c r="D316" s="139">
        <v>1</v>
      </c>
      <c r="E316" s="64" t="s">
        <v>960</v>
      </c>
      <c r="F316" s="64">
        <v>2080</v>
      </c>
      <c r="G316" s="64">
        <v>16</v>
      </c>
      <c r="H316" s="127" t="s">
        <v>540</v>
      </c>
      <c r="I316" s="139">
        <v>1</v>
      </c>
      <c r="J316" s="64" t="s">
        <v>1706</v>
      </c>
      <c r="K316" s="64">
        <v>3150</v>
      </c>
      <c r="L316" s="64">
        <v>10</v>
      </c>
      <c r="M316" s="146" t="s">
        <v>1690</v>
      </c>
      <c r="N316" s="139">
        <v>1</v>
      </c>
      <c r="O316" s="64" t="s">
        <v>992</v>
      </c>
      <c r="P316" s="64">
        <v>2592</v>
      </c>
      <c r="Q316" s="64">
        <v>16</v>
      </c>
      <c r="R316" s="127" t="s">
        <v>542</v>
      </c>
      <c r="V316" s="795" t="str">
        <f t="shared" si="26"/>
        <v>NOOO</v>
      </c>
      <c r="W316" s="795" t="str">
        <f t="shared" si="27"/>
        <v>NOOO</v>
      </c>
      <c r="X316" s="795" t="str">
        <f t="shared" si="28"/>
        <v>NOOO</v>
      </c>
    </row>
    <row r="317" spans="1:24" x14ac:dyDescent="0.25">
      <c r="A317" s="1352"/>
      <c r="B317" s="129" t="s">
        <v>1164</v>
      </c>
      <c r="C317" t="s">
        <v>1652</v>
      </c>
      <c r="D317" s="139">
        <v>2</v>
      </c>
      <c r="E317" s="64" t="s">
        <v>961</v>
      </c>
      <c r="F317" s="64">
        <v>1560</v>
      </c>
      <c r="G317" s="64">
        <v>12</v>
      </c>
      <c r="H317" s="127" t="s">
        <v>540</v>
      </c>
      <c r="I317" s="139">
        <v>2</v>
      </c>
      <c r="J317" s="64" t="s">
        <v>1707</v>
      </c>
      <c r="K317" s="64">
        <v>2520</v>
      </c>
      <c r="L317" s="64">
        <v>8</v>
      </c>
      <c r="M317" s="146" t="s">
        <v>1690</v>
      </c>
      <c r="N317" s="139">
        <v>2</v>
      </c>
      <c r="O317" s="64" t="s">
        <v>993</v>
      </c>
      <c r="P317" s="64">
        <v>1944</v>
      </c>
      <c r="Q317" s="64">
        <v>12</v>
      </c>
      <c r="R317" s="127" t="s">
        <v>542</v>
      </c>
      <c r="V317" s="795" t="str">
        <f t="shared" si="26"/>
        <v>NOOO</v>
      </c>
      <c r="W317" s="128" t="str">
        <f t="shared" si="27"/>
        <v>yes</v>
      </c>
      <c r="X317" s="795" t="str">
        <f t="shared" si="28"/>
        <v>NOOO</v>
      </c>
    </row>
    <row r="318" spans="1:24" x14ac:dyDescent="0.25">
      <c r="A318" s="1352"/>
      <c r="B318" s="129" t="s">
        <v>1167</v>
      </c>
      <c r="C318" t="s">
        <v>1652</v>
      </c>
      <c r="D318" s="139">
        <v>3</v>
      </c>
      <c r="E318" s="64" t="s">
        <v>962</v>
      </c>
      <c r="F318" s="64">
        <v>1128</v>
      </c>
      <c r="G318" s="64">
        <v>8</v>
      </c>
      <c r="H318" s="127" t="s">
        <v>540</v>
      </c>
      <c r="I318" s="139">
        <v>3</v>
      </c>
      <c r="J318" s="64" t="s">
        <v>979</v>
      </c>
      <c r="K318" s="64">
        <v>2520</v>
      </c>
      <c r="L318" s="64">
        <v>8</v>
      </c>
      <c r="M318" s="146" t="s">
        <v>1690</v>
      </c>
      <c r="N318" s="139">
        <v>3</v>
      </c>
      <c r="O318" s="64" t="s">
        <v>994</v>
      </c>
      <c r="P318" s="64">
        <v>1296</v>
      </c>
      <c r="Q318" s="64">
        <v>8</v>
      </c>
      <c r="R318" s="127" t="s">
        <v>542</v>
      </c>
      <c r="V318" s="128" t="str">
        <f t="shared" si="26"/>
        <v>yes</v>
      </c>
      <c r="W318" s="128" t="str">
        <f t="shared" si="27"/>
        <v>yes</v>
      </c>
      <c r="X318" s="128" t="str">
        <f t="shared" si="28"/>
        <v>yes</v>
      </c>
    </row>
    <row r="319" spans="1:24" x14ac:dyDescent="0.25">
      <c r="A319" s="1352"/>
      <c r="B319" s="129"/>
      <c r="C319" t="s">
        <v>1652</v>
      </c>
      <c r="D319" s="139">
        <v>4</v>
      </c>
      <c r="E319" s="64" t="s">
        <v>963</v>
      </c>
      <c r="F319" s="64">
        <v>1040</v>
      </c>
      <c r="G319" s="64">
        <v>8</v>
      </c>
      <c r="H319" s="127" t="s">
        <v>540</v>
      </c>
      <c r="I319" s="139">
        <v>4</v>
      </c>
      <c r="J319" s="64" t="s">
        <v>980</v>
      </c>
      <c r="K319" s="64">
        <v>1890</v>
      </c>
      <c r="L319" s="64">
        <v>6</v>
      </c>
      <c r="M319" s="146" t="s">
        <v>1690</v>
      </c>
      <c r="N319" s="139">
        <v>4</v>
      </c>
      <c r="O319" s="64" t="s">
        <v>995</v>
      </c>
      <c r="P319" s="64">
        <v>1296</v>
      </c>
      <c r="Q319" s="64">
        <v>8</v>
      </c>
      <c r="R319" s="127" t="s">
        <v>542</v>
      </c>
      <c r="V319" s="128" t="str">
        <f t="shared" si="26"/>
        <v>yes</v>
      </c>
      <c r="W319" s="128" t="str">
        <f t="shared" si="27"/>
        <v>yes</v>
      </c>
      <c r="X319" s="128" t="str">
        <f t="shared" si="28"/>
        <v>yes</v>
      </c>
    </row>
    <row r="320" spans="1:24" x14ac:dyDescent="0.25">
      <c r="A320" s="1352"/>
      <c r="B320" s="129"/>
      <c r="C320" t="s">
        <v>1652</v>
      </c>
      <c r="D320" s="139">
        <v>5</v>
      </c>
      <c r="E320" s="64" t="s">
        <v>966</v>
      </c>
      <c r="F320" s="64">
        <v>912</v>
      </c>
      <c r="G320" s="64">
        <v>8</v>
      </c>
      <c r="H320" s="127" t="s">
        <v>540</v>
      </c>
      <c r="I320" s="139">
        <v>5</v>
      </c>
      <c r="J320" s="64" t="s">
        <v>1708</v>
      </c>
      <c r="K320" s="64">
        <v>1575</v>
      </c>
      <c r="L320" s="64">
        <v>5</v>
      </c>
      <c r="M320" s="146" t="s">
        <v>1690</v>
      </c>
      <c r="N320" s="139">
        <v>5</v>
      </c>
      <c r="O320" s="64" t="s">
        <v>996</v>
      </c>
      <c r="P320" s="64">
        <v>972</v>
      </c>
      <c r="Q320" s="64">
        <v>6</v>
      </c>
      <c r="R320" s="127" t="s">
        <v>542</v>
      </c>
      <c r="V320" s="128" t="str">
        <f t="shared" si="26"/>
        <v>yes</v>
      </c>
      <c r="W320" s="128" t="str">
        <f t="shared" si="27"/>
        <v>yes</v>
      </c>
      <c r="X320" s="128" t="str">
        <f t="shared" si="28"/>
        <v>yes</v>
      </c>
    </row>
    <row r="321" spans="1:24" x14ac:dyDescent="0.25">
      <c r="A321" s="1352"/>
      <c r="B321" s="129"/>
      <c r="C321" t="s">
        <v>1652</v>
      </c>
      <c r="D321" s="139">
        <v>6</v>
      </c>
      <c r="E321" s="64" t="s">
        <v>964</v>
      </c>
      <c r="F321" s="64">
        <v>846</v>
      </c>
      <c r="G321" s="64">
        <v>6</v>
      </c>
      <c r="H321" s="64" t="s">
        <v>540</v>
      </c>
      <c r="I321" s="139">
        <v>6</v>
      </c>
      <c r="J321" s="64" t="s">
        <v>1709</v>
      </c>
      <c r="K321" s="64">
        <v>1260</v>
      </c>
      <c r="L321" s="64">
        <v>4</v>
      </c>
      <c r="M321" s="146" t="s">
        <v>1690</v>
      </c>
      <c r="N321" s="139">
        <v>6</v>
      </c>
      <c r="O321" s="64" t="s">
        <v>998</v>
      </c>
      <c r="P321" s="64">
        <v>972</v>
      </c>
      <c r="Q321" s="64">
        <v>6</v>
      </c>
      <c r="R321" s="127" t="s">
        <v>542</v>
      </c>
      <c r="V321" s="128" t="str">
        <f t="shared" si="26"/>
        <v>yes</v>
      </c>
      <c r="W321" s="128" t="str">
        <f t="shared" si="27"/>
        <v>yes</v>
      </c>
      <c r="X321" s="128" t="str">
        <f t="shared" si="28"/>
        <v>yes</v>
      </c>
    </row>
    <row r="322" spans="1:24" x14ac:dyDescent="0.25">
      <c r="A322" s="1352"/>
      <c r="B322" s="129"/>
      <c r="C322" t="s">
        <v>1652</v>
      </c>
      <c r="D322" s="139">
        <v>7</v>
      </c>
      <c r="E322" s="64" t="s">
        <v>967</v>
      </c>
      <c r="F322" s="64">
        <v>780</v>
      </c>
      <c r="G322" s="64">
        <v>6</v>
      </c>
      <c r="H322" t="s">
        <v>540</v>
      </c>
      <c r="I322" s="139">
        <v>7</v>
      </c>
      <c r="J322" s="64" t="s">
        <v>982</v>
      </c>
      <c r="K322" s="64">
        <v>1260</v>
      </c>
      <c r="L322" s="64">
        <v>4</v>
      </c>
      <c r="M322" s="146" t="s">
        <v>1690</v>
      </c>
      <c r="N322" s="139">
        <v>7</v>
      </c>
      <c r="O322" s="64" t="s">
        <v>1000</v>
      </c>
      <c r="P322" s="64">
        <v>912</v>
      </c>
      <c r="Q322" s="64">
        <v>8</v>
      </c>
      <c r="R322" s="144" t="s">
        <v>542</v>
      </c>
      <c r="V322" s="128" t="str">
        <f t="shared" si="26"/>
        <v>yes</v>
      </c>
      <c r="W322" s="128" t="str">
        <f t="shared" si="27"/>
        <v>yes</v>
      </c>
      <c r="X322" s="128" t="str">
        <f t="shared" si="28"/>
        <v>yes</v>
      </c>
    </row>
    <row r="323" spans="1:24" x14ac:dyDescent="0.25">
      <c r="A323" s="1352"/>
      <c r="B323" s="129"/>
      <c r="C323" t="s">
        <v>1652</v>
      </c>
      <c r="D323" s="139">
        <v>8</v>
      </c>
      <c r="E323" s="64" t="s">
        <v>968</v>
      </c>
      <c r="F323" s="64">
        <v>564</v>
      </c>
      <c r="G323" s="64">
        <v>4</v>
      </c>
      <c r="H323" t="s">
        <v>540</v>
      </c>
      <c r="I323" s="139">
        <v>8</v>
      </c>
      <c r="J323" s="64" t="s">
        <v>983</v>
      </c>
      <c r="K323" s="64">
        <v>1260</v>
      </c>
      <c r="L323" s="64">
        <v>4</v>
      </c>
      <c r="M323" s="146" t="s">
        <v>1690</v>
      </c>
      <c r="N323" s="139">
        <v>8</v>
      </c>
      <c r="O323" s="64" t="s">
        <v>997</v>
      </c>
      <c r="P323" s="64">
        <v>648</v>
      </c>
      <c r="Q323" s="64">
        <v>4</v>
      </c>
      <c r="R323" s="144" t="s">
        <v>542</v>
      </c>
      <c r="V323" s="128" t="str">
        <f t="shared" si="26"/>
        <v>yes</v>
      </c>
      <c r="W323" s="128" t="str">
        <f t="shared" si="27"/>
        <v>yes</v>
      </c>
      <c r="X323" s="128" t="str">
        <f t="shared" si="28"/>
        <v>yes</v>
      </c>
    </row>
    <row r="324" spans="1:24" x14ac:dyDescent="0.25">
      <c r="A324" s="1352"/>
      <c r="B324" s="129"/>
      <c r="C324" t="s">
        <v>1652</v>
      </c>
      <c r="D324" s="139">
        <v>9</v>
      </c>
      <c r="E324" s="64" t="s">
        <v>965</v>
      </c>
      <c r="F324" s="64">
        <v>564</v>
      </c>
      <c r="G324" s="64">
        <v>4</v>
      </c>
      <c r="H324" s="64" t="s">
        <v>540</v>
      </c>
      <c r="I324" s="139">
        <v>9</v>
      </c>
      <c r="J324" s="64" t="s">
        <v>981</v>
      </c>
      <c r="K324" s="64">
        <v>740</v>
      </c>
      <c r="L324" s="64">
        <v>4</v>
      </c>
      <c r="M324" s="146" t="s">
        <v>1690</v>
      </c>
      <c r="N324" s="139">
        <v>9</v>
      </c>
      <c r="O324" s="64" t="s">
        <v>999</v>
      </c>
      <c r="P324" s="64">
        <v>564</v>
      </c>
      <c r="Q324" s="64">
        <v>4</v>
      </c>
      <c r="R324" s="144" t="s">
        <v>542</v>
      </c>
      <c r="V324" s="128" t="str">
        <f t="shared" si="26"/>
        <v>yes</v>
      </c>
      <c r="W324" s="128" t="str">
        <f t="shared" si="27"/>
        <v>yes</v>
      </c>
      <c r="X324" s="128" t="str">
        <f t="shared" si="28"/>
        <v>yes</v>
      </c>
    </row>
    <row r="325" spans="1:24" x14ac:dyDescent="0.25">
      <c r="A325" s="1352"/>
      <c r="B325" s="129"/>
      <c r="C325" t="s">
        <v>1652</v>
      </c>
      <c r="D325" s="139">
        <v>10</v>
      </c>
      <c r="E325" s="64" t="s">
        <v>1715</v>
      </c>
      <c r="F325" s="64">
        <v>294</v>
      </c>
      <c r="G325" s="64">
        <v>2</v>
      </c>
      <c r="H325" s="144" t="s">
        <v>540</v>
      </c>
      <c r="I325" s="139"/>
      <c r="J325" s="64"/>
      <c r="K325" s="64"/>
      <c r="L325" s="64"/>
      <c r="M325" s="146"/>
      <c r="N325" s="139"/>
      <c r="O325" s="64"/>
      <c r="P325" s="64"/>
      <c r="Q325" s="64"/>
      <c r="R325" s="144"/>
      <c r="V325" s="128" t="str">
        <f t="shared" si="26"/>
        <v>yes</v>
      </c>
      <c r="W325" s="128" t="str">
        <f t="shared" si="27"/>
        <v>--</v>
      </c>
      <c r="X325" s="128" t="str">
        <f t="shared" si="28"/>
        <v>--</v>
      </c>
    </row>
    <row r="326" spans="1:24" x14ac:dyDescent="0.25">
      <c r="A326" s="1352"/>
      <c r="B326" s="129"/>
      <c r="C326" t="s">
        <v>1652</v>
      </c>
      <c r="D326" s="139">
        <v>11</v>
      </c>
      <c r="E326" s="64" t="s">
        <v>1716</v>
      </c>
      <c r="F326" s="64">
        <v>254</v>
      </c>
      <c r="G326" s="64">
        <v>2</v>
      </c>
      <c r="H326" s="127" t="s">
        <v>574</v>
      </c>
      <c r="I326" s="139"/>
      <c r="J326" s="64"/>
      <c r="K326" s="64"/>
      <c r="L326" s="64"/>
      <c r="M326" s="146"/>
      <c r="N326" s="139"/>
      <c r="O326" s="64"/>
      <c r="P326" s="64"/>
      <c r="Q326" s="64"/>
      <c r="R326" s="144"/>
      <c r="V326" s="128" t="str">
        <f t="shared" si="26"/>
        <v>yes</v>
      </c>
      <c r="W326" s="128" t="str">
        <f t="shared" si="27"/>
        <v>--</v>
      </c>
      <c r="X326" s="128" t="str">
        <f t="shared" si="28"/>
        <v>--</v>
      </c>
    </row>
    <row r="327" spans="1:24" x14ac:dyDescent="0.25">
      <c r="A327" s="1352"/>
      <c r="B327" s="129"/>
      <c r="C327" t="s">
        <v>1652</v>
      </c>
      <c r="D327" s="139"/>
      <c r="E327" s="64"/>
      <c r="F327" s="64"/>
      <c r="G327" s="64"/>
      <c r="H327" s="144"/>
      <c r="I327" s="139"/>
      <c r="J327" s="64"/>
      <c r="K327" s="64"/>
      <c r="L327" s="64"/>
      <c r="M327" s="146"/>
      <c r="N327" s="139"/>
      <c r="O327" s="64"/>
      <c r="P327" s="64"/>
      <c r="Q327" s="64"/>
      <c r="R327" s="144"/>
      <c r="V327" s="128" t="str">
        <f t="shared" si="26"/>
        <v>--</v>
      </c>
      <c r="W327" s="128" t="str">
        <f t="shared" si="27"/>
        <v>--</v>
      </c>
      <c r="X327" s="128" t="str">
        <f t="shared" si="28"/>
        <v>--</v>
      </c>
    </row>
    <row r="328" spans="1:24" x14ac:dyDescent="0.25">
      <c r="A328" s="1352"/>
      <c r="B328" s="129"/>
      <c r="C328" t="s">
        <v>1652</v>
      </c>
      <c r="D328" s="139"/>
      <c r="E328" s="64"/>
      <c r="F328" s="64"/>
      <c r="G328" s="64"/>
      <c r="H328" s="144"/>
      <c r="I328" s="139"/>
      <c r="J328" s="64"/>
      <c r="K328" s="64"/>
      <c r="L328" s="64"/>
      <c r="M328" s="146"/>
      <c r="N328" s="139"/>
      <c r="O328" s="64"/>
      <c r="P328" s="64"/>
      <c r="Q328" s="64"/>
      <c r="R328" s="144"/>
      <c r="V328" s="128" t="str">
        <f t="shared" si="26"/>
        <v>--</v>
      </c>
      <c r="W328" s="128" t="str">
        <f t="shared" si="27"/>
        <v>--</v>
      </c>
      <c r="X328" s="128" t="str">
        <f t="shared" si="28"/>
        <v>--</v>
      </c>
    </row>
    <row r="329" spans="1:24" x14ac:dyDescent="0.25">
      <c r="A329" s="1352"/>
      <c r="B329" s="129"/>
      <c r="C329" t="s">
        <v>1652</v>
      </c>
      <c r="D329" s="139"/>
      <c r="E329" s="64"/>
      <c r="F329" s="64"/>
      <c r="G329" s="64"/>
      <c r="H329" s="144"/>
      <c r="I329" s="139"/>
      <c r="J329" s="64"/>
      <c r="K329" s="64"/>
      <c r="L329" s="64"/>
      <c r="M329" s="146"/>
      <c r="N329" s="139"/>
      <c r="O329" s="64"/>
      <c r="P329" s="64"/>
      <c r="Q329" s="64"/>
      <c r="R329" s="144"/>
      <c r="V329" s="128" t="str">
        <f t="shared" si="26"/>
        <v>--</v>
      </c>
      <c r="W329" s="128" t="str">
        <f t="shared" si="27"/>
        <v>--</v>
      </c>
      <c r="X329" s="128" t="str">
        <f t="shared" si="28"/>
        <v>--</v>
      </c>
    </row>
    <row r="330" spans="1:24" x14ac:dyDescent="0.25">
      <c r="A330" s="1352"/>
      <c r="B330" s="130"/>
      <c r="C330" t="s">
        <v>1652</v>
      </c>
      <c r="D330" s="131"/>
      <c r="E330" s="132"/>
      <c r="F330" s="132"/>
      <c r="G330" s="132"/>
      <c r="H330" s="458"/>
      <c r="I330" s="131"/>
      <c r="J330" s="132"/>
      <c r="K330" s="132"/>
      <c r="L330" s="132"/>
      <c r="M330" s="147"/>
      <c r="N330" s="131"/>
      <c r="O330" s="132"/>
      <c r="P330" s="132"/>
      <c r="Q330" s="132"/>
      <c r="R330" s="134"/>
      <c r="V330" s="128" t="str">
        <f t="shared" si="26"/>
        <v>--</v>
      </c>
      <c r="W330" s="128" t="str">
        <f t="shared" si="27"/>
        <v>--</v>
      </c>
      <c r="X330" s="128" t="str">
        <f t="shared" si="28"/>
        <v>--</v>
      </c>
    </row>
    <row r="331" spans="1:24" x14ac:dyDescent="0.25">
      <c r="A331" s="1352"/>
      <c r="B331" s="129" t="s">
        <v>1161</v>
      </c>
      <c r="C331" t="s">
        <v>1653</v>
      </c>
      <c r="D331" s="139">
        <v>1</v>
      </c>
      <c r="E331" s="64" t="s">
        <v>961</v>
      </c>
      <c r="F331" s="64">
        <v>1560</v>
      </c>
      <c r="G331" s="64">
        <v>12</v>
      </c>
      <c r="H331" s="127" t="s">
        <v>540</v>
      </c>
      <c r="I331" s="139">
        <v>1</v>
      </c>
      <c r="J331" s="64" t="s">
        <v>1707</v>
      </c>
      <c r="K331" s="64">
        <v>2520</v>
      </c>
      <c r="L331" s="64">
        <v>8</v>
      </c>
      <c r="M331" s="146" t="s">
        <v>1690</v>
      </c>
      <c r="N331" s="139">
        <v>1</v>
      </c>
      <c r="O331" s="64" t="s">
        <v>993</v>
      </c>
      <c r="P331" s="64">
        <v>1944</v>
      </c>
      <c r="Q331" s="64">
        <v>12</v>
      </c>
      <c r="R331" s="127" t="s">
        <v>542</v>
      </c>
      <c r="V331" s="795" t="str">
        <f t="shared" si="26"/>
        <v>NOOO</v>
      </c>
      <c r="W331" s="128" t="str">
        <f t="shared" si="27"/>
        <v>yes</v>
      </c>
      <c r="X331" s="795" t="str">
        <f t="shared" si="28"/>
        <v>NOOO</v>
      </c>
    </row>
    <row r="332" spans="1:24" x14ac:dyDescent="0.25">
      <c r="A332" s="1352"/>
      <c r="B332" s="129" t="s">
        <v>1162</v>
      </c>
      <c r="C332" t="s">
        <v>1653</v>
      </c>
      <c r="D332" s="139">
        <v>2</v>
      </c>
      <c r="E332" s="64" t="s">
        <v>966</v>
      </c>
      <c r="F332" s="64">
        <v>912</v>
      </c>
      <c r="G332" s="64">
        <v>8</v>
      </c>
      <c r="H332" s="127" t="s">
        <v>540</v>
      </c>
      <c r="I332" s="139">
        <v>2</v>
      </c>
      <c r="J332" s="64" t="s">
        <v>980</v>
      </c>
      <c r="K332" s="64">
        <v>1890</v>
      </c>
      <c r="L332" s="64">
        <v>6</v>
      </c>
      <c r="M332" s="146" t="s">
        <v>1690</v>
      </c>
      <c r="N332" s="139">
        <v>2</v>
      </c>
      <c r="O332" s="64" t="s">
        <v>998</v>
      </c>
      <c r="P332" s="64">
        <v>972</v>
      </c>
      <c r="Q332" s="64">
        <v>6</v>
      </c>
      <c r="R332" s="127" t="s">
        <v>542</v>
      </c>
      <c r="V332" s="128" t="str">
        <f t="shared" si="26"/>
        <v>yes</v>
      </c>
      <c r="W332" s="128" t="str">
        <f t="shared" si="27"/>
        <v>yes</v>
      </c>
      <c r="X332" s="128" t="str">
        <f t="shared" si="28"/>
        <v>yes</v>
      </c>
    </row>
    <row r="333" spans="1:24" x14ac:dyDescent="0.25">
      <c r="A333" s="1352"/>
      <c r="B333" s="129" t="s">
        <v>1165</v>
      </c>
      <c r="C333" t="s">
        <v>1653</v>
      </c>
      <c r="D333" s="139">
        <v>3</v>
      </c>
      <c r="E333" s="64" t="s">
        <v>964</v>
      </c>
      <c r="F333" s="64">
        <v>846</v>
      </c>
      <c r="G333" s="64">
        <v>6</v>
      </c>
      <c r="H333" s="127" t="s">
        <v>540</v>
      </c>
      <c r="I333" s="139">
        <v>3</v>
      </c>
      <c r="J333" s="64" t="s">
        <v>1709</v>
      </c>
      <c r="K333" s="64">
        <v>1260</v>
      </c>
      <c r="L333" s="64">
        <v>4</v>
      </c>
      <c r="M333" s="146" t="s">
        <v>1690</v>
      </c>
      <c r="N333" s="139">
        <v>3</v>
      </c>
      <c r="O333" s="64" t="s">
        <v>996</v>
      </c>
      <c r="P333" s="64">
        <v>972</v>
      </c>
      <c r="Q333" s="64">
        <v>6</v>
      </c>
      <c r="R333" s="127" t="s">
        <v>542</v>
      </c>
      <c r="V333" s="128" t="str">
        <f t="shared" si="26"/>
        <v>yes</v>
      </c>
      <c r="W333" s="128" t="str">
        <f t="shared" si="27"/>
        <v>yes</v>
      </c>
      <c r="X333" s="128" t="str">
        <f t="shared" si="28"/>
        <v>yes</v>
      </c>
    </row>
    <row r="334" spans="1:24" x14ac:dyDescent="0.25">
      <c r="A334" s="1352"/>
      <c r="B334" s="129" t="s">
        <v>1166</v>
      </c>
      <c r="C334" t="s">
        <v>1653</v>
      </c>
      <c r="D334" s="139">
        <v>4</v>
      </c>
      <c r="E334" s="64" t="s">
        <v>967</v>
      </c>
      <c r="F334" s="64">
        <v>780</v>
      </c>
      <c r="G334" s="64">
        <v>6</v>
      </c>
      <c r="H334" s="127" t="s">
        <v>540</v>
      </c>
      <c r="I334" s="139">
        <v>4</v>
      </c>
      <c r="J334" s="64" t="s">
        <v>982</v>
      </c>
      <c r="K334" s="64">
        <v>1260</v>
      </c>
      <c r="L334" s="64">
        <v>4</v>
      </c>
      <c r="M334" s="146" t="s">
        <v>1690</v>
      </c>
      <c r="N334" s="139">
        <v>4</v>
      </c>
      <c r="O334" s="64" t="s">
        <v>1000</v>
      </c>
      <c r="P334" s="64">
        <v>912</v>
      </c>
      <c r="Q334" s="64">
        <v>8</v>
      </c>
      <c r="R334" s="127" t="s">
        <v>542</v>
      </c>
      <c r="V334" s="128" t="str">
        <f t="shared" si="26"/>
        <v>yes</v>
      </c>
      <c r="W334" s="128" t="str">
        <f t="shared" si="27"/>
        <v>yes</v>
      </c>
      <c r="X334" s="128" t="str">
        <f t="shared" si="28"/>
        <v>yes</v>
      </c>
    </row>
    <row r="335" spans="1:24" x14ac:dyDescent="0.25">
      <c r="A335" s="1352"/>
      <c r="B335" s="129" t="s">
        <v>1168</v>
      </c>
      <c r="C335" t="s">
        <v>1653</v>
      </c>
      <c r="D335" s="139">
        <v>5</v>
      </c>
      <c r="E335" s="64" t="s">
        <v>968</v>
      </c>
      <c r="F335" s="64">
        <v>564</v>
      </c>
      <c r="G335" s="64">
        <v>4</v>
      </c>
      <c r="H335" s="127" t="s">
        <v>540</v>
      </c>
      <c r="I335" s="139">
        <v>5</v>
      </c>
      <c r="J335" s="64" t="s">
        <v>983</v>
      </c>
      <c r="K335" s="64">
        <v>1260</v>
      </c>
      <c r="L335" s="64">
        <v>4</v>
      </c>
      <c r="M335" s="146" t="s">
        <v>1690</v>
      </c>
      <c r="N335" s="139">
        <v>5</v>
      </c>
      <c r="O335" s="64" t="s">
        <v>999</v>
      </c>
      <c r="P335" s="64">
        <v>564</v>
      </c>
      <c r="Q335" s="64">
        <v>4</v>
      </c>
      <c r="R335" s="127" t="s">
        <v>542</v>
      </c>
      <c r="V335" s="128" t="str">
        <f t="shared" si="26"/>
        <v>yes</v>
      </c>
      <c r="W335" s="128" t="str">
        <f t="shared" si="27"/>
        <v>yes</v>
      </c>
      <c r="X335" s="128" t="str">
        <f t="shared" si="28"/>
        <v>yes</v>
      </c>
    </row>
    <row r="336" spans="1:24" x14ac:dyDescent="0.25">
      <c r="A336" s="1352"/>
      <c r="B336" s="129" t="s">
        <v>1173</v>
      </c>
      <c r="C336" t="s">
        <v>1653</v>
      </c>
      <c r="D336" s="139">
        <v>6</v>
      </c>
      <c r="E336" s="64" t="s">
        <v>969</v>
      </c>
      <c r="F336" s="64">
        <v>456</v>
      </c>
      <c r="G336" s="64">
        <v>4</v>
      </c>
      <c r="H336" s="127" t="s">
        <v>540</v>
      </c>
      <c r="I336" s="139">
        <v>6</v>
      </c>
      <c r="J336" s="64" t="s">
        <v>984</v>
      </c>
      <c r="K336" s="64">
        <v>945</v>
      </c>
      <c r="L336" s="64">
        <v>3</v>
      </c>
      <c r="M336" s="146" t="s">
        <v>1690</v>
      </c>
      <c r="N336" s="139">
        <v>6</v>
      </c>
      <c r="O336" s="64" t="s">
        <v>1001</v>
      </c>
      <c r="P336" s="64">
        <v>486</v>
      </c>
      <c r="Q336" s="64">
        <v>3</v>
      </c>
      <c r="R336" s="127" t="s">
        <v>542</v>
      </c>
      <c r="V336" s="128" t="str">
        <f t="shared" si="26"/>
        <v>yes</v>
      </c>
      <c r="W336" s="128" t="str">
        <f t="shared" si="27"/>
        <v>yes</v>
      </c>
      <c r="X336" s="128" t="str">
        <f t="shared" si="28"/>
        <v>yes</v>
      </c>
    </row>
    <row r="337" spans="1:24" x14ac:dyDescent="0.25">
      <c r="A337" s="1352"/>
      <c r="B337" s="129"/>
      <c r="C337" t="s">
        <v>1653</v>
      </c>
      <c r="D337" s="139">
        <v>7</v>
      </c>
      <c r="E337" s="64" t="s">
        <v>970</v>
      </c>
      <c r="F337" s="64">
        <v>423</v>
      </c>
      <c r="G337" s="64">
        <v>3</v>
      </c>
      <c r="H337" s="127" t="s">
        <v>540</v>
      </c>
      <c r="I337" s="139">
        <v>7</v>
      </c>
      <c r="J337" s="64" t="s">
        <v>987</v>
      </c>
      <c r="K337" s="64">
        <v>630</v>
      </c>
      <c r="L337" s="64">
        <v>2</v>
      </c>
      <c r="M337" s="146" t="s">
        <v>1690</v>
      </c>
      <c r="N337" s="139">
        <v>7</v>
      </c>
      <c r="O337" s="64" t="s">
        <v>1002</v>
      </c>
      <c r="P337" s="64">
        <v>456</v>
      </c>
      <c r="Q337" s="64">
        <v>4</v>
      </c>
      <c r="R337" s="127" t="s">
        <v>542</v>
      </c>
      <c r="V337" s="128" t="str">
        <f t="shared" si="26"/>
        <v>yes</v>
      </c>
      <c r="W337" s="128" t="str">
        <f t="shared" si="27"/>
        <v>yes</v>
      </c>
      <c r="X337" s="128" t="str">
        <f t="shared" si="28"/>
        <v>yes</v>
      </c>
    </row>
    <row r="338" spans="1:24" x14ac:dyDescent="0.25">
      <c r="A338" s="1352"/>
      <c r="B338" s="129"/>
      <c r="C338" t="s">
        <v>1653</v>
      </c>
      <c r="D338" s="139">
        <v>8</v>
      </c>
      <c r="E338" s="64" t="s">
        <v>1715</v>
      </c>
      <c r="F338" s="64">
        <v>294</v>
      </c>
      <c r="G338" s="64">
        <v>2</v>
      </c>
      <c r="H338" s="127" t="s">
        <v>540</v>
      </c>
      <c r="I338" s="139">
        <v>8</v>
      </c>
      <c r="J338" s="64" t="s">
        <v>986</v>
      </c>
      <c r="K338" s="64">
        <v>630</v>
      </c>
      <c r="L338" s="64">
        <v>2</v>
      </c>
      <c r="M338" s="146" t="s">
        <v>1690</v>
      </c>
      <c r="N338" s="139">
        <v>8</v>
      </c>
      <c r="O338" s="64" t="s">
        <v>1003</v>
      </c>
      <c r="P338" s="64">
        <v>282</v>
      </c>
      <c r="Q338" s="64">
        <v>2</v>
      </c>
      <c r="R338" s="127" t="s">
        <v>542</v>
      </c>
      <c r="V338" s="128" t="str">
        <f t="shared" si="26"/>
        <v>yes</v>
      </c>
      <c r="W338" s="128" t="str">
        <f t="shared" si="27"/>
        <v>yes</v>
      </c>
      <c r="X338" s="128" t="str">
        <f t="shared" si="28"/>
        <v>yes</v>
      </c>
    </row>
    <row r="339" spans="1:24" x14ac:dyDescent="0.25">
      <c r="A339" s="1352"/>
      <c r="B339" s="129"/>
      <c r="C339" t="s">
        <v>1653</v>
      </c>
      <c r="D339" s="139">
        <v>9</v>
      </c>
      <c r="E339" s="64" t="s">
        <v>971</v>
      </c>
      <c r="F339" s="64">
        <v>282</v>
      </c>
      <c r="G339" s="64">
        <v>2</v>
      </c>
      <c r="H339" s="127" t="s">
        <v>540</v>
      </c>
      <c r="I339" s="139"/>
      <c r="J339" s="64"/>
      <c r="K339" s="64"/>
      <c r="L339" s="64"/>
      <c r="M339" s="146"/>
      <c r="N339" s="139"/>
      <c r="O339" s="64"/>
      <c r="P339" s="64"/>
      <c r="Q339" s="64"/>
      <c r="R339" s="127"/>
      <c r="V339" s="128" t="str">
        <f t="shared" ref="V339:V402" si="31">IFERROR(IF((LEFT(RIGHT(E339,2),1)+RIGHT(LEFT(E339,2),1)+G339)/3=G339,"yes","NOOO"),"--")</f>
        <v>yes</v>
      </c>
      <c r="W339" s="128" t="str">
        <f t="shared" ref="W339:W402" si="32">IFERROR(IF((LEFT(RIGHT(J339,2),1)+RIGHT(LEFT(J339,2),1)+L339)/3=L339,"yes","NOOO"),"--")</f>
        <v>--</v>
      </c>
      <c r="X339" s="128" t="str">
        <f t="shared" ref="X339:X402" si="33">IFERROR(IF((LEFT(RIGHT(O339,2),1)+RIGHT(LEFT(O339,2),1)+Q339)/3=Q339,"yes","NOOO"),"--")</f>
        <v>--</v>
      </c>
    </row>
    <row r="340" spans="1:24" x14ac:dyDescent="0.25">
      <c r="A340" s="1352"/>
      <c r="B340" s="129"/>
      <c r="C340" t="s">
        <v>1653</v>
      </c>
      <c r="D340" s="139">
        <v>10</v>
      </c>
      <c r="E340" s="64" t="s">
        <v>1716</v>
      </c>
      <c r="F340" s="64">
        <v>254</v>
      </c>
      <c r="G340" s="64">
        <v>2</v>
      </c>
      <c r="H340" s="127" t="s">
        <v>574</v>
      </c>
      <c r="I340" s="139"/>
      <c r="J340" s="64"/>
      <c r="K340" s="64"/>
      <c r="L340" s="64"/>
      <c r="M340" s="146"/>
      <c r="N340" s="139"/>
      <c r="O340" s="64"/>
      <c r="P340" s="64"/>
      <c r="Q340" s="64"/>
      <c r="R340" s="127"/>
      <c r="V340" s="128" t="str">
        <f t="shared" si="31"/>
        <v>yes</v>
      </c>
      <c r="W340" s="128" t="str">
        <f t="shared" si="32"/>
        <v>--</v>
      </c>
      <c r="X340" s="128" t="str">
        <f t="shared" si="33"/>
        <v>--</v>
      </c>
    </row>
    <row r="341" spans="1:24" x14ac:dyDescent="0.25">
      <c r="A341" s="1352"/>
      <c r="B341" s="129"/>
      <c r="C341" t="s">
        <v>1653</v>
      </c>
      <c r="D341" s="139"/>
      <c r="E341" s="64"/>
      <c r="F341" s="64"/>
      <c r="G341" s="64"/>
      <c r="H341" s="127"/>
      <c r="I341" s="139"/>
      <c r="J341" s="64"/>
      <c r="K341" s="64"/>
      <c r="L341" s="64"/>
      <c r="M341" s="146"/>
      <c r="N341" s="139"/>
      <c r="O341" s="64"/>
      <c r="P341" s="64"/>
      <c r="Q341" s="64"/>
      <c r="R341" s="127"/>
      <c r="V341" s="128" t="str">
        <f t="shared" si="31"/>
        <v>--</v>
      </c>
      <c r="W341" s="128" t="str">
        <f t="shared" si="32"/>
        <v>--</v>
      </c>
      <c r="X341" s="128" t="str">
        <f t="shared" si="33"/>
        <v>--</v>
      </c>
    </row>
    <row r="342" spans="1:24" x14ac:dyDescent="0.25">
      <c r="A342" s="1352"/>
      <c r="B342" s="129"/>
      <c r="C342" t="s">
        <v>1653</v>
      </c>
      <c r="D342" s="139"/>
      <c r="E342" s="64"/>
      <c r="F342" s="64"/>
      <c r="G342" s="64"/>
      <c r="H342" s="127"/>
      <c r="I342" s="139"/>
      <c r="J342" s="64"/>
      <c r="K342" s="64"/>
      <c r="L342" s="64"/>
      <c r="M342" s="146"/>
      <c r="N342" s="139"/>
      <c r="O342" s="64"/>
      <c r="P342" s="64"/>
      <c r="Q342" s="64"/>
      <c r="R342" s="127"/>
      <c r="V342" s="128" t="str">
        <f t="shared" si="31"/>
        <v>--</v>
      </c>
      <c r="W342" s="128" t="str">
        <f t="shared" si="32"/>
        <v>--</v>
      </c>
      <c r="X342" s="128" t="str">
        <f t="shared" si="33"/>
        <v>--</v>
      </c>
    </row>
    <row r="343" spans="1:24" x14ac:dyDescent="0.25">
      <c r="A343" s="1352"/>
      <c r="B343" s="129"/>
      <c r="C343" t="s">
        <v>1653</v>
      </c>
      <c r="D343" s="139"/>
      <c r="E343" s="64"/>
      <c r="F343" s="64"/>
      <c r="G343" s="64"/>
      <c r="H343" s="127"/>
      <c r="I343" s="139"/>
      <c r="J343" s="64"/>
      <c r="K343" s="64"/>
      <c r="L343" s="64"/>
      <c r="M343" s="146"/>
      <c r="N343" s="139"/>
      <c r="O343" s="64"/>
      <c r="P343" s="64"/>
      <c r="Q343" s="64"/>
      <c r="R343" s="127"/>
      <c r="V343" s="128" t="str">
        <f t="shared" si="31"/>
        <v>--</v>
      </c>
      <c r="W343" s="128" t="str">
        <f t="shared" si="32"/>
        <v>--</v>
      </c>
      <c r="X343" s="128" t="str">
        <f t="shared" si="33"/>
        <v>--</v>
      </c>
    </row>
    <row r="344" spans="1:24" x14ac:dyDescent="0.25">
      <c r="A344" s="1352"/>
      <c r="B344" s="130"/>
      <c r="C344" t="s">
        <v>1653</v>
      </c>
      <c r="D344" s="131"/>
      <c r="E344" s="132"/>
      <c r="F344" s="132"/>
      <c r="G344" s="132"/>
      <c r="H344" s="134"/>
      <c r="I344" s="131"/>
      <c r="J344" s="132"/>
      <c r="K344" s="132"/>
      <c r="L344" s="132"/>
      <c r="M344" s="147"/>
      <c r="N344" s="131"/>
      <c r="O344" s="132"/>
      <c r="P344" s="132"/>
      <c r="Q344" s="132"/>
      <c r="R344" s="134"/>
      <c r="V344" s="128" t="str">
        <f t="shared" si="31"/>
        <v>--</v>
      </c>
      <c r="W344" s="128" t="str">
        <f t="shared" si="32"/>
        <v>--</v>
      </c>
      <c r="X344" s="128" t="str">
        <f t="shared" si="33"/>
        <v>--</v>
      </c>
    </row>
    <row r="345" spans="1:24" x14ac:dyDescent="0.25">
      <c r="A345" s="1352"/>
      <c r="B345" s="129" t="s">
        <v>1169</v>
      </c>
      <c r="C345" t="s">
        <v>1654</v>
      </c>
      <c r="D345" s="139">
        <v>1</v>
      </c>
      <c r="E345" s="64" t="s">
        <v>972</v>
      </c>
      <c r="F345" s="64">
        <v>1040</v>
      </c>
      <c r="G345" s="64">
        <v>8</v>
      </c>
      <c r="H345" s="127" t="s">
        <v>540</v>
      </c>
      <c r="I345" s="139">
        <v>1</v>
      </c>
      <c r="J345" s="64" t="s">
        <v>988</v>
      </c>
      <c r="K345" s="64">
        <v>1890</v>
      </c>
      <c r="L345" s="64">
        <v>6</v>
      </c>
      <c r="M345" s="146" t="s">
        <v>1690</v>
      </c>
      <c r="N345" s="139">
        <v>1</v>
      </c>
      <c r="O345" s="64" t="s">
        <v>1004</v>
      </c>
      <c r="P345" s="64">
        <v>1296</v>
      </c>
      <c r="Q345" s="64">
        <v>8</v>
      </c>
      <c r="R345" s="127" t="s">
        <v>542</v>
      </c>
      <c r="V345" s="128" t="str">
        <f t="shared" si="31"/>
        <v>yes</v>
      </c>
      <c r="W345" s="128" t="str">
        <f t="shared" si="32"/>
        <v>yes</v>
      </c>
      <c r="X345" s="128" t="str">
        <f t="shared" si="33"/>
        <v>yes</v>
      </c>
    </row>
    <row r="346" spans="1:24" x14ac:dyDescent="0.25">
      <c r="A346" s="1352"/>
      <c r="B346" s="129" t="s">
        <v>1171</v>
      </c>
      <c r="C346" t="s">
        <v>1654</v>
      </c>
      <c r="D346" s="139">
        <v>2</v>
      </c>
      <c r="E346" s="64" t="s">
        <v>966</v>
      </c>
      <c r="F346" s="64">
        <v>912</v>
      </c>
      <c r="G346" s="64">
        <v>8</v>
      </c>
      <c r="H346" s="127" t="s">
        <v>540</v>
      </c>
      <c r="I346" s="139">
        <v>2</v>
      </c>
      <c r="J346" s="64" t="s">
        <v>982</v>
      </c>
      <c r="K346" s="64">
        <v>1260</v>
      </c>
      <c r="L346" s="64">
        <v>4</v>
      </c>
      <c r="M346" s="146" t="s">
        <v>1690</v>
      </c>
      <c r="N346" s="139">
        <v>2</v>
      </c>
      <c r="O346" s="64" t="s">
        <v>1000</v>
      </c>
      <c r="P346" s="64">
        <v>912</v>
      </c>
      <c r="Q346" s="64">
        <v>8</v>
      </c>
      <c r="R346" s="127" t="s">
        <v>542</v>
      </c>
      <c r="V346" s="128" t="str">
        <f t="shared" si="31"/>
        <v>yes</v>
      </c>
      <c r="W346" s="128" t="str">
        <f t="shared" si="32"/>
        <v>yes</v>
      </c>
      <c r="X346" s="128" t="str">
        <f t="shared" si="33"/>
        <v>yes</v>
      </c>
    </row>
    <row r="347" spans="1:24" x14ac:dyDescent="0.25">
      <c r="A347" s="1352"/>
      <c r="B347" s="129" t="s">
        <v>1172</v>
      </c>
      <c r="C347" t="s">
        <v>1654</v>
      </c>
      <c r="D347" s="139">
        <v>3</v>
      </c>
      <c r="E347" s="64" t="s">
        <v>968</v>
      </c>
      <c r="F347" s="64">
        <v>564</v>
      </c>
      <c r="G347" s="64">
        <v>4</v>
      </c>
      <c r="H347" s="127" t="s">
        <v>540</v>
      </c>
      <c r="I347" s="139">
        <v>3</v>
      </c>
      <c r="J347" s="64" t="s">
        <v>983</v>
      </c>
      <c r="K347" s="64">
        <v>1260</v>
      </c>
      <c r="L347" s="64">
        <v>4</v>
      </c>
      <c r="M347" s="146" t="s">
        <v>1690</v>
      </c>
      <c r="N347" s="139">
        <v>3</v>
      </c>
      <c r="O347" s="64" t="s">
        <v>1005</v>
      </c>
      <c r="P347" s="64">
        <v>648</v>
      </c>
      <c r="Q347" s="64">
        <v>4</v>
      </c>
      <c r="R347" s="127" t="s">
        <v>542</v>
      </c>
      <c r="V347" s="128" t="str">
        <f t="shared" si="31"/>
        <v>yes</v>
      </c>
      <c r="W347" s="128" t="str">
        <f t="shared" si="32"/>
        <v>yes</v>
      </c>
      <c r="X347" s="128" t="str">
        <f t="shared" si="33"/>
        <v>yes</v>
      </c>
    </row>
    <row r="348" spans="1:24" x14ac:dyDescent="0.25">
      <c r="A348" s="1352"/>
      <c r="B348" s="129" t="s">
        <v>1174</v>
      </c>
      <c r="C348" t="s">
        <v>1654</v>
      </c>
      <c r="D348" s="139">
        <v>4</v>
      </c>
      <c r="E348" s="64" t="s">
        <v>973</v>
      </c>
      <c r="F348" s="64">
        <v>520</v>
      </c>
      <c r="G348" s="64">
        <v>4</v>
      </c>
      <c r="H348" s="127" t="s">
        <v>540</v>
      </c>
      <c r="I348" s="139">
        <v>4</v>
      </c>
      <c r="J348" s="64" t="s">
        <v>989</v>
      </c>
      <c r="K348" s="64">
        <v>945</v>
      </c>
      <c r="L348" s="64">
        <v>3</v>
      </c>
      <c r="M348" s="146" t="s">
        <v>1690</v>
      </c>
      <c r="N348" s="139">
        <v>4</v>
      </c>
      <c r="O348" s="64" t="s">
        <v>999</v>
      </c>
      <c r="P348" s="64">
        <v>564</v>
      </c>
      <c r="Q348" s="64">
        <v>4</v>
      </c>
      <c r="R348" s="127" t="s">
        <v>542</v>
      </c>
      <c r="V348" s="128" t="str">
        <f t="shared" si="31"/>
        <v>yes</v>
      </c>
      <c r="W348" s="128" t="str">
        <f t="shared" si="32"/>
        <v>yes</v>
      </c>
      <c r="X348" s="128" t="str">
        <f t="shared" si="33"/>
        <v>yes</v>
      </c>
    </row>
    <row r="349" spans="1:24" x14ac:dyDescent="0.25">
      <c r="A349" s="1352"/>
      <c r="B349" s="129" t="s">
        <v>1154</v>
      </c>
      <c r="C349" t="s">
        <v>1654</v>
      </c>
      <c r="D349" s="139">
        <v>5</v>
      </c>
      <c r="E349" s="64" t="s">
        <v>969</v>
      </c>
      <c r="F349" s="64">
        <v>456</v>
      </c>
      <c r="G349" s="64">
        <v>4</v>
      </c>
      <c r="H349" s="127" t="s">
        <v>540</v>
      </c>
      <c r="I349" s="139">
        <v>5</v>
      </c>
      <c r="J349" s="64" t="s">
        <v>987</v>
      </c>
      <c r="K349" s="64">
        <v>630</v>
      </c>
      <c r="L349" s="64">
        <v>2</v>
      </c>
      <c r="M349" s="146" t="s">
        <v>1690</v>
      </c>
      <c r="N349" s="139">
        <v>5</v>
      </c>
      <c r="O349" s="64" t="s">
        <v>1002</v>
      </c>
      <c r="P349" s="64">
        <v>456</v>
      </c>
      <c r="Q349" s="64">
        <v>4</v>
      </c>
      <c r="R349" s="127" t="s">
        <v>542</v>
      </c>
      <c r="V349" s="128" t="str">
        <f t="shared" si="31"/>
        <v>yes</v>
      </c>
      <c r="W349" s="128" t="str">
        <f t="shared" si="32"/>
        <v>yes</v>
      </c>
      <c r="X349" s="128" t="str">
        <f t="shared" si="33"/>
        <v>yes</v>
      </c>
    </row>
    <row r="350" spans="1:24" x14ac:dyDescent="0.25">
      <c r="A350" s="1352"/>
      <c r="B350" s="129" t="s">
        <v>1153</v>
      </c>
      <c r="C350" t="s">
        <v>1654</v>
      </c>
      <c r="D350" s="139">
        <v>6</v>
      </c>
      <c r="E350" s="64" t="s">
        <v>1715</v>
      </c>
      <c r="F350" s="64">
        <v>294</v>
      </c>
      <c r="G350" s="64">
        <v>2</v>
      </c>
      <c r="H350" s="127" t="s">
        <v>540</v>
      </c>
      <c r="I350" s="139">
        <v>6</v>
      </c>
      <c r="J350" s="64" t="s">
        <v>986</v>
      </c>
      <c r="K350" s="64">
        <v>630</v>
      </c>
      <c r="L350" s="64">
        <v>2</v>
      </c>
      <c r="M350" s="146" t="s">
        <v>1690</v>
      </c>
      <c r="N350" s="139">
        <v>6</v>
      </c>
      <c r="O350" s="64" t="s">
        <v>1003</v>
      </c>
      <c r="P350" s="64">
        <v>282</v>
      </c>
      <c r="Q350" s="64">
        <v>2</v>
      </c>
      <c r="R350" s="127" t="s">
        <v>542</v>
      </c>
      <c r="V350" s="128" t="str">
        <f t="shared" si="31"/>
        <v>yes</v>
      </c>
      <c r="W350" s="128" t="str">
        <f t="shared" si="32"/>
        <v>yes</v>
      </c>
      <c r="X350" s="128" t="str">
        <f t="shared" si="33"/>
        <v>yes</v>
      </c>
    </row>
    <row r="351" spans="1:24" x14ac:dyDescent="0.25">
      <c r="A351" s="1352"/>
      <c r="B351" s="129" t="s">
        <v>1170</v>
      </c>
      <c r="C351" t="s">
        <v>1654</v>
      </c>
      <c r="D351" s="139">
        <v>7</v>
      </c>
      <c r="E351" s="64" t="s">
        <v>971</v>
      </c>
      <c r="F351" s="64">
        <v>282</v>
      </c>
      <c r="G351" s="64">
        <v>2</v>
      </c>
      <c r="H351" s="127" t="s">
        <v>540</v>
      </c>
      <c r="I351" s="139"/>
      <c r="J351" s="64"/>
      <c r="K351" s="64"/>
      <c r="L351" s="64"/>
      <c r="M351" s="146"/>
      <c r="N351" s="139"/>
      <c r="O351" s="64"/>
      <c r="P351" s="64"/>
      <c r="Q351" s="64"/>
      <c r="R351" s="127"/>
      <c r="V351" s="128" t="str">
        <f t="shared" si="31"/>
        <v>yes</v>
      </c>
      <c r="W351" s="128" t="str">
        <f t="shared" si="32"/>
        <v>--</v>
      </c>
      <c r="X351" s="128" t="str">
        <f t="shared" si="33"/>
        <v>--</v>
      </c>
    </row>
    <row r="352" spans="1:24" x14ac:dyDescent="0.25">
      <c r="A352" s="1352"/>
      <c r="B352" s="129" t="s">
        <v>1175</v>
      </c>
      <c r="C352" t="s">
        <v>1654</v>
      </c>
      <c r="D352" s="139">
        <v>8</v>
      </c>
      <c r="E352" s="64" t="s">
        <v>1716</v>
      </c>
      <c r="F352" s="64">
        <v>254</v>
      </c>
      <c r="G352" s="64">
        <v>2</v>
      </c>
      <c r="H352" s="127" t="s">
        <v>574</v>
      </c>
      <c r="I352" s="139"/>
      <c r="J352" s="64"/>
      <c r="K352" s="64"/>
      <c r="L352" s="64"/>
      <c r="M352" s="146"/>
      <c r="N352" s="139"/>
      <c r="O352" s="64"/>
      <c r="P352" s="64"/>
      <c r="Q352" s="64"/>
      <c r="R352" s="127"/>
      <c r="V352" s="128" t="str">
        <f t="shared" si="31"/>
        <v>yes</v>
      </c>
      <c r="W352" s="128" t="str">
        <f t="shared" si="32"/>
        <v>--</v>
      </c>
      <c r="X352" s="128" t="str">
        <f t="shared" si="33"/>
        <v>--</v>
      </c>
    </row>
    <row r="353" spans="1:24" x14ac:dyDescent="0.25">
      <c r="A353" s="1352"/>
      <c r="B353" s="129"/>
      <c r="C353" t="s">
        <v>1654</v>
      </c>
      <c r="D353" s="139"/>
      <c r="E353" s="64"/>
      <c r="F353" s="64"/>
      <c r="G353" s="64"/>
      <c r="H353" s="127"/>
      <c r="I353" s="139"/>
      <c r="J353" s="64"/>
      <c r="K353" s="64"/>
      <c r="L353" s="64"/>
      <c r="M353" s="146"/>
      <c r="N353" s="139"/>
      <c r="O353" s="64"/>
      <c r="P353" s="64"/>
      <c r="Q353" s="64"/>
      <c r="R353" s="127"/>
      <c r="V353" s="128" t="str">
        <f t="shared" si="31"/>
        <v>--</v>
      </c>
      <c r="W353" s="128" t="str">
        <f t="shared" si="32"/>
        <v>--</v>
      </c>
      <c r="X353" s="128" t="str">
        <f t="shared" si="33"/>
        <v>--</v>
      </c>
    </row>
    <row r="354" spans="1:24" x14ac:dyDescent="0.25">
      <c r="A354" s="1352"/>
      <c r="B354" s="129"/>
      <c r="C354" t="s">
        <v>1654</v>
      </c>
      <c r="D354" s="139"/>
      <c r="E354" s="64"/>
      <c r="F354" s="64"/>
      <c r="G354" s="64"/>
      <c r="H354" s="127"/>
      <c r="I354" s="139"/>
      <c r="J354" s="64"/>
      <c r="K354" s="64"/>
      <c r="L354" s="64"/>
      <c r="M354" s="146"/>
      <c r="N354" s="139"/>
      <c r="O354" s="64"/>
      <c r="P354" s="64"/>
      <c r="Q354" s="64"/>
      <c r="R354" s="127"/>
      <c r="V354" s="128" t="str">
        <f t="shared" si="31"/>
        <v>--</v>
      </c>
      <c r="W354" s="128" t="str">
        <f t="shared" si="32"/>
        <v>--</v>
      </c>
      <c r="X354" s="128" t="str">
        <f t="shared" si="33"/>
        <v>--</v>
      </c>
    </row>
    <row r="355" spans="1:24" x14ac:dyDescent="0.25">
      <c r="A355" s="1352"/>
      <c r="B355" s="129"/>
      <c r="C355" t="s">
        <v>1654</v>
      </c>
      <c r="D355" s="139"/>
      <c r="E355" s="64"/>
      <c r="F355" s="64"/>
      <c r="G355" s="64"/>
      <c r="H355" s="127"/>
      <c r="I355" s="139"/>
      <c r="J355" s="64"/>
      <c r="K355" s="64"/>
      <c r="L355" s="64"/>
      <c r="M355" s="146"/>
      <c r="N355" s="139"/>
      <c r="O355" s="64"/>
      <c r="P355" s="64"/>
      <c r="Q355" s="64"/>
      <c r="R355" s="127"/>
      <c r="V355" s="128" t="str">
        <f t="shared" si="31"/>
        <v>--</v>
      </c>
      <c r="W355" s="128" t="str">
        <f t="shared" si="32"/>
        <v>--</v>
      </c>
      <c r="X355" s="128" t="str">
        <f t="shared" si="33"/>
        <v>--</v>
      </c>
    </row>
    <row r="356" spans="1:24" ht="15.75" thickBot="1" x14ac:dyDescent="0.3">
      <c r="A356" s="1359"/>
      <c r="B356" s="129"/>
      <c r="C356" t="s">
        <v>1654</v>
      </c>
      <c r="D356" s="142"/>
      <c r="E356" s="136"/>
      <c r="F356" s="136"/>
      <c r="G356" s="136"/>
      <c r="H356" s="138"/>
      <c r="I356" s="142"/>
      <c r="J356" s="136"/>
      <c r="K356" s="136"/>
      <c r="L356" s="136"/>
      <c r="M356" s="148"/>
      <c r="N356" s="142"/>
      <c r="O356" s="136"/>
      <c r="P356" s="136"/>
      <c r="Q356" s="136"/>
      <c r="R356" s="138"/>
      <c r="V356" s="128" t="str">
        <f t="shared" si="31"/>
        <v>--</v>
      </c>
      <c r="W356" s="128" t="str">
        <f t="shared" si="32"/>
        <v>--</v>
      </c>
      <c r="X356" s="128" t="str">
        <f t="shared" si="33"/>
        <v>--</v>
      </c>
    </row>
    <row r="357" spans="1:24" ht="14.45" customHeight="1" x14ac:dyDescent="0.25">
      <c r="A357" s="1351" t="s">
        <v>39</v>
      </c>
      <c r="B357" s="126" t="s">
        <v>1295</v>
      </c>
      <c r="C357" t="s">
        <v>1655</v>
      </c>
      <c r="D357" s="139">
        <v>1</v>
      </c>
      <c r="E357" s="64" t="s">
        <v>974</v>
      </c>
      <c r="F357" s="141">
        <v>4160</v>
      </c>
      <c r="G357" s="141">
        <v>32</v>
      </c>
      <c r="H357" s="126" t="s">
        <v>540</v>
      </c>
      <c r="I357" s="139">
        <v>1</v>
      </c>
      <c r="J357" s="64" t="s">
        <v>1710</v>
      </c>
      <c r="K357" s="141">
        <v>6300</v>
      </c>
      <c r="L357" s="141">
        <v>20</v>
      </c>
      <c r="M357" s="146" t="s">
        <v>1690</v>
      </c>
      <c r="N357" s="139">
        <v>1</v>
      </c>
      <c r="O357" s="64" t="s">
        <v>1006</v>
      </c>
      <c r="P357" s="141">
        <v>5184</v>
      </c>
      <c r="Q357" s="141">
        <v>32</v>
      </c>
      <c r="R357" s="126" t="s">
        <v>542</v>
      </c>
      <c r="V357" s="795" t="str">
        <f t="shared" si="31"/>
        <v>NOOO</v>
      </c>
      <c r="W357" s="795" t="str">
        <f t="shared" si="32"/>
        <v>NOOO</v>
      </c>
      <c r="X357" s="795" t="str">
        <f t="shared" si="33"/>
        <v>NOOO</v>
      </c>
    </row>
    <row r="358" spans="1:24" x14ac:dyDescent="0.25">
      <c r="A358" s="1352"/>
      <c r="B358" s="127" t="s">
        <v>1297</v>
      </c>
      <c r="C358" t="s">
        <v>1655</v>
      </c>
      <c r="D358" s="139">
        <v>2</v>
      </c>
      <c r="E358" s="64" t="s">
        <v>975</v>
      </c>
      <c r="F358" s="64">
        <v>3120</v>
      </c>
      <c r="G358" s="64">
        <v>24</v>
      </c>
      <c r="H358" s="127" t="s">
        <v>540</v>
      </c>
      <c r="I358" s="139">
        <v>2</v>
      </c>
      <c r="J358" s="64" t="s">
        <v>1711</v>
      </c>
      <c r="K358" s="64">
        <v>5040</v>
      </c>
      <c r="L358" s="64">
        <v>16</v>
      </c>
      <c r="M358" s="146" t="s">
        <v>1690</v>
      </c>
      <c r="N358" s="139">
        <v>2</v>
      </c>
      <c r="O358" s="64" t="s">
        <v>1007</v>
      </c>
      <c r="P358" s="64">
        <v>3888</v>
      </c>
      <c r="Q358" s="64">
        <v>24</v>
      </c>
      <c r="R358" s="127" t="s">
        <v>542</v>
      </c>
      <c r="V358" s="795" t="str">
        <f t="shared" si="31"/>
        <v>NOOO</v>
      </c>
      <c r="W358" s="795" t="str">
        <f t="shared" si="32"/>
        <v>NOOO</v>
      </c>
      <c r="X358" s="795" t="str">
        <f t="shared" si="33"/>
        <v>NOOO</v>
      </c>
    </row>
    <row r="359" spans="1:24" x14ac:dyDescent="0.25">
      <c r="A359" s="1352"/>
      <c r="B359" s="127" t="s">
        <v>1302</v>
      </c>
      <c r="C359" t="s">
        <v>1655</v>
      </c>
      <c r="D359" s="139">
        <v>3</v>
      </c>
      <c r="E359" s="64" t="s">
        <v>976</v>
      </c>
      <c r="F359" s="64">
        <v>2256</v>
      </c>
      <c r="G359" s="64">
        <v>16</v>
      </c>
      <c r="H359" s="127" t="s">
        <v>540</v>
      </c>
      <c r="I359" s="139">
        <v>3</v>
      </c>
      <c r="J359" s="64" t="s">
        <v>990</v>
      </c>
      <c r="K359" s="64">
        <v>5040</v>
      </c>
      <c r="L359" s="64">
        <v>16</v>
      </c>
      <c r="M359" s="146" t="s">
        <v>1690</v>
      </c>
      <c r="N359" s="139">
        <v>3</v>
      </c>
      <c r="O359" s="64" t="s">
        <v>992</v>
      </c>
      <c r="P359" s="64">
        <v>2592</v>
      </c>
      <c r="Q359" s="64">
        <v>16</v>
      </c>
      <c r="R359" s="127" t="s">
        <v>542</v>
      </c>
      <c r="V359" s="795" t="str">
        <f t="shared" si="31"/>
        <v>NOOO</v>
      </c>
      <c r="W359" s="795" t="str">
        <f t="shared" si="32"/>
        <v>NOOO</v>
      </c>
      <c r="X359" s="795" t="str">
        <f t="shared" si="33"/>
        <v>NOOO</v>
      </c>
    </row>
    <row r="360" spans="1:24" x14ac:dyDescent="0.25">
      <c r="A360" s="1352"/>
      <c r="B360" s="127"/>
      <c r="C360" t="s">
        <v>1655</v>
      </c>
      <c r="D360" s="139">
        <v>4</v>
      </c>
      <c r="E360" s="64" t="s">
        <v>960</v>
      </c>
      <c r="F360" s="64">
        <v>2080</v>
      </c>
      <c r="G360" s="64">
        <v>16</v>
      </c>
      <c r="H360" s="127" t="s">
        <v>540</v>
      </c>
      <c r="I360" s="139">
        <v>4</v>
      </c>
      <c r="J360" s="64" t="s">
        <v>991</v>
      </c>
      <c r="K360" s="64">
        <v>3780</v>
      </c>
      <c r="L360" s="64">
        <v>12</v>
      </c>
      <c r="M360" s="146" t="s">
        <v>1690</v>
      </c>
      <c r="N360" s="139">
        <v>4</v>
      </c>
      <c r="O360" s="64" t="s">
        <v>1008</v>
      </c>
      <c r="P360" s="64">
        <v>2592</v>
      </c>
      <c r="Q360" s="64">
        <v>16</v>
      </c>
      <c r="R360" s="127" t="s">
        <v>542</v>
      </c>
      <c r="V360" s="795" t="str">
        <f t="shared" si="31"/>
        <v>NOOO</v>
      </c>
      <c r="W360" s="795" t="str">
        <f t="shared" si="32"/>
        <v>NOOO</v>
      </c>
      <c r="X360" s="795" t="str">
        <f t="shared" si="33"/>
        <v>NOOO</v>
      </c>
    </row>
    <row r="361" spans="1:24" x14ac:dyDescent="0.25">
      <c r="A361" s="1352"/>
      <c r="B361" s="127"/>
      <c r="C361" t="s">
        <v>1655</v>
      </c>
      <c r="D361" s="139">
        <v>5</v>
      </c>
      <c r="E361" s="64" t="s">
        <v>977</v>
      </c>
      <c r="F361" s="64">
        <v>1692</v>
      </c>
      <c r="G361" s="64">
        <v>12</v>
      </c>
      <c r="H361" s="127" t="s">
        <v>540</v>
      </c>
      <c r="I361" s="139">
        <v>5</v>
      </c>
      <c r="J361" s="64" t="s">
        <v>1712</v>
      </c>
      <c r="K361" s="64">
        <v>3150</v>
      </c>
      <c r="L361" s="64">
        <v>10</v>
      </c>
      <c r="M361" s="146" t="s">
        <v>1690</v>
      </c>
      <c r="N361" s="139">
        <v>5</v>
      </c>
      <c r="O361" s="64" t="s">
        <v>993</v>
      </c>
      <c r="P361" s="64">
        <v>1944</v>
      </c>
      <c r="Q361" s="64">
        <v>12</v>
      </c>
      <c r="R361" s="127" t="s">
        <v>542</v>
      </c>
      <c r="V361" s="795" t="str">
        <f t="shared" si="31"/>
        <v>NOOO</v>
      </c>
      <c r="W361" s="795" t="str">
        <f t="shared" si="32"/>
        <v>NOOO</v>
      </c>
      <c r="X361" s="795" t="str">
        <f t="shared" si="33"/>
        <v>NOOO</v>
      </c>
    </row>
    <row r="362" spans="1:24" x14ac:dyDescent="0.25">
      <c r="A362" s="1352"/>
      <c r="B362" s="127"/>
      <c r="C362" t="s">
        <v>1655</v>
      </c>
      <c r="D362" s="139">
        <v>6</v>
      </c>
      <c r="E362" s="64" t="s">
        <v>961</v>
      </c>
      <c r="F362" s="64">
        <v>1560</v>
      </c>
      <c r="G362" s="64">
        <v>12</v>
      </c>
      <c r="H362" s="127" t="s">
        <v>540</v>
      </c>
      <c r="I362" s="139">
        <v>6</v>
      </c>
      <c r="J362" s="64" t="s">
        <v>1707</v>
      </c>
      <c r="K362" s="64">
        <v>2520</v>
      </c>
      <c r="L362" s="64">
        <v>8</v>
      </c>
      <c r="M362" s="146" t="s">
        <v>1690</v>
      </c>
      <c r="N362" s="139">
        <v>6</v>
      </c>
      <c r="O362" s="64" t="s">
        <v>1009</v>
      </c>
      <c r="P362" s="64">
        <v>1944</v>
      </c>
      <c r="Q362" s="64">
        <v>12</v>
      </c>
      <c r="R362" s="127" t="s">
        <v>542</v>
      </c>
      <c r="V362" s="795" t="str">
        <f t="shared" si="31"/>
        <v>NOOO</v>
      </c>
      <c r="W362" s="128" t="str">
        <f t="shared" si="32"/>
        <v>yes</v>
      </c>
      <c r="X362" s="795" t="str">
        <f t="shared" si="33"/>
        <v>NOOO</v>
      </c>
    </row>
    <row r="363" spans="1:24" x14ac:dyDescent="0.25">
      <c r="A363" s="1352"/>
      <c r="B363" s="130"/>
      <c r="C363" t="s">
        <v>1655</v>
      </c>
      <c r="D363" s="131">
        <v>7</v>
      </c>
      <c r="E363" s="132" t="s">
        <v>962</v>
      </c>
      <c r="F363" s="132">
        <v>1128</v>
      </c>
      <c r="G363" s="132">
        <v>8</v>
      </c>
      <c r="H363" s="134" t="s">
        <v>540</v>
      </c>
      <c r="I363" s="131">
        <v>7</v>
      </c>
      <c r="J363" s="132" t="s">
        <v>979</v>
      </c>
      <c r="K363" s="132">
        <v>2520</v>
      </c>
      <c r="L363" s="132">
        <v>8</v>
      </c>
      <c r="M363" s="147" t="s">
        <v>1690</v>
      </c>
      <c r="N363" s="131">
        <v>7</v>
      </c>
      <c r="O363" s="132" t="s">
        <v>995</v>
      </c>
      <c r="P363" s="132">
        <v>1296</v>
      </c>
      <c r="Q363" s="132">
        <v>8</v>
      </c>
      <c r="R363" s="134" t="s">
        <v>542</v>
      </c>
      <c r="V363" s="128" t="str">
        <f t="shared" si="31"/>
        <v>yes</v>
      </c>
      <c r="W363" s="128" t="str">
        <f t="shared" si="32"/>
        <v>yes</v>
      </c>
      <c r="X363" s="128" t="str">
        <f t="shared" si="33"/>
        <v>yes</v>
      </c>
    </row>
    <row r="364" spans="1:24" x14ac:dyDescent="0.25">
      <c r="A364" s="1352"/>
      <c r="B364" s="127" t="s">
        <v>1296</v>
      </c>
      <c r="C364" t="s">
        <v>1656</v>
      </c>
      <c r="D364" s="139">
        <v>1</v>
      </c>
      <c r="E364" s="64" t="s">
        <v>974</v>
      </c>
      <c r="F364" s="64">
        <v>4160</v>
      </c>
      <c r="G364" s="64">
        <v>32</v>
      </c>
      <c r="H364" s="127" t="s">
        <v>540</v>
      </c>
      <c r="I364" s="139">
        <v>1</v>
      </c>
      <c r="J364" s="64" t="s">
        <v>1710</v>
      </c>
      <c r="K364" s="64">
        <v>6300</v>
      </c>
      <c r="L364" s="64">
        <v>20</v>
      </c>
      <c r="M364" s="146" t="s">
        <v>1690</v>
      </c>
      <c r="N364" s="139">
        <v>1</v>
      </c>
      <c r="O364" s="64" t="s">
        <v>1006</v>
      </c>
      <c r="P364" s="64">
        <v>5184</v>
      </c>
      <c r="Q364" s="64">
        <v>32</v>
      </c>
      <c r="R364" s="127" t="s">
        <v>542</v>
      </c>
      <c r="V364" s="795" t="str">
        <f t="shared" si="31"/>
        <v>NOOO</v>
      </c>
      <c r="W364" s="795" t="str">
        <f t="shared" si="32"/>
        <v>NOOO</v>
      </c>
      <c r="X364" s="795" t="str">
        <f t="shared" si="33"/>
        <v>NOOO</v>
      </c>
    </row>
    <row r="365" spans="1:24" x14ac:dyDescent="0.25">
      <c r="A365" s="1352"/>
      <c r="B365" s="127" t="s">
        <v>1299</v>
      </c>
      <c r="C365" t="s">
        <v>1656</v>
      </c>
      <c r="D365" s="139">
        <v>2</v>
      </c>
      <c r="E365" s="64" t="s">
        <v>975</v>
      </c>
      <c r="F365" s="64">
        <v>3120</v>
      </c>
      <c r="G365" s="64">
        <v>24</v>
      </c>
      <c r="H365" s="127" t="s">
        <v>540</v>
      </c>
      <c r="I365" s="139">
        <v>2</v>
      </c>
      <c r="J365" s="64" t="s">
        <v>1711</v>
      </c>
      <c r="K365" s="64">
        <v>5040</v>
      </c>
      <c r="L365" s="64">
        <v>16</v>
      </c>
      <c r="M365" s="146" t="s">
        <v>1690</v>
      </c>
      <c r="N365" s="139">
        <v>2</v>
      </c>
      <c r="O365" s="64" t="s">
        <v>1007</v>
      </c>
      <c r="P365" s="64">
        <v>3888</v>
      </c>
      <c r="Q365" s="64">
        <v>24</v>
      </c>
      <c r="R365" s="127" t="s">
        <v>542</v>
      </c>
      <c r="V365" s="795" t="str">
        <f t="shared" si="31"/>
        <v>NOOO</v>
      </c>
      <c r="W365" s="795" t="str">
        <f t="shared" si="32"/>
        <v>NOOO</v>
      </c>
      <c r="X365" s="795" t="str">
        <f t="shared" si="33"/>
        <v>NOOO</v>
      </c>
    </row>
    <row r="366" spans="1:24" x14ac:dyDescent="0.25">
      <c r="A366" s="1352"/>
      <c r="B366" s="127" t="s">
        <v>1303</v>
      </c>
      <c r="C366" t="s">
        <v>1656</v>
      </c>
      <c r="D366" s="139">
        <v>3</v>
      </c>
      <c r="E366" s="64" t="s">
        <v>976</v>
      </c>
      <c r="F366" s="64">
        <v>2256</v>
      </c>
      <c r="G366" s="64">
        <v>16</v>
      </c>
      <c r="H366" s="127" t="s">
        <v>540</v>
      </c>
      <c r="I366" s="139">
        <v>3</v>
      </c>
      <c r="J366" s="64" t="s">
        <v>990</v>
      </c>
      <c r="K366" s="64">
        <v>5040</v>
      </c>
      <c r="L366" s="64">
        <v>16</v>
      </c>
      <c r="M366" s="146" t="s">
        <v>1690</v>
      </c>
      <c r="N366" s="139">
        <v>3</v>
      </c>
      <c r="O366" s="64" t="s">
        <v>992</v>
      </c>
      <c r="P366" s="64">
        <v>2592</v>
      </c>
      <c r="Q366" s="64">
        <v>16</v>
      </c>
      <c r="R366" s="127" t="s">
        <v>542</v>
      </c>
      <c r="V366" s="795" t="str">
        <f t="shared" si="31"/>
        <v>NOOO</v>
      </c>
      <c r="W366" s="795" t="str">
        <f t="shared" si="32"/>
        <v>NOOO</v>
      </c>
      <c r="X366" s="795" t="str">
        <f t="shared" si="33"/>
        <v>NOOO</v>
      </c>
    </row>
    <row r="367" spans="1:24" x14ac:dyDescent="0.25">
      <c r="A367" s="1352"/>
      <c r="B367" s="127"/>
      <c r="C367" t="s">
        <v>1656</v>
      </c>
      <c r="D367" s="139">
        <v>4</v>
      </c>
      <c r="E367" s="64" t="s">
        <v>960</v>
      </c>
      <c r="F367" s="64">
        <v>2080</v>
      </c>
      <c r="G367" s="64">
        <v>16</v>
      </c>
      <c r="H367" s="127" t="s">
        <v>540</v>
      </c>
      <c r="I367" s="139">
        <v>4</v>
      </c>
      <c r="J367" s="64" t="s">
        <v>991</v>
      </c>
      <c r="K367" s="64">
        <v>3780</v>
      </c>
      <c r="L367" s="64">
        <v>12</v>
      </c>
      <c r="M367" s="146" t="s">
        <v>1690</v>
      </c>
      <c r="N367" s="139">
        <v>4</v>
      </c>
      <c r="O367" s="64" t="s">
        <v>1008</v>
      </c>
      <c r="P367" s="64">
        <v>2592</v>
      </c>
      <c r="Q367" s="64">
        <v>16</v>
      </c>
      <c r="R367" s="127" t="s">
        <v>542</v>
      </c>
      <c r="V367" s="795" t="str">
        <f t="shared" si="31"/>
        <v>NOOO</v>
      </c>
      <c r="W367" s="795" t="str">
        <f t="shared" si="32"/>
        <v>NOOO</v>
      </c>
      <c r="X367" s="795" t="str">
        <f t="shared" si="33"/>
        <v>NOOO</v>
      </c>
    </row>
    <row r="368" spans="1:24" x14ac:dyDescent="0.25">
      <c r="A368" s="1352"/>
      <c r="B368" s="127"/>
      <c r="C368" t="s">
        <v>1656</v>
      </c>
      <c r="D368" s="139">
        <v>5</v>
      </c>
      <c r="E368" s="64" t="s">
        <v>977</v>
      </c>
      <c r="F368" s="64">
        <v>1692</v>
      </c>
      <c r="G368" s="64">
        <v>12</v>
      </c>
      <c r="H368" s="127" t="s">
        <v>540</v>
      </c>
      <c r="I368" s="139">
        <v>5</v>
      </c>
      <c r="J368" s="64" t="s">
        <v>1712</v>
      </c>
      <c r="K368" s="64">
        <v>3150</v>
      </c>
      <c r="L368" s="64">
        <v>10</v>
      </c>
      <c r="M368" s="146" t="s">
        <v>1690</v>
      </c>
      <c r="N368" s="139">
        <v>5</v>
      </c>
      <c r="O368" s="64" t="s">
        <v>993</v>
      </c>
      <c r="P368" s="64">
        <v>1944</v>
      </c>
      <c r="Q368" s="64">
        <v>12</v>
      </c>
      <c r="R368" s="127" t="s">
        <v>542</v>
      </c>
      <c r="V368" s="795" t="str">
        <f t="shared" si="31"/>
        <v>NOOO</v>
      </c>
      <c r="W368" s="795" t="str">
        <f t="shared" si="32"/>
        <v>NOOO</v>
      </c>
      <c r="X368" s="795" t="str">
        <f t="shared" si="33"/>
        <v>NOOO</v>
      </c>
    </row>
    <row r="369" spans="1:24" x14ac:dyDescent="0.25">
      <c r="A369" s="1352"/>
      <c r="B369" s="127"/>
      <c r="C369" t="s">
        <v>1656</v>
      </c>
      <c r="D369" s="139">
        <v>6</v>
      </c>
      <c r="E369" s="64" t="s">
        <v>961</v>
      </c>
      <c r="F369" s="64">
        <v>1560</v>
      </c>
      <c r="G369" s="64">
        <v>12</v>
      </c>
      <c r="H369" s="127" t="s">
        <v>540</v>
      </c>
      <c r="I369" s="139">
        <v>6</v>
      </c>
      <c r="J369" s="64" t="s">
        <v>1707</v>
      </c>
      <c r="K369" s="64">
        <v>2520</v>
      </c>
      <c r="L369" s="64">
        <v>8</v>
      </c>
      <c r="M369" s="146" t="s">
        <v>1690</v>
      </c>
      <c r="N369" s="139">
        <v>6</v>
      </c>
      <c r="O369" s="64" t="s">
        <v>1009</v>
      </c>
      <c r="P369" s="64">
        <v>1944</v>
      </c>
      <c r="Q369" s="64">
        <v>12</v>
      </c>
      <c r="R369" s="127" t="s">
        <v>542</v>
      </c>
      <c r="V369" s="795" t="str">
        <f t="shared" si="31"/>
        <v>NOOO</v>
      </c>
      <c r="W369" s="128" t="str">
        <f t="shared" si="32"/>
        <v>yes</v>
      </c>
      <c r="X369" s="795" t="str">
        <f t="shared" si="33"/>
        <v>NOOO</v>
      </c>
    </row>
    <row r="370" spans="1:24" x14ac:dyDescent="0.25">
      <c r="A370" s="1352"/>
      <c r="B370" s="130"/>
      <c r="C370" t="s">
        <v>1656</v>
      </c>
      <c r="D370" s="131">
        <v>7</v>
      </c>
      <c r="E370" s="132" t="s">
        <v>962</v>
      </c>
      <c r="F370" s="132">
        <v>1128</v>
      </c>
      <c r="G370" s="132">
        <v>8</v>
      </c>
      <c r="H370" s="134" t="s">
        <v>540</v>
      </c>
      <c r="I370" s="131">
        <v>7</v>
      </c>
      <c r="J370" s="132" t="s">
        <v>979</v>
      </c>
      <c r="K370" s="132">
        <v>2520</v>
      </c>
      <c r="L370" s="132">
        <v>8</v>
      </c>
      <c r="M370" s="147" t="s">
        <v>1690</v>
      </c>
      <c r="N370" s="131">
        <v>7</v>
      </c>
      <c r="O370" s="132" t="s">
        <v>1010</v>
      </c>
      <c r="P370" s="132">
        <v>1296</v>
      </c>
      <c r="Q370" s="132">
        <v>8</v>
      </c>
      <c r="R370" s="134" t="s">
        <v>542</v>
      </c>
      <c r="V370" s="128" t="str">
        <f t="shared" si="31"/>
        <v>yes</v>
      </c>
      <c r="W370" s="128" t="str">
        <f t="shared" si="32"/>
        <v>yes</v>
      </c>
      <c r="X370" s="128" t="str">
        <f t="shared" si="33"/>
        <v>yes</v>
      </c>
    </row>
    <row r="371" spans="1:24" x14ac:dyDescent="0.25">
      <c r="A371" s="1352"/>
      <c r="B371" s="129" t="s">
        <v>1298</v>
      </c>
      <c r="C371" t="s">
        <v>1657</v>
      </c>
      <c r="D371" s="139">
        <v>1</v>
      </c>
      <c r="E371" s="64" t="s">
        <v>974</v>
      </c>
      <c r="F371" s="64">
        <v>4160</v>
      </c>
      <c r="G371" s="64">
        <v>32</v>
      </c>
      <c r="H371" s="127" t="s">
        <v>540</v>
      </c>
      <c r="I371" s="139">
        <v>1</v>
      </c>
      <c r="J371" s="64" t="s">
        <v>1710</v>
      </c>
      <c r="K371" s="64">
        <v>6300</v>
      </c>
      <c r="L371" s="64">
        <v>20</v>
      </c>
      <c r="M371" s="146" t="s">
        <v>1690</v>
      </c>
      <c r="N371" s="139">
        <v>1</v>
      </c>
      <c r="O371" s="64" t="s">
        <v>1006</v>
      </c>
      <c r="P371" s="64">
        <v>5184</v>
      </c>
      <c r="Q371" s="64">
        <v>32</v>
      </c>
      <c r="R371" s="127" t="s">
        <v>542</v>
      </c>
      <c r="V371" s="795" t="str">
        <f t="shared" si="31"/>
        <v>NOOO</v>
      </c>
      <c r="W371" s="795" t="str">
        <f t="shared" si="32"/>
        <v>NOOO</v>
      </c>
      <c r="X371" s="795" t="str">
        <f t="shared" si="33"/>
        <v>NOOO</v>
      </c>
    </row>
    <row r="372" spans="1:24" x14ac:dyDescent="0.25">
      <c r="A372" s="1352"/>
      <c r="B372" s="127" t="s">
        <v>1301</v>
      </c>
      <c r="C372" t="s">
        <v>1657</v>
      </c>
      <c r="D372" s="139">
        <v>2</v>
      </c>
      <c r="E372" s="64" t="s">
        <v>975</v>
      </c>
      <c r="F372" s="64">
        <v>3120</v>
      </c>
      <c r="G372" s="64">
        <v>24</v>
      </c>
      <c r="H372" s="127" t="s">
        <v>540</v>
      </c>
      <c r="I372" s="139">
        <v>2</v>
      </c>
      <c r="J372" s="64" t="s">
        <v>1711</v>
      </c>
      <c r="K372" s="64">
        <v>5040</v>
      </c>
      <c r="L372" s="64">
        <v>16</v>
      </c>
      <c r="M372" s="146" t="s">
        <v>1690</v>
      </c>
      <c r="N372" s="139">
        <v>2</v>
      </c>
      <c r="O372" s="64" t="s">
        <v>1007</v>
      </c>
      <c r="P372" s="64">
        <v>3888</v>
      </c>
      <c r="Q372" s="64">
        <v>24</v>
      </c>
      <c r="R372" s="127" t="s">
        <v>542</v>
      </c>
      <c r="V372" s="795" t="str">
        <f t="shared" si="31"/>
        <v>NOOO</v>
      </c>
      <c r="W372" s="795" t="str">
        <f t="shared" si="32"/>
        <v>NOOO</v>
      </c>
      <c r="X372" s="795" t="str">
        <f t="shared" si="33"/>
        <v>NOOO</v>
      </c>
    </row>
    <row r="373" spans="1:24" x14ac:dyDescent="0.25">
      <c r="A373" s="1352"/>
      <c r="B373" s="127" t="s">
        <v>1306</v>
      </c>
      <c r="C373" t="s">
        <v>1657</v>
      </c>
      <c r="D373" s="139">
        <v>3</v>
      </c>
      <c r="E373" s="64" t="s">
        <v>976</v>
      </c>
      <c r="F373" s="64">
        <v>2256</v>
      </c>
      <c r="G373" s="64">
        <v>16</v>
      </c>
      <c r="H373" s="127" t="s">
        <v>540</v>
      </c>
      <c r="I373" s="139">
        <v>3</v>
      </c>
      <c r="J373" s="64" t="s">
        <v>990</v>
      </c>
      <c r="K373" s="64">
        <v>5040</v>
      </c>
      <c r="L373" s="64">
        <v>16</v>
      </c>
      <c r="M373" s="146" t="s">
        <v>1690</v>
      </c>
      <c r="N373" s="139">
        <v>3</v>
      </c>
      <c r="O373" s="64" t="s">
        <v>992</v>
      </c>
      <c r="P373" s="64">
        <v>2592</v>
      </c>
      <c r="Q373" s="64">
        <v>16</v>
      </c>
      <c r="R373" s="127" t="s">
        <v>542</v>
      </c>
      <c r="V373" s="795" t="str">
        <f t="shared" si="31"/>
        <v>NOOO</v>
      </c>
      <c r="W373" s="795" t="str">
        <f t="shared" si="32"/>
        <v>NOOO</v>
      </c>
      <c r="X373" s="795" t="str">
        <f t="shared" si="33"/>
        <v>NOOO</v>
      </c>
    </row>
    <row r="374" spans="1:24" x14ac:dyDescent="0.25">
      <c r="A374" s="1352"/>
      <c r="B374" s="127"/>
      <c r="C374" t="s">
        <v>1657</v>
      </c>
      <c r="D374" s="139">
        <v>4</v>
      </c>
      <c r="E374" s="64" t="s">
        <v>960</v>
      </c>
      <c r="F374" s="64">
        <v>2080</v>
      </c>
      <c r="G374" s="64">
        <v>16</v>
      </c>
      <c r="H374" s="127" t="s">
        <v>540</v>
      </c>
      <c r="I374" s="139">
        <v>4</v>
      </c>
      <c r="J374" s="64" t="s">
        <v>991</v>
      </c>
      <c r="K374" s="64">
        <v>3780</v>
      </c>
      <c r="L374" s="64">
        <v>12</v>
      </c>
      <c r="M374" s="146" t="s">
        <v>1690</v>
      </c>
      <c r="N374" s="139">
        <v>4</v>
      </c>
      <c r="O374" s="64" t="s">
        <v>1008</v>
      </c>
      <c r="P374" s="64">
        <v>2592</v>
      </c>
      <c r="Q374" s="64">
        <v>16</v>
      </c>
      <c r="R374" s="127" t="s">
        <v>542</v>
      </c>
      <c r="V374" s="795" t="str">
        <f t="shared" si="31"/>
        <v>NOOO</v>
      </c>
      <c r="W374" s="795" t="str">
        <f t="shared" si="32"/>
        <v>NOOO</v>
      </c>
      <c r="X374" s="795" t="str">
        <f t="shared" si="33"/>
        <v>NOOO</v>
      </c>
    </row>
    <row r="375" spans="1:24" x14ac:dyDescent="0.25">
      <c r="A375" s="1352"/>
      <c r="B375" s="127"/>
      <c r="C375" t="s">
        <v>1657</v>
      </c>
      <c r="D375" s="139">
        <v>5</v>
      </c>
      <c r="E375" s="64" t="s">
        <v>977</v>
      </c>
      <c r="F375" s="64">
        <v>1692</v>
      </c>
      <c r="G375" s="64">
        <v>12</v>
      </c>
      <c r="H375" s="127" t="s">
        <v>540</v>
      </c>
      <c r="I375" s="139">
        <v>5</v>
      </c>
      <c r="J375" s="64" t="s">
        <v>1712</v>
      </c>
      <c r="K375" s="64">
        <v>3150</v>
      </c>
      <c r="L375" s="64">
        <v>10</v>
      </c>
      <c r="M375" s="146" t="s">
        <v>1690</v>
      </c>
      <c r="N375" s="139">
        <v>5</v>
      </c>
      <c r="O375" s="64" t="s">
        <v>993</v>
      </c>
      <c r="P375" s="64">
        <v>1944</v>
      </c>
      <c r="Q375" s="64">
        <v>12</v>
      </c>
      <c r="R375" s="127" t="s">
        <v>542</v>
      </c>
      <c r="V375" s="795" t="str">
        <f t="shared" si="31"/>
        <v>NOOO</v>
      </c>
      <c r="W375" s="795" t="str">
        <f t="shared" si="32"/>
        <v>NOOO</v>
      </c>
      <c r="X375" s="795" t="str">
        <f t="shared" si="33"/>
        <v>NOOO</v>
      </c>
    </row>
    <row r="376" spans="1:24" x14ac:dyDescent="0.25">
      <c r="A376" s="1352"/>
      <c r="B376" s="127"/>
      <c r="C376" t="s">
        <v>1657</v>
      </c>
      <c r="D376" s="139">
        <v>6</v>
      </c>
      <c r="E376" s="64" t="s">
        <v>961</v>
      </c>
      <c r="F376" s="64">
        <v>1560</v>
      </c>
      <c r="G376" s="64">
        <v>12</v>
      </c>
      <c r="H376" s="127" t="s">
        <v>540</v>
      </c>
      <c r="I376" s="139">
        <v>6</v>
      </c>
      <c r="J376" s="64" t="s">
        <v>1707</v>
      </c>
      <c r="K376" s="64">
        <v>2520</v>
      </c>
      <c r="L376" s="64">
        <v>8</v>
      </c>
      <c r="M376" s="146" t="s">
        <v>1690</v>
      </c>
      <c r="N376" s="139">
        <v>6</v>
      </c>
      <c r="O376" s="64" t="s">
        <v>1009</v>
      </c>
      <c r="P376" s="64">
        <v>1944</v>
      </c>
      <c r="Q376" s="64">
        <v>12</v>
      </c>
      <c r="R376" s="127" t="s">
        <v>542</v>
      </c>
      <c r="V376" s="795" t="str">
        <f t="shared" si="31"/>
        <v>NOOO</v>
      </c>
      <c r="W376" s="128" t="str">
        <f t="shared" si="32"/>
        <v>yes</v>
      </c>
      <c r="X376" s="795" t="str">
        <f t="shared" si="33"/>
        <v>NOOO</v>
      </c>
    </row>
    <row r="377" spans="1:24" x14ac:dyDescent="0.25">
      <c r="A377" s="1352"/>
      <c r="B377" s="130"/>
      <c r="C377" t="s">
        <v>1657</v>
      </c>
      <c r="D377" s="131">
        <v>7</v>
      </c>
      <c r="E377" s="132" t="s">
        <v>962</v>
      </c>
      <c r="F377" s="132">
        <v>1128</v>
      </c>
      <c r="G377" s="132">
        <v>8</v>
      </c>
      <c r="H377" s="134" t="s">
        <v>540</v>
      </c>
      <c r="I377" s="131">
        <v>7</v>
      </c>
      <c r="J377" s="132" t="s">
        <v>979</v>
      </c>
      <c r="K377" s="132">
        <v>2520</v>
      </c>
      <c r="L377" s="132">
        <v>8</v>
      </c>
      <c r="M377" s="147" t="s">
        <v>1690</v>
      </c>
      <c r="N377" s="131">
        <v>7</v>
      </c>
      <c r="O377" s="132" t="s">
        <v>995</v>
      </c>
      <c r="P377" s="132">
        <v>1296</v>
      </c>
      <c r="Q377" s="132">
        <v>8</v>
      </c>
      <c r="R377" s="134" t="s">
        <v>542</v>
      </c>
      <c r="V377" s="128" t="str">
        <f t="shared" si="31"/>
        <v>yes</v>
      </c>
      <c r="W377" s="128" t="str">
        <f t="shared" si="32"/>
        <v>yes</v>
      </c>
      <c r="X377" s="128" t="str">
        <f t="shared" si="33"/>
        <v>yes</v>
      </c>
    </row>
    <row r="378" spans="1:24" x14ac:dyDescent="0.25">
      <c r="A378" s="1352"/>
      <c r="B378" s="127" t="s">
        <v>1300</v>
      </c>
      <c r="C378" t="s">
        <v>1658</v>
      </c>
      <c r="D378" s="139">
        <v>1</v>
      </c>
      <c r="E378" s="64" t="s">
        <v>975</v>
      </c>
      <c r="F378" s="64">
        <v>3120</v>
      </c>
      <c r="G378" s="64">
        <v>24</v>
      </c>
      <c r="H378" s="127" t="s">
        <v>540</v>
      </c>
      <c r="I378" s="139">
        <v>1</v>
      </c>
      <c r="J378" s="64" t="s">
        <v>1711</v>
      </c>
      <c r="K378" s="64">
        <v>5040</v>
      </c>
      <c r="L378" s="64">
        <v>16</v>
      </c>
      <c r="M378" s="146" t="s">
        <v>1690</v>
      </c>
      <c r="N378" s="139">
        <v>1</v>
      </c>
      <c r="O378" s="64" t="s">
        <v>1007</v>
      </c>
      <c r="P378" s="64">
        <v>3888</v>
      </c>
      <c r="Q378" s="64">
        <v>24</v>
      </c>
      <c r="R378" s="127" t="s">
        <v>542</v>
      </c>
      <c r="V378" s="795" t="str">
        <f t="shared" si="31"/>
        <v>NOOO</v>
      </c>
      <c r="W378" s="795" t="str">
        <f t="shared" si="32"/>
        <v>NOOO</v>
      </c>
      <c r="X378" s="795" t="str">
        <f t="shared" si="33"/>
        <v>NOOO</v>
      </c>
    </row>
    <row r="379" spans="1:24" x14ac:dyDescent="0.25">
      <c r="A379" s="1352"/>
      <c r="B379" s="127" t="s">
        <v>1304</v>
      </c>
      <c r="C379" t="s">
        <v>1658</v>
      </c>
      <c r="D379" s="139">
        <v>2</v>
      </c>
      <c r="E379" s="64" t="s">
        <v>976</v>
      </c>
      <c r="F379" s="64">
        <v>2256</v>
      </c>
      <c r="G379" s="64">
        <v>16</v>
      </c>
      <c r="H379" s="127" t="s">
        <v>540</v>
      </c>
      <c r="I379" s="139">
        <v>2</v>
      </c>
      <c r="J379" s="64" t="s">
        <v>990</v>
      </c>
      <c r="K379" s="64">
        <v>5040</v>
      </c>
      <c r="L379" s="64">
        <v>16</v>
      </c>
      <c r="M379" s="146" t="s">
        <v>1690</v>
      </c>
      <c r="N379" s="139">
        <v>2</v>
      </c>
      <c r="O379" s="64" t="s">
        <v>992</v>
      </c>
      <c r="P379" s="64">
        <v>2592</v>
      </c>
      <c r="Q379" s="64">
        <v>16</v>
      </c>
      <c r="R379" s="127" t="s">
        <v>542</v>
      </c>
      <c r="V379" s="795" t="str">
        <f t="shared" si="31"/>
        <v>NOOO</v>
      </c>
      <c r="W379" s="795" t="str">
        <f t="shared" si="32"/>
        <v>NOOO</v>
      </c>
      <c r="X379" s="795" t="str">
        <f t="shared" si="33"/>
        <v>NOOO</v>
      </c>
    </row>
    <row r="380" spans="1:24" x14ac:dyDescent="0.25">
      <c r="A380" s="1352"/>
      <c r="B380" s="127" t="s">
        <v>1308</v>
      </c>
      <c r="C380" t="s">
        <v>1658</v>
      </c>
      <c r="D380" s="139">
        <v>3</v>
      </c>
      <c r="E380" s="64" t="s">
        <v>960</v>
      </c>
      <c r="F380" s="64">
        <v>2080</v>
      </c>
      <c r="G380" s="64">
        <v>16</v>
      </c>
      <c r="H380" s="127" t="s">
        <v>540</v>
      </c>
      <c r="I380" s="139">
        <v>3</v>
      </c>
      <c r="J380" s="64" t="s">
        <v>991</v>
      </c>
      <c r="K380" s="64">
        <v>3780</v>
      </c>
      <c r="L380" s="64">
        <v>12</v>
      </c>
      <c r="M380" s="146" t="s">
        <v>1690</v>
      </c>
      <c r="N380" s="139">
        <v>3</v>
      </c>
      <c r="O380" s="64" t="s">
        <v>1008</v>
      </c>
      <c r="P380" s="64">
        <v>2592</v>
      </c>
      <c r="Q380" s="64">
        <v>16</v>
      </c>
      <c r="R380" s="127" t="s">
        <v>542</v>
      </c>
      <c r="V380" s="795" t="str">
        <f t="shared" si="31"/>
        <v>NOOO</v>
      </c>
      <c r="W380" s="795" t="str">
        <f t="shared" si="32"/>
        <v>NOOO</v>
      </c>
      <c r="X380" s="795" t="str">
        <f t="shared" si="33"/>
        <v>NOOO</v>
      </c>
    </row>
    <row r="381" spans="1:24" x14ac:dyDescent="0.25">
      <c r="A381" s="1352"/>
      <c r="B381" s="127"/>
      <c r="C381" t="s">
        <v>1658</v>
      </c>
      <c r="D381" s="139">
        <v>4</v>
      </c>
      <c r="E381" s="64" t="s">
        <v>977</v>
      </c>
      <c r="F381" s="64">
        <v>1692</v>
      </c>
      <c r="G381" s="64">
        <v>12</v>
      </c>
      <c r="H381" s="127" t="s">
        <v>540</v>
      </c>
      <c r="I381" s="139">
        <v>4</v>
      </c>
      <c r="J381" s="64" t="s">
        <v>1712</v>
      </c>
      <c r="K381" s="64">
        <v>3150</v>
      </c>
      <c r="L381" s="64">
        <v>10</v>
      </c>
      <c r="M381" s="146" t="s">
        <v>1690</v>
      </c>
      <c r="N381" s="139">
        <v>4</v>
      </c>
      <c r="O381" s="64" t="s">
        <v>1011</v>
      </c>
      <c r="P381" s="64">
        <v>1944</v>
      </c>
      <c r="Q381" s="64">
        <v>12</v>
      </c>
      <c r="R381" s="127" t="s">
        <v>542</v>
      </c>
      <c r="V381" s="795" t="str">
        <f t="shared" si="31"/>
        <v>NOOO</v>
      </c>
      <c r="W381" s="795" t="str">
        <f t="shared" si="32"/>
        <v>NOOO</v>
      </c>
      <c r="X381" s="795" t="str">
        <f t="shared" si="33"/>
        <v>NOOO</v>
      </c>
    </row>
    <row r="382" spans="1:24" x14ac:dyDescent="0.25">
      <c r="A382" s="1352"/>
      <c r="B382" s="127"/>
      <c r="C382" t="s">
        <v>1658</v>
      </c>
      <c r="D382" s="139">
        <v>5</v>
      </c>
      <c r="E382" s="64" t="s">
        <v>961</v>
      </c>
      <c r="F382" s="64">
        <v>1560</v>
      </c>
      <c r="G382" s="64">
        <v>12</v>
      </c>
      <c r="H382" s="127" t="s">
        <v>540</v>
      </c>
      <c r="I382" s="139">
        <v>5</v>
      </c>
      <c r="J382" s="64" t="s">
        <v>1707</v>
      </c>
      <c r="K382" s="64">
        <v>2520</v>
      </c>
      <c r="L382" s="64">
        <v>8</v>
      </c>
      <c r="M382" s="146" t="s">
        <v>1690</v>
      </c>
      <c r="N382" s="139">
        <v>5</v>
      </c>
      <c r="O382" s="64" t="s">
        <v>1009</v>
      </c>
      <c r="P382" s="64">
        <v>1944</v>
      </c>
      <c r="Q382" s="64">
        <v>12</v>
      </c>
      <c r="R382" s="127" t="s">
        <v>542</v>
      </c>
      <c r="V382" s="795" t="str">
        <f t="shared" si="31"/>
        <v>NOOO</v>
      </c>
      <c r="W382" s="128" t="str">
        <f t="shared" si="32"/>
        <v>yes</v>
      </c>
      <c r="X382" s="795" t="str">
        <f t="shared" si="33"/>
        <v>NOOO</v>
      </c>
    </row>
    <row r="383" spans="1:24" x14ac:dyDescent="0.25">
      <c r="A383" s="1352"/>
      <c r="B383" s="130"/>
      <c r="C383" t="s">
        <v>1658</v>
      </c>
      <c r="D383" s="131">
        <v>6</v>
      </c>
      <c r="E383" s="132" t="s">
        <v>962</v>
      </c>
      <c r="F383" s="132">
        <v>1128</v>
      </c>
      <c r="G383" s="132">
        <v>8</v>
      </c>
      <c r="H383" s="134" t="s">
        <v>540</v>
      </c>
      <c r="I383" s="131">
        <v>6</v>
      </c>
      <c r="J383" s="132" t="s">
        <v>979</v>
      </c>
      <c r="K383" s="132">
        <v>2520</v>
      </c>
      <c r="L383" s="132">
        <v>8</v>
      </c>
      <c r="M383" s="147" t="s">
        <v>1690</v>
      </c>
      <c r="N383" s="131">
        <v>6</v>
      </c>
      <c r="O383" s="132" t="s">
        <v>1012</v>
      </c>
      <c r="P383" s="132">
        <v>1296</v>
      </c>
      <c r="Q383" s="132">
        <v>8</v>
      </c>
      <c r="R383" s="134" t="s">
        <v>542</v>
      </c>
      <c r="V383" s="128" t="str">
        <f t="shared" si="31"/>
        <v>yes</v>
      </c>
      <c r="W383" s="128" t="str">
        <f t="shared" si="32"/>
        <v>yes</v>
      </c>
      <c r="X383" s="128" t="str">
        <f t="shared" si="33"/>
        <v>yes</v>
      </c>
    </row>
    <row r="384" spans="1:24" x14ac:dyDescent="0.25">
      <c r="A384" s="1352"/>
      <c r="B384" s="129" t="s">
        <v>1305</v>
      </c>
      <c r="C384" t="s">
        <v>1659</v>
      </c>
      <c r="D384" s="139">
        <v>1</v>
      </c>
      <c r="E384" s="64" t="s">
        <v>975</v>
      </c>
      <c r="F384" s="64">
        <v>3120</v>
      </c>
      <c r="G384" s="64">
        <v>24</v>
      </c>
      <c r="H384" s="127" t="s">
        <v>540</v>
      </c>
      <c r="I384" s="139">
        <v>1</v>
      </c>
      <c r="J384" s="64" t="s">
        <v>1711</v>
      </c>
      <c r="K384" s="64">
        <v>5040</v>
      </c>
      <c r="L384" s="64">
        <v>16</v>
      </c>
      <c r="M384" s="146" t="s">
        <v>1690</v>
      </c>
      <c r="N384" s="139">
        <v>1</v>
      </c>
      <c r="O384" s="64" t="s">
        <v>1007</v>
      </c>
      <c r="P384" s="64">
        <v>3888</v>
      </c>
      <c r="Q384" s="64">
        <v>24</v>
      </c>
      <c r="R384" s="127" t="s">
        <v>542</v>
      </c>
      <c r="V384" s="795" t="str">
        <f t="shared" si="31"/>
        <v>NOOO</v>
      </c>
      <c r="W384" s="795" t="str">
        <f t="shared" si="32"/>
        <v>NOOO</v>
      </c>
      <c r="X384" s="795" t="str">
        <f t="shared" si="33"/>
        <v>NOOO</v>
      </c>
    </row>
    <row r="385" spans="1:24" x14ac:dyDescent="0.25">
      <c r="A385" s="1352"/>
      <c r="B385" s="127" t="s">
        <v>1307</v>
      </c>
      <c r="C385" t="s">
        <v>1659</v>
      </c>
      <c r="D385" s="139">
        <v>2</v>
      </c>
      <c r="E385" s="64" t="s">
        <v>960</v>
      </c>
      <c r="F385" s="64">
        <v>2080</v>
      </c>
      <c r="G385" s="64">
        <v>16</v>
      </c>
      <c r="H385" s="127" t="s">
        <v>540</v>
      </c>
      <c r="I385" s="139">
        <v>2</v>
      </c>
      <c r="J385" s="64" t="s">
        <v>991</v>
      </c>
      <c r="K385" s="64">
        <v>3780</v>
      </c>
      <c r="L385" s="64">
        <v>12</v>
      </c>
      <c r="M385" s="146" t="s">
        <v>1690</v>
      </c>
      <c r="N385" s="139">
        <v>2</v>
      </c>
      <c r="O385" s="64" t="s">
        <v>992</v>
      </c>
      <c r="P385" s="64">
        <v>2592</v>
      </c>
      <c r="Q385" s="64">
        <v>16</v>
      </c>
      <c r="R385" s="127" t="s">
        <v>542</v>
      </c>
      <c r="V385" s="795" t="str">
        <f t="shared" si="31"/>
        <v>NOOO</v>
      </c>
      <c r="W385" s="795" t="str">
        <f t="shared" si="32"/>
        <v>NOOO</v>
      </c>
      <c r="X385" s="795" t="str">
        <f t="shared" si="33"/>
        <v>NOOO</v>
      </c>
    </row>
    <row r="386" spans="1:24" x14ac:dyDescent="0.25">
      <c r="A386" s="1352"/>
      <c r="B386" s="127" t="s">
        <v>1311</v>
      </c>
      <c r="C386" t="s">
        <v>1659</v>
      </c>
      <c r="D386" s="139">
        <v>3</v>
      </c>
      <c r="E386" s="64" t="s">
        <v>977</v>
      </c>
      <c r="F386" s="64">
        <v>1692</v>
      </c>
      <c r="G386" s="64">
        <v>12</v>
      </c>
      <c r="H386" s="127" t="s">
        <v>540</v>
      </c>
      <c r="I386" s="139">
        <v>3</v>
      </c>
      <c r="J386" s="64" t="s">
        <v>1712</v>
      </c>
      <c r="K386" s="64">
        <v>3150</v>
      </c>
      <c r="L386" s="64">
        <v>10</v>
      </c>
      <c r="M386" s="146" t="s">
        <v>1690</v>
      </c>
      <c r="N386" s="139">
        <v>3</v>
      </c>
      <c r="O386" s="64" t="s">
        <v>1011</v>
      </c>
      <c r="P386" s="64">
        <v>1944</v>
      </c>
      <c r="Q386" s="64">
        <v>12</v>
      </c>
      <c r="R386" s="127" t="s">
        <v>542</v>
      </c>
      <c r="V386" s="795" t="str">
        <f t="shared" si="31"/>
        <v>NOOO</v>
      </c>
      <c r="W386" s="795" t="str">
        <f t="shared" si="32"/>
        <v>NOOO</v>
      </c>
      <c r="X386" s="795" t="str">
        <f t="shared" si="33"/>
        <v>NOOO</v>
      </c>
    </row>
    <row r="387" spans="1:24" x14ac:dyDescent="0.25">
      <c r="A387" s="1352"/>
      <c r="B387" s="127"/>
      <c r="C387" t="s">
        <v>1659</v>
      </c>
      <c r="D387" s="139">
        <v>4</v>
      </c>
      <c r="E387" s="64" t="s">
        <v>961</v>
      </c>
      <c r="F387" s="64">
        <v>1560</v>
      </c>
      <c r="G387" s="64">
        <v>12</v>
      </c>
      <c r="H387" s="127" t="s">
        <v>540</v>
      </c>
      <c r="I387" s="139">
        <v>4</v>
      </c>
      <c r="J387" s="64" t="s">
        <v>1707</v>
      </c>
      <c r="K387" s="64">
        <v>2520</v>
      </c>
      <c r="L387" s="64">
        <v>8</v>
      </c>
      <c r="M387" s="146" t="s">
        <v>1690</v>
      </c>
      <c r="N387" s="139">
        <v>4</v>
      </c>
      <c r="O387" s="64" t="s">
        <v>1009</v>
      </c>
      <c r="P387" s="64">
        <v>1944</v>
      </c>
      <c r="Q387" s="64">
        <v>12</v>
      </c>
      <c r="R387" s="127" t="s">
        <v>542</v>
      </c>
      <c r="V387" s="795" t="str">
        <f t="shared" si="31"/>
        <v>NOOO</v>
      </c>
      <c r="W387" s="128" t="str">
        <f t="shared" si="32"/>
        <v>yes</v>
      </c>
      <c r="X387" s="795" t="str">
        <f t="shared" si="33"/>
        <v>NOOO</v>
      </c>
    </row>
    <row r="388" spans="1:24" x14ac:dyDescent="0.25">
      <c r="A388" s="1352"/>
      <c r="B388" s="127"/>
      <c r="C388" t="s">
        <v>1659</v>
      </c>
      <c r="D388" s="139">
        <v>5</v>
      </c>
      <c r="E388" s="64" t="s">
        <v>962</v>
      </c>
      <c r="F388" s="64">
        <v>1128</v>
      </c>
      <c r="G388" s="64">
        <v>8</v>
      </c>
      <c r="H388" s="127" t="s">
        <v>540</v>
      </c>
      <c r="I388" s="139">
        <v>5</v>
      </c>
      <c r="J388" s="64" t="s">
        <v>979</v>
      </c>
      <c r="K388" s="64">
        <v>2520</v>
      </c>
      <c r="L388" s="64">
        <v>8</v>
      </c>
      <c r="M388" s="146" t="s">
        <v>1690</v>
      </c>
      <c r="N388" s="139">
        <v>5</v>
      </c>
      <c r="O388" s="64" t="s">
        <v>994</v>
      </c>
      <c r="P388" s="64">
        <v>1296</v>
      </c>
      <c r="Q388" s="64">
        <v>8</v>
      </c>
      <c r="R388" s="127" t="s">
        <v>542</v>
      </c>
      <c r="V388" s="128" t="str">
        <f t="shared" si="31"/>
        <v>yes</v>
      </c>
      <c r="W388" s="128" t="str">
        <f t="shared" si="32"/>
        <v>yes</v>
      </c>
      <c r="X388" s="128" t="str">
        <f t="shared" si="33"/>
        <v>yes</v>
      </c>
    </row>
    <row r="389" spans="1:24" x14ac:dyDescent="0.25">
      <c r="A389" s="1352"/>
      <c r="B389" s="127"/>
      <c r="C389" t="s">
        <v>1659</v>
      </c>
      <c r="D389" s="139">
        <v>6</v>
      </c>
      <c r="E389" s="64" t="s">
        <v>963</v>
      </c>
      <c r="F389" s="64">
        <v>1040</v>
      </c>
      <c r="G389" s="64">
        <v>8</v>
      </c>
      <c r="H389" s="127" t="s">
        <v>540</v>
      </c>
      <c r="I389" s="139">
        <v>6</v>
      </c>
      <c r="J389" s="64" t="s">
        <v>980</v>
      </c>
      <c r="K389" s="64">
        <v>1890</v>
      </c>
      <c r="L389" s="64">
        <v>6</v>
      </c>
      <c r="M389" s="146" t="s">
        <v>1690</v>
      </c>
      <c r="N389" s="139">
        <v>6</v>
      </c>
      <c r="O389" s="64" t="s">
        <v>1010</v>
      </c>
      <c r="P389" s="64">
        <v>1296</v>
      </c>
      <c r="Q389" s="64">
        <v>8</v>
      </c>
      <c r="R389" s="127" t="s">
        <v>542</v>
      </c>
      <c r="V389" s="128" t="str">
        <f t="shared" si="31"/>
        <v>yes</v>
      </c>
      <c r="W389" s="128" t="str">
        <f t="shared" si="32"/>
        <v>yes</v>
      </c>
      <c r="X389" s="128" t="str">
        <f t="shared" si="33"/>
        <v>yes</v>
      </c>
    </row>
    <row r="390" spans="1:24" x14ac:dyDescent="0.25">
      <c r="A390" s="1352"/>
      <c r="B390" s="130"/>
      <c r="C390" t="s">
        <v>1659</v>
      </c>
      <c r="D390" s="131">
        <v>7</v>
      </c>
      <c r="E390" s="132" t="s">
        <v>964</v>
      </c>
      <c r="F390" s="132">
        <v>846</v>
      </c>
      <c r="G390" s="132">
        <v>6</v>
      </c>
      <c r="H390" s="134" t="s">
        <v>540</v>
      </c>
      <c r="I390" s="131">
        <v>7</v>
      </c>
      <c r="J390" s="132" t="s">
        <v>1708</v>
      </c>
      <c r="K390" s="132">
        <v>1575</v>
      </c>
      <c r="L390" s="132">
        <v>5</v>
      </c>
      <c r="M390" s="147" t="s">
        <v>1690</v>
      </c>
      <c r="N390" s="131">
        <v>7</v>
      </c>
      <c r="O390" s="132" t="s">
        <v>1013</v>
      </c>
      <c r="P390" s="132">
        <v>972</v>
      </c>
      <c r="Q390" s="132">
        <v>6</v>
      </c>
      <c r="R390" s="134" t="s">
        <v>542</v>
      </c>
      <c r="V390" s="128" t="str">
        <f t="shared" si="31"/>
        <v>yes</v>
      </c>
      <c r="W390" s="128" t="str">
        <f t="shared" si="32"/>
        <v>yes</v>
      </c>
      <c r="X390" s="128" t="str">
        <f t="shared" si="33"/>
        <v>yes</v>
      </c>
    </row>
    <row r="391" spans="1:24" x14ac:dyDescent="0.25">
      <c r="A391" s="1352"/>
      <c r="B391" s="127" t="s">
        <v>1309</v>
      </c>
      <c r="C391" t="s">
        <v>1660</v>
      </c>
      <c r="D391" s="139">
        <v>1</v>
      </c>
      <c r="E391" s="64" t="s">
        <v>960</v>
      </c>
      <c r="F391" s="64">
        <v>2080</v>
      </c>
      <c r="G391" s="64">
        <v>16</v>
      </c>
      <c r="H391" s="127" t="s">
        <v>540</v>
      </c>
      <c r="I391" s="139">
        <v>1</v>
      </c>
      <c r="J391" s="64" t="s">
        <v>1712</v>
      </c>
      <c r="K391" s="64">
        <v>3150</v>
      </c>
      <c r="L391" s="64">
        <v>10</v>
      </c>
      <c r="M391" s="146" t="s">
        <v>1690</v>
      </c>
      <c r="N391" s="139">
        <v>1</v>
      </c>
      <c r="O391" s="64" t="s">
        <v>992</v>
      </c>
      <c r="P391" s="64">
        <v>2592</v>
      </c>
      <c r="Q391" s="64">
        <v>16</v>
      </c>
      <c r="R391" s="127" t="s">
        <v>542</v>
      </c>
      <c r="V391" s="795" t="str">
        <f t="shared" si="31"/>
        <v>NOOO</v>
      </c>
      <c r="W391" s="795" t="str">
        <f t="shared" si="32"/>
        <v>NOOO</v>
      </c>
      <c r="X391" s="795" t="str">
        <f t="shared" si="33"/>
        <v>NOOO</v>
      </c>
    </row>
    <row r="392" spans="1:24" x14ac:dyDescent="0.25">
      <c r="A392" s="1352"/>
      <c r="B392" s="127" t="s">
        <v>1310</v>
      </c>
      <c r="C392" t="s">
        <v>1660</v>
      </c>
      <c r="D392" s="139">
        <v>2</v>
      </c>
      <c r="E392" s="64" t="s">
        <v>961</v>
      </c>
      <c r="F392" s="64">
        <v>1560</v>
      </c>
      <c r="G392" s="64">
        <v>12</v>
      </c>
      <c r="H392" s="127" t="s">
        <v>540</v>
      </c>
      <c r="I392" s="139">
        <v>2</v>
      </c>
      <c r="J392" s="64" t="s">
        <v>1707</v>
      </c>
      <c r="K392" s="64">
        <v>2520</v>
      </c>
      <c r="L392" s="64">
        <v>8</v>
      </c>
      <c r="M392" s="146" t="s">
        <v>1690</v>
      </c>
      <c r="N392" s="139">
        <v>2</v>
      </c>
      <c r="O392" s="64" t="s">
        <v>1011</v>
      </c>
      <c r="P392" s="64">
        <v>1944</v>
      </c>
      <c r="Q392" s="64">
        <v>12</v>
      </c>
      <c r="R392" s="127" t="s">
        <v>542</v>
      </c>
      <c r="V392" s="795" t="str">
        <f t="shared" si="31"/>
        <v>NOOO</v>
      </c>
      <c r="W392" s="128" t="str">
        <f t="shared" si="32"/>
        <v>yes</v>
      </c>
      <c r="X392" s="795" t="str">
        <f t="shared" si="33"/>
        <v>NOOO</v>
      </c>
    </row>
    <row r="393" spans="1:24" x14ac:dyDescent="0.25">
      <c r="A393" s="1352"/>
      <c r="B393" s="127" t="s">
        <v>1313</v>
      </c>
      <c r="C393" t="s">
        <v>1660</v>
      </c>
      <c r="D393" s="139">
        <v>3</v>
      </c>
      <c r="E393" s="64" t="s">
        <v>962</v>
      </c>
      <c r="F393" s="64">
        <v>1128</v>
      </c>
      <c r="G393" s="64">
        <v>8</v>
      </c>
      <c r="H393" s="127" t="s">
        <v>540</v>
      </c>
      <c r="I393" s="139">
        <v>3</v>
      </c>
      <c r="J393" s="64" t="s">
        <v>979</v>
      </c>
      <c r="K393" s="64">
        <v>2520</v>
      </c>
      <c r="L393" s="64">
        <v>8</v>
      </c>
      <c r="M393" s="146" t="s">
        <v>1690</v>
      </c>
      <c r="N393" s="139">
        <v>3</v>
      </c>
      <c r="O393" s="64" t="s">
        <v>994</v>
      </c>
      <c r="P393" s="64">
        <v>1296</v>
      </c>
      <c r="Q393" s="64">
        <v>8</v>
      </c>
      <c r="R393" s="127" t="s">
        <v>542</v>
      </c>
      <c r="V393" s="128" t="str">
        <f t="shared" si="31"/>
        <v>yes</v>
      </c>
      <c r="W393" s="128" t="str">
        <f t="shared" si="32"/>
        <v>yes</v>
      </c>
      <c r="X393" s="128" t="str">
        <f t="shared" si="33"/>
        <v>yes</v>
      </c>
    </row>
    <row r="394" spans="1:24" x14ac:dyDescent="0.25">
      <c r="A394" s="1352"/>
      <c r="B394" s="127"/>
      <c r="C394" t="s">
        <v>1660</v>
      </c>
      <c r="D394" s="139">
        <v>4</v>
      </c>
      <c r="E394" s="64" t="s">
        <v>963</v>
      </c>
      <c r="F394" s="64">
        <v>1040</v>
      </c>
      <c r="G394" s="64">
        <v>8</v>
      </c>
      <c r="H394" s="127" t="s">
        <v>540</v>
      </c>
      <c r="I394" s="139">
        <v>4</v>
      </c>
      <c r="J394" s="64" t="s">
        <v>980</v>
      </c>
      <c r="K394" s="64">
        <v>1890</v>
      </c>
      <c r="L394" s="64">
        <v>6</v>
      </c>
      <c r="M394" s="146" t="s">
        <v>1690</v>
      </c>
      <c r="N394" s="139">
        <v>4</v>
      </c>
      <c r="O394" s="64" t="s">
        <v>1010</v>
      </c>
      <c r="P394" s="64">
        <v>1296</v>
      </c>
      <c r="Q394" s="64">
        <v>8</v>
      </c>
      <c r="R394" s="127" t="s">
        <v>542</v>
      </c>
      <c r="V394" s="128" t="str">
        <f t="shared" si="31"/>
        <v>yes</v>
      </c>
      <c r="W394" s="128" t="str">
        <f t="shared" si="32"/>
        <v>yes</v>
      </c>
      <c r="X394" s="128" t="str">
        <f t="shared" si="33"/>
        <v>yes</v>
      </c>
    </row>
    <row r="395" spans="1:24" x14ac:dyDescent="0.25">
      <c r="A395" s="1352"/>
      <c r="B395" s="127"/>
      <c r="C395" t="s">
        <v>1660</v>
      </c>
      <c r="D395" s="139">
        <v>5</v>
      </c>
      <c r="E395" s="64" t="s">
        <v>964</v>
      </c>
      <c r="F395" s="64">
        <v>846</v>
      </c>
      <c r="G395" s="64">
        <v>6</v>
      </c>
      <c r="H395" s="127" t="s">
        <v>540</v>
      </c>
      <c r="I395" s="139">
        <v>5</v>
      </c>
      <c r="J395" s="64" t="s">
        <v>1708</v>
      </c>
      <c r="K395" s="64">
        <v>1575</v>
      </c>
      <c r="L395" s="64">
        <v>5</v>
      </c>
      <c r="M395" s="146" t="s">
        <v>1690</v>
      </c>
      <c r="N395" s="139">
        <v>5</v>
      </c>
      <c r="O395" s="64" t="s">
        <v>1013</v>
      </c>
      <c r="P395" s="64">
        <v>972</v>
      </c>
      <c r="Q395" s="64">
        <v>6</v>
      </c>
      <c r="R395" s="127" t="s">
        <v>542</v>
      </c>
      <c r="V395" s="128" t="str">
        <f t="shared" si="31"/>
        <v>yes</v>
      </c>
      <c r="W395" s="128" t="str">
        <f t="shared" si="32"/>
        <v>yes</v>
      </c>
      <c r="X395" s="128" t="str">
        <f t="shared" si="33"/>
        <v>yes</v>
      </c>
    </row>
    <row r="396" spans="1:24" x14ac:dyDescent="0.25">
      <c r="A396" s="1352"/>
      <c r="B396" s="130"/>
      <c r="C396" t="s">
        <v>1660</v>
      </c>
      <c r="D396" s="131">
        <v>6</v>
      </c>
      <c r="E396" s="132" t="s">
        <v>965</v>
      </c>
      <c r="F396" s="132">
        <v>564</v>
      </c>
      <c r="G396" s="132">
        <v>4</v>
      </c>
      <c r="H396" s="134" t="s">
        <v>540</v>
      </c>
      <c r="I396" s="131">
        <v>6</v>
      </c>
      <c r="J396" s="132" t="s">
        <v>981</v>
      </c>
      <c r="K396" s="132">
        <v>1260</v>
      </c>
      <c r="L396" s="132">
        <v>4</v>
      </c>
      <c r="M396" s="147" t="s">
        <v>1690</v>
      </c>
      <c r="N396" s="131">
        <v>6</v>
      </c>
      <c r="O396" s="132" t="s">
        <v>997</v>
      </c>
      <c r="P396" s="132">
        <v>648</v>
      </c>
      <c r="Q396" s="132">
        <v>4</v>
      </c>
      <c r="R396" s="134" t="s">
        <v>542</v>
      </c>
      <c r="V396" s="128" t="str">
        <f t="shared" si="31"/>
        <v>yes</v>
      </c>
      <c r="W396" s="128" t="str">
        <f t="shared" si="32"/>
        <v>yes</v>
      </c>
      <c r="X396" s="128" t="str">
        <f t="shared" si="33"/>
        <v>yes</v>
      </c>
    </row>
    <row r="397" spans="1:24" x14ac:dyDescent="0.25">
      <c r="A397" s="1352"/>
      <c r="B397" s="127" t="s">
        <v>1312</v>
      </c>
      <c r="C397" t="s">
        <v>1661</v>
      </c>
      <c r="D397" s="139">
        <v>1</v>
      </c>
      <c r="E397" s="64" t="s">
        <v>960</v>
      </c>
      <c r="F397" s="64">
        <v>2080</v>
      </c>
      <c r="G397" s="64">
        <v>16</v>
      </c>
      <c r="H397" s="127" t="s">
        <v>540</v>
      </c>
      <c r="I397" s="139">
        <v>1</v>
      </c>
      <c r="J397" s="64" t="s">
        <v>1712</v>
      </c>
      <c r="K397" s="64">
        <v>3150</v>
      </c>
      <c r="L397" s="64">
        <v>10</v>
      </c>
      <c r="M397" s="146" t="s">
        <v>1690</v>
      </c>
      <c r="N397" s="139">
        <v>1</v>
      </c>
      <c r="O397" s="64" t="s">
        <v>992</v>
      </c>
      <c r="P397" s="64">
        <v>2592</v>
      </c>
      <c r="Q397" s="64">
        <v>16</v>
      </c>
      <c r="R397" s="127" t="s">
        <v>542</v>
      </c>
      <c r="V397" s="795" t="str">
        <f t="shared" si="31"/>
        <v>NOOO</v>
      </c>
      <c r="W397" s="795" t="str">
        <f t="shared" si="32"/>
        <v>NOOO</v>
      </c>
      <c r="X397" s="795" t="str">
        <f t="shared" si="33"/>
        <v>NOOO</v>
      </c>
    </row>
    <row r="398" spans="1:24" x14ac:dyDescent="0.25">
      <c r="A398" s="1352"/>
      <c r="B398" s="127" t="s">
        <v>1315</v>
      </c>
      <c r="C398" t="s">
        <v>1661</v>
      </c>
      <c r="D398" s="139">
        <v>2</v>
      </c>
      <c r="E398" s="64" t="s">
        <v>961</v>
      </c>
      <c r="F398" s="64">
        <v>1560</v>
      </c>
      <c r="G398" s="64">
        <v>12</v>
      </c>
      <c r="H398" s="127" t="s">
        <v>540</v>
      </c>
      <c r="I398" s="139">
        <v>2</v>
      </c>
      <c r="J398" s="64" t="s">
        <v>1707</v>
      </c>
      <c r="K398" s="64">
        <v>2520</v>
      </c>
      <c r="L398" s="64">
        <v>8</v>
      </c>
      <c r="M398" s="146" t="s">
        <v>1690</v>
      </c>
      <c r="N398" s="139">
        <v>2</v>
      </c>
      <c r="O398" s="64" t="s">
        <v>993</v>
      </c>
      <c r="P398" s="64">
        <v>1944</v>
      </c>
      <c r="Q398" s="64">
        <v>12</v>
      </c>
      <c r="R398" s="127" t="s">
        <v>542</v>
      </c>
      <c r="V398" s="795" t="str">
        <f t="shared" si="31"/>
        <v>NOOO</v>
      </c>
      <c r="W398" s="128" t="str">
        <f t="shared" si="32"/>
        <v>yes</v>
      </c>
      <c r="X398" s="795" t="str">
        <f t="shared" si="33"/>
        <v>NOOO</v>
      </c>
    </row>
    <row r="399" spans="1:24" x14ac:dyDescent="0.25">
      <c r="A399" s="1352"/>
      <c r="B399" s="127" t="s">
        <v>1731</v>
      </c>
      <c r="C399" t="s">
        <v>1661</v>
      </c>
      <c r="D399" s="139">
        <v>3</v>
      </c>
      <c r="E399" s="64" t="s">
        <v>962</v>
      </c>
      <c r="F399" s="64">
        <v>1128</v>
      </c>
      <c r="G399" s="64">
        <v>8</v>
      </c>
      <c r="H399" s="127" t="s">
        <v>540</v>
      </c>
      <c r="I399" s="139">
        <v>3</v>
      </c>
      <c r="J399" s="64" t="s">
        <v>979</v>
      </c>
      <c r="K399" s="64">
        <v>2520</v>
      </c>
      <c r="L399" s="64">
        <v>8</v>
      </c>
      <c r="M399" s="146" t="s">
        <v>1690</v>
      </c>
      <c r="N399" s="139">
        <v>3</v>
      </c>
      <c r="O399" s="64" t="s">
        <v>994</v>
      </c>
      <c r="P399" s="64">
        <v>1296</v>
      </c>
      <c r="Q399" s="64">
        <v>8</v>
      </c>
      <c r="R399" s="127" t="s">
        <v>542</v>
      </c>
      <c r="V399" s="128" t="str">
        <f t="shared" si="31"/>
        <v>yes</v>
      </c>
      <c r="W399" s="128" t="str">
        <f t="shared" si="32"/>
        <v>yes</v>
      </c>
      <c r="X399" s="128" t="str">
        <f t="shared" si="33"/>
        <v>yes</v>
      </c>
    </row>
    <row r="400" spans="1:24" x14ac:dyDescent="0.25">
      <c r="A400" s="1352"/>
      <c r="B400" s="127" t="s">
        <v>1740</v>
      </c>
      <c r="C400" t="s">
        <v>1661</v>
      </c>
      <c r="D400" s="139">
        <v>4</v>
      </c>
      <c r="E400" s="64" t="s">
        <v>963</v>
      </c>
      <c r="F400" s="64">
        <v>1040</v>
      </c>
      <c r="G400" s="64">
        <v>8</v>
      </c>
      <c r="H400" s="127" t="s">
        <v>540</v>
      </c>
      <c r="I400" s="139">
        <v>4</v>
      </c>
      <c r="J400" s="64" t="s">
        <v>980</v>
      </c>
      <c r="K400" s="64">
        <v>1890</v>
      </c>
      <c r="L400" s="64">
        <v>6</v>
      </c>
      <c r="M400" s="146" t="s">
        <v>1690</v>
      </c>
      <c r="N400" s="139">
        <v>4</v>
      </c>
      <c r="O400" s="64" t="s">
        <v>995</v>
      </c>
      <c r="P400" s="64">
        <v>1296</v>
      </c>
      <c r="Q400" s="64">
        <v>8</v>
      </c>
      <c r="R400" s="127" t="s">
        <v>542</v>
      </c>
      <c r="V400" s="128" t="str">
        <f t="shared" si="31"/>
        <v>yes</v>
      </c>
      <c r="W400" s="128" t="str">
        <f t="shared" si="32"/>
        <v>yes</v>
      </c>
      <c r="X400" s="128" t="str">
        <f t="shared" si="33"/>
        <v>yes</v>
      </c>
    </row>
    <row r="401" spans="1:24" x14ac:dyDescent="0.25">
      <c r="A401" s="1352"/>
      <c r="B401" s="127"/>
      <c r="C401" t="s">
        <v>1661</v>
      </c>
      <c r="D401" s="139">
        <v>5</v>
      </c>
      <c r="E401" s="64" t="s">
        <v>966</v>
      </c>
      <c r="F401" s="64">
        <v>912</v>
      </c>
      <c r="G401" s="64">
        <v>8</v>
      </c>
      <c r="H401" s="127" t="s">
        <v>540</v>
      </c>
      <c r="I401" s="139">
        <v>5</v>
      </c>
      <c r="J401" s="64" t="s">
        <v>1708</v>
      </c>
      <c r="K401" s="64">
        <v>1575</v>
      </c>
      <c r="L401" s="64">
        <v>5</v>
      </c>
      <c r="M401" s="146" t="s">
        <v>1690</v>
      </c>
      <c r="N401" s="139">
        <v>5</v>
      </c>
      <c r="O401" s="64" t="s">
        <v>996</v>
      </c>
      <c r="P401" s="64">
        <v>972</v>
      </c>
      <c r="Q401" s="64">
        <v>6</v>
      </c>
      <c r="R401" s="127" t="s">
        <v>542</v>
      </c>
      <c r="V401" s="128" t="str">
        <f t="shared" si="31"/>
        <v>yes</v>
      </c>
      <c r="W401" s="128" t="str">
        <f t="shared" si="32"/>
        <v>yes</v>
      </c>
      <c r="X401" s="128" t="str">
        <f t="shared" si="33"/>
        <v>yes</v>
      </c>
    </row>
    <row r="402" spans="1:24" x14ac:dyDescent="0.25">
      <c r="A402" s="1352"/>
      <c r="B402" s="127"/>
      <c r="C402" t="s">
        <v>1661</v>
      </c>
      <c r="D402" s="139">
        <v>6</v>
      </c>
      <c r="E402" s="64" t="s">
        <v>964</v>
      </c>
      <c r="F402" s="64">
        <v>846</v>
      </c>
      <c r="G402" s="64">
        <v>6</v>
      </c>
      <c r="H402" s="64" t="s">
        <v>540</v>
      </c>
      <c r="I402" s="139">
        <v>6</v>
      </c>
      <c r="J402" s="64" t="s">
        <v>1709</v>
      </c>
      <c r="K402" s="64">
        <v>1260</v>
      </c>
      <c r="L402" s="64">
        <v>4</v>
      </c>
      <c r="M402" s="146" t="s">
        <v>1690</v>
      </c>
      <c r="N402" s="139">
        <v>6</v>
      </c>
      <c r="O402" s="64" t="s">
        <v>998</v>
      </c>
      <c r="P402" s="64">
        <v>972</v>
      </c>
      <c r="Q402" s="64">
        <v>6</v>
      </c>
      <c r="R402" s="127" t="s">
        <v>542</v>
      </c>
      <c r="V402" s="128" t="str">
        <f t="shared" si="31"/>
        <v>yes</v>
      </c>
      <c r="W402" s="128" t="str">
        <f t="shared" si="32"/>
        <v>yes</v>
      </c>
      <c r="X402" s="128" t="str">
        <f t="shared" si="33"/>
        <v>yes</v>
      </c>
    </row>
    <row r="403" spans="1:24" x14ac:dyDescent="0.25">
      <c r="A403" s="1352"/>
      <c r="B403" s="127"/>
      <c r="C403" t="s">
        <v>1661</v>
      </c>
      <c r="D403" s="139">
        <v>7</v>
      </c>
      <c r="E403" s="64" t="s">
        <v>967</v>
      </c>
      <c r="F403" s="64">
        <v>780</v>
      </c>
      <c r="G403" s="64">
        <v>6</v>
      </c>
      <c r="H403" t="s">
        <v>540</v>
      </c>
      <c r="I403" s="139">
        <v>7</v>
      </c>
      <c r="J403" s="64" t="s">
        <v>982</v>
      </c>
      <c r="K403" s="64">
        <v>1260</v>
      </c>
      <c r="L403" s="64">
        <v>4</v>
      </c>
      <c r="M403" s="146" t="s">
        <v>1690</v>
      </c>
      <c r="N403" s="139">
        <v>7</v>
      </c>
      <c r="O403" s="64" t="s">
        <v>1000</v>
      </c>
      <c r="P403" s="64">
        <v>912</v>
      </c>
      <c r="Q403" s="64">
        <v>8</v>
      </c>
      <c r="R403" s="144" t="s">
        <v>542</v>
      </c>
      <c r="V403" s="128" t="str">
        <f t="shared" ref="V403:V466" si="34">IFERROR(IF((LEFT(RIGHT(E403,2),1)+RIGHT(LEFT(E403,2),1)+G403)/3=G403,"yes","NOOO"),"--")</f>
        <v>yes</v>
      </c>
      <c r="W403" s="128" t="str">
        <f t="shared" ref="W403:W466" si="35">IFERROR(IF((LEFT(RIGHT(J403,2),1)+RIGHT(LEFT(J403,2),1)+L403)/3=L403,"yes","NOOO"),"--")</f>
        <v>yes</v>
      </c>
      <c r="X403" s="128" t="str">
        <f t="shared" ref="X403:X466" si="36">IFERROR(IF((LEFT(RIGHT(O403,2),1)+RIGHT(LEFT(O403,2),1)+Q403)/3=Q403,"yes","NOOO"),"--")</f>
        <v>yes</v>
      </c>
    </row>
    <row r="404" spans="1:24" x14ac:dyDescent="0.25">
      <c r="A404" s="1352"/>
      <c r="B404" s="127"/>
      <c r="C404" t="s">
        <v>1661</v>
      </c>
      <c r="D404" s="139">
        <v>8</v>
      </c>
      <c r="E404" s="64" t="s">
        <v>968</v>
      </c>
      <c r="F404" s="64">
        <v>564</v>
      </c>
      <c r="G404" s="64">
        <v>4</v>
      </c>
      <c r="H404" t="s">
        <v>540</v>
      </c>
      <c r="I404" s="139">
        <v>8</v>
      </c>
      <c r="J404" s="64" t="s">
        <v>983</v>
      </c>
      <c r="K404" s="64">
        <v>1260</v>
      </c>
      <c r="L404" s="64">
        <v>4</v>
      </c>
      <c r="M404" s="146" t="s">
        <v>1690</v>
      </c>
      <c r="N404" s="139">
        <v>8</v>
      </c>
      <c r="O404" s="64" t="s">
        <v>997</v>
      </c>
      <c r="P404" s="64">
        <v>648</v>
      </c>
      <c r="Q404" s="64">
        <v>4</v>
      </c>
      <c r="R404" s="144" t="s">
        <v>542</v>
      </c>
      <c r="V404" s="128" t="str">
        <f t="shared" si="34"/>
        <v>yes</v>
      </c>
      <c r="W404" s="128" t="str">
        <f t="shared" si="35"/>
        <v>yes</v>
      </c>
      <c r="X404" s="128" t="str">
        <f t="shared" si="36"/>
        <v>yes</v>
      </c>
    </row>
    <row r="405" spans="1:24" x14ac:dyDescent="0.25">
      <c r="A405" s="1352"/>
      <c r="B405" s="130"/>
      <c r="C405" t="s">
        <v>1661</v>
      </c>
      <c r="D405" s="131">
        <v>9</v>
      </c>
      <c r="E405" s="132" t="s">
        <v>965</v>
      </c>
      <c r="F405" s="132">
        <v>564</v>
      </c>
      <c r="G405" s="132">
        <v>4</v>
      </c>
      <c r="H405" s="132" t="s">
        <v>540</v>
      </c>
      <c r="I405" s="131">
        <v>9</v>
      </c>
      <c r="J405" s="132" t="s">
        <v>981</v>
      </c>
      <c r="K405" s="132">
        <v>1260</v>
      </c>
      <c r="L405" s="132">
        <v>4</v>
      </c>
      <c r="M405" s="147" t="s">
        <v>1690</v>
      </c>
      <c r="N405" s="131">
        <v>9</v>
      </c>
      <c r="O405" s="132" t="s">
        <v>999</v>
      </c>
      <c r="P405" s="132">
        <v>564</v>
      </c>
      <c r="Q405" s="132">
        <v>4</v>
      </c>
      <c r="R405" s="458" t="s">
        <v>542</v>
      </c>
      <c r="V405" s="128" t="str">
        <f t="shared" si="34"/>
        <v>yes</v>
      </c>
      <c r="W405" s="128" t="str">
        <f t="shared" si="35"/>
        <v>yes</v>
      </c>
      <c r="X405" s="128" t="str">
        <f t="shared" si="36"/>
        <v>yes</v>
      </c>
    </row>
    <row r="406" spans="1:24" x14ac:dyDescent="0.25">
      <c r="A406" s="1352"/>
      <c r="B406" s="127" t="s">
        <v>1314</v>
      </c>
      <c r="C406" t="s">
        <v>1662</v>
      </c>
      <c r="D406" s="139">
        <v>1</v>
      </c>
      <c r="E406" s="64" t="s">
        <v>978</v>
      </c>
      <c r="F406" s="64">
        <v>1560</v>
      </c>
      <c r="G406" s="64">
        <v>12</v>
      </c>
      <c r="H406" s="127" t="s">
        <v>540</v>
      </c>
      <c r="I406" s="139">
        <v>1</v>
      </c>
      <c r="J406" s="64" t="s">
        <v>1707</v>
      </c>
      <c r="K406" s="64">
        <v>2520</v>
      </c>
      <c r="L406" s="64">
        <v>8</v>
      </c>
      <c r="M406" s="146" t="s">
        <v>1690</v>
      </c>
      <c r="N406" s="139">
        <v>1</v>
      </c>
      <c r="O406" s="64" t="s">
        <v>993</v>
      </c>
      <c r="P406" s="64">
        <v>1944</v>
      </c>
      <c r="Q406" s="64">
        <v>12</v>
      </c>
      <c r="R406" s="127" t="s">
        <v>542</v>
      </c>
      <c r="V406" s="795" t="str">
        <f t="shared" si="34"/>
        <v>NOOO</v>
      </c>
      <c r="W406" s="128" t="str">
        <f t="shared" si="35"/>
        <v>yes</v>
      </c>
      <c r="X406" s="795" t="str">
        <f t="shared" si="36"/>
        <v>NOOO</v>
      </c>
    </row>
    <row r="407" spans="1:24" x14ac:dyDescent="0.25">
      <c r="A407" s="1352"/>
      <c r="B407" s="127" t="s">
        <v>1316</v>
      </c>
      <c r="C407" t="s">
        <v>1662</v>
      </c>
      <c r="D407" s="139">
        <v>2</v>
      </c>
      <c r="E407" s="64" t="s">
        <v>966</v>
      </c>
      <c r="F407" s="64">
        <v>912</v>
      </c>
      <c r="G407" s="64">
        <v>8</v>
      </c>
      <c r="H407" s="127" t="s">
        <v>540</v>
      </c>
      <c r="I407" s="139">
        <v>2</v>
      </c>
      <c r="J407" s="64" t="s">
        <v>980</v>
      </c>
      <c r="K407" s="64">
        <v>1890</v>
      </c>
      <c r="L407" s="64">
        <v>6</v>
      </c>
      <c r="M407" s="146" t="s">
        <v>1690</v>
      </c>
      <c r="N407" s="139">
        <v>2</v>
      </c>
      <c r="O407" s="64" t="s">
        <v>998</v>
      </c>
      <c r="P407" s="64">
        <v>972</v>
      </c>
      <c r="Q407" s="64">
        <v>6</v>
      </c>
      <c r="R407" s="127" t="s">
        <v>542</v>
      </c>
      <c r="V407" s="128" t="str">
        <f t="shared" si="34"/>
        <v>yes</v>
      </c>
      <c r="W407" s="128" t="str">
        <f t="shared" si="35"/>
        <v>yes</v>
      </c>
      <c r="X407" s="128" t="str">
        <f t="shared" si="36"/>
        <v>yes</v>
      </c>
    </row>
    <row r="408" spans="1:24" x14ac:dyDescent="0.25">
      <c r="A408" s="1352"/>
      <c r="B408" s="127" t="s">
        <v>1317</v>
      </c>
      <c r="C408" t="s">
        <v>1662</v>
      </c>
      <c r="D408" s="139">
        <v>3</v>
      </c>
      <c r="E408" s="64" t="s">
        <v>964</v>
      </c>
      <c r="F408" s="64">
        <v>846</v>
      </c>
      <c r="G408" s="64">
        <v>6</v>
      </c>
      <c r="H408" s="127" t="s">
        <v>540</v>
      </c>
      <c r="I408" s="139">
        <v>3</v>
      </c>
      <c r="J408" s="64" t="s">
        <v>1709</v>
      </c>
      <c r="K408" s="64">
        <v>1260</v>
      </c>
      <c r="L408" s="64">
        <v>4</v>
      </c>
      <c r="M408" s="146" t="s">
        <v>1690</v>
      </c>
      <c r="N408" s="139">
        <v>3</v>
      </c>
      <c r="O408" s="64" t="s">
        <v>996</v>
      </c>
      <c r="P408" s="64">
        <v>972</v>
      </c>
      <c r="Q408" s="64">
        <v>6</v>
      </c>
      <c r="R408" s="127" t="s">
        <v>542</v>
      </c>
      <c r="V408" s="128" t="str">
        <f t="shared" si="34"/>
        <v>yes</v>
      </c>
      <c r="W408" s="128" t="str">
        <f t="shared" si="35"/>
        <v>yes</v>
      </c>
      <c r="X408" s="128" t="str">
        <f t="shared" si="36"/>
        <v>yes</v>
      </c>
    </row>
    <row r="409" spans="1:24" x14ac:dyDescent="0.25">
      <c r="A409" s="1352"/>
      <c r="B409" s="127" t="s">
        <v>1739</v>
      </c>
      <c r="C409" t="s">
        <v>1662</v>
      </c>
      <c r="D409" s="139">
        <v>4</v>
      </c>
      <c r="E409" s="64" t="s">
        <v>967</v>
      </c>
      <c r="F409" s="64">
        <v>780</v>
      </c>
      <c r="G409" s="64">
        <v>6</v>
      </c>
      <c r="H409" s="127" t="s">
        <v>540</v>
      </c>
      <c r="I409" s="139">
        <v>4</v>
      </c>
      <c r="J409" s="64" t="s">
        <v>982</v>
      </c>
      <c r="K409" s="64">
        <v>1260</v>
      </c>
      <c r="L409" s="64">
        <v>4</v>
      </c>
      <c r="M409" s="146" t="s">
        <v>1690</v>
      </c>
      <c r="N409" s="139">
        <v>4</v>
      </c>
      <c r="O409" s="64" t="s">
        <v>1000</v>
      </c>
      <c r="P409" s="64">
        <v>912</v>
      </c>
      <c r="Q409" s="64">
        <v>8</v>
      </c>
      <c r="R409" s="127" t="s">
        <v>542</v>
      </c>
      <c r="V409" s="128" t="str">
        <f t="shared" si="34"/>
        <v>yes</v>
      </c>
      <c r="W409" s="128" t="str">
        <f t="shared" si="35"/>
        <v>yes</v>
      </c>
      <c r="X409" s="128" t="str">
        <f t="shared" si="36"/>
        <v>yes</v>
      </c>
    </row>
    <row r="410" spans="1:24" x14ac:dyDescent="0.25">
      <c r="A410" s="1352"/>
      <c r="B410" s="127"/>
      <c r="C410" t="s">
        <v>1662</v>
      </c>
      <c r="D410" s="139">
        <v>5</v>
      </c>
      <c r="E410" s="64" t="s">
        <v>968</v>
      </c>
      <c r="F410" s="64">
        <v>564</v>
      </c>
      <c r="G410" s="64">
        <v>4</v>
      </c>
      <c r="H410" s="127" t="s">
        <v>540</v>
      </c>
      <c r="I410" s="139">
        <v>5</v>
      </c>
      <c r="J410" s="64" t="s">
        <v>983</v>
      </c>
      <c r="K410" s="64">
        <v>1260</v>
      </c>
      <c r="L410" s="64">
        <v>4</v>
      </c>
      <c r="M410" s="146" t="s">
        <v>1690</v>
      </c>
      <c r="N410" s="139">
        <v>5</v>
      </c>
      <c r="O410" s="64" t="s">
        <v>999</v>
      </c>
      <c r="P410" s="64">
        <v>564</v>
      </c>
      <c r="Q410" s="64">
        <v>4</v>
      </c>
      <c r="R410" s="127" t="s">
        <v>542</v>
      </c>
      <c r="V410" s="128" t="str">
        <f t="shared" si="34"/>
        <v>yes</v>
      </c>
      <c r="W410" s="128" t="str">
        <f t="shared" si="35"/>
        <v>yes</v>
      </c>
      <c r="X410" s="128" t="str">
        <f t="shared" si="36"/>
        <v>yes</v>
      </c>
    </row>
    <row r="411" spans="1:24" x14ac:dyDescent="0.25">
      <c r="A411" s="1352"/>
      <c r="B411" s="127"/>
      <c r="C411" t="s">
        <v>1662</v>
      </c>
      <c r="D411" s="139">
        <v>6</v>
      </c>
      <c r="E411" s="64" t="s">
        <v>969</v>
      </c>
      <c r="F411" s="64">
        <v>456</v>
      </c>
      <c r="G411" s="64">
        <v>4</v>
      </c>
      <c r="H411" s="127" t="s">
        <v>540</v>
      </c>
      <c r="I411" s="139">
        <v>6</v>
      </c>
      <c r="J411" s="64" t="s">
        <v>984</v>
      </c>
      <c r="K411" s="64">
        <v>945</v>
      </c>
      <c r="L411" s="64">
        <v>3</v>
      </c>
      <c r="M411" s="146" t="s">
        <v>1690</v>
      </c>
      <c r="N411" s="139">
        <v>6</v>
      </c>
      <c r="O411" s="64" t="s">
        <v>1001</v>
      </c>
      <c r="P411" s="64">
        <v>486</v>
      </c>
      <c r="Q411" s="64">
        <v>3</v>
      </c>
      <c r="R411" s="127" t="s">
        <v>542</v>
      </c>
      <c r="V411" s="128" t="str">
        <f t="shared" si="34"/>
        <v>yes</v>
      </c>
      <c r="W411" s="128" t="str">
        <f t="shared" si="35"/>
        <v>yes</v>
      </c>
      <c r="X411" s="128" t="str">
        <f t="shared" si="36"/>
        <v>yes</v>
      </c>
    </row>
    <row r="412" spans="1:24" x14ac:dyDescent="0.25">
      <c r="A412" s="1352"/>
      <c r="B412" s="127"/>
      <c r="C412" t="s">
        <v>1662</v>
      </c>
      <c r="D412" s="139">
        <v>7</v>
      </c>
      <c r="E412" s="64" t="s">
        <v>970</v>
      </c>
      <c r="F412" s="64">
        <v>423</v>
      </c>
      <c r="G412" s="64">
        <v>3</v>
      </c>
      <c r="H412" s="127" t="s">
        <v>540</v>
      </c>
      <c r="I412" s="139">
        <v>7</v>
      </c>
      <c r="J412" s="64" t="s">
        <v>985</v>
      </c>
      <c r="K412" s="64">
        <v>630</v>
      </c>
      <c r="L412" s="64">
        <v>2</v>
      </c>
      <c r="M412" s="146" t="s">
        <v>1690</v>
      </c>
      <c r="N412" s="139">
        <v>7</v>
      </c>
      <c r="O412" s="64" t="s">
        <v>1002</v>
      </c>
      <c r="P412" s="64">
        <v>456</v>
      </c>
      <c r="Q412" s="64">
        <v>4</v>
      </c>
      <c r="R412" s="127" t="s">
        <v>542</v>
      </c>
      <c r="V412" s="128" t="str">
        <f t="shared" si="34"/>
        <v>yes</v>
      </c>
      <c r="W412" s="128" t="str">
        <f t="shared" si="35"/>
        <v>yes</v>
      </c>
      <c r="X412" s="128" t="str">
        <f t="shared" si="36"/>
        <v>yes</v>
      </c>
    </row>
    <row r="413" spans="1:24" x14ac:dyDescent="0.25">
      <c r="A413" s="1352"/>
      <c r="B413" s="130"/>
      <c r="C413" t="s">
        <v>1662</v>
      </c>
      <c r="D413" s="131">
        <v>8</v>
      </c>
      <c r="E413" s="132" t="s">
        <v>971</v>
      </c>
      <c r="F413" s="132">
        <v>282</v>
      </c>
      <c r="G413" s="132">
        <v>2</v>
      </c>
      <c r="H413" s="134" t="s">
        <v>540</v>
      </c>
      <c r="I413" s="131">
        <v>8</v>
      </c>
      <c r="J413" s="132" t="s">
        <v>986</v>
      </c>
      <c r="K413" s="132">
        <v>630</v>
      </c>
      <c r="L413" s="132">
        <v>2</v>
      </c>
      <c r="M413" s="147" t="s">
        <v>1690</v>
      </c>
      <c r="N413" s="131">
        <v>8</v>
      </c>
      <c r="O413" s="132" t="s">
        <v>1003</v>
      </c>
      <c r="P413" s="132">
        <v>282</v>
      </c>
      <c r="Q413" s="132">
        <v>2</v>
      </c>
      <c r="R413" s="134" t="s">
        <v>542</v>
      </c>
      <c r="V413" s="128" t="str">
        <f t="shared" si="34"/>
        <v>yes</v>
      </c>
      <c r="W413" s="128" t="str">
        <f t="shared" si="35"/>
        <v>yes</v>
      </c>
      <c r="X413" s="128" t="str">
        <f t="shared" si="36"/>
        <v>yes</v>
      </c>
    </row>
    <row r="414" spans="1:24" x14ac:dyDescent="0.25">
      <c r="A414" s="1352"/>
      <c r="B414" s="127" t="s">
        <v>1318</v>
      </c>
      <c r="C414" t="s">
        <v>1663</v>
      </c>
      <c r="D414" s="139">
        <v>1</v>
      </c>
      <c r="E414" s="64" t="s">
        <v>972</v>
      </c>
      <c r="F414" s="64">
        <v>1040</v>
      </c>
      <c r="G414" s="64">
        <v>8</v>
      </c>
      <c r="H414" s="127" t="s">
        <v>540</v>
      </c>
      <c r="I414" s="139">
        <v>1</v>
      </c>
      <c r="J414" s="64" t="s">
        <v>988</v>
      </c>
      <c r="K414" s="64">
        <v>1890</v>
      </c>
      <c r="L414" s="64">
        <v>6</v>
      </c>
      <c r="M414" s="146" t="s">
        <v>1690</v>
      </c>
      <c r="N414" s="139">
        <v>1</v>
      </c>
      <c r="O414" s="64" t="s">
        <v>1004</v>
      </c>
      <c r="P414" s="64">
        <v>1296</v>
      </c>
      <c r="Q414" s="64">
        <v>8</v>
      </c>
      <c r="R414" s="127" t="s">
        <v>542</v>
      </c>
      <c r="V414" s="128" t="str">
        <f t="shared" si="34"/>
        <v>yes</v>
      </c>
      <c r="W414" s="128" t="str">
        <f t="shared" si="35"/>
        <v>yes</v>
      </c>
      <c r="X414" s="128" t="str">
        <f t="shared" si="36"/>
        <v>yes</v>
      </c>
    </row>
    <row r="415" spans="1:24" x14ac:dyDescent="0.25">
      <c r="A415" s="1352"/>
      <c r="B415" s="127" t="s">
        <v>1721</v>
      </c>
      <c r="C415" t="s">
        <v>1663</v>
      </c>
      <c r="D415" s="139">
        <v>2</v>
      </c>
      <c r="E415" s="64" t="s">
        <v>966</v>
      </c>
      <c r="F415" s="64">
        <v>912</v>
      </c>
      <c r="G415" s="64">
        <v>8</v>
      </c>
      <c r="H415" s="127" t="s">
        <v>540</v>
      </c>
      <c r="I415" s="139">
        <v>2</v>
      </c>
      <c r="J415" s="64" t="s">
        <v>982</v>
      </c>
      <c r="K415" s="64">
        <v>1260</v>
      </c>
      <c r="L415" s="64">
        <v>4</v>
      </c>
      <c r="M415" s="146" t="s">
        <v>1690</v>
      </c>
      <c r="N415" s="139">
        <v>2</v>
      </c>
      <c r="O415" s="64" t="s">
        <v>1000</v>
      </c>
      <c r="P415" s="64">
        <v>912</v>
      </c>
      <c r="Q415" s="64">
        <v>8</v>
      </c>
      <c r="R415" s="127" t="s">
        <v>542</v>
      </c>
      <c r="V415" s="128" t="str">
        <f t="shared" si="34"/>
        <v>yes</v>
      </c>
      <c r="W415" s="128" t="str">
        <f t="shared" si="35"/>
        <v>yes</v>
      </c>
      <c r="X415" s="128" t="str">
        <f t="shared" si="36"/>
        <v>yes</v>
      </c>
    </row>
    <row r="416" spans="1:24" x14ac:dyDescent="0.25">
      <c r="A416" s="1352"/>
      <c r="B416" s="127" t="s">
        <v>1722</v>
      </c>
      <c r="C416" t="s">
        <v>1663</v>
      </c>
      <c r="D416" s="139">
        <v>3</v>
      </c>
      <c r="E416" s="64" t="s">
        <v>968</v>
      </c>
      <c r="F416" s="64">
        <v>564</v>
      </c>
      <c r="G416" s="64">
        <v>4</v>
      </c>
      <c r="H416" s="127" t="s">
        <v>540</v>
      </c>
      <c r="I416" s="139">
        <v>3</v>
      </c>
      <c r="J416" s="64" t="s">
        <v>983</v>
      </c>
      <c r="K416" s="64">
        <v>1260</v>
      </c>
      <c r="L416" s="64">
        <v>4</v>
      </c>
      <c r="M416" s="146" t="s">
        <v>1690</v>
      </c>
      <c r="N416" s="139">
        <v>3</v>
      </c>
      <c r="O416" s="64" t="s">
        <v>1005</v>
      </c>
      <c r="P416" s="64">
        <v>648</v>
      </c>
      <c r="Q416" s="64">
        <v>4</v>
      </c>
      <c r="R416" s="127" t="s">
        <v>542</v>
      </c>
      <c r="V416" s="128" t="str">
        <f t="shared" si="34"/>
        <v>yes</v>
      </c>
      <c r="W416" s="128" t="str">
        <f t="shared" si="35"/>
        <v>yes</v>
      </c>
      <c r="X416" s="128" t="str">
        <f t="shared" si="36"/>
        <v>yes</v>
      </c>
    </row>
    <row r="417" spans="1:24" x14ac:dyDescent="0.25">
      <c r="A417" s="1352"/>
      <c r="B417" s="127" t="s">
        <v>1723</v>
      </c>
      <c r="C417" t="s">
        <v>1663</v>
      </c>
      <c r="D417" s="139">
        <v>4</v>
      </c>
      <c r="E417" s="64" t="s">
        <v>973</v>
      </c>
      <c r="F417" s="64">
        <v>520</v>
      </c>
      <c r="G417" s="64">
        <v>4</v>
      </c>
      <c r="H417" s="127" t="s">
        <v>540</v>
      </c>
      <c r="I417" s="139">
        <v>4</v>
      </c>
      <c r="J417" s="64" t="s">
        <v>989</v>
      </c>
      <c r="K417" s="64">
        <v>945</v>
      </c>
      <c r="L417" s="64">
        <v>3</v>
      </c>
      <c r="M417" s="146" t="s">
        <v>1690</v>
      </c>
      <c r="N417" s="139">
        <v>4</v>
      </c>
      <c r="O417" s="64" t="s">
        <v>999</v>
      </c>
      <c r="P417" s="64">
        <v>564</v>
      </c>
      <c r="Q417" s="64">
        <v>4</v>
      </c>
      <c r="R417" s="127" t="s">
        <v>542</v>
      </c>
      <c r="V417" s="128" t="str">
        <f t="shared" si="34"/>
        <v>yes</v>
      </c>
      <c r="W417" s="128" t="str">
        <f t="shared" si="35"/>
        <v>yes</v>
      </c>
      <c r="X417" s="128" t="str">
        <f t="shared" si="36"/>
        <v>yes</v>
      </c>
    </row>
    <row r="418" spans="1:24" x14ac:dyDescent="0.25">
      <c r="A418" s="1352"/>
      <c r="B418" s="127"/>
      <c r="C418" t="s">
        <v>1663</v>
      </c>
      <c r="D418" s="139">
        <v>5</v>
      </c>
      <c r="E418" s="64" t="s">
        <v>969</v>
      </c>
      <c r="F418" s="64">
        <v>456</v>
      </c>
      <c r="G418" s="64">
        <v>4</v>
      </c>
      <c r="H418" s="127" t="s">
        <v>540</v>
      </c>
      <c r="I418" s="139">
        <v>5</v>
      </c>
      <c r="J418" s="64" t="s">
        <v>987</v>
      </c>
      <c r="K418" s="64">
        <v>630</v>
      </c>
      <c r="L418" s="64">
        <v>2</v>
      </c>
      <c r="M418" s="146" t="s">
        <v>1690</v>
      </c>
      <c r="N418" s="139">
        <v>5</v>
      </c>
      <c r="O418" s="64" t="s">
        <v>1002</v>
      </c>
      <c r="P418" s="64">
        <v>456</v>
      </c>
      <c r="Q418" s="64">
        <v>4</v>
      </c>
      <c r="R418" s="127" t="s">
        <v>542</v>
      </c>
      <c r="V418" s="128" t="str">
        <f t="shared" si="34"/>
        <v>yes</v>
      </c>
      <c r="W418" s="128" t="str">
        <f t="shared" si="35"/>
        <v>yes</v>
      </c>
      <c r="X418" s="128" t="str">
        <f t="shared" si="36"/>
        <v>yes</v>
      </c>
    </row>
    <row r="419" spans="1:24" ht="15.75" thickBot="1" x14ac:dyDescent="0.3">
      <c r="A419" s="1352"/>
      <c r="B419" s="127"/>
      <c r="C419" t="s">
        <v>1663</v>
      </c>
      <c r="D419" s="139">
        <v>6</v>
      </c>
      <c r="E419" s="64" t="s">
        <v>971</v>
      </c>
      <c r="F419" s="64">
        <v>282</v>
      </c>
      <c r="G419" s="64">
        <v>2</v>
      </c>
      <c r="H419" s="127" t="s">
        <v>540</v>
      </c>
      <c r="I419" s="139">
        <v>6</v>
      </c>
      <c r="J419" s="64" t="s">
        <v>986</v>
      </c>
      <c r="K419" s="64">
        <v>630</v>
      </c>
      <c r="L419" s="64">
        <v>2</v>
      </c>
      <c r="M419" s="146" t="s">
        <v>1690</v>
      </c>
      <c r="N419" s="139">
        <v>6</v>
      </c>
      <c r="O419" s="64" t="s">
        <v>1003</v>
      </c>
      <c r="P419" s="64">
        <v>282</v>
      </c>
      <c r="Q419" s="64">
        <v>2</v>
      </c>
      <c r="R419" s="127" t="s">
        <v>542</v>
      </c>
      <c r="V419" s="128" t="str">
        <f t="shared" si="34"/>
        <v>yes</v>
      </c>
      <c r="W419" s="128" t="str">
        <f t="shared" si="35"/>
        <v>yes</v>
      </c>
      <c r="X419" s="128" t="str">
        <f t="shared" si="36"/>
        <v>yes</v>
      </c>
    </row>
    <row r="420" spans="1:24" ht="14.45" customHeight="1" x14ac:dyDescent="0.25">
      <c r="A420" s="1351" t="s">
        <v>443</v>
      </c>
      <c r="B420" s="126" t="s">
        <v>1265</v>
      </c>
      <c r="C420" t="s">
        <v>1664</v>
      </c>
      <c r="D420" s="143">
        <v>1</v>
      </c>
      <c r="E420" s="141" t="s">
        <v>1420</v>
      </c>
      <c r="F420" s="141">
        <v>2432</v>
      </c>
      <c r="G420" s="141">
        <v>8</v>
      </c>
      <c r="H420" s="126" t="s">
        <v>580</v>
      </c>
      <c r="I420" s="143">
        <v>1</v>
      </c>
      <c r="J420" s="141" t="s">
        <v>1440</v>
      </c>
      <c r="K420" s="141">
        <v>2520</v>
      </c>
      <c r="L420" s="141">
        <v>8</v>
      </c>
      <c r="M420" s="145" t="s">
        <v>1690</v>
      </c>
      <c r="N420" s="143">
        <v>1</v>
      </c>
      <c r="O420" s="141" t="s">
        <v>1384</v>
      </c>
      <c r="P420" s="141">
        <v>4800</v>
      </c>
      <c r="Q420" s="141">
        <v>8</v>
      </c>
      <c r="R420" s="126" t="s">
        <v>1385</v>
      </c>
      <c r="V420" s="128" t="str">
        <f t="shared" si="34"/>
        <v>yes</v>
      </c>
      <c r="W420" s="128" t="str">
        <f>IFERROR(IF((LEFT(RIGHT(J420,2),1)+RIGHT(LEFT(J420,2),1)+L420)/3=L420,"yes","NOOO"),"--")</f>
        <v>yes</v>
      </c>
      <c r="X420" s="128" t="str">
        <f t="shared" si="36"/>
        <v>yes</v>
      </c>
    </row>
    <row r="421" spans="1:24" x14ac:dyDescent="0.25">
      <c r="A421" s="1352"/>
      <c r="B421" s="127" t="s">
        <v>1270</v>
      </c>
      <c r="C421" t="s">
        <v>1664</v>
      </c>
      <c r="D421" s="139">
        <v>2</v>
      </c>
      <c r="E421" s="64" t="s">
        <v>1431</v>
      </c>
      <c r="F421" s="64">
        <v>1920</v>
      </c>
      <c r="G421" s="64">
        <v>8</v>
      </c>
      <c r="H421" s="127" t="s">
        <v>580</v>
      </c>
      <c r="I421" s="139">
        <v>2</v>
      </c>
      <c r="J421" s="64" t="s">
        <v>1429</v>
      </c>
      <c r="K421" s="64">
        <v>2520</v>
      </c>
      <c r="L421" s="64">
        <v>8</v>
      </c>
      <c r="M421" s="146" t="s">
        <v>1690</v>
      </c>
      <c r="N421" s="139">
        <v>2</v>
      </c>
      <c r="O421" s="64" t="s">
        <v>1383</v>
      </c>
      <c r="P421" s="64">
        <v>2400</v>
      </c>
      <c r="Q421" s="64">
        <v>4</v>
      </c>
      <c r="R421" s="127" t="s">
        <v>1385</v>
      </c>
      <c r="V421" s="128" t="str">
        <f t="shared" si="34"/>
        <v>yes</v>
      </c>
      <c r="W421" s="128" t="str">
        <f>IFERROR(IF((LEFT(RIGHT(J421,2),1)+RIGHT(LEFT(J421,2),1)+L421)/3=L421,"yes","NOOO"),"--")</f>
        <v>yes</v>
      </c>
      <c r="X421" s="128" t="str">
        <f t="shared" si="36"/>
        <v>yes</v>
      </c>
    </row>
    <row r="422" spans="1:24" x14ac:dyDescent="0.25">
      <c r="A422" s="1352"/>
      <c r="B422" s="127" t="s">
        <v>1277</v>
      </c>
      <c r="C422" t="s">
        <v>1664</v>
      </c>
      <c r="D422" s="139">
        <v>3</v>
      </c>
      <c r="E422" s="64" t="s">
        <v>1421</v>
      </c>
      <c r="F422" s="64">
        <v>1216</v>
      </c>
      <c r="G422" s="64">
        <v>4</v>
      </c>
      <c r="H422" s="127" t="s">
        <v>580</v>
      </c>
      <c r="I422" s="139">
        <v>3</v>
      </c>
      <c r="J422" s="64" t="s">
        <v>1423</v>
      </c>
      <c r="K422" s="64">
        <v>1260</v>
      </c>
      <c r="L422" s="64">
        <v>4</v>
      </c>
      <c r="M422" s="127" t="s">
        <v>1690</v>
      </c>
      <c r="N422" s="139">
        <v>3</v>
      </c>
      <c r="O422" s="64"/>
      <c r="P422" s="64"/>
      <c r="Q422" s="64"/>
      <c r="R422" s="127"/>
      <c r="V422" s="128" t="str">
        <f t="shared" si="34"/>
        <v>yes</v>
      </c>
      <c r="W422" s="128" t="str">
        <f t="shared" si="35"/>
        <v>yes</v>
      </c>
      <c r="X422" s="128" t="str">
        <f t="shared" si="36"/>
        <v>--</v>
      </c>
    </row>
    <row r="423" spans="1:24" x14ac:dyDescent="0.25">
      <c r="A423" s="1352"/>
      <c r="B423" s="127" t="s">
        <v>1284</v>
      </c>
      <c r="C423" t="s">
        <v>1664</v>
      </c>
      <c r="D423" s="139">
        <v>4</v>
      </c>
      <c r="E423" s="64" t="s">
        <v>1432</v>
      </c>
      <c r="F423" s="64">
        <v>960</v>
      </c>
      <c r="G423" s="64">
        <v>4</v>
      </c>
      <c r="H423" s="127" t="s">
        <v>580</v>
      </c>
      <c r="I423" s="139">
        <v>4</v>
      </c>
      <c r="J423" s="64" t="s">
        <v>1434</v>
      </c>
      <c r="K423" s="64">
        <v>1260</v>
      </c>
      <c r="L423" s="64">
        <v>4</v>
      </c>
      <c r="M423" s="127" t="s">
        <v>1690</v>
      </c>
      <c r="N423" s="139">
        <v>4</v>
      </c>
      <c r="O423" s="64"/>
      <c r="P423" s="64"/>
      <c r="Q423" s="64"/>
      <c r="R423" s="127"/>
      <c r="V423" s="128" t="str">
        <f t="shared" si="34"/>
        <v>yes</v>
      </c>
      <c r="W423" s="128" t="str">
        <f t="shared" si="35"/>
        <v>yes</v>
      </c>
      <c r="X423" s="128" t="str">
        <f t="shared" si="36"/>
        <v>--</v>
      </c>
    </row>
    <row r="424" spans="1:24" x14ac:dyDescent="0.25">
      <c r="A424" s="1352"/>
      <c r="B424" s="127" t="s">
        <v>1261</v>
      </c>
      <c r="C424" t="s">
        <v>1664</v>
      </c>
      <c r="D424" s="139"/>
      <c r="E424" s="64"/>
      <c r="F424" s="64"/>
      <c r="G424" s="64"/>
      <c r="H424" s="127"/>
      <c r="I424" s="139"/>
      <c r="J424" s="64"/>
      <c r="K424" s="64"/>
      <c r="L424" s="64"/>
      <c r="M424" s="146"/>
      <c r="N424" s="139"/>
      <c r="O424" s="64"/>
      <c r="P424" s="64"/>
      <c r="Q424" s="64"/>
      <c r="R424" s="127"/>
      <c r="V424" s="128" t="str">
        <f t="shared" si="34"/>
        <v>--</v>
      </c>
      <c r="W424" s="128" t="str">
        <f t="shared" si="35"/>
        <v>--</v>
      </c>
      <c r="X424" s="128" t="str">
        <f t="shared" si="36"/>
        <v>--</v>
      </c>
    </row>
    <row r="425" spans="1:24" x14ac:dyDescent="0.25">
      <c r="A425" s="1352"/>
      <c r="B425" s="127" t="s">
        <v>1264</v>
      </c>
      <c r="C425" t="s">
        <v>1664</v>
      </c>
      <c r="D425" s="139"/>
      <c r="E425" s="64"/>
      <c r="F425" s="64"/>
      <c r="G425" s="64"/>
      <c r="H425" s="127"/>
      <c r="I425" s="139"/>
      <c r="J425" s="64"/>
      <c r="K425" s="64"/>
      <c r="L425" s="64"/>
      <c r="M425" s="146"/>
      <c r="N425" s="139"/>
      <c r="O425" s="64"/>
      <c r="P425" s="64"/>
      <c r="Q425" s="64"/>
      <c r="R425" s="127"/>
      <c r="V425" s="128" t="str">
        <f t="shared" si="34"/>
        <v>--</v>
      </c>
      <c r="W425" s="128" t="str">
        <f t="shared" si="35"/>
        <v>--</v>
      </c>
      <c r="X425" s="128" t="str">
        <f t="shared" si="36"/>
        <v>--</v>
      </c>
    </row>
    <row r="426" spans="1:24" x14ac:dyDescent="0.25">
      <c r="A426" s="1352"/>
      <c r="B426" s="127" t="s">
        <v>1269</v>
      </c>
      <c r="C426" t="s">
        <v>1664</v>
      </c>
      <c r="D426" s="139"/>
      <c r="E426" s="64"/>
      <c r="F426" s="64"/>
      <c r="G426" s="64"/>
      <c r="H426" s="127"/>
      <c r="I426" s="139"/>
      <c r="J426" s="64"/>
      <c r="K426" s="64"/>
      <c r="L426" s="64"/>
      <c r="M426" s="146"/>
      <c r="N426" s="139"/>
      <c r="O426" s="64"/>
      <c r="P426" s="64"/>
      <c r="Q426" s="64"/>
      <c r="R426" s="127"/>
      <c r="V426" s="128" t="str">
        <f t="shared" si="34"/>
        <v>--</v>
      </c>
      <c r="W426" s="128" t="str">
        <f t="shared" si="35"/>
        <v>--</v>
      </c>
      <c r="X426" s="128" t="str">
        <f t="shared" si="36"/>
        <v>--</v>
      </c>
    </row>
    <row r="427" spans="1:24" x14ac:dyDescent="0.25">
      <c r="A427" s="1352"/>
      <c r="B427" s="127" t="s">
        <v>1276</v>
      </c>
      <c r="C427" t="s">
        <v>1664</v>
      </c>
      <c r="D427" s="139"/>
      <c r="E427" s="64"/>
      <c r="F427" s="64"/>
      <c r="G427" s="64"/>
      <c r="H427" s="127"/>
      <c r="I427" s="139"/>
      <c r="J427" s="64"/>
      <c r="K427" s="64"/>
      <c r="L427" s="64"/>
      <c r="M427" s="146"/>
      <c r="N427" s="139"/>
      <c r="O427" s="64"/>
      <c r="P427" s="64"/>
      <c r="Q427" s="64"/>
      <c r="R427" s="127"/>
      <c r="V427" s="128" t="str">
        <f t="shared" si="34"/>
        <v>--</v>
      </c>
      <c r="W427" s="128" t="str">
        <f t="shared" si="35"/>
        <v>--</v>
      </c>
      <c r="X427" s="128" t="str">
        <f t="shared" si="36"/>
        <v>--</v>
      </c>
    </row>
    <row r="428" spans="1:24" x14ac:dyDescent="0.25">
      <c r="A428" s="1352"/>
      <c r="B428" s="127" t="s">
        <v>1271</v>
      </c>
      <c r="C428" t="s">
        <v>1664</v>
      </c>
      <c r="D428" s="139"/>
      <c r="E428" s="64"/>
      <c r="F428" s="64"/>
      <c r="G428" s="64"/>
      <c r="H428" s="127"/>
      <c r="I428" s="139"/>
      <c r="J428" s="64"/>
      <c r="K428" s="64"/>
      <c r="L428" s="64"/>
      <c r="M428" s="146"/>
      <c r="N428" s="139"/>
      <c r="O428" s="64"/>
      <c r="P428" s="64"/>
      <c r="Q428" s="64"/>
      <c r="R428" s="127"/>
      <c r="V428" s="128" t="str">
        <f t="shared" si="34"/>
        <v>--</v>
      </c>
      <c r="W428" s="128" t="str">
        <f t="shared" si="35"/>
        <v>--</v>
      </c>
      <c r="X428" s="128" t="str">
        <f t="shared" si="36"/>
        <v>--</v>
      </c>
    </row>
    <row r="429" spans="1:24" x14ac:dyDescent="0.25">
      <c r="A429" s="1352"/>
      <c r="B429" s="127" t="s">
        <v>1278</v>
      </c>
      <c r="C429" t="s">
        <v>1664</v>
      </c>
      <c r="D429" s="139"/>
      <c r="E429" s="64"/>
      <c r="F429" s="64"/>
      <c r="G429" s="64"/>
      <c r="H429" s="127"/>
      <c r="I429" s="139"/>
      <c r="J429" s="64"/>
      <c r="K429" s="64"/>
      <c r="L429" s="64"/>
      <c r="M429" s="146"/>
      <c r="N429" s="139"/>
      <c r="O429" s="64"/>
      <c r="P429" s="64"/>
      <c r="Q429" s="64"/>
      <c r="R429" s="127"/>
      <c r="V429" s="128" t="str">
        <f t="shared" si="34"/>
        <v>--</v>
      </c>
      <c r="W429" s="128" t="str">
        <f t="shared" si="35"/>
        <v>--</v>
      </c>
      <c r="X429" s="128" t="str">
        <f t="shared" si="36"/>
        <v>--</v>
      </c>
    </row>
    <row r="430" spans="1:24" x14ac:dyDescent="0.25">
      <c r="A430" s="1352"/>
      <c r="B430" s="127" t="s">
        <v>1283</v>
      </c>
      <c r="C430" t="s">
        <v>1664</v>
      </c>
      <c r="D430" s="139"/>
      <c r="E430" s="64"/>
      <c r="F430" s="64"/>
      <c r="G430" s="64"/>
      <c r="H430" s="127"/>
      <c r="I430" s="139"/>
      <c r="J430" s="64"/>
      <c r="K430" s="64"/>
      <c r="L430" s="64"/>
      <c r="M430" s="146"/>
      <c r="N430" s="139"/>
      <c r="O430" s="64"/>
      <c r="P430" s="64"/>
      <c r="Q430" s="64"/>
      <c r="R430" s="127"/>
      <c r="V430" s="128" t="str">
        <f t="shared" si="34"/>
        <v>--</v>
      </c>
      <c r="W430" s="128" t="str">
        <f t="shared" si="35"/>
        <v>--</v>
      </c>
      <c r="X430" s="128" t="str">
        <f t="shared" si="36"/>
        <v>--</v>
      </c>
    </row>
    <row r="431" spans="1:24" x14ac:dyDescent="0.25">
      <c r="A431" s="1352"/>
      <c r="B431" s="127" t="s">
        <v>1287</v>
      </c>
      <c r="C431" t="s">
        <v>1664</v>
      </c>
      <c r="D431" s="139"/>
      <c r="E431" s="64"/>
      <c r="F431" s="64"/>
      <c r="G431" s="64"/>
      <c r="H431" s="127"/>
      <c r="I431" s="139"/>
      <c r="J431" s="64"/>
      <c r="K431" s="64"/>
      <c r="L431" s="64"/>
      <c r="M431" s="146"/>
      <c r="N431" s="139"/>
      <c r="O431" s="64"/>
      <c r="P431" s="64"/>
      <c r="Q431" s="64"/>
      <c r="R431" s="127"/>
      <c r="V431" s="128" t="str">
        <f t="shared" si="34"/>
        <v>--</v>
      </c>
      <c r="W431" s="128" t="str">
        <f t="shared" si="35"/>
        <v>--</v>
      </c>
      <c r="X431" s="128" t="str">
        <f t="shared" si="36"/>
        <v>--</v>
      </c>
    </row>
    <row r="432" spans="1:24" x14ac:dyDescent="0.25">
      <c r="A432" s="1352"/>
      <c r="B432" s="127" t="s">
        <v>1268</v>
      </c>
      <c r="C432" t="s">
        <v>1664</v>
      </c>
      <c r="D432" s="139"/>
      <c r="E432" s="64"/>
      <c r="F432" s="64"/>
      <c r="G432" s="64"/>
      <c r="H432" s="127"/>
      <c r="I432" s="139"/>
      <c r="J432" s="64"/>
      <c r="K432" s="64"/>
      <c r="L432" s="64"/>
      <c r="M432" s="146"/>
      <c r="N432" s="139"/>
      <c r="O432" s="64"/>
      <c r="P432" s="64"/>
      <c r="Q432" s="64"/>
      <c r="R432" s="127"/>
      <c r="V432" s="128" t="str">
        <f t="shared" si="34"/>
        <v>--</v>
      </c>
      <c r="W432" s="128" t="str">
        <f t="shared" si="35"/>
        <v>--</v>
      </c>
      <c r="X432" s="128" t="str">
        <f t="shared" si="36"/>
        <v>--</v>
      </c>
    </row>
    <row r="433" spans="1:24" x14ac:dyDescent="0.25">
      <c r="A433" s="1352"/>
      <c r="B433" s="127" t="s">
        <v>1273</v>
      </c>
      <c r="C433" t="s">
        <v>1664</v>
      </c>
      <c r="D433" s="139"/>
      <c r="E433" s="64"/>
      <c r="F433" s="64"/>
      <c r="G433" s="64"/>
      <c r="H433" s="127"/>
      <c r="I433" s="139"/>
      <c r="J433" s="64"/>
      <c r="K433" s="64"/>
      <c r="L433" s="64"/>
      <c r="M433" s="146"/>
      <c r="N433" s="139"/>
      <c r="O433" s="64"/>
      <c r="P433" s="64"/>
      <c r="Q433" s="64"/>
      <c r="R433" s="127"/>
      <c r="V433" s="128" t="str">
        <f t="shared" si="34"/>
        <v>--</v>
      </c>
      <c r="W433" s="128" t="str">
        <f t="shared" si="35"/>
        <v>--</v>
      </c>
      <c r="X433" s="128" t="str">
        <f t="shared" si="36"/>
        <v>--</v>
      </c>
    </row>
    <row r="434" spans="1:24" x14ac:dyDescent="0.25">
      <c r="A434" s="1352"/>
      <c r="B434" s="127" t="s">
        <v>1279</v>
      </c>
      <c r="C434" t="s">
        <v>1664</v>
      </c>
      <c r="D434" s="139"/>
      <c r="E434" s="64"/>
      <c r="F434" s="64"/>
      <c r="G434" s="64"/>
      <c r="H434" s="127"/>
      <c r="I434" s="139"/>
      <c r="J434" s="64"/>
      <c r="K434" s="64"/>
      <c r="L434" s="64"/>
      <c r="M434" s="146"/>
      <c r="N434" s="139"/>
      <c r="O434" s="64"/>
      <c r="P434" s="64"/>
      <c r="Q434" s="64"/>
      <c r="R434" s="127"/>
      <c r="V434" s="128" t="str">
        <f t="shared" si="34"/>
        <v>--</v>
      </c>
      <c r="W434" s="128" t="str">
        <f t="shared" si="35"/>
        <v>--</v>
      </c>
      <c r="X434" s="128" t="str">
        <f t="shared" si="36"/>
        <v>--</v>
      </c>
    </row>
    <row r="435" spans="1:24" x14ac:dyDescent="0.25">
      <c r="A435" s="1352"/>
      <c r="B435" s="127" t="s">
        <v>1285</v>
      </c>
      <c r="C435" t="s">
        <v>1664</v>
      </c>
      <c r="D435" s="139"/>
      <c r="E435" s="64"/>
      <c r="F435" s="64"/>
      <c r="G435" s="64"/>
      <c r="H435" s="127"/>
      <c r="I435" s="139"/>
      <c r="J435" s="64"/>
      <c r="K435" s="64"/>
      <c r="L435" s="64"/>
      <c r="M435" s="146"/>
      <c r="N435" s="139"/>
      <c r="O435" s="64"/>
      <c r="P435" s="64"/>
      <c r="Q435" s="64"/>
      <c r="R435" s="127"/>
      <c r="V435" s="128" t="str">
        <f t="shared" si="34"/>
        <v>--</v>
      </c>
      <c r="W435" s="128" t="str">
        <f t="shared" si="35"/>
        <v>--</v>
      </c>
      <c r="X435" s="128" t="str">
        <f t="shared" si="36"/>
        <v>--</v>
      </c>
    </row>
    <row r="436" spans="1:24" x14ac:dyDescent="0.25">
      <c r="A436" s="1352"/>
      <c r="B436" s="127" t="s">
        <v>1260</v>
      </c>
      <c r="C436" t="s">
        <v>1664</v>
      </c>
      <c r="D436" s="139"/>
      <c r="E436" s="64"/>
      <c r="F436" s="64"/>
      <c r="G436" s="64"/>
      <c r="H436" s="127"/>
      <c r="I436" s="139"/>
      <c r="J436" s="64"/>
      <c r="K436" s="64"/>
      <c r="L436" s="64"/>
      <c r="M436" s="146"/>
      <c r="N436" s="139"/>
      <c r="O436" s="64"/>
      <c r="P436" s="64"/>
      <c r="Q436" s="64"/>
      <c r="R436" s="127"/>
      <c r="V436" s="128" t="str">
        <f t="shared" si="34"/>
        <v>--</v>
      </c>
      <c r="W436" s="128" t="str">
        <f t="shared" si="35"/>
        <v>--</v>
      </c>
      <c r="X436" s="128" t="str">
        <f t="shared" si="36"/>
        <v>--</v>
      </c>
    </row>
    <row r="437" spans="1:24" x14ac:dyDescent="0.25">
      <c r="A437" s="1352"/>
      <c r="B437" s="127" t="s">
        <v>1262</v>
      </c>
      <c r="C437" t="s">
        <v>1664</v>
      </c>
      <c r="D437" s="139"/>
      <c r="E437" s="64"/>
      <c r="F437" s="64"/>
      <c r="G437" s="64"/>
      <c r="H437" s="127"/>
      <c r="I437" s="139"/>
      <c r="J437" s="64"/>
      <c r="K437" s="64"/>
      <c r="L437" s="64"/>
      <c r="M437" s="146"/>
      <c r="N437" s="139"/>
      <c r="O437" s="64"/>
      <c r="P437" s="64"/>
      <c r="Q437" s="64"/>
      <c r="R437" s="127"/>
      <c r="V437" s="128" t="str">
        <f t="shared" si="34"/>
        <v>--</v>
      </c>
      <c r="W437" s="128" t="str">
        <f t="shared" si="35"/>
        <v>--</v>
      </c>
      <c r="X437" s="128" t="str">
        <f t="shared" si="36"/>
        <v>--</v>
      </c>
    </row>
    <row r="438" spans="1:24" x14ac:dyDescent="0.25">
      <c r="A438" s="1352"/>
      <c r="B438" s="127" t="s">
        <v>1266</v>
      </c>
      <c r="C438" t="s">
        <v>1664</v>
      </c>
      <c r="D438" s="139"/>
      <c r="E438" s="64"/>
      <c r="F438" s="64"/>
      <c r="G438" s="64"/>
      <c r="H438" s="127"/>
      <c r="I438" s="139"/>
      <c r="J438" s="64"/>
      <c r="K438" s="64"/>
      <c r="L438" s="64"/>
      <c r="M438" s="146"/>
      <c r="N438" s="139"/>
      <c r="O438" s="64"/>
      <c r="P438" s="64"/>
      <c r="Q438" s="64"/>
      <c r="R438" s="127"/>
      <c r="V438" s="128" t="str">
        <f t="shared" si="34"/>
        <v>--</v>
      </c>
      <c r="W438" s="128" t="str">
        <f t="shared" si="35"/>
        <v>--</v>
      </c>
      <c r="X438" s="128" t="str">
        <f t="shared" si="36"/>
        <v>--</v>
      </c>
    </row>
    <row r="439" spans="1:24" x14ac:dyDescent="0.25">
      <c r="A439" s="1352"/>
      <c r="B439" s="127" t="s">
        <v>1272</v>
      </c>
      <c r="C439" t="s">
        <v>1664</v>
      </c>
      <c r="D439" s="139"/>
      <c r="E439" s="64"/>
      <c r="F439" s="64"/>
      <c r="G439" s="64"/>
      <c r="H439" s="127"/>
      <c r="I439" s="139"/>
      <c r="J439" s="64"/>
      <c r="K439" s="64"/>
      <c r="L439" s="64"/>
      <c r="M439" s="146"/>
      <c r="N439" s="139"/>
      <c r="O439" s="64"/>
      <c r="P439" s="64"/>
      <c r="Q439" s="64"/>
      <c r="R439" s="127"/>
      <c r="V439" s="128" t="str">
        <f t="shared" si="34"/>
        <v>--</v>
      </c>
      <c r="W439" s="128" t="str">
        <f t="shared" si="35"/>
        <v>--</v>
      </c>
      <c r="X439" s="128" t="str">
        <f t="shared" si="36"/>
        <v>--</v>
      </c>
    </row>
    <row r="440" spans="1:24" x14ac:dyDescent="0.25">
      <c r="A440" s="1352"/>
      <c r="B440" s="127" t="s">
        <v>1282</v>
      </c>
      <c r="C440" t="s">
        <v>1664</v>
      </c>
      <c r="D440" s="139"/>
      <c r="E440" s="64"/>
      <c r="F440" s="64"/>
      <c r="G440" s="64"/>
      <c r="H440" s="127"/>
      <c r="I440" s="139"/>
      <c r="J440" s="64"/>
      <c r="K440" s="64"/>
      <c r="L440" s="64"/>
      <c r="M440" s="146"/>
      <c r="N440" s="139"/>
      <c r="O440" s="64"/>
      <c r="P440" s="64"/>
      <c r="Q440" s="64"/>
      <c r="R440" s="127"/>
      <c r="V440" s="128" t="str">
        <f t="shared" si="34"/>
        <v>--</v>
      </c>
      <c r="W440" s="128" t="str">
        <f t="shared" si="35"/>
        <v>--</v>
      </c>
      <c r="X440" s="128" t="str">
        <f t="shared" si="36"/>
        <v>--</v>
      </c>
    </row>
    <row r="441" spans="1:24" x14ac:dyDescent="0.25">
      <c r="A441" s="1352"/>
      <c r="B441" s="127" t="s">
        <v>1259</v>
      </c>
      <c r="C441" t="s">
        <v>1664</v>
      </c>
      <c r="D441" s="139"/>
      <c r="E441" s="64"/>
      <c r="F441" s="64"/>
      <c r="G441" s="64"/>
      <c r="H441" s="127"/>
      <c r="I441" s="139"/>
      <c r="J441" s="64"/>
      <c r="K441" s="64"/>
      <c r="L441" s="64"/>
      <c r="M441" s="146"/>
      <c r="N441" s="139"/>
      <c r="O441" s="64"/>
      <c r="P441" s="64"/>
      <c r="Q441" s="64"/>
      <c r="R441" s="127"/>
      <c r="V441" s="128" t="str">
        <f t="shared" si="34"/>
        <v>--</v>
      </c>
      <c r="W441" s="128" t="str">
        <f t="shared" si="35"/>
        <v>--</v>
      </c>
      <c r="X441" s="128" t="str">
        <f t="shared" si="36"/>
        <v>--</v>
      </c>
    </row>
    <row r="442" spans="1:24" x14ac:dyDescent="0.25">
      <c r="A442" s="1352"/>
      <c r="B442" s="127" t="s">
        <v>1288</v>
      </c>
      <c r="C442" t="s">
        <v>1664</v>
      </c>
      <c r="D442" s="139"/>
      <c r="E442" s="64"/>
      <c r="F442" s="64"/>
      <c r="G442" s="64"/>
      <c r="H442" s="127"/>
      <c r="I442" s="139"/>
      <c r="J442" s="64"/>
      <c r="K442" s="64"/>
      <c r="L442" s="64"/>
      <c r="M442" s="146"/>
      <c r="N442" s="139"/>
      <c r="O442" s="64"/>
      <c r="P442" s="64"/>
      <c r="Q442" s="64"/>
      <c r="R442" s="127"/>
      <c r="V442" s="128" t="str">
        <f t="shared" si="34"/>
        <v>--</v>
      </c>
      <c r="W442" s="128" t="str">
        <f t="shared" si="35"/>
        <v>--</v>
      </c>
      <c r="X442" s="128" t="str">
        <f t="shared" si="36"/>
        <v>--</v>
      </c>
    </row>
    <row r="443" spans="1:24" x14ac:dyDescent="0.25">
      <c r="A443" s="1352"/>
      <c r="B443" s="127" t="s">
        <v>1290</v>
      </c>
      <c r="C443" t="s">
        <v>1664</v>
      </c>
      <c r="D443" s="139"/>
      <c r="E443" s="64"/>
      <c r="F443" s="64"/>
      <c r="G443" s="64"/>
      <c r="H443" s="127"/>
      <c r="I443" s="139"/>
      <c r="J443" s="64"/>
      <c r="K443" s="64"/>
      <c r="L443" s="64"/>
      <c r="M443" s="146"/>
      <c r="N443" s="139"/>
      <c r="O443" s="64"/>
      <c r="P443" s="64"/>
      <c r="Q443" s="64"/>
      <c r="R443" s="127"/>
      <c r="V443" s="128" t="str">
        <f t="shared" si="34"/>
        <v>--</v>
      </c>
      <c r="W443" s="128" t="str">
        <f t="shared" si="35"/>
        <v>--</v>
      </c>
      <c r="X443" s="128" t="str">
        <f t="shared" si="36"/>
        <v>--</v>
      </c>
    </row>
    <row r="444" spans="1:24" x14ac:dyDescent="0.25">
      <c r="A444" s="1352"/>
      <c r="B444" s="127" t="s">
        <v>1275</v>
      </c>
      <c r="C444" t="s">
        <v>1664</v>
      </c>
      <c r="D444" s="139"/>
      <c r="E444" s="64"/>
      <c r="F444" s="64"/>
      <c r="G444" s="64"/>
      <c r="H444" s="127"/>
      <c r="I444" s="139"/>
      <c r="J444" s="64"/>
      <c r="K444" s="64"/>
      <c r="L444" s="64"/>
      <c r="M444" s="146"/>
      <c r="N444" s="139"/>
      <c r="O444" s="64"/>
      <c r="P444" s="64"/>
      <c r="Q444" s="64"/>
      <c r="R444" s="127"/>
      <c r="V444" s="128" t="str">
        <f t="shared" si="34"/>
        <v>--</v>
      </c>
      <c r="W444" s="128" t="str">
        <f t="shared" si="35"/>
        <v>--</v>
      </c>
      <c r="X444" s="128" t="str">
        <f t="shared" si="36"/>
        <v>--</v>
      </c>
    </row>
    <row r="445" spans="1:24" x14ac:dyDescent="0.25">
      <c r="A445" s="1352"/>
      <c r="B445" s="127" t="s">
        <v>1281</v>
      </c>
      <c r="C445" t="s">
        <v>1664</v>
      </c>
      <c r="D445" s="139"/>
      <c r="E445" s="64"/>
      <c r="F445" s="64"/>
      <c r="G445" s="64"/>
      <c r="H445" s="127"/>
      <c r="I445" s="139"/>
      <c r="J445" s="64"/>
      <c r="K445" s="64"/>
      <c r="L445" s="64"/>
      <c r="M445" s="146"/>
      <c r="N445" s="139"/>
      <c r="O445" s="64"/>
      <c r="P445" s="64"/>
      <c r="Q445" s="64"/>
      <c r="R445" s="127"/>
      <c r="V445" s="128" t="str">
        <f t="shared" si="34"/>
        <v>--</v>
      </c>
      <c r="W445" s="128" t="str">
        <f t="shared" si="35"/>
        <v>--</v>
      </c>
      <c r="X445" s="128" t="str">
        <f t="shared" si="36"/>
        <v>--</v>
      </c>
    </row>
    <row r="446" spans="1:24" x14ac:dyDescent="0.25">
      <c r="A446" s="1352"/>
      <c r="B446" s="127" t="s">
        <v>1286</v>
      </c>
      <c r="C446" t="s">
        <v>1664</v>
      </c>
      <c r="D446" s="139"/>
      <c r="E446" s="64"/>
      <c r="F446" s="64"/>
      <c r="G446" s="64"/>
      <c r="H446" s="127"/>
      <c r="I446" s="139"/>
      <c r="J446" s="64"/>
      <c r="K446" s="64"/>
      <c r="L446" s="64"/>
      <c r="M446" s="146"/>
      <c r="N446" s="139"/>
      <c r="O446" s="64"/>
      <c r="P446" s="64"/>
      <c r="Q446" s="64"/>
      <c r="R446" s="127"/>
      <c r="V446" s="128" t="str">
        <f t="shared" si="34"/>
        <v>--</v>
      </c>
      <c r="W446" s="128" t="str">
        <f t="shared" si="35"/>
        <v>--</v>
      </c>
      <c r="X446" s="128" t="str">
        <f t="shared" si="36"/>
        <v>--</v>
      </c>
    </row>
    <row r="447" spans="1:24" x14ac:dyDescent="0.25">
      <c r="A447" s="1352"/>
      <c r="B447" s="127" t="s">
        <v>1289</v>
      </c>
      <c r="C447" t="s">
        <v>1664</v>
      </c>
      <c r="D447" s="139"/>
      <c r="E447" s="64"/>
      <c r="F447" s="64"/>
      <c r="G447" s="64"/>
      <c r="H447" s="127"/>
      <c r="I447" s="139"/>
      <c r="J447" s="64"/>
      <c r="K447" s="64"/>
      <c r="L447" s="64"/>
      <c r="M447" s="146"/>
      <c r="N447" s="139"/>
      <c r="O447" s="64"/>
      <c r="P447" s="64"/>
      <c r="Q447" s="64"/>
      <c r="R447" s="127"/>
      <c r="V447" s="128" t="str">
        <f t="shared" si="34"/>
        <v>--</v>
      </c>
      <c r="W447" s="128" t="str">
        <f t="shared" si="35"/>
        <v>--</v>
      </c>
      <c r="X447" s="128" t="str">
        <f t="shared" si="36"/>
        <v>--</v>
      </c>
    </row>
    <row r="448" spans="1:24" x14ac:dyDescent="0.25">
      <c r="A448" s="1352"/>
      <c r="B448" s="127" t="s">
        <v>1263</v>
      </c>
      <c r="C448" t="s">
        <v>1664</v>
      </c>
      <c r="D448" s="139"/>
      <c r="E448" s="64"/>
      <c r="F448" s="64"/>
      <c r="G448" s="64"/>
      <c r="H448" s="127"/>
      <c r="I448" s="139"/>
      <c r="J448" s="64"/>
      <c r="K448" s="64"/>
      <c r="L448" s="64"/>
      <c r="M448" s="146"/>
      <c r="N448" s="139"/>
      <c r="O448" s="64"/>
      <c r="P448" s="64"/>
      <c r="Q448" s="64"/>
      <c r="R448" s="127"/>
      <c r="V448" s="128" t="str">
        <f t="shared" si="34"/>
        <v>--</v>
      </c>
      <c r="W448" s="128" t="str">
        <f t="shared" si="35"/>
        <v>--</v>
      </c>
      <c r="X448" s="128" t="str">
        <f t="shared" si="36"/>
        <v>--</v>
      </c>
    </row>
    <row r="449" spans="1:24" x14ac:dyDescent="0.25">
      <c r="A449" s="1352"/>
      <c r="B449" s="127" t="s">
        <v>1267</v>
      </c>
      <c r="C449" t="s">
        <v>1664</v>
      </c>
      <c r="D449" s="139"/>
      <c r="E449" s="64"/>
      <c r="F449" s="64"/>
      <c r="G449" s="64"/>
      <c r="H449" s="127"/>
      <c r="I449" s="139"/>
      <c r="J449" s="64"/>
      <c r="K449" s="64"/>
      <c r="L449" s="64"/>
      <c r="M449" s="146"/>
      <c r="N449" s="139"/>
      <c r="O449" s="64"/>
      <c r="P449" s="64"/>
      <c r="Q449" s="64"/>
      <c r="R449" s="127"/>
      <c r="V449" s="128" t="str">
        <f t="shared" si="34"/>
        <v>--</v>
      </c>
      <c r="W449" s="128" t="str">
        <f t="shared" si="35"/>
        <v>--</v>
      </c>
      <c r="X449" s="128" t="str">
        <f t="shared" si="36"/>
        <v>--</v>
      </c>
    </row>
    <row r="450" spans="1:24" x14ac:dyDescent="0.25">
      <c r="A450" s="1352"/>
      <c r="B450" s="127" t="s">
        <v>1274</v>
      </c>
      <c r="C450" t="s">
        <v>1664</v>
      </c>
      <c r="D450" s="139"/>
      <c r="E450" s="64"/>
      <c r="F450" s="64"/>
      <c r="G450" s="64"/>
      <c r="H450" s="127"/>
      <c r="I450" s="139"/>
      <c r="J450" s="64"/>
      <c r="K450" s="64"/>
      <c r="L450" s="64"/>
      <c r="M450" s="146"/>
      <c r="N450" s="139"/>
      <c r="O450" s="64"/>
      <c r="P450" s="64"/>
      <c r="Q450" s="64"/>
      <c r="R450" s="127"/>
      <c r="V450" s="128" t="str">
        <f t="shared" si="34"/>
        <v>--</v>
      </c>
      <c r="W450" s="128" t="str">
        <f t="shared" si="35"/>
        <v>--</v>
      </c>
      <c r="X450" s="128" t="str">
        <f t="shared" si="36"/>
        <v>--</v>
      </c>
    </row>
    <row r="451" spans="1:24" ht="15.75" thickBot="1" x14ac:dyDescent="0.3">
      <c r="A451" s="1359"/>
      <c r="B451" s="138" t="s">
        <v>1280</v>
      </c>
      <c r="C451" t="s">
        <v>1664</v>
      </c>
      <c r="D451" s="142"/>
      <c r="E451" s="136"/>
      <c r="F451" s="136"/>
      <c r="G451" s="136"/>
      <c r="H451" s="138"/>
      <c r="I451" s="142"/>
      <c r="J451" s="136"/>
      <c r="K451" s="136"/>
      <c r="L451" s="136"/>
      <c r="M451" s="148"/>
      <c r="N451" s="142"/>
      <c r="O451" s="136"/>
      <c r="P451" s="136"/>
      <c r="Q451" s="136"/>
      <c r="R451" s="138"/>
      <c r="V451" s="128" t="str">
        <f t="shared" si="34"/>
        <v>--</v>
      </c>
      <c r="W451" s="128" t="str">
        <f t="shared" si="35"/>
        <v>--</v>
      </c>
      <c r="X451" s="128" t="str">
        <f t="shared" si="36"/>
        <v>--</v>
      </c>
    </row>
    <row r="452" spans="1:24" ht="14.45" customHeight="1" x14ac:dyDescent="0.25">
      <c r="A452" s="1351" t="s">
        <v>37</v>
      </c>
      <c r="B452" s="139" t="s">
        <v>1196</v>
      </c>
      <c r="C452" t="s">
        <v>1665</v>
      </c>
      <c r="D452" s="143">
        <v>1</v>
      </c>
      <c r="E452" s="141" t="s">
        <v>1422</v>
      </c>
      <c r="F452" s="141">
        <v>5472</v>
      </c>
      <c r="G452" s="141">
        <v>18</v>
      </c>
      <c r="H452" s="126" t="s">
        <v>580</v>
      </c>
      <c r="I452" s="143">
        <v>1</v>
      </c>
      <c r="J452" s="141" t="s">
        <v>1437</v>
      </c>
      <c r="K452" s="141">
        <v>3780</v>
      </c>
      <c r="L452" s="141">
        <v>12</v>
      </c>
      <c r="M452" s="145" t="s">
        <v>1690</v>
      </c>
      <c r="N452" s="141">
        <v>1</v>
      </c>
      <c r="O452" s="141" t="s">
        <v>1384</v>
      </c>
      <c r="P452" s="141">
        <v>4800</v>
      </c>
      <c r="Q452" s="141">
        <v>8</v>
      </c>
      <c r="R452" s="126" t="s">
        <v>1385</v>
      </c>
      <c r="V452" s="795" t="str">
        <f t="shared" si="34"/>
        <v>NOOO</v>
      </c>
      <c r="W452" s="795" t="str">
        <f t="shared" si="35"/>
        <v>NOOO</v>
      </c>
      <c r="X452" s="128" t="str">
        <f t="shared" si="36"/>
        <v>yes</v>
      </c>
    </row>
    <row r="453" spans="1:24" ht="14.45" customHeight="1" x14ac:dyDescent="0.25">
      <c r="A453" s="1352"/>
      <c r="B453" s="139" t="s">
        <v>1195</v>
      </c>
      <c r="C453" t="s">
        <v>1665</v>
      </c>
      <c r="D453" s="139">
        <v>2</v>
      </c>
      <c r="E453" s="64" t="s">
        <v>1433</v>
      </c>
      <c r="F453" s="64">
        <v>4320</v>
      </c>
      <c r="G453" s="64">
        <v>18</v>
      </c>
      <c r="H453" s="127" t="s">
        <v>580</v>
      </c>
      <c r="I453" s="139">
        <v>2</v>
      </c>
      <c r="J453" s="64" t="s">
        <v>1427</v>
      </c>
      <c r="K453" s="64">
        <v>3780</v>
      </c>
      <c r="L453" s="64">
        <v>12</v>
      </c>
      <c r="M453" s="146" t="s">
        <v>1690</v>
      </c>
      <c r="N453" s="64">
        <v>2</v>
      </c>
      <c r="O453" s="64" t="s">
        <v>1383</v>
      </c>
      <c r="P453" s="64">
        <v>2400</v>
      </c>
      <c r="Q453" s="64">
        <v>4</v>
      </c>
      <c r="R453" s="127" t="s">
        <v>1385</v>
      </c>
      <c r="V453" s="795" t="str">
        <f t="shared" si="34"/>
        <v>NOOO</v>
      </c>
      <c r="W453" s="795" t="str">
        <f t="shared" si="35"/>
        <v>NOOO</v>
      </c>
      <c r="X453" s="128" t="str">
        <f t="shared" si="36"/>
        <v>yes</v>
      </c>
    </row>
    <row r="454" spans="1:24" ht="14.45" customHeight="1" x14ac:dyDescent="0.25">
      <c r="A454" s="1352"/>
      <c r="B454" s="139"/>
      <c r="C454" t="s">
        <v>1665</v>
      </c>
      <c r="D454" s="139">
        <v>3</v>
      </c>
      <c r="E454" s="64" t="s">
        <v>1421</v>
      </c>
      <c r="F454" s="64">
        <v>1216</v>
      </c>
      <c r="G454" s="64">
        <v>4</v>
      </c>
      <c r="H454" s="127" t="s">
        <v>580</v>
      </c>
      <c r="I454" s="139">
        <v>3</v>
      </c>
      <c r="J454" s="64" t="s">
        <v>1440</v>
      </c>
      <c r="K454" s="64">
        <v>2520</v>
      </c>
      <c r="L454" s="64">
        <v>8</v>
      </c>
      <c r="M454" s="127" t="s">
        <v>1690</v>
      </c>
      <c r="N454" s="64">
        <v>3</v>
      </c>
      <c r="O454" s="64"/>
      <c r="P454" s="64"/>
      <c r="Q454" s="64"/>
      <c r="R454" s="127"/>
      <c r="V454" s="128" t="str">
        <f t="shared" si="34"/>
        <v>yes</v>
      </c>
      <c r="W454" s="128" t="str">
        <f t="shared" si="35"/>
        <v>yes</v>
      </c>
      <c r="X454" s="128" t="str">
        <f t="shared" si="36"/>
        <v>--</v>
      </c>
    </row>
    <row r="455" spans="1:24" ht="14.45" customHeight="1" x14ac:dyDescent="0.25">
      <c r="A455" s="1352"/>
      <c r="B455" s="139"/>
      <c r="C455" t="s">
        <v>1665</v>
      </c>
      <c r="D455" s="139">
        <v>4</v>
      </c>
      <c r="E455" s="64" t="s">
        <v>1432</v>
      </c>
      <c r="F455" s="64">
        <v>960</v>
      </c>
      <c r="G455" s="64">
        <v>4</v>
      </c>
      <c r="H455" s="127" t="s">
        <v>580</v>
      </c>
      <c r="I455" s="139">
        <v>4</v>
      </c>
      <c r="J455" s="64" t="s">
        <v>1429</v>
      </c>
      <c r="K455" s="64">
        <v>2520</v>
      </c>
      <c r="L455" s="64">
        <v>8</v>
      </c>
      <c r="M455" s="127" t="s">
        <v>1690</v>
      </c>
      <c r="N455" s="64">
        <v>4</v>
      </c>
      <c r="O455" s="64"/>
      <c r="P455" s="64"/>
      <c r="Q455" s="64"/>
      <c r="R455" s="127"/>
      <c r="V455" s="128" t="str">
        <f t="shared" si="34"/>
        <v>yes</v>
      </c>
      <c r="W455" s="128" t="str">
        <f t="shared" si="35"/>
        <v>yes</v>
      </c>
      <c r="X455" s="128" t="str">
        <f t="shared" si="36"/>
        <v>--</v>
      </c>
    </row>
    <row r="456" spans="1:24" ht="14.45" customHeight="1" x14ac:dyDescent="0.25">
      <c r="A456" s="1352"/>
      <c r="B456" s="139"/>
      <c r="C456" t="s">
        <v>1665</v>
      </c>
      <c r="D456" s="139"/>
      <c r="E456" s="64"/>
      <c r="F456" s="64"/>
      <c r="G456" s="64"/>
      <c r="H456" s="127"/>
      <c r="I456" s="139">
        <v>5</v>
      </c>
      <c r="J456" s="64" t="s">
        <v>1423</v>
      </c>
      <c r="K456" s="64">
        <v>1260</v>
      </c>
      <c r="L456" s="64">
        <v>4</v>
      </c>
      <c r="M456" s="127" t="s">
        <v>1690</v>
      </c>
      <c r="N456" s="64">
        <v>5</v>
      </c>
      <c r="O456" s="64"/>
      <c r="P456" s="64"/>
      <c r="Q456" s="64"/>
      <c r="R456" s="127"/>
      <c r="V456" s="128" t="str">
        <f t="shared" si="34"/>
        <v>--</v>
      </c>
      <c r="W456" s="128" t="str">
        <f t="shared" si="35"/>
        <v>yes</v>
      </c>
      <c r="X456" s="128" t="str">
        <f t="shared" si="36"/>
        <v>--</v>
      </c>
    </row>
    <row r="457" spans="1:24" ht="14.45" customHeight="1" x14ac:dyDescent="0.25">
      <c r="A457" s="1352"/>
      <c r="B457" s="139"/>
      <c r="C457" t="s">
        <v>1665</v>
      </c>
      <c r="D457" s="139"/>
      <c r="E457" s="64"/>
      <c r="F457" s="64"/>
      <c r="G457" s="64"/>
      <c r="H457" s="127"/>
      <c r="I457" s="139">
        <v>6</v>
      </c>
      <c r="J457" s="64" t="s">
        <v>1434</v>
      </c>
      <c r="K457" s="64">
        <v>1260</v>
      </c>
      <c r="L457" s="64">
        <v>4</v>
      </c>
      <c r="M457" s="127" t="s">
        <v>1690</v>
      </c>
      <c r="N457" s="64">
        <v>6</v>
      </c>
      <c r="O457" s="64"/>
      <c r="P457" s="64"/>
      <c r="Q457" s="64"/>
      <c r="R457" s="127"/>
      <c r="V457" s="128" t="str">
        <f t="shared" si="34"/>
        <v>--</v>
      </c>
      <c r="W457" s="128" t="str">
        <f t="shared" si="35"/>
        <v>yes</v>
      </c>
      <c r="X457" s="128" t="str">
        <f t="shared" si="36"/>
        <v>--</v>
      </c>
    </row>
    <row r="458" spans="1:24" ht="14.45" customHeight="1" x14ac:dyDescent="0.25">
      <c r="A458" s="1352"/>
      <c r="B458" s="139"/>
      <c r="C458" t="s">
        <v>1665</v>
      </c>
      <c r="D458" s="139"/>
      <c r="E458" s="64"/>
      <c r="F458" s="64"/>
      <c r="G458" s="64"/>
      <c r="H458" s="127"/>
      <c r="I458" s="139"/>
      <c r="J458" s="64"/>
      <c r="K458" s="64"/>
      <c r="L458" s="64"/>
      <c r="M458" s="127"/>
      <c r="N458" s="64"/>
      <c r="O458" s="64"/>
      <c r="P458" s="64"/>
      <c r="Q458" s="64"/>
      <c r="R458" s="127"/>
      <c r="V458" s="128" t="str">
        <f t="shared" si="34"/>
        <v>--</v>
      </c>
      <c r="W458" s="128" t="str">
        <f t="shared" si="35"/>
        <v>--</v>
      </c>
      <c r="X458" s="128" t="str">
        <f t="shared" si="36"/>
        <v>--</v>
      </c>
    </row>
    <row r="459" spans="1:24" ht="14.45" customHeight="1" x14ac:dyDescent="0.25">
      <c r="A459" s="1352"/>
      <c r="B459" s="131"/>
      <c r="C459" t="s">
        <v>1665</v>
      </c>
      <c r="D459" s="131"/>
      <c r="E459" s="132"/>
      <c r="F459" s="132"/>
      <c r="G459" s="132"/>
      <c r="H459" s="134"/>
      <c r="I459" s="131"/>
      <c r="J459" s="132"/>
      <c r="K459" s="132"/>
      <c r="L459" s="132"/>
      <c r="M459" s="134"/>
      <c r="N459" s="132"/>
      <c r="O459" s="132"/>
      <c r="P459" s="132"/>
      <c r="Q459" s="132"/>
      <c r="R459" s="134"/>
      <c r="V459" s="128" t="str">
        <f t="shared" si="34"/>
        <v>--</v>
      </c>
      <c r="W459" s="128" t="str">
        <f t="shared" si="35"/>
        <v>--</v>
      </c>
      <c r="X459" s="128" t="str">
        <f t="shared" si="36"/>
        <v>--</v>
      </c>
    </row>
    <row r="460" spans="1:24" x14ac:dyDescent="0.25">
      <c r="A460" s="1352"/>
      <c r="B460" s="139" t="s">
        <v>1198</v>
      </c>
      <c r="C460" t="s">
        <v>1666</v>
      </c>
      <c r="D460" s="139">
        <v>1</v>
      </c>
      <c r="E460" s="64" t="s">
        <v>1424</v>
      </c>
      <c r="F460" s="64">
        <v>4864</v>
      </c>
      <c r="G460" s="64">
        <v>16</v>
      </c>
      <c r="H460" s="127" t="s">
        <v>580</v>
      </c>
      <c r="I460" s="139">
        <v>1</v>
      </c>
      <c r="J460" s="64" t="s">
        <v>1437</v>
      </c>
      <c r="K460" s="64">
        <v>3780</v>
      </c>
      <c r="L460" s="64">
        <v>12</v>
      </c>
      <c r="M460" s="146" t="s">
        <v>1690</v>
      </c>
      <c r="N460" s="64">
        <v>1</v>
      </c>
      <c r="O460" s="64" t="s">
        <v>1384</v>
      </c>
      <c r="P460" s="64">
        <v>4800</v>
      </c>
      <c r="Q460" s="64">
        <v>8</v>
      </c>
      <c r="R460" s="127" t="s">
        <v>1385</v>
      </c>
      <c r="V460" s="795" t="str">
        <f t="shared" si="34"/>
        <v>NOOO</v>
      </c>
      <c r="W460" s="795" t="str">
        <f t="shared" si="35"/>
        <v>NOOO</v>
      </c>
      <c r="X460" s="128" t="str">
        <f t="shared" si="36"/>
        <v>yes</v>
      </c>
    </row>
    <row r="461" spans="1:24" x14ac:dyDescent="0.25">
      <c r="A461" s="1352"/>
      <c r="B461" s="139" t="s">
        <v>1197</v>
      </c>
      <c r="C461" t="s">
        <v>1666</v>
      </c>
      <c r="D461" s="139">
        <v>2</v>
      </c>
      <c r="E461" s="64" t="s">
        <v>1435</v>
      </c>
      <c r="F461" s="64">
        <v>3840</v>
      </c>
      <c r="G461" s="64">
        <v>16</v>
      </c>
      <c r="H461" s="127" t="s">
        <v>580</v>
      </c>
      <c r="I461" s="139">
        <v>2</v>
      </c>
      <c r="J461" s="64" t="s">
        <v>1427</v>
      </c>
      <c r="K461" s="64">
        <v>3780</v>
      </c>
      <c r="L461" s="64">
        <v>12</v>
      </c>
      <c r="M461" s="146" t="s">
        <v>1690</v>
      </c>
      <c r="N461" s="64">
        <v>2</v>
      </c>
      <c r="O461" s="64" t="s">
        <v>1383</v>
      </c>
      <c r="P461" s="64">
        <v>2400</v>
      </c>
      <c r="Q461" s="64">
        <v>4</v>
      </c>
      <c r="R461" s="127" t="s">
        <v>1385</v>
      </c>
      <c r="V461" s="795" t="str">
        <f t="shared" si="34"/>
        <v>NOOO</v>
      </c>
      <c r="W461" s="795" t="str">
        <f t="shared" si="35"/>
        <v>NOOO</v>
      </c>
      <c r="X461" s="128" t="str">
        <f t="shared" si="36"/>
        <v>yes</v>
      </c>
    </row>
    <row r="462" spans="1:24" x14ac:dyDescent="0.25">
      <c r="A462" s="1352"/>
      <c r="B462" s="139"/>
      <c r="C462" t="s">
        <v>1666</v>
      </c>
      <c r="D462" s="139">
        <v>3</v>
      </c>
      <c r="E462" s="64" t="s">
        <v>1421</v>
      </c>
      <c r="F462" s="64">
        <v>1216</v>
      </c>
      <c r="G462" s="64">
        <v>4</v>
      </c>
      <c r="H462" s="127" t="s">
        <v>580</v>
      </c>
      <c r="I462" s="139">
        <v>3</v>
      </c>
      <c r="J462" s="64" t="s">
        <v>1440</v>
      </c>
      <c r="K462" s="64">
        <v>2520</v>
      </c>
      <c r="L462" s="64">
        <v>8</v>
      </c>
      <c r="M462" s="127" t="s">
        <v>1690</v>
      </c>
      <c r="N462" s="64">
        <v>3</v>
      </c>
      <c r="O462" s="64"/>
      <c r="P462" s="64"/>
      <c r="Q462" s="64"/>
      <c r="R462" s="127"/>
      <c r="V462" s="128" t="str">
        <f t="shared" si="34"/>
        <v>yes</v>
      </c>
      <c r="W462" s="128" t="str">
        <f t="shared" si="35"/>
        <v>yes</v>
      </c>
      <c r="X462" s="128" t="str">
        <f t="shared" si="36"/>
        <v>--</v>
      </c>
    </row>
    <row r="463" spans="1:24" x14ac:dyDescent="0.25">
      <c r="A463" s="1352"/>
      <c r="B463" s="139"/>
      <c r="C463" t="s">
        <v>1666</v>
      </c>
      <c r="D463" s="139">
        <v>4</v>
      </c>
      <c r="E463" s="64" t="s">
        <v>1432</v>
      </c>
      <c r="F463" s="64">
        <v>960</v>
      </c>
      <c r="G463" s="64">
        <v>4</v>
      </c>
      <c r="H463" s="127" t="s">
        <v>580</v>
      </c>
      <c r="I463" s="139">
        <v>4</v>
      </c>
      <c r="J463" s="64" t="s">
        <v>1429</v>
      </c>
      <c r="K463" s="64">
        <v>2520</v>
      </c>
      <c r="L463" s="64">
        <v>8</v>
      </c>
      <c r="M463" s="127" t="s">
        <v>1690</v>
      </c>
      <c r="N463" s="64">
        <v>4</v>
      </c>
      <c r="O463" s="64"/>
      <c r="P463" s="64"/>
      <c r="Q463" s="64"/>
      <c r="R463" s="127"/>
      <c r="V463" s="128" t="str">
        <f t="shared" si="34"/>
        <v>yes</v>
      </c>
      <c r="W463" s="128" t="str">
        <f t="shared" si="35"/>
        <v>yes</v>
      </c>
      <c r="X463" s="128" t="str">
        <f t="shared" si="36"/>
        <v>--</v>
      </c>
    </row>
    <row r="464" spans="1:24" x14ac:dyDescent="0.25">
      <c r="A464" s="1352"/>
      <c r="B464" s="139"/>
      <c r="C464" t="s">
        <v>1666</v>
      </c>
      <c r="D464" s="139"/>
      <c r="E464" s="64"/>
      <c r="F464" s="64"/>
      <c r="G464" s="64"/>
      <c r="H464" s="127"/>
      <c r="I464" s="139">
        <v>5</v>
      </c>
      <c r="J464" s="64" t="s">
        <v>1423</v>
      </c>
      <c r="K464" s="64">
        <v>1260</v>
      </c>
      <c r="L464" s="64">
        <v>4</v>
      </c>
      <c r="M464" s="127" t="s">
        <v>1690</v>
      </c>
      <c r="N464" s="64">
        <v>5</v>
      </c>
      <c r="O464" s="64"/>
      <c r="P464" s="64"/>
      <c r="Q464" s="64"/>
      <c r="R464" s="127"/>
      <c r="V464" s="128" t="str">
        <f t="shared" si="34"/>
        <v>--</v>
      </c>
      <c r="W464" s="128" t="str">
        <f t="shared" si="35"/>
        <v>yes</v>
      </c>
      <c r="X464" s="128" t="str">
        <f t="shared" si="36"/>
        <v>--</v>
      </c>
    </row>
    <row r="465" spans="1:24" x14ac:dyDescent="0.25">
      <c r="A465" s="1352"/>
      <c r="B465" s="139"/>
      <c r="C465" t="s">
        <v>1666</v>
      </c>
      <c r="D465" s="139"/>
      <c r="E465" s="64"/>
      <c r="F465" s="64"/>
      <c r="G465" s="64"/>
      <c r="H465" s="127"/>
      <c r="I465" s="139">
        <v>6</v>
      </c>
      <c r="J465" s="64" t="s">
        <v>1434</v>
      </c>
      <c r="K465" s="64">
        <v>1260</v>
      </c>
      <c r="L465" s="64">
        <v>4</v>
      </c>
      <c r="M465" s="127" t="s">
        <v>1690</v>
      </c>
      <c r="N465" s="64">
        <v>6</v>
      </c>
      <c r="O465" s="64"/>
      <c r="P465" s="64"/>
      <c r="Q465" s="64"/>
      <c r="R465" s="127"/>
      <c r="V465" s="128" t="str">
        <f t="shared" si="34"/>
        <v>--</v>
      </c>
      <c r="W465" s="128" t="str">
        <f t="shared" si="35"/>
        <v>yes</v>
      </c>
      <c r="X465" s="128" t="str">
        <f t="shared" si="36"/>
        <v>--</v>
      </c>
    </row>
    <row r="466" spans="1:24" x14ac:dyDescent="0.25">
      <c r="A466" s="1352"/>
      <c r="B466" s="139"/>
      <c r="C466" t="s">
        <v>1666</v>
      </c>
      <c r="D466" s="139"/>
      <c r="E466" s="64"/>
      <c r="F466" s="64"/>
      <c r="G466" s="64"/>
      <c r="H466" s="127"/>
      <c r="I466" s="139"/>
      <c r="J466" s="64"/>
      <c r="K466" s="64"/>
      <c r="L466" s="64"/>
      <c r="M466" s="127"/>
      <c r="N466" s="64"/>
      <c r="O466" s="64"/>
      <c r="P466" s="64"/>
      <c r="Q466" s="64"/>
      <c r="R466" s="127"/>
      <c r="V466" s="128" t="str">
        <f t="shared" si="34"/>
        <v>--</v>
      </c>
      <c r="W466" s="128" t="str">
        <f t="shared" si="35"/>
        <v>--</v>
      </c>
      <c r="X466" s="128" t="str">
        <f t="shared" si="36"/>
        <v>--</v>
      </c>
    </row>
    <row r="467" spans="1:24" x14ac:dyDescent="0.25">
      <c r="A467" s="1352"/>
      <c r="B467" s="131"/>
      <c r="C467" t="s">
        <v>1666</v>
      </c>
      <c r="D467" s="131"/>
      <c r="E467" s="132"/>
      <c r="F467" s="132"/>
      <c r="G467" s="132"/>
      <c r="H467" s="134"/>
      <c r="I467" s="131"/>
      <c r="J467" s="132"/>
      <c r="K467" s="132"/>
      <c r="L467" s="132"/>
      <c r="M467" s="134"/>
      <c r="N467" s="132"/>
      <c r="O467" s="132"/>
      <c r="P467" s="132"/>
      <c r="Q467" s="132"/>
      <c r="R467" s="134"/>
      <c r="V467" s="128" t="str">
        <f t="shared" ref="V467:V526" si="37">IFERROR(IF((LEFT(RIGHT(E467,2),1)+RIGHT(LEFT(E467,2),1)+G467)/3=G467,"yes","NOOO"),"--")</f>
        <v>--</v>
      </c>
      <c r="W467" s="128" t="str">
        <f t="shared" ref="W467:W526" si="38">IFERROR(IF((LEFT(RIGHT(J467,2),1)+RIGHT(LEFT(J467,2),1)+L467)/3=L467,"yes","NOOO"),"--")</f>
        <v>--</v>
      </c>
      <c r="X467" s="128" t="str">
        <f t="shared" ref="X467:X526" si="39">IFERROR(IF((LEFT(RIGHT(O467,2),1)+RIGHT(LEFT(O467,2),1)+Q467)/3=Q467,"yes","NOOO"),"--")</f>
        <v>--</v>
      </c>
    </row>
    <row r="468" spans="1:24" x14ac:dyDescent="0.25">
      <c r="A468" s="1352"/>
      <c r="B468" s="139" t="s">
        <v>1203</v>
      </c>
      <c r="C468" t="s">
        <v>1667</v>
      </c>
      <c r="D468" s="139">
        <v>1</v>
      </c>
      <c r="E468" s="64" t="s">
        <v>1425</v>
      </c>
      <c r="F468" s="64">
        <v>4256</v>
      </c>
      <c r="G468" s="64">
        <v>14</v>
      </c>
      <c r="H468" s="127" t="s">
        <v>580</v>
      </c>
      <c r="I468" s="139">
        <v>1</v>
      </c>
      <c r="J468" s="64" t="s">
        <v>1440</v>
      </c>
      <c r="K468" s="64">
        <v>2520</v>
      </c>
      <c r="L468" s="64">
        <v>8</v>
      </c>
      <c r="M468" s="127" t="s">
        <v>1690</v>
      </c>
      <c r="N468" s="64">
        <v>1</v>
      </c>
      <c r="O468" s="64" t="s">
        <v>1384</v>
      </c>
      <c r="P468" s="64">
        <v>4800</v>
      </c>
      <c r="Q468" s="64">
        <v>8</v>
      </c>
      <c r="R468" s="127" t="s">
        <v>1385</v>
      </c>
      <c r="V468" s="795" t="str">
        <f t="shared" si="37"/>
        <v>NOOO</v>
      </c>
      <c r="W468" s="128" t="str">
        <f t="shared" si="38"/>
        <v>yes</v>
      </c>
      <c r="X468" s="128" t="str">
        <f t="shared" si="39"/>
        <v>yes</v>
      </c>
    </row>
    <row r="469" spans="1:24" x14ac:dyDescent="0.25">
      <c r="A469" s="1352"/>
      <c r="B469" s="139" t="s">
        <v>1201</v>
      </c>
      <c r="C469" t="s">
        <v>1667</v>
      </c>
      <c r="D469" s="139">
        <v>2</v>
      </c>
      <c r="E469" s="64" t="s">
        <v>1436</v>
      </c>
      <c r="F469" s="64">
        <v>3360</v>
      </c>
      <c r="G469" s="64">
        <v>14</v>
      </c>
      <c r="H469" s="127" t="s">
        <v>580</v>
      </c>
      <c r="I469" s="139">
        <v>2</v>
      </c>
      <c r="J469" s="64" t="s">
        <v>1429</v>
      </c>
      <c r="K469" s="64">
        <v>2520</v>
      </c>
      <c r="L469" s="64">
        <v>8</v>
      </c>
      <c r="M469" s="127" t="s">
        <v>1690</v>
      </c>
      <c r="N469" s="64">
        <v>2</v>
      </c>
      <c r="O469" s="64" t="s">
        <v>1383</v>
      </c>
      <c r="P469" s="64">
        <v>2400</v>
      </c>
      <c r="Q469" s="64">
        <v>4</v>
      </c>
      <c r="R469" s="127" t="s">
        <v>1385</v>
      </c>
      <c r="V469" s="795" t="str">
        <f t="shared" si="37"/>
        <v>NOOO</v>
      </c>
      <c r="W469" s="128" t="str">
        <f t="shared" si="38"/>
        <v>yes</v>
      </c>
      <c r="X469" s="128" t="str">
        <f t="shared" si="39"/>
        <v>yes</v>
      </c>
    </row>
    <row r="470" spans="1:24" x14ac:dyDescent="0.25">
      <c r="A470" s="1352"/>
      <c r="B470" s="139" t="s">
        <v>1213</v>
      </c>
      <c r="C470" t="s">
        <v>1667</v>
      </c>
      <c r="D470" s="139">
        <v>3</v>
      </c>
      <c r="E470" s="64" t="s">
        <v>1421</v>
      </c>
      <c r="F470" s="64">
        <v>1216</v>
      </c>
      <c r="G470" s="64">
        <v>4</v>
      </c>
      <c r="H470" s="127" t="s">
        <v>580</v>
      </c>
      <c r="I470" s="139">
        <v>3</v>
      </c>
      <c r="J470" s="64" t="s">
        <v>1423</v>
      </c>
      <c r="K470" s="64">
        <v>1260</v>
      </c>
      <c r="L470" s="64">
        <v>4</v>
      </c>
      <c r="M470" s="127" t="s">
        <v>1690</v>
      </c>
      <c r="N470" s="64">
        <v>3</v>
      </c>
      <c r="O470" s="64"/>
      <c r="P470" s="64"/>
      <c r="Q470" s="64"/>
      <c r="R470" s="127"/>
      <c r="V470" s="128" t="str">
        <f t="shared" si="37"/>
        <v>yes</v>
      </c>
      <c r="W470" s="128" t="str">
        <f t="shared" si="38"/>
        <v>yes</v>
      </c>
      <c r="X470" s="128" t="str">
        <f t="shared" si="39"/>
        <v>--</v>
      </c>
    </row>
    <row r="471" spans="1:24" x14ac:dyDescent="0.25">
      <c r="A471" s="1352"/>
      <c r="B471" s="139" t="s">
        <v>1222</v>
      </c>
      <c r="C471" t="s">
        <v>1667</v>
      </c>
      <c r="D471" s="139">
        <v>4</v>
      </c>
      <c r="E471" s="64" t="s">
        <v>1432</v>
      </c>
      <c r="F471" s="64">
        <v>960</v>
      </c>
      <c r="G471" s="64">
        <v>4</v>
      </c>
      <c r="H471" s="127" t="s">
        <v>580</v>
      </c>
      <c r="I471" s="139">
        <v>4</v>
      </c>
      <c r="J471" s="64" t="s">
        <v>1434</v>
      </c>
      <c r="K471" s="64">
        <v>1260</v>
      </c>
      <c r="L471" s="64">
        <v>4</v>
      </c>
      <c r="M471" s="127" t="s">
        <v>1690</v>
      </c>
      <c r="N471" s="64">
        <v>4</v>
      </c>
      <c r="O471" s="64"/>
      <c r="P471" s="64"/>
      <c r="Q471" s="64"/>
      <c r="R471" s="127"/>
      <c r="V471" s="128" t="str">
        <f t="shared" si="37"/>
        <v>yes</v>
      </c>
      <c r="W471" s="128" t="str">
        <f t="shared" si="38"/>
        <v>yes</v>
      </c>
      <c r="X471" s="128" t="str">
        <f t="shared" si="39"/>
        <v>--</v>
      </c>
    </row>
    <row r="472" spans="1:24" x14ac:dyDescent="0.25">
      <c r="A472" s="1352"/>
      <c r="B472" s="139" t="s">
        <v>1207</v>
      </c>
      <c r="C472" t="s">
        <v>1667</v>
      </c>
      <c r="D472" s="139"/>
      <c r="E472" s="64"/>
      <c r="F472" s="64"/>
      <c r="G472" s="64"/>
      <c r="H472" s="127"/>
      <c r="I472" s="139"/>
      <c r="J472" s="64"/>
      <c r="K472" s="64"/>
      <c r="L472" s="64"/>
      <c r="M472" s="146"/>
      <c r="N472" s="64"/>
      <c r="O472" s="64"/>
      <c r="P472" s="64"/>
      <c r="Q472" s="64"/>
      <c r="R472" s="127"/>
      <c r="V472" s="128" t="str">
        <f t="shared" si="37"/>
        <v>--</v>
      </c>
      <c r="W472" s="128" t="str">
        <f t="shared" si="38"/>
        <v>--</v>
      </c>
      <c r="X472" s="128" t="str">
        <f t="shared" si="39"/>
        <v>--</v>
      </c>
    </row>
    <row r="473" spans="1:24" x14ac:dyDescent="0.25">
      <c r="A473" s="1352"/>
      <c r="B473" s="131" t="s">
        <v>1199</v>
      </c>
      <c r="C473" t="s">
        <v>1667</v>
      </c>
      <c r="D473" s="131"/>
      <c r="E473" s="132"/>
      <c r="F473" s="132"/>
      <c r="G473" s="132"/>
      <c r="H473" s="134"/>
      <c r="I473" s="131"/>
      <c r="J473" s="132"/>
      <c r="K473" s="132"/>
      <c r="L473" s="132"/>
      <c r="M473" s="147"/>
      <c r="N473" s="132"/>
      <c r="O473" s="132"/>
      <c r="P473" s="132"/>
      <c r="Q473" s="132"/>
      <c r="R473" s="134"/>
      <c r="V473" s="128" t="str">
        <f t="shared" si="37"/>
        <v>--</v>
      </c>
      <c r="W473" s="128" t="str">
        <f t="shared" si="38"/>
        <v>--</v>
      </c>
      <c r="X473" s="128" t="str">
        <f t="shared" si="39"/>
        <v>--</v>
      </c>
    </row>
    <row r="474" spans="1:24" x14ac:dyDescent="0.25">
      <c r="A474" s="1352"/>
      <c r="B474" s="139" t="s">
        <v>1214</v>
      </c>
      <c r="C474" t="s">
        <v>1668</v>
      </c>
      <c r="D474" s="139">
        <v>1</v>
      </c>
      <c r="E474" s="64" t="s">
        <v>1426</v>
      </c>
      <c r="F474" s="64">
        <v>3648</v>
      </c>
      <c r="G474" s="64">
        <v>12</v>
      </c>
      <c r="H474" s="127" t="s">
        <v>580</v>
      </c>
      <c r="I474" s="139">
        <v>1</v>
      </c>
      <c r="J474" s="64" t="s">
        <v>1440</v>
      </c>
      <c r="K474" s="64">
        <v>2520</v>
      </c>
      <c r="L474" s="64">
        <v>8</v>
      </c>
      <c r="M474" s="127" t="s">
        <v>1690</v>
      </c>
      <c r="N474" s="64">
        <v>1</v>
      </c>
      <c r="O474" s="64" t="s">
        <v>1384</v>
      </c>
      <c r="P474" s="64">
        <v>4800</v>
      </c>
      <c r="Q474" s="64">
        <v>8</v>
      </c>
      <c r="R474" s="127" t="s">
        <v>1385</v>
      </c>
      <c r="V474" s="795" t="str">
        <f t="shared" si="37"/>
        <v>NOOO</v>
      </c>
      <c r="W474" s="128" t="str">
        <f t="shared" si="38"/>
        <v>yes</v>
      </c>
      <c r="X474" s="128" t="str">
        <f t="shared" si="39"/>
        <v>yes</v>
      </c>
    </row>
    <row r="475" spans="1:24" x14ac:dyDescent="0.25">
      <c r="A475" s="1352"/>
      <c r="B475" s="139" t="s">
        <v>1209</v>
      </c>
      <c r="C475" t="s">
        <v>1668</v>
      </c>
      <c r="D475" s="139">
        <v>2</v>
      </c>
      <c r="E475" s="64" t="s">
        <v>1438</v>
      </c>
      <c r="F475" s="64">
        <v>2880</v>
      </c>
      <c r="G475" s="64">
        <v>12</v>
      </c>
      <c r="H475" s="127" t="s">
        <v>580</v>
      </c>
      <c r="I475" s="139">
        <v>2</v>
      </c>
      <c r="J475" s="64" t="s">
        <v>1429</v>
      </c>
      <c r="K475" s="64">
        <v>2520</v>
      </c>
      <c r="L475" s="64">
        <v>8</v>
      </c>
      <c r="M475" s="127" t="s">
        <v>1690</v>
      </c>
      <c r="N475" s="64">
        <v>2</v>
      </c>
      <c r="O475" s="64" t="s">
        <v>1383</v>
      </c>
      <c r="P475" s="64">
        <v>2400</v>
      </c>
      <c r="Q475" s="64">
        <v>4</v>
      </c>
      <c r="R475" s="127" t="s">
        <v>1385</v>
      </c>
      <c r="V475" s="795" t="str">
        <f t="shared" si="37"/>
        <v>NOOO</v>
      </c>
      <c r="W475" s="128" t="str">
        <f t="shared" si="38"/>
        <v>yes</v>
      </c>
      <c r="X475" s="128" t="str">
        <f t="shared" si="39"/>
        <v>yes</v>
      </c>
    </row>
    <row r="476" spans="1:24" x14ac:dyDescent="0.25">
      <c r="A476" s="1352"/>
      <c r="B476" s="139" t="s">
        <v>1224</v>
      </c>
      <c r="C476" t="s">
        <v>1668</v>
      </c>
      <c r="D476" s="139">
        <v>3</v>
      </c>
      <c r="E476" s="64" t="s">
        <v>1421</v>
      </c>
      <c r="F476" s="64">
        <v>1216</v>
      </c>
      <c r="G476" s="64">
        <v>4</v>
      </c>
      <c r="H476" s="127" t="s">
        <v>580</v>
      </c>
      <c r="I476" s="139">
        <v>3</v>
      </c>
      <c r="J476" s="64" t="s">
        <v>1423</v>
      </c>
      <c r="K476" s="64">
        <v>1260</v>
      </c>
      <c r="L476" s="64">
        <v>4</v>
      </c>
      <c r="M476" s="127" t="s">
        <v>1690</v>
      </c>
      <c r="N476" s="64">
        <v>3</v>
      </c>
      <c r="O476" s="64"/>
      <c r="P476" s="64"/>
      <c r="Q476" s="64"/>
      <c r="R476" s="127"/>
      <c r="V476" s="128" t="str">
        <f t="shared" si="37"/>
        <v>yes</v>
      </c>
      <c r="W476" s="128" t="str">
        <f t="shared" si="38"/>
        <v>yes</v>
      </c>
      <c r="X476" s="128" t="str">
        <f t="shared" si="39"/>
        <v>--</v>
      </c>
    </row>
    <row r="477" spans="1:24" x14ac:dyDescent="0.25">
      <c r="A477" s="1352"/>
      <c r="B477" s="139" t="s">
        <v>1219</v>
      </c>
      <c r="C477" t="s">
        <v>1668</v>
      </c>
      <c r="D477" s="139">
        <v>4</v>
      </c>
      <c r="E477" s="64" t="s">
        <v>1432</v>
      </c>
      <c r="F477" s="64">
        <v>960</v>
      </c>
      <c r="G477" s="64">
        <v>4</v>
      </c>
      <c r="H477" s="127" t="s">
        <v>580</v>
      </c>
      <c r="I477" s="139">
        <v>4</v>
      </c>
      <c r="J477" s="64" t="s">
        <v>1434</v>
      </c>
      <c r="K477" s="64">
        <v>1260</v>
      </c>
      <c r="L477" s="64">
        <v>4</v>
      </c>
      <c r="M477" s="127" t="s">
        <v>1690</v>
      </c>
      <c r="N477" s="64">
        <v>4</v>
      </c>
      <c r="O477" s="64"/>
      <c r="P477" s="64"/>
      <c r="Q477" s="64"/>
      <c r="R477" s="127"/>
      <c r="V477" s="128" t="str">
        <f t="shared" si="37"/>
        <v>yes</v>
      </c>
      <c r="W477" s="128" t="str">
        <f t="shared" si="38"/>
        <v>yes</v>
      </c>
      <c r="X477" s="128" t="str">
        <f t="shared" si="39"/>
        <v>--</v>
      </c>
    </row>
    <row r="478" spans="1:24" x14ac:dyDescent="0.25">
      <c r="A478" s="1352"/>
      <c r="B478" s="139" t="s">
        <v>1206</v>
      </c>
      <c r="C478" t="s">
        <v>1668</v>
      </c>
      <c r="D478" s="139"/>
      <c r="E478" s="64"/>
      <c r="F478" s="64"/>
      <c r="G478" s="64"/>
      <c r="H478" s="127"/>
      <c r="I478" s="139"/>
      <c r="J478" s="64"/>
      <c r="K478" s="64"/>
      <c r="L478" s="64"/>
      <c r="M478" s="146"/>
      <c r="N478" s="64"/>
      <c r="O478" s="64"/>
      <c r="P478" s="64"/>
      <c r="Q478" s="64"/>
      <c r="R478" s="127"/>
      <c r="V478" s="128" t="str">
        <f t="shared" si="37"/>
        <v>--</v>
      </c>
      <c r="W478" s="128" t="str">
        <f t="shared" si="38"/>
        <v>--</v>
      </c>
      <c r="X478" s="128" t="str">
        <f t="shared" si="39"/>
        <v>--</v>
      </c>
    </row>
    <row r="479" spans="1:24" x14ac:dyDescent="0.25">
      <c r="A479" s="1352"/>
      <c r="B479" s="139" t="s">
        <v>1208</v>
      </c>
      <c r="C479" t="s">
        <v>1668</v>
      </c>
      <c r="D479" s="139"/>
      <c r="E479" s="64"/>
      <c r="F479" s="64"/>
      <c r="G479" s="64"/>
      <c r="H479" s="127"/>
      <c r="I479" s="139"/>
      <c r="J479" s="64"/>
      <c r="K479" s="64"/>
      <c r="L479" s="64"/>
      <c r="M479" s="146"/>
      <c r="N479" s="64"/>
      <c r="O479" s="64"/>
      <c r="P479" s="64"/>
      <c r="Q479" s="64"/>
      <c r="R479" s="127"/>
      <c r="V479" s="128" t="str">
        <f t="shared" si="37"/>
        <v>--</v>
      </c>
      <c r="W479" s="128" t="str">
        <f t="shared" si="38"/>
        <v>--</v>
      </c>
      <c r="X479" s="128" t="str">
        <f t="shared" si="39"/>
        <v>--</v>
      </c>
    </row>
    <row r="480" spans="1:24" x14ac:dyDescent="0.25">
      <c r="A480" s="1352"/>
      <c r="B480" s="139" t="s">
        <v>1204</v>
      </c>
      <c r="C480" t="s">
        <v>1668</v>
      </c>
      <c r="D480" s="139"/>
      <c r="E480" s="64"/>
      <c r="F480" s="64"/>
      <c r="G480" s="64"/>
      <c r="H480" s="127"/>
      <c r="I480" s="139"/>
      <c r="J480" s="64"/>
      <c r="K480" s="64"/>
      <c r="L480" s="64"/>
      <c r="M480" s="146"/>
      <c r="N480" s="64"/>
      <c r="O480" s="64"/>
      <c r="P480" s="64"/>
      <c r="Q480" s="64"/>
      <c r="R480" s="127"/>
      <c r="V480" s="128" t="str">
        <f t="shared" si="37"/>
        <v>--</v>
      </c>
      <c r="W480" s="128" t="str">
        <f t="shared" si="38"/>
        <v>--</v>
      </c>
      <c r="X480" s="128" t="str">
        <f t="shared" si="39"/>
        <v>--</v>
      </c>
    </row>
    <row r="481" spans="1:24" x14ac:dyDescent="0.25">
      <c r="A481" s="1352"/>
      <c r="B481" s="139" t="s">
        <v>1218</v>
      </c>
      <c r="C481" t="s">
        <v>1668</v>
      </c>
      <c r="D481" s="139"/>
      <c r="E481" s="64"/>
      <c r="F481" s="64"/>
      <c r="G481" s="64"/>
      <c r="H481" s="127"/>
      <c r="I481" s="139"/>
      <c r="J481" s="64"/>
      <c r="K481" s="64"/>
      <c r="L481" s="64"/>
      <c r="M481" s="146"/>
      <c r="N481" s="64"/>
      <c r="O481" s="64"/>
      <c r="P481" s="64"/>
      <c r="Q481" s="64"/>
      <c r="R481" s="127"/>
      <c r="V481" s="128" t="str">
        <f t="shared" si="37"/>
        <v>--</v>
      </c>
      <c r="W481" s="128" t="str">
        <f t="shared" si="38"/>
        <v>--</v>
      </c>
      <c r="X481" s="128" t="str">
        <f t="shared" si="39"/>
        <v>--</v>
      </c>
    </row>
    <row r="482" spans="1:24" x14ac:dyDescent="0.25">
      <c r="A482" s="1352"/>
      <c r="B482" s="139" t="s">
        <v>1226</v>
      </c>
      <c r="C482" t="s">
        <v>1668</v>
      </c>
      <c r="D482" s="139"/>
      <c r="E482" s="64"/>
      <c r="F482" s="64"/>
      <c r="G482" s="64"/>
      <c r="H482" s="127"/>
      <c r="I482" s="139"/>
      <c r="J482" s="64"/>
      <c r="K482" s="64"/>
      <c r="L482" s="64"/>
      <c r="M482" s="146"/>
      <c r="N482" s="64"/>
      <c r="O482" s="64"/>
      <c r="P482" s="64"/>
      <c r="Q482" s="64"/>
      <c r="R482" s="127"/>
      <c r="V482" s="128" t="str">
        <f t="shared" si="37"/>
        <v>--</v>
      </c>
      <c r="W482" s="128" t="str">
        <f t="shared" si="38"/>
        <v>--</v>
      </c>
      <c r="X482" s="128" t="str">
        <f t="shared" si="39"/>
        <v>--</v>
      </c>
    </row>
    <row r="483" spans="1:24" x14ac:dyDescent="0.25">
      <c r="A483" s="1352"/>
      <c r="B483" s="139" t="s">
        <v>1211</v>
      </c>
      <c r="C483" t="s">
        <v>1668</v>
      </c>
      <c r="D483" s="139"/>
      <c r="E483" s="64"/>
      <c r="F483" s="64"/>
      <c r="G483" s="64"/>
      <c r="H483" s="127"/>
      <c r="I483" s="139"/>
      <c r="J483" s="64"/>
      <c r="K483" s="64"/>
      <c r="L483" s="64"/>
      <c r="M483" s="146"/>
      <c r="N483" s="64"/>
      <c r="O483" s="64"/>
      <c r="P483" s="64"/>
      <c r="Q483" s="64"/>
      <c r="R483" s="127"/>
      <c r="V483" s="128" t="str">
        <f t="shared" si="37"/>
        <v>--</v>
      </c>
      <c r="W483" s="128" t="str">
        <f t="shared" si="38"/>
        <v>--</v>
      </c>
      <c r="X483" s="128" t="str">
        <f t="shared" si="39"/>
        <v>--</v>
      </c>
    </row>
    <row r="484" spans="1:24" x14ac:dyDescent="0.25">
      <c r="A484" s="1352"/>
      <c r="B484" s="139" t="s">
        <v>1202</v>
      </c>
      <c r="C484" t="s">
        <v>1668</v>
      </c>
      <c r="D484" s="139"/>
      <c r="E484" s="64"/>
      <c r="F484" s="64"/>
      <c r="G484" s="64"/>
      <c r="H484" s="127"/>
      <c r="I484" s="139"/>
      <c r="J484" s="64"/>
      <c r="K484" s="64"/>
      <c r="L484" s="64"/>
      <c r="M484" s="146"/>
      <c r="N484" s="64"/>
      <c r="O484" s="64"/>
      <c r="P484" s="64"/>
      <c r="Q484" s="64"/>
      <c r="R484" s="127"/>
      <c r="V484" s="128" t="str">
        <f t="shared" si="37"/>
        <v>--</v>
      </c>
      <c r="W484" s="128" t="str">
        <f t="shared" si="38"/>
        <v>--</v>
      </c>
      <c r="X484" s="128" t="str">
        <f t="shared" si="39"/>
        <v>--</v>
      </c>
    </row>
    <row r="485" spans="1:24" x14ac:dyDescent="0.25">
      <c r="A485" s="1352"/>
      <c r="B485" s="139" t="s">
        <v>1205</v>
      </c>
      <c r="C485" t="s">
        <v>1668</v>
      </c>
      <c r="D485" s="139"/>
      <c r="E485" s="64"/>
      <c r="F485" s="64"/>
      <c r="G485" s="64"/>
      <c r="H485" s="127"/>
      <c r="I485" s="139"/>
      <c r="J485" s="64"/>
      <c r="K485" s="64"/>
      <c r="L485" s="64"/>
      <c r="M485" s="146"/>
      <c r="N485" s="64"/>
      <c r="O485" s="64"/>
      <c r="P485" s="64"/>
      <c r="Q485" s="64"/>
      <c r="R485" s="127"/>
      <c r="V485" s="128" t="str">
        <f t="shared" si="37"/>
        <v>--</v>
      </c>
      <c r="W485" s="128" t="str">
        <f t="shared" si="38"/>
        <v>--</v>
      </c>
      <c r="X485" s="128" t="str">
        <f t="shared" si="39"/>
        <v>--</v>
      </c>
    </row>
    <row r="486" spans="1:24" x14ac:dyDescent="0.25">
      <c r="A486" s="1352"/>
      <c r="B486" s="139" t="s">
        <v>1215</v>
      </c>
      <c r="C486" t="s">
        <v>1668</v>
      </c>
      <c r="D486" s="139"/>
      <c r="E486" s="64"/>
      <c r="F486" s="64"/>
      <c r="G486" s="64"/>
      <c r="H486" s="127"/>
      <c r="I486" s="139"/>
      <c r="J486" s="64"/>
      <c r="K486" s="64"/>
      <c r="L486" s="64"/>
      <c r="M486" s="146"/>
      <c r="N486" s="64"/>
      <c r="O486" s="64"/>
      <c r="P486" s="64"/>
      <c r="Q486" s="64"/>
      <c r="R486" s="127"/>
      <c r="V486" s="128" t="str">
        <f t="shared" si="37"/>
        <v>--</v>
      </c>
      <c r="W486" s="128" t="str">
        <f t="shared" si="38"/>
        <v>--</v>
      </c>
      <c r="X486" s="128" t="str">
        <f t="shared" si="39"/>
        <v>--</v>
      </c>
    </row>
    <row r="487" spans="1:24" x14ac:dyDescent="0.25">
      <c r="A487" s="1352"/>
      <c r="B487" s="131" t="s">
        <v>1200</v>
      </c>
      <c r="C487" t="s">
        <v>1668</v>
      </c>
      <c r="D487" s="131"/>
      <c r="E487" s="132"/>
      <c r="F487" s="132"/>
      <c r="G487" s="132"/>
      <c r="H487" s="134"/>
      <c r="I487" s="131"/>
      <c r="J487" s="132"/>
      <c r="K487" s="132"/>
      <c r="L487" s="132"/>
      <c r="M487" s="147"/>
      <c r="N487" s="132"/>
      <c r="O487" s="132"/>
      <c r="P487" s="132"/>
      <c r="Q487" s="132"/>
      <c r="R487" s="134"/>
      <c r="V487" s="128" t="str">
        <f t="shared" si="37"/>
        <v>--</v>
      </c>
      <c r="W487" s="128" t="str">
        <f t="shared" si="38"/>
        <v>--</v>
      </c>
      <c r="X487" s="128" t="str">
        <f t="shared" si="39"/>
        <v>--</v>
      </c>
    </row>
    <row r="488" spans="1:24" x14ac:dyDescent="0.25">
      <c r="A488" s="1352"/>
      <c r="B488" s="139" t="s">
        <v>1221</v>
      </c>
      <c r="C488" t="s">
        <v>1669</v>
      </c>
      <c r="D488" s="139">
        <v>1</v>
      </c>
      <c r="E488" s="64" t="s">
        <v>1428</v>
      </c>
      <c r="F488" s="64">
        <v>3040</v>
      </c>
      <c r="G488" s="64">
        <v>10</v>
      </c>
      <c r="H488" s="127" t="s">
        <v>580</v>
      </c>
      <c r="I488" s="139">
        <v>1</v>
      </c>
      <c r="J488" s="64" t="s">
        <v>1440</v>
      </c>
      <c r="K488" s="64">
        <v>2520</v>
      </c>
      <c r="L488" s="64">
        <v>8</v>
      </c>
      <c r="M488" s="127" t="s">
        <v>1690</v>
      </c>
      <c r="N488" s="64">
        <v>1</v>
      </c>
      <c r="O488" s="64" t="s">
        <v>1384</v>
      </c>
      <c r="P488" s="64">
        <v>4800</v>
      </c>
      <c r="Q488" s="64">
        <v>8</v>
      </c>
      <c r="R488" s="127" t="s">
        <v>1385</v>
      </c>
      <c r="V488" s="795" t="str">
        <f t="shared" si="37"/>
        <v>NOOO</v>
      </c>
      <c r="W488" s="128" t="str">
        <f t="shared" si="38"/>
        <v>yes</v>
      </c>
      <c r="X488" s="128" t="str">
        <f t="shared" si="39"/>
        <v>yes</v>
      </c>
    </row>
    <row r="489" spans="1:24" x14ac:dyDescent="0.25">
      <c r="A489" s="1352"/>
      <c r="B489" s="139" t="s">
        <v>1217</v>
      </c>
      <c r="C489" t="s">
        <v>1669</v>
      </c>
      <c r="D489" s="139">
        <v>2</v>
      </c>
      <c r="E489" s="64" t="s">
        <v>1439</v>
      </c>
      <c r="F489" s="64">
        <v>2400</v>
      </c>
      <c r="G489" s="64">
        <v>10</v>
      </c>
      <c r="H489" s="127" t="s">
        <v>580</v>
      </c>
      <c r="I489" s="139">
        <v>2</v>
      </c>
      <c r="J489" s="64" t="s">
        <v>1429</v>
      </c>
      <c r="K489" s="64">
        <v>2520</v>
      </c>
      <c r="L489" s="64">
        <v>8</v>
      </c>
      <c r="M489" s="127" t="s">
        <v>1690</v>
      </c>
      <c r="N489" s="64">
        <v>2</v>
      </c>
      <c r="O489" s="64" t="s">
        <v>1383</v>
      </c>
      <c r="P489" s="64">
        <v>2400</v>
      </c>
      <c r="Q489" s="64">
        <v>4</v>
      </c>
      <c r="R489" s="127" t="s">
        <v>1385</v>
      </c>
      <c r="V489" s="795" t="str">
        <f t="shared" si="37"/>
        <v>NOOO</v>
      </c>
      <c r="W489" s="128" t="str">
        <f t="shared" si="38"/>
        <v>yes</v>
      </c>
      <c r="X489" s="128" t="str">
        <f t="shared" si="39"/>
        <v>yes</v>
      </c>
    </row>
    <row r="490" spans="1:24" x14ac:dyDescent="0.25">
      <c r="A490" s="1352"/>
      <c r="B490" s="139" t="s">
        <v>1229</v>
      </c>
      <c r="C490" t="s">
        <v>1669</v>
      </c>
      <c r="D490" s="139">
        <v>3</v>
      </c>
      <c r="E490" s="64" t="s">
        <v>1421</v>
      </c>
      <c r="F490" s="64">
        <v>1216</v>
      </c>
      <c r="G490" s="64">
        <v>4</v>
      </c>
      <c r="H490" s="127" t="s">
        <v>580</v>
      </c>
      <c r="I490" s="139">
        <v>3</v>
      </c>
      <c r="J490" s="64" t="s">
        <v>1423</v>
      </c>
      <c r="K490" s="64">
        <v>1260</v>
      </c>
      <c r="L490" s="64">
        <v>4</v>
      </c>
      <c r="M490" s="127" t="s">
        <v>1690</v>
      </c>
      <c r="N490" s="64">
        <v>3</v>
      </c>
      <c r="O490" s="64"/>
      <c r="P490" s="64"/>
      <c r="Q490" s="64"/>
      <c r="R490" s="127"/>
      <c r="V490" s="128" t="str">
        <f t="shared" si="37"/>
        <v>yes</v>
      </c>
      <c r="W490" s="128" t="str">
        <f t="shared" si="38"/>
        <v>yes</v>
      </c>
      <c r="X490" s="128" t="str">
        <f t="shared" si="39"/>
        <v>--</v>
      </c>
    </row>
    <row r="491" spans="1:24" x14ac:dyDescent="0.25">
      <c r="A491" s="1352"/>
      <c r="B491" s="139" t="s">
        <v>1234</v>
      </c>
      <c r="C491" t="s">
        <v>1669</v>
      </c>
      <c r="D491" s="139">
        <v>4</v>
      </c>
      <c r="E491" s="64" t="s">
        <v>1432</v>
      </c>
      <c r="F491" s="64">
        <v>960</v>
      </c>
      <c r="G491" s="64">
        <v>4</v>
      </c>
      <c r="H491" s="127" t="s">
        <v>580</v>
      </c>
      <c r="I491" s="139">
        <v>4</v>
      </c>
      <c r="J491" s="64" t="s">
        <v>1434</v>
      </c>
      <c r="K491" s="64">
        <v>1260</v>
      </c>
      <c r="L491" s="64">
        <v>4</v>
      </c>
      <c r="M491" s="127" t="s">
        <v>1690</v>
      </c>
      <c r="N491" s="64">
        <v>4</v>
      </c>
      <c r="O491" s="64"/>
      <c r="P491" s="64"/>
      <c r="Q491" s="64"/>
      <c r="R491" s="127"/>
      <c r="V491" s="128" t="str">
        <f t="shared" si="37"/>
        <v>yes</v>
      </c>
      <c r="W491" s="128" t="str">
        <f t="shared" si="38"/>
        <v>yes</v>
      </c>
      <c r="X491" s="128" t="str">
        <f t="shared" si="39"/>
        <v>--</v>
      </c>
    </row>
    <row r="492" spans="1:24" x14ac:dyDescent="0.25">
      <c r="A492" s="1352"/>
      <c r="B492" s="139" t="s">
        <v>1223</v>
      </c>
      <c r="C492" t="s">
        <v>1669</v>
      </c>
      <c r="D492" s="139"/>
      <c r="E492" s="64"/>
      <c r="F492" s="64"/>
      <c r="G492" s="64"/>
      <c r="H492" s="127"/>
      <c r="I492" s="139">
        <v>5</v>
      </c>
      <c r="J492" s="64" t="s">
        <v>1717</v>
      </c>
      <c r="K492" s="64">
        <v>630</v>
      </c>
      <c r="L492" s="64">
        <v>2</v>
      </c>
      <c r="M492" s="127" t="s">
        <v>1690</v>
      </c>
      <c r="N492" s="64">
        <v>5</v>
      </c>
      <c r="O492" s="64"/>
      <c r="P492" s="64"/>
      <c r="Q492" s="64"/>
      <c r="R492" s="127"/>
      <c r="V492" s="128" t="str">
        <f t="shared" si="37"/>
        <v>--</v>
      </c>
      <c r="W492" s="128" t="str">
        <f t="shared" si="38"/>
        <v>yes</v>
      </c>
      <c r="X492" s="128" t="str">
        <f t="shared" si="39"/>
        <v>--</v>
      </c>
    </row>
    <row r="493" spans="1:24" x14ac:dyDescent="0.25">
      <c r="A493" s="1352"/>
      <c r="B493" s="139" t="s">
        <v>1212</v>
      </c>
      <c r="C493" t="s">
        <v>1669</v>
      </c>
      <c r="D493" s="139"/>
      <c r="E493" s="64"/>
      <c r="F493" s="64"/>
      <c r="G493" s="64"/>
      <c r="H493" s="127"/>
      <c r="I493" s="139">
        <v>6</v>
      </c>
      <c r="J493" s="64" t="s">
        <v>1718</v>
      </c>
      <c r="K493" s="64">
        <v>630</v>
      </c>
      <c r="L493" s="64">
        <v>2</v>
      </c>
      <c r="M493" s="127" t="s">
        <v>1690</v>
      </c>
      <c r="N493" s="64">
        <v>6</v>
      </c>
      <c r="O493" s="64"/>
      <c r="P493" s="64"/>
      <c r="Q493" s="64"/>
      <c r="R493" s="127"/>
      <c r="V493" s="128" t="str">
        <f t="shared" si="37"/>
        <v>--</v>
      </c>
      <c r="W493" s="128" t="str">
        <f t="shared" si="38"/>
        <v>yes</v>
      </c>
      <c r="X493" s="128" t="str">
        <f t="shared" si="39"/>
        <v>--</v>
      </c>
    </row>
    <row r="494" spans="1:24" x14ac:dyDescent="0.25">
      <c r="A494" s="1352"/>
      <c r="B494" s="139" t="s">
        <v>1216</v>
      </c>
      <c r="C494" t="s">
        <v>1669</v>
      </c>
      <c r="D494" s="139"/>
      <c r="E494" s="64"/>
      <c r="F494" s="64"/>
      <c r="G494" s="64"/>
      <c r="H494" s="127"/>
      <c r="I494" s="139"/>
      <c r="J494" s="64"/>
      <c r="K494" s="64"/>
      <c r="L494" s="64"/>
      <c r="M494" s="146"/>
      <c r="N494" s="64"/>
      <c r="O494" s="64"/>
      <c r="P494" s="64"/>
      <c r="Q494" s="64"/>
      <c r="R494" s="127"/>
      <c r="V494" s="128" t="str">
        <f t="shared" si="37"/>
        <v>--</v>
      </c>
      <c r="W494" s="128" t="str">
        <f t="shared" si="38"/>
        <v>--</v>
      </c>
      <c r="X494" s="128" t="str">
        <f t="shared" si="39"/>
        <v>--</v>
      </c>
    </row>
    <row r="495" spans="1:24" x14ac:dyDescent="0.25">
      <c r="A495" s="1352"/>
      <c r="B495" s="139" t="s">
        <v>1210</v>
      </c>
      <c r="C495" t="s">
        <v>1669</v>
      </c>
      <c r="D495" s="139"/>
      <c r="E495" s="64"/>
      <c r="F495" s="64"/>
      <c r="G495" s="64"/>
      <c r="H495" s="127"/>
      <c r="I495" s="139"/>
      <c r="J495" s="64"/>
      <c r="K495" s="64"/>
      <c r="L495" s="64"/>
      <c r="M495" s="146"/>
      <c r="N495" s="64"/>
      <c r="O495" s="64"/>
      <c r="P495" s="64"/>
      <c r="Q495" s="64"/>
      <c r="R495" s="127"/>
      <c r="V495" s="128" t="str">
        <f t="shared" si="37"/>
        <v>--</v>
      </c>
      <c r="W495" s="128" t="str">
        <f t="shared" si="38"/>
        <v>--</v>
      </c>
      <c r="X495" s="128" t="str">
        <f t="shared" si="39"/>
        <v>--</v>
      </c>
    </row>
    <row r="496" spans="1:24" x14ac:dyDescent="0.25">
      <c r="A496" s="1352"/>
      <c r="B496" s="139" t="s">
        <v>1225</v>
      </c>
      <c r="C496" t="s">
        <v>1669</v>
      </c>
      <c r="D496" s="139"/>
      <c r="E496" s="64"/>
      <c r="F496" s="64"/>
      <c r="G496" s="64"/>
      <c r="H496" s="127"/>
      <c r="I496" s="139"/>
      <c r="J496" s="64"/>
      <c r="K496" s="64"/>
      <c r="L496" s="64"/>
      <c r="M496" s="146"/>
      <c r="N496" s="64"/>
      <c r="O496" s="64"/>
      <c r="P496" s="64"/>
      <c r="Q496" s="64"/>
      <c r="R496" s="127"/>
      <c r="V496" s="128" t="str">
        <f t="shared" si="37"/>
        <v>--</v>
      </c>
      <c r="W496" s="128" t="str">
        <f t="shared" si="38"/>
        <v>--</v>
      </c>
      <c r="X496" s="128" t="str">
        <f t="shared" si="39"/>
        <v>--</v>
      </c>
    </row>
    <row r="497" spans="1:24" x14ac:dyDescent="0.25">
      <c r="A497" s="1352"/>
      <c r="B497" s="139" t="s">
        <v>1258</v>
      </c>
      <c r="C497" t="s">
        <v>1669</v>
      </c>
      <c r="D497" s="139"/>
      <c r="E497" s="64"/>
      <c r="F497" s="64"/>
      <c r="G497" s="64"/>
      <c r="H497" s="127"/>
      <c r="I497" s="139"/>
      <c r="J497" s="64"/>
      <c r="K497" s="64"/>
      <c r="L497" s="64"/>
      <c r="M497" s="146"/>
      <c r="N497" s="64"/>
      <c r="O497" s="64"/>
      <c r="P497" s="64"/>
      <c r="Q497" s="64"/>
      <c r="R497" s="127"/>
      <c r="V497" s="128" t="str">
        <f t="shared" si="37"/>
        <v>--</v>
      </c>
      <c r="W497" s="128" t="str">
        <f t="shared" si="38"/>
        <v>--</v>
      </c>
      <c r="X497" s="128" t="str">
        <f t="shared" si="39"/>
        <v>--</v>
      </c>
    </row>
    <row r="498" spans="1:24" x14ac:dyDescent="0.25">
      <c r="A498" s="1352"/>
      <c r="B498" s="139" t="s">
        <v>1220</v>
      </c>
      <c r="C498" t="s">
        <v>1669</v>
      </c>
      <c r="D498" s="139"/>
      <c r="E498" s="64"/>
      <c r="F498" s="64"/>
      <c r="G498" s="64"/>
      <c r="H498" s="127"/>
      <c r="I498" s="139"/>
      <c r="J498" s="64"/>
      <c r="K498" s="64"/>
      <c r="L498" s="64"/>
      <c r="M498" s="146"/>
      <c r="N498" s="64"/>
      <c r="O498" s="64"/>
      <c r="P498" s="64"/>
      <c r="Q498" s="64"/>
      <c r="R498" s="127"/>
      <c r="V498" s="128" t="str">
        <f t="shared" si="37"/>
        <v>--</v>
      </c>
      <c r="W498" s="128" t="str">
        <f t="shared" si="38"/>
        <v>--</v>
      </c>
      <c r="X498" s="128" t="str">
        <f t="shared" si="39"/>
        <v>--</v>
      </c>
    </row>
    <row r="499" spans="1:24" x14ac:dyDescent="0.25">
      <c r="A499" s="1352"/>
      <c r="B499" s="139" t="s">
        <v>1231</v>
      </c>
      <c r="C499" t="s">
        <v>1669</v>
      </c>
      <c r="D499" s="139"/>
      <c r="E499" s="64"/>
      <c r="F499" s="64"/>
      <c r="G499" s="64"/>
      <c r="H499" s="127"/>
      <c r="I499" s="139"/>
      <c r="J499" s="64"/>
      <c r="K499" s="64"/>
      <c r="L499" s="64"/>
      <c r="M499" s="146"/>
      <c r="N499" s="64"/>
      <c r="O499" s="64"/>
      <c r="P499" s="64"/>
      <c r="Q499" s="64"/>
      <c r="R499" s="127"/>
      <c r="V499" s="128" t="str">
        <f t="shared" si="37"/>
        <v>--</v>
      </c>
      <c r="W499" s="128" t="str">
        <f t="shared" si="38"/>
        <v>--</v>
      </c>
      <c r="X499" s="128" t="str">
        <f t="shared" si="39"/>
        <v>--</v>
      </c>
    </row>
    <row r="500" spans="1:24" x14ac:dyDescent="0.25">
      <c r="A500" s="1352"/>
      <c r="B500" s="139" t="s">
        <v>1236</v>
      </c>
      <c r="C500" t="s">
        <v>1669</v>
      </c>
      <c r="D500" s="139"/>
      <c r="E500" s="64"/>
      <c r="F500" s="64"/>
      <c r="G500" s="64"/>
      <c r="H500" s="127"/>
      <c r="I500" s="139"/>
      <c r="J500" s="64"/>
      <c r="K500" s="64"/>
      <c r="L500" s="64"/>
      <c r="M500" s="146"/>
      <c r="N500" s="64"/>
      <c r="O500" s="64"/>
      <c r="P500" s="64"/>
      <c r="Q500" s="64"/>
      <c r="R500" s="127"/>
      <c r="V500" s="128" t="str">
        <f t="shared" si="37"/>
        <v>--</v>
      </c>
      <c r="W500" s="128" t="str">
        <f t="shared" si="38"/>
        <v>--</v>
      </c>
      <c r="X500" s="128" t="str">
        <f t="shared" si="39"/>
        <v>--</v>
      </c>
    </row>
    <row r="501" spans="1:24" x14ac:dyDescent="0.25">
      <c r="A501" s="1352"/>
      <c r="B501" s="139" t="s">
        <v>1227</v>
      </c>
      <c r="C501" t="s">
        <v>1669</v>
      </c>
      <c r="D501" s="139"/>
      <c r="E501" s="64"/>
      <c r="F501" s="64"/>
      <c r="G501" s="64"/>
      <c r="H501" s="127"/>
      <c r="I501" s="139"/>
      <c r="J501" s="64"/>
      <c r="K501" s="64"/>
      <c r="L501" s="64"/>
      <c r="M501" s="146"/>
      <c r="N501" s="64"/>
      <c r="O501" s="64"/>
      <c r="P501" s="64"/>
      <c r="Q501" s="64"/>
      <c r="R501" s="127"/>
      <c r="V501" s="128" t="str">
        <f t="shared" si="37"/>
        <v>--</v>
      </c>
      <c r="W501" s="128" t="str">
        <f t="shared" si="38"/>
        <v>--</v>
      </c>
      <c r="X501" s="128" t="str">
        <f t="shared" si="39"/>
        <v>--</v>
      </c>
    </row>
    <row r="502" spans="1:24" x14ac:dyDescent="0.25">
      <c r="A502" s="1352"/>
      <c r="B502" s="139" t="s">
        <v>1233</v>
      </c>
      <c r="C502" t="s">
        <v>1669</v>
      </c>
      <c r="D502" s="139"/>
      <c r="E502" s="64"/>
      <c r="F502" s="64"/>
      <c r="G502" s="64"/>
      <c r="H502" s="127"/>
      <c r="I502" s="139"/>
      <c r="J502" s="64"/>
      <c r="K502" s="64"/>
      <c r="L502" s="64"/>
      <c r="M502" s="146"/>
      <c r="N502" s="64"/>
      <c r="O502" s="64"/>
      <c r="P502" s="64"/>
      <c r="Q502" s="64"/>
      <c r="R502" s="127"/>
      <c r="V502" s="128" t="str">
        <f t="shared" si="37"/>
        <v>--</v>
      </c>
      <c r="W502" s="128" t="str">
        <f t="shared" si="38"/>
        <v>--</v>
      </c>
      <c r="X502" s="128" t="str">
        <f t="shared" si="39"/>
        <v>--</v>
      </c>
    </row>
    <row r="503" spans="1:24" x14ac:dyDescent="0.25">
      <c r="A503" s="1352"/>
      <c r="B503" s="139" t="s">
        <v>1241</v>
      </c>
      <c r="C503" t="s">
        <v>1669</v>
      </c>
      <c r="D503" s="139"/>
      <c r="E503" s="64"/>
      <c r="F503" s="64"/>
      <c r="G503" s="64"/>
      <c r="H503" s="127"/>
      <c r="I503" s="139"/>
      <c r="J503" s="64"/>
      <c r="K503" s="64"/>
      <c r="L503" s="64"/>
      <c r="M503" s="146"/>
      <c r="N503" s="64"/>
      <c r="O503" s="64"/>
      <c r="P503" s="64"/>
      <c r="Q503" s="64"/>
      <c r="R503" s="127"/>
      <c r="V503" s="128" t="str">
        <f t="shared" si="37"/>
        <v>--</v>
      </c>
      <c r="W503" s="128" t="str">
        <f t="shared" si="38"/>
        <v>--</v>
      </c>
      <c r="X503" s="128" t="str">
        <f t="shared" si="39"/>
        <v>--</v>
      </c>
    </row>
    <row r="504" spans="1:24" x14ac:dyDescent="0.25">
      <c r="A504" s="1352"/>
      <c r="B504" s="131" t="s">
        <v>1237</v>
      </c>
      <c r="C504" t="s">
        <v>1669</v>
      </c>
      <c r="D504" s="131"/>
      <c r="E504" s="132"/>
      <c r="F504" s="132"/>
      <c r="G504" s="132"/>
      <c r="H504" s="134"/>
      <c r="I504" s="131"/>
      <c r="J504" s="132"/>
      <c r="K504" s="132"/>
      <c r="L504" s="132"/>
      <c r="M504" s="147"/>
      <c r="N504" s="132"/>
      <c r="O504" s="132"/>
      <c r="P504" s="132"/>
      <c r="Q504" s="132"/>
      <c r="R504" s="134"/>
      <c r="V504" s="128" t="str">
        <f t="shared" si="37"/>
        <v>--</v>
      </c>
      <c r="W504" s="128" t="str">
        <f t="shared" si="38"/>
        <v>--</v>
      </c>
      <c r="X504" s="128" t="str">
        <f t="shared" si="39"/>
        <v>--</v>
      </c>
    </row>
    <row r="505" spans="1:24" x14ac:dyDescent="0.25">
      <c r="A505" s="1352"/>
      <c r="B505" s="139" t="s">
        <v>1244</v>
      </c>
      <c r="C505" t="s">
        <v>1670</v>
      </c>
      <c r="D505" s="139">
        <v>1</v>
      </c>
      <c r="E505" s="64" t="s">
        <v>1420</v>
      </c>
      <c r="F505" s="64">
        <v>2432</v>
      </c>
      <c r="G505" s="64">
        <v>8</v>
      </c>
      <c r="H505" s="127" t="s">
        <v>580</v>
      </c>
      <c r="I505" s="139">
        <v>1</v>
      </c>
      <c r="J505" s="64" t="s">
        <v>1440</v>
      </c>
      <c r="K505" s="64">
        <v>2520</v>
      </c>
      <c r="L505" s="64">
        <v>8</v>
      </c>
      <c r="M505" s="127" t="s">
        <v>1690</v>
      </c>
      <c r="N505" s="64">
        <v>1</v>
      </c>
      <c r="O505" s="64" t="s">
        <v>1384</v>
      </c>
      <c r="P505" s="64">
        <v>4800</v>
      </c>
      <c r="Q505" s="64">
        <v>8</v>
      </c>
      <c r="R505" s="127" t="s">
        <v>1385</v>
      </c>
      <c r="V505" s="128" t="str">
        <f t="shared" si="37"/>
        <v>yes</v>
      </c>
      <c r="W505" s="128" t="str">
        <f t="shared" si="38"/>
        <v>yes</v>
      </c>
      <c r="X505" s="128" t="str">
        <f t="shared" si="39"/>
        <v>yes</v>
      </c>
    </row>
    <row r="506" spans="1:24" x14ac:dyDescent="0.25">
      <c r="A506" s="1352"/>
      <c r="B506" s="139" t="s">
        <v>1242</v>
      </c>
      <c r="C506" t="s">
        <v>1670</v>
      </c>
      <c r="D506" s="139">
        <v>2</v>
      </c>
      <c r="E506" s="64" t="s">
        <v>1431</v>
      </c>
      <c r="F506" s="64">
        <v>1920</v>
      </c>
      <c r="G506" s="64">
        <v>8</v>
      </c>
      <c r="H506" s="127" t="s">
        <v>580</v>
      </c>
      <c r="I506" s="139">
        <v>2</v>
      </c>
      <c r="J506" s="64" t="s">
        <v>1429</v>
      </c>
      <c r="K506" s="64">
        <v>2520</v>
      </c>
      <c r="L506" s="64">
        <v>8</v>
      </c>
      <c r="M506" s="127" t="s">
        <v>1690</v>
      </c>
      <c r="N506" s="64">
        <v>2</v>
      </c>
      <c r="O506" s="64" t="s">
        <v>1383</v>
      </c>
      <c r="P506" s="64">
        <v>2400</v>
      </c>
      <c r="Q506" s="64">
        <v>4</v>
      </c>
      <c r="R506" s="127" t="s">
        <v>1385</v>
      </c>
      <c r="V506" s="128" t="str">
        <f t="shared" si="37"/>
        <v>yes</v>
      </c>
      <c r="W506" s="128" t="str">
        <f t="shared" si="38"/>
        <v>yes</v>
      </c>
      <c r="X506" s="128" t="str">
        <f t="shared" si="39"/>
        <v>yes</v>
      </c>
    </row>
    <row r="507" spans="1:24" x14ac:dyDescent="0.25">
      <c r="A507" s="1352"/>
      <c r="B507" s="139" t="s">
        <v>1247</v>
      </c>
      <c r="C507" t="s">
        <v>1670</v>
      </c>
      <c r="D507" s="139">
        <v>3</v>
      </c>
      <c r="E507" s="64" t="s">
        <v>1421</v>
      </c>
      <c r="F507" s="64">
        <v>1216</v>
      </c>
      <c r="G507" s="64">
        <v>4</v>
      </c>
      <c r="H507" s="127" t="s">
        <v>580</v>
      </c>
      <c r="I507" s="139">
        <v>3</v>
      </c>
      <c r="J507" s="64" t="s">
        <v>1423</v>
      </c>
      <c r="K507" s="64">
        <v>1260</v>
      </c>
      <c r="L507" s="64">
        <v>4</v>
      </c>
      <c r="M507" s="127" t="s">
        <v>1690</v>
      </c>
      <c r="N507" s="64">
        <v>3</v>
      </c>
      <c r="O507" s="64"/>
      <c r="P507" s="64"/>
      <c r="Q507" s="64"/>
      <c r="R507" s="127"/>
      <c r="V507" s="128" t="str">
        <f t="shared" si="37"/>
        <v>yes</v>
      </c>
      <c r="W507" s="128" t="str">
        <f t="shared" si="38"/>
        <v>yes</v>
      </c>
      <c r="X507" s="128" t="str">
        <f t="shared" si="39"/>
        <v>--</v>
      </c>
    </row>
    <row r="508" spans="1:24" x14ac:dyDescent="0.25">
      <c r="A508" s="1352"/>
      <c r="B508" s="139" t="s">
        <v>1251</v>
      </c>
      <c r="C508" t="s">
        <v>1670</v>
      </c>
      <c r="D508" s="139">
        <v>4</v>
      </c>
      <c r="E508" s="64" t="s">
        <v>1432</v>
      </c>
      <c r="F508" s="64">
        <v>960</v>
      </c>
      <c r="G508" s="64">
        <v>4</v>
      </c>
      <c r="H508" s="127" t="s">
        <v>580</v>
      </c>
      <c r="I508" s="139">
        <v>4</v>
      </c>
      <c r="J508" s="64" t="s">
        <v>1434</v>
      </c>
      <c r="K508" s="64">
        <v>1260</v>
      </c>
      <c r="L508" s="64">
        <v>4</v>
      </c>
      <c r="M508" s="127" t="s">
        <v>1690</v>
      </c>
      <c r="N508" s="64">
        <v>4</v>
      </c>
      <c r="O508" s="64"/>
      <c r="P508" s="64"/>
      <c r="Q508" s="64"/>
      <c r="R508" s="127"/>
      <c r="V508" s="128" t="str">
        <f t="shared" si="37"/>
        <v>yes</v>
      </c>
      <c r="W508" s="128" t="str">
        <f t="shared" si="38"/>
        <v>yes</v>
      </c>
      <c r="X508" s="128" t="str">
        <f t="shared" si="39"/>
        <v>--</v>
      </c>
    </row>
    <row r="509" spans="1:24" x14ac:dyDescent="0.25">
      <c r="A509" s="1352"/>
      <c r="B509" s="139" t="s">
        <v>1245</v>
      </c>
      <c r="C509" t="s">
        <v>1670</v>
      </c>
      <c r="D509" s="139"/>
      <c r="E509" s="64"/>
      <c r="F509" s="64"/>
      <c r="G509" s="64"/>
      <c r="H509" s="127"/>
      <c r="I509" s="139">
        <v>5</v>
      </c>
      <c r="J509" s="64" t="s">
        <v>1717</v>
      </c>
      <c r="K509" s="64">
        <v>630</v>
      </c>
      <c r="L509" s="64">
        <v>2</v>
      </c>
      <c r="M509" s="146" t="s">
        <v>1690</v>
      </c>
      <c r="N509" s="64">
        <v>5</v>
      </c>
      <c r="O509" s="64"/>
      <c r="P509" s="64"/>
      <c r="Q509" s="64"/>
      <c r="R509" s="127"/>
      <c r="V509" s="128" t="str">
        <f t="shared" si="37"/>
        <v>--</v>
      </c>
      <c r="W509" s="128" t="str">
        <f t="shared" si="38"/>
        <v>yes</v>
      </c>
      <c r="X509" s="128" t="str">
        <f t="shared" si="39"/>
        <v>--</v>
      </c>
    </row>
    <row r="510" spans="1:24" x14ac:dyDescent="0.25">
      <c r="A510" s="1352"/>
      <c r="B510" s="139" t="s">
        <v>1228</v>
      </c>
      <c r="C510" t="s">
        <v>1670</v>
      </c>
      <c r="D510" s="139"/>
      <c r="E510" s="64"/>
      <c r="F510" s="64"/>
      <c r="G510" s="64"/>
      <c r="H510" s="127"/>
      <c r="I510" s="139">
        <v>6</v>
      </c>
      <c r="J510" s="64" t="s">
        <v>1718</v>
      </c>
      <c r="K510" s="64">
        <v>630</v>
      </c>
      <c r="L510" s="64">
        <v>2</v>
      </c>
      <c r="M510" s="146" t="s">
        <v>1690</v>
      </c>
      <c r="N510" s="64">
        <v>6</v>
      </c>
      <c r="O510" s="64"/>
      <c r="P510" s="64"/>
      <c r="Q510" s="64"/>
      <c r="R510" s="127"/>
      <c r="V510" s="128" t="str">
        <f t="shared" si="37"/>
        <v>--</v>
      </c>
      <c r="W510" s="128" t="str">
        <f t="shared" si="38"/>
        <v>yes</v>
      </c>
      <c r="X510" s="128" t="str">
        <f t="shared" si="39"/>
        <v>--</v>
      </c>
    </row>
    <row r="511" spans="1:24" x14ac:dyDescent="0.25">
      <c r="A511" s="1352"/>
      <c r="B511" s="139" t="s">
        <v>1232</v>
      </c>
      <c r="C511" t="s">
        <v>1670</v>
      </c>
      <c r="D511" s="139"/>
      <c r="E511" s="64"/>
      <c r="F511" s="64"/>
      <c r="G511" s="64"/>
      <c r="H511" s="127"/>
      <c r="I511" s="139"/>
      <c r="J511" s="64"/>
      <c r="K511" s="64"/>
      <c r="L511" s="64"/>
      <c r="M511" s="146"/>
      <c r="N511" s="64"/>
      <c r="O511" s="64"/>
      <c r="P511" s="64"/>
      <c r="Q511" s="64"/>
      <c r="R511" s="127"/>
      <c r="V511" s="128" t="str">
        <f t="shared" si="37"/>
        <v>--</v>
      </c>
      <c r="W511" s="128" t="str">
        <f t="shared" si="38"/>
        <v>--</v>
      </c>
      <c r="X511" s="128" t="str">
        <f t="shared" si="39"/>
        <v>--</v>
      </c>
    </row>
    <row r="512" spans="1:24" x14ac:dyDescent="0.25">
      <c r="A512" s="1352"/>
      <c r="B512" s="139" t="s">
        <v>1239</v>
      </c>
      <c r="C512" t="s">
        <v>1670</v>
      </c>
      <c r="D512" s="139"/>
      <c r="E512" s="64"/>
      <c r="F512" s="64"/>
      <c r="G512" s="64"/>
      <c r="H512" s="127"/>
      <c r="I512" s="139"/>
      <c r="J512" s="64"/>
      <c r="K512" s="64"/>
      <c r="L512" s="64"/>
      <c r="M512" s="146"/>
      <c r="N512" s="64"/>
      <c r="O512" s="64"/>
      <c r="P512" s="64"/>
      <c r="Q512" s="64"/>
      <c r="R512" s="127"/>
      <c r="V512" s="128" t="str">
        <f t="shared" si="37"/>
        <v>--</v>
      </c>
      <c r="W512" s="128" t="str">
        <f t="shared" si="38"/>
        <v>--</v>
      </c>
      <c r="X512" s="128" t="str">
        <f t="shared" si="39"/>
        <v>--</v>
      </c>
    </row>
    <row r="513" spans="1:24" x14ac:dyDescent="0.25">
      <c r="A513" s="1352"/>
      <c r="B513" s="139" t="s">
        <v>1230</v>
      </c>
      <c r="C513" t="s">
        <v>1670</v>
      </c>
      <c r="D513" s="139"/>
      <c r="E513" s="64"/>
      <c r="F513" s="64"/>
      <c r="G513" s="64"/>
      <c r="H513" s="127"/>
      <c r="I513" s="139"/>
      <c r="J513" s="64"/>
      <c r="K513" s="64"/>
      <c r="L513" s="64"/>
      <c r="M513" s="146"/>
      <c r="N513" s="64"/>
      <c r="O513" s="64"/>
      <c r="P513" s="64"/>
      <c r="Q513" s="64"/>
      <c r="R513" s="127"/>
      <c r="V513" s="128" t="str">
        <f t="shared" si="37"/>
        <v>--</v>
      </c>
      <c r="W513" s="128" t="str">
        <f t="shared" si="38"/>
        <v>--</v>
      </c>
      <c r="X513" s="128" t="str">
        <f t="shared" si="39"/>
        <v>--</v>
      </c>
    </row>
    <row r="514" spans="1:24" x14ac:dyDescent="0.25">
      <c r="A514" s="1352"/>
      <c r="B514" s="139" t="s">
        <v>1238</v>
      </c>
      <c r="C514" t="s">
        <v>1670</v>
      </c>
      <c r="D514" s="139"/>
      <c r="E514" s="64"/>
      <c r="F514" s="64"/>
      <c r="G514" s="64"/>
      <c r="H514" s="127"/>
      <c r="I514" s="139"/>
      <c r="J514" s="64"/>
      <c r="K514" s="64"/>
      <c r="L514" s="64"/>
      <c r="M514" s="146"/>
      <c r="N514" s="64"/>
      <c r="O514" s="64"/>
      <c r="P514" s="64"/>
      <c r="Q514" s="64"/>
      <c r="R514" s="127"/>
      <c r="V514" s="128" t="str">
        <f t="shared" si="37"/>
        <v>--</v>
      </c>
      <c r="W514" s="128" t="str">
        <f t="shared" si="38"/>
        <v>--</v>
      </c>
      <c r="X514" s="128" t="str">
        <f t="shared" si="39"/>
        <v>--</v>
      </c>
    </row>
    <row r="515" spans="1:24" x14ac:dyDescent="0.25">
      <c r="A515" s="1352"/>
      <c r="B515" s="139" t="s">
        <v>1235</v>
      </c>
      <c r="C515" t="s">
        <v>1670</v>
      </c>
      <c r="D515" s="139"/>
      <c r="E515" s="64"/>
      <c r="F515" s="64"/>
      <c r="G515" s="64"/>
      <c r="H515" s="127"/>
      <c r="I515" s="139"/>
      <c r="J515" s="64"/>
      <c r="K515" s="64"/>
      <c r="L515" s="64"/>
      <c r="M515" s="146"/>
      <c r="N515" s="64"/>
      <c r="O515" s="64"/>
      <c r="P515" s="64"/>
      <c r="Q515" s="64"/>
      <c r="R515" s="127"/>
      <c r="V515" s="128" t="str">
        <f t="shared" si="37"/>
        <v>--</v>
      </c>
      <c r="W515" s="128" t="str">
        <f t="shared" si="38"/>
        <v>--</v>
      </c>
      <c r="X515" s="128" t="str">
        <f t="shared" si="39"/>
        <v>--</v>
      </c>
    </row>
    <row r="516" spans="1:24" x14ac:dyDescent="0.25">
      <c r="A516" s="1352"/>
      <c r="B516" s="139" t="s">
        <v>1243</v>
      </c>
      <c r="C516" t="s">
        <v>1670</v>
      </c>
      <c r="D516" s="139"/>
      <c r="E516" s="64"/>
      <c r="F516" s="64"/>
      <c r="G516" s="64"/>
      <c r="H516" s="127"/>
      <c r="I516" s="139"/>
      <c r="J516" s="64"/>
      <c r="K516" s="64"/>
      <c r="L516" s="64"/>
      <c r="M516" s="146"/>
      <c r="N516" s="64"/>
      <c r="O516" s="64"/>
      <c r="P516" s="64"/>
      <c r="Q516" s="64"/>
      <c r="R516" s="127"/>
      <c r="V516" s="128" t="str">
        <f t="shared" si="37"/>
        <v>--</v>
      </c>
      <c r="W516" s="128" t="str">
        <f t="shared" si="38"/>
        <v>--</v>
      </c>
      <c r="X516" s="128" t="str">
        <f t="shared" si="39"/>
        <v>--</v>
      </c>
    </row>
    <row r="517" spans="1:24" x14ac:dyDescent="0.25">
      <c r="A517" s="1352"/>
      <c r="B517" s="139" t="s">
        <v>1246</v>
      </c>
      <c r="C517" t="s">
        <v>1670</v>
      </c>
      <c r="D517" s="139"/>
      <c r="E517" s="64"/>
      <c r="F517" s="64"/>
      <c r="G517" s="64"/>
      <c r="H517" s="127"/>
      <c r="I517" s="139"/>
      <c r="J517" s="64"/>
      <c r="K517" s="64"/>
      <c r="L517" s="64"/>
      <c r="M517" s="146"/>
      <c r="N517" s="64"/>
      <c r="O517" s="64"/>
      <c r="P517" s="64"/>
      <c r="Q517" s="64"/>
      <c r="R517" s="127"/>
      <c r="V517" s="128" t="str">
        <f t="shared" si="37"/>
        <v>--</v>
      </c>
      <c r="W517" s="128" t="str">
        <f t="shared" si="38"/>
        <v>--</v>
      </c>
      <c r="X517" s="128" t="str">
        <f t="shared" si="39"/>
        <v>--</v>
      </c>
    </row>
    <row r="518" spans="1:24" x14ac:dyDescent="0.25">
      <c r="A518" s="1352"/>
      <c r="B518" s="131" t="s">
        <v>1240</v>
      </c>
      <c r="C518" t="s">
        <v>1670</v>
      </c>
      <c r="D518" s="131"/>
      <c r="E518" s="132"/>
      <c r="F518" s="132"/>
      <c r="G518" s="132"/>
      <c r="H518" s="134"/>
      <c r="I518" s="131"/>
      <c r="J518" s="132"/>
      <c r="K518" s="132"/>
      <c r="L518" s="132"/>
      <c r="M518" s="147"/>
      <c r="N518" s="132"/>
      <c r="O518" s="132"/>
      <c r="P518" s="132"/>
      <c r="Q518" s="132"/>
      <c r="R518" s="134"/>
      <c r="V518" s="128" t="str">
        <f t="shared" si="37"/>
        <v>--</v>
      </c>
      <c r="W518" s="128" t="str">
        <f t="shared" si="38"/>
        <v>--</v>
      </c>
      <c r="X518" s="128" t="str">
        <f t="shared" si="39"/>
        <v>--</v>
      </c>
    </row>
    <row r="519" spans="1:24" x14ac:dyDescent="0.25">
      <c r="A519" s="1352"/>
      <c r="B519" s="139" t="s">
        <v>1248</v>
      </c>
      <c r="C519" t="s">
        <v>1671</v>
      </c>
      <c r="D519" s="139">
        <v>1</v>
      </c>
      <c r="E519" s="64" t="s">
        <v>1430</v>
      </c>
      <c r="F519" s="64">
        <v>1824</v>
      </c>
      <c r="G519" s="64">
        <v>6</v>
      </c>
      <c r="H519" s="127" t="s">
        <v>580</v>
      </c>
      <c r="I519" s="139">
        <v>1</v>
      </c>
      <c r="J519" s="64" t="s">
        <v>1440</v>
      </c>
      <c r="K519" s="64">
        <v>2520</v>
      </c>
      <c r="L519" s="64">
        <v>8</v>
      </c>
      <c r="M519" s="127" t="s">
        <v>1690</v>
      </c>
      <c r="N519" s="64">
        <v>1</v>
      </c>
      <c r="O519" s="64" t="s">
        <v>1384</v>
      </c>
      <c r="P519" s="64">
        <v>4800</v>
      </c>
      <c r="Q519" s="64">
        <v>8</v>
      </c>
      <c r="R519" s="127" t="s">
        <v>1385</v>
      </c>
      <c r="V519" s="128" t="str">
        <f t="shared" si="37"/>
        <v>yes</v>
      </c>
      <c r="W519" s="128" t="str">
        <f t="shared" si="38"/>
        <v>yes</v>
      </c>
      <c r="X519" s="128" t="str">
        <f t="shared" si="39"/>
        <v>yes</v>
      </c>
    </row>
    <row r="520" spans="1:24" x14ac:dyDescent="0.25">
      <c r="A520" s="1352"/>
      <c r="B520" s="139" t="s">
        <v>1252</v>
      </c>
      <c r="C520" t="s">
        <v>1671</v>
      </c>
      <c r="D520" s="139">
        <v>2</v>
      </c>
      <c r="E520" s="64" t="s">
        <v>1441</v>
      </c>
      <c r="F520" s="64">
        <v>1440</v>
      </c>
      <c r="G520" s="64">
        <v>6</v>
      </c>
      <c r="H520" s="127" t="s">
        <v>580</v>
      </c>
      <c r="I520" s="139">
        <v>2</v>
      </c>
      <c r="J520" s="64" t="s">
        <v>1429</v>
      </c>
      <c r="K520" s="64">
        <v>2520</v>
      </c>
      <c r="L520" s="64">
        <v>8</v>
      </c>
      <c r="M520" s="127" t="s">
        <v>1690</v>
      </c>
      <c r="N520" s="64">
        <v>2</v>
      </c>
      <c r="O520" s="64" t="s">
        <v>1383</v>
      </c>
      <c r="P520" s="64">
        <v>2400</v>
      </c>
      <c r="Q520" s="64">
        <v>4</v>
      </c>
      <c r="R520" s="127" t="s">
        <v>1385</v>
      </c>
      <c r="V520" s="128" t="str">
        <f t="shared" si="37"/>
        <v>yes</v>
      </c>
      <c r="W520" s="128" t="str">
        <f t="shared" si="38"/>
        <v>yes</v>
      </c>
      <c r="X520" s="128" t="str">
        <f t="shared" si="39"/>
        <v>yes</v>
      </c>
    </row>
    <row r="521" spans="1:24" x14ac:dyDescent="0.25">
      <c r="A521" s="1352"/>
      <c r="B521" s="139" t="s">
        <v>1255</v>
      </c>
      <c r="C521" t="s">
        <v>1671</v>
      </c>
      <c r="D521" s="139">
        <v>3</v>
      </c>
      <c r="E521" s="64" t="s">
        <v>1421</v>
      </c>
      <c r="F521" s="64">
        <v>1216</v>
      </c>
      <c r="G521" s="64">
        <v>4</v>
      </c>
      <c r="H521" s="127" t="s">
        <v>580</v>
      </c>
      <c r="I521" s="139">
        <v>3</v>
      </c>
      <c r="J521" s="64" t="s">
        <v>1423</v>
      </c>
      <c r="K521" s="64">
        <v>1260</v>
      </c>
      <c r="L521" s="64">
        <v>4</v>
      </c>
      <c r="M521" s="127" t="s">
        <v>1690</v>
      </c>
      <c r="N521" s="64">
        <v>3</v>
      </c>
      <c r="O521" s="64"/>
      <c r="P521" s="64"/>
      <c r="Q521" s="64"/>
      <c r="R521" s="127"/>
      <c r="V521" s="128" t="str">
        <f t="shared" si="37"/>
        <v>yes</v>
      </c>
      <c r="W521" s="128" t="str">
        <f t="shared" si="38"/>
        <v>yes</v>
      </c>
      <c r="X521" s="128" t="str">
        <f t="shared" si="39"/>
        <v>--</v>
      </c>
    </row>
    <row r="522" spans="1:24" x14ac:dyDescent="0.25">
      <c r="A522" s="1352"/>
      <c r="B522" s="139" t="s">
        <v>1249</v>
      </c>
      <c r="C522" t="s">
        <v>1671</v>
      </c>
      <c r="D522" s="139">
        <v>4</v>
      </c>
      <c r="E522" s="64" t="s">
        <v>1432</v>
      </c>
      <c r="F522" s="64">
        <v>960</v>
      </c>
      <c r="G522" s="64">
        <v>4</v>
      </c>
      <c r="H522" s="127" t="s">
        <v>580</v>
      </c>
      <c r="I522" s="139">
        <v>4</v>
      </c>
      <c r="J522" s="64" t="s">
        <v>1434</v>
      </c>
      <c r="K522" s="64">
        <v>1260</v>
      </c>
      <c r="L522" s="64">
        <v>4</v>
      </c>
      <c r="M522" s="127" t="s">
        <v>1690</v>
      </c>
      <c r="N522" s="64">
        <v>4</v>
      </c>
      <c r="O522" s="64"/>
      <c r="P522" s="64"/>
      <c r="Q522" s="64"/>
      <c r="R522" s="127"/>
      <c r="V522" s="128" t="str">
        <f t="shared" si="37"/>
        <v>yes</v>
      </c>
      <c r="W522" s="128" t="str">
        <f t="shared" si="38"/>
        <v>yes</v>
      </c>
      <c r="X522" s="128" t="str">
        <f t="shared" si="39"/>
        <v>--</v>
      </c>
    </row>
    <row r="523" spans="1:24" x14ac:dyDescent="0.25">
      <c r="A523" s="1352"/>
      <c r="B523" s="139" t="s">
        <v>1257</v>
      </c>
      <c r="C523" t="s">
        <v>1671</v>
      </c>
      <c r="D523" s="139"/>
      <c r="E523" s="64"/>
      <c r="F523" s="64"/>
      <c r="G523" s="64"/>
      <c r="H523" s="127"/>
      <c r="I523" s="139">
        <v>5</v>
      </c>
      <c r="J523" s="64" t="s">
        <v>1717</v>
      </c>
      <c r="K523" s="64">
        <v>630</v>
      </c>
      <c r="L523" s="64">
        <v>2</v>
      </c>
      <c r="M523" s="146" t="s">
        <v>1690</v>
      </c>
      <c r="N523" s="64">
        <v>5</v>
      </c>
      <c r="O523" s="64"/>
      <c r="P523" s="64"/>
      <c r="Q523" s="64"/>
      <c r="R523" s="127"/>
      <c r="V523" s="128" t="str">
        <f t="shared" si="37"/>
        <v>--</v>
      </c>
      <c r="W523" s="128" t="str">
        <f t="shared" si="38"/>
        <v>yes</v>
      </c>
      <c r="X523" s="128" t="str">
        <f t="shared" si="39"/>
        <v>--</v>
      </c>
    </row>
    <row r="524" spans="1:24" x14ac:dyDescent="0.25">
      <c r="A524" s="1352"/>
      <c r="B524" s="139" t="s">
        <v>1254</v>
      </c>
      <c r="C524" t="s">
        <v>1671</v>
      </c>
      <c r="D524" s="139"/>
      <c r="E524" s="64"/>
      <c r="F524" s="64"/>
      <c r="G524" s="64"/>
      <c r="H524" s="127"/>
      <c r="I524" s="139">
        <v>6</v>
      </c>
      <c r="J524" s="64" t="s">
        <v>1718</v>
      </c>
      <c r="K524" s="64">
        <v>630</v>
      </c>
      <c r="L524" s="64">
        <v>2</v>
      </c>
      <c r="M524" s="146" t="s">
        <v>1690</v>
      </c>
      <c r="N524" s="64">
        <v>6</v>
      </c>
      <c r="O524" s="64"/>
      <c r="P524" s="64"/>
      <c r="Q524" s="64"/>
      <c r="R524" s="127"/>
      <c r="V524" s="128" t="str">
        <f t="shared" si="37"/>
        <v>--</v>
      </c>
      <c r="W524" s="128" t="str">
        <f t="shared" si="38"/>
        <v>yes</v>
      </c>
      <c r="X524" s="128" t="str">
        <f t="shared" si="39"/>
        <v>--</v>
      </c>
    </row>
    <row r="525" spans="1:24" x14ac:dyDescent="0.25">
      <c r="A525" s="1352"/>
      <c r="B525" s="139" t="s">
        <v>1256</v>
      </c>
      <c r="C525" t="s">
        <v>1671</v>
      </c>
      <c r="D525" s="139"/>
      <c r="E525" s="64"/>
      <c r="F525" s="64"/>
      <c r="G525" s="64"/>
      <c r="H525" s="127"/>
      <c r="I525" s="139"/>
      <c r="J525" s="64"/>
      <c r="K525" s="64"/>
      <c r="L525" s="64"/>
      <c r="M525" s="146"/>
      <c r="N525" s="64"/>
      <c r="O525" s="64"/>
      <c r="P525" s="64"/>
      <c r="Q525" s="64"/>
      <c r="R525" s="127"/>
      <c r="V525" s="128" t="str">
        <f t="shared" si="37"/>
        <v>--</v>
      </c>
      <c r="W525" s="128" t="str">
        <f t="shared" si="38"/>
        <v>--</v>
      </c>
      <c r="X525" s="128" t="str">
        <f t="shared" si="39"/>
        <v>--</v>
      </c>
    </row>
    <row r="526" spans="1:24" ht="15.75" thickBot="1" x14ac:dyDescent="0.3">
      <c r="A526" s="1359"/>
      <c r="B526" s="142" t="s">
        <v>1253</v>
      </c>
      <c r="C526" t="s">
        <v>1671</v>
      </c>
      <c r="D526" s="142"/>
      <c r="E526" s="136"/>
      <c r="F526" s="136"/>
      <c r="G526" s="136"/>
      <c r="H526" s="138"/>
      <c r="I526" s="142"/>
      <c r="J526" s="136"/>
      <c r="K526" s="136"/>
      <c r="L526" s="136"/>
      <c r="M526" s="148"/>
      <c r="N526" s="136"/>
      <c r="O526" s="136"/>
      <c r="P526" s="136"/>
      <c r="Q526" s="136"/>
      <c r="R526" s="138"/>
      <c r="V526" s="128" t="str">
        <f t="shared" si="37"/>
        <v>--</v>
      </c>
      <c r="W526" s="128" t="str">
        <f t="shared" si="38"/>
        <v>--</v>
      </c>
      <c r="X526" s="128" t="str">
        <f t="shared" si="39"/>
        <v>--</v>
      </c>
    </row>
  </sheetData>
  <sheetProtection algorithmName="SHA-512" hashValue="xV4lHExYYxIU/99a4c3TPrgMl4L50FzDF1IWD5KQk+30DqH2bPCVHDIj74L08Wy2bM8DKSQ3xsodGB03x+ztPw==" saltValue="GTNnJQPGHcV4W+LfGvoAhw==" spinCount="100000" sheet="1" objects="1" scenarios="1"/>
  <sortState xmlns:xlrd2="http://schemas.microsoft.com/office/spreadsheetml/2017/richdata2" ref="E217:H226">
    <sortCondition descending="1" ref="F217:F226"/>
  </sortState>
  <mergeCells count="16">
    <mergeCell ref="A357:A419"/>
    <mergeCell ref="A420:A451"/>
    <mergeCell ref="A452:A526"/>
    <mergeCell ref="A106:A165"/>
    <mergeCell ref="A166:A213"/>
    <mergeCell ref="A254:A291"/>
    <mergeCell ref="A292:A356"/>
    <mergeCell ref="A214:A216"/>
    <mergeCell ref="A217:A227"/>
    <mergeCell ref="A228:A253"/>
    <mergeCell ref="A62:A105"/>
    <mergeCell ref="A16:A17"/>
    <mergeCell ref="E16:H16"/>
    <mergeCell ref="J16:M16"/>
    <mergeCell ref="O16:R16"/>
    <mergeCell ref="A18:A61"/>
  </mergeCells>
  <phoneticPr fontId="11" type="noConversion"/>
  <conditionalFormatting sqref="D2:D9">
    <cfRule type="cellIs" dxfId="6" priority="1" operator="equal">
      <formula>"No"</formula>
    </cfRule>
    <cfRule type="cellIs" dxfId="5" priority="2" operator="equal">
      <formula>"Yes"</formula>
    </cfRule>
  </conditionalFormatting>
  <dataValidations disablePrompts="1" count="1">
    <dataValidation type="list" allowBlank="1" showInputMessage="1" showErrorMessage="1" sqref="D2:D9" xr:uid="{310E2F8A-217E-4999-9EB5-045175D3E26D}">
      <formula1>Option</formula1>
    </dataValidation>
  </dataValidations>
  <pageMargins left="0.7" right="0.7" top="0.75" bottom="0.75" header="0.3" footer="0.3"/>
  <pageSetup paperSize="149"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dimension ref="B1:O68"/>
  <sheetViews>
    <sheetView zoomScale="90" zoomScaleNormal="90" workbookViewId="0">
      <selection activeCell="E36" sqref="E36"/>
    </sheetView>
  </sheetViews>
  <sheetFormatPr defaultColWidth="9.140625" defaultRowHeight="12.75" x14ac:dyDescent="0.25"/>
  <cols>
    <col min="1" max="1" width="3.7109375" style="2" customWidth="1"/>
    <col min="2" max="2" width="41.140625" style="2" customWidth="1"/>
    <col min="3" max="3" width="18.5703125" style="60" customWidth="1"/>
    <col min="4" max="4" width="15" style="60" customWidth="1"/>
    <col min="5" max="10" width="9.140625" style="2"/>
    <col min="11" max="11" width="48.140625" style="2" bestFit="1" customWidth="1"/>
    <col min="12" max="16384" width="9.140625" style="2"/>
  </cols>
  <sheetData>
    <row r="1" spans="2:12" ht="15" x14ac:dyDescent="0.25">
      <c r="B1" s="53" t="s">
        <v>1088</v>
      </c>
    </row>
    <row r="2" spans="2:12" ht="15" x14ac:dyDescent="0.25">
      <c r="B2" s="107" t="s">
        <v>264</v>
      </c>
      <c r="F2" s="38"/>
      <c r="I2" s="307" t="s">
        <v>1087</v>
      </c>
    </row>
    <row r="3" spans="2:12" x14ac:dyDescent="0.25">
      <c r="B3" s="106">
        <f>COUNTA(Table1[State/Territory])</f>
        <v>59</v>
      </c>
      <c r="E3" s="106">
        <f>COUNTA(Table1[1/8/2025])</f>
        <v>59</v>
      </c>
      <c r="F3" s="60">
        <f>B3-E3</f>
        <v>0</v>
      </c>
      <c r="G3" s="2" t="s">
        <v>287</v>
      </c>
    </row>
    <row r="4" spans="2:12" s="52" customFormat="1" ht="15" customHeight="1" x14ac:dyDescent="0.25">
      <c r="B4" s="28" t="s">
        <v>284</v>
      </c>
      <c r="C4" s="61" t="s">
        <v>282</v>
      </c>
      <c r="D4" s="62" t="s">
        <v>283</v>
      </c>
      <c r="E4" s="468" t="s">
        <v>1729</v>
      </c>
      <c r="F4" s="2"/>
      <c r="G4" s="54" t="s">
        <v>285</v>
      </c>
      <c r="H4" s="55" t="s">
        <v>286</v>
      </c>
    </row>
    <row r="5" spans="2:12" ht="15" customHeight="1" x14ac:dyDescent="0.25">
      <c r="B5" s="1" t="s">
        <v>86</v>
      </c>
      <c r="C5" s="3" t="s">
        <v>86</v>
      </c>
      <c r="D5" s="60" t="s">
        <v>265</v>
      </c>
      <c r="E5" s="60" t="s">
        <v>478</v>
      </c>
      <c r="G5" s="56" t="s">
        <v>1379</v>
      </c>
      <c r="H5" s="57" t="s">
        <v>86</v>
      </c>
      <c r="K5" s="2" t="s">
        <v>295</v>
      </c>
      <c r="L5" s="2" t="s">
        <v>615</v>
      </c>
    </row>
    <row r="6" spans="2:12" ht="15" customHeight="1" x14ac:dyDescent="0.25">
      <c r="B6" s="1" t="s">
        <v>89</v>
      </c>
      <c r="C6" s="3" t="s">
        <v>89</v>
      </c>
      <c r="D6" s="60" t="s">
        <v>265</v>
      </c>
      <c r="E6" s="60" t="s">
        <v>478</v>
      </c>
      <c r="G6" s="56" t="s">
        <v>1380</v>
      </c>
      <c r="H6" s="57" t="s">
        <v>86</v>
      </c>
      <c r="K6" s="2" t="s">
        <v>288</v>
      </c>
      <c r="L6" s="2" t="s">
        <v>615</v>
      </c>
    </row>
    <row r="7" spans="2:12" ht="15" customHeight="1" x14ac:dyDescent="0.25">
      <c r="B7" s="1" t="s">
        <v>281</v>
      </c>
      <c r="C7" s="3" t="s">
        <v>281</v>
      </c>
      <c r="D7" s="60" t="s">
        <v>265</v>
      </c>
      <c r="E7" s="60" t="s">
        <v>478</v>
      </c>
      <c r="G7" s="56" t="s">
        <v>1378</v>
      </c>
      <c r="H7" s="57" t="s">
        <v>86</v>
      </c>
      <c r="K7" s="2" t="s">
        <v>309</v>
      </c>
      <c r="L7" s="2" t="s">
        <v>615</v>
      </c>
    </row>
    <row r="8" spans="2:12" ht="15" customHeight="1" x14ac:dyDescent="0.25">
      <c r="B8" s="1" t="s">
        <v>1018</v>
      </c>
      <c r="C8" s="60" t="s">
        <v>1018</v>
      </c>
      <c r="D8" s="60" t="s">
        <v>265</v>
      </c>
      <c r="E8" s="60" t="s">
        <v>478</v>
      </c>
      <c r="G8" s="56" t="s">
        <v>1375</v>
      </c>
      <c r="H8" s="57" t="s">
        <v>89</v>
      </c>
      <c r="K8" s="2" t="s">
        <v>273</v>
      </c>
      <c r="L8" s="2" t="s">
        <v>615</v>
      </c>
    </row>
    <row r="9" spans="2:12" ht="15" customHeight="1" x14ac:dyDescent="0.25">
      <c r="B9" s="37" t="s">
        <v>266</v>
      </c>
      <c r="C9" s="60" t="str">
        <f>VLOOKUP(Table1[[#This Row],[IBC Code]],Table15[#All],2,FALSE)</f>
        <v>ASCE 7-16</v>
      </c>
      <c r="D9" s="60" t="s">
        <v>1374</v>
      </c>
      <c r="E9" s="60" t="s">
        <v>478</v>
      </c>
      <c r="G9" s="58" t="s">
        <v>1377</v>
      </c>
      <c r="H9" s="59" t="s">
        <v>89</v>
      </c>
      <c r="K9" s="2" t="s">
        <v>274</v>
      </c>
      <c r="L9" s="2" t="s">
        <v>615</v>
      </c>
    </row>
    <row r="10" spans="2:12" ht="15" customHeight="1" x14ac:dyDescent="0.25">
      <c r="B10" s="37" t="s">
        <v>267</v>
      </c>
      <c r="C10" s="60" t="str">
        <f>VLOOKUP(Table1[[#This Row],[IBC Code]],Table15[#All],2,FALSE)</f>
        <v>ASCE 7-16</v>
      </c>
      <c r="D10" s="60" t="s">
        <v>1374</v>
      </c>
      <c r="E10" s="60" t="s">
        <v>478</v>
      </c>
      <c r="G10" s="58" t="s">
        <v>1376</v>
      </c>
      <c r="H10" s="59" t="s">
        <v>281</v>
      </c>
      <c r="K10" s="2" t="s">
        <v>308</v>
      </c>
      <c r="L10" s="2" t="s">
        <v>615</v>
      </c>
    </row>
    <row r="11" spans="2:12" ht="15" customHeight="1" x14ac:dyDescent="0.25">
      <c r="B11" s="37" t="s">
        <v>268</v>
      </c>
      <c r="C11" s="60" t="str">
        <f>VLOOKUP(Table1[[#This Row],[IBC Code]],Table15[#All],2,FALSE)</f>
        <v>ASCE 7-16</v>
      </c>
      <c r="D11" s="60" t="s">
        <v>1376</v>
      </c>
      <c r="E11" s="60" t="s">
        <v>478</v>
      </c>
      <c r="G11" s="56" t="s">
        <v>1374</v>
      </c>
      <c r="H11" s="57" t="s">
        <v>281</v>
      </c>
      <c r="K11" s="2" t="s">
        <v>271</v>
      </c>
      <c r="L11" s="2" t="s">
        <v>616</v>
      </c>
    </row>
    <row r="12" spans="2:12" ht="15" customHeight="1" x14ac:dyDescent="0.25">
      <c r="B12" s="37" t="s">
        <v>269</v>
      </c>
      <c r="C12" s="60" t="str">
        <f>VLOOKUP(Table1[[#This Row],[IBC Code]],Table15[#All],2,FALSE)</f>
        <v>ASCE 7-16</v>
      </c>
      <c r="D12" s="60" t="s">
        <v>1374</v>
      </c>
      <c r="E12" s="60" t="s">
        <v>478</v>
      </c>
      <c r="G12" s="56" t="s">
        <v>1459</v>
      </c>
      <c r="H12" s="57" t="s">
        <v>1018</v>
      </c>
      <c r="K12" s="2" t="s">
        <v>407</v>
      </c>
      <c r="L12" s="2" t="s">
        <v>616</v>
      </c>
    </row>
    <row r="13" spans="2:12" ht="15" customHeight="1" x14ac:dyDescent="0.25">
      <c r="B13" s="37" t="s">
        <v>270</v>
      </c>
      <c r="C13" s="60" t="str">
        <f>VLOOKUP(Table1[[#This Row],[IBC Code]],Table15[#All],2,FALSE)</f>
        <v>ASCE 7-22</v>
      </c>
      <c r="D13" s="60" t="s">
        <v>1459</v>
      </c>
      <c r="E13" s="60" t="s">
        <v>478</v>
      </c>
      <c r="K13" s="2" t="s">
        <v>600</v>
      </c>
      <c r="L13" s="2" t="s">
        <v>616</v>
      </c>
    </row>
    <row r="14" spans="2:12" ht="15" customHeight="1" x14ac:dyDescent="0.25">
      <c r="B14" s="37" t="s">
        <v>271</v>
      </c>
      <c r="C14" s="60" t="str">
        <f>VLOOKUP(Table1[[#This Row],[IBC Code]],Table15[#All],2,FALSE)</f>
        <v>ASCE 7-16</v>
      </c>
      <c r="D14" s="60" t="s">
        <v>1374</v>
      </c>
      <c r="E14" s="60" t="s">
        <v>478</v>
      </c>
      <c r="K14" s="2" t="s">
        <v>601</v>
      </c>
      <c r="L14" s="2" t="s">
        <v>616</v>
      </c>
    </row>
    <row r="15" spans="2:12" ht="15" customHeight="1" x14ac:dyDescent="0.25">
      <c r="B15" s="37" t="s">
        <v>288</v>
      </c>
      <c r="C15" s="60" t="str">
        <f>VLOOKUP(Table1[[#This Row],[IBC Code]],Table15[#All],2,FALSE)</f>
        <v>ASCE 7-16</v>
      </c>
      <c r="D15" s="60" t="s">
        <v>1374</v>
      </c>
      <c r="E15" s="60" t="s">
        <v>478</v>
      </c>
      <c r="K15" s="2" t="s">
        <v>313</v>
      </c>
      <c r="L15" s="2" t="s">
        <v>616</v>
      </c>
    </row>
    <row r="16" spans="2:12" ht="15" customHeight="1" x14ac:dyDescent="0.25">
      <c r="B16" s="37" t="s">
        <v>290</v>
      </c>
      <c r="C16" s="60" t="str">
        <f>VLOOKUP(Table1[[#This Row],[IBC Code]],Table15[#All],2,FALSE)</f>
        <v>ASCE 7-16</v>
      </c>
      <c r="D16" s="60" t="s">
        <v>1376</v>
      </c>
      <c r="E16" s="60" t="s">
        <v>478</v>
      </c>
      <c r="H16" s="724"/>
      <c r="K16" s="2" t="s">
        <v>479</v>
      </c>
      <c r="L16" s="2" t="s">
        <v>617</v>
      </c>
    </row>
    <row r="17" spans="2:15" ht="15" customHeight="1" x14ac:dyDescent="0.25">
      <c r="B17" s="37" t="s">
        <v>272</v>
      </c>
      <c r="C17" s="60" t="str">
        <f>VLOOKUP(Table1[[#This Row],[IBC Code]],Table15[#All],2,FALSE)</f>
        <v>ASCE 7-10</v>
      </c>
      <c r="D17" s="60" t="s">
        <v>1377</v>
      </c>
      <c r="E17" s="60" t="s">
        <v>478</v>
      </c>
      <c r="K17" s="2" t="s">
        <v>602</v>
      </c>
      <c r="L17" s="2" t="s">
        <v>1608</v>
      </c>
    </row>
    <row r="18" spans="2:15" ht="15" customHeight="1" x14ac:dyDescent="0.25">
      <c r="B18" s="37" t="s">
        <v>273</v>
      </c>
      <c r="C18" s="60" t="str">
        <f>VLOOKUP(Table1[[#This Row],[IBC Code]],Table15[#All],2,FALSE)</f>
        <v>ASCE 7-16</v>
      </c>
      <c r="D18" s="60" t="s">
        <v>1374</v>
      </c>
      <c r="E18" s="60" t="s">
        <v>478</v>
      </c>
      <c r="F18" s="2" t="s">
        <v>1460</v>
      </c>
      <c r="K18" s="2" t="s">
        <v>608</v>
      </c>
      <c r="L18" s="2" t="s">
        <v>618</v>
      </c>
    </row>
    <row r="19" spans="2:15" ht="15" customHeight="1" x14ac:dyDescent="0.25">
      <c r="B19" s="797" t="s">
        <v>1727</v>
      </c>
      <c r="C19" s="60" t="str">
        <f>VLOOKUP(Table1[[#This Row],[IBC Code]],Table15[#All],2,FALSE)</f>
        <v>ASCE 7-16</v>
      </c>
      <c r="D19" s="60" t="s">
        <v>1376</v>
      </c>
      <c r="E19" s="60" t="s">
        <v>478</v>
      </c>
      <c r="K19" s="2" t="s">
        <v>603</v>
      </c>
      <c r="L19" s="2" t="s">
        <v>619</v>
      </c>
    </row>
    <row r="20" spans="2:15" ht="15" customHeight="1" x14ac:dyDescent="0.25">
      <c r="B20" s="37" t="s">
        <v>320</v>
      </c>
      <c r="C20" s="60" t="str">
        <f>VLOOKUP(Table1[[#This Row],[IBC Code]],Table15[#All],2,FALSE)</f>
        <v>ASCE 7-05</v>
      </c>
      <c r="D20" s="60" t="s">
        <v>1378</v>
      </c>
      <c r="E20" s="60" t="s">
        <v>478</v>
      </c>
    </row>
    <row r="21" spans="2:15" ht="15" customHeight="1" x14ac:dyDescent="0.25">
      <c r="B21" s="37" t="s">
        <v>274</v>
      </c>
      <c r="C21" s="60" t="str">
        <f>VLOOKUP(Table1[[#This Row],[IBC Code]],Table15[#All],2,FALSE)</f>
        <v>ASCE 7-16</v>
      </c>
      <c r="D21" s="60" t="s">
        <v>1376</v>
      </c>
      <c r="E21" s="60" t="s">
        <v>478</v>
      </c>
      <c r="K21" s="2" t="s">
        <v>322</v>
      </c>
      <c r="L21" s="2" t="s">
        <v>609</v>
      </c>
    </row>
    <row r="22" spans="2:15" ht="15" customHeight="1" x14ac:dyDescent="0.25">
      <c r="B22" s="37" t="s">
        <v>275</v>
      </c>
      <c r="C22" s="60" t="str">
        <f>VLOOKUP(Table1[[#This Row],[IBC Code]],Table15[#All],2,FALSE)</f>
        <v>ASCE 7-16</v>
      </c>
      <c r="D22" s="60" t="s">
        <v>1376</v>
      </c>
      <c r="E22" s="60" t="s">
        <v>478</v>
      </c>
      <c r="K22" s="2" t="s">
        <v>321</v>
      </c>
      <c r="L22" s="2" t="s">
        <v>609</v>
      </c>
    </row>
    <row r="23" spans="2:15" ht="15" customHeight="1" x14ac:dyDescent="0.25">
      <c r="B23" s="39" t="s">
        <v>610</v>
      </c>
      <c r="C23" s="60" t="str">
        <f>VLOOKUP(Table1[[#This Row],[IBC Code]],Table15[#All],2,FALSE)</f>
        <v>ASCE 7-16</v>
      </c>
      <c r="D23" s="60" t="s">
        <v>1374</v>
      </c>
      <c r="E23" s="60" t="s">
        <v>478</v>
      </c>
      <c r="F23" s="2" t="s">
        <v>1397</v>
      </c>
      <c r="K23" s="2" t="s">
        <v>323</v>
      </c>
      <c r="L23" s="2" t="s">
        <v>609</v>
      </c>
    </row>
    <row r="24" spans="2:15" ht="15" customHeight="1" x14ac:dyDescent="0.25">
      <c r="B24" s="37" t="s">
        <v>276</v>
      </c>
      <c r="C24" s="60" t="str">
        <f>VLOOKUP(Table1[[#This Row],[IBC Code]],Table15[#All],2,FALSE)</f>
        <v>ASCE 7-10</v>
      </c>
      <c r="D24" s="60" t="s">
        <v>1375</v>
      </c>
      <c r="E24" s="60" t="s">
        <v>478</v>
      </c>
      <c r="F24" s="2" t="s">
        <v>1728</v>
      </c>
    </row>
    <row r="25" spans="2:15" ht="15" customHeight="1" x14ac:dyDescent="0.25">
      <c r="B25" s="37" t="s">
        <v>277</v>
      </c>
      <c r="C25" s="60" t="str">
        <f>VLOOKUP(Table1[[#This Row],[IBC Code]],Table15[#All],2,FALSE)</f>
        <v>ASCE 7-22</v>
      </c>
      <c r="D25" s="60" t="s">
        <v>1459</v>
      </c>
      <c r="E25" s="60" t="s">
        <v>478</v>
      </c>
      <c r="O25" s="2" t="s">
        <v>598</v>
      </c>
    </row>
    <row r="26" spans="2:15" ht="15" customHeight="1" x14ac:dyDescent="0.25">
      <c r="B26" s="37" t="s">
        <v>480</v>
      </c>
      <c r="C26" s="60" t="str">
        <f>VLOOKUP(Table1[[#This Row],[IBC Code]],Table15[#All],2,FALSE)</f>
        <v>ASCE 7-16</v>
      </c>
      <c r="D26" s="60" t="s">
        <v>1376</v>
      </c>
      <c r="E26" s="60" t="s">
        <v>478</v>
      </c>
      <c r="O26" s="2" t="s">
        <v>295</v>
      </c>
    </row>
    <row r="27" spans="2:15" ht="15" customHeight="1" x14ac:dyDescent="0.25">
      <c r="B27" s="37" t="s">
        <v>291</v>
      </c>
      <c r="C27" s="60" t="str">
        <f>VLOOKUP(Table1[[#This Row],[IBC Code]],Table15[#All],2,FALSE)</f>
        <v>ASCE 7-10</v>
      </c>
      <c r="D27" s="60" t="s">
        <v>1377</v>
      </c>
      <c r="E27" s="60" t="s">
        <v>478</v>
      </c>
      <c r="O27" s="2" t="s">
        <v>288</v>
      </c>
    </row>
    <row r="28" spans="2:15" ht="15" customHeight="1" x14ac:dyDescent="0.25">
      <c r="B28" s="37" t="s">
        <v>292</v>
      </c>
      <c r="C28" s="60" t="str">
        <f>VLOOKUP(Table1[[#This Row],[IBC Code]],Table15[#All],2,FALSE)</f>
        <v>ASCE 7-16</v>
      </c>
      <c r="D28" s="60" t="s">
        <v>1374</v>
      </c>
      <c r="E28" s="60" t="s">
        <v>478</v>
      </c>
      <c r="O28" s="2" t="s">
        <v>309</v>
      </c>
    </row>
    <row r="29" spans="2:15" ht="15" customHeight="1" x14ac:dyDescent="0.25">
      <c r="B29" s="37" t="s">
        <v>293</v>
      </c>
      <c r="C29" s="60" t="str">
        <f>VLOOKUP(Table1[[#This Row],[IBC Code]],Table15[#All],2,FALSE)</f>
        <v>ASCE 7-16</v>
      </c>
      <c r="D29" s="60" t="s">
        <v>1374</v>
      </c>
      <c r="E29" s="60" t="s">
        <v>478</v>
      </c>
      <c r="G29"/>
      <c r="O29" s="2" t="s">
        <v>273</v>
      </c>
    </row>
    <row r="30" spans="2:15" ht="15" customHeight="1" x14ac:dyDescent="0.25">
      <c r="B30" s="37" t="s">
        <v>294</v>
      </c>
      <c r="C30" s="60" t="str">
        <f>VLOOKUP(Table1[[#This Row],[IBC Code]],Table15[#All],2,FALSE)</f>
        <v>ASCE 7-16</v>
      </c>
      <c r="D30" s="60" t="s">
        <v>1374</v>
      </c>
      <c r="E30" s="60" t="s">
        <v>478</v>
      </c>
      <c r="O30" s="2" t="s">
        <v>274</v>
      </c>
    </row>
    <row r="31" spans="2:15" ht="15" customHeight="1" x14ac:dyDescent="0.25">
      <c r="B31" s="37" t="s">
        <v>295</v>
      </c>
      <c r="C31" s="60" t="str">
        <f>VLOOKUP(Table1[[#This Row],[IBC Code]],Table15[#All],2,FALSE)</f>
        <v>ASCE 7-16</v>
      </c>
      <c r="D31" s="60" t="s">
        <v>1374</v>
      </c>
      <c r="E31" s="60" t="s">
        <v>478</v>
      </c>
      <c r="O31" s="2" t="s">
        <v>308</v>
      </c>
    </row>
    <row r="32" spans="2:15" ht="15" customHeight="1" x14ac:dyDescent="0.25">
      <c r="B32" s="37" t="s">
        <v>289</v>
      </c>
      <c r="C32" s="60" t="str">
        <f>VLOOKUP(Table1[[#This Row],[IBC Code]],Table15[#All],2,FALSE)</f>
        <v>ASCE 7-10</v>
      </c>
      <c r="D32" s="60" t="s">
        <v>1377</v>
      </c>
      <c r="E32" s="60" t="s">
        <v>478</v>
      </c>
    </row>
    <row r="33" spans="2:15" ht="15" customHeight="1" x14ac:dyDescent="0.25">
      <c r="B33" s="37" t="s">
        <v>296</v>
      </c>
      <c r="C33" s="60" t="str">
        <f>VLOOKUP(Table1[[#This Row],[IBC Code]],Table15[#All],2,FALSE)</f>
        <v>ASCE 7-16</v>
      </c>
      <c r="D33" s="60" t="s">
        <v>1376</v>
      </c>
      <c r="E33" s="60" t="s">
        <v>478</v>
      </c>
      <c r="O33" s="2" t="s">
        <v>599</v>
      </c>
    </row>
    <row r="34" spans="2:15" ht="15" customHeight="1" x14ac:dyDescent="0.25">
      <c r="B34" s="37" t="s">
        <v>297</v>
      </c>
      <c r="C34" s="60" t="str">
        <f>VLOOKUP(Table1[[#This Row],[IBC Code]],Table15[#All],2,FALSE)</f>
        <v>ASCE 7-22</v>
      </c>
      <c r="D34" s="60" t="s">
        <v>1459</v>
      </c>
      <c r="E34" s="60" t="s">
        <v>478</v>
      </c>
      <c r="O34" s="2" t="s">
        <v>271</v>
      </c>
    </row>
    <row r="35" spans="2:15" ht="15" customHeight="1" x14ac:dyDescent="0.25">
      <c r="B35" s="37" t="s">
        <v>298</v>
      </c>
      <c r="C35" s="60" t="str">
        <f>VLOOKUP(Table1[[#This Row],[IBC Code]],Table15[#All],2,FALSE)</f>
        <v>ASCE 7-16</v>
      </c>
      <c r="D35" s="60" t="s">
        <v>1376</v>
      </c>
      <c r="E35" s="60" t="s">
        <v>478</v>
      </c>
      <c r="I35" s="307"/>
      <c r="O35" s="2" t="s">
        <v>407</v>
      </c>
    </row>
    <row r="36" spans="2:15" ht="15" customHeight="1" x14ac:dyDescent="0.25">
      <c r="B36" s="37" t="s">
        <v>299</v>
      </c>
      <c r="C36" s="60" t="str">
        <f>VLOOKUP(Table1[[#This Row],[IBC Code]],Table15[#All],2,FALSE)</f>
        <v>ASCE 7-16</v>
      </c>
      <c r="D36" s="60" t="s">
        <v>1374</v>
      </c>
      <c r="E36" s="60" t="s">
        <v>478</v>
      </c>
      <c r="I36" s="307"/>
      <c r="O36" s="2" t="s">
        <v>600</v>
      </c>
    </row>
    <row r="37" spans="2:15" ht="15" customHeight="1" x14ac:dyDescent="0.25">
      <c r="B37" s="37" t="s">
        <v>300</v>
      </c>
      <c r="C37" s="60" t="str">
        <f>VLOOKUP(Table1[[#This Row],[IBC Code]],Table15[#All],2,FALSE)</f>
        <v>ASCE 7-16</v>
      </c>
      <c r="D37" s="60" t="s">
        <v>1376</v>
      </c>
      <c r="E37" s="60" t="s">
        <v>478</v>
      </c>
      <c r="O37" s="2" t="s">
        <v>601</v>
      </c>
    </row>
    <row r="38" spans="2:15" ht="15" customHeight="1" x14ac:dyDescent="0.25">
      <c r="B38" s="37" t="s">
        <v>301</v>
      </c>
      <c r="C38" s="60" t="str">
        <f>VLOOKUP(Table1[[#This Row],[IBC Code]],Table15[#All],2,FALSE)</f>
        <v>ASCE 7-16</v>
      </c>
      <c r="D38" s="60" t="s">
        <v>1376</v>
      </c>
      <c r="E38" s="60" t="s">
        <v>478</v>
      </c>
      <c r="O38" s="2" t="s">
        <v>313</v>
      </c>
    </row>
    <row r="39" spans="2:15" ht="15" customHeight="1" x14ac:dyDescent="0.25">
      <c r="B39" s="37" t="s">
        <v>302</v>
      </c>
      <c r="C39" s="60" t="str">
        <f>VLOOKUP(Table1[[#This Row],[IBC Code]],Table15[#All],2,FALSE)</f>
        <v>ASCE 7-16</v>
      </c>
      <c r="D39" s="60" t="s">
        <v>1376</v>
      </c>
      <c r="E39" s="60" t="s">
        <v>478</v>
      </c>
    </row>
    <row r="40" spans="2:15" ht="15" customHeight="1" x14ac:dyDescent="0.25">
      <c r="B40" s="37" t="s">
        <v>614</v>
      </c>
      <c r="C40" s="60" t="str">
        <f>VLOOKUP(Table1[[#This Row],[IBC Code]],Table15[#All],2,FALSE)</f>
        <v>ASCE 7-16</v>
      </c>
      <c r="D40" s="60" t="s">
        <v>1374</v>
      </c>
      <c r="E40" s="60" t="s">
        <v>478</v>
      </c>
      <c r="O40" s="2" t="s">
        <v>604</v>
      </c>
    </row>
    <row r="41" spans="2:15" ht="15" customHeight="1" x14ac:dyDescent="0.25">
      <c r="B41" s="37" t="s">
        <v>303</v>
      </c>
      <c r="C41" s="60" t="str">
        <f>VLOOKUP(Table1[[#This Row],[IBC Code]],Table15[#All],2,FALSE)</f>
        <v>ASCE 7-16</v>
      </c>
      <c r="D41" s="60" t="s">
        <v>1374</v>
      </c>
      <c r="E41" s="60" t="s">
        <v>478</v>
      </c>
      <c r="O41" s="2" t="s">
        <v>479</v>
      </c>
    </row>
    <row r="42" spans="2:15" ht="15" customHeight="1" x14ac:dyDescent="0.25">
      <c r="B42" s="37" t="s">
        <v>611</v>
      </c>
      <c r="C42" s="60" t="str">
        <f>VLOOKUP(Table1[[#This Row],[IBC Code]],Table15[#All],2,FALSE)</f>
        <v>ASCE 7-16</v>
      </c>
      <c r="D42" s="60" t="s">
        <v>1376</v>
      </c>
      <c r="E42" s="60" t="s">
        <v>478</v>
      </c>
      <c r="O42" s="2" t="s">
        <v>602</v>
      </c>
    </row>
    <row r="43" spans="2:15" ht="15" customHeight="1" x14ac:dyDescent="0.25">
      <c r="B43" s="37" t="s">
        <v>304</v>
      </c>
      <c r="C43" s="60" t="str">
        <f>VLOOKUP(Table1[[#This Row],[IBC Code]],Table15[#All],2,FALSE)</f>
        <v>ASCE 7-16</v>
      </c>
      <c r="D43" s="60" t="s">
        <v>1374</v>
      </c>
      <c r="E43" s="60" t="s">
        <v>478</v>
      </c>
      <c r="O43" s="2" t="s">
        <v>605</v>
      </c>
    </row>
    <row r="44" spans="2:15" ht="15" customHeight="1" x14ac:dyDescent="0.25">
      <c r="B44" s="37" t="s">
        <v>305</v>
      </c>
      <c r="C44" s="60" t="str">
        <f>VLOOKUP(Table1[[#This Row],[IBC Code]],Table15[#All],2,FALSE)</f>
        <v>ASCE 7-16</v>
      </c>
      <c r="D44" s="60" t="s">
        <v>1374</v>
      </c>
      <c r="E44" s="60" t="s">
        <v>478</v>
      </c>
      <c r="O44" s="2" t="s">
        <v>603</v>
      </c>
    </row>
    <row r="45" spans="2:15" ht="15" customHeight="1" x14ac:dyDescent="0.25">
      <c r="B45" s="37" t="s">
        <v>322</v>
      </c>
      <c r="C45" s="60" t="str">
        <f>VLOOKUP(Table1[[#This Row],[IBC Code]],Table15[#All],2,FALSE)</f>
        <v>ASCE 7-05</v>
      </c>
      <c r="D45" s="60" t="s">
        <v>1378</v>
      </c>
      <c r="E45" s="60" t="s">
        <v>478</v>
      </c>
    </row>
    <row r="46" spans="2:15" ht="15" customHeight="1" x14ac:dyDescent="0.25">
      <c r="B46" s="37" t="s">
        <v>306</v>
      </c>
      <c r="C46" s="60" t="str">
        <f>VLOOKUP(Table1[[#This Row],[IBC Code]],Table15[#All],2,FALSE)</f>
        <v>ASCE 7-16</v>
      </c>
      <c r="D46" s="60" t="s">
        <v>1374</v>
      </c>
      <c r="E46" s="60" t="s">
        <v>478</v>
      </c>
      <c r="O46" s="2" t="s">
        <v>606</v>
      </c>
    </row>
    <row r="47" spans="2:15" ht="15" customHeight="1" x14ac:dyDescent="0.25">
      <c r="B47" s="37" t="s">
        <v>307</v>
      </c>
      <c r="C47" s="60" t="str">
        <f>VLOOKUP(Table1[[#This Row],[IBC Code]],Table15[#All],2,FALSE)</f>
        <v>ASCE 7-16</v>
      </c>
      <c r="D47" s="60" t="s">
        <v>1376</v>
      </c>
      <c r="E47" s="60" t="s">
        <v>478</v>
      </c>
      <c r="O47" s="2" t="s">
        <v>607</v>
      </c>
    </row>
    <row r="48" spans="2:15" ht="15" customHeight="1" x14ac:dyDescent="0.25">
      <c r="B48" s="37" t="s">
        <v>308</v>
      </c>
      <c r="C48" s="60" t="str">
        <f>VLOOKUP(Table1[[#This Row],[IBC Code]],Table15[#All],2,FALSE)</f>
        <v>ASCE 7-16</v>
      </c>
      <c r="D48" s="60" t="s">
        <v>1374</v>
      </c>
      <c r="E48" s="60" t="s">
        <v>478</v>
      </c>
    </row>
    <row r="49" spans="2:6" ht="15" customHeight="1" x14ac:dyDescent="0.25">
      <c r="B49" s="37" t="s">
        <v>612</v>
      </c>
      <c r="C49" s="60" t="str">
        <f>VLOOKUP(Table1[[#This Row],[IBC Code]],Table15[#All],2,FALSE)</f>
        <v>ASCE 7-16</v>
      </c>
      <c r="D49" s="60" t="s">
        <v>1376</v>
      </c>
      <c r="E49" s="60" t="s">
        <v>478</v>
      </c>
    </row>
    <row r="50" spans="2:6" ht="15" customHeight="1" x14ac:dyDescent="0.25">
      <c r="B50" s="37" t="s">
        <v>321</v>
      </c>
      <c r="C50" s="60" t="str">
        <f>VLOOKUP(Table1[[#This Row],[IBC Code]],Table15[#All],2,FALSE)</f>
        <v>ASCE 7-16</v>
      </c>
      <c r="D50" s="60" t="s">
        <v>1376</v>
      </c>
      <c r="E50" s="60" t="s">
        <v>478</v>
      </c>
    </row>
    <row r="51" spans="2:6" ht="15" customHeight="1" x14ac:dyDescent="0.25">
      <c r="B51" s="37" t="s">
        <v>309</v>
      </c>
      <c r="C51" s="60" t="str">
        <f>VLOOKUP(Table1[[#This Row],[IBC Code]],Table15[#All],2,FALSE)</f>
        <v>ASCE 7-16</v>
      </c>
      <c r="D51" s="60" t="s">
        <v>1374</v>
      </c>
      <c r="E51" s="60" t="s">
        <v>478</v>
      </c>
    </row>
    <row r="52" spans="2:6" ht="15" customHeight="1" x14ac:dyDescent="0.25">
      <c r="B52" s="37" t="s">
        <v>310</v>
      </c>
      <c r="C52" s="60" t="str">
        <f>VLOOKUP(Table1[[#This Row],[IBC Code]],Table15[#All],2,FALSE)</f>
        <v>ASCE 7-16</v>
      </c>
      <c r="D52" s="60" t="s">
        <v>1374</v>
      </c>
      <c r="E52" s="60" t="s">
        <v>478</v>
      </c>
    </row>
    <row r="53" spans="2:6" ht="15" customHeight="1" x14ac:dyDescent="0.25">
      <c r="B53" s="37" t="s">
        <v>311</v>
      </c>
      <c r="C53" s="60" t="str">
        <f>VLOOKUP(Table1[[#This Row],[IBC Code]],Table15[#All],2,FALSE)</f>
        <v>ASCE 7-16</v>
      </c>
      <c r="D53" s="60" t="s">
        <v>1374</v>
      </c>
      <c r="E53" s="60" t="s">
        <v>478</v>
      </c>
    </row>
    <row r="54" spans="2:6" ht="15" customHeight="1" x14ac:dyDescent="0.25">
      <c r="B54" s="37" t="s">
        <v>312</v>
      </c>
      <c r="C54" s="60" t="str">
        <f>VLOOKUP(Table1[[#This Row],[IBC Code]],Table15[#All],2,FALSE)</f>
        <v>ASCE 7-10</v>
      </c>
      <c r="D54" s="60" t="s">
        <v>1375</v>
      </c>
      <c r="E54" s="60" t="s">
        <v>478</v>
      </c>
    </row>
    <row r="55" spans="2:6" ht="15" customHeight="1" x14ac:dyDescent="0.25">
      <c r="B55" s="37" t="s">
        <v>313</v>
      </c>
      <c r="C55" s="60" t="str">
        <f>VLOOKUP(Table1[[#This Row],[IBC Code]],Table15[#All],2,FALSE)</f>
        <v>ASCE 7-10</v>
      </c>
      <c r="D55" s="60" t="s">
        <v>1377</v>
      </c>
      <c r="E55" s="60" t="s">
        <v>478</v>
      </c>
      <c r="F55" s="2" t="s">
        <v>1730</v>
      </c>
    </row>
    <row r="56" spans="2:6" ht="15" customHeight="1" x14ac:dyDescent="0.25">
      <c r="B56" s="37" t="s">
        <v>323</v>
      </c>
      <c r="C56" s="60" t="str">
        <f>VLOOKUP(Table1[[#This Row],[IBC Code]],Table15[#All],2,FALSE)</f>
        <v>ASCE 7-16</v>
      </c>
      <c r="D56" s="60" t="s">
        <v>1376</v>
      </c>
      <c r="E56" s="60" t="s">
        <v>478</v>
      </c>
    </row>
    <row r="57" spans="2:6" ht="15" customHeight="1" x14ac:dyDescent="0.25">
      <c r="B57" s="37" t="s">
        <v>314</v>
      </c>
      <c r="C57" s="60" t="str">
        <f>VLOOKUP(Table1[[#This Row],[IBC Code]],Table15[#All],2,FALSE)</f>
        <v>ASCE 7-16</v>
      </c>
      <c r="D57" s="60" t="s">
        <v>1374</v>
      </c>
      <c r="E57" s="60" t="s">
        <v>478</v>
      </c>
    </row>
    <row r="58" spans="2:6" ht="15" customHeight="1" x14ac:dyDescent="0.25">
      <c r="B58" s="37" t="s">
        <v>315</v>
      </c>
      <c r="C58" s="60" t="str">
        <f>VLOOKUP(Table1[[#This Row],[IBC Code]],Table15[#All],2,FALSE)</f>
        <v>ASCE 7-10</v>
      </c>
      <c r="D58" s="60" t="s">
        <v>1377</v>
      </c>
      <c r="E58" s="60" t="s">
        <v>478</v>
      </c>
    </row>
    <row r="59" spans="2:6" ht="15" customHeight="1" x14ac:dyDescent="0.25">
      <c r="B59" s="37" t="s">
        <v>316</v>
      </c>
      <c r="C59" s="60" t="str">
        <f>VLOOKUP(Table1[[#This Row],[IBC Code]],Table15[#All],2,FALSE)</f>
        <v>ASCE 7-16</v>
      </c>
      <c r="D59" s="60" t="s">
        <v>1376</v>
      </c>
      <c r="E59" s="60" t="s">
        <v>478</v>
      </c>
      <c r="F59" s="2" t="s">
        <v>1461</v>
      </c>
    </row>
    <row r="60" spans="2:6" ht="15" customHeight="1" x14ac:dyDescent="0.25">
      <c r="B60" s="37" t="s">
        <v>613</v>
      </c>
      <c r="C60" s="60" t="str">
        <f>VLOOKUP(Table1[[#This Row],[IBC Code]],Table15[#All],2,FALSE)</f>
        <v>ASCE 7-16</v>
      </c>
      <c r="D60" s="60" t="s">
        <v>1376</v>
      </c>
      <c r="E60" s="60" t="s">
        <v>478</v>
      </c>
      <c r="F60" s="2" t="s">
        <v>1462</v>
      </c>
    </row>
    <row r="61" spans="2:6" ht="15" customHeight="1" x14ac:dyDescent="0.25">
      <c r="B61" s="37" t="s">
        <v>317</v>
      </c>
      <c r="C61" s="60" t="str">
        <f>VLOOKUP(Table1[[#This Row],[IBC Code]],Table15[#All],2,FALSE)</f>
        <v>ASCE 7-16</v>
      </c>
      <c r="D61" s="60" t="s">
        <v>1376</v>
      </c>
      <c r="E61" s="60" t="s">
        <v>478</v>
      </c>
    </row>
    <row r="62" spans="2:6" ht="15" customHeight="1" x14ac:dyDescent="0.25">
      <c r="B62" s="37" t="s">
        <v>318</v>
      </c>
      <c r="C62" s="60" t="str">
        <f>VLOOKUP(Table1[[#This Row],[IBC Code]],Table15[#All],2,FALSE)</f>
        <v>ASCE 7-10</v>
      </c>
      <c r="D62" s="60" t="s">
        <v>1377</v>
      </c>
      <c r="E62" s="60" t="s">
        <v>478</v>
      </c>
    </row>
    <row r="63" spans="2:6" ht="15" customHeight="1" x14ac:dyDescent="0.25">
      <c r="B63" s="37" t="s">
        <v>319</v>
      </c>
      <c r="C63" s="60" t="str">
        <f>VLOOKUP(Table1[[#This Row],[IBC Code]],Table15[#All],2,FALSE)</f>
        <v>ASCE 7-16</v>
      </c>
      <c r="D63" s="60" t="s">
        <v>1374</v>
      </c>
      <c r="E63" s="60" t="s">
        <v>478</v>
      </c>
    </row>
    <row r="64" spans="2:6" ht="15" customHeight="1" x14ac:dyDescent="0.25"/>
    <row r="65" ht="15" customHeight="1" x14ac:dyDescent="0.25"/>
    <row r="66" ht="15" customHeight="1" x14ac:dyDescent="0.25"/>
    <row r="67" ht="15" customHeight="1" x14ac:dyDescent="0.25"/>
    <row r="68" ht="15" customHeight="1" x14ac:dyDescent="0.25"/>
  </sheetData>
  <phoneticPr fontId="11" type="noConversion"/>
  <hyperlinks>
    <hyperlink ref="B13" r:id="rId1" display="http://www.iccsafe.org/california/" xr:uid="{74B74C0C-7125-4040-9EB1-E9FDE6450A81}"/>
    <hyperlink ref="B14" r:id="rId2" display="http://www.iccsafe.org/Colorado/" xr:uid="{FF8A1F96-CFD9-4E95-AEE0-306B281F4354}"/>
    <hyperlink ref="B15" r:id="rId3" display="http://www.iccsafe.org/connecticut/" xr:uid="{ED88BB0B-0D9A-4112-99C9-4C667EA05CBF}"/>
    <hyperlink ref="B16" r:id="rId4" display="http://www.iccsafe.org/delaware/" xr:uid="{2E865F00-0A42-4A63-9F3B-DD848839A8CD}"/>
    <hyperlink ref="B17" r:id="rId5" display="https://www.iccsafe.org/about-icc/government-relations/map/district-of-columbia/" xr:uid="{D66B4C44-13EA-4F59-A651-6191631317DF}"/>
    <hyperlink ref="B18" r:id="rId6" display="http://www.iccsafe.org/florida/" xr:uid="{3F75980C-40DC-4C9E-81C2-96B5CEE49AAE}"/>
    <hyperlink ref="B19" r:id="rId7" display="http://www.iccsafe.org/georgia/" xr:uid="{2719B4B4-4818-4E7B-AF55-77F99AA2B0B8}"/>
    <hyperlink ref="B21" r:id="rId8" display="http://www.iccsafe.org/hawaii/" xr:uid="{0AC5A6FC-B963-4441-9C6A-ACE4A8CB9B36}"/>
    <hyperlink ref="B22" r:id="rId9" display="http://www.iccsafe.org/idaho/" xr:uid="{85064D40-2707-436C-A24D-46951E1F01C2}"/>
    <hyperlink ref="B24" r:id="rId10" display="http://www.iccsafe.org/indiana/" xr:uid="{F31834FD-566A-4BD8-A972-4D13ADA67A48}"/>
    <hyperlink ref="B25" r:id="rId11" display="http://www.iccsafe.org/iowa/" xr:uid="{7712E689-2697-48CA-B951-4D1D05AE256C}"/>
    <hyperlink ref="B26" r:id="rId12" xr:uid="{CEB8EC50-4372-49C4-A09E-8699F5F1F372}"/>
    <hyperlink ref="B2" r:id="rId13" xr:uid="{B8783F94-5928-4059-8AC8-01FE589434E7}"/>
    <hyperlink ref="B27" r:id="rId14" xr:uid="{6DDC9DA7-CFDF-4F03-98D6-652A46973D12}"/>
    <hyperlink ref="B28" r:id="rId15" xr:uid="{785D3524-96E7-4E82-BE5C-E5EE902D0817}"/>
    <hyperlink ref="B29" r:id="rId16" xr:uid="{5C0A9362-F812-44DB-A3CB-9F7047DD1944}"/>
    <hyperlink ref="B23" r:id="rId17" display="http://www.iccsafe.org/illinois/" xr:uid="{E65770B3-0803-4B0E-8C2A-FC6B331F03F1}"/>
    <hyperlink ref="B30" r:id="rId18" xr:uid="{2824874A-CEC9-456D-A35A-ECE6AAB88472}"/>
    <hyperlink ref="B31" r:id="rId19" xr:uid="{EFBEFB20-420A-4938-BE4B-FE15BCD54886}"/>
    <hyperlink ref="B32" r:id="rId20" xr:uid="{2558DBEA-9AE0-4708-99C1-9BB3354838CA}"/>
    <hyperlink ref="B33" r:id="rId21" xr:uid="{D8A79ADE-4676-4D10-8355-D0322C5FF8CF}"/>
    <hyperlink ref="B34" r:id="rId22" xr:uid="{61C4D9A5-C438-43D7-86AE-97CE730EB8CE}"/>
    <hyperlink ref="B35" r:id="rId23" xr:uid="{757DECF3-A654-416B-8728-B9E88597B0C9}"/>
    <hyperlink ref="B36" r:id="rId24" xr:uid="{6C413DB1-950D-4E6C-9EC6-DA484A179185}"/>
    <hyperlink ref="B37" r:id="rId25" xr:uid="{BBF01109-B881-4E53-882E-2B0FDA259D94}"/>
    <hyperlink ref="B38" r:id="rId26" xr:uid="{0AAC2044-A348-4FD0-AC2D-DA05A6D87568}"/>
    <hyperlink ref="B39" r:id="rId27" xr:uid="{52392882-A808-4402-B2AE-148DAED2B73D}"/>
    <hyperlink ref="B40" r:id="rId28" xr:uid="{189C5B2A-CFA3-461A-86F2-C9EC85D5F8C6}"/>
    <hyperlink ref="B41" r:id="rId29" xr:uid="{D97233B3-ACB6-4B23-B378-312C36C987FA}"/>
    <hyperlink ref="B42" r:id="rId30" display="New York" xr:uid="{A28CF487-EADC-4EE3-8323-EC71004CDC4A}"/>
    <hyperlink ref="B43" r:id="rId31" xr:uid="{B9F31F35-B9CC-4652-84E4-2D5BF22D3CA7}"/>
    <hyperlink ref="B44" r:id="rId32" xr:uid="{6408EF4D-B8B4-4360-BE09-4C32B1C23E65}"/>
    <hyperlink ref="B52" r:id="rId33" xr:uid="{C75DD96F-B9DB-435F-943A-9C94FE873A0F}"/>
    <hyperlink ref="B53" r:id="rId34" xr:uid="{7A4525B6-46DC-4284-A611-138594CE905F}"/>
    <hyperlink ref="B54" r:id="rId35" xr:uid="{5E66D1AD-8ED7-435F-9609-D3294F12F9E1}"/>
    <hyperlink ref="B57" r:id="rId36" xr:uid="{4092ABCF-4FE7-44F0-B257-A082A355D3EE}"/>
    <hyperlink ref="B58" r:id="rId37" xr:uid="{895986EB-5330-4AAB-B2ED-59DD7CD71FD3}"/>
    <hyperlink ref="B59" r:id="rId38" xr:uid="{E2E5DB20-C895-40D9-AF58-9C7970390FBF}"/>
    <hyperlink ref="B60" r:id="rId39" display="Washington" xr:uid="{ECCBBDF6-1B9F-433E-9C37-D815C1A4C63C}"/>
    <hyperlink ref="B61" r:id="rId40" xr:uid="{F15C14FE-1CCC-43E5-897E-21704EAD38CB}"/>
    <hyperlink ref="B62" r:id="rId41" xr:uid="{DA4735B8-0434-4D1E-ADAD-6D9AE040977E}"/>
    <hyperlink ref="B63" r:id="rId42" xr:uid="{E7020A5B-50C4-47BC-ACE7-47F5EE562DAC}"/>
    <hyperlink ref="B20" r:id="rId43" xr:uid="{CEA14B5E-FABF-4E53-9F58-77767411759E}"/>
    <hyperlink ref="B50" r:id="rId44" xr:uid="{989985A0-2D08-4186-93A9-2DDF2E1E055D}"/>
    <hyperlink ref="B45" r:id="rId45" xr:uid="{D996DA68-5F09-43DC-A40B-0D32DBAF7206}"/>
    <hyperlink ref="B56" r:id="rId46" xr:uid="{1CBFC4F8-3B92-4EEC-B13F-E4921693FDBC}"/>
    <hyperlink ref="B55" r:id="rId47" xr:uid="{A340DE7C-0B4C-43AC-8918-A683D7309561}"/>
    <hyperlink ref="B47" r:id="rId48" xr:uid="{CF89E9EF-F78B-427F-8DDD-9D423C6C1489}"/>
    <hyperlink ref="B46" r:id="rId49" xr:uid="{CFA87E92-F5B2-4079-96F0-DC07A88819E3}"/>
    <hyperlink ref="B48" r:id="rId50" xr:uid="{34786FDD-62F7-470F-B1EF-77D15F654E29}"/>
    <hyperlink ref="B49" r:id="rId51" display="Pennsylvania" xr:uid="{20905672-3A91-4B06-9485-37318AD956B8}"/>
    <hyperlink ref="B51" r:id="rId52" xr:uid="{52C9336F-5378-4761-BF9F-C401FEAB6BD4}"/>
    <hyperlink ref="B9" r:id="rId53" display="http://www.iccsafe.org/alabama/" xr:uid="{EE5E4E8B-7C82-4471-AFCF-3923A22BB4B5}"/>
    <hyperlink ref="B10" r:id="rId54" display="http://www.iccsafe.org/alaska/" xr:uid="{E83924CA-FE04-43E8-B830-96A489C4B18D}"/>
    <hyperlink ref="B11" r:id="rId55" display="http://www.iccsafe.org/arizona/" xr:uid="{6233C570-EABE-4D38-A552-A14DE9745289}"/>
    <hyperlink ref="B12" r:id="rId56" display="http://www.iccsafe.org/arkansas/" xr:uid="{1F0D0E04-C232-4E5B-8A24-20DC9908719C}"/>
  </hyperlinks>
  <pageMargins left="0.7" right="0.7" top="0.75" bottom="0.75" header="0.3" footer="0.3"/>
  <pageSetup orientation="portrait" r:id="rId57"/>
  <tableParts count="2">
    <tablePart r:id="rId58"/>
    <tablePart r:id="rId59"/>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7FE80-D2DF-4A6F-B2FE-5D2681E2925A}">
  <sheetPr>
    <tabColor rgb="FFAF8ED0"/>
  </sheetPr>
  <dimension ref="B2:AD68"/>
  <sheetViews>
    <sheetView zoomScale="90" zoomScaleNormal="90" workbookViewId="0">
      <selection activeCell="J8" sqref="J8"/>
    </sheetView>
  </sheetViews>
  <sheetFormatPr defaultColWidth="9.140625" defaultRowHeight="15" outlineLevelCol="1" x14ac:dyDescent="0.25"/>
  <cols>
    <col min="1" max="1" width="2.85546875" style="65" customWidth="1"/>
    <col min="2" max="2" width="4.140625" style="65" customWidth="1"/>
    <col min="3" max="9" width="9.140625" style="65"/>
    <col min="10" max="10" width="22.42578125" style="65" customWidth="1"/>
    <col min="11" max="11" width="28.85546875" style="65" customWidth="1"/>
    <col min="12" max="13" width="10.5703125" style="65" customWidth="1"/>
    <col min="14" max="14" width="15.5703125" style="65" customWidth="1"/>
    <col min="15" max="15" width="12.140625" style="65" customWidth="1"/>
    <col min="16" max="16" width="10.5703125" style="65" customWidth="1"/>
    <col min="17" max="17" width="5.5703125" style="65" customWidth="1"/>
    <col min="18" max="18" width="9.140625" style="65"/>
    <col min="19" max="19" width="26.85546875" style="65" hidden="1" customWidth="1" outlineLevel="1"/>
    <col min="20" max="20" width="11.28515625" style="65" hidden="1" customWidth="1" outlineLevel="1"/>
    <col min="21" max="21" width="9.140625" style="65" hidden="1" customWidth="1" outlineLevel="1"/>
    <col min="22" max="22" width="14.28515625" style="65" hidden="1" customWidth="1" outlineLevel="1"/>
    <col min="23" max="23" width="12.28515625" style="65" hidden="1" customWidth="1" outlineLevel="1"/>
    <col min="24" max="29" width="9.140625" style="65" hidden="1" customWidth="1" outlineLevel="1"/>
    <col min="30" max="30" width="9.140625" style="65" collapsed="1"/>
    <col min="31" max="16384" width="9.140625" style="65"/>
  </cols>
  <sheetData>
    <row r="2" spans="2:29" ht="15.75" thickBot="1" x14ac:dyDescent="0.3"/>
    <row r="3" spans="2:29" ht="15.75" customHeight="1" thickTop="1" x14ac:dyDescent="0.25">
      <c r="B3" s="200"/>
      <c r="C3" s="201"/>
      <c r="D3" s="202"/>
      <c r="E3" s="202"/>
      <c r="F3" s="202"/>
      <c r="G3" s="1368" t="s">
        <v>90</v>
      </c>
      <c r="H3" s="1369"/>
      <c r="I3" s="1369"/>
      <c r="J3" s="1369"/>
      <c r="K3" s="1370"/>
      <c r="L3" s="202"/>
      <c r="M3" s="202"/>
      <c r="N3" s="202"/>
      <c r="O3" s="202"/>
      <c r="P3" s="202"/>
      <c r="Q3" s="203"/>
    </row>
    <row r="4" spans="2:29" ht="15" customHeight="1" thickBot="1" x14ac:dyDescent="0.3">
      <c r="B4" s="204"/>
      <c r="C4" s="205"/>
      <c r="D4" s="205"/>
      <c r="E4" s="205"/>
      <c r="F4" s="205"/>
      <c r="G4" s="1371"/>
      <c r="H4" s="1372"/>
      <c r="I4" s="1372"/>
      <c r="J4" s="1372"/>
      <c r="K4" s="1373"/>
      <c r="L4" s="205"/>
      <c r="M4" s="205"/>
      <c r="N4" s="205"/>
      <c r="O4" s="205"/>
      <c r="P4" s="205"/>
      <c r="Q4" s="206"/>
      <c r="S4" s="207"/>
      <c r="T4" s="1363" t="s">
        <v>498</v>
      </c>
      <c r="U4" s="1363" t="s">
        <v>100</v>
      </c>
      <c r="V4" s="207"/>
      <c r="W4" s="1363" t="s">
        <v>102</v>
      </c>
      <c r="X4" s="1363"/>
      <c r="Y4" s="1363"/>
      <c r="Z4" s="1363"/>
      <c r="AA4" s="1363"/>
      <c r="AB4" s="208"/>
    </row>
    <row r="5" spans="2:29" x14ac:dyDescent="0.25">
      <c r="B5" s="204"/>
      <c r="C5" s="209"/>
      <c r="D5" s="209"/>
      <c r="E5" s="209"/>
      <c r="F5" s="209"/>
      <c r="G5" s="209"/>
      <c r="H5" s="209"/>
      <c r="I5" s="209"/>
      <c r="J5" s="209"/>
      <c r="K5" s="209"/>
      <c r="L5" s="209"/>
      <c r="M5" s="209"/>
      <c r="N5" s="209"/>
      <c r="O5" s="209"/>
      <c r="P5" s="209"/>
      <c r="Q5" s="206"/>
      <c r="S5" s="207"/>
      <c r="T5" s="1363"/>
      <c r="U5" s="1363"/>
      <c r="V5" s="207"/>
      <c r="W5" s="1363"/>
      <c r="X5" s="1363"/>
      <c r="Y5" s="1363"/>
      <c r="Z5" s="1363"/>
      <c r="AA5" s="1363"/>
      <c r="AB5" s="208"/>
    </row>
    <row r="6" spans="2:29" ht="10.5" customHeight="1" x14ac:dyDescent="0.25">
      <c r="B6" s="204"/>
      <c r="C6" s="209"/>
      <c r="D6" s="209"/>
      <c r="E6" s="209"/>
      <c r="F6" s="209"/>
      <c r="G6" s="209"/>
      <c r="H6" s="209"/>
      <c r="I6" s="209"/>
      <c r="J6" s="209"/>
      <c r="K6" s="209"/>
      <c r="L6" s="209"/>
      <c r="M6" s="209"/>
      <c r="N6" s="209"/>
      <c r="O6" s="209"/>
      <c r="P6" s="209"/>
      <c r="Q6" s="206"/>
      <c r="S6" s="207"/>
      <c r="T6" s="1364"/>
      <c r="U6" s="1364"/>
      <c r="V6" s="207"/>
      <c r="W6" s="1364"/>
      <c r="X6" s="1364"/>
      <c r="Y6" s="1364"/>
      <c r="Z6" s="1364"/>
      <c r="AA6" s="1364"/>
      <c r="AB6" s="208"/>
    </row>
    <row r="7" spans="2:29" ht="38.25" customHeight="1" x14ac:dyDescent="0.25">
      <c r="B7" s="204"/>
      <c r="C7" s="1374" t="s">
        <v>91</v>
      </c>
      <c r="D7" s="1374"/>
      <c r="E7" s="1374"/>
      <c r="F7" s="1374"/>
      <c r="G7" s="1374"/>
      <c r="H7" s="1374"/>
      <c r="I7" s="209"/>
      <c r="J7" s="210" t="s">
        <v>92</v>
      </c>
      <c r="K7" s="210" t="s">
        <v>93</v>
      </c>
      <c r="L7" s="210" t="s">
        <v>94</v>
      </c>
      <c r="M7" s="210" t="s">
        <v>95</v>
      </c>
      <c r="N7" s="210" t="s">
        <v>96</v>
      </c>
      <c r="O7" s="210" t="s">
        <v>484</v>
      </c>
      <c r="P7" s="210" t="s">
        <v>97</v>
      </c>
      <c r="Q7" s="206"/>
      <c r="S7" s="211" t="s">
        <v>98</v>
      </c>
      <c r="T7" s="211" t="s">
        <v>99</v>
      </c>
      <c r="U7" s="211" t="s">
        <v>100</v>
      </c>
      <c r="V7" s="211" t="s">
        <v>101</v>
      </c>
      <c r="W7" s="211" t="s">
        <v>493</v>
      </c>
      <c r="X7" s="211" t="s">
        <v>494</v>
      </c>
      <c r="Y7" s="211" t="s">
        <v>495</v>
      </c>
      <c r="Z7" s="211" t="s">
        <v>496</v>
      </c>
      <c r="AA7" s="211" t="s">
        <v>497</v>
      </c>
      <c r="AB7" s="212" t="s">
        <v>501</v>
      </c>
    </row>
    <row r="8" spans="2:29" ht="26.1" customHeight="1" x14ac:dyDescent="0.25">
      <c r="B8" s="204"/>
      <c r="C8" s="1375" t="s">
        <v>327</v>
      </c>
      <c r="D8" s="1375"/>
      <c r="E8" s="1375"/>
      <c r="F8" s="1375"/>
      <c r="G8" s="1375"/>
      <c r="H8" s="1375"/>
      <c r="I8" s="209"/>
      <c r="J8" s="30"/>
      <c r="K8" s="29"/>
      <c r="L8" s="31"/>
      <c r="M8" s="31"/>
      <c r="N8" s="32"/>
      <c r="O8" s="32"/>
      <c r="P8" s="213" t="str">
        <f t="shared" ref="P8:P14" si="0">IFERROR((L8+M8)*2*VLOOKUP(K8,$S$8:$U$12,2, FALSE)+(L8-2*VLOOKUP(K8,$S$8:$U$12,3,FALSE))*(M8-2*VLOOKUP(K8,$S$8:$U$12,3,FALSE))*VLOOKUP(N8,GlassThickness,IF(O8=2.5,2,IF(O8=3,3,IF(O8=4,4,IF(O8=5,5,IF(O8=6,6,""))))),FALSE),"--")</f>
        <v>--</v>
      </c>
      <c r="Q8" s="206"/>
      <c r="S8" s="214" t="s">
        <v>103</v>
      </c>
      <c r="T8" s="215">
        <v>0.12</v>
      </c>
      <c r="U8" s="216">
        <v>1</v>
      </c>
      <c r="V8" s="214" t="s">
        <v>104</v>
      </c>
      <c r="W8" s="215">
        <f>W15</f>
        <v>1.5694444444444441E-2</v>
      </c>
      <c r="X8" s="215">
        <f>W16</f>
        <v>2.1111111111111112E-2</v>
      </c>
      <c r="Y8" s="215">
        <f>W18</f>
        <v>2.75E-2</v>
      </c>
      <c r="Z8" s="215">
        <f>W19</f>
        <v>3.3055555555555553E-2</v>
      </c>
      <c r="AA8" s="215">
        <f>W20</f>
        <v>4.0277777777777773E-2</v>
      </c>
      <c r="AB8" s="217" t="e">
        <f ca="1">IF(COUNTIF(INDIRECT(SUBSTITUTE(N8," ","_")),O8)=1,1,0)</f>
        <v>#REF!</v>
      </c>
    </row>
    <row r="9" spans="2:29" ht="26.1" customHeight="1" x14ac:dyDescent="0.25">
      <c r="B9" s="204"/>
      <c r="C9" s="1375"/>
      <c r="D9" s="1375"/>
      <c r="E9" s="1375"/>
      <c r="F9" s="1375"/>
      <c r="G9" s="1375"/>
      <c r="H9" s="1375"/>
      <c r="I9" s="209"/>
      <c r="J9" s="115"/>
      <c r="K9" s="29"/>
      <c r="L9" s="31"/>
      <c r="M9" s="31"/>
      <c r="N9" s="32"/>
      <c r="O9" s="32"/>
      <c r="P9" s="213" t="str">
        <f t="shared" si="0"/>
        <v>--</v>
      </c>
      <c r="Q9" s="206"/>
      <c r="S9" s="214" t="s">
        <v>105</v>
      </c>
      <c r="T9" s="215">
        <v>0.18329999999999999</v>
      </c>
      <c r="U9" s="214">
        <v>2.1875</v>
      </c>
      <c r="V9" s="214" t="s">
        <v>106</v>
      </c>
      <c r="W9" s="215">
        <f>X15</f>
        <v>2.3541666666666662E-2</v>
      </c>
      <c r="X9" s="215">
        <f>X16</f>
        <v>3.1666666666666669E-2</v>
      </c>
      <c r="Y9" s="215">
        <f>X18</f>
        <v>4.1250000000000002E-2</v>
      </c>
      <c r="Z9" s="215">
        <f>X19</f>
        <v>4.9583333333333326E-2</v>
      </c>
      <c r="AA9" s="215">
        <f>X20</f>
        <v>6.041666666666666E-2</v>
      </c>
      <c r="AB9" s="217" t="e">
        <f t="shared" ref="AB9:AB14" ca="1" si="1">IF(COUNTIF(INDIRECT(SUBSTITUTE(N9," ","_")),O9)=1,1,0)</f>
        <v>#REF!</v>
      </c>
    </row>
    <row r="10" spans="2:29" ht="26.1" customHeight="1" x14ac:dyDescent="0.25">
      <c r="B10" s="204"/>
      <c r="C10" s="1375"/>
      <c r="D10" s="1375"/>
      <c r="E10" s="1375"/>
      <c r="F10" s="1375"/>
      <c r="G10" s="1375"/>
      <c r="H10" s="1375"/>
      <c r="I10" s="209"/>
      <c r="J10" s="115"/>
      <c r="K10" s="29"/>
      <c r="L10" s="31"/>
      <c r="M10" s="31"/>
      <c r="N10" s="32"/>
      <c r="O10" s="32"/>
      <c r="P10" s="213" t="str">
        <f t="shared" si="0"/>
        <v>--</v>
      </c>
      <c r="Q10" s="206"/>
      <c r="S10" s="214" t="s">
        <v>107</v>
      </c>
      <c r="T10" s="214">
        <v>7.9000000000000001E-2</v>
      </c>
      <c r="U10" s="214">
        <v>1</v>
      </c>
      <c r="V10" s="214" t="s">
        <v>108</v>
      </c>
      <c r="W10" s="215" t="s">
        <v>499</v>
      </c>
      <c r="X10" s="215">
        <f>V23+V16</f>
        <v>3.3819444444444444E-2</v>
      </c>
      <c r="Y10" s="215">
        <f>V26+V16</f>
        <v>4.0763888888888884E-2</v>
      </c>
      <c r="Z10" s="215">
        <f>V29+V16</f>
        <v>4.5624999999999999E-2</v>
      </c>
      <c r="AA10" s="215">
        <f>V32+V16</f>
        <v>5.2569444444444439E-2</v>
      </c>
      <c r="AB10" s="217" t="e">
        <f t="shared" ca="1" si="1"/>
        <v>#REF!</v>
      </c>
      <c r="AC10" s="65" t="s">
        <v>500</v>
      </c>
    </row>
    <row r="11" spans="2:29" ht="26.1" customHeight="1" x14ac:dyDescent="0.25">
      <c r="B11" s="204"/>
      <c r="C11" s="218"/>
      <c r="D11" s="218"/>
      <c r="E11" s="218"/>
      <c r="F11" s="218"/>
      <c r="G11" s="218"/>
      <c r="H11" s="218"/>
      <c r="I11" s="209"/>
      <c r="J11" s="115"/>
      <c r="K11" s="29"/>
      <c r="L11" s="31"/>
      <c r="M11" s="31"/>
      <c r="N11" s="32"/>
      <c r="O11" s="32"/>
      <c r="P11" s="213" t="str">
        <f t="shared" si="0"/>
        <v>--</v>
      </c>
      <c r="Q11" s="206"/>
      <c r="S11" s="214" t="s">
        <v>109</v>
      </c>
      <c r="T11" s="214">
        <v>0.1</v>
      </c>
      <c r="U11" s="214">
        <v>2.1875</v>
      </c>
      <c r="V11" s="214"/>
      <c r="W11" s="219"/>
      <c r="X11" s="219"/>
      <c r="Y11" s="219"/>
      <c r="Z11" s="219"/>
      <c r="AA11" s="219"/>
      <c r="AB11" s="217" t="e">
        <f t="shared" ca="1" si="1"/>
        <v>#REF!</v>
      </c>
    </row>
    <row r="12" spans="2:29" ht="26.1" customHeight="1" x14ac:dyDescent="0.25">
      <c r="B12" s="204"/>
      <c r="C12" s="1374" t="s">
        <v>110</v>
      </c>
      <c r="D12" s="1374"/>
      <c r="E12" s="1374"/>
      <c r="F12" s="1374"/>
      <c r="G12" s="1374"/>
      <c r="H12" s="1374"/>
      <c r="I12" s="209"/>
      <c r="J12" s="115"/>
      <c r="K12" s="29"/>
      <c r="L12" s="31"/>
      <c r="M12" s="31"/>
      <c r="N12" s="32"/>
      <c r="O12" s="32"/>
      <c r="P12" s="213" t="str">
        <f t="shared" si="0"/>
        <v>--</v>
      </c>
      <c r="Q12" s="206"/>
      <c r="S12" s="214" t="s">
        <v>6</v>
      </c>
      <c r="T12" s="214">
        <v>0.11459999999999999</v>
      </c>
      <c r="U12" s="219"/>
      <c r="V12" s="214"/>
      <c r="W12" s="219"/>
      <c r="X12" s="219"/>
      <c r="Y12" s="219"/>
      <c r="Z12" s="219"/>
      <c r="AA12" s="219"/>
      <c r="AB12" s="217" t="e">
        <f t="shared" ca="1" si="1"/>
        <v>#REF!</v>
      </c>
    </row>
    <row r="13" spans="2:29" ht="26.1" customHeight="1" x14ac:dyDescent="0.25">
      <c r="B13" s="204"/>
      <c r="C13" s="1376" t="s">
        <v>111</v>
      </c>
      <c r="D13" s="1376"/>
      <c r="E13" s="1376"/>
      <c r="F13" s="1376"/>
      <c r="G13" s="1376"/>
      <c r="H13" s="1376"/>
      <c r="I13" s="209"/>
      <c r="J13" s="115"/>
      <c r="K13" s="29"/>
      <c r="L13" s="31"/>
      <c r="M13" s="31"/>
      <c r="N13" s="32"/>
      <c r="O13" s="32"/>
      <c r="P13" s="213" t="str">
        <f t="shared" si="0"/>
        <v>--</v>
      </c>
      <c r="Q13" s="206"/>
      <c r="Y13" s="65" t="s">
        <v>492</v>
      </c>
      <c r="AB13" s="217" t="e">
        <f t="shared" ca="1" si="1"/>
        <v>#REF!</v>
      </c>
    </row>
    <row r="14" spans="2:29" ht="26.1" customHeight="1" x14ac:dyDescent="0.25">
      <c r="B14" s="204"/>
      <c r="C14" s="1376"/>
      <c r="D14" s="1376"/>
      <c r="E14" s="1376"/>
      <c r="F14" s="1376"/>
      <c r="G14" s="1376"/>
      <c r="H14" s="1376"/>
      <c r="I14" s="209"/>
      <c r="J14" s="115"/>
      <c r="K14" s="29"/>
      <c r="L14" s="31"/>
      <c r="M14" s="31"/>
      <c r="N14" s="32"/>
      <c r="O14" s="32"/>
      <c r="P14" s="213" t="str">
        <f t="shared" si="0"/>
        <v>--</v>
      </c>
      <c r="Q14" s="206"/>
      <c r="T14" s="65" t="s">
        <v>486</v>
      </c>
      <c r="U14" s="65" t="s">
        <v>485</v>
      </c>
      <c r="V14" s="65" t="s">
        <v>487</v>
      </c>
      <c r="W14" s="65" t="s">
        <v>489</v>
      </c>
      <c r="X14" s="65" t="s">
        <v>490</v>
      </c>
      <c r="Y14" s="65" t="s">
        <v>489</v>
      </c>
      <c r="Z14" s="65" t="s">
        <v>490</v>
      </c>
      <c r="AB14" s="217" t="e">
        <f t="shared" ca="1" si="1"/>
        <v>#REF!</v>
      </c>
    </row>
    <row r="15" spans="2:29" ht="26.1" customHeight="1" x14ac:dyDescent="0.25">
      <c r="B15" s="204"/>
      <c r="C15" s="1376"/>
      <c r="D15" s="1376"/>
      <c r="E15" s="1376"/>
      <c r="F15" s="1376"/>
      <c r="G15" s="1376"/>
      <c r="H15" s="1376"/>
      <c r="I15" s="209"/>
      <c r="J15" s="1377" t="s">
        <v>502</v>
      </c>
      <c r="K15" s="1378"/>
      <c r="L15" s="1378"/>
      <c r="M15" s="1378"/>
      <c r="N15" s="1378"/>
      <c r="O15" s="1378"/>
      <c r="P15" s="1379"/>
      <c r="Q15" s="206"/>
      <c r="T15" s="65">
        <v>2.5</v>
      </c>
      <c r="U15" s="65">
        <v>1.1299999999999999</v>
      </c>
      <c r="V15" s="65">
        <f>U15/144</f>
        <v>7.8472222222222207E-3</v>
      </c>
      <c r="W15" s="65">
        <f>V15*2</f>
        <v>1.5694444444444441E-2</v>
      </c>
      <c r="X15" s="65">
        <f>V15*3</f>
        <v>2.3541666666666662E-2</v>
      </c>
      <c r="Y15" s="65">
        <f>W15*36*60</f>
        <v>33.9</v>
      </c>
      <c r="Z15" s="65">
        <f>X15*36*60</f>
        <v>50.849999999999987</v>
      </c>
    </row>
    <row r="16" spans="2:29" ht="26.1" customHeight="1" x14ac:dyDescent="0.25">
      <c r="B16" s="204"/>
      <c r="C16" s="209"/>
      <c r="D16" s="209"/>
      <c r="E16" s="209"/>
      <c r="F16" s="209"/>
      <c r="G16" s="209"/>
      <c r="H16" s="209"/>
      <c r="I16" s="209"/>
      <c r="J16" s="209"/>
      <c r="K16" s="209"/>
      <c r="L16" s="209"/>
      <c r="M16" s="209"/>
      <c r="N16" s="209"/>
      <c r="O16" s="209"/>
      <c r="P16" s="209"/>
      <c r="Q16" s="206"/>
      <c r="T16" s="65">
        <v>3</v>
      </c>
      <c r="U16" s="65">
        <v>1.52</v>
      </c>
      <c r="V16" s="65">
        <f t="shared" ref="V16:V33" si="2">U16/144</f>
        <v>1.0555555555555556E-2</v>
      </c>
      <c r="W16" s="65">
        <f t="shared" ref="W16:W33" si="3">V16*2</f>
        <v>2.1111111111111112E-2</v>
      </c>
      <c r="X16" s="65">
        <f t="shared" ref="X16:X20" si="4">V16*3</f>
        <v>3.1666666666666669E-2</v>
      </c>
      <c r="Y16" s="65">
        <f t="shared" ref="Y16:Y33" si="5">W16*36*60</f>
        <v>45.6</v>
      </c>
      <c r="Z16" s="65">
        <f t="shared" ref="Z16:Z33" si="6">X16*36*60</f>
        <v>68.400000000000006</v>
      </c>
    </row>
    <row r="17" spans="2:26" ht="26.1" customHeight="1" x14ac:dyDescent="0.25">
      <c r="B17" s="204"/>
      <c r="C17" s="1365" t="s">
        <v>112</v>
      </c>
      <c r="D17" s="1366"/>
      <c r="E17" s="1366"/>
      <c r="F17" s="1366"/>
      <c r="G17" s="1366"/>
      <c r="H17" s="1366"/>
      <c r="I17" s="1366"/>
      <c r="J17" s="1366"/>
      <c r="K17" s="1366"/>
      <c r="L17" s="1366"/>
      <c r="M17" s="1366"/>
      <c r="N17" s="1366"/>
      <c r="O17" s="1366"/>
      <c r="P17" s="1367"/>
      <c r="Q17" s="206"/>
      <c r="S17" s="65" t="s">
        <v>488</v>
      </c>
      <c r="T17" s="65">
        <v>3</v>
      </c>
      <c r="U17" s="65">
        <v>1.59</v>
      </c>
      <c r="V17" s="65">
        <f t="shared" si="2"/>
        <v>1.1041666666666667E-2</v>
      </c>
      <c r="W17" s="65">
        <f t="shared" si="3"/>
        <v>2.2083333333333333E-2</v>
      </c>
      <c r="X17" s="65">
        <f t="shared" si="4"/>
        <v>3.3125000000000002E-2</v>
      </c>
      <c r="Y17" s="65">
        <f t="shared" si="5"/>
        <v>47.7</v>
      </c>
      <c r="Z17" s="65">
        <f t="shared" si="6"/>
        <v>71.550000000000011</v>
      </c>
    </row>
    <row r="18" spans="2:26" ht="26.1" customHeight="1" x14ac:dyDescent="0.25">
      <c r="B18" s="204"/>
      <c r="C18" s="220"/>
      <c r="D18" s="221"/>
      <c r="E18" s="221"/>
      <c r="F18" s="221"/>
      <c r="G18" s="221"/>
      <c r="H18" s="221"/>
      <c r="I18" s="221"/>
      <c r="J18" s="221"/>
      <c r="K18" s="221"/>
      <c r="L18" s="221"/>
      <c r="M18" s="221"/>
      <c r="N18" s="221"/>
      <c r="O18" s="221"/>
      <c r="P18" s="222"/>
      <c r="Q18" s="206"/>
      <c r="T18" s="65">
        <v>4</v>
      </c>
      <c r="U18" s="65">
        <v>1.98</v>
      </c>
      <c r="V18" s="65">
        <f t="shared" si="2"/>
        <v>1.375E-2</v>
      </c>
      <c r="W18" s="65">
        <f t="shared" si="3"/>
        <v>2.75E-2</v>
      </c>
      <c r="X18" s="65">
        <f t="shared" si="4"/>
        <v>4.1250000000000002E-2</v>
      </c>
      <c r="Y18" s="65">
        <f t="shared" si="5"/>
        <v>59.4</v>
      </c>
      <c r="Z18" s="65">
        <f t="shared" si="6"/>
        <v>89.100000000000009</v>
      </c>
    </row>
    <row r="19" spans="2:26" ht="26.1" customHeight="1" x14ac:dyDescent="0.25">
      <c r="B19" s="204"/>
      <c r="C19" s="223"/>
      <c r="D19" s="209"/>
      <c r="E19" s="209"/>
      <c r="F19" s="209"/>
      <c r="G19" s="209"/>
      <c r="H19" s="209"/>
      <c r="I19" s="209"/>
      <c r="J19" s="209"/>
      <c r="K19" s="209"/>
      <c r="L19" s="209"/>
      <c r="M19" s="209"/>
      <c r="N19" s="209"/>
      <c r="O19" s="209"/>
      <c r="P19" s="224"/>
      <c r="Q19" s="206"/>
      <c r="T19" s="65">
        <v>5</v>
      </c>
      <c r="U19" s="65">
        <v>2.38</v>
      </c>
      <c r="V19" s="65">
        <f t="shared" si="2"/>
        <v>1.6527777777777777E-2</v>
      </c>
      <c r="W19" s="65">
        <f t="shared" si="3"/>
        <v>3.3055555555555553E-2</v>
      </c>
      <c r="X19" s="65">
        <f t="shared" si="4"/>
        <v>4.9583333333333326E-2</v>
      </c>
      <c r="Y19" s="65">
        <f t="shared" si="5"/>
        <v>71.399999999999991</v>
      </c>
      <c r="Z19" s="65">
        <f t="shared" si="6"/>
        <v>107.09999999999998</v>
      </c>
    </row>
    <row r="20" spans="2:26" x14ac:dyDescent="0.25">
      <c r="B20" s="204"/>
      <c r="C20" s="223"/>
      <c r="D20" s="209"/>
      <c r="E20" s="209"/>
      <c r="F20" s="209"/>
      <c r="G20" s="209"/>
      <c r="H20" s="209"/>
      <c r="I20" s="209"/>
      <c r="J20" s="209"/>
      <c r="K20" s="209"/>
      <c r="L20" s="209"/>
      <c r="M20" s="209"/>
      <c r="N20" s="209"/>
      <c r="O20" s="209"/>
      <c r="P20" s="224"/>
      <c r="Q20" s="206"/>
      <c r="T20" s="65">
        <v>6</v>
      </c>
      <c r="U20" s="65">
        <v>2.9</v>
      </c>
      <c r="V20" s="65">
        <f t="shared" si="2"/>
        <v>2.0138888888888887E-2</v>
      </c>
      <c r="W20" s="65">
        <f t="shared" si="3"/>
        <v>4.0277777777777773E-2</v>
      </c>
      <c r="X20" s="65">
        <f t="shared" si="4"/>
        <v>6.041666666666666E-2</v>
      </c>
      <c r="Y20" s="65">
        <f t="shared" si="5"/>
        <v>86.999999999999986</v>
      </c>
      <c r="Z20" s="65">
        <f t="shared" si="6"/>
        <v>130.5</v>
      </c>
    </row>
    <row r="21" spans="2:26" x14ac:dyDescent="0.25">
      <c r="B21" s="204"/>
      <c r="C21" s="223"/>
      <c r="D21" s="209"/>
      <c r="E21" s="209"/>
      <c r="F21" s="209"/>
      <c r="G21" s="209"/>
      <c r="H21" s="209"/>
      <c r="I21" s="209"/>
      <c r="J21" s="209"/>
      <c r="K21" s="209"/>
      <c r="L21" s="209"/>
      <c r="M21" s="209"/>
      <c r="N21" s="209"/>
      <c r="O21" s="209"/>
      <c r="P21" s="224"/>
      <c r="Q21" s="206"/>
      <c r="Y21" s="65">
        <f t="shared" si="5"/>
        <v>0</v>
      </c>
      <c r="Z21" s="65">
        <f t="shared" si="6"/>
        <v>0</v>
      </c>
    </row>
    <row r="22" spans="2:26" x14ac:dyDescent="0.25">
      <c r="B22" s="204"/>
      <c r="C22" s="223"/>
      <c r="D22" s="209"/>
      <c r="E22" s="209"/>
      <c r="F22" s="209"/>
      <c r="G22" s="209"/>
      <c r="H22" s="209"/>
      <c r="I22" s="209"/>
      <c r="J22" s="209"/>
      <c r="K22" s="209"/>
      <c r="L22" s="209"/>
      <c r="M22" s="209"/>
      <c r="N22" s="209"/>
      <c r="O22" s="209"/>
      <c r="P22" s="224"/>
      <c r="Q22" s="206"/>
      <c r="S22" s="65" t="s">
        <v>491</v>
      </c>
      <c r="T22" s="65">
        <v>3</v>
      </c>
      <c r="U22" s="65">
        <v>3.2</v>
      </c>
      <c r="V22" s="65">
        <f t="shared" si="2"/>
        <v>2.2222222222222223E-2</v>
      </c>
      <c r="W22" s="65">
        <f t="shared" si="3"/>
        <v>4.4444444444444446E-2</v>
      </c>
      <c r="X22" s="65">
        <f t="shared" ref="X22:X33" si="7">V22*3</f>
        <v>6.6666666666666666E-2</v>
      </c>
      <c r="Y22" s="65">
        <f t="shared" si="5"/>
        <v>96</v>
      </c>
      <c r="Z22" s="65">
        <f t="shared" si="6"/>
        <v>144</v>
      </c>
    </row>
    <row r="23" spans="2:26" x14ac:dyDescent="0.25">
      <c r="B23" s="204"/>
      <c r="C23" s="223"/>
      <c r="D23" s="209"/>
      <c r="E23" s="209"/>
      <c r="F23" s="209"/>
      <c r="G23" s="209"/>
      <c r="H23" s="209"/>
      <c r="I23" s="209"/>
      <c r="J23" s="209"/>
      <c r="K23" s="209"/>
      <c r="L23" s="209"/>
      <c r="M23" s="209"/>
      <c r="N23" s="209"/>
      <c r="O23" s="209"/>
      <c r="P23" s="224"/>
      <c r="Q23" s="206"/>
      <c r="U23" s="65">
        <v>3.35</v>
      </c>
      <c r="V23" s="65">
        <f t="shared" si="2"/>
        <v>2.326388888888889E-2</v>
      </c>
      <c r="W23" s="65">
        <f t="shared" si="3"/>
        <v>4.6527777777777779E-2</v>
      </c>
      <c r="X23" s="65">
        <f t="shared" si="7"/>
        <v>6.9791666666666669E-2</v>
      </c>
      <c r="Y23" s="65">
        <f t="shared" si="5"/>
        <v>100.5</v>
      </c>
      <c r="Z23" s="65">
        <f t="shared" si="6"/>
        <v>150.75</v>
      </c>
    </row>
    <row r="24" spans="2:26" x14ac:dyDescent="0.25">
      <c r="B24" s="204"/>
      <c r="C24" s="223"/>
      <c r="D24" s="209"/>
      <c r="E24" s="209"/>
      <c r="F24" s="209"/>
      <c r="G24" s="209"/>
      <c r="H24" s="209"/>
      <c r="I24" s="209"/>
      <c r="J24" s="209"/>
      <c r="K24" s="209"/>
      <c r="L24" s="209"/>
      <c r="M24" s="209"/>
      <c r="N24" s="209"/>
      <c r="O24" s="209"/>
      <c r="P24" s="224"/>
      <c r="Q24" s="206"/>
      <c r="U24" s="65">
        <v>3.5</v>
      </c>
      <c r="V24" s="65">
        <f t="shared" si="2"/>
        <v>2.4305555555555556E-2</v>
      </c>
      <c r="W24" s="65">
        <f t="shared" si="3"/>
        <v>4.8611111111111112E-2</v>
      </c>
      <c r="X24" s="65">
        <f t="shared" si="7"/>
        <v>7.2916666666666671E-2</v>
      </c>
      <c r="Y24" s="65">
        <f t="shared" si="5"/>
        <v>105</v>
      </c>
      <c r="Z24" s="65">
        <f t="shared" si="6"/>
        <v>157.5</v>
      </c>
    </row>
    <row r="25" spans="2:26" x14ac:dyDescent="0.25">
      <c r="B25" s="204"/>
      <c r="C25" s="223"/>
      <c r="D25" s="209"/>
      <c r="E25" s="209"/>
      <c r="F25" s="209"/>
      <c r="G25" s="209"/>
      <c r="H25" s="209"/>
      <c r="I25" s="209"/>
      <c r="J25" s="209"/>
      <c r="K25" s="209"/>
      <c r="L25" s="209"/>
      <c r="M25" s="209"/>
      <c r="N25" s="209"/>
      <c r="O25" s="209"/>
      <c r="P25" s="224"/>
      <c r="Q25" s="206"/>
      <c r="T25" s="65">
        <v>3.9</v>
      </c>
      <c r="U25" s="65">
        <v>4.3</v>
      </c>
      <c r="V25" s="65">
        <f t="shared" si="2"/>
        <v>2.9861111111111109E-2</v>
      </c>
      <c r="W25" s="65">
        <f t="shared" si="3"/>
        <v>5.9722222222222218E-2</v>
      </c>
      <c r="X25" s="65">
        <f t="shared" si="7"/>
        <v>8.958333333333332E-2</v>
      </c>
      <c r="Y25" s="65">
        <f t="shared" si="5"/>
        <v>129</v>
      </c>
      <c r="Z25" s="65">
        <f t="shared" si="6"/>
        <v>193.49999999999997</v>
      </c>
    </row>
    <row r="26" spans="2:26" x14ac:dyDescent="0.25">
      <c r="B26" s="204"/>
      <c r="C26" s="223"/>
      <c r="D26" s="209"/>
      <c r="E26" s="209"/>
      <c r="F26" s="209"/>
      <c r="G26" s="209"/>
      <c r="H26" s="209"/>
      <c r="I26" s="209"/>
      <c r="J26" s="209"/>
      <c r="K26" s="209"/>
      <c r="L26" s="209"/>
      <c r="M26" s="209"/>
      <c r="N26" s="209"/>
      <c r="O26" s="209"/>
      <c r="P26" s="224"/>
      <c r="Q26" s="206"/>
      <c r="U26" s="65">
        <v>4.3499999999999996</v>
      </c>
      <c r="V26" s="65">
        <f t="shared" si="2"/>
        <v>3.020833333333333E-2</v>
      </c>
      <c r="W26" s="65">
        <f t="shared" si="3"/>
        <v>6.041666666666666E-2</v>
      </c>
      <c r="X26" s="65">
        <f t="shared" si="7"/>
        <v>9.0624999999999983E-2</v>
      </c>
      <c r="Y26" s="65">
        <f t="shared" si="5"/>
        <v>130.5</v>
      </c>
      <c r="Z26" s="65">
        <f t="shared" si="6"/>
        <v>195.74999999999994</v>
      </c>
    </row>
    <row r="27" spans="2:26" x14ac:dyDescent="0.25">
      <c r="B27" s="204"/>
      <c r="C27" s="223"/>
      <c r="D27" s="209"/>
      <c r="E27" s="209"/>
      <c r="F27" s="209"/>
      <c r="G27" s="209"/>
      <c r="H27" s="209"/>
      <c r="I27" s="209"/>
      <c r="J27" s="209"/>
      <c r="K27" s="209"/>
      <c r="L27" s="209"/>
      <c r="M27" s="209"/>
      <c r="N27" s="209"/>
      <c r="O27" s="209"/>
      <c r="P27" s="224"/>
      <c r="Q27" s="206"/>
      <c r="U27" s="65">
        <v>4.4000000000000004</v>
      </c>
      <c r="V27" s="65">
        <f t="shared" si="2"/>
        <v>3.0555555555555558E-2</v>
      </c>
      <c r="W27" s="65">
        <f t="shared" si="3"/>
        <v>6.1111111111111116E-2</v>
      </c>
      <c r="X27" s="65">
        <f t="shared" si="7"/>
        <v>9.1666666666666674E-2</v>
      </c>
      <c r="Y27" s="65">
        <f t="shared" si="5"/>
        <v>132</v>
      </c>
      <c r="Z27" s="65">
        <f t="shared" si="6"/>
        <v>198.00000000000003</v>
      </c>
    </row>
    <row r="28" spans="2:26" x14ac:dyDescent="0.25">
      <c r="B28" s="204"/>
      <c r="C28" s="223"/>
      <c r="D28" s="209"/>
      <c r="E28" s="209"/>
      <c r="F28" s="209"/>
      <c r="G28" s="209"/>
      <c r="H28" s="209"/>
      <c r="I28" s="209"/>
      <c r="J28" s="209"/>
      <c r="K28" s="209"/>
      <c r="L28" s="209"/>
      <c r="M28" s="209"/>
      <c r="N28" s="209"/>
      <c r="O28" s="209"/>
      <c r="P28" s="224"/>
      <c r="Q28" s="206"/>
      <c r="T28" s="65">
        <v>4.7</v>
      </c>
      <c r="U28" s="65">
        <v>4.9000000000000004</v>
      </c>
      <c r="V28" s="65">
        <f t="shared" si="2"/>
        <v>3.4027777777777782E-2</v>
      </c>
      <c r="W28" s="65">
        <f t="shared" si="3"/>
        <v>6.8055555555555564E-2</v>
      </c>
      <c r="X28" s="65">
        <f t="shared" si="7"/>
        <v>0.10208333333333335</v>
      </c>
      <c r="Y28" s="65">
        <f t="shared" si="5"/>
        <v>147</v>
      </c>
      <c r="Z28" s="65">
        <f t="shared" si="6"/>
        <v>220.50000000000003</v>
      </c>
    </row>
    <row r="29" spans="2:26" x14ac:dyDescent="0.25">
      <c r="B29" s="204"/>
      <c r="C29" s="223"/>
      <c r="D29" s="209"/>
      <c r="E29" s="209"/>
      <c r="F29" s="209"/>
      <c r="G29" s="209"/>
      <c r="H29" s="209"/>
      <c r="I29" s="209"/>
      <c r="J29" s="209"/>
      <c r="K29" s="209"/>
      <c r="L29" s="209"/>
      <c r="M29" s="209"/>
      <c r="N29" s="209"/>
      <c r="O29" s="209"/>
      <c r="P29" s="224"/>
      <c r="Q29" s="206"/>
      <c r="U29" s="65">
        <v>5.05</v>
      </c>
      <c r="V29" s="65">
        <f t="shared" si="2"/>
        <v>3.5069444444444445E-2</v>
      </c>
      <c r="W29" s="65">
        <f t="shared" si="3"/>
        <v>7.013888888888889E-2</v>
      </c>
      <c r="X29" s="65">
        <f t="shared" si="7"/>
        <v>0.10520833333333333</v>
      </c>
      <c r="Y29" s="65">
        <f t="shared" si="5"/>
        <v>151.5</v>
      </c>
      <c r="Z29" s="65">
        <f t="shared" si="6"/>
        <v>227.25</v>
      </c>
    </row>
    <row r="30" spans="2:26" x14ac:dyDescent="0.25">
      <c r="B30" s="204"/>
      <c r="C30" s="223"/>
      <c r="D30" s="209"/>
      <c r="E30" s="209"/>
      <c r="F30" s="209"/>
      <c r="G30" s="209"/>
      <c r="H30" s="209"/>
      <c r="I30" s="209"/>
      <c r="J30" s="209"/>
      <c r="K30" s="209"/>
      <c r="L30" s="209"/>
      <c r="M30" s="209"/>
      <c r="N30" s="209"/>
      <c r="O30" s="209"/>
      <c r="P30" s="224"/>
      <c r="Q30" s="206"/>
      <c r="U30" s="65">
        <v>5.2</v>
      </c>
      <c r="V30" s="65">
        <f t="shared" si="2"/>
        <v>3.6111111111111115E-2</v>
      </c>
      <c r="W30" s="65">
        <f t="shared" si="3"/>
        <v>7.2222222222222229E-2</v>
      </c>
      <c r="X30" s="65">
        <f t="shared" si="7"/>
        <v>0.10833333333333334</v>
      </c>
      <c r="Y30" s="65">
        <f t="shared" si="5"/>
        <v>156</v>
      </c>
      <c r="Z30" s="65">
        <f t="shared" si="6"/>
        <v>234.00000000000003</v>
      </c>
    </row>
    <row r="31" spans="2:26" x14ac:dyDescent="0.25">
      <c r="B31" s="204"/>
      <c r="C31" s="223"/>
      <c r="D31" s="209"/>
      <c r="E31" s="209"/>
      <c r="F31" s="209"/>
      <c r="G31" s="209"/>
      <c r="H31" s="209"/>
      <c r="I31" s="209"/>
      <c r="J31" s="209"/>
      <c r="K31" s="209"/>
      <c r="L31" s="209"/>
      <c r="M31" s="209"/>
      <c r="N31" s="209"/>
      <c r="O31" s="209"/>
      <c r="P31" s="224"/>
      <c r="Q31" s="206"/>
      <c r="T31" s="65">
        <v>5.7</v>
      </c>
      <c r="U31" s="65">
        <v>5.9</v>
      </c>
      <c r="V31" s="65">
        <f t="shared" si="2"/>
        <v>4.0972222222222222E-2</v>
      </c>
      <c r="W31" s="65">
        <f t="shared" si="3"/>
        <v>8.1944444444444445E-2</v>
      </c>
      <c r="X31" s="65">
        <f t="shared" si="7"/>
        <v>0.12291666666666667</v>
      </c>
      <c r="Y31" s="65">
        <f t="shared" si="5"/>
        <v>177</v>
      </c>
      <c r="Z31" s="65">
        <f t="shared" si="6"/>
        <v>265.50000000000006</v>
      </c>
    </row>
    <row r="32" spans="2:26" x14ac:dyDescent="0.25">
      <c r="B32" s="204"/>
      <c r="C32" s="223"/>
      <c r="D32" s="209"/>
      <c r="E32" s="209"/>
      <c r="F32" s="209"/>
      <c r="G32" s="209"/>
      <c r="H32" s="209"/>
      <c r="I32" s="209"/>
      <c r="J32" s="209"/>
      <c r="K32" s="209"/>
      <c r="L32" s="209"/>
      <c r="M32" s="209"/>
      <c r="N32" s="209"/>
      <c r="O32" s="209"/>
      <c r="P32" s="224"/>
      <c r="Q32" s="206"/>
      <c r="U32" s="65">
        <v>6.05</v>
      </c>
      <c r="V32" s="65">
        <f t="shared" si="2"/>
        <v>4.2013888888888885E-2</v>
      </c>
      <c r="W32" s="65">
        <f t="shared" si="3"/>
        <v>8.4027777777777771E-2</v>
      </c>
      <c r="X32" s="65">
        <f t="shared" si="7"/>
        <v>0.12604166666666666</v>
      </c>
      <c r="Y32" s="65">
        <f t="shared" si="5"/>
        <v>181.5</v>
      </c>
      <c r="Z32" s="65">
        <f t="shared" si="6"/>
        <v>272.25</v>
      </c>
    </row>
    <row r="33" spans="2:26" x14ac:dyDescent="0.25">
      <c r="B33" s="204"/>
      <c r="C33" s="223"/>
      <c r="D33" s="209"/>
      <c r="E33" s="209"/>
      <c r="F33" s="209"/>
      <c r="G33" s="209"/>
      <c r="H33" s="209"/>
      <c r="I33" s="209"/>
      <c r="J33" s="209"/>
      <c r="K33" s="209"/>
      <c r="L33" s="209"/>
      <c r="M33" s="209"/>
      <c r="N33" s="209"/>
      <c r="O33" s="209"/>
      <c r="P33" s="224"/>
      <c r="Q33" s="206"/>
      <c r="U33" s="65">
        <v>6.2</v>
      </c>
      <c r="V33" s="65">
        <f t="shared" si="2"/>
        <v>4.3055555555555555E-2</v>
      </c>
      <c r="W33" s="65">
        <f t="shared" si="3"/>
        <v>8.611111111111111E-2</v>
      </c>
      <c r="X33" s="65">
        <f t="shared" si="7"/>
        <v>0.12916666666666665</v>
      </c>
      <c r="Y33" s="65">
        <f t="shared" si="5"/>
        <v>186</v>
      </c>
      <c r="Z33" s="65">
        <f t="shared" si="6"/>
        <v>278.99999999999994</v>
      </c>
    </row>
    <row r="34" spans="2:26" x14ac:dyDescent="0.25">
      <c r="B34" s="204"/>
      <c r="C34" s="223"/>
      <c r="D34" s="209"/>
      <c r="E34" s="209"/>
      <c r="F34" s="209"/>
      <c r="G34" s="209"/>
      <c r="H34" s="209"/>
      <c r="I34" s="209"/>
      <c r="J34" s="209"/>
      <c r="K34" s="209"/>
      <c r="L34" s="209"/>
      <c r="M34" s="209"/>
      <c r="N34" s="209"/>
      <c r="O34" s="209"/>
      <c r="P34" s="224"/>
      <c r="Q34" s="206"/>
    </row>
    <row r="35" spans="2:26" x14ac:dyDescent="0.25">
      <c r="B35" s="204"/>
      <c r="C35" s="223"/>
      <c r="D35" s="209"/>
      <c r="E35" s="209"/>
      <c r="F35" s="209"/>
      <c r="G35" s="209"/>
      <c r="H35" s="209"/>
      <c r="I35" s="209"/>
      <c r="J35" s="209"/>
      <c r="K35" s="209"/>
      <c r="L35" s="209"/>
      <c r="M35" s="209"/>
      <c r="N35" s="209"/>
      <c r="O35" s="209"/>
      <c r="P35" s="224"/>
      <c r="Q35" s="206"/>
    </row>
    <row r="36" spans="2:26" x14ac:dyDescent="0.25">
      <c r="B36" s="204"/>
      <c r="C36" s="223"/>
      <c r="D36" s="209"/>
      <c r="E36" s="209"/>
      <c r="F36" s="209"/>
      <c r="G36" s="209"/>
      <c r="H36" s="209"/>
      <c r="I36" s="209"/>
      <c r="J36" s="209"/>
      <c r="K36" s="209"/>
      <c r="L36" s="209"/>
      <c r="M36" s="209"/>
      <c r="N36" s="209"/>
      <c r="O36" s="209"/>
      <c r="P36" s="224"/>
      <c r="Q36" s="206"/>
      <c r="T36" s="214" t="s">
        <v>104</v>
      </c>
      <c r="U36" s="214" t="s">
        <v>106</v>
      </c>
      <c r="V36" s="214" t="s">
        <v>108</v>
      </c>
    </row>
    <row r="37" spans="2:26" x14ac:dyDescent="0.25">
      <c r="B37" s="204"/>
      <c r="C37" s="223"/>
      <c r="D37" s="209"/>
      <c r="E37" s="209"/>
      <c r="F37" s="209"/>
      <c r="G37" s="209"/>
      <c r="H37" s="209"/>
      <c r="I37" s="209"/>
      <c r="J37" s="209"/>
      <c r="K37" s="209"/>
      <c r="L37" s="209"/>
      <c r="M37" s="209"/>
      <c r="N37" s="209"/>
      <c r="O37" s="209"/>
      <c r="P37" s="224"/>
      <c r="Q37" s="206"/>
      <c r="T37" s="65">
        <v>2.5</v>
      </c>
      <c r="U37" s="65">
        <v>2.5</v>
      </c>
      <c r="V37" s="65">
        <v>3</v>
      </c>
    </row>
    <row r="38" spans="2:26" x14ac:dyDescent="0.25">
      <c r="B38" s="204"/>
      <c r="C38" s="223"/>
      <c r="D38" s="209"/>
      <c r="E38" s="209"/>
      <c r="F38" s="209"/>
      <c r="G38" s="209"/>
      <c r="H38" s="209"/>
      <c r="I38" s="209"/>
      <c r="J38" s="209"/>
      <c r="K38" s="209"/>
      <c r="L38" s="209"/>
      <c r="M38" s="209"/>
      <c r="N38" s="209"/>
      <c r="O38" s="209"/>
      <c r="P38" s="224"/>
      <c r="Q38" s="206"/>
      <c r="T38" s="65">
        <v>3</v>
      </c>
      <c r="U38" s="65">
        <v>3</v>
      </c>
      <c r="V38" s="65">
        <v>4</v>
      </c>
    </row>
    <row r="39" spans="2:26" x14ac:dyDescent="0.25">
      <c r="B39" s="204"/>
      <c r="C39" s="223"/>
      <c r="D39" s="209"/>
      <c r="E39" s="209"/>
      <c r="F39" s="209"/>
      <c r="G39" s="209"/>
      <c r="H39" s="209"/>
      <c r="I39" s="209"/>
      <c r="J39" s="209"/>
      <c r="K39" s="209"/>
      <c r="L39" s="209"/>
      <c r="M39" s="209"/>
      <c r="N39" s="209"/>
      <c r="O39" s="209"/>
      <c r="P39" s="224"/>
      <c r="Q39" s="206"/>
      <c r="T39" s="65">
        <v>4</v>
      </c>
      <c r="U39" s="65">
        <v>4</v>
      </c>
      <c r="V39" s="65">
        <v>5</v>
      </c>
    </row>
    <row r="40" spans="2:26" x14ac:dyDescent="0.25">
      <c r="B40" s="204"/>
      <c r="C40" s="223"/>
      <c r="D40" s="209"/>
      <c r="E40" s="209"/>
      <c r="F40" s="209"/>
      <c r="G40" s="209"/>
      <c r="H40" s="209"/>
      <c r="I40" s="209"/>
      <c r="J40" s="209"/>
      <c r="K40" s="209"/>
      <c r="L40" s="209"/>
      <c r="M40" s="209"/>
      <c r="N40" s="209"/>
      <c r="O40" s="209"/>
      <c r="P40" s="224"/>
      <c r="Q40" s="206"/>
      <c r="T40" s="65">
        <v>5</v>
      </c>
      <c r="U40" s="65">
        <v>5</v>
      </c>
      <c r="V40" s="65">
        <v>6</v>
      </c>
    </row>
    <row r="41" spans="2:26" x14ac:dyDescent="0.25">
      <c r="B41" s="204"/>
      <c r="C41" s="223"/>
      <c r="D41" s="209"/>
      <c r="E41" s="209"/>
      <c r="F41" s="209"/>
      <c r="G41" s="209"/>
      <c r="H41" s="209"/>
      <c r="I41" s="209"/>
      <c r="J41" s="209"/>
      <c r="K41" s="209"/>
      <c r="L41" s="209"/>
      <c r="M41" s="209"/>
      <c r="N41" s="209"/>
      <c r="O41" s="209"/>
      <c r="P41" s="224"/>
      <c r="Q41" s="206"/>
      <c r="T41" s="65">
        <v>6</v>
      </c>
      <c r="U41" s="65">
        <v>6</v>
      </c>
    </row>
    <row r="42" spans="2:26" x14ac:dyDescent="0.25">
      <c r="B42" s="204"/>
      <c r="C42" s="223"/>
      <c r="D42" s="209"/>
      <c r="E42" s="209"/>
      <c r="F42" s="209"/>
      <c r="G42" s="209"/>
      <c r="H42" s="209"/>
      <c r="I42" s="209"/>
      <c r="J42" s="209"/>
      <c r="K42" s="209"/>
      <c r="L42" s="209"/>
      <c r="M42" s="209"/>
      <c r="N42" s="209"/>
      <c r="O42" s="209"/>
      <c r="P42" s="224"/>
      <c r="Q42" s="206"/>
    </row>
    <row r="43" spans="2:26" x14ac:dyDescent="0.25">
      <c r="B43" s="204"/>
      <c r="C43" s="223"/>
      <c r="D43" s="209"/>
      <c r="E43" s="209"/>
      <c r="F43" s="209"/>
      <c r="G43" s="209"/>
      <c r="H43" s="209"/>
      <c r="I43" s="209"/>
      <c r="J43" s="209"/>
      <c r="K43" s="209"/>
      <c r="L43" s="209"/>
      <c r="M43" s="209"/>
      <c r="N43" s="209"/>
      <c r="O43" s="209"/>
      <c r="P43" s="224"/>
      <c r="Q43" s="206"/>
    </row>
    <row r="44" spans="2:26" x14ac:dyDescent="0.25">
      <c r="B44" s="204"/>
      <c r="C44" s="223"/>
      <c r="D44" s="209"/>
      <c r="E44" s="209"/>
      <c r="F44" s="209"/>
      <c r="G44" s="209"/>
      <c r="H44" s="209"/>
      <c r="I44" s="209"/>
      <c r="J44" s="209"/>
      <c r="K44" s="209"/>
      <c r="L44" s="209"/>
      <c r="M44" s="209"/>
      <c r="N44" s="209"/>
      <c r="O44" s="209"/>
      <c r="P44" s="224"/>
      <c r="Q44" s="206"/>
    </row>
    <row r="45" spans="2:26" x14ac:dyDescent="0.25">
      <c r="B45" s="204"/>
      <c r="C45" s="223"/>
      <c r="D45" s="209"/>
      <c r="E45" s="209"/>
      <c r="F45" s="209"/>
      <c r="G45" s="209"/>
      <c r="H45" s="209"/>
      <c r="I45" s="209"/>
      <c r="J45" s="209"/>
      <c r="K45" s="209"/>
      <c r="L45" s="209"/>
      <c r="M45" s="209"/>
      <c r="N45" s="209"/>
      <c r="O45" s="209"/>
      <c r="P45" s="224"/>
      <c r="Q45" s="206"/>
    </row>
    <row r="46" spans="2:26" x14ac:dyDescent="0.25">
      <c r="B46" s="204"/>
      <c r="C46" s="223"/>
      <c r="D46" s="209"/>
      <c r="E46" s="209"/>
      <c r="F46" s="209"/>
      <c r="G46" s="209"/>
      <c r="H46" s="209"/>
      <c r="I46" s="209"/>
      <c r="J46" s="209"/>
      <c r="K46" s="209"/>
      <c r="L46" s="209"/>
      <c r="M46" s="209"/>
      <c r="N46" s="209"/>
      <c r="O46" s="209"/>
      <c r="P46" s="224"/>
      <c r="Q46" s="206"/>
    </row>
    <row r="47" spans="2:26" x14ac:dyDescent="0.25">
      <c r="B47" s="204"/>
      <c r="C47" s="223"/>
      <c r="D47" s="209"/>
      <c r="E47" s="209"/>
      <c r="F47" s="209"/>
      <c r="G47" s="209"/>
      <c r="H47" s="209"/>
      <c r="I47" s="209"/>
      <c r="J47" s="209"/>
      <c r="K47" s="209"/>
      <c r="L47" s="209"/>
      <c r="M47" s="209"/>
      <c r="N47" s="209"/>
      <c r="O47" s="209"/>
      <c r="P47" s="224"/>
      <c r="Q47" s="206"/>
    </row>
    <row r="48" spans="2:26" x14ac:dyDescent="0.25">
      <c r="B48" s="204"/>
      <c r="C48" s="223"/>
      <c r="D48" s="209"/>
      <c r="E48" s="209"/>
      <c r="F48" s="209"/>
      <c r="G48" s="209"/>
      <c r="H48" s="209"/>
      <c r="I48" s="209"/>
      <c r="J48" s="209"/>
      <c r="K48" s="209"/>
      <c r="L48" s="209"/>
      <c r="M48" s="209"/>
      <c r="N48" s="209"/>
      <c r="O48" s="209"/>
      <c r="P48" s="224"/>
      <c r="Q48" s="206"/>
    </row>
    <row r="49" spans="2:17" x14ac:dyDescent="0.25">
      <c r="B49" s="204"/>
      <c r="C49" s="223"/>
      <c r="D49" s="209"/>
      <c r="E49" s="209"/>
      <c r="F49" s="209"/>
      <c r="G49" s="209"/>
      <c r="H49" s="209"/>
      <c r="I49" s="209"/>
      <c r="J49" s="209"/>
      <c r="K49" s="209"/>
      <c r="L49" s="209"/>
      <c r="M49" s="209"/>
      <c r="N49" s="209"/>
      <c r="O49" s="209"/>
      <c r="P49" s="224"/>
      <c r="Q49" s="206"/>
    </row>
    <row r="50" spans="2:17" x14ac:dyDescent="0.25">
      <c r="B50" s="204"/>
      <c r="C50" s="223"/>
      <c r="D50" s="209"/>
      <c r="E50" s="209"/>
      <c r="F50" s="209"/>
      <c r="G50" s="209"/>
      <c r="H50" s="209"/>
      <c r="I50" s="209"/>
      <c r="J50" s="209"/>
      <c r="K50" s="209"/>
      <c r="L50" s="209"/>
      <c r="M50" s="209"/>
      <c r="N50" s="209"/>
      <c r="O50" s="209"/>
      <c r="P50" s="224"/>
      <c r="Q50" s="206"/>
    </row>
    <row r="51" spans="2:17" x14ac:dyDescent="0.25">
      <c r="B51" s="204"/>
      <c r="C51" s="223"/>
      <c r="D51" s="209"/>
      <c r="E51" s="209"/>
      <c r="F51" s="209"/>
      <c r="G51" s="209"/>
      <c r="H51" s="209"/>
      <c r="I51" s="209"/>
      <c r="J51" s="209"/>
      <c r="K51" s="209"/>
      <c r="L51" s="209"/>
      <c r="M51" s="209"/>
      <c r="N51" s="209"/>
      <c r="O51" s="209"/>
      <c r="P51" s="224"/>
      <c r="Q51" s="206"/>
    </row>
    <row r="52" spans="2:17" x14ac:dyDescent="0.25">
      <c r="B52" s="204"/>
      <c r="C52" s="223"/>
      <c r="D52" s="209"/>
      <c r="E52" s="209"/>
      <c r="F52" s="209"/>
      <c r="G52" s="209"/>
      <c r="H52" s="209"/>
      <c r="I52" s="209"/>
      <c r="J52" s="209"/>
      <c r="K52" s="209"/>
      <c r="L52" s="209"/>
      <c r="M52" s="209"/>
      <c r="N52" s="209"/>
      <c r="O52" s="209"/>
      <c r="P52" s="224"/>
      <c r="Q52" s="206"/>
    </row>
    <row r="53" spans="2:17" x14ac:dyDescent="0.25">
      <c r="B53" s="204"/>
      <c r="C53" s="223"/>
      <c r="D53" s="209"/>
      <c r="E53" s="209"/>
      <c r="F53" s="209"/>
      <c r="G53" s="209"/>
      <c r="H53" s="209"/>
      <c r="I53" s="209"/>
      <c r="J53" s="209"/>
      <c r="K53" s="209"/>
      <c r="L53" s="209"/>
      <c r="M53" s="209"/>
      <c r="N53" s="209"/>
      <c r="O53" s="209"/>
      <c r="P53" s="224"/>
      <c r="Q53" s="206"/>
    </row>
    <row r="54" spans="2:17" x14ac:dyDescent="0.25">
      <c r="B54" s="204"/>
      <c r="C54" s="223"/>
      <c r="D54" s="209"/>
      <c r="E54" s="209"/>
      <c r="F54" s="209"/>
      <c r="G54" s="209"/>
      <c r="H54" s="209"/>
      <c r="I54" s="209"/>
      <c r="J54" s="209"/>
      <c r="K54" s="209"/>
      <c r="L54" s="209"/>
      <c r="M54" s="209"/>
      <c r="N54" s="209"/>
      <c r="O54" s="209"/>
      <c r="P54" s="224"/>
      <c r="Q54" s="206"/>
    </row>
    <row r="55" spans="2:17" x14ac:dyDescent="0.25">
      <c r="B55" s="204"/>
      <c r="C55" s="223"/>
      <c r="D55" s="209"/>
      <c r="E55" s="209"/>
      <c r="F55" s="209"/>
      <c r="G55" s="209"/>
      <c r="H55" s="209"/>
      <c r="I55" s="209"/>
      <c r="J55" s="209"/>
      <c r="K55" s="209"/>
      <c r="L55" s="209"/>
      <c r="M55" s="209"/>
      <c r="N55" s="209"/>
      <c r="O55" s="209"/>
      <c r="P55" s="224"/>
      <c r="Q55" s="206"/>
    </row>
    <row r="56" spans="2:17" x14ac:dyDescent="0.25">
      <c r="B56" s="204"/>
      <c r="C56" s="223"/>
      <c r="D56" s="209"/>
      <c r="E56" s="209"/>
      <c r="F56" s="209"/>
      <c r="G56" s="209"/>
      <c r="H56" s="209"/>
      <c r="I56" s="209"/>
      <c r="J56" s="209"/>
      <c r="K56" s="209"/>
      <c r="L56" s="209"/>
      <c r="M56" s="209"/>
      <c r="N56" s="209"/>
      <c r="O56" s="209"/>
      <c r="P56" s="224"/>
      <c r="Q56" s="206"/>
    </row>
    <row r="57" spans="2:17" x14ac:dyDescent="0.25">
      <c r="B57" s="204"/>
      <c r="C57" s="223"/>
      <c r="D57" s="209"/>
      <c r="E57" s="209"/>
      <c r="F57" s="209"/>
      <c r="G57" s="209"/>
      <c r="H57" s="209"/>
      <c r="I57" s="209"/>
      <c r="J57" s="209"/>
      <c r="K57" s="209"/>
      <c r="L57" s="209"/>
      <c r="M57" s="209"/>
      <c r="N57" s="209"/>
      <c r="O57" s="209"/>
      <c r="P57" s="224"/>
      <c r="Q57" s="206"/>
    </row>
    <row r="58" spans="2:17" x14ac:dyDescent="0.25">
      <c r="B58" s="204"/>
      <c r="C58" s="223"/>
      <c r="D58" s="209"/>
      <c r="E58" s="209"/>
      <c r="F58" s="209"/>
      <c r="G58" s="209"/>
      <c r="H58" s="209"/>
      <c r="I58" s="209"/>
      <c r="J58" s="209"/>
      <c r="K58" s="209"/>
      <c r="L58" s="209"/>
      <c r="M58" s="209"/>
      <c r="N58" s="209"/>
      <c r="O58" s="209"/>
      <c r="P58" s="224"/>
      <c r="Q58" s="206"/>
    </row>
    <row r="59" spans="2:17" x14ac:dyDescent="0.25">
      <c r="B59" s="204"/>
      <c r="C59" s="223"/>
      <c r="D59" s="209"/>
      <c r="E59" s="209"/>
      <c r="F59" s="209"/>
      <c r="G59" s="209"/>
      <c r="H59" s="209"/>
      <c r="I59" s="209"/>
      <c r="J59" s="209"/>
      <c r="K59" s="209"/>
      <c r="L59" s="209"/>
      <c r="M59" s="209"/>
      <c r="N59" s="209"/>
      <c r="O59" s="209"/>
      <c r="P59" s="224"/>
      <c r="Q59" s="206"/>
    </row>
    <row r="60" spans="2:17" x14ac:dyDescent="0.25">
      <c r="B60" s="204"/>
      <c r="C60" s="223"/>
      <c r="D60" s="209"/>
      <c r="E60" s="209"/>
      <c r="F60" s="209"/>
      <c r="G60" s="209"/>
      <c r="H60" s="209"/>
      <c r="I60" s="209"/>
      <c r="J60" s="209"/>
      <c r="K60" s="209"/>
      <c r="L60" s="209"/>
      <c r="M60" s="209"/>
      <c r="N60" s="209"/>
      <c r="O60" s="209"/>
      <c r="P60" s="224"/>
      <c r="Q60" s="206"/>
    </row>
    <row r="61" spans="2:17" x14ac:dyDescent="0.25">
      <c r="B61" s="204"/>
      <c r="C61" s="223"/>
      <c r="D61" s="209"/>
      <c r="E61" s="209"/>
      <c r="F61" s="209"/>
      <c r="G61" s="209"/>
      <c r="H61" s="209"/>
      <c r="I61" s="209"/>
      <c r="J61" s="209"/>
      <c r="K61" s="209"/>
      <c r="L61" s="209"/>
      <c r="M61" s="209"/>
      <c r="N61" s="209"/>
      <c r="O61" s="209"/>
      <c r="P61" s="224"/>
      <c r="Q61" s="206"/>
    </row>
    <row r="62" spans="2:17" x14ac:dyDescent="0.25">
      <c r="B62" s="204"/>
      <c r="C62" s="223"/>
      <c r="D62" s="209"/>
      <c r="E62" s="209"/>
      <c r="F62" s="209"/>
      <c r="G62" s="209"/>
      <c r="H62" s="209"/>
      <c r="I62" s="209"/>
      <c r="J62" s="209"/>
      <c r="K62" s="209"/>
      <c r="L62" s="209"/>
      <c r="M62" s="209"/>
      <c r="N62" s="209"/>
      <c r="O62" s="209"/>
      <c r="P62" s="224"/>
      <c r="Q62" s="206"/>
    </row>
    <row r="63" spans="2:17" x14ac:dyDescent="0.25">
      <c r="B63" s="204"/>
      <c r="C63" s="223"/>
      <c r="D63" s="209"/>
      <c r="E63" s="209"/>
      <c r="F63" s="209"/>
      <c r="G63" s="209"/>
      <c r="H63" s="209"/>
      <c r="I63" s="209"/>
      <c r="J63" s="209"/>
      <c r="K63" s="209"/>
      <c r="L63" s="209"/>
      <c r="M63" s="209"/>
      <c r="N63" s="209"/>
      <c r="O63" s="209"/>
      <c r="P63" s="224"/>
      <c r="Q63" s="206"/>
    </row>
    <row r="64" spans="2:17" x14ac:dyDescent="0.25">
      <c r="B64" s="204"/>
      <c r="C64" s="223"/>
      <c r="D64" s="209"/>
      <c r="E64" s="209"/>
      <c r="F64" s="209"/>
      <c r="G64" s="209"/>
      <c r="H64" s="209"/>
      <c r="I64" s="209"/>
      <c r="J64" s="209"/>
      <c r="K64" s="209"/>
      <c r="L64" s="209"/>
      <c r="M64" s="209"/>
      <c r="N64" s="209"/>
      <c r="O64" s="209"/>
      <c r="P64" s="224"/>
      <c r="Q64" s="206"/>
    </row>
    <row r="65" spans="2:17" x14ac:dyDescent="0.25">
      <c r="B65" s="204"/>
      <c r="C65" s="225"/>
      <c r="D65" s="226"/>
      <c r="E65" s="226"/>
      <c r="F65" s="226"/>
      <c r="G65" s="226"/>
      <c r="H65" s="226"/>
      <c r="I65" s="226"/>
      <c r="J65" s="226"/>
      <c r="K65" s="226"/>
      <c r="L65" s="226"/>
      <c r="M65" s="226"/>
      <c r="N65" s="226"/>
      <c r="O65" s="226"/>
      <c r="P65" s="227"/>
      <c r="Q65" s="206"/>
    </row>
    <row r="66" spans="2:17" x14ac:dyDescent="0.25">
      <c r="B66" s="204"/>
      <c r="C66" s="221"/>
      <c r="D66" s="209"/>
      <c r="E66" s="209"/>
      <c r="F66" s="209"/>
      <c r="G66" s="209"/>
      <c r="H66" s="209"/>
      <c r="I66" s="209"/>
      <c r="J66" s="209"/>
      <c r="K66" s="209"/>
      <c r="L66" s="209"/>
      <c r="M66" s="209"/>
      <c r="N66" s="209"/>
      <c r="O66" s="209"/>
      <c r="P66" s="209"/>
      <c r="Q66" s="206"/>
    </row>
    <row r="67" spans="2:17" ht="15.75" thickBot="1" x14ac:dyDescent="0.3">
      <c r="B67" s="228"/>
      <c r="C67" s="229"/>
      <c r="D67" s="229"/>
      <c r="E67" s="229"/>
      <c r="F67" s="229"/>
      <c r="G67" s="229"/>
      <c r="H67" s="229"/>
      <c r="I67" s="229"/>
      <c r="J67" s="229"/>
      <c r="K67" s="229"/>
      <c r="L67" s="229"/>
      <c r="M67" s="229"/>
      <c r="N67" s="229"/>
      <c r="O67" s="229"/>
      <c r="P67" s="229"/>
      <c r="Q67" s="230"/>
    </row>
    <row r="68" spans="2:17" ht="15.75" thickTop="1" x14ac:dyDescent="0.25"/>
  </sheetData>
  <sheetProtection algorithmName="SHA-512" hashValue="TgdXeYNk7rSN9lATutLWBbtnY5ZKVaXZHlzo5B93omjWZkAyelbTxsOM5KLgycaYshpBfKxe/pWLS2G7ouULmQ==" saltValue="4Tg9Pi3VciGlHDfnjtug0w==" spinCount="100000" sheet="1" objects="1" scenarios="1"/>
  <mergeCells count="10">
    <mergeCell ref="W4:AA6"/>
    <mergeCell ref="T4:T6"/>
    <mergeCell ref="U4:U6"/>
    <mergeCell ref="C17:P17"/>
    <mergeCell ref="G3:K4"/>
    <mergeCell ref="C7:H7"/>
    <mergeCell ref="C8:H10"/>
    <mergeCell ref="C12:H12"/>
    <mergeCell ref="C13:H15"/>
    <mergeCell ref="J15:P15"/>
  </mergeCells>
  <conditionalFormatting sqref="K8:K14">
    <cfRule type="expression" dxfId="4" priority="5">
      <formula>AND(OR(N8&lt;&gt;"",O8&lt;&gt;""),K8="")</formula>
    </cfRule>
  </conditionalFormatting>
  <conditionalFormatting sqref="N8:N14">
    <cfRule type="expression" dxfId="3" priority="2">
      <formula>AND(OR(K8&lt;&gt;"",O8&lt;&gt;""),N8="")</formula>
    </cfRule>
  </conditionalFormatting>
  <conditionalFormatting sqref="O8:O14">
    <cfRule type="expression" dxfId="2" priority="1">
      <formula>AND(N8&lt;&gt;"",O8="")</formula>
    </cfRule>
  </conditionalFormatting>
  <dataValidations count="3">
    <dataValidation type="list" allowBlank="1" showInputMessage="1" showErrorMessage="1" sqref="N8:N14" xr:uid="{D136E1FA-7B87-41EC-9142-22E15BBDEF73}">
      <formula1>GlazingTypes</formula1>
    </dataValidation>
    <dataValidation type="list" allowBlank="1" showInputMessage="1" showErrorMessage="1" sqref="K8:K14" xr:uid="{A154B9BF-CE84-4AA9-8D8C-A8628B362465}">
      <formula1>ProductWeight</formula1>
    </dataValidation>
    <dataValidation type="list" allowBlank="1" showInputMessage="1" showErrorMessage="1" sqref="O8:O14" xr:uid="{C4919EB3-A5C9-45F8-BBC4-B18EADBD7879}">
      <formula1>INDIRECT(SUBSTITUTE($N8," ","_"))</formula1>
    </dataValidation>
  </dataValidations>
  <hyperlinks>
    <hyperlink ref="G3:K4" location="'Project Mull Review'!A1" display="CLICK TO RETURN TO PROJECT MULL REVIEW" xr:uid="{8D4AFD14-5662-498D-93EA-AABB027E5DCB}"/>
  </hyperlinks>
  <pageMargins left="0.7" right="0.7" top="0.75" bottom="0.75" header="0.3" footer="0.3"/>
  <pageSetup orientation="portrait" horizontalDpi="90" verticalDpi="9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9F2A2-3236-4503-87DF-EFCF6267DF50}">
  <sheetPr>
    <tabColor rgb="FFAF8ED0"/>
  </sheetPr>
  <dimension ref="B2:AL72"/>
  <sheetViews>
    <sheetView zoomScale="80" zoomScaleNormal="80" workbookViewId="0">
      <selection activeCell="C8" sqref="C8"/>
    </sheetView>
  </sheetViews>
  <sheetFormatPr defaultColWidth="9.140625" defaultRowHeight="15" outlineLevelCol="1" x14ac:dyDescent="0.25"/>
  <cols>
    <col min="1" max="1" width="4" style="65" customWidth="1"/>
    <col min="2" max="2" width="4.140625" style="65" customWidth="1"/>
    <col min="3" max="3" width="10.85546875" style="65" customWidth="1"/>
    <col min="4" max="4" width="33.42578125" style="65" customWidth="1"/>
    <col min="5" max="6" width="16.5703125" style="65" customWidth="1"/>
    <col min="7" max="7" width="13.7109375" style="65" customWidth="1"/>
    <col min="8" max="8" width="16.140625" style="65" customWidth="1"/>
    <col min="9" max="9" width="16.85546875" style="65" customWidth="1"/>
    <col min="10" max="10" width="15" style="65" customWidth="1"/>
    <col min="11" max="11" width="20" style="65" customWidth="1"/>
    <col min="12" max="12" width="10.42578125" style="65" customWidth="1"/>
    <col min="13" max="13" width="9.140625" style="65"/>
    <col min="14" max="15" width="12.7109375" style="65" customWidth="1"/>
    <col min="16" max="18" width="9.7109375" style="65" customWidth="1"/>
    <col min="19" max="20" width="14.7109375" style="65" customWidth="1"/>
    <col min="21" max="24" width="9.7109375" style="65" customWidth="1"/>
    <col min="25" max="25" width="37.7109375" style="65" customWidth="1"/>
    <col min="26" max="28" width="9.140625" style="65"/>
    <col min="29" max="29" width="32.5703125" style="65" hidden="1" customWidth="1" outlineLevel="1"/>
    <col min="30" max="30" width="12.85546875" style="65" hidden="1" customWidth="1" outlineLevel="1"/>
    <col min="31" max="31" width="11" style="65" hidden="1" customWidth="1" outlineLevel="1"/>
    <col min="32" max="32" width="14.5703125" style="65" hidden="1" customWidth="1" outlineLevel="1"/>
    <col min="33" max="33" width="13.7109375" style="65" hidden="1" customWidth="1" outlineLevel="1"/>
    <col min="34" max="34" width="9.140625" style="65" collapsed="1"/>
    <col min="35" max="16384" width="9.140625" style="65"/>
  </cols>
  <sheetData>
    <row r="2" spans="2:38" ht="15.75" thickBot="1" x14ac:dyDescent="0.3"/>
    <row r="3" spans="2:38" ht="30" thickTop="1" thickBot="1" x14ac:dyDescent="0.3">
      <c r="B3" s="231"/>
      <c r="C3" s="232"/>
      <c r="D3" s="232"/>
      <c r="E3" s="1410" t="s">
        <v>90</v>
      </c>
      <c r="F3" s="1411"/>
      <c r="G3" s="1411"/>
      <c r="H3" s="1411"/>
      <c r="I3" s="1412"/>
      <c r="J3" s="232"/>
      <c r="K3" s="232"/>
      <c r="L3" s="233"/>
      <c r="N3" s="1392" t="s">
        <v>139</v>
      </c>
      <c r="O3" s="1393"/>
      <c r="P3" s="1393"/>
      <c r="Q3" s="1393"/>
      <c r="R3" s="1393"/>
      <c r="S3" s="1393"/>
      <c r="T3" s="1393"/>
      <c r="U3" s="1393"/>
      <c r="V3" s="1393"/>
      <c r="W3" s="1393"/>
      <c r="X3" s="1393"/>
      <c r="Y3" s="1394"/>
    </row>
    <row r="4" spans="2:38" ht="15.75" customHeight="1" x14ac:dyDescent="0.25">
      <c r="B4" s="234"/>
      <c r="C4" s="235"/>
      <c r="D4" s="235"/>
      <c r="E4" s="235"/>
      <c r="F4" s="235"/>
      <c r="G4" s="235"/>
      <c r="H4" s="235"/>
      <c r="I4" s="235"/>
      <c r="J4" s="235"/>
      <c r="K4" s="235"/>
      <c r="L4" s="236"/>
      <c r="M4" s="237"/>
      <c r="N4" s="1395" t="s">
        <v>458</v>
      </c>
      <c r="O4" s="1396"/>
      <c r="P4" s="1396"/>
      <c r="Q4" s="1396"/>
      <c r="R4" s="238"/>
      <c r="S4" s="238"/>
      <c r="T4" s="238"/>
      <c r="U4" s="238"/>
      <c r="V4" s="238"/>
      <c r="W4" s="238"/>
      <c r="X4" s="238"/>
      <c r="Y4" s="239"/>
    </row>
    <row r="5" spans="2:38" ht="15.75" customHeight="1" x14ac:dyDescent="0.25">
      <c r="B5" s="234"/>
      <c r="C5" s="240"/>
      <c r="D5" s="240"/>
      <c r="E5" s="240"/>
      <c r="F5" s="240"/>
      <c r="G5" s="240"/>
      <c r="H5" s="240"/>
      <c r="I5" s="240"/>
      <c r="J5" s="240"/>
      <c r="K5" s="240"/>
      <c r="L5" s="241"/>
      <c r="M5" s="242"/>
      <c r="N5" s="1405" t="s">
        <v>459</v>
      </c>
      <c r="O5" s="1406"/>
      <c r="P5" s="1406"/>
      <c r="Q5" s="1406"/>
      <c r="R5" s="1406"/>
      <c r="S5" s="1406"/>
      <c r="T5" s="1406"/>
      <c r="U5" s="1406"/>
      <c r="V5" s="1406"/>
      <c r="W5" s="1406"/>
      <c r="X5" s="1406"/>
      <c r="Y5" s="243"/>
    </row>
    <row r="6" spans="2:38" ht="10.5" customHeight="1" thickBot="1" x14ac:dyDescent="0.3">
      <c r="B6" s="234"/>
      <c r="C6" s="240"/>
      <c r="D6" s="240"/>
      <c r="E6" s="240"/>
      <c r="F6" s="240"/>
      <c r="G6" s="240"/>
      <c r="H6" s="240"/>
      <c r="I6" s="240"/>
      <c r="J6" s="240"/>
      <c r="K6" s="240"/>
      <c r="L6" s="241"/>
      <c r="M6" s="242"/>
      <c r="N6" s="1405"/>
      <c r="O6" s="1406"/>
      <c r="P6" s="1406"/>
      <c r="Q6" s="1406"/>
      <c r="R6" s="1406"/>
      <c r="S6" s="1406"/>
      <c r="T6" s="1406"/>
      <c r="U6" s="1406"/>
      <c r="V6" s="1406"/>
      <c r="W6" s="1406"/>
      <c r="X6" s="1406"/>
      <c r="Y6" s="243"/>
    </row>
    <row r="7" spans="2:38" ht="48" customHeight="1" thickBot="1" x14ac:dyDescent="0.3">
      <c r="B7" s="234"/>
      <c r="C7" s="244" t="s">
        <v>92</v>
      </c>
      <c r="D7" s="245" t="s">
        <v>93</v>
      </c>
      <c r="E7" s="245" t="s">
        <v>113</v>
      </c>
      <c r="F7" s="245" t="s">
        <v>114</v>
      </c>
      <c r="G7" s="246" t="s">
        <v>115</v>
      </c>
      <c r="H7" s="246" t="s">
        <v>95</v>
      </c>
      <c r="I7" s="246" t="s">
        <v>96</v>
      </c>
      <c r="J7" s="247" t="s">
        <v>116</v>
      </c>
      <c r="K7" s="248" t="s">
        <v>117</v>
      </c>
      <c r="L7" s="249"/>
      <c r="M7" s="242"/>
      <c r="N7" s="1405"/>
      <c r="O7" s="1406"/>
      <c r="P7" s="1406"/>
      <c r="Q7" s="1406"/>
      <c r="R7" s="1406"/>
      <c r="S7" s="1406"/>
      <c r="T7" s="1406"/>
      <c r="U7" s="1406"/>
      <c r="V7" s="1406"/>
      <c r="W7" s="1406"/>
      <c r="X7" s="1406"/>
      <c r="Y7" s="243"/>
      <c r="AC7" s="250" t="s">
        <v>98</v>
      </c>
      <c r="AD7" s="251" t="s">
        <v>99</v>
      </c>
      <c r="AE7" s="251" t="s">
        <v>100</v>
      </c>
      <c r="AF7" s="251" t="s">
        <v>101</v>
      </c>
      <c r="AG7" s="251" t="s">
        <v>102</v>
      </c>
      <c r="AH7" s="242"/>
      <c r="AI7" s="242"/>
      <c r="AJ7" s="242"/>
      <c r="AK7" s="242"/>
    </row>
    <row r="8" spans="2:38" ht="26.1" customHeight="1" x14ac:dyDescent="0.25">
      <c r="B8" s="234"/>
      <c r="C8" s="40"/>
      <c r="D8" s="41"/>
      <c r="E8" s="42"/>
      <c r="F8" s="42"/>
      <c r="G8" s="42"/>
      <c r="H8" s="42"/>
      <c r="I8" s="43"/>
      <c r="J8" s="89" t="str">
        <f>IFERROR((G8+H8)*2*VLOOKUP(D8,$AC$8:$AE$12,2, FALSE)+(G8-2*VLOOKUP(D8,$AC$8:$AE$12,3,FALSE))*(H8-2*VLOOKUP(D8,$AC$8:$AE$12,3,FALSE))*VLOOKUP(I8,$AF$8:$AG$12,2,FALSE),"--")</f>
        <v>--</v>
      </c>
      <c r="K8" s="90" t="str">
        <f>IFERROR(((J8*F8)/(E8/12))+5,"--")</f>
        <v>--</v>
      </c>
      <c r="L8" s="241"/>
      <c r="M8" s="242"/>
      <c r="N8" s="1405" t="s">
        <v>461</v>
      </c>
      <c r="O8" s="1406"/>
      <c r="P8" s="1406"/>
      <c r="Q8" s="1406"/>
      <c r="R8" s="1406"/>
      <c r="S8" s="1406"/>
      <c r="T8" s="1406"/>
      <c r="U8" s="1406"/>
      <c r="V8" s="1406"/>
      <c r="W8" s="1406"/>
      <c r="X8" s="1406"/>
      <c r="Y8" s="252"/>
      <c r="AC8" s="253" t="s">
        <v>329</v>
      </c>
      <c r="AD8" s="254">
        <v>0.2</v>
      </c>
      <c r="AE8" s="254">
        <v>3</v>
      </c>
      <c r="AF8" s="254" t="s">
        <v>118</v>
      </c>
      <c r="AG8" s="255">
        <v>3.9E-2</v>
      </c>
      <c r="AH8" s="242"/>
      <c r="AI8" s="242"/>
      <c r="AJ8" s="242"/>
      <c r="AK8" s="242"/>
    </row>
    <row r="9" spans="2:38" ht="26.1" customHeight="1" x14ac:dyDescent="0.25">
      <c r="B9" s="234"/>
      <c r="C9" s="44"/>
      <c r="D9" s="45"/>
      <c r="E9" s="46"/>
      <c r="F9" s="46"/>
      <c r="G9" s="46"/>
      <c r="H9" s="46"/>
      <c r="I9" s="47"/>
      <c r="J9" s="91" t="str">
        <f t="shared" ref="J9:J11" si="0">IFERROR((G9+H9)*2*VLOOKUP(D9,$AC$8:$AE$12,2, FALSE)+(G9-2*VLOOKUP(D9,$AC$8:$AE$12,3,FALSE))*(H9-2*VLOOKUP(D9,$AC$8:$AE$12,3,FALSE))*VLOOKUP(I9,$AF$8:$AG$12,2,FALSE),"--")</f>
        <v>--</v>
      </c>
      <c r="K9" s="92" t="str">
        <f t="shared" ref="K9:K11" si="1">IFERROR(((J9*F9)/(E9/12))+5,"--")</f>
        <v>--</v>
      </c>
      <c r="L9" s="241"/>
      <c r="M9" s="242"/>
      <c r="N9" s="1405"/>
      <c r="O9" s="1406"/>
      <c r="P9" s="1406"/>
      <c r="Q9" s="1406"/>
      <c r="R9" s="1406"/>
      <c r="S9" s="1406"/>
      <c r="T9" s="1406"/>
      <c r="U9" s="1406"/>
      <c r="V9" s="1406"/>
      <c r="W9" s="1406"/>
      <c r="X9" s="1406"/>
      <c r="Y9" s="252"/>
      <c r="AC9" s="253" t="s">
        <v>105</v>
      </c>
      <c r="AD9" s="255">
        <v>0.18329999999999999</v>
      </c>
      <c r="AE9" s="254">
        <v>2.1875</v>
      </c>
      <c r="AF9" s="254" t="s">
        <v>119</v>
      </c>
      <c r="AG9" s="255">
        <v>0.06</v>
      </c>
      <c r="AH9" s="242"/>
      <c r="AI9" s="242"/>
      <c r="AJ9" s="242"/>
      <c r="AK9" s="242"/>
    </row>
    <row r="10" spans="2:38" ht="26.1" customHeight="1" x14ac:dyDescent="0.25">
      <c r="B10" s="234"/>
      <c r="C10" s="44"/>
      <c r="D10" s="45"/>
      <c r="E10" s="46"/>
      <c r="F10" s="46"/>
      <c r="G10" s="46"/>
      <c r="H10" s="46"/>
      <c r="I10" s="47"/>
      <c r="J10" s="91" t="str">
        <f t="shared" si="0"/>
        <v>--</v>
      </c>
      <c r="K10" s="92" t="str">
        <f t="shared" si="1"/>
        <v>--</v>
      </c>
      <c r="L10" s="241"/>
      <c r="M10" s="242"/>
      <c r="N10" s="1405"/>
      <c r="O10" s="1406"/>
      <c r="P10" s="1406"/>
      <c r="Q10" s="1406"/>
      <c r="R10" s="1406"/>
      <c r="S10" s="1406"/>
      <c r="T10" s="1406"/>
      <c r="U10" s="1406"/>
      <c r="V10" s="1406"/>
      <c r="W10" s="1406"/>
      <c r="X10" s="1406"/>
      <c r="Y10" s="252"/>
      <c r="AC10" s="253" t="s">
        <v>103</v>
      </c>
      <c r="AD10" s="255">
        <v>0.1208</v>
      </c>
      <c r="AE10" s="256">
        <v>1</v>
      </c>
      <c r="AF10" s="254" t="s">
        <v>104</v>
      </c>
      <c r="AG10" s="255">
        <v>2.2700000000000001E-2</v>
      </c>
      <c r="AH10" s="242"/>
      <c r="AI10" s="242"/>
      <c r="AJ10" s="242"/>
      <c r="AK10" s="242"/>
    </row>
    <row r="11" spans="2:38" ht="26.1" customHeight="1" thickBot="1" x14ac:dyDescent="0.3">
      <c r="B11" s="234"/>
      <c r="C11" s="48"/>
      <c r="D11" s="49"/>
      <c r="E11" s="50"/>
      <c r="F11" s="50"/>
      <c r="G11" s="50"/>
      <c r="H11" s="50"/>
      <c r="I11" s="51"/>
      <c r="J11" s="93" t="str">
        <f t="shared" si="0"/>
        <v>--</v>
      </c>
      <c r="K11" s="94" t="str">
        <f t="shared" si="1"/>
        <v>--</v>
      </c>
      <c r="L11" s="241"/>
      <c r="M11" s="242"/>
      <c r="N11" s="1397" t="s">
        <v>455</v>
      </c>
      <c r="O11" s="1398"/>
      <c r="P11" s="1398"/>
      <c r="Q11" s="1398"/>
      <c r="R11" s="1398"/>
      <c r="S11" s="1398"/>
      <c r="T11" s="1398"/>
      <c r="U11" s="1398"/>
      <c r="V11" s="1398"/>
      <c r="W11" s="1398"/>
      <c r="X11" s="1398"/>
      <c r="Y11" s="1399"/>
      <c r="AC11" s="257"/>
      <c r="AD11" s="254">
        <v>0</v>
      </c>
      <c r="AE11" s="254">
        <v>1</v>
      </c>
      <c r="AF11" s="254" t="s">
        <v>108</v>
      </c>
      <c r="AG11" s="255">
        <f>(1.52+2+2)/144</f>
        <v>3.833333333333333E-2</v>
      </c>
      <c r="AH11" s="242"/>
      <c r="AI11" s="242"/>
      <c r="AJ11" s="242"/>
      <c r="AK11" s="242"/>
    </row>
    <row r="12" spans="2:38" ht="49.5" customHeight="1" thickBot="1" x14ac:dyDescent="0.3">
      <c r="B12" s="234"/>
      <c r="C12" s="1382" t="s">
        <v>452</v>
      </c>
      <c r="D12" s="1383"/>
      <c r="E12" s="1383"/>
      <c r="F12" s="1383"/>
      <c r="G12" s="1383"/>
      <c r="H12" s="1383"/>
      <c r="I12" s="1383"/>
      <c r="J12" s="1383"/>
      <c r="K12" s="1384"/>
      <c r="L12" s="241"/>
      <c r="M12" s="242"/>
      <c r="N12" s="1400"/>
      <c r="O12" s="1401"/>
      <c r="P12" s="1401"/>
      <c r="Q12" s="1401"/>
      <c r="R12" s="1401"/>
      <c r="S12" s="1401"/>
      <c r="T12" s="1401"/>
      <c r="U12" s="1401"/>
      <c r="V12" s="1401"/>
      <c r="W12" s="1401"/>
      <c r="X12" s="1401"/>
      <c r="Y12" s="1402"/>
      <c r="AC12" s="257"/>
      <c r="AD12" s="254">
        <v>0</v>
      </c>
      <c r="AE12" s="254">
        <v>2.1875</v>
      </c>
      <c r="AF12" s="254" t="s">
        <v>106</v>
      </c>
      <c r="AG12" s="255">
        <f>(1.52*2+2)/144</f>
        <v>3.5000000000000003E-2</v>
      </c>
      <c r="AI12" s="242"/>
      <c r="AJ12" s="242"/>
      <c r="AK12" s="242"/>
    </row>
    <row r="13" spans="2:38" ht="26.1" customHeight="1" thickBot="1" x14ac:dyDescent="0.3">
      <c r="B13" s="234"/>
      <c r="C13" s="240"/>
      <c r="D13" s="240"/>
      <c r="E13" s="240"/>
      <c r="F13" s="240"/>
      <c r="G13" s="240"/>
      <c r="H13" s="240"/>
      <c r="I13" s="240"/>
      <c r="J13" s="240"/>
      <c r="K13" s="240"/>
      <c r="L13" s="241"/>
      <c r="M13" s="242"/>
      <c r="N13" s="1407" t="s">
        <v>127</v>
      </c>
      <c r="O13" s="1408"/>
      <c r="P13" s="1408"/>
      <c r="Q13" s="258"/>
      <c r="R13" s="209"/>
      <c r="S13" s="209"/>
      <c r="T13" s="209"/>
      <c r="U13" s="209"/>
      <c r="V13" s="209"/>
      <c r="W13" s="209"/>
      <c r="X13" s="209"/>
      <c r="Y13" s="259"/>
      <c r="AC13" s="242"/>
      <c r="AD13" s="242"/>
      <c r="AE13" s="242"/>
      <c r="AF13" s="242"/>
      <c r="AG13" s="242" t="s">
        <v>120</v>
      </c>
      <c r="AH13" s="242"/>
      <c r="AI13" s="242"/>
      <c r="AJ13" s="242"/>
      <c r="AK13" s="242"/>
      <c r="AL13" s="242"/>
    </row>
    <row r="14" spans="2:38" ht="26.1" customHeight="1" thickBot="1" x14ac:dyDescent="0.3">
      <c r="B14" s="234"/>
      <c r="C14" s="1385" t="s">
        <v>112</v>
      </c>
      <c r="D14" s="1386"/>
      <c r="E14" s="1386"/>
      <c r="F14" s="1386"/>
      <c r="G14" s="1386"/>
      <c r="H14" s="1386"/>
      <c r="I14" s="1386"/>
      <c r="J14" s="1386"/>
      <c r="K14" s="1387"/>
      <c r="L14" s="241"/>
      <c r="M14" s="242"/>
      <c r="N14" s="260"/>
      <c r="O14" s="209"/>
      <c r="P14" s="261" t="s">
        <v>462</v>
      </c>
      <c r="Q14" s="261"/>
      <c r="R14" s="261"/>
      <c r="S14" s="261"/>
      <c r="T14" s="261"/>
      <c r="U14" s="261"/>
      <c r="V14" s="261"/>
      <c r="W14" s="261"/>
      <c r="X14" s="261"/>
      <c r="Y14" s="259"/>
      <c r="AC14" s="242" t="s">
        <v>121</v>
      </c>
      <c r="AD14" s="242"/>
      <c r="AE14" s="242"/>
      <c r="AF14" s="242"/>
      <c r="AG14" s="242"/>
      <c r="AH14" s="242"/>
      <c r="AI14" s="242"/>
      <c r="AJ14" s="242"/>
      <c r="AK14" s="242"/>
      <c r="AL14" s="242"/>
    </row>
    <row r="15" spans="2:38" ht="29.25" customHeight="1" x14ac:dyDescent="0.25">
      <c r="B15" s="234"/>
      <c r="C15" s="1388" t="s">
        <v>460</v>
      </c>
      <c r="D15" s="1389"/>
      <c r="E15" s="1389"/>
      <c r="F15" s="1389"/>
      <c r="G15" s="1389"/>
      <c r="H15" s="1389"/>
      <c r="I15" s="1389"/>
      <c r="J15" s="1389"/>
      <c r="K15" s="1389"/>
      <c r="L15" s="1390"/>
      <c r="M15" s="242"/>
      <c r="N15" s="260"/>
      <c r="O15" s="1403" t="s">
        <v>463</v>
      </c>
      <c r="P15" s="1403"/>
      <c r="Q15" s="1403"/>
      <c r="R15" s="1403"/>
      <c r="S15" s="1403"/>
      <c r="T15" s="1403"/>
      <c r="U15" s="1403"/>
      <c r="V15" s="1403"/>
      <c r="W15" s="1403"/>
      <c r="X15" s="1403"/>
      <c r="Y15" s="1404"/>
      <c r="AC15" s="242" t="s">
        <v>122</v>
      </c>
      <c r="AD15" s="242"/>
      <c r="AE15" s="242"/>
      <c r="AF15" s="242"/>
      <c r="AG15" s="242"/>
      <c r="AH15" s="242"/>
      <c r="AI15" s="242"/>
      <c r="AJ15" s="242"/>
      <c r="AK15" s="242"/>
      <c r="AL15" s="242"/>
    </row>
    <row r="16" spans="2:38" ht="26.1" customHeight="1" x14ac:dyDescent="0.25">
      <c r="B16" s="234"/>
      <c r="C16" s="1388"/>
      <c r="D16" s="1389"/>
      <c r="E16" s="1389"/>
      <c r="F16" s="1389"/>
      <c r="G16" s="1389"/>
      <c r="H16" s="1389"/>
      <c r="I16" s="1389"/>
      <c r="J16" s="1389"/>
      <c r="K16" s="1389"/>
      <c r="L16" s="1390"/>
      <c r="M16" s="242"/>
      <c r="N16" s="1416" t="s">
        <v>278</v>
      </c>
      <c r="O16" s="1417"/>
      <c r="P16" s="1417"/>
      <c r="Q16" s="209"/>
      <c r="R16" s="209"/>
      <c r="S16" s="209"/>
      <c r="T16" s="209"/>
      <c r="U16" s="209"/>
      <c r="V16" s="209"/>
      <c r="W16" s="209"/>
      <c r="X16" s="209"/>
      <c r="Y16" s="259"/>
      <c r="AC16" s="262" t="s">
        <v>123</v>
      </c>
      <c r="AD16" s="263" t="s">
        <v>124</v>
      </c>
      <c r="AE16" s="263" t="s">
        <v>125</v>
      </c>
      <c r="AF16" s="263" t="s">
        <v>126</v>
      </c>
      <c r="AG16" s="242"/>
      <c r="AH16" s="242"/>
      <c r="AI16" s="242"/>
      <c r="AJ16" s="242"/>
      <c r="AK16" s="242"/>
      <c r="AL16" s="242"/>
    </row>
    <row r="17" spans="2:38" ht="15" customHeight="1" x14ac:dyDescent="0.25">
      <c r="B17" s="234"/>
      <c r="C17" s="264"/>
      <c r="D17" s="240"/>
      <c r="E17" s="240"/>
      <c r="F17" s="240"/>
      <c r="G17" s="240"/>
      <c r="H17" s="240"/>
      <c r="I17" s="265"/>
      <c r="J17" s="265"/>
      <c r="K17" s="265"/>
      <c r="L17" s="266"/>
      <c r="M17" s="242"/>
      <c r="N17" s="260"/>
      <c r="O17" s="209"/>
      <c r="P17" s="267"/>
      <c r="Q17" s="209"/>
      <c r="R17" s="268"/>
      <c r="S17" s="269"/>
      <c r="T17" s="269"/>
      <c r="U17" s="1415" t="s">
        <v>140</v>
      </c>
      <c r="V17" s="1415"/>
      <c r="W17" s="1415"/>
      <c r="X17" s="269"/>
      <c r="Y17" s="259"/>
      <c r="AC17" s="262">
        <v>5</v>
      </c>
      <c r="AD17" s="263">
        <f>+AC17*0.0394</f>
        <v>0.19699999999999998</v>
      </c>
      <c r="AE17" s="270">
        <f>+AD17*2/11</f>
        <v>3.5818181818181812E-2</v>
      </c>
      <c r="AF17" s="270">
        <f>+AD17*3/11</f>
        <v>5.3727272727272728E-2</v>
      </c>
      <c r="AG17" s="242"/>
      <c r="AH17" s="242"/>
      <c r="AI17" s="242"/>
      <c r="AJ17" s="242"/>
      <c r="AK17" s="242"/>
      <c r="AL17" s="242"/>
    </row>
    <row r="18" spans="2:38" ht="15" customHeight="1" x14ac:dyDescent="0.25">
      <c r="B18" s="234"/>
      <c r="C18" s="264"/>
      <c r="D18" s="240"/>
      <c r="E18" s="240"/>
      <c r="F18" s="240"/>
      <c r="G18" s="240"/>
      <c r="H18" s="240"/>
      <c r="I18" s="265"/>
      <c r="J18" s="265"/>
      <c r="K18" s="265"/>
      <c r="L18" s="266"/>
      <c r="M18" s="242"/>
      <c r="N18" s="260"/>
      <c r="O18" s="1418" t="s">
        <v>129</v>
      </c>
      <c r="P18" s="1418"/>
      <c r="Q18" s="1418"/>
      <c r="R18" s="271" t="s">
        <v>141</v>
      </c>
      <c r="S18" s="272" t="s">
        <v>130</v>
      </c>
      <c r="T18" s="273" t="s">
        <v>142</v>
      </c>
      <c r="U18" s="271" t="s">
        <v>141</v>
      </c>
      <c r="V18" s="271" t="s">
        <v>132</v>
      </c>
      <c r="W18" s="271"/>
      <c r="X18" s="269"/>
      <c r="Y18" s="259"/>
      <c r="AG18" s="242"/>
      <c r="AH18" s="242"/>
      <c r="AI18" s="242"/>
      <c r="AJ18" s="242"/>
      <c r="AK18" s="242"/>
      <c r="AL18" s="242"/>
    </row>
    <row r="19" spans="2:38" ht="15" customHeight="1" x14ac:dyDescent="0.25">
      <c r="B19" s="234"/>
      <c r="C19" s="264"/>
      <c r="D19" s="240"/>
      <c r="E19" s="240"/>
      <c r="F19" s="240"/>
      <c r="G19" s="240"/>
      <c r="H19" s="240"/>
      <c r="I19" s="265"/>
      <c r="J19" s="265"/>
      <c r="K19" s="265"/>
      <c r="L19" s="266"/>
      <c r="M19" s="242"/>
      <c r="N19" s="260"/>
      <c r="O19" s="209"/>
      <c r="P19" s="268"/>
      <c r="Q19" s="268"/>
      <c r="R19" s="268"/>
      <c r="S19" s="268"/>
      <c r="T19" s="268"/>
      <c r="U19" s="268"/>
      <c r="V19" s="268"/>
      <c r="W19" s="268"/>
      <c r="X19" s="269"/>
      <c r="Y19" s="259"/>
      <c r="AC19" s="242"/>
      <c r="AD19" s="242"/>
      <c r="AE19" s="242"/>
      <c r="AF19" s="242"/>
      <c r="AG19" s="242"/>
      <c r="AH19" s="242"/>
      <c r="AI19" s="242"/>
      <c r="AJ19" s="242"/>
      <c r="AK19" s="242"/>
      <c r="AL19" s="242"/>
    </row>
    <row r="20" spans="2:38" ht="15" customHeight="1" x14ac:dyDescent="0.25">
      <c r="B20" s="234"/>
      <c r="C20" s="264"/>
      <c r="D20" s="240"/>
      <c r="E20" s="240"/>
      <c r="F20" s="240"/>
      <c r="G20" s="240"/>
      <c r="H20" s="240"/>
      <c r="I20" s="265"/>
      <c r="J20" s="265"/>
      <c r="K20" s="265"/>
      <c r="L20" s="266"/>
      <c r="M20" s="242"/>
      <c r="N20" s="274"/>
      <c r="O20" s="269"/>
      <c r="P20" s="209"/>
      <c r="Q20" s="269"/>
      <c r="R20" s="269"/>
      <c r="S20" s="269"/>
      <c r="T20" s="269"/>
      <c r="U20" s="269"/>
      <c r="V20" s="269"/>
      <c r="W20" s="269"/>
      <c r="X20" s="269"/>
      <c r="Y20" s="259"/>
      <c r="AI20" s="242"/>
      <c r="AJ20" s="242"/>
      <c r="AK20" s="242"/>
      <c r="AL20" s="242"/>
    </row>
    <row r="21" spans="2:38" ht="15" customHeight="1" x14ac:dyDescent="0.25">
      <c r="B21" s="234"/>
      <c r="C21" s="264"/>
      <c r="D21" s="240"/>
      <c r="E21" s="240"/>
      <c r="F21" s="240"/>
      <c r="G21" s="240"/>
      <c r="H21" s="240"/>
      <c r="I21" s="265"/>
      <c r="J21" s="265"/>
      <c r="K21" s="265"/>
      <c r="L21" s="266"/>
      <c r="M21" s="242"/>
      <c r="N21" s="260"/>
      <c r="O21" s="275"/>
      <c r="P21" s="275"/>
      <c r="Q21" s="275"/>
      <c r="R21" s="275"/>
      <c r="S21" s="275"/>
      <c r="T21" s="275"/>
      <c r="U21" s="275"/>
      <c r="V21" s="275"/>
      <c r="W21" s="275"/>
      <c r="X21" s="275"/>
      <c r="Y21" s="259"/>
    </row>
    <row r="22" spans="2:38" ht="15" customHeight="1" x14ac:dyDescent="0.25">
      <c r="B22" s="234"/>
      <c r="C22" s="264"/>
      <c r="D22" s="240"/>
      <c r="E22" s="240"/>
      <c r="F22" s="240"/>
      <c r="G22" s="240"/>
      <c r="H22" s="240"/>
      <c r="I22" s="265"/>
      <c r="J22" s="265"/>
      <c r="K22" s="265"/>
      <c r="L22" s="266"/>
      <c r="M22" s="242"/>
      <c r="N22" s="1419" t="s">
        <v>143</v>
      </c>
      <c r="O22" s="1396"/>
      <c r="P22" s="1396"/>
      <c r="Q22" s="209"/>
      <c r="R22" s="269"/>
      <c r="S22" s="269"/>
      <c r="T22" s="269"/>
      <c r="U22" s="269"/>
      <c r="V22" s="269"/>
      <c r="W22" s="269"/>
      <c r="X22" s="269"/>
      <c r="Y22" s="259"/>
    </row>
    <row r="23" spans="2:38" ht="15" customHeight="1" x14ac:dyDescent="0.25">
      <c r="B23" s="234"/>
      <c r="C23" s="264"/>
      <c r="D23" s="240"/>
      <c r="E23" s="240"/>
      <c r="F23" s="240"/>
      <c r="G23" s="240"/>
      <c r="H23" s="240"/>
      <c r="I23" s="265"/>
      <c r="J23" s="265"/>
      <c r="K23" s="265"/>
      <c r="L23" s="266"/>
      <c r="M23" s="242"/>
      <c r="N23" s="260"/>
      <c r="O23" s="209"/>
      <c r="P23" s="209"/>
      <c r="Q23" s="209"/>
      <c r="R23" s="209"/>
      <c r="S23" s="209"/>
      <c r="T23" s="209"/>
      <c r="U23" s="209"/>
      <c r="V23" s="209"/>
      <c r="W23" s="269"/>
      <c r="X23" s="269"/>
      <c r="Y23" s="259"/>
    </row>
    <row r="24" spans="2:38" ht="15" customHeight="1" x14ac:dyDescent="0.25">
      <c r="B24" s="234"/>
      <c r="C24" s="264"/>
      <c r="D24" s="240"/>
      <c r="E24" s="240"/>
      <c r="F24" s="240"/>
      <c r="G24" s="240"/>
      <c r="H24" s="240"/>
      <c r="I24" s="265"/>
      <c r="J24" s="265"/>
      <c r="K24" s="265"/>
      <c r="L24" s="266"/>
      <c r="M24" s="242"/>
      <c r="N24" s="1405" t="s">
        <v>459</v>
      </c>
      <c r="O24" s="1406"/>
      <c r="P24" s="1406"/>
      <c r="Q24" s="1406"/>
      <c r="R24" s="1406"/>
      <c r="S24" s="1406"/>
      <c r="T24" s="1406"/>
      <c r="U24" s="1406"/>
      <c r="V24" s="1406"/>
      <c r="W24" s="1406"/>
      <c r="X24" s="1406"/>
      <c r="Y24" s="276"/>
    </row>
    <row r="25" spans="2:38" ht="15" customHeight="1" x14ac:dyDescent="0.25">
      <c r="B25" s="234"/>
      <c r="C25" s="264"/>
      <c r="D25" s="240"/>
      <c r="E25" s="240"/>
      <c r="F25" s="240"/>
      <c r="G25" s="240"/>
      <c r="H25" s="240"/>
      <c r="I25" s="277" t="s">
        <v>127</v>
      </c>
      <c r="J25" s="240"/>
      <c r="K25" s="240"/>
      <c r="L25" s="241"/>
      <c r="M25" s="242"/>
      <c r="N25" s="1405"/>
      <c r="O25" s="1406"/>
      <c r="P25" s="1406"/>
      <c r="Q25" s="1406"/>
      <c r="R25" s="1406"/>
      <c r="S25" s="1406"/>
      <c r="T25" s="1406"/>
      <c r="U25" s="1406"/>
      <c r="V25" s="1406"/>
      <c r="W25" s="1406"/>
      <c r="X25" s="1406"/>
      <c r="Y25" s="259"/>
    </row>
    <row r="26" spans="2:38" ht="33" customHeight="1" x14ac:dyDescent="0.25">
      <c r="B26" s="234"/>
      <c r="C26" s="264"/>
      <c r="D26" s="240"/>
      <c r="E26" s="240"/>
      <c r="F26" s="240"/>
      <c r="G26" s="240"/>
      <c r="H26" s="240"/>
      <c r="I26" s="1380" t="s">
        <v>453</v>
      </c>
      <c r="J26" s="1380"/>
      <c r="K26" s="1380"/>
      <c r="L26" s="1391"/>
      <c r="M26" s="242"/>
      <c r="N26" s="1405"/>
      <c r="O26" s="1406"/>
      <c r="P26" s="1406"/>
      <c r="Q26" s="1406"/>
      <c r="R26" s="1406"/>
      <c r="S26" s="1406"/>
      <c r="T26" s="1406"/>
      <c r="U26" s="1406"/>
      <c r="V26" s="1406"/>
      <c r="W26" s="1406"/>
      <c r="X26" s="1406"/>
      <c r="Y26" s="259"/>
    </row>
    <row r="27" spans="2:38" ht="15" customHeight="1" x14ac:dyDescent="0.25">
      <c r="B27" s="234"/>
      <c r="C27" s="264"/>
      <c r="D27" s="240"/>
      <c r="E27" s="240"/>
      <c r="F27" s="240"/>
      <c r="G27" s="240"/>
      <c r="H27" s="240"/>
      <c r="I27" s="1380" t="s">
        <v>454</v>
      </c>
      <c r="J27" s="1380"/>
      <c r="K27" s="1380"/>
      <c r="L27" s="1391"/>
      <c r="M27" s="242"/>
      <c r="N27" s="1405" t="s">
        <v>464</v>
      </c>
      <c r="O27" s="1406"/>
      <c r="P27" s="1406"/>
      <c r="Q27" s="1406"/>
      <c r="R27" s="1406"/>
      <c r="S27" s="1406"/>
      <c r="T27" s="1406"/>
      <c r="U27" s="1406"/>
      <c r="V27" s="1406"/>
      <c r="W27" s="1406"/>
      <c r="X27" s="1406"/>
      <c r="Y27" s="239"/>
    </row>
    <row r="28" spans="2:38" ht="15" customHeight="1" x14ac:dyDescent="0.25">
      <c r="B28" s="234"/>
      <c r="C28" s="264"/>
      <c r="D28" s="240"/>
      <c r="E28" s="240"/>
      <c r="F28" s="240"/>
      <c r="G28" s="240"/>
      <c r="H28" s="240"/>
      <c r="I28" s="1380"/>
      <c r="J28" s="1380"/>
      <c r="K28" s="1380"/>
      <c r="L28" s="1391"/>
      <c r="M28" s="242"/>
      <c r="N28" s="1405"/>
      <c r="O28" s="1406"/>
      <c r="P28" s="1406"/>
      <c r="Q28" s="1406"/>
      <c r="R28" s="1406"/>
      <c r="S28" s="1406"/>
      <c r="T28" s="1406"/>
      <c r="U28" s="1406"/>
      <c r="V28" s="1406"/>
      <c r="W28" s="1406"/>
      <c r="X28" s="1406"/>
      <c r="Y28" s="239"/>
    </row>
    <row r="29" spans="2:38" ht="15" customHeight="1" x14ac:dyDescent="0.25">
      <c r="B29" s="234"/>
      <c r="C29" s="264"/>
      <c r="D29" s="240"/>
      <c r="E29" s="240"/>
      <c r="F29" s="240"/>
      <c r="G29" s="240"/>
      <c r="H29" s="240"/>
      <c r="I29" s="1380"/>
      <c r="J29" s="1380"/>
      <c r="K29" s="1380"/>
      <c r="L29" s="1391"/>
      <c r="M29" s="242"/>
      <c r="N29" s="1405"/>
      <c r="O29" s="1406"/>
      <c r="P29" s="1406"/>
      <c r="Q29" s="1406"/>
      <c r="R29" s="1406"/>
      <c r="S29" s="1406"/>
      <c r="T29" s="1406"/>
      <c r="U29" s="1406"/>
      <c r="V29" s="1406"/>
      <c r="W29" s="1406"/>
      <c r="X29" s="1406"/>
      <c r="Y29" s="259"/>
    </row>
    <row r="30" spans="2:38" ht="15" customHeight="1" x14ac:dyDescent="0.25">
      <c r="B30" s="234"/>
      <c r="C30" s="264"/>
      <c r="D30" s="240"/>
      <c r="E30" s="240"/>
      <c r="F30" s="240"/>
      <c r="G30" s="240"/>
      <c r="H30" s="240"/>
      <c r="I30" s="240"/>
      <c r="J30" s="240"/>
      <c r="K30" s="240"/>
      <c r="L30" s="241"/>
      <c r="M30" s="242"/>
      <c r="N30" s="1405"/>
      <c r="O30" s="1406"/>
      <c r="P30" s="1406"/>
      <c r="Q30" s="1406"/>
      <c r="R30" s="1406"/>
      <c r="S30" s="1406"/>
      <c r="T30" s="1406"/>
      <c r="U30" s="1406"/>
      <c r="V30" s="1406"/>
      <c r="W30" s="1406"/>
      <c r="X30" s="1406"/>
      <c r="Y30" s="259"/>
    </row>
    <row r="31" spans="2:38" ht="15" customHeight="1" x14ac:dyDescent="0.25">
      <c r="B31" s="234"/>
      <c r="C31" s="264"/>
      <c r="D31" s="240"/>
      <c r="E31" s="240"/>
      <c r="F31" s="240"/>
      <c r="G31" s="240"/>
      <c r="H31" s="240"/>
      <c r="I31" s="278" t="s">
        <v>278</v>
      </c>
      <c r="J31" s="240" t="s">
        <v>128</v>
      </c>
      <c r="K31" s="240"/>
      <c r="L31" s="241"/>
      <c r="M31" s="242"/>
      <c r="N31" s="274"/>
      <c r="O31" s="269"/>
      <c r="P31" s="269"/>
      <c r="Q31" s="269"/>
      <c r="R31" s="269"/>
      <c r="S31" s="269"/>
      <c r="T31" s="269"/>
      <c r="U31" s="269"/>
      <c r="V31" s="269"/>
      <c r="W31" s="269"/>
      <c r="X31" s="269"/>
      <c r="Y31" s="259"/>
    </row>
    <row r="32" spans="2:38" ht="15" customHeight="1" x14ac:dyDescent="0.25">
      <c r="B32" s="234"/>
      <c r="C32" s="264"/>
      <c r="D32" s="240"/>
      <c r="E32" s="240"/>
      <c r="F32" s="240"/>
      <c r="G32" s="240"/>
      <c r="H32" s="240"/>
      <c r="I32" s="240"/>
      <c r="J32" s="279" t="s">
        <v>129</v>
      </c>
      <c r="K32" s="280" t="s">
        <v>130</v>
      </c>
      <c r="L32" s="241"/>
      <c r="M32" s="242"/>
      <c r="N32" s="1407" t="s">
        <v>127</v>
      </c>
      <c r="O32" s="1408"/>
      <c r="P32" s="268"/>
      <c r="Q32" s="268"/>
      <c r="R32" s="268"/>
      <c r="S32" s="268"/>
      <c r="T32" s="268"/>
      <c r="U32" s="268"/>
      <c r="V32" s="268"/>
      <c r="W32" s="268"/>
      <c r="X32" s="269"/>
      <c r="Y32" s="259"/>
    </row>
    <row r="33" spans="2:25" ht="15" customHeight="1" x14ac:dyDescent="0.25">
      <c r="B33" s="234"/>
      <c r="C33" s="264"/>
      <c r="D33" s="240"/>
      <c r="E33" s="240"/>
      <c r="F33" s="240"/>
      <c r="G33" s="240"/>
      <c r="H33" s="240"/>
      <c r="I33" s="240"/>
      <c r="J33" s="281" t="s">
        <v>131</v>
      </c>
      <c r="K33" s="280" t="s">
        <v>132</v>
      </c>
      <c r="L33" s="241"/>
      <c r="M33" s="242"/>
      <c r="N33" s="274"/>
      <c r="O33" s="1413" t="s">
        <v>474</v>
      </c>
      <c r="P33" s="1413"/>
      <c r="Q33" s="1413"/>
      <c r="R33" s="1413"/>
      <c r="S33" s="1413"/>
      <c r="T33" s="1413"/>
      <c r="U33" s="1413"/>
      <c r="V33" s="1413"/>
      <c r="W33" s="1413"/>
      <c r="X33" s="269"/>
      <c r="Y33" s="259"/>
    </row>
    <row r="34" spans="2:25" ht="15" customHeight="1" x14ac:dyDescent="0.25">
      <c r="B34" s="234"/>
      <c r="C34" s="264"/>
      <c r="D34" s="240"/>
      <c r="E34" s="240"/>
      <c r="F34" s="240"/>
      <c r="G34" s="240"/>
      <c r="H34" s="240"/>
      <c r="I34" s="240"/>
      <c r="J34" s="240"/>
      <c r="K34" s="240"/>
      <c r="L34" s="241"/>
      <c r="M34" s="242"/>
      <c r="N34" s="260"/>
      <c r="O34" s="275" t="s">
        <v>465</v>
      </c>
      <c r="P34" s="275"/>
      <c r="Q34" s="275"/>
      <c r="R34" s="275"/>
      <c r="S34" s="275"/>
      <c r="T34" s="275"/>
      <c r="U34" s="275"/>
      <c r="V34" s="275"/>
      <c r="W34" s="275"/>
      <c r="X34" s="282"/>
      <c r="Y34" s="259"/>
    </row>
    <row r="35" spans="2:25" ht="15" customHeight="1" x14ac:dyDescent="0.25">
      <c r="B35" s="234"/>
      <c r="C35" s="264"/>
      <c r="D35" s="240"/>
      <c r="E35" s="240"/>
      <c r="F35" s="240"/>
      <c r="G35" s="240"/>
      <c r="H35" s="240"/>
      <c r="I35" s="240"/>
      <c r="J35" s="240"/>
      <c r="K35" s="240"/>
      <c r="L35" s="241"/>
      <c r="M35" s="242"/>
      <c r="N35" s="274"/>
      <c r="O35" s="283" t="s">
        <v>278</v>
      </c>
      <c r="P35" s="209"/>
      <c r="Q35" s="209"/>
      <c r="R35" s="269"/>
      <c r="S35" s="269"/>
      <c r="T35" s="269"/>
      <c r="U35" s="269"/>
      <c r="V35" s="269"/>
      <c r="W35" s="269"/>
      <c r="X35" s="269"/>
      <c r="Y35" s="259"/>
    </row>
    <row r="36" spans="2:25" ht="15" customHeight="1" x14ac:dyDescent="0.25">
      <c r="B36" s="234"/>
      <c r="C36" s="264"/>
      <c r="D36" s="240"/>
      <c r="E36" s="240"/>
      <c r="F36" s="240"/>
      <c r="G36" s="240"/>
      <c r="H36" s="240"/>
      <c r="I36" s="240"/>
      <c r="J36" s="240"/>
      <c r="K36" s="240"/>
      <c r="L36" s="241"/>
      <c r="M36" s="242"/>
      <c r="N36" s="260"/>
      <c r="O36" s="209"/>
      <c r="P36" s="269"/>
      <c r="Q36" s="283"/>
      <c r="R36" s="209"/>
      <c r="S36" s="268"/>
      <c r="T36" s="269"/>
      <c r="U36" s="269"/>
      <c r="V36" s="1415" t="s">
        <v>140</v>
      </c>
      <c r="W36" s="1415"/>
      <c r="X36" s="1415"/>
      <c r="Y36" s="259"/>
    </row>
    <row r="37" spans="2:25" ht="15" customHeight="1" x14ac:dyDescent="0.25">
      <c r="B37" s="234"/>
      <c r="C37" s="264"/>
      <c r="D37" s="240"/>
      <c r="E37" s="240"/>
      <c r="F37" s="240"/>
      <c r="G37" s="240"/>
      <c r="H37" s="240"/>
      <c r="I37" s="240"/>
      <c r="J37" s="240"/>
      <c r="K37" s="240"/>
      <c r="L37" s="241" t="s">
        <v>133</v>
      </c>
      <c r="M37" s="242"/>
      <c r="N37" s="260"/>
      <c r="O37" s="1414" t="s">
        <v>134</v>
      </c>
      <c r="P37" s="1414"/>
      <c r="Q37" s="1414"/>
      <c r="R37" s="1414"/>
      <c r="S37" s="284" t="s">
        <v>141</v>
      </c>
      <c r="T37" s="284" t="s">
        <v>130</v>
      </c>
      <c r="U37" s="285" t="s">
        <v>142</v>
      </c>
      <c r="V37" s="284" t="s">
        <v>141</v>
      </c>
      <c r="W37" s="209" t="s">
        <v>132</v>
      </c>
      <c r="X37" s="269"/>
      <c r="Y37" s="259"/>
    </row>
    <row r="38" spans="2:25" ht="15" customHeight="1" x14ac:dyDescent="0.25">
      <c r="B38" s="234"/>
      <c r="C38" s="264"/>
      <c r="D38" s="240"/>
      <c r="E38" s="240"/>
      <c r="F38" s="240"/>
      <c r="G38" s="240"/>
      <c r="H38" s="240"/>
      <c r="I38" s="1380" t="s">
        <v>455</v>
      </c>
      <c r="J38" s="1380"/>
      <c r="K38" s="1380"/>
      <c r="L38" s="1391"/>
      <c r="M38" s="242"/>
      <c r="N38" s="260"/>
      <c r="O38" s="209"/>
      <c r="P38" s="1414" t="s">
        <v>129</v>
      </c>
      <c r="Q38" s="1414"/>
      <c r="R38" s="1414"/>
      <c r="S38" s="284" t="s">
        <v>141</v>
      </c>
      <c r="T38" s="284" t="s">
        <v>144</v>
      </c>
      <c r="U38" s="285" t="s">
        <v>142</v>
      </c>
      <c r="V38" s="284" t="s">
        <v>141</v>
      </c>
      <c r="W38" s="209" t="s">
        <v>132</v>
      </c>
      <c r="X38" s="269"/>
      <c r="Y38" s="259"/>
    </row>
    <row r="39" spans="2:25" ht="15" customHeight="1" x14ac:dyDescent="0.25">
      <c r="B39" s="234"/>
      <c r="C39" s="264"/>
      <c r="D39" s="240"/>
      <c r="E39" s="240"/>
      <c r="F39" s="240"/>
      <c r="G39" s="240"/>
      <c r="H39" s="240"/>
      <c r="I39" s="1380"/>
      <c r="J39" s="1380"/>
      <c r="K39" s="1380"/>
      <c r="L39" s="1391"/>
      <c r="M39" s="242"/>
      <c r="N39" s="286"/>
      <c r="O39" s="287"/>
      <c r="P39" s="287"/>
      <c r="Q39" s="287"/>
      <c r="R39" s="287"/>
      <c r="S39" s="287"/>
      <c r="T39" s="287"/>
      <c r="U39" s="288"/>
      <c r="V39" s="269"/>
      <c r="W39" s="269"/>
      <c r="X39" s="269"/>
      <c r="Y39" s="259"/>
    </row>
    <row r="40" spans="2:25" ht="15" customHeight="1" x14ac:dyDescent="0.25">
      <c r="B40" s="234"/>
      <c r="C40" s="264"/>
      <c r="D40" s="240"/>
      <c r="E40" s="240"/>
      <c r="F40" s="240"/>
      <c r="G40" s="240"/>
      <c r="H40" s="240"/>
      <c r="I40" s="240"/>
      <c r="J40" s="240"/>
      <c r="K40" s="240"/>
      <c r="L40" s="241"/>
      <c r="M40" s="242"/>
      <c r="N40" s="1409" t="s">
        <v>370</v>
      </c>
      <c r="O40" s="1401" t="s">
        <v>466</v>
      </c>
      <c r="P40" s="1401"/>
      <c r="Q40" s="1401"/>
      <c r="R40" s="1401"/>
      <c r="S40" s="1401"/>
      <c r="T40" s="1401"/>
      <c r="U40" s="1401"/>
      <c r="V40" s="1401"/>
      <c r="W40" s="1401"/>
      <c r="X40" s="1401"/>
      <c r="Y40" s="259"/>
    </row>
    <row r="41" spans="2:25" ht="15" customHeight="1" x14ac:dyDescent="0.25">
      <c r="B41" s="234"/>
      <c r="C41" s="264"/>
      <c r="D41" s="240"/>
      <c r="E41" s="240"/>
      <c r="F41" s="240"/>
      <c r="G41" s="240"/>
      <c r="H41" s="240"/>
      <c r="I41" s="240"/>
      <c r="J41" s="240"/>
      <c r="K41" s="240"/>
      <c r="L41" s="241"/>
      <c r="M41" s="242"/>
      <c r="N41" s="1409"/>
      <c r="O41" s="1401"/>
      <c r="P41" s="1401"/>
      <c r="Q41" s="1401"/>
      <c r="R41" s="1401"/>
      <c r="S41" s="1401"/>
      <c r="T41" s="1401"/>
      <c r="U41" s="1401"/>
      <c r="V41" s="1401"/>
      <c r="W41" s="1401"/>
      <c r="X41" s="1401"/>
      <c r="Y41" s="259"/>
    </row>
    <row r="42" spans="2:25" ht="15" customHeight="1" x14ac:dyDescent="0.25">
      <c r="B42" s="234"/>
      <c r="C42" s="264"/>
      <c r="D42" s="240"/>
      <c r="E42" s="240"/>
      <c r="F42" s="240"/>
      <c r="G42" s="240"/>
      <c r="H42" s="240"/>
      <c r="I42" s="240"/>
      <c r="J42" s="240"/>
      <c r="K42" s="240"/>
      <c r="L42" s="241"/>
      <c r="M42" s="242"/>
      <c r="N42" s="260"/>
      <c r="O42" s="209"/>
      <c r="P42" s="289"/>
      <c r="Q42" s="289"/>
      <c r="R42" s="289"/>
      <c r="S42" s="289"/>
      <c r="T42" s="289"/>
      <c r="U42" s="289"/>
      <c r="V42" s="289"/>
      <c r="W42" s="289"/>
      <c r="X42" s="289"/>
      <c r="Y42" s="259"/>
    </row>
    <row r="43" spans="2:25" ht="15" customHeight="1" x14ac:dyDescent="0.25">
      <c r="B43" s="234"/>
      <c r="C43" s="264"/>
      <c r="D43" s="240"/>
      <c r="E43" s="240"/>
      <c r="F43" s="240"/>
      <c r="G43" s="240"/>
      <c r="H43" s="240"/>
      <c r="I43" s="240"/>
      <c r="J43" s="240"/>
      <c r="K43" s="240"/>
      <c r="L43" s="241"/>
      <c r="M43" s="242"/>
      <c r="N43" s="1409" t="s">
        <v>371</v>
      </c>
      <c r="O43" s="1401" t="s">
        <v>279</v>
      </c>
      <c r="P43" s="1401"/>
      <c r="Q43" s="1401"/>
      <c r="R43" s="1401"/>
      <c r="S43" s="1401"/>
      <c r="T43" s="1401"/>
      <c r="U43" s="1401"/>
      <c r="V43" s="1401"/>
      <c r="W43" s="1401"/>
      <c r="X43" s="1401"/>
      <c r="Y43" s="259"/>
    </row>
    <row r="44" spans="2:25" ht="15" customHeight="1" x14ac:dyDescent="0.25">
      <c r="B44" s="234"/>
      <c r="C44" s="264"/>
      <c r="D44" s="240"/>
      <c r="E44" s="240"/>
      <c r="F44" s="240"/>
      <c r="G44" s="240"/>
      <c r="H44" s="240"/>
      <c r="I44" s="240"/>
      <c r="J44" s="240"/>
      <c r="K44" s="240"/>
      <c r="L44" s="241"/>
      <c r="M44" s="242"/>
      <c r="N44" s="1409"/>
      <c r="O44" s="1401"/>
      <c r="P44" s="1401"/>
      <c r="Q44" s="1401"/>
      <c r="R44" s="1401"/>
      <c r="S44" s="1401"/>
      <c r="T44" s="1401"/>
      <c r="U44" s="1401"/>
      <c r="V44" s="1401"/>
      <c r="W44" s="1401"/>
      <c r="X44" s="1401"/>
      <c r="Y44" s="290"/>
    </row>
    <row r="45" spans="2:25" ht="15" customHeight="1" thickBot="1" x14ac:dyDescent="0.3">
      <c r="B45" s="234"/>
      <c r="C45" s="264"/>
      <c r="D45" s="240"/>
      <c r="E45" s="240"/>
      <c r="F45" s="240"/>
      <c r="G45" s="240"/>
      <c r="H45" s="240"/>
      <c r="I45" s="240"/>
      <c r="J45" s="240"/>
      <c r="K45" s="240"/>
      <c r="L45" s="241"/>
      <c r="M45" s="242"/>
      <c r="N45" s="291"/>
      <c r="O45" s="292"/>
      <c r="P45" s="292"/>
      <c r="Q45" s="292"/>
      <c r="R45" s="292"/>
      <c r="S45" s="292"/>
      <c r="T45" s="292"/>
      <c r="U45" s="292"/>
      <c r="V45" s="292"/>
      <c r="W45" s="292"/>
      <c r="X45" s="292"/>
      <c r="Y45" s="293"/>
    </row>
    <row r="46" spans="2:25" ht="15" customHeight="1" thickTop="1" x14ac:dyDescent="0.25">
      <c r="B46" s="234"/>
      <c r="C46" s="264"/>
      <c r="D46" s="240"/>
      <c r="E46" s="240"/>
      <c r="F46" s="240"/>
      <c r="G46" s="240"/>
      <c r="H46" s="240"/>
      <c r="I46" s="240"/>
      <c r="J46" s="240"/>
      <c r="K46" s="240"/>
      <c r="L46" s="241"/>
      <c r="M46" s="242"/>
      <c r="N46" s="242"/>
      <c r="Y46" s="242"/>
    </row>
    <row r="47" spans="2:25" ht="15" customHeight="1" x14ac:dyDescent="0.25">
      <c r="B47" s="234"/>
      <c r="C47" s="264"/>
      <c r="D47" s="240"/>
      <c r="E47" s="240"/>
      <c r="F47" s="240"/>
      <c r="G47" s="240"/>
      <c r="H47" s="240"/>
      <c r="I47" s="240"/>
      <c r="J47" s="240"/>
      <c r="K47" s="240"/>
      <c r="L47" s="241"/>
      <c r="M47" s="242"/>
      <c r="N47" s="242"/>
      <c r="Y47" s="294"/>
    </row>
    <row r="48" spans="2:25" ht="15" customHeight="1" x14ac:dyDescent="0.25">
      <c r="B48" s="234"/>
      <c r="C48" s="264"/>
      <c r="D48" s="240"/>
      <c r="E48" s="240"/>
      <c r="F48" s="240"/>
      <c r="G48" s="240"/>
      <c r="H48" s="240"/>
      <c r="I48" s="240"/>
      <c r="J48" s="240"/>
      <c r="K48" s="240"/>
      <c r="L48" s="241"/>
      <c r="M48" s="242"/>
      <c r="N48" s="242"/>
      <c r="Y48" s="242"/>
    </row>
    <row r="49" spans="2:25" ht="15" customHeight="1" x14ac:dyDescent="0.25">
      <c r="B49" s="234"/>
      <c r="C49" s="264"/>
      <c r="D49" s="240"/>
      <c r="E49" s="240"/>
      <c r="F49" s="240"/>
      <c r="G49" s="240"/>
      <c r="H49" s="240"/>
      <c r="I49" s="240"/>
      <c r="J49" s="240"/>
      <c r="K49" s="240"/>
      <c r="L49" s="241"/>
      <c r="M49" s="242"/>
      <c r="N49" s="242"/>
      <c r="Y49" s="242"/>
    </row>
    <row r="50" spans="2:25" ht="15" customHeight="1" x14ac:dyDescent="0.25">
      <c r="B50" s="234"/>
      <c r="C50" s="264"/>
      <c r="D50" s="240"/>
      <c r="E50" s="240"/>
      <c r="F50" s="240"/>
      <c r="G50" s="240"/>
      <c r="H50" s="240"/>
      <c r="I50" s="240"/>
      <c r="J50" s="240"/>
      <c r="K50" s="240"/>
      <c r="L50" s="241"/>
      <c r="M50" s="242"/>
      <c r="N50" s="242"/>
      <c r="Y50" s="242"/>
    </row>
    <row r="51" spans="2:25" ht="15" customHeight="1" x14ac:dyDescent="0.25">
      <c r="B51" s="234"/>
      <c r="C51" s="264"/>
      <c r="D51" s="240"/>
      <c r="E51" s="240"/>
      <c r="F51" s="240"/>
      <c r="G51" s="240"/>
      <c r="H51" s="240"/>
      <c r="I51" s="1380" t="s">
        <v>475</v>
      </c>
      <c r="J51" s="1380"/>
      <c r="K51" s="1380"/>
      <c r="L51" s="241"/>
      <c r="M51" s="242"/>
      <c r="N51" s="242"/>
      <c r="Y51" s="242"/>
    </row>
    <row r="52" spans="2:25" ht="15" customHeight="1" x14ac:dyDescent="0.25">
      <c r="B52" s="234"/>
      <c r="C52" s="264"/>
      <c r="D52" s="240"/>
      <c r="E52" s="240"/>
      <c r="F52" s="240"/>
      <c r="G52" s="240"/>
      <c r="H52" s="240"/>
      <c r="I52" s="1380"/>
      <c r="J52" s="1380"/>
      <c r="K52" s="1380"/>
      <c r="L52" s="241"/>
      <c r="M52" s="242"/>
      <c r="N52" s="242"/>
      <c r="Y52" s="242"/>
    </row>
    <row r="53" spans="2:25" ht="15" customHeight="1" x14ac:dyDescent="0.25">
      <c r="B53" s="234"/>
      <c r="C53" s="264"/>
      <c r="D53" s="240"/>
      <c r="E53" s="240"/>
      <c r="F53" s="240"/>
      <c r="G53" s="240"/>
      <c r="H53" s="240"/>
      <c r="I53" s="1380" t="s">
        <v>456</v>
      </c>
      <c r="J53" s="1380"/>
      <c r="K53" s="1380"/>
      <c r="L53" s="241"/>
      <c r="M53" s="242"/>
      <c r="N53" s="242"/>
      <c r="Y53" s="263"/>
    </row>
    <row r="54" spans="2:25" ht="15" customHeight="1" x14ac:dyDescent="0.25">
      <c r="B54" s="234"/>
      <c r="C54" s="264"/>
      <c r="D54" s="240"/>
      <c r="E54" s="240"/>
      <c r="F54" s="240"/>
      <c r="G54" s="240"/>
      <c r="H54" s="240"/>
      <c r="I54" s="1380"/>
      <c r="J54" s="1380"/>
      <c r="K54" s="1380"/>
      <c r="L54" s="241"/>
      <c r="M54" s="242"/>
      <c r="N54" s="242"/>
      <c r="O54" s="242"/>
      <c r="P54" s="242"/>
      <c r="Q54" s="242"/>
      <c r="R54" s="242"/>
      <c r="S54" s="242"/>
      <c r="T54" s="242"/>
      <c r="U54" s="242"/>
      <c r="V54" s="242"/>
      <c r="W54" s="242"/>
      <c r="X54" s="242"/>
      <c r="Y54" s="242"/>
    </row>
    <row r="55" spans="2:25" ht="15" customHeight="1" x14ac:dyDescent="0.25">
      <c r="B55" s="234"/>
      <c r="C55" s="264"/>
      <c r="D55" s="240"/>
      <c r="E55" s="240"/>
      <c r="F55" s="240"/>
      <c r="G55" s="240"/>
      <c r="H55" s="240"/>
      <c r="I55" s="1380"/>
      <c r="J55" s="1380"/>
      <c r="K55" s="1380"/>
      <c r="L55" s="241"/>
      <c r="M55" s="242"/>
      <c r="N55" s="242"/>
      <c r="O55" s="242"/>
      <c r="P55" s="242"/>
      <c r="Q55" s="242"/>
      <c r="R55" s="242"/>
      <c r="S55" s="242"/>
      <c r="T55" s="242"/>
      <c r="U55" s="242"/>
      <c r="V55" s="242"/>
      <c r="W55" s="242"/>
      <c r="X55" s="242"/>
      <c r="Y55" s="242"/>
    </row>
    <row r="56" spans="2:25" ht="15" customHeight="1" x14ac:dyDescent="0.25">
      <c r="B56" s="234"/>
      <c r="C56" s="264"/>
      <c r="D56" s="240"/>
      <c r="E56" s="240"/>
      <c r="F56" s="240"/>
      <c r="G56" s="240"/>
      <c r="H56" s="240"/>
      <c r="I56" s="1380"/>
      <c r="J56" s="1380"/>
      <c r="K56" s="1380"/>
      <c r="L56" s="241"/>
      <c r="M56" s="242"/>
      <c r="N56" s="242"/>
      <c r="O56" s="242"/>
      <c r="P56" s="242"/>
      <c r="Q56" s="242"/>
      <c r="R56" s="242"/>
      <c r="S56" s="242"/>
      <c r="T56" s="242"/>
      <c r="U56" s="242"/>
      <c r="V56" s="242"/>
      <c r="W56" s="242"/>
      <c r="X56" s="242"/>
      <c r="Y56" s="263"/>
    </row>
    <row r="57" spans="2:25" ht="15" customHeight="1" x14ac:dyDescent="0.25">
      <c r="B57" s="234"/>
      <c r="C57" s="264"/>
      <c r="D57" s="240"/>
      <c r="E57" s="240"/>
      <c r="F57" s="240"/>
      <c r="G57" s="240"/>
      <c r="H57" s="240"/>
      <c r="I57" s="1380"/>
      <c r="J57" s="1380"/>
      <c r="K57" s="1380"/>
      <c r="L57" s="241"/>
      <c r="M57" s="242"/>
      <c r="N57" s="242"/>
      <c r="O57" s="242"/>
      <c r="P57" s="242"/>
      <c r="Q57" s="242"/>
      <c r="R57" s="242"/>
      <c r="S57" s="242"/>
      <c r="T57" s="242"/>
      <c r="U57" s="242"/>
      <c r="V57" s="242"/>
      <c r="W57" s="242"/>
      <c r="X57" s="242"/>
      <c r="Y57" s="242"/>
    </row>
    <row r="58" spans="2:25" ht="15" customHeight="1" x14ac:dyDescent="0.25">
      <c r="B58" s="234"/>
      <c r="C58" s="264"/>
      <c r="D58" s="240"/>
      <c r="E58" s="240"/>
      <c r="F58" s="240"/>
      <c r="G58" s="240"/>
      <c r="H58" s="240"/>
      <c r="I58" s="1380"/>
      <c r="J58" s="1380"/>
      <c r="K58" s="1380"/>
      <c r="L58" s="241"/>
      <c r="M58" s="242"/>
      <c r="N58" s="242"/>
      <c r="O58" s="242"/>
      <c r="P58" s="242"/>
      <c r="Q58" s="242"/>
      <c r="R58" s="242"/>
      <c r="S58" s="242"/>
      <c r="T58" s="242"/>
      <c r="U58" s="242"/>
      <c r="V58" s="242"/>
      <c r="W58" s="242"/>
      <c r="X58" s="242"/>
      <c r="Y58" s="242"/>
    </row>
    <row r="59" spans="2:25" ht="15" customHeight="1" x14ac:dyDescent="0.25">
      <c r="B59" s="234"/>
      <c r="C59" s="264"/>
      <c r="D59" s="240"/>
      <c r="E59" s="240"/>
      <c r="F59" s="240"/>
      <c r="G59" s="240"/>
      <c r="H59" s="240"/>
      <c r="I59" s="278" t="s">
        <v>278</v>
      </c>
      <c r="J59" s="240" t="s">
        <v>128</v>
      </c>
      <c r="K59" s="240"/>
      <c r="L59" s="241"/>
      <c r="M59" s="242"/>
      <c r="N59" s="242"/>
      <c r="O59" s="242"/>
      <c r="P59" s="242"/>
      <c r="Q59" s="242"/>
      <c r="R59" s="242"/>
      <c r="S59" s="242"/>
      <c r="T59" s="242"/>
      <c r="U59" s="242"/>
      <c r="V59" s="242"/>
      <c r="W59" s="242"/>
      <c r="X59" s="242"/>
      <c r="Y59" s="295"/>
    </row>
    <row r="60" spans="2:25" ht="15" customHeight="1" x14ac:dyDescent="0.25">
      <c r="B60" s="234"/>
      <c r="C60" s="264"/>
      <c r="D60" s="240"/>
      <c r="E60" s="240"/>
      <c r="F60" s="240"/>
      <c r="G60" s="240"/>
      <c r="H60" s="240"/>
      <c r="I60" s="240"/>
      <c r="J60" s="240"/>
      <c r="K60" s="240"/>
      <c r="L60" s="241"/>
      <c r="M60" s="242"/>
      <c r="N60" s="242"/>
      <c r="O60" s="242"/>
      <c r="P60" s="242"/>
      <c r="Q60" s="242"/>
      <c r="R60" s="242"/>
      <c r="S60" s="242"/>
      <c r="T60" s="242"/>
      <c r="U60" s="242"/>
      <c r="V60" s="242"/>
      <c r="W60" s="242"/>
      <c r="X60" s="242"/>
      <c r="Y60" s="295"/>
    </row>
    <row r="61" spans="2:25" ht="15" customHeight="1" x14ac:dyDescent="0.25">
      <c r="B61" s="234"/>
      <c r="C61" s="264"/>
      <c r="D61" s="240"/>
      <c r="E61" s="240"/>
      <c r="F61" s="240"/>
      <c r="G61" s="240"/>
      <c r="H61" s="240"/>
      <c r="I61" s="296"/>
      <c r="J61" s="297" t="s">
        <v>134</v>
      </c>
      <c r="K61" s="240" t="s">
        <v>135</v>
      </c>
      <c r="L61" s="241"/>
      <c r="M61" s="242"/>
      <c r="N61" s="242"/>
      <c r="O61" s="242"/>
      <c r="P61" s="242"/>
      <c r="Q61" s="242"/>
      <c r="R61" s="242"/>
      <c r="S61" s="242"/>
      <c r="T61" s="242"/>
      <c r="U61" s="242"/>
      <c r="V61" s="242"/>
      <c r="W61" s="242"/>
      <c r="X61" s="242"/>
      <c r="Y61" s="298"/>
    </row>
    <row r="62" spans="2:25" ht="15" customHeight="1" x14ac:dyDescent="0.25">
      <c r="B62" s="234"/>
      <c r="C62" s="264"/>
      <c r="D62" s="240"/>
      <c r="E62" s="240"/>
      <c r="F62" s="240"/>
      <c r="G62" s="240"/>
      <c r="H62" s="240"/>
      <c r="I62" s="240"/>
      <c r="J62" s="297" t="s">
        <v>129</v>
      </c>
      <c r="K62" s="240" t="s">
        <v>135</v>
      </c>
      <c r="L62" s="241"/>
      <c r="M62" s="242"/>
      <c r="N62" s="242"/>
      <c r="O62" s="242"/>
      <c r="P62" s="242"/>
      <c r="Q62" s="242"/>
      <c r="R62" s="242"/>
      <c r="S62" s="242"/>
      <c r="T62" s="242"/>
      <c r="U62" s="242"/>
      <c r="V62" s="242"/>
      <c r="W62" s="242"/>
      <c r="X62" s="242"/>
      <c r="Y62" s="298"/>
    </row>
    <row r="63" spans="2:25" ht="15" customHeight="1" x14ac:dyDescent="0.25">
      <c r="B63" s="234"/>
      <c r="C63" s="264"/>
      <c r="D63" s="240"/>
      <c r="E63" s="240"/>
      <c r="F63" s="240"/>
      <c r="G63" s="240"/>
      <c r="H63" s="240"/>
      <c r="I63" s="240"/>
      <c r="J63" s="240"/>
      <c r="K63" s="240"/>
      <c r="L63" s="241"/>
      <c r="M63" s="242"/>
      <c r="N63" s="242"/>
      <c r="O63" s="242"/>
      <c r="P63" s="242"/>
      <c r="Q63" s="242"/>
      <c r="R63" s="242"/>
      <c r="S63" s="242"/>
      <c r="T63" s="242"/>
      <c r="U63" s="242"/>
      <c r="V63" s="242"/>
      <c r="W63" s="242"/>
      <c r="X63" s="242"/>
      <c r="Y63" s="294"/>
    </row>
    <row r="64" spans="2:25" ht="15" customHeight="1" x14ac:dyDescent="0.25">
      <c r="B64" s="234"/>
      <c r="C64" s="264"/>
      <c r="D64" s="240"/>
      <c r="E64" s="240"/>
      <c r="F64" s="240"/>
      <c r="G64" s="240"/>
      <c r="H64" s="240"/>
      <c r="I64" s="240"/>
      <c r="J64" s="240"/>
      <c r="K64" s="240"/>
      <c r="L64" s="241"/>
      <c r="M64" s="242"/>
      <c r="N64" s="242"/>
      <c r="O64" s="242"/>
      <c r="P64" s="242"/>
      <c r="Q64" s="242"/>
      <c r="R64" s="242"/>
      <c r="S64" s="242"/>
      <c r="T64" s="242"/>
      <c r="U64" s="242"/>
      <c r="V64" s="242"/>
      <c r="W64" s="242"/>
      <c r="X64" s="242"/>
      <c r="Y64" s="242"/>
    </row>
    <row r="65" spans="2:25" ht="15" customHeight="1" x14ac:dyDescent="0.25">
      <c r="B65" s="234"/>
      <c r="C65" s="264"/>
      <c r="D65" s="240"/>
      <c r="E65" s="240"/>
      <c r="F65" s="240"/>
      <c r="G65" s="240"/>
      <c r="H65" s="240"/>
      <c r="I65" s="240"/>
      <c r="J65" s="240"/>
      <c r="K65" s="240"/>
      <c r="L65" s="241"/>
      <c r="M65" s="242"/>
      <c r="N65" s="242"/>
      <c r="O65" s="242"/>
      <c r="P65" s="242"/>
      <c r="Q65" s="242"/>
      <c r="R65" s="242"/>
      <c r="S65" s="242"/>
      <c r="T65" s="242"/>
      <c r="U65" s="242"/>
      <c r="V65" s="242"/>
      <c r="W65" s="242"/>
      <c r="X65" s="242"/>
      <c r="Y65" s="294"/>
    </row>
    <row r="66" spans="2:25" ht="15" customHeight="1" x14ac:dyDescent="0.25">
      <c r="B66" s="234"/>
      <c r="C66" s="264"/>
      <c r="D66" s="240"/>
      <c r="E66" s="240"/>
      <c r="F66" s="240"/>
      <c r="G66" s="240"/>
      <c r="H66" s="240"/>
      <c r="I66" s="240"/>
      <c r="J66" s="240"/>
      <c r="K66" s="240"/>
      <c r="L66" s="241"/>
      <c r="M66" s="242"/>
      <c r="N66" s="242"/>
      <c r="O66" s="242"/>
      <c r="P66" s="242"/>
      <c r="Q66" s="242"/>
      <c r="R66" s="242"/>
      <c r="S66" s="242"/>
      <c r="T66" s="242"/>
      <c r="U66" s="242"/>
      <c r="V66" s="242"/>
      <c r="W66" s="242"/>
      <c r="X66" s="242"/>
      <c r="Y66" s="242"/>
    </row>
    <row r="67" spans="2:25" ht="69" customHeight="1" x14ac:dyDescent="0.25">
      <c r="B67" s="234"/>
      <c r="C67" s="264"/>
      <c r="D67" s="240"/>
      <c r="E67" s="240"/>
      <c r="F67" s="240"/>
      <c r="G67" s="240"/>
      <c r="H67" s="1381" t="s">
        <v>457</v>
      </c>
      <c r="I67" s="1381"/>
      <c r="J67" s="1381"/>
      <c r="K67" s="1381"/>
      <c r="L67" s="266"/>
      <c r="M67" s="299"/>
      <c r="N67" s="242"/>
      <c r="O67" s="242"/>
      <c r="P67" s="242"/>
      <c r="Q67" s="242"/>
      <c r="R67" s="242"/>
      <c r="S67" s="242"/>
      <c r="T67" s="242"/>
      <c r="U67" s="242"/>
      <c r="V67" s="242"/>
      <c r="W67" s="242"/>
      <c r="X67" s="242"/>
      <c r="Y67" s="294"/>
    </row>
    <row r="68" spans="2:25" ht="33" customHeight="1" x14ac:dyDescent="0.25">
      <c r="B68" s="234"/>
      <c r="C68" s="264"/>
      <c r="D68" s="240"/>
      <c r="E68" s="240"/>
      <c r="F68" s="240"/>
      <c r="G68" s="240"/>
      <c r="H68" s="1381" t="s">
        <v>328</v>
      </c>
      <c r="I68" s="1381"/>
      <c r="J68" s="1381"/>
      <c r="K68" s="1381"/>
      <c r="L68" s="266"/>
      <c r="M68" s="299"/>
      <c r="N68" s="299"/>
      <c r="O68" s="299"/>
      <c r="P68" s="299"/>
      <c r="Q68" s="299"/>
      <c r="R68" s="299"/>
      <c r="S68" s="242"/>
      <c r="T68" s="242"/>
      <c r="U68" s="242"/>
      <c r="V68" s="242"/>
      <c r="W68" s="242"/>
      <c r="X68" s="242"/>
      <c r="Y68" s="294"/>
    </row>
    <row r="69" spans="2:25" ht="34.5" customHeight="1" x14ac:dyDescent="0.25">
      <c r="B69" s="234"/>
      <c r="C69" s="264"/>
      <c r="D69" s="240"/>
      <c r="E69" s="240"/>
      <c r="F69" s="240"/>
      <c r="G69" s="240"/>
      <c r="H69" s="1381"/>
      <c r="I69" s="1381"/>
      <c r="J69" s="1381"/>
      <c r="K69" s="1381"/>
      <c r="L69" s="241"/>
      <c r="M69" s="242"/>
      <c r="N69" s="299"/>
      <c r="O69" s="299"/>
      <c r="P69" s="299"/>
      <c r="Q69" s="299"/>
      <c r="R69" s="299"/>
      <c r="S69" s="242"/>
      <c r="T69" s="242"/>
      <c r="U69" s="242"/>
      <c r="V69" s="242"/>
      <c r="W69" s="242"/>
      <c r="X69" s="242"/>
      <c r="Y69" s="300"/>
    </row>
    <row r="70" spans="2:25" ht="15.75" x14ac:dyDescent="0.25">
      <c r="B70" s="234"/>
      <c r="C70" s="264"/>
      <c r="D70" s="240"/>
      <c r="E70" s="240"/>
      <c r="F70" s="240"/>
      <c r="G70" s="240"/>
      <c r="H70" s="240"/>
      <c r="I70" s="240"/>
      <c r="J70" s="240"/>
      <c r="K70" s="240"/>
      <c r="L70" s="241"/>
      <c r="M70" s="242"/>
      <c r="N70" s="242"/>
      <c r="O70" s="242"/>
      <c r="P70" s="242"/>
      <c r="Q70" s="242"/>
      <c r="R70" s="242"/>
      <c r="S70" s="242"/>
      <c r="T70" s="242"/>
      <c r="U70" s="242"/>
      <c r="V70" s="242"/>
      <c r="W70" s="242"/>
      <c r="X70" s="242"/>
      <c r="Y70" s="300"/>
    </row>
    <row r="71" spans="2:25" ht="16.5" thickBot="1" x14ac:dyDescent="0.3">
      <c r="B71" s="301"/>
      <c r="C71" s="302"/>
      <c r="D71" s="303"/>
      <c r="E71" s="303"/>
      <c r="F71" s="303"/>
      <c r="G71" s="303"/>
      <c r="H71" s="303"/>
      <c r="I71" s="303"/>
      <c r="J71" s="303"/>
      <c r="K71" s="303"/>
      <c r="L71" s="304"/>
      <c r="M71" s="242"/>
      <c r="N71" s="242"/>
      <c r="O71" s="242"/>
      <c r="P71" s="242"/>
      <c r="Q71" s="242"/>
      <c r="R71" s="242"/>
      <c r="S71" s="242"/>
      <c r="T71" s="242"/>
      <c r="U71" s="242"/>
      <c r="V71" s="242"/>
      <c r="W71" s="242"/>
      <c r="X71" s="242"/>
      <c r="Y71" s="300"/>
    </row>
    <row r="72" spans="2:25" ht="16.5" thickTop="1" x14ac:dyDescent="0.25">
      <c r="N72" s="242"/>
      <c r="O72" s="242"/>
      <c r="P72" s="242"/>
      <c r="Q72" s="242"/>
      <c r="R72" s="242"/>
      <c r="S72" s="242"/>
      <c r="T72" s="242"/>
      <c r="U72" s="242"/>
      <c r="V72" s="242"/>
      <c r="W72" s="242"/>
      <c r="X72" s="242"/>
      <c r="Y72" s="242"/>
    </row>
  </sheetData>
  <sheetProtection algorithmName="SHA-512" hashValue="gkMfe/ojrd+MnHeb7IBwrOC00fNg8btAZUMqnVtSewHJprUd2+YB+Exw5FmbjB7yYx1EOFpeudV61dMk+yBq9Q==" saltValue="WTqiv11Gwfr110+KSraqlQ==" spinCount="100000" sheet="1" objects="1" scenarios="1"/>
  <protectedRanges>
    <protectedRange sqref="C8:I11" name="Range2_1_1"/>
    <protectedRange sqref="C15:L71" name="Range1_1_1"/>
  </protectedRanges>
  <mergeCells count="34">
    <mergeCell ref="P38:R38"/>
    <mergeCell ref="V36:X36"/>
    <mergeCell ref="O40:X41"/>
    <mergeCell ref="N40:N41"/>
    <mergeCell ref="N16:P16"/>
    <mergeCell ref="O18:Q18"/>
    <mergeCell ref="U17:W17"/>
    <mergeCell ref="N22:P22"/>
    <mergeCell ref="N24:X26"/>
    <mergeCell ref="N27:X30"/>
    <mergeCell ref="N3:Y3"/>
    <mergeCell ref="N4:Q4"/>
    <mergeCell ref="N11:Y11"/>
    <mergeCell ref="I38:L39"/>
    <mergeCell ref="I51:K52"/>
    <mergeCell ref="N12:Y12"/>
    <mergeCell ref="O15:Y15"/>
    <mergeCell ref="N5:X7"/>
    <mergeCell ref="N8:X10"/>
    <mergeCell ref="N13:P13"/>
    <mergeCell ref="N43:N44"/>
    <mergeCell ref="O43:X44"/>
    <mergeCell ref="E3:I3"/>
    <mergeCell ref="N32:O32"/>
    <mergeCell ref="O33:W33"/>
    <mergeCell ref="O37:R37"/>
    <mergeCell ref="I53:K58"/>
    <mergeCell ref="H67:K67"/>
    <mergeCell ref="H68:K69"/>
    <mergeCell ref="C12:K12"/>
    <mergeCell ref="C14:K14"/>
    <mergeCell ref="C15:L16"/>
    <mergeCell ref="I26:L26"/>
    <mergeCell ref="I27:L29"/>
  </mergeCells>
  <dataValidations count="2">
    <dataValidation type="list" allowBlank="1" showInputMessage="1" showErrorMessage="1" sqref="I8:I11" xr:uid="{649B2164-1989-4E88-8EB8-C3C77104CB9D}">
      <formula1>$AF$8:$AF$12</formula1>
    </dataValidation>
    <dataValidation type="list" allowBlank="1" showInputMessage="1" showErrorMessage="1" sqref="D8:D11" xr:uid="{E6D9124B-1A5F-4AE4-96B3-160AEE3BC0A5}">
      <formula1>$AC$8:$AC$10</formula1>
    </dataValidation>
  </dataValidations>
  <hyperlinks>
    <hyperlink ref="E3:I3" location="'Project Mull Review'!A1" display="CLICK TO RETURN TO PROJECT MULL REVIEW" xr:uid="{A0FE1E3A-E97D-4945-BA9D-5FAD40062131}"/>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F9807-CC64-45C5-A3ED-87AC7F36C101}">
  <sheetPr>
    <tabColor rgb="FFAF8ED0"/>
  </sheetPr>
  <dimension ref="B1:CG85"/>
  <sheetViews>
    <sheetView zoomScaleNormal="100" workbookViewId="0">
      <selection activeCell="G5" sqref="G5:H6"/>
    </sheetView>
  </sheetViews>
  <sheetFormatPr defaultColWidth="9.140625" defaultRowHeight="15.95" customHeight="1" outlineLevelCol="1" x14ac:dyDescent="0.25"/>
  <cols>
    <col min="1" max="1" width="3.28515625" style="209" customWidth="1"/>
    <col min="2" max="2" width="14.28515625" style="209" customWidth="1"/>
    <col min="3" max="3" width="5.7109375" style="209" customWidth="1"/>
    <col min="4" max="4" width="13" style="209" customWidth="1"/>
    <col min="5" max="5" width="5.7109375" style="209" customWidth="1"/>
    <col min="6" max="7" width="3.140625" style="209" customWidth="1"/>
    <col min="8" max="9" width="11.28515625" style="209" customWidth="1"/>
    <col min="10" max="10" width="9.42578125" style="209" customWidth="1"/>
    <col min="11" max="11" width="6.7109375" style="209" customWidth="1"/>
    <col min="12" max="12" width="9.42578125" style="209" customWidth="1"/>
    <col min="13" max="18" width="8.140625" style="209" customWidth="1"/>
    <col min="19" max="19" width="9.140625" style="209"/>
    <col min="20" max="20" width="16.5703125" style="209" hidden="1" customWidth="1" outlineLevel="1"/>
    <col min="21" max="21" width="6.7109375" style="209" hidden="1" customWidth="1" outlineLevel="1"/>
    <col min="22" max="22" width="10.5703125" style="209" hidden="1" customWidth="1" outlineLevel="1"/>
    <col min="23" max="23" width="10" style="209" hidden="1" customWidth="1" outlineLevel="1"/>
    <col min="24" max="24" width="4.7109375" style="209" hidden="1" customWidth="1" outlineLevel="1"/>
    <col min="25" max="25" width="8" style="209" hidden="1" customWidth="1" outlineLevel="1"/>
    <col min="26" max="26" width="9" style="209" hidden="1" customWidth="1" outlineLevel="1"/>
    <col min="27" max="28" width="9.140625" style="209" hidden="1" customWidth="1" outlineLevel="1"/>
    <col min="29" max="29" width="9" style="209" hidden="1" customWidth="1" outlineLevel="1"/>
    <col min="30" max="30" width="9.140625" style="209" collapsed="1"/>
    <col min="31" max="16384" width="9.140625" style="209"/>
  </cols>
  <sheetData>
    <row r="1" spans="2:85" ht="15.95" customHeight="1" thickBot="1" x14ac:dyDescent="0.3"/>
    <row r="2" spans="2:85" ht="15.95" customHeight="1" thickTop="1" thickBot="1" x14ac:dyDescent="0.3">
      <c r="T2" s="1469" t="s">
        <v>1069</v>
      </c>
      <c r="U2" s="1470"/>
      <c r="V2" s="1471"/>
      <c r="Y2" s="799" t="s">
        <v>1035</v>
      </c>
      <c r="Z2" s="1494" t="s">
        <v>1065</v>
      </c>
      <c r="AA2" s="1495"/>
      <c r="AB2" s="1496" t="s">
        <v>1066</v>
      </c>
      <c r="AC2" s="1497"/>
      <c r="AE2" s="1500" t="s">
        <v>1143</v>
      </c>
      <c r="AF2" s="1501"/>
      <c r="AG2" s="1501"/>
      <c r="AH2" s="1501"/>
      <c r="AI2" s="1501"/>
      <c r="AJ2" s="1501"/>
      <c r="AK2" s="1501"/>
      <c r="AL2" s="1501"/>
      <c r="AM2" s="1501"/>
      <c r="AN2" s="1501"/>
      <c r="AO2" s="1501"/>
      <c r="AP2" s="1501"/>
      <c r="AQ2" s="1501"/>
      <c r="AR2" s="1501"/>
      <c r="AS2" s="1501"/>
      <c r="AT2" s="1502"/>
      <c r="AW2" s="1478" t="s">
        <v>1058</v>
      </c>
      <c r="AX2" s="1479"/>
      <c r="AY2" s="1479"/>
      <c r="AZ2" s="1479"/>
      <c r="BA2" s="1479"/>
      <c r="BB2" s="1479"/>
      <c r="BC2" s="1479"/>
      <c r="BD2" s="1479"/>
      <c r="BE2" s="1480"/>
      <c r="BF2" s="1478" t="s">
        <v>1067</v>
      </c>
      <c r="BG2" s="1479"/>
      <c r="BH2" s="1479"/>
      <c r="BI2" s="1479"/>
      <c r="BJ2" s="1479"/>
      <c r="BK2" s="1479"/>
      <c r="BL2" s="1479"/>
      <c r="BM2" s="1479"/>
      <c r="BN2" s="1479"/>
      <c r="BO2" s="1480"/>
      <c r="BP2" s="1478" t="s">
        <v>1074</v>
      </c>
      <c r="BQ2" s="1479"/>
      <c r="BR2" s="1479"/>
      <c r="BS2" s="1479"/>
      <c r="BT2" s="1479"/>
      <c r="BU2" s="1479"/>
      <c r="BV2" s="1479"/>
      <c r="BW2" s="1479"/>
      <c r="BX2" s="1479"/>
      <c r="BY2" s="1479"/>
      <c r="BZ2" s="1479"/>
      <c r="CA2" s="1480"/>
      <c r="CG2" s="209" t="s">
        <v>1029</v>
      </c>
    </row>
    <row r="3" spans="2:85" ht="15.95" customHeight="1" thickBot="1" x14ac:dyDescent="0.3">
      <c r="B3" s="1432" t="s">
        <v>1077</v>
      </c>
      <c r="C3" s="1433"/>
      <c r="D3" s="1433"/>
      <c r="E3" s="1433"/>
      <c r="F3" s="1433"/>
      <c r="G3" s="1433"/>
      <c r="H3" s="1434"/>
      <c r="K3" s="1432" t="s">
        <v>1142</v>
      </c>
      <c r="L3" s="1433"/>
      <c r="M3" s="1433"/>
      <c r="N3" s="1433"/>
      <c r="O3" s="1433"/>
      <c r="P3" s="1433"/>
      <c r="Q3" s="1434"/>
      <c r="T3" s="800" t="s">
        <v>1038</v>
      </c>
      <c r="V3" s="801" t="str">
        <f>'Project Mull Review'!O26</f>
        <v/>
      </c>
      <c r="Y3" s="802" t="e">
        <f>0.00256*V19*V10*V18^2</f>
        <v>#VALUE!</v>
      </c>
      <c r="Z3" s="803" t="s">
        <v>441</v>
      </c>
      <c r="AA3" s="804" t="s">
        <v>442</v>
      </c>
      <c r="AB3" s="805" t="s">
        <v>441</v>
      </c>
      <c r="AC3" s="806" t="s">
        <v>442</v>
      </c>
      <c r="AE3" s="1503"/>
      <c r="AF3" s="1504"/>
      <c r="AG3" s="1504"/>
      <c r="AH3" s="1504"/>
      <c r="AI3" s="1504"/>
      <c r="AJ3" s="1504"/>
      <c r="AK3" s="1504"/>
      <c r="AL3" s="1504"/>
      <c r="AM3" s="1504"/>
      <c r="AN3" s="1504"/>
      <c r="AO3" s="1504"/>
      <c r="AP3" s="1504"/>
      <c r="AQ3" s="1504"/>
      <c r="AR3" s="1504"/>
      <c r="AS3" s="1504"/>
      <c r="AT3" s="1505"/>
      <c r="AW3" s="1484"/>
      <c r="AX3" s="1485"/>
      <c r="AY3" s="1485"/>
      <c r="AZ3" s="1485"/>
      <c r="BA3" s="1485"/>
      <c r="BB3" s="1485"/>
      <c r="BC3" s="1485"/>
      <c r="BD3" s="1485"/>
      <c r="BE3" s="1486"/>
      <c r="BF3" s="1484"/>
      <c r="BG3" s="1485"/>
      <c r="BH3" s="1485"/>
      <c r="BI3" s="1485"/>
      <c r="BJ3" s="1485"/>
      <c r="BK3" s="1485"/>
      <c r="BL3" s="1485"/>
      <c r="BM3" s="1485"/>
      <c r="BN3" s="1485"/>
      <c r="BO3" s="1486"/>
      <c r="BP3" s="1484"/>
      <c r="BQ3" s="1485"/>
      <c r="BR3" s="1485"/>
      <c r="BS3" s="1485"/>
      <c r="BT3" s="1485"/>
      <c r="BU3" s="1485"/>
      <c r="BV3" s="1485"/>
      <c r="BW3" s="1485"/>
      <c r="BX3" s="1485"/>
      <c r="BY3" s="1485"/>
      <c r="BZ3" s="1485"/>
      <c r="CA3" s="1486"/>
    </row>
    <row r="4" spans="2:85" ht="15.95" customHeight="1" thickBot="1" x14ac:dyDescent="0.3">
      <c r="B4" s="1435"/>
      <c r="C4" s="1436"/>
      <c r="D4" s="1436"/>
      <c r="E4" s="1436"/>
      <c r="F4" s="1436"/>
      <c r="G4" s="1436"/>
      <c r="H4" s="1437"/>
      <c r="K4" s="1435"/>
      <c r="L4" s="1436"/>
      <c r="M4" s="1436"/>
      <c r="N4" s="1436"/>
      <c r="O4" s="1436"/>
      <c r="P4" s="1436"/>
      <c r="Q4" s="1437"/>
      <c r="T4" s="800" t="s">
        <v>1039</v>
      </c>
      <c r="V4" s="801">
        <f>'Project Mull Review'!O24</f>
        <v>0</v>
      </c>
      <c r="Z4" s="807" t="str">
        <f>IFERROR(V20*(V25*V26*(-0.077*LN(V13)+1.1737)+V31),"")</f>
        <v/>
      </c>
      <c r="AA4" s="808" t="str">
        <f>IFERROR(V20*(V25*V26*(-0.077*LN(V13)+1.1737)+V31),"")</f>
        <v/>
      </c>
      <c r="AB4" s="809" t="str">
        <f>IFERROR(V20*V25*V26*((-0.077*LN(V13)+1.0798)+V31),"")</f>
        <v/>
      </c>
      <c r="AC4" s="810" t="str">
        <f>IFERROR(V20*V25*V26*((-0.077*LN(V13)+1.0798)+V31),"")</f>
        <v/>
      </c>
      <c r="AE4" s="811"/>
      <c r="AT4" s="812"/>
      <c r="AW4" s="811"/>
      <c r="BE4" s="812"/>
      <c r="BF4" s="811"/>
      <c r="BO4" s="812"/>
      <c r="BP4" s="811"/>
      <c r="CA4" s="812"/>
    </row>
    <row r="5" spans="2:85" ht="15.95" customHeight="1" x14ac:dyDescent="0.25">
      <c r="B5" s="1547" t="s">
        <v>1753</v>
      </c>
      <c r="C5" s="1548"/>
      <c r="D5" s="1548"/>
      <c r="E5" s="1548"/>
      <c r="F5" s="1549"/>
      <c r="G5" s="1550"/>
      <c r="H5" s="1551"/>
      <c r="K5" s="1438" t="s">
        <v>1139</v>
      </c>
      <c r="L5" s="1439"/>
      <c r="M5" s="1439"/>
      <c r="N5" s="1439"/>
      <c r="O5" s="1440"/>
      <c r="P5" s="1459" t="str">
        <f>IF(OR(E30="III",E30="IV"),"Yes","No")</f>
        <v>No</v>
      </c>
      <c r="Q5" s="1460"/>
      <c r="T5" s="800" t="s">
        <v>1040</v>
      </c>
      <c r="V5" s="801">
        <f>'Project Mull Review'!O25</f>
        <v>0</v>
      </c>
      <c r="Z5" s="813" t="str">
        <f>IFERROR(V20*(V25*V26*0.0771*LN(V13) -1.2737-V30),"")</f>
        <v/>
      </c>
      <c r="AA5" s="814" t="str">
        <f>IFERROR(V20*(V25*V26*(0.156*LN(V13) -1.7618)-V30),"")</f>
        <v/>
      </c>
      <c r="AB5" s="815" t="str">
        <f>IFERROR(V20*V25*V26*((0.0524*LN(V13)-1.0278)-V30),"")</f>
        <v/>
      </c>
      <c r="AC5" s="816" t="str">
        <f>IFERROR(V20*V25*V26*((0.2026*LN(V13)-2.2638)-V30),"")</f>
        <v/>
      </c>
      <c r="AE5" s="811"/>
      <c r="AT5" s="812"/>
      <c r="AW5" s="811"/>
      <c r="BE5" s="812"/>
      <c r="BF5" s="811"/>
      <c r="BO5" s="812"/>
      <c r="BP5" s="811"/>
      <c r="CA5" s="812"/>
    </row>
    <row r="6" spans="2:85" ht="15.95" customHeight="1" x14ac:dyDescent="0.25">
      <c r="B6" s="1537"/>
      <c r="C6" s="1538"/>
      <c r="D6" s="1538"/>
      <c r="E6" s="1538"/>
      <c r="F6" s="1539"/>
      <c r="G6" s="1552"/>
      <c r="H6" s="1553"/>
      <c r="K6" s="1441"/>
      <c r="L6" s="1442"/>
      <c r="M6" s="1442"/>
      <c r="N6" s="1442"/>
      <c r="O6" s="1443"/>
      <c r="P6" s="1461"/>
      <c r="Q6" s="1462"/>
      <c r="T6" s="800" t="s">
        <v>282</v>
      </c>
      <c r="V6" s="801" t="str">
        <f>RIGHT('Project Mull Review'!E11,2)</f>
        <v/>
      </c>
      <c r="Z6" s="817" t="e">
        <f t="shared" ref="Z6:AC7" si="0">Z4*$V$12</f>
        <v>#VALUE!</v>
      </c>
      <c r="AA6" s="818" t="e">
        <f t="shared" si="0"/>
        <v>#VALUE!</v>
      </c>
      <c r="AB6" s="819" t="e">
        <f t="shared" si="0"/>
        <v>#VALUE!</v>
      </c>
      <c r="AC6" s="820" t="e">
        <f t="shared" si="0"/>
        <v>#VALUE!</v>
      </c>
      <c r="AE6" s="811"/>
      <c r="AT6" s="812"/>
      <c r="AW6" s="811"/>
      <c r="BE6" s="812"/>
      <c r="BF6" s="811"/>
      <c r="BO6" s="812"/>
      <c r="BP6" s="811"/>
      <c r="CA6" s="812"/>
    </row>
    <row r="7" spans="2:85" ht="15.95" customHeight="1" thickBot="1" x14ac:dyDescent="0.3">
      <c r="B7" s="1534" t="s">
        <v>1752</v>
      </c>
      <c r="C7" s="1535"/>
      <c r="D7" s="1535"/>
      <c r="E7" s="1535"/>
      <c r="F7" s="1536"/>
      <c r="G7" s="1540">
        <f>V23</f>
        <v>2000</v>
      </c>
      <c r="H7" s="1541"/>
      <c r="K7" s="1444"/>
      <c r="L7" s="1445"/>
      <c r="M7" s="1445"/>
      <c r="N7" s="1445"/>
      <c r="O7" s="1446"/>
      <c r="P7" s="1463"/>
      <c r="Q7" s="1464"/>
      <c r="T7" s="800" t="s">
        <v>1041</v>
      </c>
      <c r="V7" s="801">
        <f>exposure</f>
        <v>0</v>
      </c>
      <c r="Z7" s="821" t="e">
        <f t="shared" si="0"/>
        <v>#VALUE!</v>
      </c>
      <c r="AA7" s="822" t="e">
        <f t="shared" si="0"/>
        <v>#VALUE!</v>
      </c>
      <c r="AB7" s="823" t="e">
        <f t="shared" si="0"/>
        <v>#VALUE!</v>
      </c>
      <c r="AC7" s="824" t="e">
        <f t="shared" si="0"/>
        <v>#VALUE!</v>
      </c>
      <c r="AE7" s="811"/>
      <c r="AT7" s="812"/>
      <c r="AW7" s="811"/>
      <c r="BE7" s="812"/>
      <c r="BF7" s="811"/>
      <c r="BO7" s="812"/>
      <c r="BP7" s="811"/>
      <c r="CA7" s="812"/>
    </row>
    <row r="8" spans="2:85" ht="15.95" customHeight="1" thickBot="1" x14ac:dyDescent="0.3">
      <c r="B8" s="1537"/>
      <c r="C8" s="1538"/>
      <c r="D8" s="1538"/>
      <c r="E8" s="1538"/>
      <c r="F8" s="1539"/>
      <c r="G8" s="1542"/>
      <c r="H8" s="1543"/>
      <c r="K8" s="1447" t="s">
        <v>1141</v>
      </c>
      <c r="L8" s="1448"/>
      <c r="M8" s="1448"/>
      <c r="N8" s="1448"/>
      <c r="O8" s="1449"/>
      <c r="P8" s="1465" t="str">
        <f>IF(G9&gt;=60,"Yes","No")</f>
        <v>No</v>
      </c>
      <c r="Q8" s="1466"/>
      <c r="T8" s="800" t="s">
        <v>1095</v>
      </c>
      <c r="V8" s="801" t="str">
        <f>'Project Mull Review'!V26</f>
        <v>No</v>
      </c>
      <c r="AE8" s="811"/>
      <c r="AT8" s="812"/>
      <c r="AW8" s="811"/>
      <c r="BE8" s="812"/>
      <c r="BF8" s="811"/>
      <c r="BO8" s="812"/>
      <c r="BP8" s="811"/>
      <c r="CA8" s="812"/>
    </row>
    <row r="9" spans="2:85" ht="15.95" customHeight="1" x14ac:dyDescent="0.25">
      <c r="B9" s="1544" t="s">
        <v>1145</v>
      </c>
      <c r="C9" s="1545"/>
      <c r="D9" s="1545"/>
      <c r="E9" s="1545"/>
      <c r="F9" s="1546"/>
      <c r="G9" s="1561"/>
      <c r="H9" s="1562"/>
      <c r="K9" s="1450"/>
      <c r="L9" s="1451"/>
      <c r="M9" s="1451"/>
      <c r="N9" s="1451"/>
      <c r="O9" s="1452"/>
      <c r="P9" s="1461"/>
      <c r="Q9" s="1462"/>
      <c r="T9" s="800" t="s">
        <v>1042</v>
      </c>
      <c r="V9" s="801">
        <f>'Project Mull Review'!E14</f>
        <v>0</v>
      </c>
      <c r="Z9" s="1494" t="s">
        <v>1090</v>
      </c>
      <c r="AA9" s="1498"/>
      <c r="AB9" s="1498"/>
      <c r="AC9" s="1499"/>
      <c r="AE9" s="811"/>
      <c r="AT9" s="812"/>
      <c r="AW9" s="811"/>
      <c r="BE9" s="812"/>
      <c r="BF9" s="811"/>
      <c r="BO9" s="812"/>
      <c r="BP9" s="811"/>
      <c r="CA9" s="812"/>
    </row>
    <row r="10" spans="2:85" ht="15.95" customHeight="1" thickBot="1" x14ac:dyDescent="0.3">
      <c r="B10" s="1537"/>
      <c r="C10" s="1538"/>
      <c r="D10" s="1538"/>
      <c r="E10" s="1538"/>
      <c r="F10" s="1539"/>
      <c r="G10" s="1567"/>
      <c r="H10" s="1568"/>
      <c r="K10" s="1453"/>
      <c r="L10" s="1454"/>
      <c r="M10" s="1454"/>
      <c r="N10" s="1454"/>
      <c r="O10" s="1455"/>
      <c r="P10" s="1463"/>
      <c r="Q10" s="1464"/>
      <c r="T10" s="800" t="s">
        <v>1037</v>
      </c>
      <c r="U10" s="209" t="s">
        <v>1022</v>
      </c>
      <c r="V10" s="825" t="str">
        <f>'Project Mull Review'!H18</f>
        <v/>
      </c>
      <c r="Z10" s="1506" t="s">
        <v>441</v>
      </c>
      <c r="AA10" s="1507"/>
      <c r="AB10" s="1507" t="s">
        <v>442</v>
      </c>
      <c r="AC10" s="1508"/>
      <c r="AE10" s="811"/>
      <c r="AT10" s="812"/>
      <c r="AW10" s="811"/>
      <c r="BE10" s="812"/>
      <c r="BF10" s="811"/>
      <c r="BO10" s="812"/>
      <c r="BP10" s="811"/>
      <c r="CA10" s="812"/>
    </row>
    <row r="11" spans="2:85" ht="15.95" customHeight="1" x14ac:dyDescent="0.25">
      <c r="B11" s="1544" t="s">
        <v>1140</v>
      </c>
      <c r="C11" s="1545"/>
      <c r="D11" s="1545"/>
      <c r="E11" s="1545"/>
      <c r="F11" s="1546"/>
      <c r="G11" s="1561"/>
      <c r="H11" s="1562"/>
      <c r="K11" s="1447" t="str">
        <f>IF(E32="B", "Wind speed Vτ ≥ 0.5V per section 32.5.2?", IF(E32="C","Wind speed Vτ ≥ 0.6V per section 32.5.2?",IF(E32="D", "Wind speed Vτ ≥ 0.67V per section 32.5.2?", "")))</f>
        <v/>
      </c>
      <c r="L11" s="1448"/>
      <c r="M11" s="1448"/>
      <c r="N11" s="1448"/>
      <c r="O11" s="1449"/>
      <c r="P11" s="1465" t="str">
        <f>IF(E32="B",IF(G9&gt;=0.5*E31,"Yes","No"),IF(E32="C",IF(G9&gt;=0.6*E31,"Yes","No"),IF(E32="D",IF(G9&gt;=0.67*E31,"Yes","No"),"No")))</f>
        <v>No</v>
      </c>
      <c r="Q11" s="1466"/>
      <c r="T11" s="800" t="s">
        <v>1063</v>
      </c>
      <c r="U11" s="209" t="s">
        <v>45</v>
      </c>
      <c r="V11" s="825" t="e">
        <f>'Project Mull Review'!AA14</f>
        <v>#N/A</v>
      </c>
      <c r="Y11" s="826">
        <v>10</v>
      </c>
      <c r="Z11" s="817" t="str">
        <f>IFERROR(IF(V$3&lt;60,V$20*(V$25*V$26*(-0.077*LN(Y11)+1.1737)-V$31),V$20*V$25*V$26*((-0.077*LN(Y11)+1.0798)-V$31)),"")</f>
        <v/>
      </c>
      <c r="AA11" s="818" t="str">
        <f>IFERROR(IF(V$3&lt;60,V$20*(V$25*V$26*0.0771*LN(Y11) -1.2737-V$30),V$20*V$25*V$26*((0.0524*LN(Y11)-1.0278)-V$30)),"")</f>
        <v/>
      </c>
      <c r="AB11" s="819" t="str">
        <f>IFERROR(IF(V$3&lt;60,V$20*(V$25*V$26*(-0.077*LN(Y11)+1.1737)-V$31),V$20*V$25*V$26*((-0.077*LN(Y11)+1.0798)-V$31)),"")</f>
        <v/>
      </c>
      <c r="AC11" s="820" t="str">
        <f>IFERROR(IF(V$3&lt;60,V$20*(V$25*V$26*(0.156*LN(Y11) -1.7618)-V$30),V$20*V$25*V$26*((0.2026*LN(Y11)-2.2638)-V$30)),"")</f>
        <v/>
      </c>
      <c r="AE11" s="811"/>
      <c r="AT11" s="812"/>
      <c r="AW11" s="811"/>
      <c r="BE11" s="812"/>
      <c r="BF11" s="811"/>
      <c r="BO11" s="812"/>
      <c r="BP11" s="811"/>
      <c r="CA11" s="812"/>
    </row>
    <row r="12" spans="2:85" ht="15.95" customHeight="1" x14ac:dyDescent="0.25">
      <c r="B12" s="1534"/>
      <c r="C12" s="1535"/>
      <c r="D12" s="1535"/>
      <c r="E12" s="1535"/>
      <c r="F12" s="1536"/>
      <c r="G12" s="1563"/>
      <c r="H12" s="1564"/>
      <c r="K12" s="1450"/>
      <c r="L12" s="1451"/>
      <c r="M12" s="1451"/>
      <c r="N12" s="1451"/>
      <c r="O12" s="1452"/>
      <c r="P12" s="1461"/>
      <c r="Q12" s="1462"/>
      <c r="T12" s="800" t="s">
        <v>1076</v>
      </c>
      <c r="V12" s="825">
        <f>'Project Mull Review'!V7</f>
        <v>0.6</v>
      </c>
      <c r="Y12" s="827">
        <v>20</v>
      </c>
      <c r="Z12" s="828" t="str">
        <f>IFERROR(IF(V$3&lt;60,V$20*(V$25*V$26*(-0.077*LN(Y12)+1.1737)+V$31),V$20*V$25*V$26*((-0.077*LN(Y12)+1.0798)+V$31)),"")</f>
        <v/>
      </c>
      <c r="AA12" s="829" t="str">
        <f>IFERROR(IF(V$3&lt;60,V$20*(V$25*V$26*0.0771*LN(Y12) -1.2737-V$30),V$20*V$25*V$26*((0.0524*LN(Y12)-1.0278)-V$30)),"")</f>
        <v/>
      </c>
      <c r="AB12" s="830" t="str">
        <f>IFERROR(IF(V$3&lt;60,V$20*(V$25*V$26*(-0.077*LN(Y12)+1.1737)+V$31),V$20*V$25*V$26*((-0.077*LN(Y12)+1.0798)+V$31)),"")</f>
        <v/>
      </c>
      <c r="AC12" s="831" t="str">
        <f>IFERROR(IF(V$3&lt;60,V$20*(V$25*V$26*(0.156*LN(Y12) -1.7618)-V$30),V$20*V$25*V$26*((0.2026*LN(Y12)-2.2638)-V$30)),"")</f>
        <v/>
      </c>
      <c r="AE12" s="811"/>
      <c r="AT12" s="812"/>
      <c r="AW12" s="811"/>
      <c r="BE12" s="812"/>
      <c r="BF12" s="811"/>
      <c r="BO12" s="812"/>
      <c r="BP12" s="811"/>
      <c r="CA12" s="812"/>
    </row>
    <row r="13" spans="2:85" ht="15.95" customHeight="1" thickBot="1" x14ac:dyDescent="0.3">
      <c r="B13" s="1554"/>
      <c r="C13" s="1555"/>
      <c r="D13" s="1555"/>
      <c r="E13" s="1555"/>
      <c r="F13" s="1556"/>
      <c r="G13" s="1565"/>
      <c r="H13" s="1566"/>
      <c r="K13" s="1456"/>
      <c r="L13" s="1457"/>
      <c r="M13" s="1457"/>
      <c r="N13" s="1457"/>
      <c r="O13" s="1458"/>
      <c r="P13" s="1467"/>
      <c r="Q13" s="1468"/>
      <c r="T13" s="832" t="s">
        <v>1064</v>
      </c>
      <c r="U13" s="833"/>
      <c r="V13" s="834">
        <v>10</v>
      </c>
      <c r="Y13" s="827">
        <v>50</v>
      </c>
      <c r="Z13" s="828" t="str">
        <f>IFERROR(IF(V$3&lt;60,V$20*(V$25*V$26*(-0.077*LN(Y13)+1.1737)+V$31),V$20*V$25*V$26*((-0.077*LN(Y13)+1.0798)+V$31)),"")</f>
        <v/>
      </c>
      <c r="AA13" s="829" t="str">
        <f>IFERROR(IF(V$3&lt;60,V$20*(V$25*V$26*0.0771*LN(Y13) -1.2737-V$30),V$20*V$25*V$26*((0.0524*LN(Y13)-1.0278)-V$30)),"")</f>
        <v/>
      </c>
      <c r="AB13" s="830" t="str">
        <f>IFERROR(IF(V$3&lt;60,V$20*(V$25*V$26*(-0.077*LN(Y13)+1.1737)+V$31),V$20*V$25*V$26*((-0.077*LN(Y13)+1.0798)+V$31)),"")</f>
        <v/>
      </c>
      <c r="AC13" s="831" t="str">
        <f>IFERROR(IF(V$3&lt;60,V$20*(V$25*V$26*(0.156*LN(Y13) -1.7618)-V$30),V$20*V$25*V$26*((0.2026*LN(Y13)-2.2638)-V$30)),"")</f>
        <v/>
      </c>
      <c r="AE13" s="811"/>
      <c r="AT13" s="812"/>
      <c r="AW13" s="811"/>
      <c r="BE13" s="812"/>
      <c r="BF13" s="811"/>
      <c r="BO13" s="812"/>
      <c r="BP13" s="811"/>
      <c r="CA13" s="812"/>
    </row>
    <row r="14" spans="2:85" ht="15.95" customHeight="1" x14ac:dyDescent="0.25">
      <c r="K14" s="1569" t="str">
        <f>IF(AND(P5="Yes",G11= "Yes", P8="Yes", P11="Yes"), "Tornado Load Design REQUIRED", "Tornado Load Design NOT required")</f>
        <v>Tornado Load Design NOT required</v>
      </c>
      <c r="L14" s="1570"/>
      <c r="M14" s="1570"/>
      <c r="N14" s="1570"/>
      <c r="O14" s="1570"/>
      <c r="P14" s="1570"/>
      <c r="Q14" s="1571"/>
      <c r="Y14" s="827">
        <v>100</v>
      </c>
      <c r="Z14" s="828" t="str">
        <f>IFERROR(IF(V$3&lt;60,V$20*(V$25*V$26*(-0.077*LN(Y14)+1.1737)+V$31),V$20*V$25*V$26*((-0.077*LN(Y14)+1.0798)+V$31)),"")</f>
        <v/>
      </c>
      <c r="AA14" s="829" t="str">
        <f>IFERROR(IF(V$3&lt;60,V$20*(V$25*V$26*0.0771*LN(Y14) -1.2737-V$30),V$20*V$25*V$26*((0.0524*LN(Y14)-1.0278)-V$30)),"")</f>
        <v/>
      </c>
      <c r="AB14" s="830" t="str">
        <f>IFERROR(IF(V$3&lt;60,V$20*(V$25*V$26*(-0.077*LN(Y14)+1.1737)+V$31),V$20*V$25*V$26*((-0.077*LN(Y14)+1.0798)+V$31)),"")</f>
        <v/>
      </c>
      <c r="AC14" s="831" t="str">
        <f>IFERROR(IF(V$3&lt;60,V$20*(V$25*V$26*(0.156*LN(Y14) -1.7618)-V$30),V$20*V$25*V$26*((0.2026*LN(Y14)-2.2638)-V$30)),"")</f>
        <v/>
      </c>
      <c r="AE14" s="811"/>
      <c r="AT14" s="812"/>
      <c r="AW14" s="811"/>
      <c r="BE14" s="812"/>
      <c r="BF14" s="811"/>
      <c r="BO14" s="812"/>
      <c r="BP14" s="811"/>
      <c r="CA14" s="812"/>
    </row>
    <row r="15" spans="2:85" ht="15.95" customHeight="1" thickBot="1" x14ac:dyDescent="0.3">
      <c r="K15" s="1572"/>
      <c r="L15" s="1573"/>
      <c r="M15" s="1573"/>
      <c r="N15" s="1573"/>
      <c r="O15" s="1573"/>
      <c r="P15" s="1573"/>
      <c r="Q15" s="1574"/>
      <c r="Y15" s="835">
        <v>200</v>
      </c>
      <c r="Z15" s="821" t="str">
        <f>IFERROR(IF(V$3&lt;60,V$20*(V$25*V$26*(-0.077*LN(Y15)+1.1737)+V$31),V$20*V$25*V$26*((-0.077*LN(Y15)+1.0798)+V$31)),"")</f>
        <v/>
      </c>
      <c r="AA15" s="822" t="str">
        <f>IFERROR(IF(V$3&lt;60,V$20*(V$25*V$26*0.0771*LN(Y15) -1.2737-V$30),V$20*V$25*V$26*((0.0524*LN(Y15)-1.0278)-V$30)),"")</f>
        <v/>
      </c>
      <c r="AB15" s="823" t="str">
        <f>IFERROR(IF(V$3&lt;60,V$20*(V$25*V$26*(-0.077*LN(Y15)+1.1737)+V$31),V$20*V$25*V$26*((-0.077*LN(Y15)+1.0798)+V$31)),"")</f>
        <v/>
      </c>
      <c r="AC15" s="824" t="str">
        <f>IFERROR(IF(V$3&lt;60,V$20*(V$25*V$26*(0.156*LN(Y15) -1.7618)-V$30),V$20*V$25*V$26*((0.2026*LN(Y15)-2.2638)-V$30)),"")</f>
        <v/>
      </c>
      <c r="AD15" s="812"/>
      <c r="AE15" s="811"/>
      <c r="AT15" s="812"/>
      <c r="AW15" s="811"/>
      <c r="BE15" s="812"/>
      <c r="BF15" s="811"/>
      <c r="BO15" s="812"/>
      <c r="BP15" s="811"/>
      <c r="CA15" s="812"/>
    </row>
    <row r="16" spans="2:85" ht="15.95" customHeight="1" thickBot="1" x14ac:dyDescent="0.3">
      <c r="B16" s="982" t="s">
        <v>1146</v>
      </c>
      <c r="C16" s="1557"/>
      <c r="D16" s="1557"/>
      <c r="E16" s="1557"/>
      <c r="F16" s="1557"/>
      <c r="G16" s="1557"/>
      <c r="H16" s="1558"/>
      <c r="T16" s="1469" t="s">
        <v>1078</v>
      </c>
      <c r="U16" s="1470"/>
      <c r="V16" s="1470"/>
      <c r="W16" s="1471"/>
      <c r="X16" s="836"/>
      <c r="AE16" s="811"/>
      <c r="AT16" s="812"/>
      <c r="AW16" s="811"/>
      <c r="BE16" s="812"/>
      <c r="BF16" s="811"/>
      <c r="BO16" s="812"/>
      <c r="BP16" s="811"/>
      <c r="CA16" s="812"/>
    </row>
    <row r="17" spans="2:84" ht="15.95" customHeight="1" x14ac:dyDescent="0.25">
      <c r="B17" s="984"/>
      <c r="C17" s="1559"/>
      <c r="D17" s="1559"/>
      <c r="E17" s="1559"/>
      <c r="F17" s="1559"/>
      <c r="G17" s="1559"/>
      <c r="H17" s="1560"/>
      <c r="T17" s="800" t="s">
        <v>1028</v>
      </c>
      <c r="U17" s="209" t="s">
        <v>1032</v>
      </c>
      <c r="V17" s="493">
        <f>V4*V5</f>
        <v>0</v>
      </c>
      <c r="W17" s="837"/>
      <c r="Z17" s="1494" t="s">
        <v>1091</v>
      </c>
      <c r="AA17" s="1498"/>
      <c r="AB17" s="1498"/>
      <c r="AC17" s="1499"/>
      <c r="AE17" s="811"/>
      <c r="AT17" s="812"/>
      <c r="AW17" s="811"/>
      <c r="BE17" s="812"/>
      <c r="BF17" s="811"/>
      <c r="BO17" s="812"/>
      <c r="BP17" s="811"/>
      <c r="CA17" s="812"/>
    </row>
    <row r="18" spans="2:84" ht="15.95" customHeight="1" thickBot="1" x14ac:dyDescent="0.3">
      <c r="B18" s="1516" t="s">
        <v>1043</v>
      </c>
      <c r="C18" s="1517"/>
      <c r="D18" s="1517"/>
      <c r="E18" s="1517"/>
      <c r="F18" s="1517"/>
      <c r="G18" s="1517"/>
      <c r="H18" s="1518"/>
      <c r="T18" s="800" t="s">
        <v>1030</v>
      </c>
      <c r="U18" s="209" t="s">
        <v>1031</v>
      </c>
      <c r="V18" s="209">
        <f>G9</f>
        <v>0</v>
      </c>
      <c r="W18" s="837"/>
      <c r="Z18" s="1506" t="s">
        <v>441</v>
      </c>
      <c r="AA18" s="1507"/>
      <c r="AB18" s="1507" t="s">
        <v>442</v>
      </c>
      <c r="AC18" s="1508"/>
      <c r="AE18" s="811"/>
      <c r="AT18" s="812"/>
      <c r="AW18" s="811"/>
      <c r="BE18" s="812"/>
      <c r="BF18" s="811"/>
      <c r="BO18" s="812"/>
      <c r="BP18" s="811"/>
      <c r="CA18" s="812"/>
    </row>
    <row r="19" spans="2:84" ht="15.95" customHeight="1" thickBot="1" x14ac:dyDescent="0.3">
      <c r="B19" s="1519"/>
      <c r="C19" s="1520"/>
      <c r="D19" s="1520"/>
      <c r="E19" s="1520"/>
      <c r="F19" s="1520"/>
      <c r="G19" s="1520"/>
      <c r="H19" s="1521"/>
      <c r="T19" s="800" t="s">
        <v>1033</v>
      </c>
      <c r="U19" s="209" t="s">
        <v>1034</v>
      </c>
      <c r="V19" s="838" t="e">
        <f>IF(V3&gt;200,((2820-V3)/2620)^2,1)</f>
        <v>#VALUE!</v>
      </c>
      <c r="W19" s="837"/>
      <c r="Y19" s="826">
        <v>10</v>
      </c>
      <c r="Z19" s="828" t="e">
        <f t="shared" ref="Z19:AC23" si="1">Z11*0.6</f>
        <v>#VALUE!</v>
      </c>
      <c r="AA19" s="829" t="e">
        <f t="shared" si="1"/>
        <v>#VALUE!</v>
      </c>
      <c r="AB19" s="830" t="e">
        <f t="shared" si="1"/>
        <v>#VALUE!</v>
      </c>
      <c r="AC19" s="831" t="e">
        <f>AC11*0.6</f>
        <v>#VALUE!</v>
      </c>
      <c r="AE19" s="811"/>
      <c r="AT19" s="812"/>
      <c r="AW19" s="839"/>
      <c r="AX19" s="840"/>
      <c r="AY19" s="840"/>
      <c r="AZ19" s="840"/>
      <c r="BA19" s="840"/>
      <c r="BB19" s="840"/>
      <c r="BC19" s="840"/>
      <c r="BD19" s="840"/>
      <c r="BE19" s="841"/>
      <c r="BF19" s="811"/>
      <c r="BO19" s="812"/>
      <c r="BP19" s="811"/>
      <c r="CA19" s="812"/>
    </row>
    <row r="20" spans="2:84" ht="15.95" customHeight="1" thickTop="1" x14ac:dyDescent="0.25">
      <c r="B20" s="1164" t="s">
        <v>1741</v>
      </c>
      <c r="C20" s="1522"/>
      <c r="D20" s="1522"/>
      <c r="E20" s="1522"/>
      <c r="F20" s="1522"/>
      <c r="G20" s="1522"/>
      <c r="H20" s="1523"/>
      <c r="T20" s="800" t="s">
        <v>1036</v>
      </c>
      <c r="U20" s="209" t="s">
        <v>1035</v>
      </c>
      <c r="V20" s="830" t="e">
        <f>Y3</f>
        <v>#VALUE!</v>
      </c>
      <c r="W20" s="837" t="s">
        <v>1048</v>
      </c>
      <c r="Y20" s="827">
        <v>20</v>
      </c>
      <c r="Z20" s="828" t="e">
        <f t="shared" si="1"/>
        <v>#VALUE!</v>
      </c>
      <c r="AA20" s="829" t="e">
        <f t="shared" si="1"/>
        <v>#VALUE!</v>
      </c>
      <c r="AB20" s="830" t="e">
        <f t="shared" si="1"/>
        <v>#VALUE!</v>
      </c>
      <c r="AC20" s="831" t="e">
        <f t="shared" si="1"/>
        <v>#VALUE!</v>
      </c>
      <c r="AE20" s="811"/>
      <c r="AT20" s="812"/>
      <c r="AW20" s="1478" t="s">
        <v>1060</v>
      </c>
      <c r="AX20" s="1479"/>
      <c r="AY20" s="1479"/>
      <c r="AZ20" s="1479"/>
      <c r="BA20" s="1479"/>
      <c r="BB20" s="1479"/>
      <c r="BC20" s="1479"/>
      <c r="BD20" s="1479"/>
      <c r="BE20" s="1480"/>
      <c r="BF20" s="811"/>
      <c r="BO20" s="812"/>
      <c r="BP20" s="811"/>
      <c r="CA20" s="812"/>
    </row>
    <row r="21" spans="2:84" ht="15.95" customHeight="1" thickBot="1" x14ac:dyDescent="0.3">
      <c r="B21" s="1166"/>
      <c r="C21" s="1524"/>
      <c r="D21" s="1524"/>
      <c r="E21" s="1524"/>
      <c r="F21" s="1524"/>
      <c r="G21" s="1524"/>
      <c r="H21" s="1525"/>
      <c r="T21" s="800" t="s">
        <v>1071</v>
      </c>
      <c r="V21" s="830"/>
      <c r="W21" s="837"/>
      <c r="Y21" s="827">
        <v>50</v>
      </c>
      <c r="Z21" s="828" t="e">
        <f t="shared" si="1"/>
        <v>#VALUE!</v>
      </c>
      <c r="AA21" s="829" t="e">
        <f t="shared" si="1"/>
        <v>#VALUE!</v>
      </c>
      <c r="AB21" s="830" t="e">
        <f t="shared" si="1"/>
        <v>#VALUE!</v>
      </c>
      <c r="AC21" s="831" t="e">
        <f t="shared" si="1"/>
        <v>#VALUE!</v>
      </c>
      <c r="AE21" s="811"/>
      <c r="AT21" s="812"/>
      <c r="AW21" s="1484"/>
      <c r="AX21" s="1485"/>
      <c r="AY21" s="1485"/>
      <c r="AZ21" s="1485"/>
      <c r="BA21" s="1485"/>
      <c r="BB21" s="1485"/>
      <c r="BC21" s="1485"/>
      <c r="BD21" s="1485"/>
      <c r="BE21" s="1486"/>
      <c r="BF21" s="811"/>
      <c r="BO21" s="812"/>
      <c r="BP21" s="811"/>
      <c r="CA21" s="812"/>
    </row>
    <row r="22" spans="2:84" ht="15.95" customHeight="1" x14ac:dyDescent="0.25">
      <c r="T22" s="800" t="s">
        <v>1070</v>
      </c>
      <c r="U22" s="209" t="s">
        <v>1068</v>
      </c>
      <c r="V22" s="830"/>
      <c r="W22" s="837"/>
      <c r="Y22" s="827">
        <v>100</v>
      </c>
      <c r="Z22" s="828" t="e">
        <f t="shared" si="1"/>
        <v>#VALUE!</v>
      </c>
      <c r="AA22" s="829" t="e">
        <f t="shared" si="1"/>
        <v>#VALUE!</v>
      </c>
      <c r="AB22" s="830" t="e">
        <f t="shared" si="1"/>
        <v>#VALUE!</v>
      </c>
      <c r="AC22" s="831" t="e">
        <f t="shared" si="1"/>
        <v>#VALUE!</v>
      </c>
      <c r="AE22" s="811"/>
      <c r="AT22" s="812"/>
      <c r="AW22" s="811"/>
      <c r="BE22" s="812"/>
      <c r="BF22" s="811"/>
      <c r="BO22" s="812"/>
      <c r="BP22" s="811"/>
      <c r="CA22" s="812"/>
    </row>
    <row r="23" spans="2:84" ht="15.95" customHeight="1" thickBot="1" x14ac:dyDescent="0.3">
      <c r="T23" s="800" t="s">
        <v>1044</v>
      </c>
      <c r="U23" s="209" t="s">
        <v>1045</v>
      </c>
      <c r="V23" s="493">
        <f>IF(G5&gt;1000001,4000000,IF(G5&gt;250001,1000000,IF(G5&gt;100001,250000,IF(G5&gt;40001,100000,IF(G5&gt;10001,40000,IF(G5&gt;2001,10000,2000))))))</f>
        <v>2000</v>
      </c>
      <c r="W23" s="837"/>
      <c r="Y23" s="835">
        <v>200</v>
      </c>
      <c r="Z23" s="821" t="e">
        <f t="shared" si="1"/>
        <v>#VALUE!</v>
      </c>
      <c r="AA23" s="822" t="e">
        <f t="shared" si="1"/>
        <v>#VALUE!</v>
      </c>
      <c r="AB23" s="823" t="e">
        <f t="shared" si="1"/>
        <v>#VALUE!</v>
      </c>
      <c r="AC23" s="824" t="e">
        <f t="shared" si="1"/>
        <v>#VALUE!</v>
      </c>
      <c r="AD23" s="812"/>
      <c r="AE23" s="811"/>
      <c r="AT23" s="812"/>
      <c r="AW23" s="811"/>
      <c r="BE23" s="812"/>
      <c r="BF23" s="811"/>
      <c r="BO23" s="812"/>
      <c r="BP23" s="811"/>
      <c r="CA23" s="812"/>
    </row>
    <row r="24" spans="2:84" ht="15.95" customHeight="1" x14ac:dyDescent="0.25">
      <c r="T24" s="800" t="s">
        <v>1046</v>
      </c>
      <c r="U24" s="209" t="s">
        <v>1047</v>
      </c>
      <c r="V24" s="830" t="str">
        <f>Z4</f>
        <v/>
      </c>
      <c r="W24" s="837"/>
      <c r="Z24" s="842"/>
      <c r="AA24" s="842"/>
      <c r="AB24" s="842"/>
      <c r="AC24" s="842"/>
      <c r="AE24" s="811"/>
      <c r="AT24" s="812"/>
      <c r="AW24" s="811"/>
      <c r="BE24" s="812"/>
      <c r="BF24" s="811"/>
      <c r="BO24" s="812"/>
      <c r="BP24" s="811"/>
      <c r="CA24" s="812"/>
    </row>
    <row r="25" spans="2:84" ht="15.95" customHeight="1" thickBot="1" x14ac:dyDescent="0.3">
      <c r="B25" s="1528" t="s">
        <v>1096</v>
      </c>
      <c r="C25" s="1529"/>
      <c r="D25" s="1529"/>
      <c r="E25" s="1529"/>
      <c r="F25" s="1529"/>
      <c r="G25" s="1529"/>
      <c r="H25" s="1529"/>
      <c r="I25" s="1529"/>
      <c r="J25" s="1529"/>
      <c r="K25" s="1529"/>
      <c r="L25" s="1529"/>
      <c r="M25" s="1529"/>
      <c r="N25" s="1529"/>
      <c r="O25" s="1529"/>
      <c r="P25" s="1529"/>
      <c r="Q25" s="1529"/>
      <c r="R25" s="1530"/>
      <c r="T25" s="800" t="s">
        <v>1051</v>
      </c>
      <c r="U25" s="209" t="s">
        <v>1049</v>
      </c>
      <c r="V25" s="209">
        <v>1</v>
      </c>
      <c r="W25" s="837"/>
      <c r="Y25" s="842"/>
      <c r="Z25" s="842"/>
      <c r="AA25" s="842"/>
      <c r="AB25" s="842"/>
      <c r="AC25" s="842"/>
      <c r="AE25" s="811"/>
      <c r="AT25" s="812"/>
      <c r="AW25" s="811"/>
      <c r="BE25" s="812"/>
      <c r="BF25" s="839"/>
      <c r="BG25" s="840"/>
      <c r="BH25" s="840"/>
      <c r="BI25" s="840"/>
      <c r="BJ25" s="840"/>
      <c r="BK25" s="840"/>
      <c r="BL25" s="840"/>
      <c r="BM25" s="840"/>
      <c r="BN25" s="840"/>
      <c r="BO25" s="841"/>
      <c r="BP25" s="811"/>
      <c r="CA25" s="812"/>
    </row>
    <row r="26" spans="2:84" ht="15.95" customHeight="1" thickTop="1" x14ac:dyDescent="0.25">
      <c r="B26" s="1531"/>
      <c r="C26" s="1532"/>
      <c r="D26" s="1532"/>
      <c r="E26" s="1532"/>
      <c r="F26" s="1532"/>
      <c r="G26" s="1532"/>
      <c r="H26" s="1532"/>
      <c r="I26" s="1532"/>
      <c r="J26" s="1532"/>
      <c r="K26" s="1532"/>
      <c r="L26" s="1532"/>
      <c r="M26" s="1532"/>
      <c r="N26" s="1532"/>
      <c r="O26" s="1532"/>
      <c r="P26" s="1532"/>
      <c r="Q26" s="1532"/>
      <c r="R26" s="1533"/>
      <c r="T26" s="800" t="s">
        <v>1053</v>
      </c>
      <c r="U26" s="209" t="s">
        <v>1050</v>
      </c>
      <c r="V26" s="209">
        <v>1</v>
      </c>
      <c r="W26" s="837"/>
      <c r="Y26" s="1487" t="s">
        <v>1092</v>
      </c>
      <c r="Z26" s="1487"/>
      <c r="AA26" s="1487"/>
      <c r="AB26" s="1487"/>
      <c r="AC26" s="1487"/>
      <c r="AE26" s="811"/>
      <c r="AT26" s="812"/>
      <c r="AW26" s="811"/>
      <c r="BE26" s="812"/>
      <c r="BF26" s="1478" t="s">
        <v>1072</v>
      </c>
      <c r="BG26" s="1479"/>
      <c r="BH26" s="1479"/>
      <c r="BI26" s="1479"/>
      <c r="BJ26" s="1479"/>
      <c r="BK26" s="1479"/>
      <c r="BL26" s="1479"/>
      <c r="BM26" s="1479"/>
      <c r="BN26" s="1479"/>
      <c r="BO26" s="1480"/>
      <c r="BP26" s="811"/>
      <c r="CA26" s="812"/>
    </row>
    <row r="27" spans="2:84" ht="15.95" customHeight="1" x14ac:dyDescent="0.25">
      <c r="B27" s="1509" t="s">
        <v>379</v>
      </c>
      <c r="C27" s="1509"/>
      <c r="D27" s="1509"/>
      <c r="E27" s="1510">
        <f>'Project Mull Review'!E10</f>
        <v>0</v>
      </c>
      <c r="F27" s="1511"/>
      <c r="G27" s="1511"/>
      <c r="H27" s="1512"/>
      <c r="J27" s="957" t="s">
        <v>1147</v>
      </c>
      <c r="K27" s="958"/>
      <c r="L27" s="958"/>
      <c r="M27" s="958"/>
      <c r="N27" s="958"/>
      <c r="O27" s="958"/>
      <c r="P27" s="958"/>
      <c r="Q27" s="958"/>
      <c r="R27" s="959"/>
      <c r="T27" s="800"/>
      <c r="V27" s="843" t="s">
        <v>441</v>
      </c>
      <c r="W27" s="844" t="s">
        <v>442</v>
      </c>
      <c r="Y27" s="1487"/>
      <c r="Z27" s="1487"/>
      <c r="AA27" s="1487"/>
      <c r="AB27" s="1487"/>
      <c r="AC27" s="1487"/>
      <c r="AE27" s="811"/>
      <c r="AT27" s="812"/>
      <c r="AW27" s="811"/>
      <c r="BE27" s="812"/>
      <c r="BF27" s="1481"/>
      <c r="BG27" s="1482"/>
      <c r="BH27" s="1482"/>
      <c r="BI27" s="1482"/>
      <c r="BJ27" s="1482"/>
      <c r="BK27" s="1482"/>
      <c r="BL27" s="1482"/>
      <c r="BM27" s="1482"/>
      <c r="BN27" s="1482"/>
      <c r="BO27" s="1483"/>
      <c r="BP27" s="811"/>
      <c r="CA27" s="812"/>
    </row>
    <row r="28" spans="2:84" ht="15.95" customHeight="1" x14ac:dyDescent="0.25">
      <c r="B28" s="1117" t="s">
        <v>570</v>
      </c>
      <c r="C28" s="1117"/>
      <c r="D28" s="1117"/>
      <c r="E28" s="1148" t="str">
        <f>'Project Mull Review'!E11</f>
        <v/>
      </c>
      <c r="F28" s="1149"/>
      <c r="G28" s="1150"/>
      <c r="H28" s="536" t="str">
        <f>'Project Mull Review'!H11</f>
        <v/>
      </c>
      <c r="J28" s="946" t="s">
        <v>572</v>
      </c>
      <c r="K28" s="891" t="s">
        <v>592</v>
      </c>
      <c r="L28" s="892"/>
      <c r="M28" s="892"/>
      <c r="N28" s="893"/>
      <c r="O28" s="1133" t="s">
        <v>584</v>
      </c>
      <c r="P28" s="1134"/>
      <c r="Q28" s="1134"/>
      <c r="R28" s="1135"/>
      <c r="T28" s="845" t="s">
        <v>1075</v>
      </c>
      <c r="U28" s="222" t="s">
        <v>1057</v>
      </c>
      <c r="V28" s="819" t="e">
        <f>IF($V$3&lt;60,Z6,AB6)</f>
        <v>#VALUE!</v>
      </c>
      <c r="W28" s="820" t="e">
        <f>IF($V$3&lt;60,AA6,AC6)</f>
        <v>#VALUE!</v>
      </c>
      <c r="X28" s="830"/>
      <c r="AE28" s="811"/>
      <c r="AT28" s="812"/>
      <c r="AW28" s="811"/>
      <c r="BE28" s="812"/>
      <c r="BF28" s="811"/>
      <c r="BO28" s="812"/>
      <c r="BP28" s="811"/>
      <c r="CA28" s="812"/>
    </row>
    <row r="29" spans="2:84" ht="15.95" customHeight="1" x14ac:dyDescent="0.25">
      <c r="B29" s="972" t="s">
        <v>343</v>
      </c>
      <c r="C29" s="972"/>
      <c r="D29" s="972"/>
      <c r="E29" s="1513">
        <f>'Project Mull Review'!E12</f>
        <v>0</v>
      </c>
      <c r="F29" s="1514"/>
      <c r="G29" s="1514"/>
      <c r="H29" s="1515"/>
      <c r="J29" s="947"/>
      <c r="K29" s="951" t="s">
        <v>441</v>
      </c>
      <c r="L29" s="952"/>
      <c r="M29" s="951" t="s">
        <v>442</v>
      </c>
      <c r="N29" s="952"/>
      <c r="O29" s="951" t="s">
        <v>441</v>
      </c>
      <c r="P29" s="952"/>
      <c r="Q29" s="951" t="s">
        <v>442</v>
      </c>
      <c r="R29" s="952"/>
      <c r="T29" s="846"/>
      <c r="U29" s="227" t="s">
        <v>1056</v>
      </c>
      <c r="V29" s="847" t="e">
        <f>IF($V$3&lt;60,Z7,AB7)</f>
        <v>#VALUE!</v>
      </c>
      <c r="W29" s="848" t="e">
        <f>IF($V$3&lt;60,AA7,AC7)</f>
        <v>#VALUE!</v>
      </c>
      <c r="X29" s="830"/>
      <c r="Z29" s="209" t="s">
        <v>368</v>
      </c>
      <c r="AE29" s="811"/>
      <c r="AT29" s="812"/>
      <c r="AW29" s="811"/>
      <c r="BE29" s="812"/>
      <c r="BF29" s="811"/>
      <c r="BO29" s="812"/>
      <c r="BP29" s="811"/>
      <c r="CA29" s="812"/>
    </row>
    <row r="30" spans="2:84" ht="15.95" customHeight="1" x14ac:dyDescent="0.25">
      <c r="B30" s="1159" t="s">
        <v>593</v>
      </c>
      <c r="C30" s="1159"/>
      <c r="D30" s="1159"/>
      <c r="E30" s="1148">
        <f>'Project Mull Review'!E13</f>
        <v>0</v>
      </c>
      <c r="F30" s="1149"/>
      <c r="G30" s="1149"/>
      <c r="H30" s="1150"/>
      <c r="J30" s="537">
        <v>10</v>
      </c>
      <c r="K30" s="894" t="str">
        <f>IFERROR(IF($E$58="ASCE 7-05","",CONCATENATE("+",FIXED(Z11,1)," / ",FIXED(AA11,1))),"")</f>
        <v/>
      </c>
      <c r="L30" s="895"/>
      <c r="M30" s="894" t="str">
        <f>IFERROR(IF($E$58="ASCE 7-05","",CONCATENATE("+",FIXED(AB11,1)," / ",FIXED(AC11,1))),"")</f>
        <v/>
      </c>
      <c r="N30" s="895"/>
      <c r="O30" s="962" t="str">
        <f>IFERROR(CONCATENATE("+",FIXED(Z19,1)," / ",FIXED(AA19,1)),"")</f>
        <v/>
      </c>
      <c r="P30" s="963"/>
      <c r="Q30" s="962" t="str">
        <f>IFERROR(CONCATENATE("+",FIXED(AB19,1)," / ",FIXED(AC19,1)),"")</f>
        <v/>
      </c>
      <c r="R30" s="963"/>
      <c r="T30" s="800" t="s">
        <v>1052</v>
      </c>
      <c r="U30" s="209" t="s">
        <v>1054</v>
      </c>
      <c r="V30" s="209">
        <v>0.55000000000000004</v>
      </c>
      <c r="W30" s="837"/>
      <c r="Z30" s="209" t="s">
        <v>369</v>
      </c>
      <c r="AE30" s="811"/>
      <c r="AT30" s="812"/>
      <c r="AW30" s="811"/>
      <c r="BE30" s="812"/>
      <c r="BF30" s="811"/>
      <c r="BO30" s="812"/>
      <c r="BP30" s="811"/>
      <c r="CA30" s="812"/>
    </row>
    <row r="31" spans="2:84" ht="15.95" customHeight="1" thickBot="1" x14ac:dyDescent="0.3">
      <c r="B31" s="972" t="s">
        <v>1148</v>
      </c>
      <c r="C31" s="972"/>
      <c r="D31" s="972"/>
      <c r="E31" s="850">
        <f>G9</f>
        <v>0</v>
      </c>
      <c r="F31" s="1142" t="str">
        <f>'Project Mull Review'!F14</f>
        <v>(Ult.)</v>
      </c>
      <c r="G31" s="1143"/>
      <c r="H31" s="851" t="str">
        <f>_xlfn.CONCAT(ROUND(G9*SQRT(0.6),0),"  (ASD)")</f>
        <v>0  (ASD)</v>
      </c>
      <c r="J31" s="537">
        <v>20</v>
      </c>
      <c r="K31" s="894" t="str">
        <f>IFERROR(IF($E$58="ASCE 7-05","",CONCATENATE("+",FIXED(Z12,1)," / ",FIXED(AA12,1))),"")</f>
        <v/>
      </c>
      <c r="L31" s="895"/>
      <c r="M31" s="894" t="str">
        <f>IFERROR(IF($E$58="ASCE 7-05","",CONCATENATE("+",FIXED(AB12,1)," / ",FIXED(AC12,1))),"")</f>
        <v/>
      </c>
      <c r="N31" s="895"/>
      <c r="O31" s="962" t="str">
        <f>IFERROR(CONCATENATE("+",FIXED(Z20,1)," / ",FIXED(AA20,1)),"")</f>
        <v/>
      </c>
      <c r="P31" s="963"/>
      <c r="Q31" s="962" t="str">
        <f>IFERROR(CONCATENATE("+",FIXED(AB20,1)," / ",FIXED(AC20,1)),"")</f>
        <v/>
      </c>
      <c r="R31" s="963"/>
      <c r="T31" s="832" t="s">
        <v>1052</v>
      </c>
      <c r="U31" s="833" t="s">
        <v>1055</v>
      </c>
      <c r="V31" s="833">
        <v>-0.18</v>
      </c>
      <c r="W31" s="849"/>
      <c r="AE31" s="811"/>
      <c r="AT31" s="812"/>
      <c r="AW31" s="811"/>
      <c r="BE31" s="812"/>
      <c r="BF31" s="811"/>
      <c r="BO31" s="812"/>
      <c r="BP31" s="811"/>
      <c r="CA31" s="812"/>
    </row>
    <row r="32" spans="2:84" ht="15.95" customHeight="1" thickTop="1" x14ac:dyDescent="0.25">
      <c r="B32" s="1159" t="s">
        <v>137</v>
      </c>
      <c r="C32" s="1159"/>
      <c r="D32" s="1159"/>
      <c r="E32" s="1148">
        <f>'Project Mull Review'!E15</f>
        <v>0</v>
      </c>
      <c r="F32" s="1149"/>
      <c r="G32" s="1149"/>
      <c r="H32" s="1150"/>
      <c r="J32" s="537">
        <v>50</v>
      </c>
      <c r="K32" s="894" t="str">
        <f>IFERROR(IF($E$58="ASCE 7-05","",CONCATENATE("+",FIXED(Z13,1)," / ",FIXED(AA13,1))),"")</f>
        <v/>
      </c>
      <c r="L32" s="895"/>
      <c r="M32" s="894" t="str">
        <f>IFERROR(IF($E$58="ASCE 7-05","",CONCATENATE("+",FIXED(AB13,1)," / ",FIXED(AC13,1))),"")</f>
        <v/>
      </c>
      <c r="N32" s="895"/>
      <c r="O32" s="962" t="str">
        <f>IFERROR(CONCATENATE("+",FIXED(Z21,1)," / ",FIXED(AA21,1)),"")</f>
        <v/>
      </c>
      <c r="P32" s="963"/>
      <c r="Q32" s="962" t="str">
        <f>IFERROR(CONCATENATE("+",FIXED(AB21,1)," / ",FIXED(AC21,1)),"")</f>
        <v/>
      </c>
      <c r="R32" s="963"/>
      <c r="AE32" s="811"/>
      <c r="AT32" s="812"/>
      <c r="AW32" s="811"/>
      <c r="BE32" s="812"/>
      <c r="BF32" s="811"/>
      <c r="BO32" s="812"/>
      <c r="BP32" s="1478" t="s">
        <v>1059</v>
      </c>
      <c r="BQ32" s="1479"/>
      <c r="BR32" s="1479"/>
      <c r="BS32" s="1479"/>
      <c r="BT32" s="1479"/>
      <c r="BU32" s="1479"/>
      <c r="BV32" s="1479"/>
      <c r="BW32" s="1479"/>
      <c r="BX32" s="1479"/>
      <c r="BY32" s="1479"/>
      <c r="BZ32" s="1479"/>
      <c r="CA32" s="1479"/>
      <c r="CB32" s="1479"/>
      <c r="CC32" s="1479"/>
      <c r="CD32" s="1479"/>
      <c r="CE32" s="1479"/>
      <c r="CF32" s="1480"/>
    </row>
    <row r="33" spans="2:84" ht="15.95" customHeight="1" thickBot="1" x14ac:dyDescent="0.3">
      <c r="B33" s="972" t="s">
        <v>138</v>
      </c>
      <c r="C33" s="972"/>
      <c r="D33" s="972"/>
      <c r="E33" s="1513">
        <f>'Project Mull Review'!E16</f>
        <v>1</v>
      </c>
      <c r="F33" s="1514"/>
      <c r="G33" s="1514"/>
      <c r="H33" s="1515"/>
      <c r="J33" s="537">
        <v>100</v>
      </c>
      <c r="K33" s="894" t="str">
        <f>IFERROR(IF($E$58="ASCE 7-05","",CONCATENATE("+",FIXED(Z14,1)," / ",FIXED(AA14,1))),"")</f>
        <v/>
      </c>
      <c r="L33" s="895"/>
      <c r="M33" s="894" t="str">
        <f>IFERROR(IF($E$58="ASCE 7-05","",CONCATENATE("+",FIXED(AB14,1)," / ",FIXED(AC14,1))),"")</f>
        <v/>
      </c>
      <c r="N33" s="895"/>
      <c r="O33" s="962" t="str">
        <f>IFERROR(CONCATENATE("+",FIXED(Z22,1)," / ",FIXED(AA22,1)),"")</f>
        <v/>
      </c>
      <c r="P33" s="963"/>
      <c r="Q33" s="962" t="str">
        <f>IFERROR(CONCATENATE("+",FIXED(AB22,1)," / ",FIXED(AC22,1)),"")</f>
        <v/>
      </c>
      <c r="R33" s="963"/>
      <c r="AE33" s="811"/>
      <c r="AN33" s="840"/>
      <c r="AO33" s="840"/>
      <c r="AP33" s="840"/>
      <c r="AQ33" s="840"/>
      <c r="AR33" s="840"/>
      <c r="AS33" s="840"/>
      <c r="AT33" s="841"/>
      <c r="AW33" s="811"/>
      <c r="BE33" s="812"/>
      <c r="BF33" s="811"/>
      <c r="BO33" s="812"/>
      <c r="BP33" s="1484"/>
      <c r="BQ33" s="1485"/>
      <c r="BR33" s="1485"/>
      <c r="BS33" s="1485"/>
      <c r="BT33" s="1485"/>
      <c r="BU33" s="1485"/>
      <c r="BV33" s="1485"/>
      <c r="BW33" s="1485"/>
      <c r="BX33" s="1485"/>
      <c r="BY33" s="1485"/>
      <c r="BZ33" s="1485"/>
      <c r="CA33" s="1485"/>
      <c r="CB33" s="1485"/>
      <c r="CC33" s="1485"/>
      <c r="CD33" s="1485"/>
      <c r="CE33" s="1485"/>
      <c r="CF33" s="1486"/>
    </row>
    <row r="34" spans="2:84" ht="15.95" customHeight="1" thickTop="1" x14ac:dyDescent="0.25">
      <c r="B34" s="1159" t="s">
        <v>620</v>
      </c>
      <c r="C34" s="1159"/>
      <c r="D34" s="1159"/>
      <c r="E34" s="1526">
        <f>'Project Mull Review'!E18</f>
        <v>0</v>
      </c>
      <c r="F34" s="1527"/>
      <c r="G34" s="852" t="s">
        <v>621</v>
      </c>
      <c r="H34" s="853" t="str">
        <f>'Project Mull Review'!H18</f>
        <v/>
      </c>
      <c r="I34" s="226"/>
      <c r="J34" s="537">
        <v>200</v>
      </c>
      <c r="K34" s="894" t="str">
        <f>IFERROR(IF($E$58="ASCE 7-05","",CONCATENATE("+",FIXED(Z15,1)," / ",FIXED(AA15,1))),"")</f>
        <v/>
      </c>
      <c r="L34" s="895"/>
      <c r="M34" s="894" t="str">
        <f>IFERROR(IF($E$58="ASCE 7-05","",CONCATENATE("+",FIXED(AB15,1)," / ",FIXED(AC15,1))),"")</f>
        <v/>
      </c>
      <c r="N34" s="895"/>
      <c r="O34" s="962" t="str">
        <f>IFERROR(CONCATENATE("+",FIXED(Z23,1)," / ",FIXED(AA23,1)),"")</f>
        <v/>
      </c>
      <c r="P34" s="963"/>
      <c r="Q34" s="962" t="str">
        <f>IFERROR(CONCATENATE("+",FIXED(AB23,1)," / ",FIXED(AC23,1)),"")</f>
        <v/>
      </c>
      <c r="R34" s="963"/>
      <c r="AE34" s="1420" t="s">
        <v>1754</v>
      </c>
      <c r="AF34" s="1421"/>
      <c r="AG34" s="1421"/>
      <c r="AH34" s="1421"/>
      <c r="AI34" s="1421"/>
      <c r="AJ34" s="1424">
        <f>V17</f>
        <v>0</v>
      </c>
      <c r="AK34" s="1425"/>
      <c r="AL34" s="1428" t="s">
        <v>1755</v>
      </c>
      <c r="AM34" s="1429"/>
      <c r="AW34" s="811"/>
      <c r="BE34" s="812"/>
      <c r="BF34" s="811"/>
      <c r="BO34" s="812"/>
      <c r="BP34" s="811"/>
      <c r="CF34" s="812"/>
    </row>
    <row r="35" spans="2:84" ht="15.95" customHeight="1" thickBot="1" x14ac:dyDescent="0.3">
      <c r="AE35" s="1422"/>
      <c r="AF35" s="1423"/>
      <c r="AG35" s="1423"/>
      <c r="AH35" s="1423"/>
      <c r="AI35" s="1423"/>
      <c r="AJ35" s="1426"/>
      <c r="AK35" s="1427"/>
      <c r="AL35" s="1430"/>
      <c r="AM35" s="1431"/>
      <c r="AW35" s="811"/>
      <c r="BE35" s="812"/>
      <c r="BF35" s="811"/>
      <c r="BO35" s="812"/>
      <c r="BP35" s="811"/>
      <c r="CF35" s="812"/>
    </row>
    <row r="36" spans="2:84" ht="15.95" customHeight="1" thickTop="1" x14ac:dyDescent="0.25">
      <c r="AE36" s="1488" t="s">
        <v>1144</v>
      </c>
      <c r="AF36" s="1489"/>
      <c r="AG36" s="1489"/>
      <c r="AH36" s="1489"/>
      <c r="AI36" s="1489"/>
      <c r="AJ36" s="1489"/>
      <c r="AK36" s="1489"/>
      <c r="AL36" s="1489"/>
      <c r="AM36" s="1490"/>
      <c r="AW36" s="811"/>
      <c r="BE36" s="812"/>
      <c r="BF36" s="811"/>
      <c r="BO36" s="812"/>
      <c r="BP36" s="811"/>
      <c r="CF36" s="812"/>
    </row>
    <row r="37" spans="2:84" ht="15.95" customHeight="1" thickBot="1" x14ac:dyDescent="0.3">
      <c r="AE37" s="1491"/>
      <c r="AF37" s="1492"/>
      <c r="AG37" s="1492"/>
      <c r="AH37" s="1492"/>
      <c r="AI37" s="1492"/>
      <c r="AJ37" s="1492"/>
      <c r="AK37" s="1492"/>
      <c r="AL37" s="1492"/>
      <c r="AM37" s="1493"/>
      <c r="AW37" s="811"/>
      <c r="BE37" s="812"/>
      <c r="BF37" s="811"/>
      <c r="BO37" s="812"/>
      <c r="BP37" s="811"/>
      <c r="CF37" s="812"/>
    </row>
    <row r="38" spans="2:84" ht="15.95" customHeight="1" thickTop="1" x14ac:dyDescent="0.25">
      <c r="AE38" s="811"/>
      <c r="AM38" s="812"/>
      <c r="AW38" s="811"/>
      <c r="BE38" s="812"/>
      <c r="BF38" s="811"/>
      <c r="BO38" s="812"/>
      <c r="BP38" s="811"/>
      <c r="CF38" s="812"/>
    </row>
    <row r="39" spans="2:84" ht="15.95" customHeight="1" x14ac:dyDescent="0.25">
      <c r="AE39" s="811"/>
      <c r="AM39" s="812"/>
      <c r="AW39" s="811"/>
      <c r="BE39" s="812"/>
      <c r="BF39" s="811"/>
      <c r="BO39" s="812"/>
      <c r="BP39" s="811"/>
      <c r="CF39" s="812"/>
    </row>
    <row r="40" spans="2:84" ht="15.95" customHeight="1" x14ac:dyDescent="0.25">
      <c r="AE40" s="811"/>
      <c r="AM40" s="812"/>
      <c r="AW40" s="811"/>
      <c r="BE40" s="812"/>
      <c r="BF40" s="811"/>
      <c r="BO40" s="812"/>
      <c r="BP40" s="811"/>
      <c r="CF40" s="812"/>
    </row>
    <row r="41" spans="2:84" ht="15.95" customHeight="1" thickBot="1" x14ac:dyDescent="0.3">
      <c r="AE41" s="811"/>
      <c r="AM41" s="812"/>
      <c r="AW41" s="839"/>
      <c r="AX41" s="840"/>
      <c r="AY41" s="840"/>
      <c r="AZ41" s="840"/>
      <c r="BA41" s="840"/>
      <c r="BB41" s="840"/>
      <c r="BC41" s="840"/>
      <c r="BD41" s="840"/>
      <c r="BE41" s="841"/>
      <c r="BF41" s="811"/>
      <c r="BO41" s="812"/>
      <c r="BP41" s="811"/>
      <c r="CF41" s="812"/>
    </row>
    <row r="42" spans="2:84" ht="15.95" customHeight="1" thickTop="1" x14ac:dyDescent="0.5">
      <c r="AE42" s="811"/>
      <c r="AM42" s="812"/>
      <c r="AX42" s="854"/>
      <c r="AY42" s="854"/>
      <c r="AZ42" s="1472" t="s">
        <v>1073</v>
      </c>
      <c r="BA42" s="1473"/>
      <c r="BB42" s="1473"/>
      <c r="BC42" s="1473"/>
      <c r="BD42" s="1473"/>
      <c r="BE42" s="1474"/>
      <c r="BF42" s="811"/>
      <c r="BO42" s="812"/>
      <c r="BP42" s="811"/>
      <c r="CF42" s="812"/>
    </row>
    <row r="43" spans="2:84" ht="15.95" customHeight="1" thickBot="1" x14ac:dyDescent="0.55000000000000004">
      <c r="AE43" s="811"/>
      <c r="AM43" s="812"/>
      <c r="AW43" s="854"/>
      <c r="AX43" s="854"/>
      <c r="AY43" s="854"/>
      <c r="AZ43" s="1475"/>
      <c r="BA43" s="1476"/>
      <c r="BB43" s="1476"/>
      <c r="BC43" s="1476"/>
      <c r="BD43" s="1476"/>
      <c r="BE43" s="1477"/>
      <c r="BF43" s="811"/>
      <c r="BO43" s="812"/>
      <c r="BP43" s="811"/>
      <c r="CF43" s="812"/>
    </row>
    <row r="44" spans="2:84" ht="15.95" customHeight="1" thickTop="1" x14ac:dyDescent="0.25">
      <c r="AE44" s="811"/>
      <c r="AM44" s="812"/>
      <c r="AZ44" s="811"/>
      <c r="BE44" s="812"/>
      <c r="BF44" s="811"/>
      <c r="BO44" s="812"/>
      <c r="BP44" s="811"/>
      <c r="CF44" s="812"/>
    </row>
    <row r="45" spans="2:84" ht="15.95" customHeight="1" x14ac:dyDescent="0.25">
      <c r="AE45" s="811"/>
      <c r="AM45" s="812"/>
      <c r="AZ45" s="811"/>
      <c r="BE45" s="812"/>
      <c r="BF45" s="811"/>
      <c r="BO45" s="812"/>
      <c r="BP45" s="811"/>
      <c r="CF45" s="812"/>
    </row>
    <row r="46" spans="2:84" ht="15.95" customHeight="1" x14ac:dyDescent="0.25">
      <c r="AE46" s="811"/>
      <c r="AM46" s="812"/>
      <c r="AZ46" s="811"/>
      <c r="BE46" s="812"/>
      <c r="BF46" s="811"/>
      <c r="BO46" s="812"/>
      <c r="BP46" s="811"/>
      <c r="CF46" s="812"/>
    </row>
    <row r="47" spans="2:84" ht="15.95" customHeight="1" x14ac:dyDescent="0.25">
      <c r="AE47" s="811"/>
      <c r="AM47" s="812"/>
      <c r="AZ47" s="811"/>
      <c r="BE47" s="812"/>
      <c r="BF47" s="811"/>
      <c r="BO47" s="812"/>
      <c r="BP47" s="811"/>
      <c r="CF47" s="812"/>
    </row>
    <row r="48" spans="2:84" ht="15.95" customHeight="1" thickBot="1" x14ac:dyDescent="0.3">
      <c r="AE48" s="839"/>
      <c r="AF48" s="840"/>
      <c r="AG48" s="840"/>
      <c r="AH48" s="840"/>
      <c r="AI48" s="840"/>
      <c r="AJ48" s="840"/>
      <c r="AK48" s="840"/>
      <c r="AL48" s="840"/>
      <c r="AM48" s="841"/>
      <c r="AZ48" s="811"/>
      <c r="BE48" s="812"/>
      <c r="BF48" s="811"/>
      <c r="BO48" s="812"/>
      <c r="BP48" s="811"/>
      <c r="CF48" s="812"/>
    </row>
    <row r="49" spans="52:84" ht="15.95" customHeight="1" thickTop="1" x14ac:dyDescent="0.25">
      <c r="AZ49" s="811"/>
      <c r="BE49" s="812"/>
      <c r="BF49" s="811"/>
      <c r="BO49" s="812"/>
      <c r="BP49" s="811"/>
      <c r="CF49" s="812"/>
    </row>
    <row r="50" spans="52:84" ht="15.95" customHeight="1" x14ac:dyDescent="0.25">
      <c r="AZ50" s="811"/>
      <c r="BE50" s="812"/>
      <c r="BF50" s="811"/>
      <c r="BO50" s="812"/>
      <c r="BP50" s="811"/>
      <c r="CF50" s="812"/>
    </row>
    <row r="51" spans="52:84" ht="15.95" customHeight="1" x14ac:dyDescent="0.25">
      <c r="AZ51" s="811"/>
      <c r="BE51" s="812"/>
      <c r="BF51" s="811"/>
      <c r="BO51" s="812"/>
      <c r="BP51" s="811"/>
      <c r="CF51" s="812"/>
    </row>
    <row r="52" spans="52:84" ht="15.95" customHeight="1" x14ac:dyDescent="0.25">
      <c r="AZ52" s="811"/>
      <c r="BE52" s="812"/>
      <c r="BF52" s="811"/>
      <c r="BO52" s="812"/>
      <c r="BP52" s="811"/>
      <c r="CF52" s="812"/>
    </row>
    <row r="53" spans="52:84" ht="15.95" customHeight="1" thickBot="1" x14ac:dyDescent="0.3">
      <c r="AZ53" s="811"/>
      <c r="BE53" s="812"/>
      <c r="BF53" s="811"/>
      <c r="BO53" s="812"/>
      <c r="BP53" s="839"/>
      <c r="BQ53" s="840"/>
      <c r="BR53" s="840"/>
      <c r="BS53" s="840"/>
      <c r="BT53" s="840"/>
      <c r="BU53" s="840"/>
      <c r="BV53" s="840"/>
      <c r="BW53" s="840"/>
      <c r="BX53" s="840"/>
      <c r="BY53" s="840"/>
      <c r="BZ53" s="840"/>
      <c r="CA53" s="840"/>
      <c r="CB53" s="840"/>
      <c r="CC53" s="840"/>
      <c r="CD53" s="840"/>
      <c r="CE53" s="840"/>
      <c r="CF53" s="841"/>
    </row>
    <row r="54" spans="52:84" ht="15.95" customHeight="1" thickTop="1" x14ac:dyDescent="0.25">
      <c r="AZ54" s="811"/>
      <c r="BE54" s="812"/>
      <c r="BF54" s="811"/>
      <c r="BO54" s="812"/>
      <c r="BP54" s="1478" t="s">
        <v>1061</v>
      </c>
      <c r="BQ54" s="1479"/>
      <c r="BR54" s="1479"/>
      <c r="BS54" s="1479"/>
      <c r="BT54" s="1479"/>
      <c r="BU54" s="1479"/>
      <c r="BV54" s="1479"/>
      <c r="BW54" s="1479"/>
      <c r="BX54" s="1479"/>
      <c r="BY54" s="1479"/>
      <c r="BZ54" s="1479"/>
      <c r="CA54" s="1479"/>
      <c r="CB54" s="1479"/>
      <c r="CC54" s="1479"/>
      <c r="CD54" s="1479"/>
      <c r="CE54" s="1479"/>
      <c r="CF54" s="1480"/>
    </row>
    <row r="55" spans="52:84" ht="15.95" customHeight="1" x14ac:dyDescent="0.25">
      <c r="AZ55" s="811"/>
      <c r="BE55" s="812"/>
      <c r="BF55" s="811"/>
      <c r="BO55" s="812"/>
      <c r="BP55" s="1481"/>
      <c r="BQ55" s="1482"/>
      <c r="BR55" s="1482"/>
      <c r="BS55" s="1482"/>
      <c r="BT55" s="1482"/>
      <c r="BU55" s="1482"/>
      <c r="BV55" s="1482"/>
      <c r="BW55" s="1482"/>
      <c r="BX55" s="1482"/>
      <c r="BY55" s="1482"/>
      <c r="BZ55" s="1482"/>
      <c r="CA55" s="1482"/>
      <c r="CB55" s="1482"/>
      <c r="CC55" s="1482"/>
      <c r="CD55" s="1482"/>
      <c r="CE55" s="1482"/>
      <c r="CF55" s="1483"/>
    </row>
    <row r="56" spans="52:84" ht="15.95" customHeight="1" x14ac:dyDescent="0.25">
      <c r="AZ56" s="811"/>
      <c r="BE56" s="812"/>
      <c r="BF56" s="811"/>
      <c r="BO56" s="812"/>
      <c r="BP56" s="811"/>
      <c r="CF56" s="812"/>
    </row>
    <row r="57" spans="52:84" ht="15.95" customHeight="1" x14ac:dyDescent="0.25">
      <c r="AZ57" s="811"/>
      <c r="BE57" s="812"/>
      <c r="BF57" s="811"/>
      <c r="BO57" s="812"/>
      <c r="BP57" s="811"/>
      <c r="CF57" s="812"/>
    </row>
    <row r="58" spans="52:84" ht="15.95" customHeight="1" x14ac:dyDescent="0.25">
      <c r="AZ58" s="811"/>
      <c r="BE58" s="812"/>
      <c r="BF58" s="811"/>
      <c r="BO58" s="812"/>
      <c r="BP58" s="811"/>
      <c r="CF58" s="812"/>
    </row>
    <row r="59" spans="52:84" ht="15.95" customHeight="1" x14ac:dyDescent="0.25">
      <c r="AZ59" s="811"/>
      <c r="BE59" s="812"/>
      <c r="BF59" s="811"/>
      <c r="BO59" s="812"/>
      <c r="BP59" s="811"/>
      <c r="CF59" s="812"/>
    </row>
    <row r="60" spans="52:84" ht="15.95" customHeight="1" x14ac:dyDescent="0.25">
      <c r="AZ60" s="811"/>
      <c r="BE60" s="812"/>
      <c r="BF60" s="811"/>
      <c r="BO60" s="812"/>
      <c r="BP60" s="811"/>
      <c r="CF60" s="812"/>
    </row>
    <row r="61" spans="52:84" ht="15.95" customHeight="1" x14ac:dyDescent="0.25">
      <c r="AZ61" s="811"/>
      <c r="BE61" s="812"/>
      <c r="BF61" s="811"/>
      <c r="BO61" s="812"/>
      <c r="BP61" s="811"/>
      <c r="CF61" s="812"/>
    </row>
    <row r="62" spans="52:84" ht="15.95" customHeight="1" x14ac:dyDescent="0.25">
      <c r="AZ62" s="811"/>
      <c r="BE62" s="812"/>
      <c r="BF62" s="811"/>
      <c r="BO62" s="812"/>
      <c r="BP62" s="811"/>
      <c r="CF62" s="812"/>
    </row>
    <row r="63" spans="52:84" ht="15.95" customHeight="1" x14ac:dyDescent="0.25">
      <c r="AZ63" s="811"/>
      <c r="BE63" s="812"/>
      <c r="BF63" s="811"/>
      <c r="BO63" s="812"/>
      <c r="BP63" s="811"/>
      <c r="CF63" s="812"/>
    </row>
    <row r="64" spans="52:84" ht="15.95" customHeight="1" x14ac:dyDescent="0.25">
      <c r="AZ64" s="811"/>
      <c r="BE64" s="812"/>
      <c r="BF64" s="811"/>
      <c r="BO64" s="812"/>
      <c r="BP64" s="811"/>
      <c r="CF64" s="812"/>
    </row>
    <row r="65" spans="52:84" ht="15.95" customHeight="1" x14ac:dyDescent="0.25">
      <c r="AZ65" s="811"/>
      <c r="BE65" s="812"/>
      <c r="BF65" s="811"/>
      <c r="BO65" s="812"/>
      <c r="BP65" s="811"/>
      <c r="CF65" s="812"/>
    </row>
    <row r="66" spans="52:84" ht="15.95" customHeight="1" thickBot="1" x14ac:dyDescent="0.3">
      <c r="AZ66" s="811"/>
      <c r="BE66" s="812"/>
      <c r="BF66" s="839"/>
      <c r="BG66" s="840"/>
      <c r="BH66" s="840"/>
      <c r="BI66" s="840"/>
      <c r="BJ66" s="840"/>
      <c r="BK66" s="840"/>
      <c r="BL66" s="840"/>
      <c r="BM66" s="840"/>
      <c r="BN66" s="840"/>
      <c r="BO66" s="841"/>
      <c r="BP66" s="811"/>
      <c r="CF66" s="812"/>
    </row>
    <row r="67" spans="52:84" ht="15.95" customHeight="1" thickTop="1" x14ac:dyDescent="0.25">
      <c r="AZ67" s="811"/>
      <c r="BE67" s="812"/>
      <c r="BP67" s="811"/>
      <c r="CF67" s="812"/>
    </row>
    <row r="68" spans="52:84" ht="15.95" customHeight="1" x14ac:dyDescent="0.25">
      <c r="AZ68" s="811"/>
      <c r="BE68" s="812"/>
      <c r="BP68" s="811"/>
      <c r="CF68" s="812"/>
    </row>
    <row r="69" spans="52:84" ht="15.95" customHeight="1" x14ac:dyDescent="0.25">
      <c r="AZ69" s="811"/>
      <c r="BE69" s="812"/>
      <c r="BP69" s="811"/>
      <c r="CF69" s="812"/>
    </row>
    <row r="70" spans="52:84" ht="15.95" customHeight="1" x14ac:dyDescent="0.25">
      <c r="AZ70" s="811"/>
      <c r="BE70" s="812"/>
      <c r="BP70" s="811"/>
      <c r="CF70" s="812"/>
    </row>
    <row r="71" spans="52:84" ht="15.95" customHeight="1" x14ac:dyDescent="0.25">
      <c r="AZ71" s="811"/>
      <c r="BE71" s="812"/>
      <c r="BP71" s="811"/>
      <c r="CF71" s="812"/>
    </row>
    <row r="72" spans="52:84" ht="15.95" customHeight="1" thickBot="1" x14ac:dyDescent="0.3">
      <c r="AZ72" s="839"/>
      <c r="BA72" s="840"/>
      <c r="BB72" s="840"/>
      <c r="BC72" s="840"/>
      <c r="BD72" s="840"/>
      <c r="BE72" s="841"/>
      <c r="BP72" s="839"/>
      <c r="BQ72" s="840"/>
      <c r="BR72" s="840"/>
      <c r="BS72" s="840"/>
      <c r="BT72" s="840"/>
      <c r="BU72" s="840"/>
      <c r="BV72" s="840"/>
      <c r="BW72" s="840"/>
      <c r="BX72" s="840"/>
      <c r="BY72" s="840"/>
      <c r="BZ72" s="840"/>
      <c r="CA72" s="840"/>
      <c r="CB72" s="840"/>
      <c r="CC72" s="840"/>
      <c r="CD72" s="840"/>
      <c r="CE72" s="840"/>
      <c r="CF72" s="841"/>
    </row>
    <row r="73" spans="52:84" ht="15.95" customHeight="1" thickTop="1" x14ac:dyDescent="0.25">
      <c r="BP73" s="1478" t="s">
        <v>1062</v>
      </c>
      <c r="BQ73" s="1479"/>
      <c r="BR73" s="1479"/>
      <c r="BS73" s="1479"/>
      <c r="BT73" s="1479"/>
      <c r="BU73" s="1479"/>
      <c r="BV73" s="1479"/>
      <c r="BW73" s="1479"/>
      <c r="BX73" s="1479"/>
      <c r="BY73" s="1479"/>
      <c r="BZ73" s="1479"/>
      <c r="CA73" s="1479"/>
      <c r="CB73" s="1479"/>
      <c r="CC73" s="1479"/>
      <c r="CD73" s="1479"/>
      <c r="CE73" s="1479"/>
      <c r="CF73" s="1480"/>
    </row>
    <row r="74" spans="52:84" ht="15.95" customHeight="1" x14ac:dyDescent="0.25">
      <c r="BP74" s="1481"/>
      <c r="BQ74" s="1482"/>
      <c r="BR74" s="1482"/>
      <c r="BS74" s="1482"/>
      <c r="BT74" s="1482"/>
      <c r="BU74" s="1482"/>
      <c r="BV74" s="1482"/>
      <c r="BW74" s="1482"/>
      <c r="BX74" s="1482"/>
      <c r="BY74" s="1482"/>
      <c r="BZ74" s="1482"/>
      <c r="CA74" s="1482"/>
      <c r="CB74" s="1482"/>
      <c r="CC74" s="1482"/>
      <c r="CD74" s="1482"/>
      <c r="CE74" s="1482"/>
      <c r="CF74" s="1483"/>
    </row>
    <row r="75" spans="52:84" ht="15.95" customHeight="1" x14ac:dyDescent="0.25">
      <c r="BP75" s="811"/>
      <c r="CF75" s="812"/>
    </row>
    <row r="76" spans="52:84" ht="15.95" customHeight="1" x14ac:dyDescent="0.25">
      <c r="BP76" s="811"/>
      <c r="CF76" s="812"/>
    </row>
    <row r="77" spans="52:84" ht="15.95" customHeight="1" x14ac:dyDescent="0.25">
      <c r="BP77" s="811"/>
      <c r="CF77" s="812"/>
    </row>
    <row r="78" spans="52:84" ht="15.95" customHeight="1" x14ac:dyDescent="0.25">
      <c r="BP78" s="811"/>
      <c r="CF78" s="812"/>
    </row>
    <row r="79" spans="52:84" ht="15.95" customHeight="1" x14ac:dyDescent="0.25">
      <c r="BP79" s="811"/>
      <c r="CF79" s="812"/>
    </row>
    <row r="80" spans="52:84" ht="15.95" customHeight="1" x14ac:dyDescent="0.25">
      <c r="BP80" s="811"/>
      <c r="CF80" s="812"/>
    </row>
    <row r="81" spans="68:84" ht="15.95" customHeight="1" x14ac:dyDescent="0.25">
      <c r="BP81" s="811"/>
      <c r="CF81" s="812"/>
    </row>
    <row r="82" spans="68:84" ht="15.95" customHeight="1" x14ac:dyDescent="0.25">
      <c r="BP82" s="811"/>
      <c r="CF82" s="812"/>
    </row>
    <row r="83" spans="68:84" ht="15.95" customHeight="1" x14ac:dyDescent="0.25">
      <c r="BP83" s="811"/>
      <c r="CF83" s="812"/>
    </row>
    <row r="84" spans="68:84" ht="15.95" customHeight="1" thickBot="1" x14ac:dyDescent="0.3">
      <c r="BP84" s="839"/>
      <c r="BQ84" s="840"/>
      <c r="BR84" s="840"/>
      <c r="BS84" s="840"/>
      <c r="BT84" s="840"/>
      <c r="BU84" s="840"/>
      <c r="BV84" s="840"/>
      <c r="BW84" s="840"/>
      <c r="BX84" s="840"/>
      <c r="BY84" s="840"/>
      <c r="BZ84" s="840"/>
      <c r="CA84" s="840"/>
      <c r="CB84" s="840"/>
      <c r="CC84" s="840"/>
      <c r="CD84" s="840"/>
      <c r="CE84" s="840"/>
      <c r="CF84" s="841"/>
    </row>
    <row r="85" spans="68:84" ht="15.95" customHeight="1" thickTop="1" x14ac:dyDescent="0.25"/>
  </sheetData>
  <sheetProtection algorithmName="SHA-512" hashValue="vxwOZ7WFT+osBjYvQsuZ0oTiNJn/0vP1cBZTGO8XcUfr4l/BB5DluWII+ZZDgGZicNvbRQ1rUVgO8RUF1HMVtA==" saltValue="lSM8wWdlUAnzadrqcR7wdg==" spinCount="100000" sheet="1" objects="1" scenarios="1"/>
  <mergeCells count="90">
    <mergeCell ref="B11:F13"/>
    <mergeCell ref="B16:H17"/>
    <mergeCell ref="G11:H13"/>
    <mergeCell ref="G9:H10"/>
    <mergeCell ref="K14:Q15"/>
    <mergeCell ref="B3:H4"/>
    <mergeCell ref="B7:F8"/>
    <mergeCell ref="G7:H8"/>
    <mergeCell ref="B9:F10"/>
    <mergeCell ref="B5:F6"/>
    <mergeCell ref="G5:H6"/>
    <mergeCell ref="B18:H19"/>
    <mergeCell ref="B20:H21"/>
    <mergeCell ref="O34:P34"/>
    <mergeCell ref="Q34:R34"/>
    <mergeCell ref="K34:L34"/>
    <mergeCell ref="M34:N34"/>
    <mergeCell ref="B34:D34"/>
    <mergeCell ref="E34:F34"/>
    <mergeCell ref="B33:D33"/>
    <mergeCell ref="E33:H33"/>
    <mergeCell ref="B25:R26"/>
    <mergeCell ref="K32:L32"/>
    <mergeCell ref="M32:N32"/>
    <mergeCell ref="O32:P32"/>
    <mergeCell ref="Q32:R32"/>
    <mergeCell ref="B30:D30"/>
    <mergeCell ref="E30:H30"/>
    <mergeCell ref="B31:D31"/>
    <mergeCell ref="F31:G31"/>
    <mergeCell ref="B32:D32"/>
    <mergeCell ref="E32:H32"/>
    <mergeCell ref="J27:R27"/>
    <mergeCell ref="J28:J29"/>
    <mergeCell ref="K28:N28"/>
    <mergeCell ref="B27:D27"/>
    <mergeCell ref="E27:H27"/>
    <mergeCell ref="B28:D28"/>
    <mergeCell ref="E28:G28"/>
    <mergeCell ref="B29:D29"/>
    <mergeCell ref="E29:H29"/>
    <mergeCell ref="K33:L33"/>
    <mergeCell ref="M33:N33"/>
    <mergeCell ref="O33:P33"/>
    <mergeCell ref="Q33:R33"/>
    <mergeCell ref="K30:L30"/>
    <mergeCell ref="M30:N30"/>
    <mergeCell ref="O30:P30"/>
    <mergeCell ref="K31:L31"/>
    <mergeCell ref="M31:N31"/>
    <mergeCell ref="O31:P31"/>
    <mergeCell ref="Q31:R31"/>
    <mergeCell ref="Q30:R30"/>
    <mergeCell ref="AB18:AC18"/>
    <mergeCell ref="Z10:AA10"/>
    <mergeCell ref="AB10:AC10"/>
    <mergeCell ref="AW2:BE3"/>
    <mergeCell ref="AW20:BE21"/>
    <mergeCell ref="T2:V2"/>
    <mergeCell ref="AZ42:BE43"/>
    <mergeCell ref="BP73:CF74"/>
    <mergeCell ref="BP54:CF55"/>
    <mergeCell ref="BP32:CF33"/>
    <mergeCell ref="Y26:AC27"/>
    <mergeCell ref="AE36:AM37"/>
    <mergeCell ref="Z2:AA2"/>
    <mergeCell ref="AB2:AC2"/>
    <mergeCell ref="Z9:AC9"/>
    <mergeCell ref="AE2:AT3"/>
    <mergeCell ref="BF26:BO27"/>
    <mergeCell ref="BF2:BO3"/>
    <mergeCell ref="BP2:CA3"/>
    <mergeCell ref="Z17:AC17"/>
    <mergeCell ref="Z18:AA18"/>
    <mergeCell ref="AE34:AI35"/>
    <mergeCell ref="AJ34:AK35"/>
    <mergeCell ref="AL34:AM35"/>
    <mergeCell ref="K3:Q4"/>
    <mergeCell ref="K5:O7"/>
    <mergeCell ref="K8:O10"/>
    <mergeCell ref="K11:O13"/>
    <mergeCell ref="P5:Q7"/>
    <mergeCell ref="P8:Q10"/>
    <mergeCell ref="P11:Q13"/>
    <mergeCell ref="O28:R28"/>
    <mergeCell ref="K29:L29"/>
    <mergeCell ref="M29:N29"/>
    <mergeCell ref="O29:P29"/>
    <mergeCell ref="Q29:R29"/>
    <mergeCell ref="T16:W16"/>
  </mergeCells>
  <conditionalFormatting sqref="E31:F31">
    <cfRule type="expression" dxfId="1" priority="2">
      <formula>#REF!=2</formula>
    </cfRule>
  </conditionalFormatting>
  <conditionalFormatting sqref="H31">
    <cfRule type="expression" dxfId="0" priority="1">
      <formula>#REF!=2</formula>
    </cfRule>
  </conditionalFormatting>
  <dataValidations count="1">
    <dataValidation type="list" allowBlank="1" showInputMessage="1" showErrorMessage="1" sqref="G11" xr:uid="{9B22325C-2C94-412D-BB15-91E436234C56}">
      <formula1>$Z$29:$Z$30</formula1>
    </dataValidation>
  </dataValidations>
  <hyperlinks>
    <hyperlink ref="B18" r:id="rId1" xr:uid="{40829C02-9475-4FAA-9A52-8195B534FC19}"/>
  </hyperlinks>
  <pageMargins left="0.7" right="0.7" top="0.75" bottom="0.75" header="0.3" footer="0.3"/>
  <pageSetup orientation="portrait" r:id="rId2"/>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9857E-70D1-4E4F-B515-64A6C959470D}">
  <sheetPr>
    <tabColor theme="5"/>
  </sheetPr>
  <dimension ref="A1:K56"/>
  <sheetViews>
    <sheetView zoomScaleNormal="100" workbookViewId="0">
      <selection activeCell="G32" sqref="G32"/>
    </sheetView>
  </sheetViews>
  <sheetFormatPr defaultColWidth="9.140625" defaultRowHeight="15" x14ac:dyDescent="0.25"/>
  <cols>
    <col min="1" max="1" width="22.7109375" style="494" customWidth="1"/>
    <col min="2" max="2" width="20.7109375" style="346" customWidth="1"/>
    <col min="3" max="6" width="10.7109375" style="346" customWidth="1"/>
    <col min="7" max="7" width="25.7109375" style="346" customWidth="1"/>
    <col min="8" max="8" width="20.7109375" style="346" customWidth="1"/>
    <col min="9" max="16384" width="9.140625" style="346"/>
  </cols>
  <sheetData>
    <row r="1" spans="1:11" x14ac:dyDescent="0.25">
      <c r="C1" s="346" t="s">
        <v>416</v>
      </c>
    </row>
    <row r="2" spans="1:11" ht="15" customHeight="1" x14ac:dyDescent="0.25">
      <c r="A2" s="494" t="s">
        <v>411</v>
      </c>
      <c r="B2" s="495" t="str">
        <f>'Project Mull Review'!D2</f>
        <v>XXXXXX</v>
      </c>
      <c r="C2" s="496" t="str">
        <f>LEFT('Project Mull Review'!O13,5)</f>
        <v/>
      </c>
      <c r="D2" s="496" t="str">
        <f>RIGHT('Project Mull Review'!O13,5)</f>
        <v/>
      </c>
      <c r="E2" s="496" t="str">
        <f>LEFT('Project Mull Review'!Q13,5)</f>
        <v/>
      </c>
      <c r="F2" s="496" t="str">
        <f>RIGHT('Project Mull Review'!Q13,5)</f>
        <v/>
      </c>
      <c r="G2" s="497" t="str">
        <f ca="1">RMEAT!B10</f>
        <v>1</v>
      </c>
      <c r="H2" s="346" t="str">
        <f ca="1">RMEAT!C10</f>
        <v/>
      </c>
      <c r="I2" s="498" t="str">
        <f ca="1">IFERROR(VLOOKUP(H2,'Project Mull Review'!AI:AL,3,FALSE),"")</f>
        <v/>
      </c>
      <c r="J2" s="498"/>
      <c r="K2" s="498"/>
    </row>
    <row r="3" spans="1:11" ht="15" customHeight="1" x14ac:dyDescent="0.25">
      <c r="A3" s="494" t="s">
        <v>413</v>
      </c>
      <c r="B3" s="495" t="str">
        <f>'Project Mull Review'!D3</f>
        <v>XXXXXX</v>
      </c>
      <c r="C3" s="496" t="str">
        <f>LEFT('Project Mull Review'!O14,5)</f>
        <v/>
      </c>
      <c r="D3" s="496" t="str">
        <f>RIGHT('Project Mull Review'!O14,5)</f>
        <v/>
      </c>
      <c r="E3" s="496" t="str">
        <f>LEFT('Project Mull Review'!Q14,5)</f>
        <v/>
      </c>
      <c r="F3" s="496" t="str">
        <f>RIGHT('Project Mull Review'!Q14,5)</f>
        <v/>
      </c>
      <c r="G3" s="497" t="str">
        <f ca="1">RMEAT!B11</f>
        <v/>
      </c>
      <c r="H3" s="346" t="str">
        <f ca="1">RMEAT!C11</f>
        <v/>
      </c>
      <c r="I3" s="498" t="str">
        <f ca="1">IFERROR(VLOOKUP(H3,'Project Mull Review'!AI:AL,3,FALSE),"")</f>
        <v/>
      </c>
      <c r="J3" s="498"/>
      <c r="K3" s="498"/>
    </row>
    <row r="4" spans="1:11" ht="15" customHeight="1" x14ac:dyDescent="0.25">
      <c r="A4" s="494" t="s">
        <v>412</v>
      </c>
      <c r="B4" s="499">
        <f ca="1">'Project Mull Review'!O2</f>
        <v>46175</v>
      </c>
      <c r="C4" s="496" t="str">
        <f>LEFT('Project Mull Review'!O15,5)</f>
        <v/>
      </c>
      <c r="D4" s="496" t="str">
        <f>RIGHT('Project Mull Review'!O15,5)</f>
        <v/>
      </c>
      <c r="E4" s="496" t="str">
        <f>LEFT('Project Mull Review'!Q15,5)</f>
        <v/>
      </c>
      <c r="F4" s="496" t="str">
        <f>RIGHT('Project Mull Review'!Q15,5)</f>
        <v/>
      </c>
      <c r="G4" s="497" t="str">
        <f ca="1">RMEAT!B12</f>
        <v/>
      </c>
      <c r="H4" s="346" t="str">
        <f ca="1">RMEAT!C12</f>
        <v/>
      </c>
      <c r="I4" s="498" t="str">
        <f ca="1">IFERROR(VLOOKUP(H4,'Project Mull Review'!AI:AL,3,FALSE),"")</f>
        <v/>
      </c>
      <c r="J4" s="498"/>
      <c r="K4" s="498"/>
    </row>
    <row r="5" spans="1:11" ht="15" customHeight="1" x14ac:dyDescent="0.25">
      <c r="A5" s="494" t="s">
        <v>414</v>
      </c>
      <c r="B5" s="495" t="str">
        <f>'Project Mull Review'!O3</f>
        <v>XXXXXX</v>
      </c>
      <c r="C5" s="496" t="str">
        <f>LEFT('Project Mull Review'!O16,5)</f>
        <v/>
      </c>
      <c r="D5" s="496" t="str">
        <f>RIGHT('Project Mull Review'!O16,5)</f>
        <v/>
      </c>
      <c r="E5" s="496" t="str">
        <f>LEFT('Project Mull Review'!Q16,5)</f>
        <v/>
      </c>
      <c r="F5" s="496" t="str">
        <f>RIGHT('Project Mull Review'!Q16,5)</f>
        <v/>
      </c>
      <c r="G5" s="497" t="str">
        <f ca="1">RMEAT!B13</f>
        <v/>
      </c>
      <c r="H5" s="346" t="str">
        <f ca="1">RMEAT!C13</f>
        <v/>
      </c>
      <c r="I5" s="498" t="str">
        <f ca="1">IFERROR(VLOOKUP(H5,'Project Mull Review'!AI:AL,3,FALSE),"")</f>
        <v/>
      </c>
      <c r="J5" s="498"/>
      <c r="K5" s="498"/>
    </row>
    <row r="6" spans="1:11" x14ac:dyDescent="0.25">
      <c r="A6" s="494" t="s">
        <v>415</v>
      </c>
      <c r="B6" s="495" t="str">
        <f>'Project Mull Review'!O4</f>
        <v>XXXXXX</v>
      </c>
      <c r="C6" s="496" t="str">
        <f>LEFT('Project Mull Review'!O17,5)</f>
        <v/>
      </c>
      <c r="D6" s="496" t="str">
        <f>RIGHT('Project Mull Review'!O17,5)</f>
        <v/>
      </c>
      <c r="E6" s="496" t="str">
        <f>LEFT('Project Mull Review'!Q17,5)</f>
        <v/>
      </c>
      <c r="F6" s="496" t="str">
        <f>RIGHT('Project Mull Review'!Q17,5)</f>
        <v/>
      </c>
      <c r="G6" s="497" t="str">
        <f ca="1">RMEAT!B14</f>
        <v/>
      </c>
      <c r="H6" s="346" t="str">
        <f ca="1">RMEAT!C14</f>
        <v/>
      </c>
      <c r="I6" s="498" t="str">
        <f ca="1">IFERROR(VLOOKUP(H6,'Project Mull Review'!AI:AL,3,FALSE),"")</f>
        <v/>
      </c>
    </row>
    <row r="7" spans="1:11" x14ac:dyDescent="0.25">
      <c r="A7" s="494" t="s">
        <v>417</v>
      </c>
      <c r="B7" s="500">
        <f>'Project Mull Review'!E10</f>
        <v>0</v>
      </c>
      <c r="G7" s="497" t="str">
        <f ca="1">RMEAT!B15</f>
        <v/>
      </c>
      <c r="H7" s="346" t="str">
        <f ca="1">RMEAT!C15</f>
        <v/>
      </c>
      <c r="I7" s="498" t="str">
        <f ca="1">IFERROR(VLOOKUP(H7,'Project Mull Review'!AI:AL,3,FALSE),"")</f>
        <v/>
      </c>
    </row>
    <row r="8" spans="1:11" x14ac:dyDescent="0.25">
      <c r="A8" s="494" t="s">
        <v>418</v>
      </c>
      <c r="B8" s="500" t="str">
        <f>CONCATENATE('Project Mull Review'!E11," / ",'Project Mull Review'!H11)</f>
        <v xml:space="preserve"> / </v>
      </c>
      <c r="D8" s="346" t="e">
        <f>'Project Mull Review'!U26</f>
        <v>#N/A</v>
      </c>
      <c r="G8" s="497" t="str">
        <f ca="1">RMEAT!B16</f>
        <v/>
      </c>
      <c r="H8" s="346" t="str">
        <f ca="1">RMEAT!C16</f>
        <v/>
      </c>
      <c r="I8" s="498" t="str">
        <f ca="1">IFERROR(VLOOKUP(H8,'Project Mull Review'!AI:AL,3,FALSE),"")</f>
        <v/>
      </c>
    </row>
    <row r="9" spans="1:11" x14ac:dyDescent="0.25">
      <c r="A9" s="494" t="s">
        <v>419</v>
      </c>
      <c r="B9" s="500">
        <f>'Project Mull Review'!E12</f>
        <v>0</v>
      </c>
      <c r="D9" s="346">
        <f>'Project Mull Review'!V8</f>
        <v>0.18</v>
      </c>
      <c r="G9" s="497" t="str">
        <f ca="1">RMEAT!B17</f>
        <v/>
      </c>
      <c r="H9" s="346" t="str">
        <f ca="1">RMEAT!C17</f>
        <v/>
      </c>
      <c r="I9" s="498" t="str">
        <f ca="1">IFERROR(VLOOKUP(H9,'Project Mull Review'!AI:AL,3,FALSE),"")</f>
        <v/>
      </c>
    </row>
    <row r="10" spans="1:11" x14ac:dyDescent="0.25">
      <c r="A10" s="494" t="s">
        <v>420</v>
      </c>
      <c r="B10" s="500">
        <f>'Project Mull Review'!E13</f>
        <v>0</v>
      </c>
      <c r="D10" s="346">
        <f>'Project Mull Review'!AD7</f>
        <v>0.85</v>
      </c>
      <c r="G10" s="497" t="str">
        <f ca="1">RMEAT!B18</f>
        <v/>
      </c>
      <c r="H10" s="346" t="str">
        <f ca="1">RMEAT!C18</f>
        <v/>
      </c>
      <c r="I10" s="498" t="str">
        <f ca="1">IFERROR(VLOOKUP(H10,'Project Mull Review'!AI:AL,3,FALSE),"")</f>
        <v/>
      </c>
    </row>
    <row r="11" spans="1:11" x14ac:dyDescent="0.25">
      <c r="A11" s="494" t="s">
        <v>87</v>
      </c>
      <c r="B11" s="500">
        <f>'Project Mull Review'!E14</f>
        <v>0</v>
      </c>
      <c r="D11" s="346">
        <f>'Project Mull Review'!V6</f>
        <v>15</v>
      </c>
      <c r="G11" s="497" t="str">
        <f ca="1">RMEAT!B19</f>
        <v/>
      </c>
      <c r="H11" s="346" t="str">
        <f ca="1">RMEAT!C19</f>
        <v/>
      </c>
      <c r="I11" s="498" t="str">
        <f ca="1">IFERROR(VLOOKUP(H11,'Project Mull Review'!AI:AL,3,FALSE),"")</f>
        <v/>
      </c>
    </row>
    <row r="12" spans="1:11" x14ac:dyDescent="0.25">
      <c r="A12" s="494" t="s">
        <v>381</v>
      </c>
      <c r="B12" s="500">
        <f>'Project Mull Review'!E15</f>
        <v>0</v>
      </c>
      <c r="D12" s="346" t="e">
        <f>VLOOKUP('Project Mull Review'!E11,'Project Mull Review'!X11:AA14,2,FALSE)</f>
        <v>#N/A</v>
      </c>
      <c r="E12" s="346" t="s">
        <v>45</v>
      </c>
      <c r="G12" s="497" t="str">
        <f ca="1">RMEAT!B20</f>
        <v/>
      </c>
      <c r="H12" s="346" t="str">
        <f ca="1">RMEAT!C20</f>
        <v/>
      </c>
      <c r="I12" s="498" t="str">
        <f ca="1">IFERROR(VLOOKUP(H12,'Project Mull Review'!AI:AL,3,FALSE),"")</f>
        <v/>
      </c>
    </row>
    <row r="13" spans="1:11" x14ac:dyDescent="0.25">
      <c r="A13" s="494" t="s">
        <v>41</v>
      </c>
      <c r="B13" s="500">
        <f>'Project Mull Review'!E16</f>
        <v>1</v>
      </c>
      <c r="D13" s="346" t="e">
        <f>VLOOKUP('Project Mull Review'!E11,'Project Mull Review'!X11:AA14,4,FALSE)</f>
        <v>#N/A</v>
      </c>
      <c r="E13" s="346" t="s">
        <v>1021</v>
      </c>
      <c r="G13" s="497" t="str">
        <f ca="1">RMEAT!B21</f>
        <v/>
      </c>
      <c r="H13" s="346" t="str">
        <f ca="1">RMEAT!C21</f>
        <v/>
      </c>
      <c r="I13" s="498" t="str">
        <f ca="1">IFERROR(VLOOKUP(H13,'Project Mull Review'!AI:AL,3,FALSE),"")</f>
        <v/>
      </c>
    </row>
    <row r="14" spans="1:11" x14ac:dyDescent="0.25">
      <c r="A14" s="494" t="s">
        <v>421</v>
      </c>
      <c r="B14" s="500" t="str">
        <f>'Project Mull Review'!E17</f>
        <v>Not Applicable</v>
      </c>
      <c r="D14" s="346" t="e">
        <f>D13</f>
        <v>#N/A</v>
      </c>
      <c r="E14" s="346" t="s">
        <v>1021</v>
      </c>
      <c r="G14" s="497" t="str">
        <f ca="1">RMEAT!B22</f>
        <v/>
      </c>
      <c r="H14" s="346" t="str">
        <f ca="1">RMEAT!C22</f>
        <v/>
      </c>
      <c r="I14" s="498" t="str">
        <f ca="1">IFERROR(VLOOKUP(H14,'Project Mull Review'!AI:AL,3,FALSE),"")</f>
        <v/>
      </c>
    </row>
    <row r="15" spans="1:11" x14ac:dyDescent="0.25">
      <c r="A15" s="494" t="s">
        <v>422</v>
      </c>
      <c r="B15" s="500" t="str">
        <f>'Project Mull Review'!O27</f>
        <v>---</v>
      </c>
      <c r="D15" s="346">
        <f>'Project Mull Review'!V7</f>
        <v>0.6</v>
      </c>
      <c r="G15" s="497" t="str">
        <f ca="1">RMEAT!B23</f>
        <v/>
      </c>
      <c r="H15" s="346" t="str">
        <f ca="1">RMEAT!C23</f>
        <v/>
      </c>
      <c r="I15" s="498" t="str">
        <f ca="1">IFERROR(VLOOKUP(H15,'Project Mull Review'!AI:AL,3,FALSE),"")</f>
        <v/>
      </c>
    </row>
    <row r="16" spans="1:11" x14ac:dyDescent="0.25">
      <c r="A16" s="494" t="s">
        <v>649</v>
      </c>
      <c r="B16" s="346">
        <f>'Project Mull Review'!E18</f>
        <v>0</v>
      </c>
      <c r="G16" s="497" t="str">
        <f ca="1">RMEAT!B24</f>
        <v/>
      </c>
      <c r="H16" s="346" t="str">
        <f ca="1">RMEAT!C24</f>
        <v/>
      </c>
      <c r="I16" s="498" t="str">
        <f ca="1">IFERROR(VLOOKUP(H16,'Project Mull Review'!AI:AL,3,FALSE),"")</f>
        <v/>
      </c>
    </row>
    <row r="17" spans="1:9" x14ac:dyDescent="0.25">
      <c r="A17" s="494" t="s">
        <v>678</v>
      </c>
      <c r="B17" s="501" t="str">
        <f>'Project Mull Review'!H18</f>
        <v/>
      </c>
      <c r="G17" s="497" t="str">
        <f ca="1">RMEAT!B25</f>
        <v/>
      </c>
      <c r="H17" s="346" t="str">
        <f ca="1">RMEAT!C25</f>
        <v/>
      </c>
      <c r="I17" s="498" t="str">
        <f ca="1">IFERROR(VLOOKUP(H17,'Project Mull Review'!AI:AL,3,FALSE),"")</f>
        <v/>
      </c>
    </row>
    <row r="18" spans="1:9" x14ac:dyDescent="0.25">
      <c r="G18" s="497" t="str">
        <f ca="1">RMEAT!B26</f>
        <v/>
      </c>
      <c r="H18" s="346" t="str">
        <f ca="1">RMEAT!C26</f>
        <v/>
      </c>
      <c r="I18" s="498" t="str">
        <f ca="1">IFERROR(VLOOKUP(H18,'Project Mull Review'!AI:AL,3,FALSE),"")</f>
        <v/>
      </c>
    </row>
    <row r="19" spans="1:9" x14ac:dyDescent="0.25">
      <c r="G19" s="497" t="str">
        <f ca="1">RMEAT!B27</f>
        <v/>
      </c>
      <c r="H19" s="346" t="str">
        <f ca="1">RMEAT!C27</f>
        <v/>
      </c>
      <c r="I19" s="498" t="str">
        <f ca="1">IFERROR(VLOOKUP(H19,'Project Mull Review'!AI:AL,3,FALSE),"")</f>
        <v/>
      </c>
    </row>
    <row r="20" spans="1:9" x14ac:dyDescent="0.25">
      <c r="G20" s="497" t="str">
        <f ca="1">RMEAT!B28</f>
        <v/>
      </c>
      <c r="H20" s="346" t="str">
        <f ca="1">RMEAT!C28</f>
        <v/>
      </c>
      <c r="I20" s="498" t="str">
        <f ca="1">IFERROR(VLOOKUP(H20,'Project Mull Review'!AI:AL,3,FALSE),"")</f>
        <v/>
      </c>
    </row>
    <row r="21" spans="1:9" x14ac:dyDescent="0.25">
      <c r="G21" s="497" t="str">
        <f ca="1">RMEAT!B29</f>
        <v/>
      </c>
      <c r="H21" s="346" t="str">
        <f ca="1">RMEAT!C29</f>
        <v/>
      </c>
      <c r="I21" s="498" t="str">
        <f ca="1">IFERROR(VLOOKUP(H21,'Project Mull Review'!AI:AL,3,FALSE),"")</f>
        <v/>
      </c>
    </row>
    <row r="22" spans="1:9" x14ac:dyDescent="0.25">
      <c r="G22" s="497" t="str">
        <f ca="1">RMEAT!B30</f>
        <v/>
      </c>
      <c r="H22" s="346" t="str">
        <f ca="1">RMEAT!C30</f>
        <v/>
      </c>
      <c r="I22" s="498" t="str">
        <f ca="1">IFERROR(VLOOKUP(H22,'Project Mull Review'!AI:AL,3,FALSE),"")</f>
        <v/>
      </c>
    </row>
    <row r="23" spans="1:9" x14ac:dyDescent="0.25">
      <c r="G23" s="497" t="str">
        <f ca="1">RMEAT!B31</f>
        <v/>
      </c>
      <c r="H23" s="346" t="str">
        <f ca="1">RMEAT!C31</f>
        <v/>
      </c>
      <c r="I23" s="498" t="str">
        <f ca="1">IFERROR(VLOOKUP(H23,'Project Mull Review'!AI:AL,3,FALSE),"")</f>
        <v/>
      </c>
    </row>
    <row r="24" spans="1:9" x14ac:dyDescent="0.25">
      <c r="G24" s="497" t="str">
        <f ca="1">RMEAT!B32</f>
        <v/>
      </c>
      <c r="H24" s="346" t="str">
        <f ca="1">RMEAT!C32</f>
        <v/>
      </c>
      <c r="I24" s="498" t="str">
        <f ca="1">IFERROR(VLOOKUP(H24,'Project Mull Review'!AI:AL,3,FALSE),"")</f>
        <v/>
      </c>
    </row>
    <row r="25" spans="1:9" x14ac:dyDescent="0.25">
      <c r="G25" s="497" t="str">
        <f ca="1">RMEAT!B33</f>
        <v/>
      </c>
      <c r="H25" s="346" t="str">
        <f ca="1">RMEAT!C33</f>
        <v/>
      </c>
      <c r="I25" s="498" t="str">
        <f ca="1">IFERROR(VLOOKUP(H25,'Project Mull Review'!AI:AL,3,FALSE),"")</f>
        <v/>
      </c>
    </row>
    <row r="26" spans="1:9" x14ac:dyDescent="0.25">
      <c r="G26" s="497" t="str">
        <f ca="1">RMEAT!B34</f>
        <v/>
      </c>
      <c r="H26" s="346" t="str">
        <f ca="1">RMEAT!C34</f>
        <v/>
      </c>
      <c r="I26" s="498" t="str">
        <f ca="1">IFERROR(VLOOKUP(H26,'Project Mull Review'!AI:AL,3,FALSE),"")</f>
        <v/>
      </c>
    </row>
    <row r="27" spans="1:9" x14ac:dyDescent="0.25">
      <c r="G27" s="497" t="str">
        <f ca="1">RMEAT!B35</f>
        <v/>
      </c>
      <c r="H27" s="346" t="str">
        <f ca="1">RMEAT!C35</f>
        <v/>
      </c>
      <c r="I27" s="498" t="str">
        <f ca="1">IFERROR(VLOOKUP(H27,'Project Mull Review'!AI:AL,3,FALSE),"")</f>
        <v/>
      </c>
    </row>
    <row r="28" spans="1:9" x14ac:dyDescent="0.25">
      <c r="G28" s="497" t="str">
        <f ca="1">RMEAT!B36</f>
        <v/>
      </c>
      <c r="H28" s="346" t="str">
        <f ca="1">RMEAT!C36</f>
        <v/>
      </c>
      <c r="I28" s="498" t="str">
        <f ca="1">IFERROR(VLOOKUP(H28,'Project Mull Review'!AI:AL,3,FALSE),"")</f>
        <v/>
      </c>
    </row>
    <row r="29" spans="1:9" x14ac:dyDescent="0.25">
      <c r="G29" s="497" t="str">
        <f ca="1">RMEAT!B37</f>
        <v/>
      </c>
      <c r="H29" s="346" t="str">
        <f ca="1">RMEAT!C37</f>
        <v/>
      </c>
      <c r="I29" s="498" t="str">
        <f ca="1">IFERROR(VLOOKUP(H29,'Project Mull Review'!AI:AL,3,FALSE),"")</f>
        <v/>
      </c>
    </row>
    <row r="30" spans="1:9" x14ac:dyDescent="0.25">
      <c r="G30" s="497" t="str">
        <f ca="1">RMEAT!B38</f>
        <v/>
      </c>
      <c r="H30" s="346" t="str">
        <f ca="1">RMEAT!C38</f>
        <v/>
      </c>
      <c r="I30" s="498" t="str">
        <f ca="1">IFERROR(VLOOKUP(H30,'Project Mull Review'!AI:AL,3,FALSE),"")</f>
        <v/>
      </c>
    </row>
    <row r="31" spans="1:9" x14ac:dyDescent="0.25">
      <c r="G31" s="497" t="str">
        <f ca="1">RMEAT!B39</f>
        <v/>
      </c>
      <c r="H31" s="346" t="str">
        <f ca="1">RMEAT!C39</f>
        <v/>
      </c>
      <c r="I31" s="498" t="str">
        <f ca="1">IFERROR(VLOOKUP(H31,'Project Mull Review'!AI:AL,3,FALSE),"")</f>
        <v/>
      </c>
    </row>
    <row r="32" spans="1:9" x14ac:dyDescent="0.25">
      <c r="G32" s="497" t="str">
        <f ca="1">RMEAT!B40</f>
        <v/>
      </c>
      <c r="H32" s="346" t="str">
        <f ca="1">RMEAT!C40</f>
        <v/>
      </c>
      <c r="I32" s="498" t="str">
        <f ca="1">IFERROR(VLOOKUP(H32,'Project Mull Review'!AI:AL,3,FALSE),"")</f>
        <v/>
      </c>
    </row>
    <row r="33" spans="7:9" x14ac:dyDescent="0.25">
      <c r="G33" s="497" t="str">
        <f ca="1">RMEAT!B41</f>
        <v/>
      </c>
      <c r="H33" s="346" t="str">
        <f ca="1">RMEAT!C41</f>
        <v/>
      </c>
      <c r="I33" s="498" t="str">
        <f ca="1">IFERROR(VLOOKUP(H33,'Project Mull Review'!AI:AL,3,FALSE),"")</f>
        <v/>
      </c>
    </row>
    <row r="34" spans="7:9" x14ac:dyDescent="0.25">
      <c r="G34" s="497" t="str">
        <f ca="1">RMEAT!B42</f>
        <v/>
      </c>
      <c r="H34" s="346" t="str">
        <f ca="1">RMEAT!C42</f>
        <v/>
      </c>
      <c r="I34" s="498" t="str">
        <f ca="1">IFERROR(VLOOKUP(H34,'Project Mull Review'!AI:AL,3,FALSE),"")</f>
        <v/>
      </c>
    </row>
    <row r="35" spans="7:9" x14ac:dyDescent="0.25">
      <c r="G35" s="497" t="str">
        <f ca="1">RMEAT!B43</f>
        <v/>
      </c>
      <c r="H35" s="346" t="str">
        <f ca="1">RMEAT!C43</f>
        <v/>
      </c>
      <c r="I35" s="498" t="str">
        <f ca="1">IFERROR(VLOOKUP(H35,'Project Mull Review'!AI:AL,3,FALSE),"")</f>
        <v/>
      </c>
    </row>
    <row r="36" spans="7:9" x14ac:dyDescent="0.25">
      <c r="G36" s="497" t="str">
        <f ca="1">RMEAT!B44</f>
        <v/>
      </c>
      <c r="H36" s="346" t="str">
        <f ca="1">RMEAT!C44</f>
        <v/>
      </c>
      <c r="I36" s="498" t="str">
        <f ca="1">IFERROR(VLOOKUP(H36,'Project Mull Review'!AI:AL,3,FALSE),"")</f>
        <v/>
      </c>
    </row>
    <row r="37" spans="7:9" x14ac:dyDescent="0.25">
      <c r="G37" s="497" t="str">
        <f ca="1">RMEAT!B45</f>
        <v/>
      </c>
      <c r="H37" s="346" t="str">
        <f ca="1">RMEAT!C45</f>
        <v/>
      </c>
      <c r="I37" s="498" t="str">
        <f ca="1">IFERROR(VLOOKUP(H37,'Project Mull Review'!AI:AL,3,FALSE),"")</f>
        <v/>
      </c>
    </row>
    <row r="38" spans="7:9" x14ac:dyDescent="0.25">
      <c r="G38" s="497" t="str">
        <f ca="1">RMEAT!B46</f>
        <v/>
      </c>
      <c r="H38" s="346" t="str">
        <f ca="1">RMEAT!C46</f>
        <v/>
      </c>
      <c r="I38" s="498" t="str">
        <f ca="1">IFERROR(VLOOKUP(H38,'Project Mull Review'!AI:AL,3,FALSE),"")</f>
        <v/>
      </c>
    </row>
    <row r="39" spans="7:9" x14ac:dyDescent="0.25">
      <c r="G39" s="497" t="str">
        <f ca="1">RMEAT!B47</f>
        <v/>
      </c>
      <c r="H39" s="346" t="str">
        <f ca="1">RMEAT!C47</f>
        <v/>
      </c>
      <c r="I39" s="498" t="str">
        <f ca="1">IFERROR(VLOOKUP(H39,'Project Mull Review'!AI:AL,3,FALSE),"")</f>
        <v/>
      </c>
    </row>
    <row r="40" spans="7:9" x14ac:dyDescent="0.25">
      <c r="G40" s="497" t="str">
        <f ca="1">RMEAT!B48</f>
        <v/>
      </c>
      <c r="H40" s="346" t="str">
        <f ca="1">RMEAT!C48</f>
        <v/>
      </c>
      <c r="I40" s="498" t="str">
        <f ca="1">IFERROR(VLOOKUP(H40,'Project Mull Review'!AI:AL,3,FALSE),"")</f>
        <v/>
      </c>
    </row>
    <row r="41" spans="7:9" x14ac:dyDescent="0.25">
      <c r="G41" s="497"/>
    </row>
    <row r="42" spans="7:9" x14ac:dyDescent="0.25">
      <c r="G42" s="497"/>
    </row>
    <row r="43" spans="7:9" x14ac:dyDescent="0.25">
      <c r="G43" s="497"/>
    </row>
    <row r="44" spans="7:9" x14ac:dyDescent="0.25">
      <c r="G44" s="497"/>
    </row>
    <row r="45" spans="7:9" x14ac:dyDescent="0.25">
      <c r="G45" s="497"/>
    </row>
    <row r="46" spans="7:9" x14ac:dyDescent="0.25">
      <c r="G46" s="497"/>
    </row>
    <row r="47" spans="7:9" x14ac:dyDescent="0.25">
      <c r="G47" s="497"/>
    </row>
    <row r="48" spans="7:9" x14ac:dyDescent="0.25">
      <c r="G48" s="497"/>
    </row>
    <row r="49" spans="7:7" x14ac:dyDescent="0.25">
      <c r="G49" s="497"/>
    </row>
    <row r="50" spans="7:7" x14ac:dyDescent="0.25">
      <c r="G50" s="497"/>
    </row>
    <row r="51" spans="7:7" x14ac:dyDescent="0.25">
      <c r="G51" s="497"/>
    </row>
    <row r="52" spans="7:7" x14ac:dyDescent="0.25">
      <c r="G52" s="497"/>
    </row>
    <row r="53" spans="7:7" x14ac:dyDescent="0.25">
      <c r="G53" s="497"/>
    </row>
    <row r="54" spans="7:7" x14ac:dyDescent="0.25">
      <c r="G54" s="497"/>
    </row>
    <row r="55" spans="7:7" x14ac:dyDescent="0.25">
      <c r="G55" s="497"/>
    </row>
    <row r="56" spans="7:7" x14ac:dyDescent="0.25">
      <c r="G56" s="497"/>
    </row>
  </sheetData>
  <sheetProtection formatCells="0"/>
  <pageMargins left="0.7" right="0.7" top="0.75" bottom="0.75" header="0.3" footer="0.3"/>
  <pageSetup orientation="portrait" horizontalDpi="90" verticalDpi="9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theme="5" tint="0.59999389629810485"/>
  </sheetPr>
  <dimension ref="A1:R4"/>
  <sheetViews>
    <sheetView zoomScale="80" zoomScaleNormal="80" workbookViewId="0"/>
  </sheetViews>
  <sheetFormatPr defaultColWidth="9.140625" defaultRowHeight="15" x14ac:dyDescent="0.25"/>
  <cols>
    <col min="1" max="16384" width="9.140625" style="65"/>
  </cols>
  <sheetData>
    <row r="1" spans="1:18" ht="15.75" thickBot="1" x14ac:dyDescent="0.3"/>
    <row r="2" spans="1:18" ht="15" customHeight="1" x14ac:dyDescent="0.25">
      <c r="D2" s="1575" t="s">
        <v>90</v>
      </c>
      <c r="E2" s="1576"/>
      <c r="F2" s="1576"/>
      <c r="G2" s="1576"/>
      <c r="H2" s="1576"/>
      <c r="I2" s="1576"/>
      <c r="J2" s="1576"/>
      <c r="K2" s="1576"/>
      <c r="L2" s="1576"/>
      <c r="M2" s="1576"/>
      <c r="N2" s="1577"/>
    </row>
    <row r="3" spans="1:18" ht="15" customHeight="1" thickBot="1" x14ac:dyDescent="0.5">
      <c r="A3" s="73"/>
      <c r="B3" s="73"/>
      <c r="C3" s="73"/>
      <c r="D3" s="1578"/>
      <c r="E3" s="1579"/>
      <c r="F3" s="1579"/>
      <c r="G3" s="1579"/>
      <c r="H3" s="1579"/>
      <c r="I3" s="1579"/>
      <c r="J3" s="1579"/>
      <c r="K3" s="1579"/>
      <c r="L3" s="1579"/>
      <c r="M3" s="1579"/>
      <c r="N3" s="1580"/>
      <c r="O3" s="73"/>
      <c r="P3" s="73"/>
      <c r="Q3" s="73"/>
      <c r="R3" s="73"/>
    </row>
    <row r="4" spans="1:18" ht="15" customHeight="1" x14ac:dyDescent="0.45">
      <c r="A4" s="73"/>
      <c r="B4" s="73"/>
      <c r="C4" s="73"/>
      <c r="D4" s="73"/>
      <c r="E4" s="73"/>
      <c r="F4" s="73"/>
      <c r="G4" s="73"/>
      <c r="H4" s="73"/>
      <c r="I4" s="73"/>
      <c r="J4" s="73"/>
      <c r="K4" s="73"/>
      <c r="L4" s="73"/>
      <c r="M4" s="73"/>
      <c r="N4" s="73"/>
      <c r="O4" s="73"/>
      <c r="P4" s="73"/>
      <c r="Q4" s="73"/>
      <c r="R4" s="73"/>
    </row>
  </sheetData>
  <sheetProtection algorithmName="SHA-512" hashValue="xvcNd1GJ5zahQiTc8jpXHsfMw3Fm5xEPpD6E+QOuB9Ejb2IvA3wpsLlmbMJ9anvPfF9Z9e7+Lv+wvltQlNMq+w==" saltValue="2Y8O7YP873JtR4+B5FR7cw==" spinCount="100000" sheet="1" objects="1" scenarios="1"/>
  <mergeCells count="1">
    <mergeCell ref="D2:N3"/>
  </mergeCells>
  <hyperlinks>
    <hyperlink ref="D2:N3" location="'Project Mull Review'!A1" display="CLICK TO RETURN TO PROJECT MULL REVIEW" xr:uid="{1E52895A-4B9B-4379-B31D-C2D2F17E4EF0}"/>
  </hyperlink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theme="5" tint="0.59999389629810485"/>
  </sheetPr>
  <dimension ref="A1:U18"/>
  <sheetViews>
    <sheetView topLeftCell="A11" zoomScale="80" zoomScaleNormal="80" workbookViewId="0">
      <selection activeCell="V43" sqref="V43"/>
    </sheetView>
  </sheetViews>
  <sheetFormatPr defaultColWidth="9.140625" defaultRowHeight="15" x14ac:dyDescent="0.25"/>
  <cols>
    <col min="1" max="16384" width="9.140625" style="65"/>
  </cols>
  <sheetData>
    <row r="1" spans="1:21" ht="15" customHeight="1" thickBot="1" x14ac:dyDescent="0.3"/>
    <row r="2" spans="1:21" ht="15" customHeight="1" x14ac:dyDescent="0.25">
      <c r="E2" s="1575" t="s">
        <v>90</v>
      </c>
      <c r="F2" s="1576"/>
      <c r="G2" s="1576"/>
      <c r="H2" s="1576"/>
      <c r="I2" s="1576"/>
      <c r="J2" s="1576"/>
      <c r="K2" s="1576"/>
      <c r="L2" s="1576"/>
      <c r="M2" s="1576"/>
      <c r="N2" s="1577"/>
    </row>
    <row r="3" spans="1:21" ht="15" customHeight="1" thickBot="1" x14ac:dyDescent="0.5">
      <c r="A3" s="73"/>
      <c r="B3" s="73"/>
      <c r="C3" s="73"/>
      <c r="D3" s="73"/>
      <c r="E3" s="1578"/>
      <c r="F3" s="1579"/>
      <c r="G3" s="1579"/>
      <c r="H3" s="1579"/>
      <c r="I3" s="1579"/>
      <c r="J3" s="1579"/>
      <c r="K3" s="1579"/>
      <c r="L3" s="1579"/>
      <c r="M3" s="1579"/>
      <c r="N3" s="1580"/>
      <c r="O3" s="73"/>
      <c r="P3" s="73"/>
      <c r="Q3" s="73"/>
      <c r="R3" s="73"/>
    </row>
    <row r="4" spans="1:21" ht="15" customHeight="1" x14ac:dyDescent="0.25">
      <c r="U4" s="65" t="s">
        <v>1019</v>
      </c>
    </row>
    <row r="5" spans="1:21" ht="15" customHeight="1" x14ac:dyDescent="0.25"/>
    <row r="6" spans="1:21" ht="15" customHeight="1" x14ac:dyDescent="0.25"/>
    <row r="7" spans="1:21" ht="15" customHeight="1" x14ac:dyDescent="0.25"/>
    <row r="8" spans="1:21" ht="15" customHeight="1" x14ac:dyDescent="0.25"/>
    <row r="9" spans="1:21" ht="15" customHeight="1" x14ac:dyDescent="0.25"/>
    <row r="10" spans="1:21" ht="15" customHeight="1" x14ac:dyDescent="0.25"/>
    <row r="11" spans="1:21" ht="15" customHeight="1" x14ac:dyDescent="0.25"/>
    <row r="12" spans="1:21" ht="15" customHeight="1" x14ac:dyDescent="0.25"/>
    <row r="13" spans="1:21" ht="15" customHeight="1" x14ac:dyDescent="0.25"/>
    <row r="14" spans="1:21" ht="15" customHeight="1" x14ac:dyDescent="0.25"/>
    <row r="15" spans="1:21" ht="15" customHeight="1" x14ac:dyDescent="0.25"/>
    <row r="16" spans="1:21" ht="15" customHeight="1" x14ac:dyDescent="0.25"/>
    <row r="17" ht="15" customHeight="1" x14ac:dyDescent="0.25"/>
    <row r="18" ht="15" customHeight="1" x14ac:dyDescent="0.25"/>
  </sheetData>
  <sheetProtection algorithmName="SHA-512" hashValue="5fJUVCPHqzmXGEIVJ4z/ArwvdzDzo/FacJHYdcsM6gmQygxIUx3OfUOLbn5drPLv7wzAKMlhETVr4qwk/CjQWA==" saltValue="ZP/OXZlsl6ZynsY5J39y8Q==" spinCount="100000" sheet="1" objects="1" scenarios="1"/>
  <mergeCells count="1">
    <mergeCell ref="E2:N3"/>
  </mergeCells>
  <hyperlinks>
    <hyperlink ref="E2:N3" location="'Project Mull Review'!A1" display="CLICK TO RETURN TO PROJECT MULL REVIEW" xr:uid="{0411ABD3-0444-438E-912C-B4C6FF603F99}"/>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32031-1278-4438-90AA-287D63195E29}">
  <sheetPr codeName="Sheet16">
    <tabColor theme="5" tint="0.59999389629810485"/>
  </sheetPr>
  <dimension ref="B2:T9"/>
  <sheetViews>
    <sheetView topLeftCell="A15" zoomScale="80" zoomScaleNormal="80" workbookViewId="0">
      <selection activeCell="R41" sqref="R41"/>
    </sheetView>
  </sheetViews>
  <sheetFormatPr defaultColWidth="9.140625" defaultRowHeight="15" x14ac:dyDescent="0.25"/>
  <cols>
    <col min="1" max="16384" width="9.140625" style="65"/>
  </cols>
  <sheetData>
    <row r="2" spans="2:20" ht="15.75" thickBot="1" x14ac:dyDescent="0.3">
      <c r="B2" s="70"/>
    </row>
    <row r="3" spans="2:20" ht="15" customHeight="1" x14ac:dyDescent="0.45">
      <c r="C3" s="73"/>
      <c r="D3" s="73"/>
      <c r="E3" s="73"/>
      <c r="F3" s="73"/>
      <c r="G3" s="73"/>
      <c r="H3" s="1575" t="s">
        <v>90</v>
      </c>
      <c r="I3" s="1576"/>
      <c r="J3" s="1576"/>
      <c r="K3" s="1576"/>
      <c r="L3" s="1576"/>
      <c r="M3" s="1576"/>
      <c r="N3" s="1576"/>
      <c r="O3" s="1576"/>
      <c r="P3" s="1577"/>
      <c r="Q3" s="73"/>
      <c r="R3" s="73"/>
      <c r="S3" s="73"/>
      <c r="T3" s="73"/>
    </row>
    <row r="4" spans="2:20" ht="15" customHeight="1" thickBot="1" x14ac:dyDescent="0.5">
      <c r="B4" s="73"/>
      <c r="C4" s="73"/>
      <c r="D4" s="73"/>
      <c r="E4" s="73"/>
      <c r="F4" s="73"/>
      <c r="G4" s="73"/>
      <c r="H4" s="1578"/>
      <c r="I4" s="1579"/>
      <c r="J4" s="1579"/>
      <c r="K4" s="1579"/>
      <c r="L4" s="1579"/>
      <c r="M4" s="1579"/>
      <c r="N4" s="1579"/>
      <c r="O4" s="1579"/>
      <c r="P4" s="1580"/>
      <c r="Q4" s="73"/>
      <c r="R4" s="73"/>
      <c r="S4" s="73"/>
      <c r="T4" s="73"/>
    </row>
    <row r="7" spans="2:20" ht="18.75" x14ac:dyDescent="0.3">
      <c r="B7" s="71" t="s">
        <v>145</v>
      </c>
      <c r="E7" s="72" t="s">
        <v>146</v>
      </c>
    </row>
    <row r="9" spans="2:20" ht="18.75" x14ac:dyDescent="0.3">
      <c r="B9" s="71" t="s">
        <v>147</v>
      </c>
      <c r="E9" s="72" t="s">
        <v>148</v>
      </c>
    </row>
  </sheetData>
  <sheetProtection algorithmName="SHA-512" hashValue="5esvMQ0OdcbLExrWHqn22L8Iv/peK/Y7hghSOzwWa1YB6XoLKd+4dBQzkccdxR09oGlxyjsNy1PcDHVznjqgqQ==" saltValue="Wv4sH0lvqkkSrFadu2E7Gg==" spinCount="100000" sheet="1" objects="1" scenarios="1"/>
  <mergeCells count="1">
    <mergeCell ref="H3:P4"/>
  </mergeCells>
  <hyperlinks>
    <hyperlink ref="E9" r:id="rId1" xr:uid="{1A58C5F8-3E92-4135-B39D-DE7B66C9E4EF}"/>
    <hyperlink ref="E7" r:id="rId2" xr:uid="{CFC6E46D-A3DC-4EFA-AB99-42598E2BE537}"/>
    <hyperlink ref="H3:P4" location="'Project Mull Review'!A1" display="CLICK TO RETURN TO PROJECT MULL REVIEW" xr:uid="{35A57845-9D53-4760-AE71-16A0E8D0E53E}"/>
  </hyperlinks>
  <pageMargins left="0.7" right="0.7" top="0.75" bottom="0.75" header="0.3" footer="0.3"/>
  <pageSetup orientation="portrait" r:id="rId3"/>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DED58-8023-4A07-9FF5-C3C31624FFCD}">
  <sheetPr codeName="Sheet17">
    <tabColor theme="5" tint="0.59999389629810485"/>
  </sheetPr>
  <dimension ref="A1:W29"/>
  <sheetViews>
    <sheetView topLeftCell="A5" zoomScale="80" zoomScaleNormal="80" workbookViewId="0"/>
  </sheetViews>
  <sheetFormatPr defaultColWidth="9.140625" defaultRowHeight="15" x14ac:dyDescent="0.25"/>
  <cols>
    <col min="1" max="16384" width="9.140625" style="65"/>
  </cols>
  <sheetData>
    <row r="1" spans="2:23" ht="15.75" thickBot="1" x14ac:dyDescent="0.3">
      <c r="B1" s="66"/>
      <c r="C1" s="66"/>
      <c r="D1" s="66"/>
      <c r="E1" s="66"/>
      <c r="F1" s="66"/>
      <c r="G1" s="66"/>
      <c r="H1" s="66"/>
      <c r="I1" s="66"/>
      <c r="J1" s="66"/>
      <c r="K1" s="66"/>
      <c r="L1" s="66"/>
      <c r="M1" s="66"/>
      <c r="N1" s="66"/>
    </row>
    <row r="2" spans="2:23" x14ac:dyDescent="0.25">
      <c r="O2" s="1575" t="s">
        <v>90</v>
      </c>
      <c r="P2" s="1576"/>
      <c r="Q2" s="1576"/>
      <c r="R2" s="1576"/>
      <c r="S2" s="1576"/>
      <c r="T2" s="1576"/>
      <c r="U2" s="1576"/>
      <c r="V2" s="1576"/>
      <c r="W2" s="1577"/>
    </row>
    <row r="3" spans="2:23" x14ac:dyDescent="0.25">
      <c r="B3" s="66"/>
      <c r="C3" s="66"/>
      <c r="D3" s="66"/>
      <c r="E3" s="66"/>
      <c r="F3" s="66"/>
      <c r="G3" s="66"/>
      <c r="H3" s="66"/>
      <c r="I3" s="66"/>
      <c r="J3" s="66"/>
      <c r="K3" s="66"/>
      <c r="L3" s="66"/>
      <c r="M3" s="66"/>
      <c r="N3" s="66"/>
      <c r="O3" s="1581"/>
      <c r="P3" s="1582"/>
      <c r="Q3" s="1582"/>
      <c r="R3" s="1582"/>
      <c r="S3" s="1582"/>
      <c r="T3" s="1582"/>
      <c r="U3" s="1582"/>
      <c r="V3" s="1582"/>
      <c r="W3" s="1583"/>
    </row>
    <row r="4" spans="2:23" ht="15.75" thickBot="1" x14ac:dyDescent="0.3">
      <c r="O4" s="1578"/>
      <c r="P4" s="1579"/>
      <c r="Q4" s="1579"/>
      <c r="R4" s="1579"/>
      <c r="S4" s="1579"/>
      <c r="T4" s="1579"/>
      <c r="U4" s="1579"/>
      <c r="V4" s="1579"/>
      <c r="W4" s="1580"/>
    </row>
    <row r="5" spans="2:23" x14ac:dyDescent="0.25">
      <c r="B5" s="66"/>
      <c r="C5" s="67"/>
      <c r="D5" s="67"/>
      <c r="E5" s="67"/>
      <c r="F5" s="67"/>
      <c r="G5" s="67"/>
      <c r="H5" s="67"/>
      <c r="I5" s="67"/>
      <c r="J5" s="67"/>
      <c r="K5" s="67"/>
      <c r="L5" s="67"/>
      <c r="M5" s="67"/>
      <c r="N5" s="67"/>
    </row>
    <row r="20" spans="1:16" ht="21" x14ac:dyDescent="0.35">
      <c r="O20" s="68" t="s">
        <v>149</v>
      </c>
    </row>
    <row r="21" spans="1:16" ht="15" customHeight="1" x14ac:dyDescent="0.25"/>
    <row r="22" spans="1:16" ht="15" customHeight="1" x14ac:dyDescent="0.25"/>
    <row r="29" spans="1:16" x14ac:dyDescent="0.25">
      <c r="A29" s="69"/>
      <c r="B29" s="69"/>
      <c r="C29" s="69"/>
      <c r="D29" s="69"/>
      <c r="E29" s="69"/>
      <c r="F29" s="69"/>
      <c r="G29" s="69"/>
      <c r="H29" s="69"/>
      <c r="I29" s="69"/>
      <c r="J29" s="69"/>
      <c r="K29" s="69"/>
      <c r="L29" s="69"/>
      <c r="M29" s="69"/>
      <c r="N29" s="69"/>
      <c r="O29" s="69"/>
      <c r="P29" s="69"/>
    </row>
  </sheetData>
  <sheetProtection algorithmName="SHA-512" hashValue="+e3/2/oGDMzVSGsMTblwATSHHMqAaSGmPHwGxPoRuWal6lrUX/kRS4z0IZDIARpNv20ZssQ/1uzbXyd8pZgAxw==" saltValue="UT9XBqweZwfIlqwwQXZqGw==" spinCount="100000" sheet="1" objects="1" scenarios="1"/>
  <mergeCells count="1">
    <mergeCell ref="O2:W4"/>
  </mergeCells>
  <hyperlinks>
    <hyperlink ref="O2:W4" location="'Project Mull Review'!A1" display="CLICK TO RETURN TO PROJECT MULL REVIEW" xr:uid="{C9CD2245-C089-4071-A9B5-89F6CD33AF59}"/>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8FE62-CB1D-4F33-87D6-5B7AA45FF4A7}">
  <sheetPr>
    <tabColor theme="5" tint="0.59999389629810485"/>
  </sheetPr>
  <dimension ref="B1:Q5"/>
  <sheetViews>
    <sheetView topLeftCell="A3" zoomScaleNormal="100" workbookViewId="0">
      <selection activeCell="E2" sqref="E2:M3"/>
    </sheetView>
  </sheetViews>
  <sheetFormatPr defaultColWidth="9.140625" defaultRowHeight="15" x14ac:dyDescent="0.25"/>
  <cols>
    <col min="1" max="16384" width="9.140625" style="65"/>
  </cols>
  <sheetData>
    <row r="1" spans="2:17" ht="15.75" thickBot="1" x14ac:dyDescent="0.3"/>
    <row r="2" spans="2:17" ht="15" customHeight="1" x14ac:dyDescent="0.25">
      <c r="C2" s="74"/>
      <c r="D2" s="74"/>
      <c r="E2" s="1575" t="s">
        <v>367</v>
      </c>
      <c r="F2" s="1576"/>
      <c r="G2" s="1576"/>
      <c r="H2" s="1576"/>
      <c r="I2" s="1576"/>
      <c r="J2" s="1576"/>
      <c r="K2" s="1576"/>
      <c r="L2" s="1576"/>
      <c r="M2" s="1577"/>
      <c r="N2" s="74"/>
      <c r="O2" s="74"/>
      <c r="P2" s="74"/>
      <c r="Q2" s="74"/>
    </row>
    <row r="3" spans="2:17" ht="15" customHeight="1" thickBot="1" x14ac:dyDescent="0.3">
      <c r="B3" s="74"/>
      <c r="C3" s="74"/>
      <c r="D3" s="74"/>
      <c r="E3" s="1578"/>
      <c r="F3" s="1579"/>
      <c r="G3" s="1579"/>
      <c r="H3" s="1579"/>
      <c r="I3" s="1579"/>
      <c r="J3" s="1579"/>
      <c r="K3" s="1579"/>
      <c r="L3" s="1579"/>
      <c r="M3" s="1580"/>
      <c r="N3" s="74"/>
      <c r="O3" s="74"/>
      <c r="P3" s="74"/>
      <c r="Q3" s="74"/>
    </row>
    <row r="5" spans="2:17" x14ac:dyDescent="0.25">
      <c r="E5" s="1584" t="s">
        <v>677</v>
      </c>
      <c r="F5" s="1585"/>
      <c r="G5" s="1585"/>
      <c r="H5" s="1585"/>
      <c r="I5" s="1585"/>
      <c r="J5" s="1585"/>
      <c r="K5" s="1585"/>
      <c r="L5" s="1585"/>
      <c r="M5" s="1585"/>
    </row>
  </sheetData>
  <sheetProtection algorithmName="SHA-512" hashValue="9PMj6l9kknmfl5O+NGYcGmBH7/v/fVE2XmPxczUuFGZFg7OucPNlvim7+iatvsKKkGJ0wKzhfFlm0ejqqC3BgQ==" saltValue="GjS6U/7jHDsSbstaXCps+g==" spinCount="100000" sheet="1" objects="1" scenarios="1"/>
  <mergeCells count="2">
    <mergeCell ref="E2:M3"/>
    <mergeCell ref="E5:M5"/>
  </mergeCells>
  <hyperlinks>
    <hyperlink ref="E2:M3" location="'Project Mull Review'!A1" display="Click to Return to Project Mull Review" xr:uid="{96F3D108-403C-47AA-9EB9-3386D1FEF910}"/>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9deffce8-bf75-4a35-84bc-276293234ddf">
      <UserInfo>
        <DisplayName/>
        <AccountId xsi:nil="true"/>
        <AccountType/>
      </UserInfo>
    </Owner>
    <_ip_UnifiedCompliancePolicyUIAction xmlns="http://schemas.microsoft.com/sharepoint/v3" xsi:nil="true"/>
    <_ip_UnifiedCompliancePolicyProperties xmlns="http://schemas.microsoft.com/sharepoint/v3" xsi:nil="true"/>
    <SharedWithUsers xmlns="57bffbea-747f-4e07-8285-801cec03bffc">
      <UserInfo>
        <DisplayName>Visscher, Eric</DisplayName>
        <AccountId>152</AccountId>
        <AccountType/>
      </UserInfo>
    </SharedWithUsers>
    <lcf76f155ced4ddcb4097134ff3c332f xmlns="9deffce8-bf75-4a35-84bc-276293234ddf">
      <Terms xmlns="http://schemas.microsoft.com/office/infopath/2007/PartnerControls"/>
    </lcf76f155ced4ddcb4097134ff3c332f>
    <TaxCatchAll xmlns="57bffbea-747f-4e07-8285-801cec03bff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7C91C36254FB54AA690AFD3CD75CCD7" ma:contentTypeVersion="21" ma:contentTypeDescription="Create a new document." ma:contentTypeScope="" ma:versionID="308c28e6bf9d63bf681b7f1bd9e1b389">
  <xsd:schema xmlns:xsd="http://www.w3.org/2001/XMLSchema" xmlns:xs="http://www.w3.org/2001/XMLSchema" xmlns:p="http://schemas.microsoft.com/office/2006/metadata/properties" xmlns:ns1="http://schemas.microsoft.com/sharepoint/v3" xmlns:ns2="9deffce8-bf75-4a35-84bc-276293234ddf" xmlns:ns3="57bffbea-747f-4e07-8285-801cec03bffc" targetNamespace="http://schemas.microsoft.com/office/2006/metadata/properties" ma:root="true" ma:fieldsID="7c2847fb306c634e6295e72553df8fd2" ns1:_="" ns2:_="" ns3:_="">
    <xsd:import namespace="http://schemas.microsoft.com/sharepoint/v3"/>
    <xsd:import namespace="9deffce8-bf75-4a35-84bc-276293234ddf"/>
    <xsd:import namespace="57bffbea-747f-4e07-8285-801cec03bff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3:SharedWithUsers" minOccurs="0"/>
                <xsd:element ref="ns3:SharedWithDetails" minOccurs="0"/>
                <xsd:element ref="ns2:Owner" minOccurs="0"/>
                <xsd:element ref="ns2:MediaServiceOCR" minOccurs="0"/>
                <xsd:element ref="ns2:MediaServiceLocation" minOccurs="0"/>
                <xsd:element ref="ns2:MediaServiceEventHashCode" minOccurs="0"/>
                <xsd:element ref="ns2:MediaServiceGenerationTime"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effce8-bf75-4a35-84bc-276293234ddf"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Owner" ma:index="14" nillable="true" ma:displayName="Owner"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0c89091c-62e0-4f7e-ad43-a17563ba865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7bffbea-747f-4e07-8285-801cec03bff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193ccaf4-5924-4f1c-be04-d6f3ddbf1a66}" ma:internalName="TaxCatchAll" ma:showField="CatchAllData" ma:web="57bffbea-747f-4e07-8285-801cec03bf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E38C6B-7692-47EE-83A5-E624A41C0A0A}">
  <ds:schemaRefs>
    <ds:schemaRef ds:uri="http://schemas.microsoft.com/sharepoint/v3"/>
    <ds:schemaRef ds:uri="http://purl.org/dc/dcmitype/"/>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57bffbea-747f-4e07-8285-801cec03bffc"/>
    <ds:schemaRef ds:uri="9deffce8-bf75-4a35-84bc-276293234ddf"/>
    <ds:schemaRef ds:uri="http://purl.org/dc/elements/1.1/"/>
  </ds:schemaRefs>
</ds:datastoreItem>
</file>

<file path=customXml/itemProps2.xml><?xml version="1.0" encoding="utf-8"?>
<ds:datastoreItem xmlns:ds="http://schemas.openxmlformats.org/officeDocument/2006/customXml" ds:itemID="{3656B5D4-4492-472C-A0F3-3B14EA7F237D}">
  <ds:schemaRefs>
    <ds:schemaRef ds:uri="http://schemas.microsoft.com/sharepoint/v3/contenttype/forms"/>
  </ds:schemaRefs>
</ds:datastoreItem>
</file>

<file path=customXml/itemProps3.xml><?xml version="1.0" encoding="utf-8"?>
<ds:datastoreItem xmlns:ds="http://schemas.openxmlformats.org/officeDocument/2006/customXml" ds:itemID="{736B0FD1-0130-4B6F-A192-31335DD695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deffce8-bf75-4a35-84bc-276293234ddf"/>
    <ds:schemaRef ds:uri="57bffbea-747f-4e07-8285-801cec03bf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66b0f6b-d953-4f09-95b7-5213bd230c18}" enabled="0" method="" siteId="{a66b0f6b-d953-4f09-95b7-5213bd230c1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377</vt:i4>
      </vt:variant>
    </vt:vector>
  </HeadingPairs>
  <TitlesOfParts>
    <vt:vector size="397" baseType="lpstr">
      <vt:lpstr>Launch Page</vt:lpstr>
      <vt:lpstr>Canada DP Link</vt:lpstr>
      <vt:lpstr>Revisions</vt:lpstr>
      <vt:lpstr>Project Mull Review</vt:lpstr>
      <vt:lpstr>New Lookup Cells</vt:lpstr>
      <vt:lpstr>Windspeed Results</vt:lpstr>
      <vt:lpstr>RMEAT</vt:lpstr>
      <vt:lpstr>Aluminum Mull Charts</vt:lpstr>
      <vt:lpstr>Generic Mull Charts</vt:lpstr>
      <vt:lpstr>End Anchor Options</vt:lpstr>
      <vt:lpstr>State Building Codes</vt:lpstr>
      <vt:lpstr>Deadload Assistance</vt:lpstr>
      <vt:lpstr>Scenescape</vt:lpstr>
      <vt:lpstr>Tornado</vt:lpstr>
      <vt:lpstr>Struc Calc</vt:lpstr>
      <vt:lpstr>Importance Factor</vt:lpstr>
      <vt:lpstr>Exposure Category</vt:lpstr>
      <vt:lpstr>Topographical Factor </vt:lpstr>
      <vt:lpstr>Ultimate vs Allowable Load</vt:lpstr>
      <vt:lpstr>Zone 5 Classification</vt:lpstr>
      <vt:lpstr>AreaType</vt:lpstr>
      <vt:lpstr>ASCE7_05WZ</vt:lpstr>
      <vt:lpstr>ASCE7_10WZ</vt:lpstr>
      <vt:lpstr>AutocadMull</vt:lpstr>
      <vt:lpstr>Bnli</vt:lpstr>
      <vt:lpstr>BonAnchor</vt:lpstr>
      <vt:lpstr>BonAnchorc</vt:lpstr>
      <vt:lpstr>BonAnchorcx</vt:lpstr>
      <vt:lpstr>BonAnchors</vt:lpstr>
      <vt:lpstr>BonAnchorsx</vt:lpstr>
      <vt:lpstr>BonAnchorw</vt:lpstr>
      <vt:lpstr>BonAnchorwx</vt:lpstr>
      <vt:lpstr>BonEIx</vt:lpstr>
      <vt:lpstr>Bonelli</vt:lpstr>
      <vt:lpstr>BonMull</vt:lpstr>
      <vt:lpstr>CAnchor</vt:lpstr>
      <vt:lpstr>Clad</vt:lpstr>
      <vt:lpstr>Clad_Wood_Four_Way</vt:lpstr>
      <vt:lpstr>Clad_Wood_Three_Way</vt:lpstr>
      <vt:lpstr>Clad_Wood_Two_Way</vt:lpstr>
      <vt:lpstr>Classification</vt:lpstr>
      <vt:lpstr>Combo</vt:lpstr>
      <vt:lpstr>CWAEIx</vt:lpstr>
      <vt:lpstr>CWAEIy</vt:lpstr>
      <vt:lpstr>CWAM</vt:lpstr>
      <vt:lpstr>cwm_1</vt:lpstr>
      <vt:lpstr>cwm_1c</vt:lpstr>
      <vt:lpstr>cwm_1cx</vt:lpstr>
      <vt:lpstr>cwm_1s</vt:lpstr>
      <vt:lpstr>cwm_1sx</vt:lpstr>
      <vt:lpstr>cwm_1w</vt:lpstr>
      <vt:lpstr>cwm_1wx</vt:lpstr>
      <vt:lpstr>cwm_2</vt:lpstr>
      <vt:lpstr>cwm_2c</vt:lpstr>
      <vt:lpstr>cwm_2cx</vt:lpstr>
      <vt:lpstr>cwm_2s</vt:lpstr>
      <vt:lpstr>cwm_2sx</vt:lpstr>
      <vt:lpstr>cwm_2w</vt:lpstr>
      <vt:lpstr>cwm_2wx</vt:lpstr>
      <vt:lpstr>cwm_3</vt:lpstr>
      <vt:lpstr>cwm_3c</vt:lpstr>
      <vt:lpstr>cwm_3cx</vt:lpstr>
      <vt:lpstr>cwm_3s</vt:lpstr>
      <vt:lpstr>cwm_3sx</vt:lpstr>
      <vt:lpstr>cwm_3w</vt:lpstr>
      <vt:lpstr>cwm_3wx</vt:lpstr>
      <vt:lpstr>Dual_IG</vt:lpstr>
      <vt:lpstr>EIMM</vt:lpstr>
      <vt:lpstr>ELEI</vt:lpstr>
      <vt:lpstr>ELM</vt:lpstr>
      <vt:lpstr>exposure</vt:lpstr>
      <vt:lpstr>FinalSort</vt:lpstr>
      <vt:lpstr>FrameStrength</vt:lpstr>
      <vt:lpstr>GlassThickness</vt:lpstr>
      <vt:lpstr>GlazingTypes</vt:lpstr>
      <vt:lpstr>IAEI</vt:lpstr>
      <vt:lpstr>IAEIT2</vt:lpstr>
      <vt:lpstr>IAEIT4</vt:lpstr>
      <vt:lpstr>IAEIx</vt:lpstr>
      <vt:lpstr>IAEIy</vt:lpstr>
      <vt:lpstr>IAM</vt:lpstr>
      <vt:lpstr>IAMT2</vt:lpstr>
      <vt:lpstr>IAMT4</vt:lpstr>
      <vt:lpstr>IDAEI</vt:lpstr>
      <vt:lpstr>IDAEIy</vt:lpstr>
      <vt:lpstr>IDAM</vt:lpstr>
      <vt:lpstr>imp_1</vt:lpstr>
      <vt:lpstr>imp_1c</vt:lpstr>
      <vt:lpstr>imp_1cx</vt:lpstr>
      <vt:lpstr>imp_1s</vt:lpstr>
      <vt:lpstr>imp_1sx</vt:lpstr>
      <vt:lpstr>imp_1w</vt:lpstr>
      <vt:lpstr>imp_1wx</vt:lpstr>
      <vt:lpstr>imp_2</vt:lpstr>
      <vt:lpstr>imp_2c</vt:lpstr>
      <vt:lpstr>imp_2cx</vt:lpstr>
      <vt:lpstr>imp_2s</vt:lpstr>
      <vt:lpstr>imp_2sx</vt:lpstr>
      <vt:lpstr>imp_2w</vt:lpstr>
      <vt:lpstr>imp_2wx</vt:lpstr>
      <vt:lpstr>imp_3</vt:lpstr>
      <vt:lpstr>imp_3c</vt:lpstr>
      <vt:lpstr>imp_3cx</vt:lpstr>
      <vt:lpstr>imp_3s</vt:lpstr>
      <vt:lpstr>imp_3sx</vt:lpstr>
      <vt:lpstr>imp_3w</vt:lpstr>
      <vt:lpstr>imp_3wx</vt:lpstr>
      <vt:lpstr>impdoor</vt:lpstr>
      <vt:lpstr>impdoorc</vt:lpstr>
      <vt:lpstr>impdoorcx</vt:lpstr>
      <vt:lpstr>impdoors</vt:lpstr>
      <vt:lpstr>impdoorsx</vt:lpstr>
      <vt:lpstr>impdoorw</vt:lpstr>
      <vt:lpstr>impdoorwx</vt:lpstr>
      <vt:lpstr>Impervia</vt:lpstr>
      <vt:lpstr>Impervia_Four_Way</vt:lpstr>
      <vt:lpstr>Impervia_Three_Way</vt:lpstr>
      <vt:lpstr>Impervia_Two_Way</vt:lpstr>
      <vt:lpstr>Laminated_IG</vt:lpstr>
      <vt:lpstr>lvl_11</vt:lpstr>
      <vt:lpstr>lvl_11c</vt:lpstr>
      <vt:lpstr>lvl_11cx</vt:lpstr>
      <vt:lpstr>lvl_11s</vt:lpstr>
      <vt:lpstr>lvl_11sx</vt:lpstr>
      <vt:lpstr>lvl_11w</vt:lpstr>
      <vt:lpstr>lvl_11wx</vt:lpstr>
      <vt:lpstr>lvl_14</vt:lpstr>
      <vt:lpstr>lvl_14c</vt:lpstr>
      <vt:lpstr>lvl_14cx</vt:lpstr>
      <vt:lpstr>lvl_14s</vt:lpstr>
      <vt:lpstr>lvl_14sx</vt:lpstr>
      <vt:lpstr>lvl_14w</vt:lpstr>
      <vt:lpstr>lvl_14wx</vt:lpstr>
      <vt:lpstr>lvl_16</vt:lpstr>
      <vt:lpstr>lvl_16c</vt:lpstr>
      <vt:lpstr>lvl_16cx</vt:lpstr>
      <vt:lpstr>lvl_16s</vt:lpstr>
      <vt:lpstr>lvl_16sx</vt:lpstr>
      <vt:lpstr>lvl_16w</vt:lpstr>
      <vt:lpstr>lvl_16wx</vt:lpstr>
      <vt:lpstr>lvl_18</vt:lpstr>
      <vt:lpstr>lvl_18cx</vt:lpstr>
      <vt:lpstr>lvl_18s</vt:lpstr>
      <vt:lpstr>lvl_18sx</vt:lpstr>
      <vt:lpstr>lvl_18w</vt:lpstr>
      <vt:lpstr>lvl_18wx</vt:lpstr>
      <vt:lpstr>lvl_20</vt:lpstr>
      <vt:lpstr>lvl_20c</vt:lpstr>
      <vt:lpstr>lvl_20cx</vt:lpstr>
      <vt:lpstr>lvl_20s</vt:lpstr>
      <vt:lpstr>lvl_20sx</vt:lpstr>
      <vt:lpstr>lvl_20w</vt:lpstr>
      <vt:lpstr>lvl_20wx</vt:lpstr>
      <vt:lpstr>lvl_28c</vt:lpstr>
      <vt:lpstr>lvl_3</vt:lpstr>
      <vt:lpstr>lvl_3c</vt:lpstr>
      <vt:lpstr>lvl_3cx</vt:lpstr>
      <vt:lpstr>lvl_3s</vt:lpstr>
      <vt:lpstr>lvl_3sx</vt:lpstr>
      <vt:lpstr>lvl_3w</vt:lpstr>
      <vt:lpstr>lvl_3wx</vt:lpstr>
      <vt:lpstr>lvl_5</vt:lpstr>
      <vt:lpstr>lvl_5c</vt:lpstr>
      <vt:lpstr>lvl_5cx</vt:lpstr>
      <vt:lpstr>lvl_5s</vt:lpstr>
      <vt:lpstr>lvl_5sx</vt:lpstr>
      <vt:lpstr>lvl_5w</vt:lpstr>
      <vt:lpstr>lvl_5wx</vt:lpstr>
      <vt:lpstr>lvl_7</vt:lpstr>
      <vt:lpstr>lvl_7c</vt:lpstr>
      <vt:lpstr>lvl_7cx</vt:lpstr>
      <vt:lpstr>lvl_7s</vt:lpstr>
      <vt:lpstr>lvl_7sx</vt:lpstr>
      <vt:lpstr>lvl_7w</vt:lpstr>
      <vt:lpstr>lvl_7wx</vt:lpstr>
      <vt:lpstr>lvl_9</vt:lpstr>
      <vt:lpstr>lvl_9c</vt:lpstr>
      <vt:lpstr>lvl_9cx</vt:lpstr>
      <vt:lpstr>lvl_9s</vt:lpstr>
      <vt:lpstr>lvl_9sx</vt:lpstr>
      <vt:lpstr>lvl_9w</vt:lpstr>
      <vt:lpstr>lvl_9wx</vt:lpstr>
      <vt:lpstr>MainCell</vt:lpstr>
      <vt:lpstr>MullList</vt:lpstr>
      <vt:lpstr>NSS</vt:lpstr>
      <vt:lpstr>nss_3</vt:lpstr>
      <vt:lpstr>nss_3c</vt:lpstr>
      <vt:lpstr>nss_3cx</vt:lpstr>
      <vt:lpstr>nss_3s</vt:lpstr>
      <vt:lpstr>nss_3sx</vt:lpstr>
      <vt:lpstr>nss_3w</vt:lpstr>
      <vt:lpstr>nss_3wx</vt:lpstr>
      <vt:lpstr>nss_6</vt:lpstr>
      <vt:lpstr>nss_6c</vt:lpstr>
      <vt:lpstr>nss_6cx</vt:lpstr>
      <vt:lpstr>nss_6s</vt:lpstr>
      <vt:lpstr>nss_6sx</vt:lpstr>
      <vt:lpstr>nss_6w</vt:lpstr>
      <vt:lpstr>nss_6wx</vt:lpstr>
      <vt:lpstr>Option</vt:lpstr>
      <vt:lpstr>plate1</vt:lpstr>
      <vt:lpstr>plate1c</vt:lpstr>
      <vt:lpstr>plate1cx</vt:lpstr>
      <vt:lpstr>plate1s</vt:lpstr>
      <vt:lpstr>plate1sx</vt:lpstr>
      <vt:lpstr>plate1w</vt:lpstr>
      <vt:lpstr>plate1wx</vt:lpstr>
      <vt:lpstr>Products</vt:lpstr>
      <vt:lpstr>ProductWeight</vt:lpstr>
      <vt:lpstr>PSEI</vt:lpstr>
      <vt:lpstr>PSM</vt:lpstr>
      <vt:lpstr>pws_1</vt:lpstr>
      <vt:lpstr>pws_1c</vt:lpstr>
      <vt:lpstr>pws_1cx</vt:lpstr>
      <vt:lpstr>pws_1s</vt:lpstr>
      <vt:lpstr>pws_1sx</vt:lpstr>
      <vt:lpstr>pws_1w</vt:lpstr>
      <vt:lpstr>pws_1wx</vt:lpstr>
      <vt:lpstr>pws_2</vt:lpstr>
      <vt:lpstr>pws_2c</vt:lpstr>
      <vt:lpstr>pws_2cx</vt:lpstr>
      <vt:lpstr>pws_2s</vt:lpstr>
      <vt:lpstr>pws_2sx</vt:lpstr>
      <vt:lpstr>pws_2w</vt:lpstr>
      <vt:lpstr>pws_2wx</vt:lpstr>
      <vt:lpstr>pws_3</vt:lpstr>
      <vt:lpstr>pws_3c</vt:lpstr>
      <vt:lpstr>pws_3cx</vt:lpstr>
      <vt:lpstr>pws_3s</vt:lpstr>
      <vt:lpstr>pws_3sx</vt:lpstr>
      <vt:lpstr>pws_3w</vt:lpstr>
      <vt:lpstr>pws_3wx</vt:lpstr>
      <vt:lpstr>pwspl</vt:lpstr>
      <vt:lpstr>pwsplc</vt:lpstr>
      <vt:lpstr>pwsplcx</vt:lpstr>
      <vt:lpstr>pwspls</vt:lpstr>
      <vt:lpstr>pwsplsx</vt:lpstr>
      <vt:lpstr>pwsplw</vt:lpstr>
      <vt:lpstr>pwsplwx</vt:lpstr>
      <vt:lpstr>Quote</vt:lpstr>
      <vt:lpstr>SAnchor</vt:lpstr>
      <vt:lpstr>ShopMull</vt:lpstr>
      <vt:lpstr>SPEI</vt:lpstr>
      <vt:lpstr>SPEIW</vt:lpstr>
      <vt:lpstr>SPM</vt:lpstr>
      <vt:lpstr>SPPWS</vt:lpstr>
      <vt:lpstr>SSEI</vt:lpstr>
      <vt:lpstr>SSM</vt:lpstr>
      <vt:lpstr>SSW</vt:lpstr>
      <vt:lpstr>SSWI</vt:lpstr>
      <vt:lpstr>StarState</vt:lpstr>
      <vt:lpstr>StateCodes</vt:lpstr>
      <vt:lpstr>States</vt:lpstr>
      <vt:lpstr>STEI</vt:lpstr>
      <vt:lpstr>STM</vt:lpstr>
      <vt:lpstr>studs10</vt:lpstr>
      <vt:lpstr>studs10c</vt:lpstr>
      <vt:lpstr>studs10cx</vt:lpstr>
      <vt:lpstr>studs10s</vt:lpstr>
      <vt:lpstr>studs10sx</vt:lpstr>
      <vt:lpstr>studs10w</vt:lpstr>
      <vt:lpstr>studs10wx</vt:lpstr>
      <vt:lpstr>studs12</vt:lpstr>
      <vt:lpstr>studs12c</vt:lpstr>
      <vt:lpstr>studs12cx</vt:lpstr>
      <vt:lpstr>studs12s</vt:lpstr>
      <vt:lpstr>studs12sx</vt:lpstr>
      <vt:lpstr>studs12w</vt:lpstr>
      <vt:lpstr>studs12wx</vt:lpstr>
      <vt:lpstr>studs4</vt:lpstr>
      <vt:lpstr>studs4c</vt:lpstr>
      <vt:lpstr>studs4cx</vt:lpstr>
      <vt:lpstr>studs4s</vt:lpstr>
      <vt:lpstr>studs4sx</vt:lpstr>
      <vt:lpstr>studs4w</vt:lpstr>
      <vt:lpstr>studs4wx</vt:lpstr>
      <vt:lpstr>studs6</vt:lpstr>
      <vt:lpstr>studs6c</vt:lpstr>
      <vt:lpstr>studs6cx</vt:lpstr>
      <vt:lpstr>studs6s</vt:lpstr>
      <vt:lpstr>studs6sx</vt:lpstr>
      <vt:lpstr>studs6w</vt:lpstr>
      <vt:lpstr>studs6wx</vt:lpstr>
      <vt:lpstr>studs8</vt:lpstr>
      <vt:lpstr>studs8c</vt:lpstr>
      <vt:lpstr>studs8cx</vt:lpstr>
      <vt:lpstr>studs8s</vt:lpstr>
      <vt:lpstr>studs8sx</vt:lpstr>
      <vt:lpstr>studs8w</vt:lpstr>
      <vt:lpstr>studs8wx</vt:lpstr>
      <vt:lpstr>Substrate</vt:lpstr>
      <vt:lpstr>TENVAEI</vt:lpstr>
      <vt:lpstr>TENVAEIy</vt:lpstr>
      <vt:lpstr>TENVAM</vt:lpstr>
      <vt:lpstr>Triple_IG</vt:lpstr>
      <vt:lpstr>tube1</vt:lpstr>
      <vt:lpstr>tube1c</vt:lpstr>
      <vt:lpstr>tube1cx</vt:lpstr>
      <vt:lpstr>tube1s</vt:lpstr>
      <vt:lpstr>tube1sx</vt:lpstr>
      <vt:lpstr>tube1w</vt:lpstr>
      <vt:lpstr>tube1wx</vt:lpstr>
      <vt:lpstr>tube2</vt:lpstr>
      <vt:lpstr>tube2c</vt:lpstr>
      <vt:lpstr>tube2cx</vt:lpstr>
      <vt:lpstr>tube2s</vt:lpstr>
      <vt:lpstr>tube2sx</vt:lpstr>
      <vt:lpstr>tube2w</vt:lpstr>
      <vt:lpstr>tube2wx</vt:lpstr>
      <vt:lpstr>tube3</vt:lpstr>
      <vt:lpstr>tube3c</vt:lpstr>
      <vt:lpstr>tube3cx</vt:lpstr>
      <vt:lpstr>tube3s</vt:lpstr>
      <vt:lpstr>tube3sx</vt:lpstr>
      <vt:lpstr>tube3w</vt:lpstr>
      <vt:lpstr>tube3wx</vt:lpstr>
      <vt:lpstr>tube4</vt:lpstr>
      <vt:lpstr>tube4c</vt:lpstr>
      <vt:lpstr>tube4cx</vt:lpstr>
      <vt:lpstr>tube4s</vt:lpstr>
      <vt:lpstr>tube4sx</vt:lpstr>
      <vt:lpstr>tube4w</vt:lpstr>
      <vt:lpstr>tube4wx</vt:lpstr>
      <vt:lpstr>tube5</vt:lpstr>
      <vt:lpstr>tube5c</vt:lpstr>
      <vt:lpstr>tube5cx</vt:lpstr>
      <vt:lpstr>tube5s</vt:lpstr>
      <vt:lpstr>tube5sx</vt:lpstr>
      <vt:lpstr>tube5w</vt:lpstr>
      <vt:lpstr>tube5wx</vt:lpstr>
      <vt:lpstr>tube6</vt:lpstr>
      <vt:lpstr>tube6c</vt:lpstr>
      <vt:lpstr>tube6cx</vt:lpstr>
      <vt:lpstr>tube6s</vt:lpstr>
      <vt:lpstr>tube6sx</vt:lpstr>
      <vt:lpstr>tube6w</vt:lpstr>
      <vt:lpstr>tube6wx</vt:lpstr>
      <vt:lpstr>tube7</vt:lpstr>
      <vt:lpstr>tube7c</vt:lpstr>
      <vt:lpstr>tube7cx</vt:lpstr>
      <vt:lpstr>tube7s</vt:lpstr>
      <vt:lpstr>tube7sx</vt:lpstr>
      <vt:lpstr>tube7w</vt:lpstr>
      <vt:lpstr>tube7wx</vt:lpstr>
      <vt:lpstr>TWOVAEI</vt:lpstr>
      <vt:lpstr>TWOVAEIy</vt:lpstr>
      <vt:lpstr>TWOVAM</vt:lpstr>
      <vt:lpstr>v250_1</vt:lpstr>
      <vt:lpstr>v250_1c</vt:lpstr>
      <vt:lpstr>v250_1cx</vt:lpstr>
      <vt:lpstr>v250_1s</vt:lpstr>
      <vt:lpstr>v250_1sx</vt:lpstr>
      <vt:lpstr>v250_1w</vt:lpstr>
      <vt:lpstr>v250_1wx</vt:lpstr>
      <vt:lpstr>v250_2</vt:lpstr>
      <vt:lpstr>v250_2c</vt:lpstr>
      <vt:lpstr>v250_2cx</vt:lpstr>
      <vt:lpstr>v250_2s</vt:lpstr>
      <vt:lpstr>v250_2sx</vt:lpstr>
      <vt:lpstr>v250_2w</vt:lpstr>
      <vt:lpstr>v250_2wx</vt:lpstr>
      <vt:lpstr>v250_d</vt:lpstr>
      <vt:lpstr>v250_dc</vt:lpstr>
      <vt:lpstr>v250_dcx</vt:lpstr>
      <vt:lpstr>v250_ds</vt:lpstr>
      <vt:lpstr>v250_dsx</vt:lpstr>
      <vt:lpstr>v250_dw</vt:lpstr>
      <vt:lpstr>v250_dwx</vt:lpstr>
      <vt:lpstr>VDAEIx</vt:lpstr>
      <vt:lpstr>VDAEIy</vt:lpstr>
      <vt:lpstr>VDAM</vt:lpstr>
      <vt:lpstr>Vinyl</vt:lpstr>
      <vt:lpstr>Vinyl_250_Series</vt:lpstr>
      <vt:lpstr>Vinyl_Encompass_Thermastar</vt:lpstr>
      <vt:lpstr>Vista</vt:lpstr>
      <vt:lpstr>Vista_1</vt:lpstr>
      <vt:lpstr>Vista_1c</vt:lpstr>
      <vt:lpstr>Vista_1cx</vt:lpstr>
      <vt:lpstr>Vista_1s</vt:lpstr>
      <vt:lpstr>Vista_1sx</vt:lpstr>
      <vt:lpstr>Vista_1w</vt:lpstr>
      <vt:lpstr>Vista_1wx</vt:lpstr>
      <vt:lpstr>Vista_2</vt:lpstr>
      <vt:lpstr>Vista_2c</vt:lpstr>
      <vt:lpstr>Vista_2cx</vt:lpstr>
      <vt:lpstr>Vista_2s</vt:lpstr>
      <vt:lpstr>Vista_2sx</vt:lpstr>
      <vt:lpstr>Vista_2w</vt:lpstr>
      <vt:lpstr>Vista_2wx</vt:lpstr>
      <vt:lpstr>VistaEIx</vt:lpstr>
      <vt:lpstr>VistaMull</vt:lpstr>
      <vt:lpstr>Vsta</vt:lpstr>
      <vt:lpstr>WallType</vt:lpstr>
      <vt:lpstr>WAnchor</vt:lpstr>
      <vt:lpstr>WSEI</vt:lpstr>
      <vt:lpstr>WSM</vt:lpstr>
      <vt:lpstr>WTloading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DP and Mullion Calculator 2.1</dc:title>
  <dc:subject/>
  <dc:creator>Vos, Joe</dc:creator>
  <cp:keywords/>
  <dc:description/>
  <cp:lastModifiedBy>Visscher, Eric</cp:lastModifiedBy>
  <cp:revision/>
  <cp:lastPrinted>2020-10-09T15:03:08Z</cp:lastPrinted>
  <dcterms:created xsi:type="dcterms:W3CDTF">2015-02-24T17:33:56Z</dcterms:created>
  <dcterms:modified xsi:type="dcterms:W3CDTF">2026-06-02T16:06:30Z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0x01010087C91C36254FB54AA690AFD3CD75CCD7</vt:lpwstr>
  </property>
  <property fmtid="{D5CDD505-2E9C-101B-9397-08002B2CF9AE}" pid="3" name="AuthorIds_UIVersion_512">
    <vt:lpwstr>126</vt:lpwstr>
  </property>
  <property fmtid="{D5CDD505-2E9C-101B-9397-08002B2CF9AE}" pid="4" name="AuthorIds_UIVersion_2048">
    <vt:lpwstr>118</vt:lpwstr>
  </property>
  <property fmtid="{D5CDD505-2E9C-101B-9397-08002B2CF9AE}" pid="5" name="MediaServiceImageTags">
    <vt:lpwstr/>
  </property>
</Properties>
</file>